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1\TERCER TRIMESTRE 2021\"/>
    </mc:Choice>
  </mc:AlternateContent>
  <xr:revisionPtr revIDLastSave="0" documentId="13_ncr:1_{37B6B634-ADCA-4CB3-B745-E4BEFB74F96A}" xr6:coauthVersionLast="45" xr6:coauthVersionMax="45" xr10:uidLastSave="{00000000-0000-0000-0000-000000000000}"/>
  <bookViews>
    <workbookView xWindow="-40" yWindow="-40" windowWidth="19280" windowHeight="10280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8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15" i="15" l="1"/>
  <c r="M516" i="15"/>
  <c r="M517" i="15"/>
  <c r="M518" i="15"/>
  <c r="M519" i="15"/>
  <c r="M520" i="15"/>
  <c r="M310" i="19" l="1"/>
  <c r="M3" i="19" l="1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21" i="15"/>
  <c r="M4" i="16"/>
  <c r="M5" i="16"/>
  <c r="M6" i="16"/>
  <c r="M7" i="16"/>
  <c r="M8" i="16"/>
  <c r="M9" i="16"/>
  <c r="M3" i="16"/>
  <c r="M10" i="16"/>
  <c r="M11" i="16"/>
  <c r="M12" i="16"/>
  <c r="M13" i="16"/>
  <c r="M14" i="16"/>
  <c r="M15" i="16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Q3367" i="3" l="1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500" i="3"/>
  <c r="Q4501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S3367" i="3"/>
  <c r="S3368" i="3"/>
  <c r="T3368" i="3" s="1"/>
  <c r="S3369" i="3"/>
  <c r="S3370" i="3"/>
  <c r="T3370" i="3" s="1"/>
  <c r="S3371" i="3"/>
  <c r="S3372" i="3"/>
  <c r="T3372" i="3" s="1"/>
  <c r="S3373" i="3"/>
  <c r="T3373" i="3" s="1"/>
  <c r="S3374" i="3"/>
  <c r="S3375" i="3"/>
  <c r="T3375" i="3" s="1"/>
  <c r="S3376" i="3"/>
  <c r="T3376" i="3" s="1"/>
  <c r="S3377" i="3"/>
  <c r="T3377" i="3" s="1"/>
  <c r="S3378" i="3"/>
  <c r="T3378" i="3" s="1"/>
  <c r="S3379" i="3"/>
  <c r="S3380" i="3"/>
  <c r="T3380" i="3" s="1"/>
  <c r="S3381" i="3"/>
  <c r="T3381" i="3" s="1"/>
  <c r="S3382" i="3"/>
  <c r="T3382" i="3" s="1"/>
  <c r="S3383" i="3"/>
  <c r="T3383" i="3" s="1"/>
  <c r="S3384" i="3"/>
  <c r="T3384" i="3" s="1"/>
  <c r="S3385" i="3"/>
  <c r="T3385" i="3" s="1"/>
  <c r="S3386" i="3"/>
  <c r="S3387" i="3"/>
  <c r="T3387" i="3" s="1"/>
  <c r="S3388" i="3"/>
  <c r="T3388" i="3" s="1"/>
  <c r="S3389" i="3"/>
  <c r="T3389" i="3" s="1"/>
  <c r="S3390" i="3"/>
  <c r="T3390" i="3" s="1"/>
  <c r="S3391" i="3"/>
  <c r="T3391" i="3" s="1"/>
  <c r="S3392" i="3"/>
  <c r="T3392" i="3" s="1"/>
  <c r="S3393" i="3"/>
  <c r="T3393" i="3" s="1"/>
  <c r="S3394" i="3"/>
  <c r="T3394" i="3" s="1"/>
  <c r="S3395" i="3"/>
  <c r="S3396" i="3"/>
  <c r="T3396" i="3" s="1"/>
  <c r="S3397" i="3"/>
  <c r="T3397" i="3" s="1"/>
  <c r="S3398" i="3"/>
  <c r="S3399" i="3"/>
  <c r="T3399" i="3" s="1"/>
  <c r="S3400" i="3"/>
  <c r="T3400" i="3" s="1"/>
  <c r="S3401" i="3"/>
  <c r="T3401" i="3" s="1"/>
  <c r="S3402" i="3"/>
  <c r="T3402" i="3" s="1"/>
  <c r="S3403" i="3"/>
  <c r="S3404" i="3"/>
  <c r="T3404" i="3" s="1"/>
  <c r="S3405" i="3"/>
  <c r="T3405" i="3" s="1"/>
  <c r="S3406" i="3"/>
  <c r="T3406" i="3" s="1"/>
  <c r="S3407" i="3"/>
  <c r="T3407" i="3" s="1"/>
  <c r="S3408" i="3"/>
  <c r="T3408" i="3" s="1"/>
  <c r="S3409" i="3"/>
  <c r="T3409" i="3" s="1"/>
  <c r="S3410" i="3"/>
  <c r="S3411" i="3"/>
  <c r="S3412" i="3"/>
  <c r="T3412" i="3" s="1"/>
  <c r="S3413" i="3"/>
  <c r="T3413" i="3" s="1"/>
  <c r="S3414" i="3"/>
  <c r="T3414" i="3" s="1"/>
  <c r="S3415" i="3"/>
  <c r="T3415" i="3" s="1"/>
  <c r="S3416" i="3"/>
  <c r="T3416" i="3" s="1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S3423" i="3"/>
  <c r="T3423" i="3" s="1"/>
  <c r="S3424" i="3"/>
  <c r="T3424" i="3" s="1"/>
  <c r="S3425" i="3"/>
  <c r="T3425" i="3" s="1"/>
  <c r="S3426" i="3"/>
  <c r="T3426" i="3" s="1"/>
  <c r="S3427" i="3"/>
  <c r="S3428" i="3"/>
  <c r="T3428" i="3" s="1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S3435" i="3"/>
  <c r="S3436" i="3"/>
  <c r="T3436" i="3" s="1"/>
  <c r="S3437" i="3"/>
  <c r="T3437" i="3" s="1"/>
  <c r="S3438" i="3"/>
  <c r="T3438" i="3" s="1"/>
  <c r="S3439" i="3"/>
  <c r="T3439" i="3" s="1"/>
  <c r="S3440" i="3"/>
  <c r="T3440" i="3" s="1"/>
  <c r="S3441" i="3"/>
  <c r="T3441" i="3" s="1"/>
  <c r="S3442" i="3"/>
  <c r="T3442" i="3" s="1"/>
  <c r="S3443" i="3"/>
  <c r="S3444" i="3"/>
  <c r="T3444" i="3" s="1"/>
  <c r="S3445" i="3"/>
  <c r="T3445" i="3" s="1"/>
  <c r="S3446" i="3"/>
  <c r="T3446" i="3" s="1"/>
  <c r="S3447" i="3"/>
  <c r="T3447" i="3" s="1"/>
  <c r="S3448" i="3"/>
  <c r="T3448" i="3" s="1"/>
  <c r="S3449" i="3"/>
  <c r="T3449" i="3" s="1"/>
  <c r="S3450" i="3"/>
  <c r="T3450" i="3" s="1"/>
  <c r="S3451" i="3"/>
  <c r="T3451" i="3" s="1"/>
  <c r="S3452" i="3"/>
  <c r="T3452" i="3" s="1"/>
  <c r="S3453" i="3"/>
  <c r="T3453" i="3" s="1"/>
  <c r="S3454" i="3"/>
  <c r="T3454" i="3" s="1"/>
  <c r="S3455" i="3"/>
  <c r="T3455" i="3" s="1"/>
  <c r="S3456" i="3"/>
  <c r="T3456" i="3" s="1"/>
  <c r="S3457" i="3"/>
  <c r="T3457" i="3" s="1"/>
  <c r="S3458" i="3"/>
  <c r="S3459" i="3"/>
  <c r="S3460" i="3"/>
  <c r="T3460" i="3" s="1"/>
  <c r="S3461" i="3"/>
  <c r="T3461" i="3" s="1"/>
  <c r="S3462" i="3"/>
  <c r="T3462" i="3" s="1"/>
  <c r="S3463" i="3"/>
  <c r="T3463" i="3" s="1"/>
  <c r="S3464" i="3"/>
  <c r="T3464" i="3" s="1"/>
  <c r="S3465" i="3"/>
  <c r="T3465" i="3" s="1"/>
  <c r="S3466" i="3"/>
  <c r="T3466" i="3" s="1"/>
  <c r="S3467" i="3"/>
  <c r="S3468" i="3"/>
  <c r="T3468" i="3" s="1"/>
  <c r="S3469" i="3"/>
  <c r="T3469" i="3" s="1"/>
  <c r="S3470" i="3"/>
  <c r="T3470" i="3" s="1"/>
  <c r="S3471" i="3"/>
  <c r="T3471" i="3" s="1"/>
  <c r="S3472" i="3"/>
  <c r="T3472" i="3" s="1"/>
  <c r="S3473" i="3"/>
  <c r="T3473" i="3" s="1"/>
  <c r="S3474" i="3"/>
  <c r="T3474" i="3" s="1"/>
  <c r="S3475" i="3"/>
  <c r="S3476" i="3"/>
  <c r="T3476" i="3" s="1"/>
  <c r="S3477" i="3"/>
  <c r="T3477" i="3" s="1"/>
  <c r="S3478" i="3"/>
  <c r="S3479" i="3"/>
  <c r="T3479" i="3" s="1"/>
  <c r="S3480" i="3"/>
  <c r="T3480" i="3" s="1"/>
  <c r="S3481" i="3"/>
  <c r="T3481" i="3" s="1"/>
  <c r="S3482" i="3"/>
  <c r="T3482" i="3" s="1"/>
  <c r="S3483" i="3"/>
  <c r="T3483" i="3" s="1"/>
  <c r="S3484" i="3"/>
  <c r="T3484" i="3" s="1"/>
  <c r="S3485" i="3"/>
  <c r="T3485" i="3" s="1"/>
  <c r="S3486" i="3"/>
  <c r="T3486" i="3" s="1"/>
  <c r="S3487" i="3"/>
  <c r="T3487" i="3" s="1"/>
  <c r="S3488" i="3"/>
  <c r="T3488" i="3" s="1"/>
  <c r="S3489" i="3"/>
  <c r="T3489" i="3" s="1"/>
  <c r="S3490" i="3"/>
  <c r="T3490" i="3" s="1"/>
  <c r="S3491" i="3"/>
  <c r="S3492" i="3"/>
  <c r="T3492" i="3" s="1"/>
  <c r="S3493" i="3"/>
  <c r="T3493" i="3" s="1"/>
  <c r="S3494" i="3"/>
  <c r="T3494" i="3" s="1"/>
  <c r="S3495" i="3"/>
  <c r="T3495" i="3" s="1"/>
  <c r="S3496" i="3"/>
  <c r="T3496" i="3" s="1"/>
  <c r="S3497" i="3"/>
  <c r="T3497" i="3" s="1"/>
  <c r="S3498" i="3"/>
  <c r="T3498" i="3" s="1"/>
  <c r="S3499" i="3"/>
  <c r="S3500" i="3"/>
  <c r="T3500" i="3" s="1"/>
  <c r="S3501" i="3"/>
  <c r="T3501" i="3" s="1"/>
  <c r="S3502" i="3"/>
  <c r="S3503" i="3"/>
  <c r="T3503" i="3" s="1"/>
  <c r="S3504" i="3"/>
  <c r="T3504" i="3" s="1"/>
  <c r="S3505" i="3"/>
  <c r="T3505" i="3" s="1"/>
  <c r="S3506" i="3"/>
  <c r="T3506" i="3" s="1"/>
  <c r="S3507" i="3"/>
  <c r="T3507" i="3" s="1"/>
  <c r="S3508" i="3"/>
  <c r="T3508" i="3" s="1"/>
  <c r="S3509" i="3"/>
  <c r="T3509" i="3" s="1"/>
  <c r="S3510" i="3"/>
  <c r="T3510" i="3" s="1"/>
  <c r="S3511" i="3"/>
  <c r="T3511" i="3" s="1"/>
  <c r="S3512" i="3"/>
  <c r="T3512" i="3" s="1"/>
  <c r="S3513" i="3"/>
  <c r="T3513" i="3" s="1"/>
  <c r="S3514" i="3"/>
  <c r="S3515" i="3"/>
  <c r="T3515" i="3" s="1"/>
  <c r="S3516" i="3"/>
  <c r="T3516" i="3" s="1"/>
  <c r="S3517" i="3"/>
  <c r="T3517" i="3" s="1"/>
  <c r="S3518" i="3"/>
  <c r="T3518" i="3" s="1"/>
  <c r="S3519" i="3"/>
  <c r="T3519" i="3" s="1"/>
  <c r="S3520" i="3"/>
  <c r="T3520" i="3" s="1"/>
  <c r="S3521" i="3"/>
  <c r="T3521" i="3" s="1"/>
  <c r="S3522" i="3"/>
  <c r="T3522" i="3" s="1"/>
  <c r="S3523" i="3"/>
  <c r="S3524" i="3"/>
  <c r="T3524" i="3" s="1"/>
  <c r="S3525" i="3"/>
  <c r="T3525" i="3" s="1"/>
  <c r="S3526" i="3"/>
  <c r="S3527" i="3"/>
  <c r="T3527" i="3" s="1"/>
  <c r="S3528" i="3"/>
  <c r="T3528" i="3" s="1"/>
  <c r="S3529" i="3"/>
  <c r="T3529" i="3" s="1"/>
  <c r="S3530" i="3"/>
  <c r="T3530" i="3" s="1"/>
  <c r="S3531" i="3"/>
  <c r="T3531" i="3" s="1"/>
  <c r="S3532" i="3"/>
  <c r="T3532" i="3" s="1"/>
  <c r="S3533" i="3"/>
  <c r="T3533" i="3" s="1"/>
  <c r="S3534" i="3"/>
  <c r="T3534" i="3" s="1"/>
  <c r="S3535" i="3"/>
  <c r="T3535" i="3" s="1"/>
  <c r="S3536" i="3"/>
  <c r="T3536" i="3" s="1"/>
  <c r="S3537" i="3"/>
  <c r="T3537" i="3" s="1"/>
  <c r="S3538" i="3"/>
  <c r="S3539" i="3"/>
  <c r="S3540" i="3"/>
  <c r="T3540" i="3" s="1"/>
  <c r="S3541" i="3"/>
  <c r="T3541" i="3" s="1"/>
  <c r="S3542" i="3"/>
  <c r="T3542" i="3" s="1"/>
  <c r="S3543" i="3"/>
  <c r="T3543" i="3" s="1"/>
  <c r="S3544" i="3"/>
  <c r="T3544" i="3" s="1"/>
  <c r="S3545" i="3"/>
  <c r="T3545" i="3" s="1"/>
  <c r="S3546" i="3"/>
  <c r="T3546" i="3" s="1"/>
  <c r="S3547" i="3"/>
  <c r="T3547" i="3" s="1"/>
  <c r="S3548" i="3"/>
  <c r="T3548" i="3" s="1"/>
  <c r="S3549" i="3"/>
  <c r="T3549" i="3" s="1"/>
  <c r="S3550" i="3"/>
  <c r="S3551" i="3"/>
  <c r="T3551" i="3" s="1"/>
  <c r="S3552" i="3"/>
  <c r="T3552" i="3" s="1"/>
  <c r="S3553" i="3"/>
  <c r="T3553" i="3" s="1"/>
  <c r="S3554" i="3"/>
  <c r="T3554" i="3" s="1"/>
  <c r="S3555" i="3"/>
  <c r="T3555" i="3" s="1"/>
  <c r="S3556" i="3"/>
  <c r="T3556" i="3" s="1"/>
  <c r="S3557" i="3"/>
  <c r="T3557" i="3" s="1"/>
  <c r="S3558" i="3"/>
  <c r="T3558" i="3" s="1"/>
  <c r="S3559" i="3"/>
  <c r="T3559" i="3" s="1"/>
  <c r="S3560" i="3"/>
  <c r="T3560" i="3" s="1"/>
  <c r="S3561" i="3"/>
  <c r="T3561" i="3" s="1"/>
  <c r="S3562" i="3"/>
  <c r="S3563" i="3"/>
  <c r="S3564" i="3"/>
  <c r="T3564" i="3" s="1"/>
  <c r="S3565" i="3"/>
  <c r="T3565" i="3" s="1"/>
  <c r="S3566" i="3"/>
  <c r="T3566" i="3" s="1"/>
  <c r="S3567" i="3"/>
  <c r="T3567" i="3" s="1"/>
  <c r="S3568" i="3"/>
  <c r="T3568" i="3" s="1"/>
  <c r="S3569" i="3"/>
  <c r="T3569" i="3" s="1"/>
  <c r="S3570" i="3"/>
  <c r="T3570" i="3" s="1"/>
  <c r="S3571" i="3"/>
  <c r="S3572" i="3"/>
  <c r="T3572" i="3" s="1"/>
  <c r="S3573" i="3"/>
  <c r="T3573" i="3" s="1"/>
  <c r="S3574" i="3"/>
  <c r="T3574" i="3" s="1"/>
  <c r="S3575" i="3"/>
  <c r="T3575" i="3" s="1"/>
  <c r="S3576" i="3"/>
  <c r="T3576" i="3" s="1"/>
  <c r="S3577" i="3"/>
  <c r="T3577" i="3" s="1"/>
  <c r="S3578" i="3"/>
  <c r="T3578" i="3" s="1"/>
  <c r="S3579" i="3"/>
  <c r="T3579" i="3" s="1"/>
  <c r="S3580" i="3"/>
  <c r="T3580" i="3" s="1"/>
  <c r="S3581" i="3"/>
  <c r="T3581" i="3" s="1"/>
  <c r="S3582" i="3"/>
  <c r="T3582" i="3" s="1"/>
  <c r="S3583" i="3"/>
  <c r="T3583" i="3" s="1"/>
  <c r="S3584" i="3"/>
  <c r="T3584" i="3" s="1"/>
  <c r="S3585" i="3"/>
  <c r="T3585" i="3" s="1"/>
  <c r="S3586" i="3"/>
  <c r="S3587" i="3"/>
  <c r="S3588" i="3"/>
  <c r="T3588" i="3" s="1"/>
  <c r="S3589" i="3"/>
  <c r="T3589" i="3" s="1"/>
  <c r="S3590" i="3"/>
  <c r="T3590" i="3" s="1"/>
  <c r="S3591" i="3"/>
  <c r="T3591" i="3" s="1"/>
  <c r="S3592" i="3"/>
  <c r="T3592" i="3" s="1"/>
  <c r="S3593" i="3"/>
  <c r="T3593" i="3" s="1"/>
  <c r="S3594" i="3"/>
  <c r="T3594" i="3" s="1"/>
  <c r="S3595" i="3"/>
  <c r="S3596" i="3"/>
  <c r="T3596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T3602" i="3" s="1"/>
  <c r="S3603" i="3"/>
  <c r="S3604" i="3"/>
  <c r="T3604" i="3" s="1"/>
  <c r="S3605" i="3"/>
  <c r="T3605" i="3" s="1"/>
  <c r="S3606" i="3"/>
  <c r="S3607" i="3"/>
  <c r="T3607" i="3" s="1"/>
  <c r="S3608" i="3"/>
  <c r="T3608" i="3" s="1"/>
  <c r="S3609" i="3"/>
  <c r="T3609" i="3" s="1"/>
  <c r="S3610" i="3"/>
  <c r="T3610" i="3" s="1"/>
  <c r="S3611" i="3"/>
  <c r="T3611" i="3" s="1"/>
  <c r="S3612" i="3"/>
  <c r="T3612" i="3" s="1"/>
  <c r="S3613" i="3"/>
  <c r="T3613" i="3" s="1"/>
  <c r="S3614" i="3"/>
  <c r="T3614" i="3" s="1"/>
  <c r="S3615" i="3"/>
  <c r="T3615" i="3" s="1"/>
  <c r="S3616" i="3"/>
  <c r="T3616" i="3" s="1"/>
  <c r="S3617" i="3"/>
  <c r="T3617" i="3" s="1"/>
  <c r="S3618" i="3"/>
  <c r="T3618" i="3" s="1"/>
  <c r="S3619" i="3"/>
  <c r="S3620" i="3"/>
  <c r="T3620" i="3" s="1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S3628" i="3"/>
  <c r="T3628" i="3" s="1"/>
  <c r="S3629" i="3"/>
  <c r="T3629" i="3" s="1"/>
  <c r="S3630" i="3"/>
  <c r="S3631" i="3"/>
  <c r="T3631" i="3" s="1"/>
  <c r="S3632" i="3"/>
  <c r="T3632" i="3" s="1"/>
  <c r="S3633" i="3"/>
  <c r="T3633" i="3" s="1"/>
  <c r="S3634" i="3"/>
  <c r="T3634" i="3" s="1"/>
  <c r="S3635" i="3"/>
  <c r="T3635" i="3" s="1"/>
  <c r="S3636" i="3"/>
  <c r="T3636" i="3" s="1"/>
  <c r="S3637" i="3"/>
  <c r="T3637" i="3" s="1"/>
  <c r="S3638" i="3"/>
  <c r="T3638" i="3" s="1"/>
  <c r="S3639" i="3"/>
  <c r="T3639" i="3" s="1"/>
  <c r="S3640" i="3"/>
  <c r="T3640" i="3" s="1"/>
  <c r="S3641" i="3"/>
  <c r="T3641" i="3" s="1"/>
  <c r="S3642" i="3"/>
  <c r="S3643" i="3"/>
  <c r="T3643" i="3" s="1"/>
  <c r="S3644" i="3"/>
  <c r="T3644" i="3" s="1"/>
  <c r="S3645" i="3"/>
  <c r="T3645" i="3" s="1"/>
  <c r="S3646" i="3"/>
  <c r="T3646" i="3" s="1"/>
  <c r="S3647" i="3"/>
  <c r="T3647" i="3" s="1"/>
  <c r="S3648" i="3"/>
  <c r="T3648" i="3" s="1"/>
  <c r="S3649" i="3"/>
  <c r="T3649" i="3" s="1"/>
  <c r="S3650" i="3"/>
  <c r="T3650" i="3" s="1"/>
  <c r="S3651" i="3"/>
  <c r="S3652" i="3"/>
  <c r="T3652" i="3" s="1"/>
  <c r="S3653" i="3"/>
  <c r="T3653" i="3" s="1"/>
  <c r="S3654" i="3"/>
  <c r="S3655" i="3"/>
  <c r="T3655" i="3" s="1"/>
  <c r="S3656" i="3"/>
  <c r="T3656" i="3" s="1"/>
  <c r="S3657" i="3"/>
  <c r="T3657" i="3" s="1"/>
  <c r="S3658" i="3"/>
  <c r="T3658" i="3" s="1"/>
  <c r="S3659" i="3"/>
  <c r="T3659" i="3" s="1"/>
  <c r="S3660" i="3"/>
  <c r="T3660" i="3" s="1"/>
  <c r="S3661" i="3"/>
  <c r="T3661" i="3" s="1"/>
  <c r="S3662" i="3"/>
  <c r="T3662" i="3" s="1"/>
  <c r="S3663" i="3"/>
  <c r="T3663" i="3" s="1"/>
  <c r="S3664" i="3"/>
  <c r="T3664" i="3" s="1"/>
  <c r="S3665" i="3"/>
  <c r="T3665" i="3" s="1"/>
  <c r="S3666" i="3"/>
  <c r="S3667" i="3"/>
  <c r="S3668" i="3"/>
  <c r="T3668" i="3" s="1"/>
  <c r="S3669" i="3"/>
  <c r="T3669" i="3" s="1"/>
  <c r="S3670" i="3"/>
  <c r="T3670" i="3" s="1"/>
  <c r="S3671" i="3"/>
  <c r="T3671" i="3" s="1"/>
  <c r="S3672" i="3"/>
  <c r="T3672" i="3" s="1"/>
  <c r="S3673" i="3"/>
  <c r="T3673" i="3" s="1"/>
  <c r="S3674" i="3"/>
  <c r="T3674" i="3" s="1"/>
  <c r="S3675" i="3"/>
  <c r="T3675" i="3" s="1"/>
  <c r="S3676" i="3"/>
  <c r="T3676" i="3" s="1"/>
  <c r="S3677" i="3"/>
  <c r="T3677" i="3" s="1"/>
  <c r="S3678" i="3"/>
  <c r="S3679" i="3"/>
  <c r="T3679" i="3" s="1"/>
  <c r="S3680" i="3"/>
  <c r="T3680" i="3" s="1"/>
  <c r="S3681" i="3"/>
  <c r="T3681" i="3" s="1"/>
  <c r="S3682" i="3"/>
  <c r="T3682" i="3" s="1"/>
  <c r="S3683" i="3"/>
  <c r="T3683" i="3" s="1"/>
  <c r="S3684" i="3"/>
  <c r="T3684" i="3" s="1"/>
  <c r="S3685" i="3"/>
  <c r="T3685" i="3" s="1"/>
  <c r="S3686" i="3"/>
  <c r="T3686" i="3" s="1"/>
  <c r="S3687" i="3"/>
  <c r="T3687" i="3" s="1"/>
  <c r="S3688" i="3"/>
  <c r="T3688" i="3" s="1"/>
  <c r="S3689" i="3"/>
  <c r="T3689" i="3" s="1"/>
  <c r="S3690" i="3"/>
  <c r="S3691" i="3"/>
  <c r="S3692" i="3"/>
  <c r="T3692" i="3" s="1"/>
  <c r="S3693" i="3"/>
  <c r="T3693" i="3" s="1"/>
  <c r="S3694" i="3"/>
  <c r="T3694" i="3" s="1"/>
  <c r="S3695" i="3"/>
  <c r="T3695" i="3" s="1"/>
  <c r="S3696" i="3"/>
  <c r="T3696" i="3" s="1"/>
  <c r="S3697" i="3"/>
  <c r="T3697" i="3" s="1"/>
  <c r="S3698" i="3"/>
  <c r="T3698" i="3" s="1"/>
  <c r="S3699" i="3"/>
  <c r="S3700" i="3"/>
  <c r="T3700" i="3" s="1"/>
  <c r="S3701" i="3"/>
  <c r="T3701" i="3" s="1"/>
  <c r="S3702" i="3"/>
  <c r="T3702" i="3" s="1"/>
  <c r="S3703" i="3"/>
  <c r="T3703" i="3" s="1"/>
  <c r="S3704" i="3"/>
  <c r="T3704" i="3" s="1"/>
  <c r="S3705" i="3"/>
  <c r="T3705" i="3" s="1"/>
  <c r="S3706" i="3"/>
  <c r="T3706" i="3" s="1"/>
  <c r="S3707" i="3"/>
  <c r="T3707" i="3" s="1"/>
  <c r="S3708" i="3"/>
  <c r="S3709" i="3"/>
  <c r="T3709" i="3" s="1"/>
  <c r="S3710" i="3"/>
  <c r="S3711" i="3"/>
  <c r="T3711" i="3" s="1"/>
  <c r="S3712" i="3"/>
  <c r="T3712" i="3" s="1"/>
  <c r="S3713" i="3"/>
  <c r="T3713" i="3" s="1"/>
  <c r="S3714" i="3"/>
  <c r="T3714" i="3" s="1"/>
  <c r="S3715" i="3"/>
  <c r="T3715" i="3" s="1"/>
  <c r="S3716" i="3"/>
  <c r="T3716" i="3" s="1"/>
  <c r="S3717" i="3"/>
  <c r="T3717" i="3" s="1"/>
  <c r="S3718" i="3"/>
  <c r="T3718" i="3" s="1"/>
  <c r="S3719" i="3"/>
  <c r="S3720" i="3"/>
  <c r="T3720" i="3" s="1"/>
  <c r="S3721" i="3"/>
  <c r="T3721" i="3" s="1"/>
  <c r="S3722" i="3"/>
  <c r="S3723" i="3"/>
  <c r="T3723" i="3" s="1"/>
  <c r="S3724" i="3"/>
  <c r="T3724" i="3" s="1"/>
  <c r="S3725" i="3"/>
  <c r="T3725" i="3" s="1"/>
  <c r="S3726" i="3"/>
  <c r="T3726" i="3" s="1"/>
  <c r="S3727" i="3"/>
  <c r="T3727" i="3" s="1"/>
  <c r="S3728" i="3"/>
  <c r="T3728" i="3" s="1"/>
  <c r="S3729" i="3"/>
  <c r="T3729" i="3" s="1"/>
  <c r="S3730" i="3"/>
  <c r="T3730" i="3" s="1"/>
  <c r="S3731" i="3"/>
  <c r="T3731" i="3" s="1"/>
  <c r="S3732" i="3"/>
  <c r="T3732" i="3" s="1"/>
  <c r="S3733" i="3"/>
  <c r="T3733" i="3" s="1"/>
  <c r="S3734" i="3"/>
  <c r="S3735" i="3"/>
  <c r="S3736" i="3"/>
  <c r="T3736" i="3" s="1"/>
  <c r="S3737" i="3"/>
  <c r="T3737" i="3" s="1"/>
  <c r="S3738" i="3"/>
  <c r="T3738" i="3" s="1"/>
  <c r="S3739" i="3"/>
  <c r="T3739" i="3" s="1"/>
  <c r="S3740" i="3"/>
  <c r="T3740" i="3" s="1"/>
  <c r="S3741" i="3"/>
  <c r="T3741" i="3" s="1"/>
  <c r="S3742" i="3"/>
  <c r="T3742" i="3" s="1"/>
  <c r="S3743" i="3"/>
  <c r="T3743" i="3" s="1"/>
  <c r="S3744" i="3"/>
  <c r="T3744" i="3" s="1"/>
  <c r="S3745" i="3"/>
  <c r="T3745" i="3" s="1"/>
  <c r="S3746" i="3"/>
  <c r="S3747" i="3"/>
  <c r="T3747" i="3" s="1"/>
  <c r="S3748" i="3"/>
  <c r="T3748" i="3" s="1"/>
  <c r="S3749" i="3"/>
  <c r="T3749" i="3" s="1"/>
  <c r="S3750" i="3"/>
  <c r="T3750" i="3" s="1"/>
  <c r="S3751" i="3"/>
  <c r="T3751" i="3" s="1"/>
  <c r="S3752" i="3"/>
  <c r="T3752" i="3" s="1"/>
  <c r="S3753" i="3"/>
  <c r="T3753" i="3" s="1"/>
  <c r="S3754" i="3"/>
  <c r="T3754" i="3" s="1"/>
  <c r="S3755" i="3"/>
  <c r="T3755" i="3" s="1"/>
  <c r="S3756" i="3"/>
  <c r="T3756" i="3" s="1"/>
  <c r="S3757" i="3"/>
  <c r="T3757" i="3" s="1"/>
  <c r="S3758" i="3"/>
  <c r="S3759" i="3"/>
  <c r="S3760" i="3"/>
  <c r="T3760" i="3" s="1"/>
  <c r="S3761" i="3"/>
  <c r="T3761" i="3" s="1"/>
  <c r="S3762" i="3"/>
  <c r="T3762" i="3" s="1"/>
  <c r="S3763" i="3"/>
  <c r="T3763" i="3" s="1"/>
  <c r="S3764" i="3"/>
  <c r="T3764" i="3" s="1"/>
  <c r="S3765" i="3"/>
  <c r="T3765" i="3" s="1"/>
  <c r="S3766" i="3"/>
  <c r="T3766" i="3" s="1"/>
  <c r="S3767" i="3"/>
  <c r="T3767" i="3" s="1"/>
  <c r="S3768" i="3"/>
  <c r="T3768" i="3" s="1"/>
  <c r="S3769" i="3"/>
  <c r="T3769" i="3" s="1"/>
  <c r="S3770" i="3"/>
  <c r="S3771" i="3"/>
  <c r="T3771" i="3" s="1"/>
  <c r="S3772" i="3"/>
  <c r="S3773" i="3"/>
  <c r="T3773" i="3" s="1"/>
  <c r="S3774" i="3"/>
  <c r="T3774" i="3" s="1"/>
  <c r="S3775" i="3"/>
  <c r="T3775" i="3" s="1"/>
  <c r="S3776" i="3"/>
  <c r="T3776" i="3" s="1"/>
  <c r="S3777" i="3"/>
  <c r="T3777" i="3" s="1"/>
  <c r="S3778" i="3"/>
  <c r="T3778" i="3" s="1"/>
  <c r="S3779" i="3"/>
  <c r="S3780" i="3"/>
  <c r="T3780" i="3" s="1"/>
  <c r="S3781" i="3"/>
  <c r="T3781" i="3" s="1"/>
  <c r="S3782" i="3"/>
  <c r="T3782" i="3" s="1"/>
  <c r="S3783" i="3"/>
  <c r="T3783" i="3" s="1"/>
  <c r="S3784" i="3"/>
  <c r="T3784" i="3" s="1"/>
  <c r="S3785" i="3"/>
  <c r="T3785" i="3" s="1"/>
  <c r="S3786" i="3"/>
  <c r="T3786" i="3" s="1"/>
  <c r="S3787" i="3"/>
  <c r="S3788" i="3"/>
  <c r="T3788" i="3" s="1"/>
  <c r="S3789" i="3"/>
  <c r="T3789" i="3" s="1"/>
  <c r="S3790" i="3"/>
  <c r="S3791" i="3"/>
  <c r="T3791" i="3" s="1"/>
  <c r="S3792" i="3"/>
  <c r="T3792" i="3" s="1"/>
  <c r="S3793" i="3"/>
  <c r="T3793" i="3" s="1"/>
  <c r="S3794" i="3"/>
  <c r="T3794" i="3" s="1"/>
  <c r="S3795" i="3"/>
  <c r="T3795" i="3" s="1"/>
  <c r="S3796" i="3"/>
  <c r="T3796" i="3" s="1"/>
  <c r="S3797" i="3"/>
  <c r="T3797" i="3" s="1"/>
  <c r="S3798" i="3"/>
  <c r="T3798" i="3" s="1"/>
  <c r="S3799" i="3"/>
  <c r="T3799" i="3" s="1"/>
  <c r="S3800" i="3"/>
  <c r="T3800" i="3" s="1"/>
  <c r="S3801" i="3"/>
  <c r="T3801" i="3" s="1"/>
  <c r="S3802" i="3"/>
  <c r="T3802" i="3" s="1"/>
  <c r="S3803" i="3"/>
  <c r="T3803" i="3" s="1"/>
  <c r="S3804" i="3"/>
  <c r="T3804" i="3" s="1"/>
  <c r="S3805" i="3"/>
  <c r="T3805" i="3" s="1"/>
  <c r="S3806" i="3"/>
  <c r="S3807" i="3"/>
  <c r="T3807" i="3" s="1"/>
  <c r="S3808" i="3"/>
  <c r="T3808" i="3" s="1"/>
  <c r="S3809" i="3"/>
  <c r="T3809" i="3" s="1"/>
  <c r="S3810" i="3"/>
  <c r="T3810" i="3" s="1"/>
  <c r="S3811" i="3"/>
  <c r="S3812" i="3"/>
  <c r="T3812" i="3" s="1"/>
  <c r="S3813" i="3"/>
  <c r="T3813" i="3" s="1"/>
  <c r="S3814" i="3"/>
  <c r="T3814" i="3" s="1"/>
  <c r="S3815" i="3"/>
  <c r="T3815" i="3" s="1"/>
  <c r="S3816" i="3"/>
  <c r="T3816" i="3" s="1"/>
  <c r="S3817" i="3"/>
  <c r="T3817" i="3" s="1"/>
  <c r="S3818" i="3"/>
  <c r="S3819" i="3"/>
  <c r="T3819" i="3" s="1"/>
  <c r="S3820" i="3"/>
  <c r="T3820" i="3" s="1"/>
  <c r="S3821" i="3"/>
  <c r="T3821" i="3" s="1"/>
  <c r="S3822" i="3"/>
  <c r="T3822" i="3" s="1"/>
  <c r="S3823" i="3"/>
  <c r="T3823" i="3" s="1"/>
  <c r="S3824" i="3"/>
  <c r="T3824" i="3" s="1"/>
  <c r="S3825" i="3"/>
  <c r="T3825" i="3" s="1"/>
  <c r="S3826" i="3"/>
  <c r="T3826" i="3" s="1"/>
  <c r="S3827" i="3"/>
  <c r="S3828" i="3"/>
  <c r="T3828" i="3" s="1"/>
  <c r="S3829" i="3"/>
  <c r="T3829" i="3" s="1"/>
  <c r="S3830" i="3"/>
  <c r="S3831" i="3"/>
  <c r="T3831" i="3" s="1"/>
  <c r="S3832" i="3"/>
  <c r="T3832" i="3" s="1"/>
  <c r="S3833" i="3"/>
  <c r="T3833" i="3" s="1"/>
  <c r="S3834" i="3"/>
  <c r="T3834" i="3" s="1"/>
  <c r="S3835" i="3"/>
  <c r="T3835" i="3" s="1"/>
  <c r="S3836" i="3"/>
  <c r="T3836" i="3" s="1"/>
  <c r="S3837" i="3"/>
  <c r="T3837" i="3" s="1"/>
  <c r="S3838" i="3"/>
  <c r="T3838" i="3" s="1"/>
  <c r="S3839" i="3"/>
  <c r="T3839" i="3" s="1"/>
  <c r="S3840" i="3"/>
  <c r="T3840" i="3" s="1"/>
  <c r="S3841" i="3"/>
  <c r="T3841" i="3" s="1"/>
  <c r="S3842" i="3"/>
  <c r="T3842" i="3" s="1"/>
  <c r="S3843" i="3"/>
  <c r="T3843" i="3" s="1"/>
  <c r="S3844" i="3"/>
  <c r="T3844" i="3" s="1"/>
  <c r="S3845" i="3"/>
  <c r="T3845" i="3" s="1"/>
  <c r="S3846" i="3"/>
  <c r="S3847" i="3"/>
  <c r="S3848" i="3"/>
  <c r="T3848" i="3" s="1"/>
  <c r="S3849" i="3"/>
  <c r="T3849" i="3" s="1"/>
  <c r="S3850" i="3"/>
  <c r="T3850" i="3" s="1"/>
  <c r="S3851" i="3"/>
  <c r="T3851" i="3" s="1"/>
  <c r="S3852" i="3"/>
  <c r="T3852" i="3" s="1"/>
  <c r="S3853" i="3"/>
  <c r="T3853" i="3" s="1"/>
  <c r="S3854" i="3"/>
  <c r="T3854" i="3" s="1"/>
  <c r="S3855" i="3"/>
  <c r="S3856" i="3"/>
  <c r="T3856" i="3" s="1"/>
  <c r="S3857" i="3"/>
  <c r="T3857" i="3" s="1"/>
  <c r="S3858" i="3"/>
  <c r="T3858" i="3" s="1"/>
  <c r="S3859" i="3"/>
  <c r="T3859" i="3" s="1"/>
  <c r="S3860" i="3"/>
  <c r="T3860" i="3" s="1"/>
  <c r="S3861" i="3"/>
  <c r="T3861" i="3" s="1"/>
  <c r="S3862" i="3"/>
  <c r="T3862" i="3" s="1"/>
  <c r="S3863" i="3"/>
  <c r="T3863" i="3" s="1"/>
  <c r="S3864" i="3"/>
  <c r="T3864" i="3" s="1"/>
  <c r="S3865" i="3"/>
  <c r="T3865" i="3" s="1"/>
  <c r="S3866" i="3"/>
  <c r="S3867" i="3"/>
  <c r="T3867" i="3" s="1"/>
  <c r="S3868" i="3"/>
  <c r="T3868" i="3" s="1"/>
  <c r="S3869" i="3"/>
  <c r="T3869" i="3" s="1"/>
  <c r="S3870" i="3"/>
  <c r="T3870" i="3" s="1"/>
  <c r="S3871" i="3"/>
  <c r="T3871" i="3" s="1"/>
  <c r="S3872" i="3"/>
  <c r="T3872" i="3" s="1"/>
  <c r="S3873" i="3"/>
  <c r="T3873" i="3" s="1"/>
  <c r="S3874" i="3"/>
  <c r="T3874" i="3" s="1"/>
  <c r="S3875" i="3"/>
  <c r="T3875" i="3" s="1"/>
  <c r="S3876" i="3"/>
  <c r="T3876" i="3" s="1"/>
  <c r="S3877" i="3"/>
  <c r="T3877" i="3" s="1"/>
  <c r="S3878" i="3"/>
  <c r="T3878" i="3" s="1"/>
  <c r="S3879" i="3"/>
  <c r="S3880" i="3"/>
  <c r="T3880" i="3" s="1"/>
  <c r="S3881" i="3"/>
  <c r="T3881" i="3" s="1"/>
  <c r="S3882" i="3"/>
  <c r="T3882" i="3" s="1"/>
  <c r="S3883" i="3"/>
  <c r="T3883" i="3" s="1"/>
  <c r="S3884" i="3"/>
  <c r="T3884" i="3" s="1"/>
  <c r="S3885" i="3"/>
  <c r="T3885" i="3" s="1"/>
  <c r="S3886" i="3"/>
  <c r="T3886" i="3" s="1"/>
  <c r="S3887" i="3"/>
  <c r="S3888" i="3"/>
  <c r="T3888" i="3" s="1"/>
  <c r="S3889" i="3"/>
  <c r="T3889" i="3" s="1"/>
  <c r="S3890" i="3"/>
  <c r="S3891" i="3"/>
  <c r="T3891" i="3" s="1"/>
  <c r="S3892" i="3"/>
  <c r="T3892" i="3" s="1"/>
  <c r="S3893" i="3"/>
  <c r="T3893" i="3" s="1"/>
  <c r="S3894" i="3"/>
  <c r="T3894" i="3" s="1"/>
  <c r="S3895" i="3"/>
  <c r="T3895" i="3" s="1"/>
  <c r="S3896" i="3"/>
  <c r="T3896" i="3" s="1"/>
  <c r="S3897" i="3"/>
  <c r="T3897" i="3" s="1"/>
  <c r="S3898" i="3"/>
  <c r="T3898" i="3" s="1"/>
  <c r="S3899" i="3"/>
  <c r="T3899" i="3" s="1"/>
  <c r="S3900" i="3"/>
  <c r="T3900" i="3" s="1"/>
  <c r="S3901" i="3"/>
  <c r="T3901" i="3" s="1"/>
  <c r="S3902" i="3"/>
  <c r="T3902" i="3" s="1"/>
  <c r="S3903" i="3"/>
  <c r="T3903" i="3" s="1"/>
  <c r="S3904" i="3"/>
  <c r="T3904" i="3" s="1"/>
  <c r="S3905" i="3"/>
  <c r="T3905" i="3" s="1"/>
  <c r="S3906" i="3"/>
  <c r="S3907" i="3"/>
  <c r="T3907" i="3" s="1"/>
  <c r="S3908" i="3"/>
  <c r="T3908" i="3" s="1"/>
  <c r="S3909" i="3"/>
  <c r="T3909" i="3" s="1"/>
  <c r="S3910" i="3"/>
  <c r="T3910" i="3" s="1"/>
  <c r="S3911" i="3"/>
  <c r="T3911" i="3" s="1"/>
  <c r="S3912" i="3"/>
  <c r="T3912" i="3" s="1"/>
  <c r="S3913" i="3"/>
  <c r="T3913" i="3" s="1"/>
  <c r="S3914" i="3"/>
  <c r="T3914" i="3" s="1"/>
  <c r="S3915" i="3"/>
  <c r="T3915" i="3" s="1"/>
  <c r="S3916" i="3"/>
  <c r="T3916" i="3" s="1"/>
  <c r="S3917" i="3"/>
  <c r="T3917" i="3" s="1"/>
  <c r="S3918" i="3"/>
  <c r="T3918" i="3" s="1"/>
  <c r="S3919" i="3"/>
  <c r="T3919" i="3" s="1"/>
  <c r="S3920" i="3"/>
  <c r="T3920" i="3" s="1"/>
  <c r="S3921" i="3"/>
  <c r="T3921" i="3" s="1"/>
  <c r="S3922" i="3"/>
  <c r="S3923" i="3"/>
  <c r="T3923" i="3" s="1"/>
  <c r="S3924" i="3"/>
  <c r="T3924" i="3" s="1"/>
  <c r="S3925" i="3"/>
  <c r="T3925" i="3" s="1"/>
  <c r="S3926" i="3"/>
  <c r="T3926" i="3" s="1"/>
  <c r="S3927" i="3"/>
  <c r="T3927" i="3" s="1"/>
  <c r="S3928" i="3"/>
  <c r="T3928" i="3" s="1"/>
  <c r="S3929" i="3"/>
  <c r="T3929" i="3" s="1"/>
  <c r="S3930" i="3"/>
  <c r="T3930" i="3" s="1"/>
  <c r="S3931" i="3"/>
  <c r="T3931" i="3" s="1"/>
  <c r="S3932" i="3"/>
  <c r="T3932" i="3" s="1"/>
  <c r="S3933" i="3"/>
  <c r="T3933" i="3" s="1"/>
  <c r="S3934" i="3"/>
  <c r="T3934" i="3" s="1"/>
  <c r="S3935" i="3"/>
  <c r="T3935" i="3" s="1"/>
  <c r="S3936" i="3"/>
  <c r="T3936" i="3" s="1"/>
  <c r="S3937" i="3"/>
  <c r="T3937" i="3" s="1"/>
  <c r="S3938" i="3"/>
  <c r="S3939" i="3"/>
  <c r="T3939" i="3" s="1"/>
  <c r="S3940" i="3"/>
  <c r="T3940" i="3" s="1"/>
  <c r="S3941" i="3"/>
  <c r="T3941" i="3" s="1"/>
  <c r="S3942" i="3"/>
  <c r="T3942" i="3" s="1"/>
  <c r="S3943" i="3"/>
  <c r="T3943" i="3" s="1"/>
  <c r="S3944" i="3"/>
  <c r="T3944" i="3" s="1"/>
  <c r="S3945" i="3"/>
  <c r="T3945" i="3" s="1"/>
  <c r="S3946" i="3"/>
  <c r="T3946" i="3" s="1"/>
  <c r="S3947" i="3"/>
  <c r="T3947" i="3" s="1"/>
  <c r="S3948" i="3"/>
  <c r="T3948" i="3" s="1"/>
  <c r="S3949" i="3"/>
  <c r="T3949" i="3" s="1"/>
  <c r="S3950" i="3"/>
  <c r="S3951" i="3"/>
  <c r="T3951" i="3" s="1"/>
  <c r="S3952" i="3"/>
  <c r="T3952" i="3" s="1"/>
  <c r="S3953" i="3"/>
  <c r="T3953" i="3" s="1"/>
  <c r="S3954" i="3"/>
  <c r="T3954" i="3" s="1"/>
  <c r="S3955" i="3"/>
  <c r="T3955" i="3" s="1"/>
  <c r="S3956" i="3"/>
  <c r="T3956" i="3" s="1"/>
  <c r="S3957" i="3"/>
  <c r="T3957" i="3" s="1"/>
  <c r="S3958" i="3"/>
  <c r="T3958" i="3" s="1"/>
  <c r="S3959" i="3"/>
  <c r="T3959" i="3" s="1"/>
  <c r="S3960" i="3"/>
  <c r="T3960" i="3" s="1"/>
  <c r="S3961" i="3"/>
  <c r="T3961" i="3" s="1"/>
  <c r="S3962" i="3"/>
  <c r="T3962" i="3" s="1"/>
  <c r="S3963" i="3"/>
  <c r="T3963" i="3" s="1"/>
  <c r="S3964" i="3"/>
  <c r="T3964" i="3" s="1"/>
  <c r="S3965" i="3"/>
  <c r="T3965" i="3" s="1"/>
  <c r="S3966" i="3"/>
  <c r="S3967" i="3"/>
  <c r="T3967" i="3" s="1"/>
  <c r="S3968" i="3"/>
  <c r="T3968" i="3" s="1"/>
  <c r="S3969" i="3"/>
  <c r="T3969" i="3" s="1"/>
  <c r="S3970" i="3"/>
  <c r="T3970" i="3" s="1"/>
  <c r="S3971" i="3"/>
  <c r="T3971" i="3" s="1"/>
  <c r="S3972" i="3"/>
  <c r="T3972" i="3" s="1"/>
  <c r="S3973" i="3"/>
  <c r="T3973" i="3" s="1"/>
  <c r="S3974" i="3"/>
  <c r="T3974" i="3" s="1"/>
  <c r="S3975" i="3"/>
  <c r="T3975" i="3" s="1"/>
  <c r="S3976" i="3"/>
  <c r="T3976" i="3" s="1"/>
  <c r="S3977" i="3"/>
  <c r="T3977" i="3" s="1"/>
  <c r="S3978" i="3"/>
  <c r="T3978" i="3" s="1"/>
  <c r="S3979" i="3"/>
  <c r="T3979" i="3" s="1"/>
  <c r="S3980" i="3"/>
  <c r="T3980" i="3" s="1"/>
  <c r="S3981" i="3"/>
  <c r="T3981" i="3" s="1"/>
  <c r="S3982" i="3"/>
  <c r="S3983" i="3"/>
  <c r="T3983" i="3" s="1"/>
  <c r="S3984" i="3"/>
  <c r="T3984" i="3" s="1"/>
  <c r="S3985" i="3"/>
  <c r="T3985" i="3" s="1"/>
  <c r="S3986" i="3"/>
  <c r="T3986" i="3" s="1"/>
  <c r="S3987" i="3"/>
  <c r="T3987" i="3" s="1"/>
  <c r="S3988" i="3"/>
  <c r="T3988" i="3" s="1"/>
  <c r="S3989" i="3"/>
  <c r="T3989" i="3" s="1"/>
  <c r="S3990" i="3"/>
  <c r="T3990" i="3" s="1"/>
  <c r="S3991" i="3"/>
  <c r="T3991" i="3" s="1"/>
  <c r="S3992" i="3"/>
  <c r="T3992" i="3" s="1"/>
  <c r="S3993" i="3"/>
  <c r="T3993" i="3" s="1"/>
  <c r="S3994" i="3"/>
  <c r="T3994" i="3" s="1"/>
  <c r="S3995" i="3"/>
  <c r="T3995" i="3" s="1"/>
  <c r="S3996" i="3"/>
  <c r="T3996" i="3" s="1"/>
  <c r="S3997" i="3"/>
  <c r="T3997" i="3" s="1"/>
  <c r="S3998" i="3"/>
  <c r="S3999" i="3"/>
  <c r="T3999" i="3" s="1"/>
  <c r="S4000" i="3"/>
  <c r="T4000" i="3" s="1"/>
  <c r="S4001" i="3"/>
  <c r="T4001" i="3" s="1"/>
  <c r="S4002" i="3"/>
  <c r="T4002" i="3" s="1"/>
  <c r="S4003" i="3"/>
  <c r="S4004" i="3"/>
  <c r="T4004" i="3" s="1"/>
  <c r="S4005" i="3"/>
  <c r="T4005" i="3" s="1"/>
  <c r="S4006" i="3"/>
  <c r="T4006" i="3" s="1"/>
  <c r="S4007" i="3"/>
  <c r="T4007" i="3" s="1"/>
  <c r="S4008" i="3"/>
  <c r="T4008" i="3" s="1"/>
  <c r="S4009" i="3"/>
  <c r="T4009" i="3" s="1"/>
  <c r="S4010" i="3"/>
  <c r="S4011" i="3"/>
  <c r="T4011" i="3" s="1"/>
  <c r="S4012" i="3"/>
  <c r="T4012" i="3" s="1"/>
  <c r="S4013" i="3"/>
  <c r="T4013" i="3" s="1"/>
  <c r="S4014" i="3"/>
  <c r="T4014" i="3" s="1"/>
  <c r="S4015" i="3"/>
  <c r="T4015" i="3" s="1"/>
  <c r="S4016" i="3"/>
  <c r="T4016" i="3" s="1"/>
  <c r="S4017" i="3"/>
  <c r="T4017" i="3" s="1"/>
  <c r="S4018" i="3"/>
  <c r="T4018" i="3" s="1"/>
  <c r="S4019" i="3"/>
  <c r="T4019" i="3" s="1"/>
  <c r="S4020" i="3"/>
  <c r="T4020" i="3" s="1"/>
  <c r="S4021" i="3"/>
  <c r="T4021" i="3" s="1"/>
  <c r="S4022" i="3"/>
  <c r="S4023" i="3"/>
  <c r="T4023" i="3" s="1"/>
  <c r="S4024" i="3"/>
  <c r="T4024" i="3" s="1"/>
  <c r="S4025" i="3"/>
  <c r="T4025" i="3" s="1"/>
  <c r="S4026" i="3"/>
  <c r="T4026" i="3" s="1"/>
  <c r="S4027" i="3"/>
  <c r="S4028" i="3"/>
  <c r="T4028" i="3" s="1"/>
  <c r="S4029" i="3"/>
  <c r="T4029" i="3" s="1"/>
  <c r="S4030" i="3"/>
  <c r="T4030" i="3" s="1"/>
  <c r="S4031" i="3"/>
  <c r="T4031" i="3" s="1"/>
  <c r="S4032" i="3"/>
  <c r="T4032" i="3" s="1"/>
  <c r="S4033" i="3"/>
  <c r="T4033" i="3" s="1"/>
  <c r="S4034" i="3"/>
  <c r="S4035" i="3"/>
  <c r="T4035" i="3" s="1"/>
  <c r="S4036" i="3"/>
  <c r="T4036" i="3" s="1"/>
  <c r="S4037" i="3"/>
  <c r="T4037" i="3" s="1"/>
  <c r="S4038" i="3"/>
  <c r="T4038" i="3" s="1"/>
  <c r="S4039" i="3"/>
  <c r="T4039" i="3" s="1"/>
  <c r="S4040" i="3"/>
  <c r="T4040" i="3" s="1"/>
  <c r="S4041" i="3"/>
  <c r="T4041" i="3" s="1"/>
  <c r="S4042" i="3"/>
  <c r="T4042" i="3" s="1"/>
  <c r="S4043" i="3"/>
  <c r="T4043" i="3" s="1"/>
  <c r="S4044" i="3"/>
  <c r="T4044" i="3" s="1"/>
  <c r="S4045" i="3"/>
  <c r="T4045" i="3" s="1"/>
  <c r="S4046" i="3"/>
  <c r="S4047" i="3"/>
  <c r="S4048" i="3"/>
  <c r="T4048" i="3" s="1"/>
  <c r="S4049" i="3"/>
  <c r="T4049" i="3" s="1"/>
  <c r="S4050" i="3"/>
  <c r="T4050" i="3" s="1"/>
  <c r="S4051" i="3"/>
  <c r="T4051" i="3" s="1"/>
  <c r="S4052" i="3"/>
  <c r="T4052" i="3" s="1"/>
  <c r="S4053" i="3"/>
  <c r="T4053" i="3" s="1"/>
  <c r="S4054" i="3"/>
  <c r="T4054" i="3" s="1"/>
  <c r="S4055" i="3"/>
  <c r="T4055" i="3" s="1"/>
  <c r="S4056" i="3"/>
  <c r="T4056" i="3" s="1"/>
  <c r="S4057" i="3"/>
  <c r="T4057" i="3" s="1"/>
  <c r="S4058" i="3"/>
  <c r="S4059" i="3"/>
  <c r="T4059" i="3" s="1"/>
  <c r="S4060" i="3"/>
  <c r="T4060" i="3" s="1"/>
  <c r="S4061" i="3"/>
  <c r="T4061" i="3" s="1"/>
  <c r="S4062" i="3"/>
  <c r="T4062" i="3" s="1"/>
  <c r="S4063" i="3"/>
  <c r="T4063" i="3" s="1"/>
  <c r="S4064" i="3"/>
  <c r="T4064" i="3" s="1"/>
  <c r="S4065" i="3"/>
  <c r="T4065" i="3" s="1"/>
  <c r="S4066" i="3"/>
  <c r="T4066" i="3" s="1"/>
  <c r="S4067" i="3"/>
  <c r="T4067" i="3" s="1"/>
  <c r="S4068" i="3"/>
  <c r="T4068" i="3" s="1"/>
  <c r="S4069" i="3"/>
  <c r="T4069" i="3" s="1"/>
  <c r="S4070" i="3"/>
  <c r="T4070" i="3" s="1"/>
  <c r="S4071" i="3"/>
  <c r="T4071" i="3" s="1"/>
  <c r="S4072" i="3"/>
  <c r="T4072" i="3" s="1"/>
  <c r="S4073" i="3"/>
  <c r="T4073" i="3" s="1"/>
  <c r="S4074" i="3"/>
  <c r="S4075" i="3"/>
  <c r="T4075" i="3" s="1"/>
  <c r="S4076" i="3"/>
  <c r="T4076" i="3" s="1"/>
  <c r="S4077" i="3"/>
  <c r="T4077" i="3" s="1"/>
  <c r="S4078" i="3"/>
  <c r="T4078" i="3" s="1"/>
  <c r="S4079" i="3"/>
  <c r="T4079" i="3" s="1"/>
  <c r="S4080" i="3"/>
  <c r="T4080" i="3" s="1"/>
  <c r="S4081" i="3"/>
  <c r="T4081" i="3" s="1"/>
  <c r="S4082" i="3"/>
  <c r="T4082" i="3" s="1"/>
  <c r="S4083" i="3"/>
  <c r="T4083" i="3" s="1"/>
  <c r="S4084" i="3"/>
  <c r="T4084" i="3" s="1"/>
  <c r="S4085" i="3"/>
  <c r="T4085" i="3" s="1"/>
  <c r="S4086" i="3"/>
  <c r="T4086" i="3" s="1"/>
  <c r="S4087" i="3"/>
  <c r="T4087" i="3" s="1"/>
  <c r="S4088" i="3"/>
  <c r="T4088" i="3" s="1"/>
  <c r="S4089" i="3"/>
  <c r="T4089" i="3" s="1"/>
  <c r="S4090" i="3"/>
  <c r="S4091" i="3"/>
  <c r="T4091" i="3" s="1"/>
  <c r="S4092" i="3"/>
  <c r="T4092" i="3" s="1"/>
  <c r="S4093" i="3"/>
  <c r="T4093" i="3" s="1"/>
  <c r="S4094" i="3"/>
  <c r="T4094" i="3" s="1"/>
  <c r="S4095" i="3"/>
  <c r="T4095" i="3" s="1"/>
  <c r="S4096" i="3"/>
  <c r="T4096" i="3" s="1"/>
  <c r="S4097" i="3"/>
  <c r="T4097" i="3" s="1"/>
  <c r="S4098" i="3"/>
  <c r="T4098" i="3" s="1"/>
  <c r="S4099" i="3"/>
  <c r="T4099" i="3" s="1"/>
  <c r="S4100" i="3"/>
  <c r="T4100" i="3" s="1"/>
  <c r="S4101" i="3"/>
  <c r="T4101" i="3" s="1"/>
  <c r="S4102" i="3"/>
  <c r="T4102" i="3" s="1"/>
  <c r="S4103" i="3"/>
  <c r="T4103" i="3" s="1"/>
  <c r="S4104" i="3"/>
  <c r="T4104" i="3" s="1"/>
  <c r="S4105" i="3"/>
  <c r="T4105" i="3" s="1"/>
  <c r="S4106" i="3"/>
  <c r="S4107" i="3"/>
  <c r="T4107" i="3" s="1"/>
  <c r="S4108" i="3"/>
  <c r="T4108" i="3" s="1"/>
  <c r="S4109" i="3"/>
  <c r="T4109" i="3" s="1"/>
  <c r="S4110" i="3"/>
  <c r="T4110" i="3" s="1"/>
  <c r="S4111" i="3"/>
  <c r="T4111" i="3" s="1"/>
  <c r="S4112" i="3"/>
  <c r="T4112" i="3" s="1"/>
  <c r="S4113" i="3"/>
  <c r="T4113" i="3" s="1"/>
  <c r="S4114" i="3"/>
  <c r="T4114" i="3" s="1"/>
  <c r="S4115" i="3"/>
  <c r="T4115" i="3" s="1"/>
  <c r="S4116" i="3"/>
  <c r="T4116" i="3" s="1"/>
  <c r="S4117" i="3"/>
  <c r="T4117" i="3" s="1"/>
  <c r="S4118" i="3"/>
  <c r="T4118" i="3" s="1"/>
  <c r="S4119" i="3"/>
  <c r="T4119" i="3" s="1"/>
  <c r="S4120" i="3"/>
  <c r="T4120" i="3" s="1"/>
  <c r="S4121" i="3"/>
  <c r="T4121" i="3" s="1"/>
  <c r="S4122" i="3"/>
  <c r="S4123" i="3"/>
  <c r="T4123" i="3" s="1"/>
  <c r="S4124" i="3"/>
  <c r="T4124" i="3" s="1"/>
  <c r="S4125" i="3"/>
  <c r="T4125" i="3" s="1"/>
  <c r="S4126" i="3"/>
  <c r="T4126" i="3" s="1"/>
  <c r="S4127" i="3"/>
  <c r="T4127" i="3" s="1"/>
  <c r="S4128" i="3"/>
  <c r="T4128" i="3" s="1"/>
  <c r="S4129" i="3"/>
  <c r="T4129" i="3" s="1"/>
  <c r="S4130" i="3"/>
  <c r="T4130" i="3" s="1"/>
  <c r="S4131" i="3"/>
  <c r="T4131" i="3" s="1"/>
  <c r="S4132" i="3"/>
  <c r="T4132" i="3" s="1"/>
  <c r="S4133" i="3"/>
  <c r="T4133" i="3" s="1"/>
  <c r="S4134" i="3"/>
  <c r="T4134" i="3" s="1"/>
  <c r="S4135" i="3"/>
  <c r="T4135" i="3" s="1"/>
  <c r="S4136" i="3"/>
  <c r="T4136" i="3" s="1"/>
  <c r="S4137" i="3"/>
  <c r="T4137" i="3" s="1"/>
  <c r="S4138" i="3"/>
  <c r="S4139" i="3"/>
  <c r="T4139" i="3" s="1"/>
  <c r="S4140" i="3"/>
  <c r="T4140" i="3" s="1"/>
  <c r="S4141" i="3"/>
  <c r="T4141" i="3" s="1"/>
  <c r="S4142" i="3"/>
  <c r="T4142" i="3" s="1"/>
  <c r="S4143" i="3"/>
  <c r="T4143" i="3" s="1"/>
  <c r="S4144" i="3"/>
  <c r="T4144" i="3" s="1"/>
  <c r="S4145" i="3"/>
  <c r="T4145" i="3" s="1"/>
  <c r="S4146" i="3"/>
  <c r="T4146" i="3" s="1"/>
  <c r="S4147" i="3"/>
  <c r="T4147" i="3" s="1"/>
  <c r="S4148" i="3"/>
  <c r="T4148" i="3" s="1"/>
  <c r="S4149" i="3"/>
  <c r="T4149" i="3" s="1"/>
  <c r="S4150" i="3"/>
  <c r="T4150" i="3" s="1"/>
  <c r="S4151" i="3"/>
  <c r="T4151" i="3" s="1"/>
  <c r="S4152" i="3"/>
  <c r="T4152" i="3" s="1"/>
  <c r="S4153" i="3"/>
  <c r="T4153" i="3" s="1"/>
  <c r="S4154" i="3"/>
  <c r="S4155" i="3"/>
  <c r="T4155" i="3" s="1"/>
  <c r="S4156" i="3"/>
  <c r="T4156" i="3" s="1"/>
  <c r="S4157" i="3"/>
  <c r="T4157" i="3" s="1"/>
  <c r="S4158" i="3"/>
  <c r="T4158" i="3" s="1"/>
  <c r="S4159" i="3"/>
  <c r="T4159" i="3" s="1"/>
  <c r="S4160" i="3"/>
  <c r="T4160" i="3" s="1"/>
  <c r="S4161" i="3"/>
  <c r="T4161" i="3" s="1"/>
  <c r="S4162" i="3"/>
  <c r="T4162" i="3" s="1"/>
  <c r="S4163" i="3"/>
  <c r="T4163" i="3" s="1"/>
  <c r="S4164" i="3"/>
  <c r="T4164" i="3" s="1"/>
  <c r="S4165" i="3"/>
  <c r="T4165" i="3" s="1"/>
  <c r="S4166" i="3"/>
  <c r="T4166" i="3" s="1"/>
  <c r="S4167" i="3"/>
  <c r="T4167" i="3" s="1"/>
  <c r="S4168" i="3"/>
  <c r="T4168" i="3" s="1"/>
  <c r="S4169" i="3"/>
  <c r="T4169" i="3" s="1"/>
  <c r="S4170" i="3"/>
  <c r="S4171" i="3"/>
  <c r="T4171" i="3" s="1"/>
  <c r="S4172" i="3"/>
  <c r="T4172" i="3" s="1"/>
  <c r="S4173" i="3"/>
  <c r="T4173" i="3" s="1"/>
  <c r="S4174" i="3"/>
  <c r="T4174" i="3" s="1"/>
  <c r="S4175" i="3"/>
  <c r="T4175" i="3" s="1"/>
  <c r="S4176" i="3"/>
  <c r="T4176" i="3" s="1"/>
  <c r="S4177" i="3"/>
  <c r="T4177" i="3" s="1"/>
  <c r="S4178" i="3"/>
  <c r="T4178" i="3" s="1"/>
  <c r="S4179" i="3"/>
  <c r="T4179" i="3" s="1"/>
  <c r="S4180" i="3"/>
  <c r="T4180" i="3" s="1"/>
  <c r="S4181" i="3"/>
  <c r="T4181" i="3" s="1"/>
  <c r="S4182" i="3"/>
  <c r="T4182" i="3" s="1"/>
  <c r="S4183" i="3"/>
  <c r="T4183" i="3" s="1"/>
  <c r="S4184" i="3"/>
  <c r="T4184" i="3" s="1"/>
  <c r="S4185" i="3"/>
  <c r="T4185" i="3" s="1"/>
  <c r="S4186" i="3"/>
  <c r="S4187" i="3"/>
  <c r="T4187" i="3" s="1"/>
  <c r="S4188" i="3"/>
  <c r="T4188" i="3" s="1"/>
  <c r="S4189" i="3"/>
  <c r="T4189" i="3" s="1"/>
  <c r="S4190" i="3"/>
  <c r="T4190" i="3" s="1"/>
  <c r="S4191" i="3"/>
  <c r="T4191" i="3" s="1"/>
  <c r="S4192" i="3"/>
  <c r="T4192" i="3" s="1"/>
  <c r="S4193" i="3"/>
  <c r="T4193" i="3" s="1"/>
  <c r="S4194" i="3"/>
  <c r="T4194" i="3" s="1"/>
  <c r="S4195" i="3"/>
  <c r="T4195" i="3" s="1"/>
  <c r="S4196" i="3"/>
  <c r="T4196" i="3" s="1"/>
  <c r="S4197" i="3"/>
  <c r="T4197" i="3" s="1"/>
  <c r="S4198" i="3"/>
  <c r="T4198" i="3" s="1"/>
  <c r="S4199" i="3"/>
  <c r="T4199" i="3" s="1"/>
  <c r="S4200" i="3"/>
  <c r="T4200" i="3" s="1"/>
  <c r="S4201" i="3"/>
  <c r="T4201" i="3" s="1"/>
  <c r="S4202" i="3"/>
  <c r="S4203" i="3"/>
  <c r="T4203" i="3" s="1"/>
  <c r="S4204" i="3"/>
  <c r="T4204" i="3" s="1"/>
  <c r="S4205" i="3"/>
  <c r="T4205" i="3" s="1"/>
  <c r="S4206" i="3"/>
  <c r="T4206" i="3" s="1"/>
  <c r="S4207" i="3"/>
  <c r="T4207" i="3" s="1"/>
  <c r="S4208" i="3"/>
  <c r="T4208" i="3" s="1"/>
  <c r="S4209" i="3"/>
  <c r="T4209" i="3" s="1"/>
  <c r="S4210" i="3"/>
  <c r="T4210" i="3" s="1"/>
  <c r="S4211" i="3"/>
  <c r="T4211" i="3" s="1"/>
  <c r="S4212" i="3"/>
  <c r="T4212" i="3" s="1"/>
  <c r="S4213" i="3"/>
  <c r="T4213" i="3" s="1"/>
  <c r="S4214" i="3"/>
  <c r="S4215" i="3"/>
  <c r="T4215" i="3" s="1"/>
  <c r="S4216" i="3"/>
  <c r="T4216" i="3" s="1"/>
  <c r="S4217" i="3"/>
  <c r="T4217" i="3" s="1"/>
  <c r="S4218" i="3"/>
  <c r="T4218" i="3" s="1"/>
  <c r="S4219" i="3"/>
  <c r="T4219" i="3" s="1"/>
  <c r="S4220" i="3"/>
  <c r="T4220" i="3" s="1"/>
  <c r="S4221" i="3"/>
  <c r="T4221" i="3" s="1"/>
  <c r="S4222" i="3"/>
  <c r="T4222" i="3" s="1"/>
  <c r="S4223" i="3"/>
  <c r="T4223" i="3" s="1"/>
  <c r="S4224" i="3"/>
  <c r="T4224" i="3" s="1"/>
  <c r="S4225" i="3"/>
  <c r="T4225" i="3" s="1"/>
  <c r="S4226" i="3"/>
  <c r="T4226" i="3" s="1"/>
  <c r="S4227" i="3"/>
  <c r="T4227" i="3" s="1"/>
  <c r="S4228" i="3"/>
  <c r="T4228" i="3" s="1"/>
  <c r="S4229" i="3"/>
  <c r="T4229" i="3" s="1"/>
  <c r="S4230" i="3"/>
  <c r="S4231" i="3"/>
  <c r="T4231" i="3" s="1"/>
  <c r="S4232" i="3"/>
  <c r="T4232" i="3" s="1"/>
  <c r="S4233" i="3"/>
  <c r="T4233" i="3" s="1"/>
  <c r="S4234" i="3"/>
  <c r="T4234" i="3" s="1"/>
  <c r="S4235" i="3"/>
  <c r="T4235" i="3" s="1"/>
  <c r="S4236" i="3"/>
  <c r="T4236" i="3" s="1"/>
  <c r="S4237" i="3"/>
  <c r="T4237" i="3" s="1"/>
  <c r="S4238" i="3"/>
  <c r="T4238" i="3" s="1"/>
  <c r="S4239" i="3"/>
  <c r="T4239" i="3" s="1"/>
  <c r="S4240" i="3"/>
  <c r="T4240" i="3" s="1"/>
  <c r="S4241" i="3"/>
  <c r="T4241" i="3" s="1"/>
  <c r="S4242" i="3"/>
  <c r="S4243" i="3"/>
  <c r="T4243" i="3" s="1"/>
  <c r="S4244" i="3"/>
  <c r="T4244" i="3" s="1"/>
  <c r="S4245" i="3"/>
  <c r="T4245" i="3" s="1"/>
  <c r="S4246" i="3"/>
  <c r="T4246" i="3" s="1"/>
  <c r="S4247" i="3"/>
  <c r="T4247" i="3" s="1"/>
  <c r="S4248" i="3"/>
  <c r="T4248" i="3" s="1"/>
  <c r="S4249" i="3"/>
  <c r="T4249" i="3" s="1"/>
  <c r="S4250" i="3"/>
  <c r="T4250" i="3" s="1"/>
  <c r="S4251" i="3"/>
  <c r="T4251" i="3" s="1"/>
  <c r="S4252" i="3"/>
  <c r="T4252" i="3" s="1"/>
  <c r="S4253" i="3"/>
  <c r="T4253" i="3" s="1"/>
  <c r="S4254" i="3"/>
  <c r="T4254" i="3" s="1"/>
  <c r="S4255" i="3"/>
  <c r="T4255" i="3" s="1"/>
  <c r="S4256" i="3"/>
  <c r="T4256" i="3" s="1"/>
  <c r="S4257" i="3"/>
  <c r="T4257" i="3" s="1"/>
  <c r="S4258" i="3"/>
  <c r="S4259" i="3"/>
  <c r="T4259" i="3" s="1"/>
  <c r="S4260" i="3"/>
  <c r="T4260" i="3" s="1"/>
  <c r="S4261" i="3"/>
  <c r="T4261" i="3" s="1"/>
  <c r="S4262" i="3"/>
  <c r="T4262" i="3" s="1"/>
  <c r="S4263" i="3"/>
  <c r="T4263" i="3" s="1"/>
  <c r="S4264" i="3"/>
  <c r="T4264" i="3" s="1"/>
  <c r="S4265" i="3"/>
  <c r="T4265" i="3" s="1"/>
  <c r="S4266" i="3"/>
  <c r="T4266" i="3" s="1"/>
  <c r="S4267" i="3"/>
  <c r="T4267" i="3" s="1"/>
  <c r="S4268" i="3"/>
  <c r="T4268" i="3" s="1"/>
  <c r="S4269" i="3"/>
  <c r="T4269" i="3" s="1"/>
  <c r="S4270" i="3"/>
  <c r="T4270" i="3" s="1"/>
  <c r="S4271" i="3"/>
  <c r="T4271" i="3" s="1"/>
  <c r="S4272" i="3"/>
  <c r="T4272" i="3" s="1"/>
  <c r="S4273" i="3"/>
  <c r="T4273" i="3" s="1"/>
  <c r="S4274" i="3"/>
  <c r="S4275" i="3"/>
  <c r="T4275" i="3" s="1"/>
  <c r="S4276" i="3"/>
  <c r="T4276" i="3" s="1"/>
  <c r="S4277" i="3"/>
  <c r="T4277" i="3" s="1"/>
  <c r="S4278" i="3"/>
  <c r="T4278" i="3" s="1"/>
  <c r="S4279" i="3"/>
  <c r="T4279" i="3" s="1"/>
  <c r="S4280" i="3"/>
  <c r="T4280" i="3" s="1"/>
  <c r="S4281" i="3"/>
  <c r="T4281" i="3" s="1"/>
  <c r="S4282" i="3"/>
  <c r="T4282" i="3" s="1"/>
  <c r="S4283" i="3"/>
  <c r="T4283" i="3" s="1"/>
  <c r="S4284" i="3"/>
  <c r="T4284" i="3" s="1"/>
  <c r="S4285" i="3"/>
  <c r="T4285" i="3" s="1"/>
  <c r="S4286" i="3"/>
  <c r="T4286" i="3" s="1"/>
  <c r="S4287" i="3"/>
  <c r="T4287" i="3" s="1"/>
  <c r="S4288" i="3"/>
  <c r="T4288" i="3" s="1"/>
  <c r="S4289" i="3"/>
  <c r="T4289" i="3" s="1"/>
  <c r="S4290" i="3"/>
  <c r="S4291" i="3"/>
  <c r="T4291" i="3" s="1"/>
  <c r="S4292" i="3"/>
  <c r="T4292" i="3" s="1"/>
  <c r="S4293" i="3"/>
  <c r="T4293" i="3" s="1"/>
  <c r="S4294" i="3"/>
  <c r="T4294" i="3" s="1"/>
  <c r="S4295" i="3"/>
  <c r="T4295" i="3" s="1"/>
  <c r="S4296" i="3"/>
  <c r="T4296" i="3" s="1"/>
  <c r="S4297" i="3"/>
  <c r="T4297" i="3" s="1"/>
  <c r="S4298" i="3"/>
  <c r="T4298" i="3" s="1"/>
  <c r="S4299" i="3"/>
  <c r="T4299" i="3" s="1"/>
  <c r="S4300" i="3"/>
  <c r="T4300" i="3" s="1"/>
  <c r="S4301" i="3"/>
  <c r="T4301" i="3" s="1"/>
  <c r="S4302" i="3"/>
  <c r="T4302" i="3" s="1"/>
  <c r="S4303" i="3"/>
  <c r="T4303" i="3" s="1"/>
  <c r="S4304" i="3"/>
  <c r="T4304" i="3" s="1"/>
  <c r="S4305" i="3"/>
  <c r="T4305" i="3" s="1"/>
  <c r="S4306" i="3"/>
  <c r="S4307" i="3"/>
  <c r="T4307" i="3" s="1"/>
  <c r="S4308" i="3"/>
  <c r="T4308" i="3" s="1"/>
  <c r="S4309" i="3"/>
  <c r="T4309" i="3" s="1"/>
  <c r="S4310" i="3"/>
  <c r="T4310" i="3" s="1"/>
  <c r="S4311" i="3"/>
  <c r="T4311" i="3" s="1"/>
  <c r="S4312" i="3"/>
  <c r="T4312" i="3" s="1"/>
  <c r="S4313" i="3"/>
  <c r="T4313" i="3" s="1"/>
  <c r="S4314" i="3"/>
  <c r="T4314" i="3" s="1"/>
  <c r="S4315" i="3"/>
  <c r="T4315" i="3" s="1"/>
  <c r="S4316" i="3"/>
  <c r="T4316" i="3" s="1"/>
  <c r="S4317" i="3"/>
  <c r="T4317" i="3" s="1"/>
  <c r="S4318" i="3"/>
  <c r="T4318" i="3" s="1"/>
  <c r="S4319" i="3"/>
  <c r="T4319" i="3" s="1"/>
  <c r="S4320" i="3"/>
  <c r="T4320" i="3" s="1"/>
  <c r="S4321" i="3"/>
  <c r="T4321" i="3" s="1"/>
  <c r="S4322" i="3"/>
  <c r="S4323" i="3"/>
  <c r="T4323" i="3" s="1"/>
  <c r="S4324" i="3"/>
  <c r="T4324" i="3" s="1"/>
  <c r="S4500" i="3"/>
  <c r="T4500" i="3" s="1"/>
  <c r="S4501" i="3"/>
  <c r="T4501" i="3" s="1"/>
  <c r="S4327" i="3"/>
  <c r="T4327" i="3" s="1"/>
  <c r="S4328" i="3"/>
  <c r="T4328" i="3" s="1"/>
  <c r="S4329" i="3"/>
  <c r="T4329" i="3" s="1"/>
  <c r="S4330" i="3"/>
  <c r="T4330" i="3" s="1"/>
  <c r="S4331" i="3"/>
  <c r="T4331" i="3" s="1"/>
  <c r="S4332" i="3"/>
  <c r="T4332" i="3" s="1"/>
  <c r="S4333" i="3"/>
  <c r="T4333" i="3" s="1"/>
  <c r="S4334" i="3"/>
  <c r="T4334" i="3" s="1"/>
  <c r="S4335" i="3"/>
  <c r="T4335" i="3" s="1"/>
  <c r="S4336" i="3"/>
  <c r="T4336" i="3" s="1"/>
  <c r="S4337" i="3"/>
  <c r="T4337" i="3" s="1"/>
  <c r="S4338" i="3"/>
  <c r="S4339" i="3"/>
  <c r="T4339" i="3" s="1"/>
  <c r="S4340" i="3"/>
  <c r="T4340" i="3" s="1"/>
  <c r="S4341" i="3"/>
  <c r="T4341" i="3" s="1"/>
  <c r="S4342" i="3"/>
  <c r="T4342" i="3" s="1"/>
  <c r="S4343" i="3"/>
  <c r="T4343" i="3" s="1"/>
  <c r="S4344" i="3"/>
  <c r="T4344" i="3" s="1"/>
  <c r="S4345" i="3"/>
  <c r="T4345" i="3" s="1"/>
  <c r="S4346" i="3"/>
  <c r="T4346" i="3" s="1"/>
  <c r="S4347" i="3"/>
  <c r="T4347" i="3" s="1"/>
  <c r="S4348" i="3"/>
  <c r="T4348" i="3" s="1"/>
  <c r="S4349" i="3"/>
  <c r="T4349" i="3" s="1"/>
  <c r="S4350" i="3"/>
  <c r="T4350" i="3" s="1"/>
  <c r="S4351" i="3"/>
  <c r="T4351" i="3" s="1"/>
  <c r="S4352" i="3"/>
  <c r="T4352" i="3" s="1"/>
  <c r="S4353" i="3"/>
  <c r="T4353" i="3" s="1"/>
  <c r="S4354" i="3"/>
  <c r="S4355" i="3"/>
  <c r="T4355" i="3" s="1"/>
  <c r="S4356" i="3"/>
  <c r="T4356" i="3" s="1"/>
  <c r="S4357" i="3"/>
  <c r="T4357" i="3" s="1"/>
  <c r="S4358" i="3"/>
  <c r="T4358" i="3" s="1"/>
  <c r="S4359" i="3"/>
  <c r="T4359" i="3" s="1"/>
  <c r="S4360" i="3"/>
  <c r="T4360" i="3" s="1"/>
  <c r="S4361" i="3"/>
  <c r="T4361" i="3" s="1"/>
  <c r="S4362" i="3"/>
  <c r="T4362" i="3" s="1"/>
  <c r="S4363" i="3"/>
  <c r="T4363" i="3" s="1"/>
  <c r="S4364" i="3"/>
  <c r="T4364" i="3" s="1"/>
  <c r="S4365" i="3"/>
  <c r="T4365" i="3" s="1"/>
  <c r="S4366" i="3"/>
  <c r="T4366" i="3" s="1"/>
  <c r="S4367" i="3"/>
  <c r="T4367" i="3" s="1"/>
  <c r="S4368" i="3"/>
  <c r="T4368" i="3" s="1"/>
  <c r="S4369" i="3"/>
  <c r="T4369" i="3" s="1"/>
  <c r="S4370" i="3"/>
  <c r="S4371" i="3"/>
  <c r="T4371" i="3" s="1"/>
  <c r="S4372" i="3"/>
  <c r="T4372" i="3" s="1"/>
  <c r="S4373" i="3"/>
  <c r="T4373" i="3" s="1"/>
  <c r="S4374" i="3"/>
  <c r="T4374" i="3" s="1"/>
  <c r="S4375" i="3"/>
  <c r="T4375" i="3" s="1"/>
  <c r="S4376" i="3"/>
  <c r="T4376" i="3" s="1"/>
  <c r="S4377" i="3"/>
  <c r="T4377" i="3" s="1"/>
  <c r="S4378" i="3"/>
  <c r="T4378" i="3" s="1"/>
  <c r="S4379" i="3"/>
  <c r="T4379" i="3" s="1"/>
  <c r="S4380" i="3"/>
  <c r="T4380" i="3" s="1"/>
  <c r="S4381" i="3"/>
  <c r="T4381" i="3" s="1"/>
  <c r="S4382" i="3"/>
  <c r="T4382" i="3" s="1"/>
  <c r="S4383" i="3"/>
  <c r="T4383" i="3" s="1"/>
  <c r="S4384" i="3"/>
  <c r="T4384" i="3" s="1"/>
  <c r="S4385" i="3"/>
  <c r="T4385" i="3" s="1"/>
  <c r="S4386" i="3"/>
  <c r="S4387" i="3"/>
  <c r="T4387" i="3" s="1"/>
  <c r="S4388" i="3"/>
  <c r="T4388" i="3" s="1"/>
  <c r="S4389" i="3"/>
  <c r="T4389" i="3" s="1"/>
  <c r="S4390" i="3"/>
  <c r="T4390" i="3" s="1"/>
  <c r="S4391" i="3"/>
  <c r="T4391" i="3" s="1"/>
  <c r="S4392" i="3"/>
  <c r="T4392" i="3" s="1"/>
  <c r="S4393" i="3"/>
  <c r="T4393" i="3" s="1"/>
  <c r="S4394" i="3"/>
  <c r="T4394" i="3" s="1"/>
  <c r="S4395" i="3"/>
  <c r="T4395" i="3" s="1"/>
  <c r="S4396" i="3"/>
  <c r="T4396" i="3" s="1"/>
  <c r="S4397" i="3"/>
  <c r="T4397" i="3" s="1"/>
  <c r="S4398" i="3"/>
  <c r="T4398" i="3" s="1"/>
  <c r="S4399" i="3"/>
  <c r="T4399" i="3" s="1"/>
  <c r="S4400" i="3"/>
  <c r="T4400" i="3" s="1"/>
  <c r="S4401" i="3"/>
  <c r="T4401" i="3" s="1"/>
  <c r="S4402" i="3"/>
  <c r="S4403" i="3"/>
  <c r="T4403" i="3" s="1"/>
  <c r="S4404" i="3"/>
  <c r="T4404" i="3" s="1"/>
  <c r="S4405" i="3"/>
  <c r="T4405" i="3" s="1"/>
  <c r="S4406" i="3"/>
  <c r="T4406" i="3" s="1"/>
  <c r="S4407" i="3"/>
  <c r="T4407" i="3" s="1"/>
  <c r="S4408" i="3"/>
  <c r="T4408" i="3" s="1"/>
  <c r="S4409" i="3"/>
  <c r="T4409" i="3" s="1"/>
  <c r="S4410" i="3"/>
  <c r="T4410" i="3" s="1"/>
  <c r="S4411" i="3"/>
  <c r="T4411" i="3" s="1"/>
  <c r="S4412" i="3"/>
  <c r="T4412" i="3" s="1"/>
  <c r="S4413" i="3"/>
  <c r="T4413" i="3" s="1"/>
  <c r="S4414" i="3"/>
  <c r="S4415" i="3"/>
  <c r="T4415" i="3" s="1"/>
  <c r="S4416" i="3"/>
  <c r="T4416" i="3" s="1"/>
  <c r="S4417" i="3"/>
  <c r="T4417" i="3" s="1"/>
  <c r="S4418" i="3"/>
  <c r="T4418" i="3" s="1"/>
  <c r="S4419" i="3"/>
  <c r="T4419" i="3" s="1"/>
  <c r="S4420" i="3"/>
  <c r="T4420" i="3" s="1"/>
  <c r="S4421" i="3"/>
  <c r="T4421" i="3" s="1"/>
  <c r="S4422" i="3"/>
  <c r="T4422" i="3" s="1"/>
  <c r="S4423" i="3"/>
  <c r="T4423" i="3" s="1"/>
  <c r="S4424" i="3"/>
  <c r="T4424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S4431" i="3"/>
  <c r="T4431" i="3" s="1"/>
  <c r="S4432" i="3"/>
  <c r="T4432" i="3" s="1"/>
  <c r="S4433" i="3"/>
  <c r="T4433" i="3" s="1"/>
  <c r="S4434" i="3"/>
  <c r="T4434" i="3" s="1"/>
  <c r="S4435" i="3"/>
  <c r="T4435" i="3" s="1"/>
  <c r="S4436" i="3"/>
  <c r="T4436" i="3" s="1"/>
  <c r="S4437" i="3"/>
  <c r="T4437" i="3" s="1"/>
  <c r="S4438" i="3"/>
  <c r="T4438" i="3" s="1"/>
  <c r="S4439" i="3"/>
  <c r="T4439" i="3" s="1"/>
  <c r="S4440" i="3"/>
  <c r="T4440" i="3" s="1"/>
  <c r="S4441" i="3"/>
  <c r="T4441" i="3" s="1"/>
  <c r="S4442" i="3"/>
  <c r="T4442" i="3" s="1"/>
  <c r="S4443" i="3"/>
  <c r="T4443" i="3" s="1"/>
  <c r="S4444" i="3"/>
  <c r="T4444" i="3" s="1"/>
  <c r="S4445" i="3"/>
  <c r="T4445" i="3" s="1"/>
  <c r="S4446" i="3"/>
  <c r="S4447" i="3"/>
  <c r="T4447" i="3" s="1"/>
  <c r="S4448" i="3"/>
  <c r="T4448" i="3" s="1"/>
  <c r="S4449" i="3"/>
  <c r="T4449" i="3" s="1"/>
  <c r="S4450" i="3"/>
  <c r="T4450" i="3" s="1"/>
  <c r="S4451" i="3"/>
  <c r="T4451" i="3" s="1"/>
  <c r="S4452" i="3"/>
  <c r="T4452" i="3" s="1"/>
  <c r="S4453" i="3"/>
  <c r="T4453" i="3" s="1"/>
  <c r="S4454" i="3"/>
  <c r="T4454" i="3" s="1"/>
  <c r="S4455" i="3"/>
  <c r="T4455" i="3" s="1"/>
  <c r="S4456" i="3"/>
  <c r="T4456" i="3" s="1"/>
  <c r="S4457" i="3"/>
  <c r="T4457" i="3" s="1"/>
  <c r="S4458" i="3"/>
  <c r="T4458" i="3" s="1"/>
  <c r="S4459" i="3"/>
  <c r="T4459" i="3" s="1"/>
  <c r="S4460" i="3"/>
  <c r="T4460" i="3" s="1"/>
  <c r="S4461" i="3"/>
  <c r="T4461" i="3" s="1"/>
  <c r="S4462" i="3"/>
  <c r="S4463" i="3"/>
  <c r="T4463" i="3" s="1"/>
  <c r="S4464" i="3"/>
  <c r="T4464" i="3" s="1"/>
  <c r="S4465" i="3"/>
  <c r="T4465" i="3" s="1"/>
  <c r="S4466" i="3"/>
  <c r="T4466" i="3" s="1"/>
  <c r="S4467" i="3"/>
  <c r="T4467" i="3" s="1"/>
  <c r="S4468" i="3"/>
  <c r="T4468" i="3" s="1"/>
  <c r="S4469" i="3"/>
  <c r="T4469" i="3" s="1"/>
  <c r="S4470" i="3"/>
  <c r="T4470" i="3" s="1"/>
  <c r="S4471" i="3"/>
  <c r="T4471" i="3" s="1"/>
  <c r="S4472" i="3"/>
  <c r="T4472" i="3" s="1"/>
  <c r="S4473" i="3"/>
  <c r="T4473" i="3" s="1"/>
  <c r="S4474" i="3"/>
  <c r="T4474" i="3" s="1"/>
  <c r="S4475" i="3"/>
  <c r="T4475" i="3" s="1"/>
  <c r="S4476" i="3"/>
  <c r="T4476" i="3" s="1"/>
  <c r="S4477" i="3"/>
  <c r="T4477" i="3" s="1"/>
  <c r="S4478" i="3"/>
  <c r="S4479" i="3"/>
  <c r="T4479" i="3" s="1"/>
  <c r="S4480" i="3"/>
  <c r="T4480" i="3" s="1"/>
  <c r="S4481" i="3"/>
  <c r="T4481" i="3" s="1"/>
  <c r="S4482" i="3"/>
  <c r="T4482" i="3" s="1"/>
  <c r="S4483" i="3"/>
  <c r="T4483" i="3" s="1"/>
  <c r="S4484" i="3"/>
  <c r="T4484" i="3" s="1"/>
  <c r="S4485" i="3"/>
  <c r="T4485" i="3" s="1"/>
  <c r="S4486" i="3"/>
  <c r="T4486" i="3" s="1"/>
  <c r="S4487" i="3"/>
  <c r="T4487" i="3" s="1"/>
  <c r="S4488" i="3"/>
  <c r="T4488" i="3" s="1"/>
  <c r="S4489" i="3"/>
  <c r="T4489" i="3" s="1"/>
  <c r="S4490" i="3"/>
  <c r="T4490" i="3" s="1"/>
  <c r="S4491" i="3"/>
  <c r="T4491" i="3" s="1"/>
  <c r="S4492" i="3"/>
  <c r="T4492" i="3" s="1"/>
  <c r="S4493" i="3"/>
  <c r="T4493" i="3" s="1"/>
  <c r="S4494" i="3"/>
  <c r="S4495" i="3"/>
  <c r="T4495" i="3" s="1"/>
  <c r="S4496" i="3"/>
  <c r="T4496" i="3" s="1"/>
  <c r="S4497" i="3"/>
  <c r="T4497" i="3" s="1"/>
  <c r="S4498" i="3"/>
  <c r="T4498" i="3" s="1"/>
  <c r="S4499" i="3"/>
  <c r="T4499" i="3" s="1"/>
  <c r="S4502" i="3"/>
  <c r="T4502" i="3" s="1"/>
  <c r="S4503" i="3"/>
  <c r="T4503" i="3" s="1"/>
  <c r="S4504" i="3"/>
  <c r="T4504" i="3" s="1"/>
  <c r="S4505" i="3"/>
  <c r="T4505" i="3" s="1"/>
  <c r="S4506" i="3"/>
  <c r="T4506" i="3" s="1"/>
  <c r="S4507" i="3"/>
  <c r="T4507" i="3" s="1"/>
  <c r="S4508" i="3"/>
  <c r="T4508" i="3" s="1"/>
  <c r="S4509" i="3"/>
  <c r="T4509" i="3" s="1"/>
  <c r="S4510" i="3"/>
  <c r="T4510" i="3" s="1"/>
  <c r="S4511" i="3"/>
  <c r="T4511" i="3" s="1"/>
  <c r="S4512" i="3"/>
  <c r="T4512" i="3" s="1"/>
  <c r="S4513" i="3"/>
  <c r="T4513" i="3" s="1"/>
  <c r="S4514" i="3"/>
  <c r="T4514" i="3" s="1"/>
  <c r="S4515" i="3"/>
  <c r="T4515" i="3" s="1"/>
  <c r="S4516" i="3"/>
  <c r="T4516" i="3" s="1"/>
  <c r="S4517" i="3"/>
  <c r="T4517" i="3" s="1"/>
  <c r="S4518" i="3"/>
  <c r="T4518" i="3" s="1"/>
  <c r="S4519" i="3"/>
  <c r="T4519" i="3" s="1"/>
  <c r="S4520" i="3"/>
  <c r="T4520" i="3" s="1"/>
  <c r="S4521" i="3"/>
  <c r="T4521" i="3" s="1"/>
  <c r="S4522" i="3"/>
  <c r="T4522" i="3" s="1"/>
  <c r="S4523" i="3"/>
  <c r="T4523" i="3" s="1"/>
  <c r="S4524" i="3"/>
  <c r="T4524" i="3" s="1"/>
  <c r="S4525" i="3"/>
  <c r="T4525" i="3" s="1"/>
  <c r="S4526" i="3"/>
  <c r="S4527" i="3"/>
  <c r="T4527" i="3" s="1"/>
  <c r="S4528" i="3"/>
  <c r="T4528" i="3" s="1"/>
  <c r="S4529" i="3"/>
  <c r="T4529" i="3" s="1"/>
  <c r="S4530" i="3"/>
  <c r="T4530" i="3" s="1"/>
  <c r="S4531" i="3"/>
  <c r="T4531" i="3" s="1"/>
  <c r="S4532" i="3"/>
  <c r="T4532" i="3" s="1"/>
  <c r="S4533" i="3"/>
  <c r="T4533" i="3" s="1"/>
  <c r="S4534" i="3"/>
  <c r="T4534" i="3" s="1"/>
  <c r="S4535" i="3"/>
  <c r="T4535" i="3" s="1"/>
  <c r="S4536" i="3"/>
  <c r="T4536" i="3" s="1"/>
  <c r="S4537" i="3"/>
  <c r="T4537" i="3" s="1"/>
  <c r="S4538" i="3"/>
  <c r="T4538" i="3" s="1"/>
  <c r="S4539" i="3"/>
  <c r="T4539" i="3" s="1"/>
  <c r="S4540" i="3"/>
  <c r="T4540" i="3" s="1"/>
  <c r="S4541" i="3"/>
  <c r="T4541" i="3" s="1"/>
  <c r="S4542" i="3"/>
  <c r="T4542" i="3" s="1"/>
  <c r="S4543" i="3"/>
  <c r="T4543" i="3" s="1"/>
  <c r="S4544" i="3"/>
  <c r="T4544" i="3" s="1"/>
  <c r="S4545" i="3"/>
  <c r="T4545" i="3" s="1"/>
  <c r="S4546" i="3"/>
  <c r="T4546" i="3" s="1"/>
  <c r="S4547" i="3"/>
  <c r="T4547" i="3" s="1"/>
  <c r="S4548" i="3"/>
  <c r="T4548" i="3" s="1"/>
  <c r="S4549" i="3"/>
  <c r="T4549" i="3" s="1"/>
  <c r="S4550" i="3"/>
  <c r="T4550" i="3" s="1"/>
  <c r="S4551" i="3"/>
  <c r="T4551" i="3" s="1"/>
  <c r="S4552" i="3"/>
  <c r="T4552" i="3" s="1"/>
  <c r="S4553" i="3"/>
  <c r="T4553" i="3" s="1"/>
  <c r="S4554" i="3"/>
  <c r="T4554" i="3" s="1"/>
  <c r="S4555" i="3"/>
  <c r="T4555" i="3" s="1"/>
  <c r="S4556" i="3"/>
  <c r="T4556" i="3" s="1"/>
  <c r="S4557" i="3"/>
  <c r="T4557" i="3" s="1"/>
  <c r="S4558" i="3"/>
  <c r="T4558" i="3" s="1"/>
  <c r="S4559" i="3"/>
  <c r="T4559" i="3" s="1"/>
  <c r="S4560" i="3"/>
  <c r="T4560" i="3" s="1"/>
  <c r="S4561" i="3"/>
  <c r="T4561" i="3" s="1"/>
  <c r="S4562" i="3"/>
  <c r="T4562" i="3" s="1"/>
  <c r="S4563" i="3"/>
  <c r="T4563" i="3" s="1"/>
  <c r="S4564" i="3"/>
  <c r="T4564" i="3" s="1"/>
  <c r="S4565" i="3"/>
  <c r="T4565" i="3" s="1"/>
  <c r="S4566" i="3"/>
  <c r="T4566" i="3" s="1"/>
  <c r="S4567" i="3"/>
  <c r="T4567" i="3" s="1"/>
  <c r="S4568" i="3"/>
  <c r="T4568" i="3" s="1"/>
  <c r="S4569" i="3"/>
  <c r="T4569" i="3" s="1"/>
  <c r="S4570" i="3"/>
  <c r="T4570" i="3" s="1"/>
  <c r="S4571" i="3"/>
  <c r="T4571" i="3" s="1"/>
  <c r="S4572" i="3"/>
  <c r="T4572" i="3" s="1"/>
  <c r="S4573" i="3"/>
  <c r="T4573" i="3" s="1"/>
  <c r="S4574" i="3"/>
  <c r="T4574" i="3" s="1"/>
  <c r="S4575" i="3"/>
  <c r="T4575" i="3" s="1"/>
  <c r="S4576" i="3"/>
  <c r="T4576" i="3" s="1"/>
  <c r="S4577" i="3"/>
  <c r="T4577" i="3" s="1"/>
  <c r="S4578" i="3"/>
  <c r="T4578" i="3" s="1"/>
  <c r="S4579" i="3"/>
  <c r="T4579" i="3" s="1"/>
  <c r="S4580" i="3"/>
  <c r="T4580" i="3" s="1"/>
  <c r="S4581" i="3"/>
  <c r="T4581" i="3" s="1"/>
  <c r="S4582" i="3"/>
  <c r="T4582" i="3" s="1"/>
  <c r="S4583" i="3"/>
  <c r="T4583" i="3" s="1"/>
  <c r="S4584" i="3"/>
  <c r="T4584" i="3" s="1"/>
  <c r="S4585" i="3"/>
  <c r="T4585" i="3" s="1"/>
  <c r="S4586" i="3"/>
  <c r="T4586" i="3" s="1"/>
  <c r="S4587" i="3"/>
  <c r="T4587" i="3" s="1"/>
  <c r="S4588" i="3"/>
  <c r="T4588" i="3" s="1"/>
  <c r="S4589" i="3"/>
  <c r="T4589" i="3" s="1"/>
  <c r="S4590" i="3"/>
  <c r="T4590" i="3" s="1"/>
  <c r="S4591" i="3"/>
  <c r="T4591" i="3" s="1"/>
  <c r="S4592" i="3"/>
  <c r="T4592" i="3" s="1"/>
  <c r="S4593" i="3"/>
  <c r="T4593" i="3" s="1"/>
  <c r="S4594" i="3"/>
  <c r="T4594" i="3" s="1"/>
  <c r="S4595" i="3"/>
  <c r="T4595" i="3" s="1"/>
  <c r="S4596" i="3"/>
  <c r="T4596" i="3" s="1"/>
  <c r="S4597" i="3"/>
  <c r="T4597" i="3" s="1"/>
  <c r="S4598" i="3"/>
  <c r="T4598" i="3" s="1"/>
  <c r="S4599" i="3"/>
  <c r="T4599" i="3" s="1"/>
  <c r="S4600" i="3"/>
  <c r="T4600" i="3" s="1"/>
  <c r="S4601" i="3"/>
  <c r="T4601" i="3" s="1"/>
  <c r="S4602" i="3"/>
  <c r="T4602" i="3" s="1"/>
  <c r="S4603" i="3"/>
  <c r="T4603" i="3" s="1"/>
  <c r="S4604" i="3"/>
  <c r="T4604" i="3" s="1"/>
  <c r="S4605" i="3"/>
  <c r="T4605" i="3" s="1"/>
  <c r="S4606" i="3"/>
  <c r="T4606" i="3" s="1"/>
  <c r="S4607" i="3"/>
  <c r="T4607" i="3" s="1"/>
  <c r="S4608" i="3"/>
  <c r="T4608" i="3" s="1"/>
  <c r="S4609" i="3"/>
  <c r="T4609" i="3" s="1"/>
  <c r="S4610" i="3"/>
  <c r="T4610" i="3" s="1"/>
  <c r="S4611" i="3"/>
  <c r="T4611" i="3" s="1"/>
  <c r="T3367" i="3"/>
  <c r="T3369" i="3"/>
  <c r="T3371" i="3"/>
  <c r="T3374" i="3"/>
  <c r="T3379" i="3"/>
  <c r="T3386" i="3"/>
  <c r="T3395" i="3"/>
  <c r="T3398" i="3"/>
  <c r="T3403" i="3"/>
  <c r="T3410" i="3"/>
  <c r="T3411" i="3"/>
  <c r="T3422" i="3"/>
  <c r="T3427" i="3"/>
  <c r="T3434" i="3"/>
  <c r="T3435" i="3"/>
  <c r="T3443" i="3"/>
  <c r="T3458" i="3"/>
  <c r="T3459" i="3"/>
  <c r="T3467" i="3"/>
  <c r="T3475" i="3"/>
  <c r="T3478" i="3"/>
  <c r="T3491" i="3"/>
  <c r="T3499" i="3"/>
  <c r="T3502" i="3"/>
  <c r="T3514" i="3"/>
  <c r="T3523" i="3"/>
  <c r="T3526" i="3"/>
  <c r="T3538" i="3"/>
  <c r="T3539" i="3"/>
  <c r="T3550" i="3"/>
  <c r="T3562" i="3"/>
  <c r="T3563" i="3"/>
  <c r="T3571" i="3"/>
  <c r="T3586" i="3"/>
  <c r="T3587" i="3"/>
  <c r="T3595" i="3"/>
  <c r="T3603" i="3"/>
  <c r="T3606" i="3"/>
  <c r="T3619" i="3"/>
  <c r="T3627" i="3"/>
  <c r="T3630" i="3"/>
  <c r="T3642" i="3"/>
  <c r="T3651" i="3"/>
  <c r="T3654" i="3"/>
  <c r="T3666" i="3"/>
  <c r="T3667" i="3"/>
  <c r="T3678" i="3"/>
  <c r="T3690" i="3"/>
  <c r="T3691" i="3"/>
  <c r="T3699" i="3"/>
  <c r="T3708" i="3"/>
  <c r="T3710" i="3"/>
  <c r="T3719" i="3"/>
  <c r="T3722" i="3"/>
  <c r="T3734" i="3"/>
  <c r="T3735" i="3"/>
  <c r="T3746" i="3"/>
  <c r="T3758" i="3"/>
  <c r="T3759" i="3"/>
  <c r="T3770" i="3"/>
  <c r="T3772" i="3"/>
  <c r="T3779" i="3"/>
  <c r="T3787" i="3"/>
  <c r="T3790" i="3"/>
  <c r="T3806" i="3"/>
  <c r="T3811" i="3"/>
  <c r="T3818" i="3"/>
  <c r="T3827" i="3"/>
  <c r="T3830" i="3"/>
  <c r="T3846" i="3"/>
  <c r="T3847" i="3"/>
  <c r="T3855" i="3"/>
  <c r="T3866" i="3"/>
  <c r="T3879" i="3"/>
  <c r="T3887" i="3"/>
  <c r="T3890" i="3"/>
  <c r="T3906" i="3"/>
  <c r="T3922" i="3"/>
  <c r="T3938" i="3"/>
  <c r="T3950" i="3"/>
  <c r="T3966" i="3"/>
  <c r="T3982" i="3"/>
  <c r="T3998" i="3"/>
  <c r="T4003" i="3"/>
  <c r="T4010" i="3"/>
  <c r="T4022" i="3"/>
  <c r="T4027" i="3"/>
  <c r="T4034" i="3"/>
  <c r="T4046" i="3"/>
  <c r="T4047" i="3"/>
  <c r="T4058" i="3"/>
  <c r="T4074" i="3"/>
  <c r="T4090" i="3"/>
  <c r="T4106" i="3"/>
  <c r="T4122" i="3"/>
  <c r="T4138" i="3"/>
  <c r="T4154" i="3"/>
  <c r="T4170" i="3"/>
  <c r="T4186" i="3"/>
  <c r="T4202" i="3"/>
  <c r="T4214" i="3"/>
  <c r="T4230" i="3"/>
  <c r="T4242" i="3"/>
  <c r="T4258" i="3"/>
  <c r="T4274" i="3"/>
  <c r="T4290" i="3"/>
  <c r="T4306" i="3"/>
  <c r="T4322" i="3"/>
  <c r="T4338" i="3"/>
  <c r="T4354" i="3"/>
  <c r="T4370" i="3"/>
  <c r="T4386" i="3"/>
  <c r="T4402" i="3"/>
  <c r="T4414" i="3"/>
  <c r="T4430" i="3"/>
  <c r="T4446" i="3"/>
  <c r="T4462" i="3"/>
  <c r="T4478" i="3"/>
  <c r="T4494" i="3"/>
  <c r="T4526" i="3"/>
  <c r="U3367" i="3"/>
  <c r="V3367" i="3" s="1"/>
  <c r="U3368" i="3"/>
  <c r="V3368" i="3" s="1"/>
  <c r="U3369" i="3"/>
  <c r="V3369" i="3" s="1"/>
  <c r="U3370" i="3"/>
  <c r="U3371" i="3"/>
  <c r="V3371" i="3" s="1"/>
  <c r="U3372" i="3"/>
  <c r="V3372" i="3" s="1"/>
  <c r="U3373" i="3"/>
  <c r="V3373" i="3" s="1"/>
  <c r="U3374" i="3"/>
  <c r="U3375" i="3"/>
  <c r="V3375" i="3" s="1"/>
  <c r="U3376" i="3"/>
  <c r="V3376" i="3" s="1"/>
  <c r="U3377" i="3"/>
  <c r="V3377" i="3" s="1"/>
  <c r="U3378" i="3"/>
  <c r="U3379" i="3"/>
  <c r="V3379" i="3" s="1"/>
  <c r="U3380" i="3"/>
  <c r="V3380" i="3" s="1"/>
  <c r="U3381" i="3"/>
  <c r="V3381" i="3" s="1"/>
  <c r="U3382" i="3"/>
  <c r="U3383" i="3"/>
  <c r="V3383" i="3" s="1"/>
  <c r="U3384" i="3"/>
  <c r="V3384" i="3" s="1"/>
  <c r="U3385" i="3"/>
  <c r="V3385" i="3" s="1"/>
  <c r="U3386" i="3"/>
  <c r="U3387" i="3"/>
  <c r="U3388" i="3"/>
  <c r="V3388" i="3" s="1"/>
  <c r="U3389" i="3"/>
  <c r="V3389" i="3" s="1"/>
  <c r="U3390" i="3"/>
  <c r="U3391" i="3"/>
  <c r="V3391" i="3" s="1"/>
  <c r="U3392" i="3"/>
  <c r="U3393" i="3"/>
  <c r="V3393" i="3" s="1"/>
  <c r="U3394" i="3"/>
  <c r="U3395" i="3"/>
  <c r="V3395" i="3" s="1"/>
  <c r="U3396" i="3"/>
  <c r="V3396" i="3" s="1"/>
  <c r="U3397" i="3"/>
  <c r="V3397" i="3" s="1"/>
  <c r="U3398" i="3"/>
  <c r="U3399" i="3"/>
  <c r="V3399" i="3" s="1"/>
  <c r="U3400" i="3"/>
  <c r="V3400" i="3" s="1"/>
  <c r="U3401" i="3"/>
  <c r="V3401" i="3" s="1"/>
  <c r="U3402" i="3"/>
  <c r="U3403" i="3"/>
  <c r="V3403" i="3" s="1"/>
  <c r="U3404" i="3"/>
  <c r="V3404" i="3" s="1"/>
  <c r="U3405" i="3"/>
  <c r="V3405" i="3" s="1"/>
  <c r="U3406" i="3"/>
  <c r="U3407" i="3"/>
  <c r="V3407" i="3" s="1"/>
  <c r="U3408" i="3"/>
  <c r="V3408" i="3" s="1"/>
  <c r="U3409" i="3"/>
  <c r="V3409" i="3" s="1"/>
  <c r="U3410" i="3"/>
  <c r="U3411" i="3"/>
  <c r="V3411" i="3" s="1"/>
  <c r="U3412" i="3"/>
  <c r="V3412" i="3" s="1"/>
  <c r="U3413" i="3"/>
  <c r="V3413" i="3" s="1"/>
  <c r="U3414" i="3"/>
  <c r="U3415" i="3"/>
  <c r="V3415" i="3" s="1"/>
  <c r="U3416" i="3"/>
  <c r="V3416" i="3" s="1"/>
  <c r="U3417" i="3"/>
  <c r="V3417" i="3" s="1"/>
  <c r="U3418" i="3"/>
  <c r="U3419" i="3"/>
  <c r="V3419" i="3" s="1"/>
  <c r="U3420" i="3"/>
  <c r="V3420" i="3" s="1"/>
  <c r="U3421" i="3"/>
  <c r="V3421" i="3" s="1"/>
  <c r="U3422" i="3"/>
  <c r="U3423" i="3"/>
  <c r="V3423" i="3" s="1"/>
  <c r="U3424" i="3"/>
  <c r="V3424" i="3" s="1"/>
  <c r="U3425" i="3"/>
  <c r="V3425" i="3" s="1"/>
  <c r="U3426" i="3"/>
  <c r="U3427" i="3"/>
  <c r="V3427" i="3" s="1"/>
  <c r="U3428" i="3"/>
  <c r="V3428" i="3" s="1"/>
  <c r="U3429" i="3"/>
  <c r="V3429" i="3" s="1"/>
  <c r="U3430" i="3"/>
  <c r="U3431" i="3"/>
  <c r="V3431" i="3" s="1"/>
  <c r="U3432" i="3"/>
  <c r="V3432" i="3" s="1"/>
  <c r="U3433" i="3"/>
  <c r="V3433" i="3" s="1"/>
  <c r="U3434" i="3"/>
  <c r="U3435" i="3"/>
  <c r="V3435" i="3" s="1"/>
  <c r="U3436" i="3"/>
  <c r="V3436" i="3" s="1"/>
  <c r="U3437" i="3"/>
  <c r="V3437" i="3" s="1"/>
  <c r="U3438" i="3"/>
  <c r="U3439" i="3"/>
  <c r="V3439" i="3" s="1"/>
  <c r="U3440" i="3"/>
  <c r="V3440" i="3" s="1"/>
  <c r="U3441" i="3"/>
  <c r="V3441" i="3" s="1"/>
  <c r="U3442" i="3"/>
  <c r="U3443" i="3"/>
  <c r="V3443" i="3" s="1"/>
  <c r="U3444" i="3"/>
  <c r="V3444" i="3" s="1"/>
  <c r="U3445" i="3"/>
  <c r="V3445" i="3" s="1"/>
  <c r="U3446" i="3"/>
  <c r="U3447" i="3"/>
  <c r="V3447" i="3" s="1"/>
  <c r="U3448" i="3"/>
  <c r="V3448" i="3" s="1"/>
  <c r="U3449" i="3"/>
  <c r="V3449" i="3" s="1"/>
  <c r="U3450" i="3"/>
  <c r="U3451" i="3"/>
  <c r="V3451" i="3" s="1"/>
  <c r="U3452" i="3"/>
  <c r="V3452" i="3" s="1"/>
  <c r="U3453" i="3"/>
  <c r="V3453" i="3" s="1"/>
  <c r="U3454" i="3"/>
  <c r="U3455" i="3"/>
  <c r="V3455" i="3" s="1"/>
  <c r="U3456" i="3"/>
  <c r="V3456" i="3" s="1"/>
  <c r="U3457" i="3"/>
  <c r="V3457" i="3" s="1"/>
  <c r="U3458" i="3"/>
  <c r="U3459" i="3"/>
  <c r="V3459" i="3" s="1"/>
  <c r="U3460" i="3"/>
  <c r="V3460" i="3" s="1"/>
  <c r="U3461" i="3"/>
  <c r="V3461" i="3" s="1"/>
  <c r="U3462" i="3"/>
  <c r="U3463" i="3"/>
  <c r="V3463" i="3" s="1"/>
  <c r="U3464" i="3"/>
  <c r="V3464" i="3" s="1"/>
  <c r="U3465" i="3"/>
  <c r="V3465" i="3" s="1"/>
  <c r="U3466" i="3"/>
  <c r="U3467" i="3"/>
  <c r="V3467" i="3" s="1"/>
  <c r="U3468" i="3"/>
  <c r="V3468" i="3" s="1"/>
  <c r="U3469" i="3"/>
  <c r="V3469" i="3" s="1"/>
  <c r="U3470" i="3"/>
  <c r="U3471" i="3"/>
  <c r="V3471" i="3" s="1"/>
  <c r="U3472" i="3"/>
  <c r="V3472" i="3" s="1"/>
  <c r="U3473" i="3"/>
  <c r="V3473" i="3" s="1"/>
  <c r="U3474" i="3"/>
  <c r="U3475" i="3"/>
  <c r="U3476" i="3"/>
  <c r="V3476" i="3" s="1"/>
  <c r="U3477" i="3"/>
  <c r="V3477" i="3" s="1"/>
  <c r="U3478" i="3"/>
  <c r="U3479" i="3"/>
  <c r="V3479" i="3" s="1"/>
  <c r="U3480" i="3"/>
  <c r="V3480" i="3" s="1"/>
  <c r="U3481" i="3"/>
  <c r="V3481" i="3" s="1"/>
  <c r="U3482" i="3"/>
  <c r="U3483" i="3"/>
  <c r="V3483" i="3" s="1"/>
  <c r="U3484" i="3"/>
  <c r="V3484" i="3" s="1"/>
  <c r="U3485" i="3"/>
  <c r="V3485" i="3" s="1"/>
  <c r="U3486" i="3"/>
  <c r="U3487" i="3"/>
  <c r="V3487" i="3" s="1"/>
  <c r="U3488" i="3"/>
  <c r="V3488" i="3" s="1"/>
  <c r="U3489" i="3"/>
  <c r="V3489" i="3" s="1"/>
  <c r="U3490" i="3"/>
  <c r="U3491" i="3"/>
  <c r="V3491" i="3" s="1"/>
  <c r="U3492" i="3"/>
  <c r="V3492" i="3" s="1"/>
  <c r="U3493" i="3"/>
  <c r="V3493" i="3" s="1"/>
  <c r="U3494" i="3"/>
  <c r="U3495" i="3"/>
  <c r="V3495" i="3" s="1"/>
  <c r="U3496" i="3"/>
  <c r="V3496" i="3" s="1"/>
  <c r="U3497" i="3"/>
  <c r="V3497" i="3" s="1"/>
  <c r="U3498" i="3"/>
  <c r="U3499" i="3"/>
  <c r="V3499" i="3" s="1"/>
  <c r="U3500" i="3"/>
  <c r="V3500" i="3" s="1"/>
  <c r="U3501" i="3"/>
  <c r="V3501" i="3" s="1"/>
  <c r="U3502" i="3"/>
  <c r="U3503" i="3"/>
  <c r="V3503" i="3" s="1"/>
  <c r="U3504" i="3"/>
  <c r="V3504" i="3" s="1"/>
  <c r="U3505" i="3"/>
  <c r="V3505" i="3" s="1"/>
  <c r="U3506" i="3"/>
  <c r="U3507" i="3"/>
  <c r="V3507" i="3" s="1"/>
  <c r="U3508" i="3"/>
  <c r="V3508" i="3" s="1"/>
  <c r="U3509" i="3"/>
  <c r="V3509" i="3" s="1"/>
  <c r="U3510" i="3"/>
  <c r="U3511" i="3"/>
  <c r="V3511" i="3" s="1"/>
  <c r="U3512" i="3"/>
  <c r="V3512" i="3" s="1"/>
  <c r="U3513" i="3"/>
  <c r="V3513" i="3" s="1"/>
  <c r="U3514" i="3"/>
  <c r="U3515" i="3"/>
  <c r="V3515" i="3" s="1"/>
  <c r="U3516" i="3"/>
  <c r="V3516" i="3" s="1"/>
  <c r="U3517" i="3"/>
  <c r="V3517" i="3" s="1"/>
  <c r="U3518" i="3"/>
  <c r="U3519" i="3"/>
  <c r="V3519" i="3" s="1"/>
  <c r="U3520" i="3"/>
  <c r="V3520" i="3" s="1"/>
  <c r="U3521" i="3"/>
  <c r="V3521" i="3" s="1"/>
  <c r="U3522" i="3"/>
  <c r="U3523" i="3"/>
  <c r="U3524" i="3"/>
  <c r="V3524" i="3" s="1"/>
  <c r="U3525" i="3"/>
  <c r="V3525" i="3" s="1"/>
  <c r="U3526" i="3"/>
  <c r="U3527" i="3"/>
  <c r="V3527" i="3" s="1"/>
  <c r="U3528" i="3"/>
  <c r="V3528" i="3" s="1"/>
  <c r="U3529" i="3"/>
  <c r="V3529" i="3" s="1"/>
  <c r="U3530" i="3"/>
  <c r="U3531" i="3"/>
  <c r="V3531" i="3" s="1"/>
  <c r="U3532" i="3"/>
  <c r="V3532" i="3" s="1"/>
  <c r="U3533" i="3"/>
  <c r="V3533" i="3" s="1"/>
  <c r="U3534" i="3"/>
  <c r="U3535" i="3"/>
  <c r="V3535" i="3" s="1"/>
  <c r="U3536" i="3"/>
  <c r="V3536" i="3" s="1"/>
  <c r="U3537" i="3"/>
  <c r="V3537" i="3" s="1"/>
  <c r="U3538" i="3"/>
  <c r="U3539" i="3"/>
  <c r="V3539" i="3" s="1"/>
  <c r="U3540" i="3"/>
  <c r="V3540" i="3" s="1"/>
  <c r="U3541" i="3"/>
  <c r="V3541" i="3" s="1"/>
  <c r="U3542" i="3"/>
  <c r="U3543" i="3"/>
  <c r="V3543" i="3" s="1"/>
  <c r="U3544" i="3"/>
  <c r="V3544" i="3" s="1"/>
  <c r="U3545" i="3"/>
  <c r="V3545" i="3" s="1"/>
  <c r="U3546" i="3"/>
  <c r="U3547" i="3"/>
  <c r="V3547" i="3" s="1"/>
  <c r="U3548" i="3"/>
  <c r="V3548" i="3" s="1"/>
  <c r="U3549" i="3"/>
  <c r="V3549" i="3" s="1"/>
  <c r="U3550" i="3"/>
  <c r="U3551" i="3"/>
  <c r="V3551" i="3" s="1"/>
  <c r="U3552" i="3"/>
  <c r="V3552" i="3" s="1"/>
  <c r="U3553" i="3"/>
  <c r="V3553" i="3" s="1"/>
  <c r="U3554" i="3"/>
  <c r="U3555" i="3"/>
  <c r="V3555" i="3" s="1"/>
  <c r="U3556" i="3"/>
  <c r="V3556" i="3" s="1"/>
  <c r="U3557" i="3"/>
  <c r="V3557" i="3" s="1"/>
  <c r="U3558" i="3"/>
  <c r="U3559" i="3"/>
  <c r="V3559" i="3" s="1"/>
  <c r="U3560" i="3"/>
  <c r="V3560" i="3" s="1"/>
  <c r="U3561" i="3"/>
  <c r="V3561" i="3" s="1"/>
  <c r="U3562" i="3"/>
  <c r="U3563" i="3"/>
  <c r="V3563" i="3" s="1"/>
  <c r="U3564" i="3"/>
  <c r="V3564" i="3" s="1"/>
  <c r="U3565" i="3"/>
  <c r="V3565" i="3" s="1"/>
  <c r="U3566" i="3"/>
  <c r="U3567" i="3"/>
  <c r="V3567" i="3" s="1"/>
  <c r="U3568" i="3"/>
  <c r="V3568" i="3" s="1"/>
  <c r="U3569" i="3"/>
  <c r="V3569" i="3" s="1"/>
  <c r="U3570" i="3"/>
  <c r="U3571" i="3"/>
  <c r="V3571" i="3" s="1"/>
  <c r="U3572" i="3"/>
  <c r="V3572" i="3" s="1"/>
  <c r="U3573" i="3"/>
  <c r="V3573" i="3" s="1"/>
  <c r="U3574" i="3"/>
  <c r="U3575" i="3"/>
  <c r="V3575" i="3" s="1"/>
  <c r="U3576" i="3"/>
  <c r="V3576" i="3" s="1"/>
  <c r="U3577" i="3"/>
  <c r="V3577" i="3" s="1"/>
  <c r="U3578" i="3"/>
  <c r="U3579" i="3"/>
  <c r="V3579" i="3" s="1"/>
  <c r="U3580" i="3"/>
  <c r="V3580" i="3" s="1"/>
  <c r="U3581" i="3"/>
  <c r="V3581" i="3" s="1"/>
  <c r="U3582" i="3"/>
  <c r="U3583" i="3"/>
  <c r="V3583" i="3" s="1"/>
  <c r="U3584" i="3"/>
  <c r="V3584" i="3" s="1"/>
  <c r="U3585" i="3"/>
  <c r="V3585" i="3" s="1"/>
  <c r="U3586" i="3"/>
  <c r="U3587" i="3"/>
  <c r="V3587" i="3" s="1"/>
  <c r="U3588" i="3"/>
  <c r="V3588" i="3" s="1"/>
  <c r="U3589" i="3"/>
  <c r="V3589" i="3" s="1"/>
  <c r="U3590" i="3"/>
  <c r="U3591" i="3"/>
  <c r="V3591" i="3" s="1"/>
  <c r="U3592" i="3"/>
  <c r="V3592" i="3" s="1"/>
  <c r="U3593" i="3"/>
  <c r="V3593" i="3" s="1"/>
  <c r="U3594" i="3"/>
  <c r="U3595" i="3"/>
  <c r="V3595" i="3" s="1"/>
  <c r="U3596" i="3"/>
  <c r="V3596" i="3" s="1"/>
  <c r="U3597" i="3"/>
  <c r="V3597" i="3" s="1"/>
  <c r="U3598" i="3"/>
  <c r="U3599" i="3"/>
  <c r="V3599" i="3" s="1"/>
  <c r="U3600" i="3"/>
  <c r="V3600" i="3" s="1"/>
  <c r="U3601" i="3"/>
  <c r="V3601" i="3" s="1"/>
  <c r="U3602" i="3"/>
  <c r="U3603" i="3"/>
  <c r="V3603" i="3" s="1"/>
  <c r="U3604" i="3"/>
  <c r="V3604" i="3" s="1"/>
  <c r="U3605" i="3"/>
  <c r="V3605" i="3" s="1"/>
  <c r="U3606" i="3"/>
  <c r="U3607" i="3"/>
  <c r="V3607" i="3" s="1"/>
  <c r="U3608" i="3"/>
  <c r="V3608" i="3" s="1"/>
  <c r="U3609" i="3"/>
  <c r="V3609" i="3" s="1"/>
  <c r="U3610" i="3"/>
  <c r="U3611" i="3"/>
  <c r="V3611" i="3" s="1"/>
  <c r="U3612" i="3"/>
  <c r="V3612" i="3" s="1"/>
  <c r="U3613" i="3"/>
  <c r="V3613" i="3" s="1"/>
  <c r="U3614" i="3"/>
  <c r="U3615" i="3"/>
  <c r="V3615" i="3" s="1"/>
  <c r="U3616" i="3"/>
  <c r="V3616" i="3" s="1"/>
  <c r="U3617" i="3"/>
  <c r="V3617" i="3" s="1"/>
  <c r="U3618" i="3"/>
  <c r="U3619" i="3"/>
  <c r="V3619" i="3" s="1"/>
  <c r="U3620" i="3"/>
  <c r="V3620" i="3" s="1"/>
  <c r="U3621" i="3"/>
  <c r="V3621" i="3" s="1"/>
  <c r="U3622" i="3"/>
  <c r="U3623" i="3"/>
  <c r="V3623" i="3" s="1"/>
  <c r="U3624" i="3"/>
  <c r="V3624" i="3" s="1"/>
  <c r="U3625" i="3"/>
  <c r="V3625" i="3" s="1"/>
  <c r="U3626" i="3"/>
  <c r="U3627" i="3"/>
  <c r="V3627" i="3" s="1"/>
  <c r="U3628" i="3"/>
  <c r="V3628" i="3" s="1"/>
  <c r="U3629" i="3"/>
  <c r="V3629" i="3" s="1"/>
  <c r="U3630" i="3"/>
  <c r="U3631" i="3"/>
  <c r="V3631" i="3" s="1"/>
  <c r="U3632" i="3"/>
  <c r="V3632" i="3" s="1"/>
  <c r="U3633" i="3"/>
  <c r="V3633" i="3" s="1"/>
  <c r="U3634" i="3"/>
  <c r="U3635" i="3"/>
  <c r="V3635" i="3" s="1"/>
  <c r="U3636" i="3"/>
  <c r="V3636" i="3" s="1"/>
  <c r="U3637" i="3"/>
  <c r="V3637" i="3" s="1"/>
  <c r="U3638" i="3"/>
  <c r="U3639" i="3"/>
  <c r="V3639" i="3" s="1"/>
  <c r="U3640" i="3"/>
  <c r="V3640" i="3" s="1"/>
  <c r="U3641" i="3"/>
  <c r="V3641" i="3" s="1"/>
  <c r="U3642" i="3"/>
  <c r="U3643" i="3"/>
  <c r="V3643" i="3" s="1"/>
  <c r="U3644" i="3"/>
  <c r="V3644" i="3" s="1"/>
  <c r="U3645" i="3"/>
  <c r="V3645" i="3" s="1"/>
  <c r="U3646" i="3"/>
  <c r="U3647" i="3"/>
  <c r="V3647" i="3" s="1"/>
  <c r="U3648" i="3"/>
  <c r="V3648" i="3" s="1"/>
  <c r="U3649" i="3"/>
  <c r="V3649" i="3" s="1"/>
  <c r="U3650" i="3"/>
  <c r="U3651" i="3"/>
  <c r="V3651" i="3" s="1"/>
  <c r="U3652" i="3"/>
  <c r="V3652" i="3" s="1"/>
  <c r="U3653" i="3"/>
  <c r="V3653" i="3" s="1"/>
  <c r="U3654" i="3"/>
  <c r="U3655" i="3"/>
  <c r="V3655" i="3" s="1"/>
  <c r="U3656" i="3"/>
  <c r="V3656" i="3" s="1"/>
  <c r="U3657" i="3"/>
  <c r="V3657" i="3" s="1"/>
  <c r="U3658" i="3"/>
  <c r="U3659" i="3"/>
  <c r="V3659" i="3" s="1"/>
  <c r="U3660" i="3"/>
  <c r="V3660" i="3" s="1"/>
  <c r="U3661" i="3"/>
  <c r="V3661" i="3" s="1"/>
  <c r="U3662" i="3"/>
  <c r="U3663" i="3"/>
  <c r="V3663" i="3" s="1"/>
  <c r="U3664" i="3"/>
  <c r="V3664" i="3" s="1"/>
  <c r="U3665" i="3"/>
  <c r="V3665" i="3" s="1"/>
  <c r="U3666" i="3"/>
  <c r="U3667" i="3"/>
  <c r="V3667" i="3" s="1"/>
  <c r="U3668" i="3"/>
  <c r="V3668" i="3" s="1"/>
  <c r="U3669" i="3"/>
  <c r="V3669" i="3" s="1"/>
  <c r="U3670" i="3"/>
  <c r="U3671" i="3"/>
  <c r="V3671" i="3" s="1"/>
  <c r="U3672" i="3"/>
  <c r="V3672" i="3" s="1"/>
  <c r="U3673" i="3"/>
  <c r="V3673" i="3" s="1"/>
  <c r="U3674" i="3"/>
  <c r="U3675" i="3"/>
  <c r="V3675" i="3" s="1"/>
  <c r="U3676" i="3"/>
  <c r="V3676" i="3" s="1"/>
  <c r="U3677" i="3"/>
  <c r="V3677" i="3" s="1"/>
  <c r="U3678" i="3"/>
  <c r="U3679" i="3"/>
  <c r="V3679" i="3" s="1"/>
  <c r="U3680" i="3"/>
  <c r="V3680" i="3" s="1"/>
  <c r="U3681" i="3"/>
  <c r="V3681" i="3" s="1"/>
  <c r="U3682" i="3"/>
  <c r="U3683" i="3"/>
  <c r="V3683" i="3" s="1"/>
  <c r="U3684" i="3"/>
  <c r="V3684" i="3" s="1"/>
  <c r="U3685" i="3"/>
  <c r="V3685" i="3" s="1"/>
  <c r="U3686" i="3"/>
  <c r="U3687" i="3"/>
  <c r="V3687" i="3" s="1"/>
  <c r="U3688" i="3"/>
  <c r="V3688" i="3" s="1"/>
  <c r="U3689" i="3"/>
  <c r="V3689" i="3" s="1"/>
  <c r="U3690" i="3"/>
  <c r="U3691" i="3"/>
  <c r="V3691" i="3" s="1"/>
  <c r="U3692" i="3"/>
  <c r="V3692" i="3" s="1"/>
  <c r="U3693" i="3"/>
  <c r="V3693" i="3" s="1"/>
  <c r="U3694" i="3"/>
  <c r="U3695" i="3"/>
  <c r="V3695" i="3" s="1"/>
  <c r="U3696" i="3"/>
  <c r="V3696" i="3" s="1"/>
  <c r="U3697" i="3"/>
  <c r="V3697" i="3" s="1"/>
  <c r="U3698" i="3"/>
  <c r="U3699" i="3"/>
  <c r="V3699" i="3" s="1"/>
  <c r="U3700" i="3"/>
  <c r="V3700" i="3" s="1"/>
  <c r="U3701" i="3"/>
  <c r="V3701" i="3" s="1"/>
  <c r="U3702" i="3"/>
  <c r="U3703" i="3"/>
  <c r="V3703" i="3" s="1"/>
  <c r="U3704" i="3"/>
  <c r="V3704" i="3" s="1"/>
  <c r="U3705" i="3"/>
  <c r="V3705" i="3" s="1"/>
  <c r="U3706" i="3"/>
  <c r="U3707" i="3"/>
  <c r="V3707" i="3" s="1"/>
  <c r="U3708" i="3"/>
  <c r="V3708" i="3" s="1"/>
  <c r="U3709" i="3"/>
  <c r="V3709" i="3" s="1"/>
  <c r="U3710" i="3"/>
  <c r="U3711" i="3"/>
  <c r="V3711" i="3" s="1"/>
  <c r="U3712" i="3"/>
  <c r="V3712" i="3" s="1"/>
  <c r="U3713" i="3"/>
  <c r="V3713" i="3" s="1"/>
  <c r="U3714" i="3"/>
  <c r="U3715" i="3"/>
  <c r="V3715" i="3" s="1"/>
  <c r="U3716" i="3"/>
  <c r="V3716" i="3" s="1"/>
  <c r="U3717" i="3"/>
  <c r="V3717" i="3" s="1"/>
  <c r="U3718" i="3"/>
  <c r="U3719" i="3"/>
  <c r="V3719" i="3" s="1"/>
  <c r="U3720" i="3"/>
  <c r="V3720" i="3" s="1"/>
  <c r="U3721" i="3"/>
  <c r="V3721" i="3" s="1"/>
  <c r="U3722" i="3"/>
  <c r="U3723" i="3"/>
  <c r="V3723" i="3" s="1"/>
  <c r="U3724" i="3"/>
  <c r="V3724" i="3" s="1"/>
  <c r="U3725" i="3"/>
  <c r="V3725" i="3" s="1"/>
  <c r="U3726" i="3"/>
  <c r="U3727" i="3"/>
  <c r="V3727" i="3" s="1"/>
  <c r="U3728" i="3"/>
  <c r="V3728" i="3" s="1"/>
  <c r="U3729" i="3"/>
  <c r="V3729" i="3" s="1"/>
  <c r="U3730" i="3"/>
  <c r="U3731" i="3"/>
  <c r="V3731" i="3" s="1"/>
  <c r="U3732" i="3"/>
  <c r="V3732" i="3" s="1"/>
  <c r="U3733" i="3"/>
  <c r="V3733" i="3" s="1"/>
  <c r="U3734" i="3"/>
  <c r="U3735" i="3"/>
  <c r="V3735" i="3" s="1"/>
  <c r="U3736" i="3"/>
  <c r="V3736" i="3" s="1"/>
  <c r="U3737" i="3"/>
  <c r="V3737" i="3" s="1"/>
  <c r="U3738" i="3"/>
  <c r="U3739" i="3"/>
  <c r="V3739" i="3" s="1"/>
  <c r="U3740" i="3"/>
  <c r="V3740" i="3" s="1"/>
  <c r="U3741" i="3"/>
  <c r="V3741" i="3" s="1"/>
  <c r="U3742" i="3"/>
  <c r="U3743" i="3"/>
  <c r="V3743" i="3" s="1"/>
  <c r="U3744" i="3"/>
  <c r="V3744" i="3" s="1"/>
  <c r="U3745" i="3"/>
  <c r="V3745" i="3" s="1"/>
  <c r="U3746" i="3"/>
  <c r="U3747" i="3"/>
  <c r="V3747" i="3" s="1"/>
  <c r="U3748" i="3"/>
  <c r="V3748" i="3" s="1"/>
  <c r="U3749" i="3"/>
  <c r="V3749" i="3" s="1"/>
  <c r="U3750" i="3"/>
  <c r="U3751" i="3"/>
  <c r="V3751" i="3" s="1"/>
  <c r="U3752" i="3"/>
  <c r="V3752" i="3" s="1"/>
  <c r="U3753" i="3"/>
  <c r="V3753" i="3" s="1"/>
  <c r="U3754" i="3"/>
  <c r="U3755" i="3"/>
  <c r="V3755" i="3" s="1"/>
  <c r="U3756" i="3"/>
  <c r="V3756" i="3" s="1"/>
  <c r="U3757" i="3"/>
  <c r="V3757" i="3" s="1"/>
  <c r="U3758" i="3"/>
  <c r="U3759" i="3"/>
  <c r="V3759" i="3" s="1"/>
  <c r="U3760" i="3"/>
  <c r="V3760" i="3" s="1"/>
  <c r="U3761" i="3"/>
  <c r="V3761" i="3" s="1"/>
  <c r="U3762" i="3"/>
  <c r="U3763" i="3"/>
  <c r="V3763" i="3" s="1"/>
  <c r="U3764" i="3"/>
  <c r="V3764" i="3" s="1"/>
  <c r="U3765" i="3"/>
  <c r="V3765" i="3" s="1"/>
  <c r="U3766" i="3"/>
  <c r="U3767" i="3"/>
  <c r="V3767" i="3" s="1"/>
  <c r="U3768" i="3"/>
  <c r="V3768" i="3" s="1"/>
  <c r="U3769" i="3"/>
  <c r="V3769" i="3" s="1"/>
  <c r="U3770" i="3"/>
  <c r="U3771" i="3"/>
  <c r="V3771" i="3" s="1"/>
  <c r="U3772" i="3"/>
  <c r="V3772" i="3" s="1"/>
  <c r="U3773" i="3"/>
  <c r="V3773" i="3" s="1"/>
  <c r="U3774" i="3"/>
  <c r="U3775" i="3"/>
  <c r="V3775" i="3" s="1"/>
  <c r="U3776" i="3"/>
  <c r="V3776" i="3" s="1"/>
  <c r="U3777" i="3"/>
  <c r="V3777" i="3" s="1"/>
  <c r="U3778" i="3"/>
  <c r="U3779" i="3"/>
  <c r="V3779" i="3" s="1"/>
  <c r="U3780" i="3"/>
  <c r="V3780" i="3" s="1"/>
  <c r="U3781" i="3"/>
  <c r="V3781" i="3" s="1"/>
  <c r="U3782" i="3"/>
  <c r="U3783" i="3"/>
  <c r="V3783" i="3" s="1"/>
  <c r="U3784" i="3"/>
  <c r="V3784" i="3" s="1"/>
  <c r="U3785" i="3"/>
  <c r="V3785" i="3" s="1"/>
  <c r="U3786" i="3"/>
  <c r="U3787" i="3"/>
  <c r="V3787" i="3" s="1"/>
  <c r="U3788" i="3"/>
  <c r="V3788" i="3" s="1"/>
  <c r="U3789" i="3"/>
  <c r="V3789" i="3" s="1"/>
  <c r="U3790" i="3"/>
  <c r="U3791" i="3"/>
  <c r="V3791" i="3" s="1"/>
  <c r="U3792" i="3"/>
  <c r="V3792" i="3" s="1"/>
  <c r="U3793" i="3"/>
  <c r="V3793" i="3" s="1"/>
  <c r="U3794" i="3"/>
  <c r="U3795" i="3"/>
  <c r="V3795" i="3" s="1"/>
  <c r="U3796" i="3"/>
  <c r="V3796" i="3" s="1"/>
  <c r="U3797" i="3"/>
  <c r="V3797" i="3" s="1"/>
  <c r="U3798" i="3"/>
  <c r="U3799" i="3"/>
  <c r="V3799" i="3" s="1"/>
  <c r="U3800" i="3"/>
  <c r="V3800" i="3" s="1"/>
  <c r="U3801" i="3"/>
  <c r="V3801" i="3" s="1"/>
  <c r="U3802" i="3"/>
  <c r="U3803" i="3"/>
  <c r="V3803" i="3" s="1"/>
  <c r="U3804" i="3"/>
  <c r="V3804" i="3" s="1"/>
  <c r="U3805" i="3"/>
  <c r="V3805" i="3" s="1"/>
  <c r="U3806" i="3"/>
  <c r="U3807" i="3"/>
  <c r="V3807" i="3" s="1"/>
  <c r="U3808" i="3"/>
  <c r="V3808" i="3" s="1"/>
  <c r="U3809" i="3"/>
  <c r="V3809" i="3" s="1"/>
  <c r="U3810" i="3"/>
  <c r="U3811" i="3"/>
  <c r="V3811" i="3" s="1"/>
  <c r="U3812" i="3"/>
  <c r="V3812" i="3" s="1"/>
  <c r="U3813" i="3"/>
  <c r="V3813" i="3" s="1"/>
  <c r="U3814" i="3"/>
  <c r="U3815" i="3"/>
  <c r="V3815" i="3" s="1"/>
  <c r="U3816" i="3"/>
  <c r="V3816" i="3" s="1"/>
  <c r="U3817" i="3"/>
  <c r="V3817" i="3" s="1"/>
  <c r="U3818" i="3"/>
  <c r="U3819" i="3"/>
  <c r="V3819" i="3" s="1"/>
  <c r="U3820" i="3"/>
  <c r="V3820" i="3" s="1"/>
  <c r="U3821" i="3"/>
  <c r="V3821" i="3" s="1"/>
  <c r="U3822" i="3"/>
  <c r="U3823" i="3"/>
  <c r="V3823" i="3" s="1"/>
  <c r="U3824" i="3"/>
  <c r="V3824" i="3" s="1"/>
  <c r="U3825" i="3"/>
  <c r="V3825" i="3" s="1"/>
  <c r="U3826" i="3"/>
  <c r="U3827" i="3"/>
  <c r="V3827" i="3" s="1"/>
  <c r="U3828" i="3"/>
  <c r="V3828" i="3" s="1"/>
  <c r="U3829" i="3"/>
  <c r="V3829" i="3" s="1"/>
  <c r="U3830" i="3"/>
  <c r="U3831" i="3"/>
  <c r="V3831" i="3" s="1"/>
  <c r="U3832" i="3"/>
  <c r="V3832" i="3" s="1"/>
  <c r="U3833" i="3"/>
  <c r="V3833" i="3" s="1"/>
  <c r="U3834" i="3"/>
  <c r="U3835" i="3"/>
  <c r="V3835" i="3" s="1"/>
  <c r="U3836" i="3"/>
  <c r="V3836" i="3" s="1"/>
  <c r="U3837" i="3"/>
  <c r="V3837" i="3" s="1"/>
  <c r="U3838" i="3"/>
  <c r="U3839" i="3"/>
  <c r="V3839" i="3" s="1"/>
  <c r="U3840" i="3"/>
  <c r="V3840" i="3" s="1"/>
  <c r="U3841" i="3"/>
  <c r="V3841" i="3" s="1"/>
  <c r="U3842" i="3"/>
  <c r="U3843" i="3"/>
  <c r="V3843" i="3" s="1"/>
  <c r="U3844" i="3"/>
  <c r="V3844" i="3" s="1"/>
  <c r="U3845" i="3"/>
  <c r="V3845" i="3" s="1"/>
  <c r="U3846" i="3"/>
  <c r="U3847" i="3"/>
  <c r="V3847" i="3" s="1"/>
  <c r="U3848" i="3"/>
  <c r="V3848" i="3" s="1"/>
  <c r="U3849" i="3"/>
  <c r="V3849" i="3" s="1"/>
  <c r="U3850" i="3"/>
  <c r="U3851" i="3"/>
  <c r="V3851" i="3" s="1"/>
  <c r="U3852" i="3"/>
  <c r="V3852" i="3" s="1"/>
  <c r="U3853" i="3"/>
  <c r="V3853" i="3" s="1"/>
  <c r="U3854" i="3"/>
  <c r="U3855" i="3"/>
  <c r="V3855" i="3" s="1"/>
  <c r="U3856" i="3"/>
  <c r="V3856" i="3" s="1"/>
  <c r="U3857" i="3"/>
  <c r="V3857" i="3" s="1"/>
  <c r="U3858" i="3"/>
  <c r="U3859" i="3"/>
  <c r="V3859" i="3" s="1"/>
  <c r="U3860" i="3"/>
  <c r="V3860" i="3" s="1"/>
  <c r="U3861" i="3"/>
  <c r="V3861" i="3" s="1"/>
  <c r="U3862" i="3"/>
  <c r="U3863" i="3"/>
  <c r="V3863" i="3" s="1"/>
  <c r="U3864" i="3"/>
  <c r="V3864" i="3" s="1"/>
  <c r="U3865" i="3"/>
  <c r="V3865" i="3" s="1"/>
  <c r="U3866" i="3"/>
  <c r="U3867" i="3"/>
  <c r="V3867" i="3" s="1"/>
  <c r="U3868" i="3"/>
  <c r="V3868" i="3" s="1"/>
  <c r="U3869" i="3"/>
  <c r="V3869" i="3" s="1"/>
  <c r="U3870" i="3"/>
  <c r="U3871" i="3"/>
  <c r="V3871" i="3" s="1"/>
  <c r="U3872" i="3"/>
  <c r="V3872" i="3" s="1"/>
  <c r="U3873" i="3"/>
  <c r="V3873" i="3" s="1"/>
  <c r="U3874" i="3"/>
  <c r="U3875" i="3"/>
  <c r="V3875" i="3" s="1"/>
  <c r="U3876" i="3"/>
  <c r="V3876" i="3" s="1"/>
  <c r="U3877" i="3"/>
  <c r="V3877" i="3" s="1"/>
  <c r="U3878" i="3"/>
  <c r="U3879" i="3"/>
  <c r="V3879" i="3" s="1"/>
  <c r="U3880" i="3"/>
  <c r="V3880" i="3" s="1"/>
  <c r="U3881" i="3"/>
  <c r="V3881" i="3" s="1"/>
  <c r="U3882" i="3"/>
  <c r="U3883" i="3"/>
  <c r="V3883" i="3" s="1"/>
  <c r="U3884" i="3"/>
  <c r="V3884" i="3" s="1"/>
  <c r="U3885" i="3"/>
  <c r="V3885" i="3" s="1"/>
  <c r="U3886" i="3"/>
  <c r="U3887" i="3"/>
  <c r="V3887" i="3" s="1"/>
  <c r="U3888" i="3"/>
  <c r="V3888" i="3" s="1"/>
  <c r="U3889" i="3"/>
  <c r="V3889" i="3" s="1"/>
  <c r="U3890" i="3"/>
  <c r="U3891" i="3"/>
  <c r="V3891" i="3" s="1"/>
  <c r="U3892" i="3"/>
  <c r="V3892" i="3" s="1"/>
  <c r="U3893" i="3"/>
  <c r="V3893" i="3" s="1"/>
  <c r="U3894" i="3"/>
  <c r="U3895" i="3"/>
  <c r="V3895" i="3" s="1"/>
  <c r="U3896" i="3"/>
  <c r="V3896" i="3" s="1"/>
  <c r="U3897" i="3"/>
  <c r="V3897" i="3" s="1"/>
  <c r="U3898" i="3"/>
  <c r="U3899" i="3"/>
  <c r="V3899" i="3" s="1"/>
  <c r="U3900" i="3"/>
  <c r="V3900" i="3" s="1"/>
  <c r="U3901" i="3"/>
  <c r="V3901" i="3" s="1"/>
  <c r="U3902" i="3"/>
  <c r="U3903" i="3"/>
  <c r="V3903" i="3" s="1"/>
  <c r="U3904" i="3"/>
  <c r="V3904" i="3" s="1"/>
  <c r="U3905" i="3"/>
  <c r="V3905" i="3" s="1"/>
  <c r="U3906" i="3"/>
  <c r="U3907" i="3"/>
  <c r="V3907" i="3" s="1"/>
  <c r="U3908" i="3"/>
  <c r="V3908" i="3" s="1"/>
  <c r="U3909" i="3"/>
  <c r="V3909" i="3" s="1"/>
  <c r="U3910" i="3"/>
  <c r="U3911" i="3"/>
  <c r="V3911" i="3" s="1"/>
  <c r="U3912" i="3"/>
  <c r="V3912" i="3" s="1"/>
  <c r="U3913" i="3"/>
  <c r="V3913" i="3" s="1"/>
  <c r="U3914" i="3"/>
  <c r="U3915" i="3"/>
  <c r="V3915" i="3" s="1"/>
  <c r="U3916" i="3"/>
  <c r="V3916" i="3" s="1"/>
  <c r="U3917" i="3"/>
  <c r="V3917" i="3" s="1"/>
  <c r="U3918" i="3"/>
  <c r="U3919" i="3"/>
  <c r="V3919" i="3" s="1"/>
  <c r="U3920" i="3"/>
  <c r="V3920" i="3" s="1"/>
  <c r="U3921" i="3"/>
  <c r="V3921" i="3" s="1"/>
  <c r="U3922" i="3"/>
  <c r="U3923" i="3"/>
  <c r="V3923" i="3" s="1"/>
  <c r="U3924" i="3"/>
  <c r="V3924" i="3" s="1"/>
  <c r="U3925" i="3"/>
  <c r="V3925" i="3" s="1"/>
  <c r="U3926" i="3"/>
  <c r="U3927" i="3"/>
  <c r="V3927" i="3" s="1"/>
  <c r="U3928" i="3"/>
  <c r="V3928" i="3" s="1"/>
  <c r="U3929" i="3"/>
  <c r="V3929" i="3" s="1"/>
  <c r="U3930" i="3"/>
  <c r="U3931" i="3"/>
  <c r="V3931" i="3" s="1"/>
  <c r="U3932" i="3"/>
  <c r="V3932" i="3" s="1"/>
  <c r="U3933" i="3"/>
  <c r="V3933" i="3" s="1"/>
  <c r="U3934" i="3"/>
  <c r="U3935" i="3"/>
  <c r="V3935" i="3" s="1"/>
  <c r="U3936" i="3"/>
  <c r="V3936" i="3" s="1"/>
  <c r="U3937" i="3"/>
  <c r="V3937" i="3" s="1"/>
  <c r="U3938" i="3"/>
  <c r="U3939" i="3"/>
  <c r="V3939" i="3" s="1"/>
  <c r="U3940" i="3"/>
  <c r="V3940" i="3" s="1"/>
  <c r="U3941" i="3"/>
  <c r="V3941" i="3" s="1"/>
  <c r="U3942" i="3"/>
  <c r="U3943" i="3"/>
  <c r="V3943" i="3" s="1"/>
  <c r="U3944" i="3"/>
  <c r="V3944" i="3" s="1"/>
  <c r="U3945" i="3"/>
  <c r="V3945" i="3" s="1"/>
  <c r="U3946" i="3"/>
  <c r="U3947" i="3"/>
  <c r="V3947" i="3" s="1"/>
  <c r="U3948" i="3"/>
  <c r="V3948" i="3" s="1"/>
  <c r="U3949" i="3"/>
  <c r="V3949" i="3" s="1"/>
  <c r="U3950" i="3"/>
  <c r="U3951" i="3"/>
  <c r="V3951" i="3" s="1"/>
  <c r="U3952" i="3"/>
  <c r="V3952" i="3" s="1"/>
  <c r="U3953" i="3"/>
  <c r="V3953" i="3" s="1"/>
  <c r="U3954" i="3"/>
  <c r="U3955" i="3"/>
  <c r="V3955" i="3" s="1"/>
  <c r="U3956" i="3"/>
  <c r="V3956" i="3" s="1"/>
  <c r="U3957" i="3"/>
  <c r="V3957" i="3" s="1"/>
  <c r="U3958" i="3"/>
  <c r="U3959" i="3"/>
  <c r="V3959" i="3" s="1"/>
  <c r="U3960" i="3"/>
  <c r="V3960" i="3" s="1"/>
  <c r="U3961" i="3"/>
  <c r="V3961" i="3" s="1"/>
  <c r="U3962" i="3"/>
  <c r="U3963" i="3"/>
  <c r="V3963" i="3" s="1"/>
  <c r="U3964" i="3"/>
  <c r="V3964" i="3" s="1"/>
  <c r="U3965" i="3"/>
  <c r="V3965" i="3" s="1"/>
  <c r="U3966" i="3"/>
  <c r="U3967" i="3"/>
  <c r="V3967" i="3" s="1"/>
  <c r="U3968" i="3"/>
  <c r="V3968" i="3" s="1"/>
  <c r="U3969" i="3"/>
  <c r="V3969" i="3" s="1"/>
  <c r="U3970" i="3"/>
  <c r="U3971" i="3"/>
  <c r="V3971" i="3" s="1"/>
  <c r="U3972" i="3"/>
  <c r="V3972" i="3" s="1"/>
  <c r="U3973" i="3"/>
  <c r="V3973" i="3" s="1"/>
  <c r="U3974" i="3"/>
  <c r="U3975" i="3"/>
  <c r="V3975" i="3" s="1"/>
  <c r="U3976" i="3"/>
  <c r="V3976" i="3" s="1"/>
  <c r="U3977" i="3"/>
  <c r="V3977" i="3" s="1"/>
  <c r="U3978" i="3"/>
  <c r="U3979" i="3"/>
  <c r="V3979" i="3" s="1"/>
  <c r="U3980" i="3"/>
  <c r="V3980" i="3" s="1"/>
  <c r="U3981" i="3"/>
  <c r="V3981" i="3" s="1"/>
  <c r="U3982" i="3"/>
  <c r="U3983" i="3"/>
  <c r="V3983" i="3" s="1"/>
  <c r="U3984" i="3"/>
  <c r="V3984" i="3" s="1"/>
  <c r="U3985" i="3"/>
  <c r="V3985" i="3" s="1"/>
  <c r="U3986" i="3"/>
  <c r="U3987" i="3"/>
  <c r="V3987" i="3" s="1"/>
  <c r="U3988" i="3"/>
  <c r="V3988" i="3" s="1"/>
  <c r="U3989" i="3"/>
  <c r="V3989" i="3" s="1"/>
  <c r="U3990" i="3"/>
  <c r="U3991" i="3"/>
  <c r="V3991" i="3" s="1"/>
  <c r="U3992" i="3"/>
  <c r="V3992" i="3" s="1"/>
  <c r="U3993" i="3"/>
  <c r="V3993" i="3" s="1"/>
  <c r="U3994" i="3"/>
  <c r="U3995" i="3"/>
  <c r="V3995" i="3" s="1"/>
  <c r="U3996" i="3"/>
  <c r="V3996" i="3" s="1"/>
  <c r="U3997" i="3"/>
  <c r="V3997" i="3" s="1"/>
  <c r="U3998" i="3"/>
  <c r="U3999" i="3"/>
  <c r="V3999" i="3" s="1"/>
  <c r="U4000" i="3"/>
  <c r="V4000" i="3" s="1"/>
  <c r="U4001" i="3"/>
  <c r="V4001" i="3" s="1"/>
  <c r="U4002" i="3"/>
  <c r="U4003" i="3"/>
  <c r="V4003" i="3" s="1"/>
  <c r="U4004" i="3"/>
  <c r="V4004" i="3" s="1"/>
  <c r="U4005" i="3"/>
  <c r="V4005" i="3" s="1"/>
  <c r="U4006" i="3"/>
  <c r="U4007" i="3"/>
  <c r="V4007" i="3" s="1"/>
  <c r="U4008" i="3"/>
  <c r="V4008" i="3" s="1"/>
  <c r="U4009" i="3"/>
  <c r="V4009" i="3" s="1"/>
  <c r="U4010" i="3"/>
  <c r="U4011" i="3"/>
  <c r="V4011" i="3" s="1"/>
  <c r="U4012" i="3"/>
  <c r="V4012" i="3" s="1"/>
  <c r="U4013" i="3"/>
  <c r="V4013" i="3" s="1"/>
  <c r="U4014" i="3"/>
  <c r="U4015" i="3"/>
  <c r="V4015" i="3" s="1"/>
  <c r="U4016" i="3"/>
  <c r="V4016" i="3" s="1"/>
  <c r="U4017" i="3"/>
  <c r="V4017" i="3" s="1"/>
  <c r="U4018" i="3"/>
  <c r="U4019" i="3"/>
  <c r="V4019" i="3" s="1"/>
  <c r="U4020" i="3"/>
  <c r="V4020" i="3" s="1"/>
  <c r="U4021" i="3"/>
  <c r="V4021" i="3" s="1"/>
  <c r="U4022" i="3"/>
  <c r="U4023" i="3"/>
  <c r="V4023" i="3" s="1"/>
  <c r="U4024" i="3"/>
  <c r="V4024" i="3" s="1"/>
  <c r="U4025" i="3"/>
  <c r="V4025" i="3" s="1"/>
  <c r="U4026" i="3"/>
  <c r="U4027" i="3"/>
  <c r="V4027" i="3" s="1"/>
  <c r="U4028" i="3"/>
  <c r="V4028" i="3" s="1"/>
  <c r="U4029" i="3"/>
  <c r="V4029" i="3" s="1"/>
  <c r="U4030" i="3"/>
  <c r="U4031" i="3"/>
  <c r="V4031" i="3" s="1"/>
  <c r="U4032" i="3"/>
  <c r="V4032" i="3" s="1"/>
  <c r="U4033" i="3"/>
  <c r="V4033" i="3" s="1"/>
  <c r="U4034" i="3"/>
  <c r="U4035" i="3"/>
  <c r="V4035" i="3" s="1"/>
  <c r="U4036" i="3"/>
  <c r="V4036" i="3" s="1"/>
  <c r="U4037" i="3"/>
  <c r="V4037" i="3" s="1"/>
  <c r="U4038" i="3"/>
  <c r="U4039" i="3"/>
  <c r="V4039" i="3" s="1"/>
  <c r="U4040" i="3"/>
  <c r="V4040" i="3" s="1"/>
  <c r="U4041" i="3"/>
  <c r="V4041" i="3" s="1"/>
  <c r="U4042" i="3"/>
  <c r="U4043" i="3"/>
  <c r="V4043" i="3" s="1"/>
  <c r="U4044" i="3"/>
  <c r="V4044" i="3" s="1"/>
  <c r="U4045" i="3"/>
  <c r="V4045" i="3" s="1"/>
  <c r="U4046" i="3"/>
  <c r="U4047" i="3"/>
  <c r="V4047" i="3" s="1"/>
  <c r="U4048" i="3"/>
  <c r="V4048" i="3" s="1"/>
  <c r="U4049" i="3"/>
  <c r="V4049" i="3" s="1"/>
  <c r="U4050" i="3"/>
  <c r="U4051" i="3"/>
  <c r="V4051" i="3" s="1"/>
  <c r="U4052" i="3"/>
  <c r="V4052" i="3" s="1"/>
  <c r="U4053" i="3"/>
  <c r="V4053" i="3" s="1"/>
  <c r="U4054" i="3"/>
  <c r="U4055" i="3"/>
  <c r="V4055" i="3" s="1"/>
  <c r="U4056" i="3"/>
  <c r="V4056" i="3" s="1"/>
  <c r="U4057" i="3"/>
  <c r="V4057" i="3" s="1"/>
  <c r="U4058" i="3"/>
  <c r="U4059" i="3"/>
  <c r="V4059" i="3" s="1"/>
  <c r="U4060" i="3"/>
  <c r="V4060" i="3" s="1"/>
  <c r="U4061" i="3"/>
  <c r="V4061" i="3" s="1"/>
  <c r="U4062" i="3"/>
  <c r="U4063" i="3"/>
  <c r="V4063" i="3" s="1"/>
  <c r="U4064" i="3"/>
  <c r="V4064" i="3" s="1"/>
  <c r="U4065" i="3"/>
  <c r="V4065" i="3" s="1"/>
  <c r="U4066" i="3"/>
  <c r="U4067" i="3"/>
  <c r="V4067" i="3" s="1"/>
  <c r="U4068" i="3"/>
  <c r="V4068" i="3" s="1"/>
  <c r="U4069" i="3"/>
  <c r="V4069" i="3" s="1"/>
  <c r="U4070" i="3"/>
  <c r="U4071" i="3"/>
  <c r="V4071" i="3" s="1"/>
  <c r="U4072" i="3"/>
  <c r="V4072" i="3" s="1"/>
  <c r="U4073" i="3"/>
  <c r="V4073" i="3" s="1"/>
  <c r="U4074" i="3"/>
  <c r="U4075" i="3"/>
  <c r="V4075" i="3" s="1"/>
  <c r="U4076" i="3"/>
  <c r="V4076" i="3" s="1"/>
  <c r="U4077" i="3"/>
  <c r="V4077" i="3" s="1"/>
  <c r="U4078" i="3"/>
  <c r="U4079" i="3"/>
  <c r="V4079" i="3" s="1"/>
  <c r="U4080" i="3"/>
  <c r="V4080" i="3" s="1"/>
  <c r="U4081" i="3"/>
  <c r="V4081" i="3" s="1"/>
  <c r="U4082" i="3"/>
  <c r="U4083" i="3"/>
  <c r="V4083" i="3" s="1"/>
  <c r="U4084" i="3"/>
  <c r="V4084" i="3" s="1"/>
  <c r="U4085" i="3"/>
  <c r="V4085" i="3" s="1"/>
  <c r="U4086" i="3"/>
  <c r="U4087" i="3"/>
  <c r="V4087" i="3" s="1"/>
  <c r="U4088" i="3"/>
  <c r="V4088" i="3" s="1"/>
  <c r="U4089" i="3"/>
  <c r="V4089" i="3" s="1"/>
  <c r="U4090" i="3"/>
  <c r="U4091" i="3"/>
  <c r="V4091" i="3" s="1"/>
  <c r="U4092" i="3"/>
  <c r="V4092" i="3" s="1"/>
  <c r="U4093" i="3"/>
  <c r="V4093" i="3" s="1"/>
  <c r="U4094" i="3"/>
  <c r="U4095" i="3"/>
  <c r="V4095" i="3" s="1"/>
  <c r="U4096" i="3"/>
  <c r="V4096" i="3" s="1"/>
  <c r="U4097" i="3"/>
  <c r="V4097" i="3" s="1"/>
  <c r="U4098" i="3"/>
  <c r="U4099" i="3"/>
  <c r="V4099" i="3" s="1"/>
  <c r="U4100" i="3"/>
  <c r="V4100" i="3" s="1"/>
  <c r="U4101" i="3"/>
  <c r="V4101" i="3" s="1"/>
  <c r="U4102" i="3"/>
  <c r="U4103" i="3"/>
  <c r="V4103" i="3" s="1"/>
  <c r="U4104" i="3"/>
  <c r="V4104" i="3" s="1"/>
  <c r="U4105" i="3"/>
  <c r="V4105" i="3" s="1"/>
  <c r="U4106" i="3"/>
  <c r="U4107" i="3"/>
  <c r="V4107" i="3" s="1"/>
  <c r="U4108" i="3"/>
  <c r="V4108" i="3" s="1"/>
  <c r="U4109" i="3"/>
  <c r="V4109" i="3" s="1"/>
  <c r="U4110" i="3"/>
  <c r="U4111" i="3"/>
  <c r="V4111" i="3" s="1"/>
  <c r="U4112" i="3"/>
  <c r="V4112" i="3" s="1"/>
  <c r="U4113" i="3"/>
  <c r="V4113" i="3" s="1"/>
  <c r="U4114" i="3"/>
  <c r="U4115" i="3"/>
  <c r="V4115" i="3" s="1"/>
  <c r="U4116" i="3"/>
  <c r="V4116" i="3" s="1"/>
  <c r="U4117" i="3"/>
  <c r="V4117" i="3" s="1"/>
  <c r="U4118" i="3"/>
  <c r="U4119" i="3"/>
  <c r="V4119" i="3" s="1"/>
  <c r="U4120" i="3"/>
  <c r="V4120" i="3" s="1"/>
  <c r="U4121" i="3"/>
  <c r="V4121" i="3" s="1"/>
  <c r="U4122" i="3"/>
  <c r="U4123" i="3"/>
  <c r="V4123" i="3" s="1"/>
  <c r="U4124" i="3"/>
  <c r="V4124" i="3" s="1"/>
  <c r="U4125" i="3"/>
  <c r="V4125" i="3" s="1"/>
  <c r="U4126" i="3"/>
  <c r="U4127" i="3"/>
  <c r="V4127" i="3" s="1"/>
  <c r="U4128" i="3"/>
  <c r="V4128" i="3" s="1"/>
  <c r="U4129" i="3"/>
  <c r="V4129" i="3" s="1"/>
  <c r="U4130" i="3"/>
  <c r="U4131" i="3"/>
  <c r="V4131" i="3" s="1"/>
  <c r="U4132" i="3"/>
  <c r="V4132" i="3" s="1"/>
  <c r="U4133" i="3"/>
  <c r="V4133" i="3" s="1"/>
  <c r="U4134" i="3"/>
  <c r="U4135" i="3"/>
  <c r="V4135" i="3" s="1"/>
  <c r="U4136" i="3"/>
  <c r="V4136" i="3" s="1"/>
  <c r="U4137" i="3"/>
  <c r="V4137" i="3" s="1"/>
  <c r="U4138" i="3"/>
  <c r="U4139" i="3"/>
  <c r="V4139" i="3" s="1"/>
  <c r="U4140" i="3"/>
  <c r="V4140" i="3" s="1"/>
  <c r="U4141" i="3"/>
  <c r="V4141" i="3" s="1"/>
  <c r="U4142" i="3"/>
  <c r="U4143" i="3"/>
  <c r="V4143" i="3" s="1"/>
  <c r="U4144" i="3"/>
  <c r="V4144" i="3" s="1"/>
  <c r="U4145" i="3"/>
  <c r="V4145" i="3" s="1"/>
  <c r="U4146" i="3"/>
  <c r="U4147" i="3"/>
  <c r="V4147" i="3" s="1"/>
  <c r="U4148" i="3"/>
  <c r="V4148" i="3" s="1"/>
  <c r="U4149" i="3"/>
  <c r="V4149" i="3" s="1"/>
  <c r="U4150" i="3"/>
  <c r="U4151" i="3"/>
  <c r="V4151" i="3" s="1"/>
  <c r="U4152" i="3"/>
  <c r="V4152" i="3" s="1"/>
  <c r="U4153" i="3"/>
  <c r="V4153" i="3" s="1"/>
  <c r="U4154" i="3"/>
  <c r="U4155" i="3"/>
  <c r="V4155" i="3" s="1"/>
  <c r="U4156" i="3"/>
  <c r="V4156" i="3" s="1"/>
  <c r="U4157" i="3"/>
  <c r="V4157" i="3" s="1"/>
  <c r="U4158" i="3"/>
  <c r="U4159" i="3"/>
  <c r="V4159" i="3" s="1"/>
  <c r="U4160" i="3"/>
  <c r="V4160" i="3" s="1"/>
  <c r="U4161" i="3"/>
  <c r="V4161" i="3" s="1"/>
  <c r="U4162" i="3"/>
  <c r="U4163" i="3"/>
  <c r="V4163" i="3" s="1"/>
  <c r="U4164" i="3"/>
  <c r="V4164" i="3" s="1"/>
  <c r="U4165" i="3"/>
  <c r="V4165" i="3" s="1"/>
  <c r="U4166" i="3"/>
  <c r="U4167" i="3"/>
  <c r="V4167" i="3" s="1"/>
  <c r="U4168" i="3"/>
  <c r="V4168" i="3" s="1"/>
  <c r="U4169" i="3"/>
  <c r="V4169" i="3" s="1"/>
  <c r="U4170" i="3"/>
  <c r="U4171" i="3"/>
  <c r="V4171" i="3" s="1"/>
  <c r="U4172" i="3"/>
  <c r="V4172" i="3" s="1"/>
  <c r="U4173" i="3"/>
  <c r="V4173" i="3" s="1"/>
  <c r="U4174" i="3"/>
  <c r="U4175" i="3"/>
  <c r="V4175" i="3" s="1"/>
  <c r="U4176" i="3"/>
  <c r="V4176" i="3" s="1"/>
  <c r="U4177" i="3"/>
  <c r="V4177" i="3" s="1"/>
  <c r="U4178" i="3"/>
  <c r="U4179" i="3"/>
  <c r="V4179" i="3" s="1"/>
  <c r="U4180" i="3"/>
  <c r="V4180" i="3" s="1"/>
  <c r="U4181" i="3"/>
  <c r="V4181" i="3" s="1"/>
  <c r="U4182" i="3"/>
  <c r="U4183" i="3"/>
  <c r="V4183" i="3" s="1"/>
  <c r="U4184" i="3"/>
  <c r="V4184" i="3" s="1"/>
  <c r="U4185" i="3"/>
  <c r="V4185" i="3" s="1"/>
  <c r="U4186" i="3"/>
  <c r="U4187" i="3"/>
  <c r="V4187" i="3" s="1"/>
  <c r="U4188" i="3"/>
  <c r="V4188" i="3" s="1"/>
  <c r="U4189" i="3"/>
  <c r="V4189" i="3" s="1"/>
  <c r="U4190" i="3"/>
  <c r="U4191" i="3"/>
  <c r="V4191" i="3" s="1"/>
  <c r="U4192" i="3"/>
  <c r="V4192" i="3" s="1"/>
  <c r="U4193" i="3"/>
  <c r="V4193" i="3" s="1"/>
  <c r="U4194" i="3"/>
  <c r="U4195" i="3"/>
  <c r="V4195" i="3" s="1"/>
  <c r="U4196" i="3"/>
  <c r="V4196" i="3" s="1"/>
  <c r="U4197" i="3"/>
  <c r="V4197" i="3" s="1"/>
  <c r="U4198" i="3"/>
  <c r="U4199" i="3"/>
  <c r="V4199" i="3" s="1"/>
  <c r="U4200" i="3"/>
  <c r="V4200" i="3" s="1"/>
  <c r="U4201" i="3"/>
  <c r="V4201" i="3" s="1"/>
  <c r="U4202" i="3"/>
  <c r="U4203" i="3"/>
  <c r="V4203" i="3" s="1"/>
  <c r="U4204" i="3"/>
  <c r="V4204" i="3" s="1"/>
  <c r="U4205" i="3"/>
  <c r="V4205" i="3" s="1"/>
  <c r="U4206" i="3"/>
  <c r="U4207" i="3"/>
  <c r="V4207" i="3" s="1"/>
  <c r="U4208" i="3"/>
  <c r="V4208" i="3" s="1"/>
  <c r="U4209" i="3"/>
  <c r="V4209" i="3" s="1"/>
  <c r="U4210" i="3"/>
  <c r="U4211" i="3"/>
  <c r="V4211" i="3" s="1"/>
  <c r="U4212" i="3"/>
  <c r="V4212" i="3" s="1"/>
  <c r="U4213" i="3"/>
  <c r="V4213" i="3" s="1"/>
  <c r="U4214" i="3"/>
  <c r="U4215" i="3"/>
  <c r="V4215" i="3" s="1"/>
  <c r="U4216" i="3"/>
  <c r="V4216" i="3" s="1"/>
  <c r="U4217" i="3"/>
  <c r="V4217" i="3" s="1"/>
  <c r="U4218" i="3"/>
  <c r="U4219" i="3"/>
  <c r="V4219" i="3" s="1"/>
  <c r="U4220" i="3"/>
  <c r="V4220" i="3" s="1"/>
  <c r="U4221" i="3"/>
  <c r="V4221" i="3" s="1"/>
  <c r="U4222" i="3"/>
  <c r="U4223" i="3"/>
  <c r="V4223" i="3" s="1"/>
  <c r="U4224" i="3"/>
  <c r="V4224" i="3" s="1"/>
  <c r="U4225" i="3"/>
  <c r="V4225" i="3" s="1"/>
  <c r="U4226" i="3"/>
  <c r="U4227" i="3"/>
  <c r="V4227" i="3" s="1"/>
  <c r="U4228" i="3"/>
  <c r="V4228" i="3" s="1"/>
  <c r="U4229" i="3"/>
  <c r="V4229" i="3" s="1"/>
  <c r="U4230" i="3"/>
  <c r="U4231" i="3"/>
  <c r="V4231" i="3" s="1"/>
  <c r="U4232" i="3"/>
  <c r="V4232" i="3" s="1"/>
  <c r="U4233" i="3"/>
  <c r="V4233" i="3" s="1"/>
  <c r="U4234" i="3"/>
  <c r="U4235" i="3"/>
  <c r="V4235" i="3" s="1"/>
  <c r="U4236" i="3"/>
  <c r="V4236" i="3" s="1"/>
  <c r="U4237" i="3"/>
  <c r="V4237" i="3" s="1"/>
  <c r="U4238" i="3"/>
  <c r="U4239" i="3"/>
  <c r="V4239" i="3" s="1"/>
  <c r="U4240" i="3"/>
  <c r="V4240" i="3" s="1"/>
  <c r="U4241" i="3"/>
  <c r="V4241" i="3" s="1"/>
  <c r="U4242" i="3"/>
  <c r="U4243" i="3"/>
  <c r="V4243" i="3" s="1"/>
  <c r="U4244" i="3"/>
  <c r="V4244" i="3" s="1"/>
  <c r="U4245" i="3"/>
  <c r="V4245" i="3" s="1"/>
  <c r="U4246" i="3"/>
  <c r="U4247" i="3"/>
  <c r="V4247" i="3" s="1"/>
  <c r="U4248" i="3"/>
  <c r="V4248" i="3" s="1"/>
  <c r="U4249" i="3"/>
  <c r="V4249" i="3" s="1"/>
  <c r="U4250" i="3"/>
  <c r="U4251" i="3"/>
  <c r="V4251" i="3" s="1"/>
  <c r="U4252" i="3"/>
  <c r="V4252" i="3" s="1"/>
  <c r="U4253" i="3"/>
  <c r="V4253" i="3" s="1"/>
  <c r="U4254" i="3"/>
  <c r="U4255" i="3"/>
  <c r="V4255" i="3" s="1"/>
  <c r="U4256" i="3"/>
  <c r="V4256" i="3" s="1"/>
  <c r="U4257" i="3"/>
  <c r="V4257" i="3" s="1"/>
  <c r="U4258" i="3"/>
  <c r="U4259" i="3"/>
  <c r="V4259" i="3" s="1"/>
  <c r="U4260" i="3"/>
  <c r="V4260" i="3" s="1"/>
  <c r="U4261" i="3"/>
  <c r="V4261" i="3" s="1"/>
  <c r="U4262" i="3"/>
  <c r="U4263" i="3"/>
  <c r="V4263" i="3" s="1"/>
  <c r="U4264" i="3"/>
  <c r="V4264" i="3" s="1"/>
  <c r="U4265" i="3"/>
  <c r="V4265" i="3" s="1"/>
  <c r="U4266" i="3"/>
  <c r="U4267" i="3"/>
  <c r="V4267" i="3" s="1"/>
  <c r="U4268" i="3"/>
  <c r="V4268" i="3" s="1"/>
  <c r="U4269" i="3"/>
  <c r="V4269" i="3" s="1"/>
  <c r="U4270" i="3"/>
  <c r="U4271" i="3"/>
  <c r="V4271" i="3" s="1"/>
  <c r="U4272" i="3"/>
  <c r="V4272" i="3" s="1"/>
  <c r="U4273" i="3"/>
  <c r="V4273" i="3" s="1"/>
  <c r="U4274" i="3"/>
  <c r="U4275" i="3"/>
  <c r="V4275" i="3" s="1"/>
  <c r="U4276" i="3"/>
  <c r="V4276" i="3" s="1"/>
  <c r="U4277" i="3"/>
  <c r="V4277" i="3" s="1"/>
  <c r="U4278" i="3"/>
  <c r="U4279" i="3"/>
  <c r="V4279" i="3" s="1"/>
  <c r="U4280" i="3"/>
  <c r="V4280" i="3" s="1"/>
  <c r="U4281" i="3"/>
  <c r="V4281" i="3" s="1"/>
  <c r="U4282" i="3"/>
  <c r="U4283" i="3"/>
  <c r="V4283" i="3" s="1"/>
  <c r="U4284" i="3"/>
  <c r="V4284" i="3" s="1"/>
  <c r="U4285" i="3"/>
  <c r="V4285" i="3" s="1"/>
  <c r="U4286" i="3"/>
  <c r="U4287" i="3"/>
  <c r="V4287" i="3" s="1"/>
  <c r="U4288" i="3"/>
  <c r="V4288" i="3" s="1"/>
  <c r="U4289" i="3"/>
  <c r="V4289" i="3" s="1"/>
  <c r="U4290" i="3"/>
  <c r="U4291" i="3"/>
  <c r="V4291" i="3" s="1"/>
  <c r="U4292" i="3"/>
  <c r="V4292" i="3" s="1"/>
  <c r="U4293" i="3"/>
  <c r="V4293" i="3" s="1"/>
  <c r="U4294" i="3"/>
  <c r="U4295" i="3"/>
  <c r="V4295" i="3" s="1"/>
  <c r="U4296" i="3"/>
  <c r="V4296" i="3" s="1"/>
  <c r="U4297" i="3"/>
  <c r="V4297" i="3" s="1"/>
  <c r="U4298" i="3"/>
  <c r="U4299" i="3"/>
  <c r="V4299" i="3" s="1"/>
  <c r="U4300" i="3"/>
  <c r="V4300" i="3" s="1"/>
  <c r="U4301" i="3"/>
  <c r="V4301" i="3" s="1"/>
  <c r="U4302" i="3"/>
  <c r="U4303" i="3"/>
  <c r="V4303" i="3" s="1"/>
  <c r="U4304" i="3"/>
  <c r="V4304" i="3" s="1"/>
  <c r="U4305" i="3"/>
  <c r="V4305" i="3" s="1"/>
  <c r="U4306" i="3"/>
  <c r="U4307" i="3"/>
  <c r="V4307" i="3" s="1"/>
  <c r="U4308" i="3"/>
  <c r="V4308" i="3" s="1"/>
  <c r="U4309" i="3"/>
  <c r="V4309" i="3" s="1"/>
  <c r="U4310" i="3"/>
  <c r="U4311" i="3"/>
  <c r="V4311" i="3" s="1"/>
  <c r="U4312" i="3"/>
  <c r="V4312" i="3" s="1"/>
  <c r="U4313" i="3"/>
  <c r="V4313" i="3" s="1"/>
  <c r="U4314" i="3"/>
  <c r="U4315" i="3"/>
  <c r="V4315" i="3" s="1"/>
  <c r="U4316" i="3"/>
  <c r="V4316" i="3" s="1"/>
  <c r="U4317" i="3"/>
  <c r="V4317" i="3" s="1"/>
  <c r="U4318" i="3"/>
  <c r="U4319" i="3"/>
  <c r="V4319" i="3" s="1"/>
  <c r="U4320" i="3"/>
  <c r="V4320" i="3" s="1"/>
  <c r="U4321" i="3"/>
  <c r="V4321" i="3" s="1"/>
  <c r="U4322" i="3"/>
  <c r="U4323" i="3"/>
  <c r="V4323" i="3" s="1"/>
  <c r="U4324" i="3"/>
  <c r="V4324" i="3" s="1"/>
  <c r="U4500" i="3"/>
  <c r="V4500" i="3" s="1"/>
  <c r="U4501" i="3"/>
  <c r="U4327" i="3"/>
  <c r="V4327" i="3" s="1"/>
  <c r="U4328" i="3"/>
  <c r="V4328" i="3" s="1"/>
  <c r="U4329" i="3"/>
  <c r="V4329" i="3" s="1"/>
  <c r="U4330" i="3"/>
  <c r="U4331" i="3"/>
  <c r="V4331" i="3" s="1"/>
  <c r="U4332" i="3"/>
  <c r="V4332" i="3" s="1"/>
  <c r="U4333" i="3"/>
  <c r="V4333" i="3" s="1"/>
  <c r="U4334" i="3"/>
  <c r="U4335" i="3"/>
  <c r="V4335" i="3" s="1"/>
  <c r="U4336" i="3"/>
  <c r="V4336" i="3" s="1"/>
  <c r="U4337" i="3"/>
  <c r="V4337" i="3" s="1"/>
  <c r="U4338" i="3"/>
  <c r="U4339" i="3"/>
  <c r="V4339" i="3" s="1"/>
  <c r="U4340" i="3"/>
  <c r="V4340" i="3" s="1"/>
  <c r="U4341" i="3"/>
  <c r="V4341" i="3" s="1"/>
  <c r="U4342" i="3"/>
  <c r="U4343" i="3"/>
  <c r="V4343" i="3" s="1"/>
  <c r="U4344" i="3"/>
  <c r="V4344" i="3" s="1"/>
  <c r="U4345" i="3"/>
  <c r="V4345" i="3" s="1"/>
  <c r="U4346" i="3"/>
  <c r="U4347" i="3"/>
  <c r="V4347" i="3" s="1"/>
  <c r="U4348" i="3"/>
  <c r="V4348" i="3" s="1"/>
  <c r="U4349" i="3"/>
  <c r="V4349" i="3" s="1"/>
  <c r="U4350" i="3"/>
  <c r="U4351" i="3"/>
  <c r="V4351" i="3" s="1"/>
  <c r="U4352" i="3"/>
  <c r="V4352" i="3" s="1"/>
  <c r="U4353" i="3"/>
  <c r="V4353" i="3" s="1"/>
  <c r="U4354" i="3"/>
  <c r="U4355" i="3"/>
  <c r="V4355" i="3" s="1"/>
  <c r="U4356" i="3"/>
  <c r="V4356" i="3" s="1"/>
  <c r="U4357" i="3"/>
  <c r="V4357" i="3" s="1"/>
  <c r="U4358" i="3"/>
  <c r="U4359" i="3"/>
  <c r="V4359" i="3" s="1"/>
  <c r="U4360" i="3"/>
  <c r="V4360" i="3" s="1"/>
  <c r="U4361" i="3"/>
  <c r="V4361" i="3" s="1"/>
  <c r="U4362" i="3"/>
  <c r="U4363" i="3"/>
  <c r="V4363" i="3" s="1"/>
  <c r="U4364" i="3"/>
  <c r="V4364" i="3" s="1"/>
  <c r="U4365" i="3"/>
  <c r="V4365" i="3" s="1"/>
  <c r="U4366" i="3"/>
  <c r="U4367" i="3"/>
  <c r="V4367" i="3" s="1"/>
  <c r="U4368" i="3"/>
  <c r="V4368" i="3" s="1"/>
  <c r="U4369" i="3"/>
  <c r="V4369" i="3" s="1"/>
  <c r="U4370" i="3"/>
  <c r="U4371" i="3"/>
  <c r="V4371" i="3" s="1"/>
  <c r="U4372" i="3"/>
  <c r="V4372" i="3" s="1"/>
  <c r="U4373" i="3"/>
  <c r="V4373" i="3" s="1"/>
  <c r="U4374" i="3"/>
  <c r="U4375" i="3"/>
  <c r="V4375" i="3" s="1"/>
  <c r="U4376" i="3"/>
  <c r="V4376" i="3" s="1"/>
  <c r="U4377" i="3"/>
  <c r="V4377" i="3" s="1"/>
  <c r="U4378" i="3"/>
  <c r="U4379" i="3"/>
  <c r="V4379" i="3" s="1"/>
  <c r="U4380" i="3"/>
  <c r="V4380" i="3" s="1"/>
  <c r="U4381" i="3"/>
  <c r="V4381" i="3" s="1"/>
  <c r="U4382" i="3"/>
  <c r="U4383" i="3"/>
  <c r="V4383" i="3" s="1"/>
  <c r="U4384" i="3"/>
  <c r="V4384" i="3" s="1"/>
  <c r="U4385" i="3"/>
  <c r="V4385" i="3" s="1"/>
  <c r="U4386" i="3"/>
  <c r="U4387" i="3"/>
  <c r="V4387" i="3" s="1"/>
  <c r="U4388" i="3"/>
  <c r="V4388" i="3" s="1"/>
  <c r="U4389" i="3"/>
  <c r="V4389" i="3" s="1"/>
  <c r="U4390" i="3"/>
  <c r="U4391" i="3"/>
  <c r="V4391" i="3" s="1"/>
  <c r="U4392" i="3"/>
  <c r="V4392" i="3" s="1"/>
  <c r="U4393" i="3"/>
  <c r="V4393" i="3" s="1"/>
  <c r="U4394" i="3"/>
  <c r="U4395" i="3"/>
  <c r="V4395" i="3" s="1"/>
  <c r="U4396" i="3"/>
  <c r="V4396" i="3" s="1"/>
  <c r="U4397" i="3"/>
  <c r="V4397" i="3" s="1"/>
  <c r="U4398" i="3"/>
  <c r="U4399" i="3"/>
  <c r="V4399" i="3" s="1"/>
  <c r="U4400" i="3"/>
  <c r="V4400" i="3" s="1"/>
  <c r="U4401" i="3"/>
  <c r="V4401" i="3" s="1"/>
  <c r="U4402" i="3"/>
  <c r="U4403" i="3"/>
  <c r="V4403" i="3" s="1"/>
  <c r="U4404" i="3"/>
  <c r="V4404" i="3" s="1"/>
  <c r="U4405" i="3"/>
  <c r="V4405" i="3" s="1"/>
  <c r="U4406" i="3"/>
  <c r="U4407" i="3"/>
  <c r="V4407" i="3" s="1"/>
  <c r="U4408" i="3"/>
  <c r="V4408" i="3" s="1"/>
  <c r="U4409" i="3"/>
  <c r="V4409" i="3" s="1"/>
  <c r="U4410" i="3"/>
  <c r="U4411" i="3"/>
  <c r="V4411" i="3" s="1"/>
  <c r="U4412" i="3"/>
  <c r="V4412" i="3" s="1"/>
  <c r="U4413" i="3"/>
  <c r="V4413" i="3" s="1"/>
  <c r="U4414" i="3"/>
  <c r="U4415" i="3"/>
  <c r="V4415" i="3" s="1"/>
  <c r="U4416" i="3"/>
  <c r="V4416" i="3" s="1"/>
  <c r="U4417" i="3"/>
  <c r="V4417" i="3" s="1"/>
  <c r="U4418" i="3"/>
  <c r="U4419" i="3"/>
  <c r="V4419" i="3" s="1"/>
  <c r="U4420" i="3"/>
  <c r="V4420" i="3" s="1"/>
  <c r="U4421" i="3"/>
  <c r="V4421" i="3" s="1"/>
  <c r="U4422" i="3"/>
  <c r="U4423" i="3"/>
  <c r="V4423" i="3" s="1"/>
  <c r="U4424" i="3"/>
  <c r="V4424" i="3" s="1"/>
  <c r="U4425" i="3"/>
  <c r="V4425" i="3" s="1"/>
  <c r="U4426" i="3"/>
  <c r="U4427" i="3"/>
  <c r="V4427" i="3" s="1"/>
  <c r="U4428" i="3"/>
  <c r="V4428" i="3" s="1"/>
  <c r="U4429" i="3"/>
  <c r="V4429" i="3" s="1"/>
  <c r="U4430" i="3"/>
  <c r="U4431" i="3"/>
  <c r="V4431" i="3" s="1"/>
  <c r="U4432" i="3"/>
  <c r="V4432" i="3" s="1"/>
  <c r="U4433" i="3"/>
  <c r="V4433" i="3" s="1"/>
  <c r="U4434" i="3"/>
  <c r="U4435" i="3"/>
  <c r="V4435" i="3" s="1"/>
  <c r="U4436" i="3"/>
  <c r="V4436" i="3" s="1"/>
  <c r="U4437" i="3"/>
  <c r="V4437" i="3" s="1"/>
  <c r="U4438" i="3"/>
  <c r="U4439" i="3"/>
  <c r="V4439" i="3" s="1"/>
  <c r="U4440" i="3"/>
  <c r="V4440" i="3" s="1"/>
  <c r="U4441" i="3"/>
  <c r="V4441" i="3" s="1"/>
  <c r="U4442" i="3"/>
  <c r="U4443" i="3"/>
  <c r="V4443" i="3" s="1"/>
  <c r="U4444" i="3"/>
  <c r="V4444" i="3" s="1"/>
  <c r="U4445" i="3"/>
  <c r="V4445" i="3" s="1"/>
  <c r="U4446" i="3"/>
  <c r="U4447" i="3"/>
  <c r="V4447" i="3" s="1"/>
  <c r="U4448" i="3"/>
  <c r="V4448" i="3" s="1"/>
  <c r="U4449" i="3"/>
  <c r="V4449" i="3" s="1"/>
  <c r="U4450" i="3"/>
  <c r="U4451" i="3"/>
  <c r="V4451" i="3" s="1"/>
  <c r="U4452" i="3"/>
  <c r="V4452" i="3" s="1"/>
  <c r="U4453" i="3"/>
  <c r="V4453" i="3" s="1"/>
  <c r="U4454" i="3"/>
  <c r="U4455" i="3"/>
  <c r="V4455" i="3" s="1"/>
  <c r="U4456" i="3"/>
  <c r="V4456" i="3" s="1"/>
  <c r="U4457" i="3"/>
  <c r="V4457" i="3" s="1"/>
  <c r="U4458" i="3"/>
  <c r="U4459" i="3"/>
  <c r="V4459" i="3" s="1"/>
  <c r="U4460" i="3"/>
  <c r="V4460" i="3" s="1"/>
  <c r="U4461" i="3"/>
  <c r="V4461" i="3" s="1"/>
  <c r="U4462" i="3"/>
  <c r="U4463" i="3"/>
  <c r="V4463" i="3" s="1"/>
  <c r="U4464" i="3"/>
  <c r="V4464" i="3" s="1"/>
  <c r="U4465" i="3"/>
  <c r="V4465" i="3" s="1"/>
  <c r="U4466" i="3"/>
  <c r="U4467" i="3"/>
  <c r="V4467" i="3" s="1"/>
  <c r="U4468" i="3"/>
  <c r="V4468" i="3" s="1"/>
  <c r="U4469" i="3"/>
  <c r="V4469" i="3" s="1"/>
  <c r="U4470" i="3"/>
  <c r="U4471" i="3"/>
  <c r="V4471" i="3" s="1"/>
  <c r="U4472" i="3"/>
  <c r="V4472" i="3" s="1"/>
  <c r="U4473" i="3"/>
  <c r="V4473" i="3" s="1"/>
  <c r="U4474" i="3"/>
  <c r="U4475" i="3"/>
  <c r="V4475" i="3" s="1"/>
  <c r="U4476" i="3"/>
  <c r="V4476" i="3" s="1"/>
  <c r="U4477" i="3"/>
  <c r="V4477" i="3" s="1"/>
  <c r="U4478" i="3"/>
  <c r="U4479" i="3"/>
  <c r="V4479" i="3" s="1"/>
  <c r="U4480" i="3"/>
  <c r="V4480" i="3" s="1"/>
  <c r="U4481" i="3"/>
  <c r="V4481" i="3" s="1"/>
  <c r="U4482" i="3"/>
  <c r="U4483" i="3"/>
  <c r="V4483" i="3" s="1"/>
  <c r="U4484" i="3"/>
  <c r="V4484" i="3" s="1"/>
  <c r="U4485" i="3"/>
  <c r="V4485" i="3" s="1"/>
  <c r="U4486" i="3"/>
  <c r="U4487" i="3"/>
  <c r="V4487" i="3" s="1"/>
  <c r="U4488" i="3"/>
  <c r="V4488" i="3" s="1"/>
  <c r="U4489" i="3"/>
  <c r="V4489" i="3" s="1"/>
  <c r="U4490" i="3"/>
  <c r="U4491" i="3"/>
  <c r="V4491" i="3" s="1"/>
  <c r="U4492" i="3"/>
  <c r="V4492" i="3" s="1"/>
  <c r="U4493" i="3"/>
  <c r="V4493" i="3" s="1"/>
  <c r="U4494" i="3"/>
  <c r="U4495" i="3"/>
  <c r="V4495" i="3" s="1"/>
  <c r="U4496" i="3"/>
  <c r="V4496" i="3" s="1"/>
  <c r="U4497" i="3"/>
  <c r="V4497" i="3" s="1"/>
  <c r="U4498" i="3"/>
  <c r="U4499" i="3"/>
  <c r="V4499" i="3" s="1"/>
  <c r="U4502" i="3"/>
  <c r="V4502" i="3" s="1"/>
  <c r="U4503" i="3"/>
  <c r="V4503" i="3" s="1"/>
  <c r="U4504" i="3"/>
  <c r="V4504" i="3" s="1"/>
  <c r="U4505" i="3"/>
  <c r="V4505" i="3" s="1"/>
  <c r="U4506" i="3"/>
  <c r="V4506" i="3" s="1"/>
  <c r="U4507" i="3"/>
  <c r="V4507" i="3" s="1"/>
  <c r="U4508" i="3"/>
  <c r="V4508" i="3" s="1"/>
  <c r="U4509" i="3"/>
  <c r="V4509" i="3" s="1"/>
  <c r="U4510" i="3"/>
  <c r="V4510" i="3" s="1"/>
  <c r="U4511" i="3"/>
  <c r="V4511" i="3" s="1"/>
  <c r="U4512" i="3"/>
  <c r="V4512" i="3" s="1"/>
  <c r="U4513" i="3"/>
  <c r="V4513" i="3" s="1"/>
  <c r="U4514" i="3"/>
  <c r="V4514" i="3" s="1"/>
  <c r="U4515" i="3"/>
  <c r="V4515" i="3" s="1"/>
  <c r="U4516" i="3"/>
  <c r="V4516" i="3" s="1"/>
  <c r="U4517" i="3"/>
  <c r="V4517" i="3" s="1"/>
  <c r="U4518" i="3"/>
  <c r="V4518" i="3" s="1"/>
  <c r="U4519" i="3"/>
  <c r="V4519" i="3" s="1"/>
  <c r="U4520" i="3"/>
  <c r="V4520" i="3" s="1"/>
  <c r="U4521" i="3"/>
  <c r="V4521" i="3" s="1"/>
  <c r="U4522" i="3"/>
  <c r="V4522" i="3" s="1"/>
  <c r="U4523" i="3"/>
  <c r="V4523" i="3" s="1"/>
  <c r="U4524" i="3"/>
  <c r="V4524" i="3" s="1"/>
  <c r="U4525" i="3"/>
  <c r="V4525" i="3" s="1"/>
  <c r="U4526" i="3"/>
  <c r="V4526" i="3" s="1"/>
  <c r="U4527" i="3"/>
  <c r="V4527" i="3" s="1"/>
  <c r="U4528" i="3"/>
  <c r="V4528" i="3" s="1"/>
  <c r="U4529" i="3"/>
  <c r="V4529" i="3" s="1"/>
  <c r="U4530" i="3"/>
  <c r="V4530" i="3" s="1"/>
  <c r="U4531" i="3"/>
  <c r="V4531" i="3" s="1"/>
  <c r="U4532" i="3"/>
  <c r="V4532" i="3" s="1"/>
  <c r="U4533" i="3"/>
  <c r="V4533" i="3" s="1"/>
  <c r="U4534" i="3"/>
  <c r="V4534" i="3" s="1"/>
  <c r="U4535" i="3"/>
  <c r="V4535" i="3" s="1"/>
  <c r="U4536" i="3"/>
  <c r="V4536" i="3" s="1"/>
  <c r="U4537" i="3"/>
  <c r="V4537" i="3" s="1"/>
  <c r="U4538" i="3"/>
  <c r="V4538" i="3" s="1"/>
  <c r="U4539" i="3"/>
  <c r="V4539" i="3" s="1"/>
  <c r="U4540" i="3"/>
  <c r="V4540" i="3" s="1"/>
  <c r="U4541" i="3"/>
  <c r="V4541" i="3" s="1"/>
  <c r="U4542" i="3"/>
  <c r="V4542" i="3" s="1"/>
  <c r="U4543" i="3"/>
  <c r="V4543" i="3" s="1"/>
  <c r="U4544" i="3"/>
  <c r="V4544" i="3" s="1"/>
  <c r="U4545" i="3"/>
  <c r="V4545" i="3" s="1"/>
  <c r="U4546" i="3"/>
  <c r="V4546" i="3" s="1"/>
  <c r="U4547" i="3"/>
  <c r="V4547" i="3" s="1"/>
  <c r="U4548" i="3"/>
  <c r="V4548" i="3" s="1"/>
  <c r="U4549" i="3"/>
  <c r="V4549" i="3" s="1"/>
  <c r="U4550" i="3"/>
  <c r="V4550" i="3" s="1"/>
  <c r="U4551" i="3"/>
  <c r="V4551" i="3" s="1"/>
  <c r="U4552" i="3"/>
  <c r="V4552" i="3" s="1"/>
  <c r="U4553" i="3"/>
  <c r="V4553" i="3" s="1"/>
  <c r="U4554" i="3"/>
  <c r="V4554" i="3" s="1"/>
  <c r="U4555" i="3"/>
  <c r="V4555" i="3" s="1"/>
  <c r="U4556" i="3"/>
  <c r="V4556" i="3" s="1"/>
  <c r="U4557" i="3"/>
  <c r="V4557" i="3" s="1"/>
  <c r="U4558" i="3"/>
  <c r="V4558" i="3" s="1"/>
  <c r="U4559" i="3"/>
  <c r="V4559" i="3" s="1"/>
  <c r="U4560" i="3"/>
  <c r="V4560" i="3" s="1"/>
  <c r="U4561" i="3"/>
  <c r="V4561" i="3" s="1"/>
  <c r="U4562" i="3"/>
  <c r="V4562" i="3" s="1"/>
  <c r="U4563" i="3"/>
  <c r="V4563" i="3" s="1"/>
  <c r="U4564" i="3"/>
  <c r="V4564" i="3" s="1"/>
  <c r="U4565" i="3"/>
  <c r="V4565" i="3" s="1"/>
  <c r="U4566" i="3"/>
  <c r="V4566" i="3" s="1"/>
  <c r="U4567" i="3"/>
  <c r="V4567" i="3" s="1"/>
  <c r="U4568" i="3"/>
  <c r="V4568" i="3" s="1"/>
  <c r="U4569" i="3"/>
  <c r="V4569" i="3" s="1"/>
  <c r="U4570" i="3"/>
  <c r="V4570" i="3" s="1"/>
  <c r="U4571" i="3"/>
  <c r="V4571" i="3" s="1"/>
  <c r="U4572" i="3"/>
  <c r="V4572" i="3" s="1"/>
  <c r="U4573" i="3"/>
  <c r="V4573" i="3" s="1"/>
  <c r="U4574" i="3"/>
  <c r="V4574" i="3" s="1"/>
  <c r="U4575" i="3"/>
  <c r="V4575" i="3" s="1"/>
  <c r="U4576" i="3"/>
  <c r="V4576" i="3" s="1"/>
  <c r="U4577" i="3"/>
  <c r="V4577" i="3" s="1"/>
  <c r="U4578" i="3"/>
  <c r="V4578" i="3" s="1"/>
  <c r="U4579" i="3"/>
  <c r="V4579" i="3" s="1"/>
  <c r="U4580" i="3"/>
  <c r="V4580" i="3" s="1"/>
  <c r="U4581" i="3"/>
  <c r="V4581" i="3" s="1"/>
  <c r="U4582" i="3"/>
  <c r="V4582" i="3" s="1"/>
  <c r="U4583" i="3"/>
  <c r="V4583" i="3" s="1"/>
  <c r="U4584" i="3"/>
  <c r="V4584" i="3" s="1"/>
  <c r="U4585" i="3"/>
  <c r="V4585" i="3" s="1"/>
  <c r="U4586" i="3"/>
  <c r="V4586" i="3" s="1"/>
  <c r="U4587" i="3"/>
  <c r="V4587" i="3" s="1"/>
  <c r="U4588" i="3"/>
  <c r="V4588" i="3" s="1"/>
  <c r="U4589" i="3"/>
  <c r="V4589" i="3" s="1"/>
  <c r="U4590" i="3"/>
  <c r="V4590" i="3" s="1"/>
  <c r="U4591" i="3"/>
  <c r="V4591" i="3" s="1"/>
  <c r="U4592" i="3"/>
  <c r="V4592" i="3" s="1"/>
  <c r="U4593" i="3"/>
  <c r="V4593" i="3" s="1"/>
  <c r="U4594" i="3"/>
  <c r="V4594" i="3" s="1"/>
  <c r="U4595" i="3"/>
  <c r="V4595" i="3" s="1"/>
  <c r="U4596" i="3"/>
  <c r="V4596" i="3" s="1"/>
  <c r="U4597" i="3"/>
  <c r="V4597" i="3" s="1"/>
  <c r="U4598" i="3"/>
  <c r="V4598" i="3" s="1"/>
  <c r="U4599" i="3"/>
  <c r="V4599" i="3" s="1"/>
  <c r="U4600" i="3"/>
  <c r="V4600" i="3" s="1"/>
  <c r="U4601" i="3"/>
  <c r="V4601" i="3" s="1"/>
  <c r="U4602" i="3"/>
  <c r="V4602" i="3" s="1"/>
  <c r="U4603" i="3"/>
  <c r="V4603" i="3" s="1"/>
  <c r="U4604" i="3"/>
  <c r="V4604" i="3" s="1"/>
  <c r="U4605" i="3"/>
  <c r="V4605" i="3" s="1"/>
  <c r="U4606" i="3"/>
  <c r="V4606" i="3" s="1"/>
  <c r="U4607" i="3"/>
  <c r="V4607" i="3" s="1"/>
  <c r="U4608" i="3"/>
  <c r="V4608" i="3" s="1"/>
  <c r="U4609" i="3"/>
  <c r="V4609" i="3" s="1"/>
  <c r="U4610" i="3"/>
  <c r="V4610" i="3" s="1"/>
  <c r="U4611" i="3"/>
  <c r="V4611" i="3" s="1"/>
  <c r="V3370" i="3"/>
  <c r="V3374" i="3"/>
  <c r="V3378" i="3"/>
  <c r="V3382" i="3"/>
  <c r="V3386" i="3"/>
  <c r="V3387" i="3"/>
  <c r="V3390" i="3"/>
  <c r="V3392" i="3"/>
  <c r="V3394" i="3"/>
  <c r="V3398" i="3"/>
  <c r="V3402" i="3"/>
  <c r="V3406" i="3"/>
  <c r="V3410" i="3"/>
  <c r="V3414" i="3"/>
  <c r="V3418" i="3"/>
  <c r="V3422" i="3"/>
  <c r="V3426" i="3"/>
  <c r="V3430" i="3"/>
  <c r="V3434" i="3"/>
  <c r="V3438" i="3"/>
  <c r="V3442" i="3"/>
  <c r="V3446" i="3"/>
  <c r="V3450" i="3"/>
  <c r="V3454" i="3"/>
  <c r="V3458" i="3"/>
  <c r="V3462" i="3"/>
  <c r="V3466" i="3"/>
  <c r="V3470" i="3"/>
  <c r="V3474" i="3"/>
  <c r="V3475" i="3"/>
  <c r="V3478" i="3"/>
  <c r="V3482" i="3"/>
  <c r="V3486" i="3"/>
  <c r="V3490" i="3"/>
  <c r="V3494" i="3"/>
  <c r="V3498" i="3"/>
  <c r="V3502" i="3"/>
  <c r="V3506" i="3"/>
  <c r="V3510" i="3"/>
  <c r="V3514" i="3"/>
  <c r="V3518" i="3"/>
  <c r="V3522" i="3"/>
  <c r="V3523" i="3"/>
  <c r="V3526" i="3"/>
  <c r="V3530" i="3"/>
  <c r="V3534" i="3"/>
  <c r="V3538" i="3"/>
  <c r="V3542" i="3"/>
  <c r="V3546" i="3"/>
  <c r="V3550" i="3"/>
  <c r="V3554" i="3"/>
  <c r="V3558" i="3"/>
  <c r="V3562" i="3"/>
  <c r="V3566" i="3"/>
  <c r="V3570" i="3"/>
  <c r="V3574" i="3"/>
  <c r="V3578" i="3"/>
  <c r="V3582" i="3"/>
  <c r="V3586" i="3"/>
  <c r="V3590" i="3"/>
  <c r="V3594" i="3"/>
  <c r="V3598" i="3"/>
  <c r="V3602" i="3"/>
  <c r="V3606" i="3"/>
  <c r="V3610" i="3"/>
  <c r="V3614" i="3"/>
  <c r="V3618" i="3"/>
  <c r="V3622" i="3"/>
  <c r="V3626" i="3"/>
  <c r="V3630" i="3"/>
  <c r="V3634" i="3"/>
  <c r="V3638" i="3"/>
  <c r="V3642" i="3"/>
  <c r="V3646" i="3"/>
  <c r="V3650" i="3"/>
  <c r="V3654" i="3"/>
  <c r="V3658" i="3"/>
  <c r="V3662" i="3"/>
  <c r="V3666" i="3"/>
  <c r="V3670" i="3"/>
  <c r="V3674" i="3"/>
  <c r="V3678" i="3"/>
  <c r="V3682" i="3"/>
  <c r="V3686" i="3"/>
  <c r="V3690" i="3"/>
  <c r="V3694" i="3"/>
  <c r="V3698" i="3"/>
  <c r="V3702" i="3"/>
  <c r="V3706" i="3"/>
  <c r="V3710" i="3"/>
  <c r="V3714" i="3"/>
  <c r="V3718" i="3"/>
  <c r="V3722" i="3"/>
  <c r="V3726" i="3"/>
  <c r="V3730" i="3"/>
  <c r="V3734" i="3"/>
  <c r="V3738" i="3"/>
  <c r="V3742" i="3"/>
  <c r="V3746" i="3"/>
  <c r="V3750" i="3"/>
  <c r="V3754" i="3"/>
  <c r="V3758" i="3"/>
  <c r="V3762" i="3"/>
  <c r="V3766" i="3"/>
  <c r="V3770" i="3"/>
  <c r="V3774" i="3"/>
  <c r="V3778" i="3"/>
  <c r="V3782" i="3"/>
  <c r="V3786" i="3"/>
  <c r="V3790" i="3"/>
  <c r="V3794" i="3"/>
  <c r="V3798" i="3"/>
  <c r="V3802" i="3"/>
  <c r="V3806" i="3"/>
  <c r="V3810" i="3"/>
  <c r="V3814" i="3"/>
  <c r="V3818" i="3"/>
  <c r="V3822" i="3"/>
  <c r="V3826" i="3"/>
  <c r="V3830" i="3"/>
  <c r="V3834" i="3"/>
  <c r="V3838" i="3"/>
  <c r="V3842" i="3"/>
  <c r="V3846" i="3"/>
  <c r="V3850" i="3"/>
  <c r="V3854" i="3"/>
  <c r="V3858" i="3"/>
  <c r="V3862" i="3"/>
  <c r="V3866" i="3"/>
  <c r="V3870" i="3"/>
  <c r="V3874" i="3"/>
  <c r="V3878" i="3"/>
  <c r="V3882" i="3"/>
  <c r="V3886" i="3"/>
  <c r="V3890" i="3"/>
  <c r="V3894" i="3"/>
  <c r="V3898" i="3"/>
  <c r="V3902" i="3"/>
  <c r="V3906" i="3"/>
  <c r="V3910" i="3"/>
  <c r="V3914" i="3"/>
  <c r="V3918" i="3"/>
  <c r="V3922" i="3"/>
  <c r="V3926" i="3"/>
  <c r="V3930" i="3"/>
  <c r="V3934" i="3"/>
  <c r="V3938" i="3"/>
  <c r="V3942" i="3"/>
  <c r="V3946" i="3"/>
  <c r="V3950" i="3"/>
  <c r="V3954" i="3"/>
  <c r="V3958" i="3"/>
  <c r="V3962" i="3"/>
  <c r="V3966" i="3"/>
  <c r="V3970" i="3"/>
  <c r="V3974" i="3"/>
  <c r="V3978" i="3"/>
  <c r="V3982" i="3"/>
  <c r="V3986" i="3"/>
  <c r="V3990" i="3"/>
  <c r="V3994" i="3"/>
  <c r="V3998" i="3"/>
  <c r="V4002" i="3"/>
  <c r="V4006" i="3"/>
  <c r="V4010" i="3"/>
  <c r="V4014" i="3"/>
  <c r="V4018" i="3"/>
  <c r="V4022" i="3"/>
  <c r="V4026" i="3"/>
  <c r="V4030" i="3"/>
  <c r="V4034" i="3"/>
  <c r="V4038" i="3"/>
  <c r="V4042" i="3"/>
  <c r="V4046" i="3"/>
  <c r="V4050" i="3"/>
  <c r="V4054" i="3"/>
  <c r="V4058" i="3"/>
  <c r="V4062" i="3"/>
  <c r="V4066" i="3"/>
  <c r="V4070" i="3"/>
  <c r="V4074" i="3"/>
  <c r="V4078" i="3"/>
  <c r="V4082" i="3"/>
  <c r="V4086" i="3"/>
  <c r="V4090" i="3"/>
  <c r="V4094" i="3"/>
  <c r="V4098" i="3"/>
  <c r="V4102" i="3"/>
  <c r="V4106" i="3"/>
  <c r="V4110" i="3"/>
  <c r="V4114" i="3"/>
  <c r="V4118" i="3"/>
  <c r="V4122" i="3"/>
  <c r="V4126" i="3"/>
  <c r="V4130" i="3"/>
  <c r="V4134" i="3"/>
  <c r="V4138" i="3"/>
  <c r="V4142" i="3"/>
  <c r="V4146" i="3"/>
  <c r="V4150" i="3"/>
  <c r="V4154" i="3"/>
  <c r="V4158" i="3"/>
  <c r="V4162" i="3"/>
  <c r="V4166" i="3"/>
  <c r="V4170" i="3"/>
  <c r="V4174" i="3"/>
  <c r="V4178" i="3"/>
  <c r="V4182" i="3"/>
  <c r="V4186" i="3"/>
  <c r="V4190" i="3"/>
  <c r="V4194" i="3"/>
  <c r="V4198" i="3"/>
  <c r="V4202" i="3"/>
  <c r="V4206" i="3"/>
  <c r="V4210" i="3"/>
  <c r="V4214" i="3"/>
  <c r="V4218" i="3"/>
  <c r="V4222" i="3"/>
  <c r="V4226" i="3"/>
  <c r="V4230" i="3"/>
  <c r="V4234" i="3"/>
  <c r="V4238" i="3"/>
  <c r="V4242" i="3"/>
  <c r="V4246" i="3"/>
  <c r="V4250" i="3"/>
  <c r="V4254" i="3"/>
  <c r="V4258" i="3"/>
  <c r="V4262" i="3"/>
  <c r="V4266" i="3"/>
  <c r="V4270" i="3"/>
  <c r="V4274" i="3"/>
  <c r="V4278" i="3"/>
  <c r="V4282" i="3"/>
  <c r="V4286" i="3"/>
  <c r="V4290" i="3"/>
  <c r="V4294" i="3"/>
  <c r="V4298" i="3"/>
  <c r="V4302" i="3"/>
  <c r="V4306" i="3"/>
  <c r="V4310" i="3"/>
  <c r="V4314" i="3"/>
  <c r="V4318" i="3"/>
  <c r="V4322" i="3"/>
  <c r="V4501" i="3"/>
  <c r="V4330" i="3"/>
  <c r="V4334" i="3"/>
  <c r="V4338" i="3"/>
  <c r="V4342" i="3"/>
  <c r="V4346" i="3"/>
  <c r="V4350" i="3"/>
  <c r="V4354" i="3"/>
  <c r="V4358" i="3"/>
  <c r="V4362" i="3"/>
  <c r="V4366" i="3"/>
  <c r="V4370" i="3"/>
  <c r="V4374" i="3"/>
  <c r="V4378" i="3"/>
  <c r="V4382" i="3"/>
  <c r="V4386" i="3"/>
  <c r="V4390" i="3"/>
  <c r="V4394" i="3"/>
  <c r="V4398" i="3"/>
  <c r="V4402" i="3"/>
  <c r="V4406" i="3"/>
  <c r="V4410" i="3"/>
  <c r="V4414" i="3"/>
  <c r="V4418" i="3"/>
  <c r="V4422" i="3"/>
  <c r="V4426" i="3"/>
  <c r="V4430" i="3"/>
  <c r="V4434" i="3"/>
  <c r="V4438" i="3"/>
  <c r="V4442" i="3"/>
  <c r="V4446" i="3"/>
  <c r="V4450" i="3"/>
  <c r="V4454" i="3"/>
  <c r="V4458" i="3"/>
  <c r="V4462" i="3"/>
  <c r="V4466" i="3"/>
  <c r="V4470" i="3"/>
  <c r="V4474" i="3"/>
  <c r="V4478" i="3"/>
  <c r="V4482" i="3"/>
  <c r="V4486" i="3"/>
  <c r="V4490" i="3"/>
  <c r="V4494" i="3"/>
  <c r="V4498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500" i="3"/>
  <c r="W4501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X3367" i="3"/>
  <c r="X3368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4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3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2" i="3"/>
  <c r="X3453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472" i="3"/>
  <c r="X3473" i="3"/>
  <c r="X3474" i="3"/>
  <c r="X3475" i="3"/>
  <c r="X3476" i="3"/>
  <c r="X3477" i="3"/>
  <c r="X3478" i="3"/>
  <c r="X3479" i="3"/>
  <c r="X3480" i="3"/>
  <c r="X3481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3494" i="3"/>
  <c r="X3495" i="3"/>
  <c r="X3496" i="3"/>
  <c r="X3497" i="3"/>
  <c r="X3498" i="3"/>
  <c r="X3499" i="3"/>
  <c r="X3500" i="3"/>
  <c r="X3501" i="3"/>
  <c r="X3502" i="3"/>
  <c r="X3503" i="3"/>
  <c r="X3504" i="3"/>
  <c r="X3505" i="3"/>
  <c r="X3506" i="3"/>
  <c r="X3507" i="3"/>
  <c r="X3508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49" i="3"/>
  <c r="X3550" i="3"/>
  <c r="X3551" i="3"/>
  <c r="X3552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570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3656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3670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3685" i="3"/>
  <c r="X3686" i="3"/>
  <c r="X3687" i="3"/>
  <c r="X3688" i="3"/>
  <c r="X3689" i="3"/>
  <c r="X3690" i="3"/>
  <c r="X3691" i="3"/>
  <c r="X3692" i="3"/>
  <c r="X3693" i="3"/>
  <c r="X3694" i="3"/>
  <c r="X3695" i="3"/>
  <c r="X3696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4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0" i="3"/>
  <c r="X3741" i="3"/>
  <c r="X3742" i="3"/>
  <c r="X3743" i="3"/>
  <c r="X3744" i="3"/>
  <c r="X3745" i="3"/>
  <c r="X3746" i="3"/>
  <c r="X3747" i="3"/>
  <c r="X3748" i="3"/>
  <c r="X3749" i="3"/>
  <c r="X3750" i="3"/>
  <c r="X3751" i="3"/>
  <c r="X3752" i="3"/>
  <c r="X3753" i="3"/>
  <c r="X3754" i="3"/>
  <c r="X3755" i="3"/>
  <c r="X3756" i="3"/>
  <c r="X3757" i="3"/>
  <c r="X3758" i="3"/>
  <c r="X3759" i="3"/>
  <c r="X3760" i="3"/>
  <c r="X3761" i="3"/>
  <c r="X3762" i="3"/>
  <c r="X3763" i="3"/>
  <c r="X3764" i="3"/>
  <c r="X3765" i="3"/>
  <c r="X3766" i="3"/>
  <c r="X3767" i="3"/>
  <c r="X3768" i="3"/>
  <c r="X3769" i="3"/>
  <c r="X3770" i="3"/>
  <c r="X3771" i="3"/>
  <c r="X3772" i="3"/>
  <c r="X3773" i="3"/>
  <c r="X3774" i="3"/>
  <c r="X3775" i="3"/>
  <c r="X3776" i="3"/>
  <c r="X3777" i="3"/>
  <c r="X3778" i="3"/>
  <c r="X3779" i="3"/>
  <c r="X3780" i="3"/>
  <c r="X3781" i="3"/>
  <c r="X3782" i="3"/>
  <c r="X3783" i="3"/>
  <c r="X3784" i="3"/>
  <c r="X3785" i="3"/>
  <c r="X3786" i="3"/>
  <c r="X3787" i="3"/>
  <c r="X3788" i="3"/>
  <c r="X3789" i="3"/>
  <c r="X3790" i="3"/>
  <c r="X3791" i="3"/>
  <c r="X3792" i="3"/>
  <c r="X3793" i="3"/>
  <c r="X3794" i="3"/>
  <c r="X3795" i="3"/>
  <c r="X3796" i="3"/>
  <c r="X3797" i="3"/>
  <c r="X3798" i="3"/>
  <c r="X3799" i="3"/>
  <c r="X3800" i="3"/>
  <c r="X3801" i="3"/>
  <c r="X3802" i="3"/>
  <c r="X3803" i="3"/>
  <c r="X3804" i="3"/>
  <c r="X3805" i="3"/>
  <c r="X3806" i="3"/>
  <c r="X3807" i="3"/>
  <c r="X3808" i="3"/>
  <c r="X3809" i="3"/>
  <c r="X3810" i="3"/>
  <c r="X3811" i="3"/>
  <c r="X3812" i="3"/>
  <c r="X3813" i="3"/>
  <c r="X3814" i="3"/>
  <c r="X3815" i="3"/>
  <c r="X3816" i="3"/>
  <c r="X3817" i="3"/>
  <c r="X3818" i="3"/>
  <c r="X3819" i="3"/>
  <c r="X3820" i="3"/>
  <c r="X3821" i="3"/>
  <c r="X3822" i="3"/>
  <c r="X3823" i="3"/>
  <c r="X3824" i="3"/>
  <c r="X3825" i="3"/>
  <c r="X3826" i="3"/>
  <c r="X3827" i="3"/>
  <c r="X3828" i="3"/>
  <c r="X3829" i="3"/>
  <c r="X3830" i="3"/>
  <c r="X3831" i="3"/>
  <c r="X3832" i="3"/>
  <c r="X3833" i="3"/>
  <c r="X3834" i="3"/>
  <c r="X3835" i="3"/>
  <c r="X3836" i="3"/>
  <c r="X3837" i="3"/>
  <c r="X3838" i="3"/>
  <c r="X3839" i="3"/>
  <c r="X3840" i="3"/>
  <c r="X3841" i="3"/>
  <c r="X3842" i="3"/>
  <c r="X3843" i="3"/>
  <c r="X3844" i="3"/>
  <c r="X3845" i="3"/>
  <c r="X3846" i="3"/>
  <c r="X3847" i="3"/>
  <c r="X3848" i="3"/>
  <c r="X3849" i="3"/>
  <c r="X3850" i="3"/>
  <c r="X3851" i="3"/>
  <c r="X3852" i="3"/>
  <c r="X3853" i="3"/>
  <c r="X3854" i="3"/>
  <c r="X3855" i="3"/>
  <c r="X3856" i="3"/>
  <c r="X3857" i="3"/>
  <c r="X3858" i="3"/>
  <c r="X3859" i="3"/>
  <c r="X3860" i="3"/>
  <c r="X3861" i="3"/>
  <c r="X3862" i="3"/>
  <c r="X3863" i="3"/>
  <c r="X3864" i="3"/>
  <c r="X3865" i="3"/>
  <c r="X3866" i="3"/>
  <c r="X3867" i="3"/>
  <c r="X3868" i="3"/>
  <c r="X3869" i="3"/>
  <c r="X3870" i="3"/>
  <c r="X3871" i="3"/>
  <c r="X3872" i="3"/>
  <c r="X3873" i="3"/>
  <c r="X3874" i="3"/>
  <c r="X3875" i="3"/>
  <c r="X3876" i="3"/>
  <c r="X3877" i="3"/>
  <c r="X3878" i="3"/>
  <c r="X3879" i="3"/>
  <c r="X3880" i="3"/>
  <c r="X3881" i="3"/>
  <c r="X3882" i="3"/>
  <c r="X3883" i="3"/>
  <c r="X3884" i="3"/>
  <c r="X3885" i="3"/>
  <c r="X3886" i="3"/>
  <c r="X3887" i="3"/>
  <c r="X3888" i="3"/>
  <c r="X3889" i="3"/>
  <c r="X3890" i="3"/>
  <c r="X3891" i="3"/>
  <c r="X3892" i="3"/>
  <c r="X3893" i="3"/>
  <c r="X3894" i="3"/>
  <c r="X3895" i="3"/>
  <c r="X3896" i="3"/>
  <c r="X3897" i="3"/>
  <c r="X3898" i="3"/>
  <c r="X3899" i="3"/>
  <c r="X3900" i="3"/>
  <c r="X3901" i="3"/>
  <c r="X3902" i="3"/>
  <c r="X3903" i="3"/>
  <c r="X3904" i="3"/>
  <c r="X3905" i="3"/>
  <c r="X3906" i="3"/>
  <c r="X3907" i="3"/>
  <c r="X3908" i="3"/>
  <c r="X3909" i="3"/>
  <c r="X3910" i="3"/>
  <c r="X3911" i="3"/>
  <c r="X3912" i="3"/>
  <c r="X3913" i="3"/>
  <c r="X3914" i="3"/>
  <c r="X3915" i="3"/>
  <c r="X3916" i="3"/>
  <c r="X3917" i="3"/>
  <c r="X3918" i="3"/>
  <c r="X3919" i="3"/>
  <c r="X3920" i="3"/>
  <c r="X3921" i="3"/>
  <c r="X3922" i="3"/>
  <c r="X3923" i="3"/>
  <c r="X3924" i="3"/>
  <c r="X3925" i="3"/>
  <c r="X3926" i="3"/>
  <c r="X3927" i="3"/>
  <c r="X3928" i="3"/>
  <c r="X3929" i="3"/>
  <c r="X3930" i="3"/>
  <c r="X3931" i="3"/>
  <c r="X3932" i="3"/>
  <c r="X3933" i="3"/>
  <c r="X3934" i="3"/>
  <c r="X3935" i="3"/>
  <c r="X3936" i="3"/>
  <c r="X3937" i="3"/>
  <c r="X3938" i="3"/>
  <c r="X3939" i="3"/>
  <c r="X3940" i="3"/>
  <c r="X3941" i="3"/>
  <c r="X3942" i="3"/>
  <c r="X3943" i="3"/>
  <c r="X3944" i="3"/>
  <c r="X3945" i="3"/>
  <c r="X3946" i="3"/>
  <c r="X3947" i="3"/>
  <c r="X3948" i="3"/>
  <c r="X3949" i="3"/>
  <c r="X3950" i="3"/>
  <c r="X3951" i="3"/>
  <c r="X3952" i="3"/>
  <c r="X3953" i="3"/>
  <c r="X3954" i="3"/>
  <c r="X3955" i="3"/>
  <c r="X3956" i="3"/>
  <c r="X3957" i="3"/>
  <c r="X3958" i="3"/>
  <c r="X3959" i="3"/>
  <c r="X3960" i="3"/>
  <c r="X3961" i="3"/>
  <c r="X3962" i="3"/>
  <c r="X3963" i="3"/>
  <c r="X3964" i="3"/>
  <c r="X3965" i="3"/>
  <c r="X3966" i="3"/>
  <c r="X3967" i="3"/>
  <c r="X3968" i="3"/>
  <c r="X3969" i="3"/>
  <c r="X3970" i="3"/>
  <c r="X3971" i="3"/>
  <c r="X3972" i="3"/>
  <c r="X3973" i="3"/>
  <c r="X3974" i="3"/>
  <c r="X3975" i="3"/>
  <c r="X3976" i="3"/>
  <c r="X3977" i="3"/>
  <c r="X3978" i="3"/>
  <c r="X3979" i="3"/>
  <c r="X3980" i="3"/>
  <c r="X3981" i="3"/>
  <c r="X3982" i="3"/>
  <c r="X3983" i="3"/>
  <c r="X3984" i="3"/>
  <c r="X3985" i="3"/>
  <c r="X3986" i="3"/>
  <c r="X3987" i="3"/>
  <c r="X3988" i="3"/>
  <c r="X3989" i="3"/>
  <c r="X3990" i="3"/>
  <c r="X3991" i="3"/>
  <c r="X3992" i="3"/>
  <c r="X3993" i="3"/>
  <c r="X3994" i="3"/>
  <c r="X3995" i="3"/>
  <c r="X3996" i="3"/>
  <c r="X3997" i="3"/>
  <c r="X3998" i="3"/>
  <c r="X3999" i="3"/>
  <c r="X4000" i="3"/>
  <c r="X4001" i="3"/>
  <c r="X4002" i="3"/>
  <c r="X4003" i="3"/>
  <c r="X4004" i="3"/>
  <c r="X4005" i="3"/>
  <c r="X4006" i="3"/>
  <c r="X4007" i="3"/>
  <c r="X4008" i="3"/>
  <c r="X4009" i="3"/>
  <c r="X4010" i="3"/>
  <c r="X4011" i="3"/>
  <c r="X4012" i="3"/>
  <c r="X4013" i="3"/>
  <c r="X4014" i="3"/>
  <c r="X4015" i="3"/>
  <c r="X4016" i="3"/>
  <c r="X4017" i="3"/>
  <c r="X4018" i="3"/>
  <c r="X4019" i="3"/>
  <c r="X4020" i="3"/>
  <c r="X4021" i="3"/>
  <c r="X4022" i="3"/>
  <c r="X4023" i="3"/>
  <c r="X4024" i="3"/>
  <c r="X4025" i="3"/>
  <c r="X4026" i="3"/>
  <c r="X4027" i="3"/>
  <c r="X4028" i="3"/>
  <c r="X4029" i="3"/>
  <c r="X4030" i="3"/>
  <c r="X4031" i="3"/>
  <c r="X4032" i="3"/>
  <c r="X4033" i="3"/>
  <c r="X4034" i="3"/>
  <c r="X4035" i="3"/>
  <c r="X4036" i="3"/>
  <c r="X4037" i="3"/>
  <c r="X4038" i="3"/>
  <c r="X4039" i="3"/>
  <c r="X4040" i="3"/>
  <c r="X4041" i="3"/>
  <c r="X4042" i="3"/>
  <c r="X4043" i="3"/>
  <c r="X4044" i="3"/>
  <c r="X4045" i="3"/>
  <c r="X4046" i="3"/>
  <c r="X4047" i="3"/>
  <c r="X4048" i="3"/>
  <c r="X4049" i="3"/>
  <c r="X4050" i="3"/>
  <c r="X4051" i="3"/>
  <c r="X4052" i="3"/>
  <c r="X4053" i="3"/>
  <c r="X4054" i="3"/>
  <c r="X4055" i="3"/>
  <c r="X4056" i="3"/>
  <c r="X4057" i="3"/>
  <c r="X4058" i="3"/>
  <c r="X4059" i="3"/>
  <c r="X4060" i="3"/>
  <c r="X4061" i="3"/>
  <c r="X4062" i="3"/>
  <c r="X4063" i="3"/>
  <c r="X4064" i="3"/>
  <c r="X4065" i="3"/>
  <c r="X4066" i="3"/>
  <c r="X4067" i="3"/>
  <c r="X4068" i="3"/>
  <c r="X4069" i="3"/>
  <c r="X4070" i="3"/>
  <c r="X4071" i="3"/>
  <c r="X4072" i="3"/>
  <c r="X4073" i="3"/>
  <c r="X4074" i="3"/>
  <c r="X4075" i="3"/>
  <c r="X4076" i="3"/>
  <c r="X4077" i="3"/>
  <c r="X4078" i="3"/>
  <c r="X4079" i="3"/>
  <c r="X4080" i="3"/>
  <c r="X4081" i="3"/>
  <c r="X4082" i="3"/>
  <c r="X4083" i="3"/>
  <c r="X4084" i="3"/>
  <c r="X4085" i="3"/>
  <c r="X4086" i="3"/>
  <c r="X4087" i="3"/>
  <c r="X4088" i="3"/>
  <c r="X4089" i="3"/>
  <c r="X4090" i="3"/>
  <c r="X4091" i="3"/>
  <c r="X4092" i="3"/>
  <c r="X4093" i="3"/>
  <c r="X4094" i="3"/>
  <c r="X4095" i="3"/>
  <c r="X4096" i="3"/>
  <c r="X4097" i="3"/>
  <c r="X4098" i="3"/>
  <c r="X4099" i="3"/>
  <c r="X4100" i="3"/>
  <c r="X4101" i="3"/>
  <c r="X4102" i="3"/>
  <c r="X4103" i="3"/>
  <c r="X4104" i="3"/>
  <c r="X4105" i="3"/>
  <c r="X4106" i="3"/>
  <c r="X4107" i="3"/>
  <c r="X4108" i="3"/>
  <c r="X4109" i="3"/>
  <c r="X4110" i="3"/>
  <c r="X4111" i="3"/>
  <c r="X4112" i="3"/>
  <c r="X4113" i="3"/>
  <c r="X4114" i="3"/>
  <c r="X4115" i="3"/>
  <c r="X4116" i="3"/>
  <c r="X4117" i="3"/>
  <c r="X4118" i="3"/>
  <c r="X4119" i="3"/>
  <c r="X4120" i="3"/>
  <c r="X4121" i="3"/>
  <c r="X4122" i="3"/>
  <c r="X4123" i="3"/>
  <c r="X4124" i="3"/>
  <c r="X4125" i="3"/>
  <c r="X4126" i="3"/>
  <c r="X4127" i="3"/>
  <c r="X4128" i="3"/>
  <c r="X4129" i="3"/>
  <c r="X4130" i="3"/>
  <c r="X4131" i="3"/>
  <c r="X4132" i="3"/>
  <c r="X4133" i="3"/>
  <c r="X4134" i="3"/>
  <c r="X4135" i="3"/>
  <c r="X4136" i="3"/>
  <c r="X4137" i="3"/>
  <c r="X4138" i="3"/>
  <c r="X4139" i="3"/>
  <c r="X4140" i="3"/>
  <c r="X4141" i="3"/>
  <c r="X4142" i="3"/>
  <c r="X4143" i="3"/>
  <c r="X4144" i="3"/>
  <c r="X4145" i="3"/>
  <c r="X4146" i="3"/>
  <c r="X4147" i="3"/>
  <c r="X4148" i="3"/>
  <c r="X4149" i="3"/>
  <c r="X4150" i="3"/>
  <c r="X4151" i="3"/>
  <c r="X4152" i="3"/>
  <c r="X4153" i="3"/>
  <c r="X4154" i="3"/>
  <c r="X4155" i="3"/>
  <c r="X4156" i="3"/>
  <c r="X4157" i="3"/>
  <c r="X4158" i="3"/>
  <c r="X4159" i="3"/>
  <c r="X4160" i="3"/>
  <c r="X4161" i="3"/>
  <c r="X4162" i="3"/>
  <c r="X4163" i="3"/>
  <c r="X4164" i="3"/>
  <c r="X4165" i="3"/>
  <c r="X4166" i="3"/>
  <c r="X4167" i="3"/>
  <c r="X4168" i="3"/>
  <c r="X4169" i="3"/>
  <c r="X4170" i="3"/>
  <c r="X4171" i="3"/>
  <c r="X4172" i="3"/>
  <c r="X4173" i="3"/>
  <c r="X4174" i="3"/>
  <c r="X4175" i="3"/>
  <c r="X4176" i="3"/>
  <c r="X4177" i="3"/>
  <c r="X4178" i="3"/>
  <c r="X4179" i="3"/>
  <c r="X4180" i="3"/>
  <c r="X4181" i="3"/>
  <c r="X4182" i="3"/>
  <c r="X4183" i="3"/>
  <c r="X4184" i="3"/>
  <c r="X4185" i="3"/>
  <c r="X4186" i="3"/>
  <c r="X4187" i="3"/>
  <c r="X4188" i="3"/>
  <c r="X4189" i="3"/>
  <c r="X4190" i="3"/>
  <c r="X4191" i="3"/>
  <c r="X4192" i="3"/>
  <c r="X4193" i="3"/>
  <c r="X4194" i="3"/>
  <c r="X4195" i="3"/>
  <c r="X4196" i="3"/>
  <c r="X4197" i="3"/>
  <c r="X4198" i="3"/>
  <c r="X4199" i="3"/>
  <c r="X4200" i="3"/>
  <c r="X4201" i="3"/>
  <c r="X4202" i="3"/>
  <c r="X4203" i="3"/>
  <c r="X4204" i="3"/>
  <c r="X4205" i="3"/>
  <c r="X4206" i="3"/>
  <c r="X4207" i="3"/>
  <c r="X4208" i="3"/>
  <c r="X4209" i="3"/>
  <c r="X4210" i="3"/>
  <c r="X4211" i="3"/>
  <c r="X4212" i="3"/>
  <c r="X4213" i="3"/>
  <c r="X4214" i="3"/>
  <c r="X4215" i="3"/>
  <c r="X4216" i="3"/>
  <c r="X4217" i="3"/>
  <c r="X4218" i="3"/>
  <c r="X4219" i="3"/>
  <c r="X4220" i="3"/>
  <c r="X4221" i="3"/>
  <c r="X4222" i="3"/>
  <c r="X4223" i="3"/>
  <c r="X4224" i="3"/>
  <c r="X4225" i="3"/>
  <c r="X4226" i="3"/>
  <c r="X4227" i="3"/>
  <c r="X4228" i="3"/>
  <c r="X4229" i="3"/>
  <c r="X4230" i="3"/>
  <c r="X4231" i="3"/>
  <c r="X4232" i="3"/>
  <c r="X4233" i="3"/>
  <c r="X4234" i="3"/>
  <c r="X4235" i="3"/>
  <c r="X4236" i="3"/>
  <c r="X4237" i="3"/>
  <c r="X4238" i="3"/>
  <c r="X4239" i="3"/>
  <c r="X4240" i="3"/>
  <c r="X4241" i="3"/>
  <c r="X4242" i="3"/>
  <c r="X4243" i="3"/>
  <c r="X4244" i="3"/>
  <c r="X4245" i="3"/>
  <c r="X4246" i="3"/>
  <c r="X4247" i="3"/>
  <c r="X4248" i="3"/>
  <c r="X4249" i="3"/>
  <c r="X4250" i="3"/>
  <c r="X4251" i="3"/>
  <c r="X4252" i="3"/>
  <c r="X4253" i="3"/>
  <c r="X4254" i="3"/>
  <c r="X4255" i="3"/>
  <c r="X4256" i="3"/>
  <c r="X4257" i="3"/>
  <c r="X4258" i="3"/>
  <c r="X4259" i="3"/>
  <c r="X4260" i="3"/>
  <c r="X4261" i="3"/>
  <c r="X4262" i="3"/>
  <c r="X4263" i="3"/>
  <c r="X4264" i="3"/>
  <c r="X4265" i="3"/>
  <c r="X4266" i="3"/>
  <c r="X4267" i="3"/>
  <c r="X4268" i="3"/>
  <c r="X4269" i="3"/>
  <c r="X4270" i="3"/>
  <c r="X4271" i="3"/>
  <c r="X4272" i="3"/>
  <c r="X4273" i="3"/>
  <c r="X4274" i="3"/>
  <c r="X4275" i="3"/>
  <c r="X4276" i="3"/>
  <c r="X4277" i="3"/>
  <c r="X4278" i="3"/>
  <c r="X4279" i="3"/>
  <c r="X4280" i="3"/>
  <c r="X4281" i="3"/>
  <c r="X4282" i="3"/>
  <c r="X4283" i="3"/>
  <c r="X4284" i="3"/>
  <c r="X4285" i="3"/>
  <c r="X4286" i="3"/>
  <c r="X4287" i="3"/>
  <c r="X4288" i="3"/>
  <c r="X4289" i="3"/>
  <c r="X4290" i="3"/>
  <c r="X4291" i="3"/>
  <c r="X4292" i="3"/>
  <c r="X4293" i="3"/>
  <c r="X4294" i="3"/>
  <c r="X4295" i="3"/>
  <c r="X4296" i="3"/>
  <c r="X4297" i="3"/>
  <c r="X4298" i="3"/>
  <c r="X4299" i="3"/>
  <c r="X4300" i="3"/>
  <c r="X4301" i="3"/>
  <c r="X4302" i="3"/>
  <c r="X4303" i="3"/>
  <c r="X4304" i="3"/>
  <c r="X4305" i="3"/>
  <c r="X4306" i="3"/>
  <c r="X4307" i="3"/>
  <c r="X4308" i="3"/>
  <c r="X4309" i="3"/>
  <c r="X4310" i="3"/>
  <c r="X4311" i="3"/>
  <c r="X4312" i="3"/>
  <c r="X4313" i="3"/>
  <c r="X4314" i="3"/>
  <c r="X4315" i="3"/>
  <c r="X4316" i="3"/>
  <c r="X4317" i="3"/>
  <c r="X4318" i="3"/>
  <c r="X4319" i="3"/>
  <c r="X4320" i="3"/>
  <c r="X4321" i="3"/>
  <c r="X4322" i="3"/>
  <c r="X4323" i="3"/>
  <c r="X4324" i="3"/>
  <c r="X4500" i="3"/>
  <c r="X4501" i="3"/>
  <c r="X4327" i="3"/>
  <c r="X4328" i="3"/>
  <c r="X4329" i="3"/>
  <c r="X4330" i="3"/>
  <c r="X4331" i="3"/>
  <c r="X4332" i="3"/>
  <c r="X4333" i="3"/>
  <c r="X4334" i="3"/>
  <c r="X4335" i="3"/>
  <c r="X4336" i="3"/>
  <c r="X4337" i="3"/>
  <c r="X4338" i="3"/>
  <c r="X4339" i="3"/>
  <c r="X4340" i="3"/>
  <c r="X4341" i="3"/>
  <c r="X4342" i="3"/>
  <c r="X4343" i="3"/>
  <c r="X4344" i="3"/>
  <c r="X4345" i="3"/>
  <c r="X4346" i="3"/>
  <c r="X4347" i="3"/>
  <c r="X4348" i="3"/>
  <c r="X4349" i="3"/>
  <c r="X4350" i="3"/>
  <c r="X4351" i="3"/>
  <c r="X4352" i="3"/>
  <c r="X4353" i="3"/>
  <c r="X4354" i="3"/>
  <c r="X4355" i="3"/>
  <c r="X4356" i="3"/>
  <c r="X4357" i="3"/>
  <c r="X4358" i="3"/>
  <c r="X4359" i="3"/>
  <c r="X4360" i="3"/>
  <c r="X4361" i="3"/>
  <c r="X4362" i="3"/>
  <c r="X4363" i="3"/>
  <c r="X4364" i="3"/>
  <c r="X4365" i="3"/>
  <c r="X4366" i="3"/>
  <c r="X4367" i="3"/>
  <c r="X4368" i="3"/>
  <c r="X4369" i="3"/>
  <c r="X4370" i="3"/>
  <c r="X4371" i="3"/>
  <c r="X4372" i="3"/>
  <c r="X4373" i="3"/>
  <c r="X4374" i="3"/>
  <c r="X4375" i="3"/>
  <c r="X4376" i="3"/>
  <c r="X4377" i="3"/>
  <c r="X4378" i="3"/>
  <c r="X4379" i="3"/>
  <c r="X4380" i="3"/>
  <c r="X4381" i="3"/>
  <c r="X4382" i="3"/>
  <c r="X4383" i="3"/>
  <c r="X4384" i="3"/>
  <c r="X4385" i="3"/>
  <c r="X4386" i="3"/>
  <c r="X4387" i="3"/>
  <c r="X4388" i="3"/>
  <c r="X4389" i="3"/>
  <c r="X4390" i="3"/>
  <c r="X4391" i="3"/>
  <c r="X4392" i="3"/>
  <c r="X4393" i="3"/>
  <c r="X4394" i="3"/>
  <c r="X4395" i="3"/>
  <c r="X4396" i="3"/>
  <c r="X4397" i="3"/>
  <c r="X4398" i="3"/>
  <c r="X4399" i="3"/>
  <c r="X4400" i="3"/>
  <c r="X4401" i="3"/>
  <c r="X4402" i="3"/>
  <c r="X4403" i="3"/>
  <c r="X4404" i="3"/>
  <c r="X4405" i="3"/>
  <c r="X4406" i="3"/>
  <c r="X4407" i="3"/>
  <c r="X4408" i="3"/>
  <c r="X4409" i="3"/>
  <c r="X4410" i="3"/>
  <c r="X4411" i="3"/>
  <c r="X4412" i="3"/>
  <c r="X4413" i="3"/>
  <c r="X4414" i="3"/>
  <c r="X4415" i="3"/>
  <c r="X4416" i="3"/>
  <c r="X4417" i="3"/>
  <c r="X4418" i="3"/>
  <c r="X4419" i="3"/>
  <c r="X4420" i="3"/>
  <c r="X4421" i="3"/>
  <c r="X4422" i="3"/>
  <c r="X4423" i="3"/>
  <c r="X4424" i="3"/>
  <c r="X4425" i="3"/>
  <c r="X4426" i="3"/>
  <c r="X4427" i="3"/>
  <c r="X4428" i="3"/>
  <c r="X4429" i="3"/>
  <c r="X4430" i="3"/>
  <c r="X4431" i="3"/>
  <c r="X4432" i="3"/>
  <c r="X4433" i="3"/>
  <c r="X4434" i="3"/>
  <c r="X4435" i="3"/>
  <c r="X4436" i="3"/>
  <c r="X4437" i="3"/>
  <c r="X4438" i="3"/>
  <c r="X4439" i="3"/>
  <c r="X4440" i="3"/>
  <c r="X4441" i="3"/>
  <c r="X4442" i="3"/>
  <c r="X4443" i="3"/>
  <c r="X4444" i="3"/>
  <c r="X4445" i="3"/>
  <c r="X4446" i="3"/>
  <c r="X4447" i="3"/>
  <c r="X4448" i="3"/>
  <c r="X4449" i="3"/>
  <c r="X4450" i="3"/>
  <c r="X4451" i="3"/>
  <c r="X4452" i="3"/>
  <c r="X4453" i="3"/>
  <c r="X4454" i="3"/>
  <c r="X4455" i="3"/>
  <c r="X4456" i="3"/>
  <c r="X4457" i="3"/>
  <c r="X4458" i="3"/>
  <c r="X4459" i="3"/>
  <c r="X4460" i="3"/>
  <c r="X4461" i="3"/>
  <c r="X4462" i="3"/>
  <c r="X4463" i="3"/>
  <c r="X4464" i="3"/>
  <c r="X4465" i="3"/>
  <c r="X4466" i="3"/>
  <c r="X4467" i="3"/>
  <c r="X4468" i="3"/>
  <c r="X4469" i="3"/>
  <c r="X4470" i="3"/>
  <c r="X4471" i="3"/>
  <c r="X4472" i="3"/>
  <c r="X4473" i="3"/>
  <c r="X4474" i="3"/>
  <c r="X4475" i="3"/>
  <c r="X4476" i="3"/>
  <c r="X4477" i="3"/>
  <c r="X4478" i="3"/>
  <c r="X4479" i="3"/>
  <c r="X4480" i="3"/>
  <c r="X4481" i="3"/>
  <c r="X4482" i="3"/>
  <c r="X4483" i="3"/>
  <c r="X4484" i="3"/>
  <c r="X4485" i="3"/>
  <c r="X4486" i="3"/>
  <c r="X4487" i="3"/>
  <c r="X4488" i="3"/>
  <c r="X4489" i="3"/>
  <c r="X4490" i="3"/>
  <c r="X4491" i="3"/>
  <c r="X4492" i="3"/>
  <c r="X4493" i="3"/>
  <c r="X4494" i="3"/>
  <c r="X4495" i="3"/>
  <c r="X4496" i="3"/>
  <c r="X4497" i="3"/>
  <c r="X4498" i="3"/>
  <c r="X4499" i="3"/>
  <c r="X4502" i="3"/>
  <c r="X4503" i="3"/>
  <c r="X4504" i="3"/>
  <c r="X4505" i="3"/>
  <c r="X4506" i="3"/>
  <c r="X4507" i="3"/>
  <c r="X4508" i="3"/>
  <c r="X4509" i="3"/>
  <c r="X4510" i="3"/>
  <c r="X4511" i="3"/>
  <c r="X4512" i="3"/>
  <c r="X4513" i="3"/>
  <c r="X4514" i="3"/>
  <c r="X4515" i="3"/>
  <c r="X4516" i="3"/>
  <c r="X4517" i="3"/>
  <c r="X4518" i="3"/>
  <c r="X4519" i="3"/>
  <c r="X4520" i="3"/>
  <c r="X4521" i="3"/>
  <c r="X4522" i="3"/>
  <c r="X4523" i="3"/>
  <c r="X4524" i="3"/>
  <c r="X4525" i="3"/>
  <c r="X4526" i="3"/>
  <c r="X4527" i="3"/>
  <c r="X4528" i="3"/>
  <c r="X4529" i="3"/>
  <c r="X4530" i="3"/>
  <c r="X4531" i="3"/>
  <c r="X4532" i="3"/>
  <c r="X4533" i="3"/>
  <c r="X4534" i="3"/>
  <c r="X4535" i="3"/>
  <c r="X4536" i="3"/>
  <c r="X4537" i="3"/>
  <c r="X4538" i="3"/>
  <c r="X4539" i="3"/>
  <c r="X4540" i="3"/>
  <c r="X4541" i="3"/>
  <c r="X4542" i="3"/>
  <c r="X4543" i="3"/>
  <c r="X4544" i="3"/>
  <c r="X4545" i="3"/>
  <c r="X4546" i="3"/>
  <c r="X4547" i="3"/>
  <c r="X4548" i="3"/>
  <c r="X4549" i="3"/>
  <c r="X4550" i="3"/>
  <c r="X4551" i="3"/>
  <c r="X4552" i="3"/>
  <c r="X4553" i="3"/>
  <c r="X4554" i="3"/>
  <c r="X4555" i="3"/>
  <c r="X4556" i="3"/>
  <c r="X4557" i="3"/>
  <c r="X4558" i="3"/>
  <c r="X4559" i="3"/>
  <c r="X4560" i="3"/>
  <c r="X4561" i="3"/>
  <c r="X4562" i="3"/>
  <c r="X4563" i="3"/>
  <c r="X4564" i="3"/>
  <c r="X4565" i="3"/>
  <c r="X4566" i="3"/>
  <c r="X4567" i="3"/>
  <c r="X4568" i="3"/>
  <c r="X4569" i="3"/>
  <c r="X4570" i="3"/>
  <c r="X4571" i="3"/>
  <c r="X4572" i="3"/>
  <c r="X4573" i="3"/>
  <c r="X4574" i="3"/>
  <c r="X4575" i="3"/>
  <c r="X4576" i="3"/>
  <c r="X4577" i="3"/>
  <c r="X4578" i="3"/>
  <c r="X4579" i="3"/>
  <c r="X4580" i="3"/>
  <c r="X4581" i="3"/>
  <c r="X4582" i="3"/>
  <c r="X4583" i="3"/>
  <c r="X4584" i="3"/>
  <c r="X4585" i="3"/>
  <c r="X4586" i="3"/>
  <c r="X4587" i="3"/>
  <c r="X4588" i="3"/>
  <c r="X4589" i="3"/>
  <c r="X4590" i="3"/>
  <c r="X4591" i="3"/>
  <c r="X4592" i="3"/>
  <c r="X4593" i="3"/>
  <c r="X4594" i="3"/>
  <c r="X4595" i="3"/>
  <c r="X4596" i="3"/>
  <c r="X4597" i="3"/>
  <c r="X4598" i="3"/>
  <c r="X4599" i="3"/>
  <c r="X4600" i="3"/>
  <c r="X4601" i="3"/>
  <c r="X4602" i="3"/>
  <c r="X4603" i="3"/>
  <c r="X4604" i="3"/>
  <c r="X4605" i="3"/>
  <c r="X4606" i="3"/>
  <c r="X4607" i="3"/>
  <c r="X4608" i="3"/>
  <c r="X4609" i="3"/>
  <c r="X4610" i="3"/>
  <c r="X4611" i="3"/>
  <c r="L5" i="22" l="1"/>
  <c r="K5" i="22"/>
  <c r="J5" i="22"/>
  <c r="I5" i="22"/>
  <c r="H5" i="22"/>
  <c r="G5" i="22"/>
  <c r="F5" i="22"/>
  <c r="E5" i="22"/>
  <c r="D5" i="22"/>
  <c r="C5" i="22"/>
  <c r="B5" i="22"/>
  <c r="M4" i="22"/>
  <c r="M3" i="22"/>
  <c r="M2" i="22"/>
  <c r="M2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1" i="19"/>
  <c r="M312" i="19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12" i="20"/>
  <c r="M13" i="20"/>
  <c r="M14" i="20"/>
  <c r="M15" i="20"/>
  <c r="M16" i="20"/>
  <c r="M17" i="20"/>
  <c r="M18" i="20"/>
  <c r="M19" i="20"/>
  <c r="M20" i="20"/>
  <c r="M21" i="20"/>
  <c r="M22" i="20"/>
  <c r="M4" i="20"/>
  <c r="M5" i="20"/>
  <c r="M6" i="20"/>
  <c r="M7" i="20"/>
  <c r="M8" i="20"/>
  <c r="M9" i="20"/>
  <c r="M10" i="20"/>
  <c r="M11" i="20"/>
  <c r="C51" i="13"/>
  <c r="M5" i="22" l="1"/>
  <c r="S1984" i="3"/>
  <c r="T1984" i="3" s="1"/>
  <c r="U1984" i="3"/>
  <c r="V1984" i="3" s="1"/>
  <c r="W1984" i="3"/>
  <c r="X1984" i="3"/>
  <c r="S1985" i="3"/>
  <c r="T1985" i="3" s="1"/>
  <c r="U1985" i="3"/>
  <c r="V1985" i="3" s="1"/>
  <c r="W1985" i="3"/>
  <c r="X1985" i="3"/>
  <c r="S1986" i="3"/>
  <c r="T1986" i="3" s="1"/>
  <c r="U1986" i="3"/>
  <c r="V1986" i="3" s="1"/>
  <c r="W1986" i="3"/>
  <c r="X1986" i="3"/>
  <c r="S1987" i="3"/>
  <c r="T1987" i="3" s="1"/>
  <c r="U1987" i="3"/>
  <c r="V1987" i="3" s="1"/>
  <c r="W1987" i="3"/>
  <c r="X1987" i="3"/>
  <c r="S1988" i="3"/>
  <c r="T1988" i="3" s="1"/>
  <c r="U1988" i="3"/>
  <c r="V1988" i="3" s="1"/>
  <c r="W1988" i="3"/>
  <c r="X1988" i="3"/>
  <c r="S1989" i="3"/>
  <c r="T1989" i="3" s="1"/>
  <c r="U1989" i="3"/>
  <c r="V1989" i="3" s="1"/>
  <c r="W1989" i="3"/>
  <c r="X1989" i="3"/>
  <c r="S1990" i="3"/>
  <c r="T1990" i="3" s="1"/>
  <c r="U1990" i="3"/>
  <c r="V1990" i="3" s="1"/>
  <c r="W1990" i="3"/>
  <c r="X1990" i="3"/>
  <c r="S1991" i="3"/>
  <c r="T1991" i="3" s="1"/>
  <c r="U1991" i="3"/>
  <c r="V1991" i="3" s="1"/>
  <c r="W1991" i="3"/>
  <c r="X1991" i="3"/>
  <c r="S1992" i="3"/>
  <c r="T1992" i="3" s="1"/>
  <c r="U1992" i="3"/>
  <c r="V1992" i="3" s="1"/>
  <c r="W1992" i="3"/>
  <c r="X1992" i="3"/>
  <c r="S1993" i="3"/>
  <c r="T1993" i="3" s="1"/>
  <c r="U1993" i="3"/>
  <c r="V1993" i="3" s="1"/>
  <c r="W1993" i="3"/>
  <c r="X1993" i="3"/>
  <c r="S1994" i="3"/>
  <c r="T1994" i="3" s="1"/>
  <c r="U1994" i="3"/>
  <c r="V1994" i="3" s="1"/>
  <c r="W1994" i="3"/>
  <c r="X1994" i="3"/>
  <c r="S1995" i="3"/>
  <c r="T1995" i="3" s="1"/>
  <c r="U1995" i="3"/>
  <c r="V1995" i="3" s="1"/>
  <c r="W1995" i="3"/>
  <c r="X1995" i="3"/>
  <c r="S1996" i="3"/>
  <c r="T1996" i="3" s="1"/>
  <c r="U1996" i="3"/>
  <c r="V1996" i="3" s="1"/>
  <c r="W1996" i="3"/>
  <c r="X1996" i="3"/>
  <c r="S1997" i="3"/>
  <c r="T1997" i="3" s="1"/>
  <c r="U1997" i="3"/>
  <c r="V1997" i="3" s="1"/>
  <c r="W1997" i="3"/>
  <c r="X1997" i="3"/>
  <c r="S1998" i="3"/>
  <c r="T1998" i="3" s="1"/>
  <c r="U1998" i="3"/>
  <c r="V1998" i="3" s="1"/>
  <c r="W1998" i="3"/>
  <c r="X1998" i="3"/>
  <c r="S1999" i="3"/>
  <c r="T1999" i="3" s="1"/>
  <c r="U1999" i="3"/>
  <c r="V1999" i="3" s="1"/>
  <c r="W1999" i="3"/>
  <c r="X1999" i="3"/>
  <c r="S2000" i="3"/>
  <c r="T2000" i="3" s="1"/>
  <c r="U2000" i="3"/>
  <c r="V2000" i="3" s="1"/>
  <c r="W2000" i="3"/>
  <c r="X2000" i="3"/>
  <c r="S2001" i="3"/>
  <c r="T2001" i="3" s="1"/>
  <c r="U2001" i="3"/>
  <c r="V2001" i="3" s="1"/>
  <c r="W2001" i="3"/>
  <c r="X2001" i="3"/>
  <c r="S2002" i="3"/>
  <c r="T2002" i="3" s="1"/>
  <c r="U2002" i="3"/>
  <c r="V2002" i="3" s="1"/>
  <c r="W2002" i="3"/>
  <c r="X2002" i="3"/>
  <c r="S2003" i="3"/>
  <c r="T2003" i="3" s="1"/>
  <c r="U2003" i="3"/>
  <c r="V2003" i="3" s="1"/>
  <c r="W2003" i="3"/>
  <c r="X2003" i="3"/>
  <c r="S2004" i="3"/>
  <c r="T2004" i="3" s="1"/>
  <c r="U2004" i="3"/>
  <c r="V2004" i="3" s="1"/>
  <c r="W2004" i="3"/>
  <c r="X2004" i="3"/>
  <c r="S2005" i="3"/>
  <c r="T2005" i="3" s="1"/>
  <c r="U2005" i="3"/>
  <c r="V2005" i="3" s="1"/>
  <c r="W2005" i="3"/>
  <c r="X2005" i="3"/>
  <c r="S2006" i="3"/>
  <c r="T2006" i="3" s="1"/>
  <c r="U2006" i="3"/>
  <c r="V2006" i="3" s="1"/>
  <c r="W2006" i="3"/>
  <c r="X2006" i="3"/>
  <c r="S2007" i="3"/>
  <c r="T2007" i="3" s="1"/>
  <c r="U2007" i="3"/>
  <c r="V2007" i="3" s="1"/>
  <c r="W2007" i="3"/>
  <c r="X2007" i="3"/>
  <c r="S2008" i="3"/>
  <c r="T2008" i="3" s="1"/>
  <c r="U2008" i="3"/>
  <c r="V2008" i="3" s="1"/>
  <c r="W2008" i="3"/>
  <c r="X2008" i="3"/>
  <c r="S2009" i="3"/>
  <c r="T2009" i="3" s="1"/>
  <c r="U2009" i="3"/>
  <c r="V2009" i="3" s="1"/>
  <c r="W2009" i="3"/>
  <c r="X2009" i="3"/>
  <c r="S2010" i="3"/>
  <c r="T2010" i="3" s="1"/>
  <c r="U2010" i="3"/>
  <c r="V2010" i="3" s="1"/>
  <c r="W2010" i="3"/>
  <c r="X2010" i="3"/>
  <c r="S2011" i="3"/>
  <c r="T2011" i="3" s="1"/>
  <c r="U2011" i="3"/>
  <c r="V2011" i="3" s="1"/>
  <c r="W2011" i="3"/>
  <c r="X2011" i="3"/>
  <c r="S2012" i="3"/>
  <c r="T2012" i="3" s="1"/>
  <c r="U2012" i="3"/>
  <c r="V2012" i="3" s="1"/>
  <c r="W2012" i="3"/>
  <c r="X2012" i="3"/>
  <c r="S2013" i="3"/>
  <c r="T2013" i="3" s="1"/>
  <c r="U2013" i="3"/>
  <c r="V2013" i="3" s="1"/>
  <c r="W2013" i="3"/>
  <c r="X2013" i="3"/>
  <c r="S2014" i="3"/>
  <c r="T2014" i="3" s="1"/>
  <c r="U2014" i="3"/>
  <c r="V2014" i="3" s="1"/>
  <c r="W2014" i="3"/>
  <c r="X2014" i="3"/>
  <c r="S2015" i="3"/>
  <c r="T2015" i="3" s="1"/>
  <c r="U2015" i="3"/>
  <c r="V2015" i="3" s="1"/>
  <c r="W2015" i="3"/>
  <c r="X2015" i="3"/>
  <c r="S2016" i="3"/>
  <c r="T2016" i="3" s="1"/>
  <c r="U2016" i="3"/>
  <c r="V2016" i="3" s="1"/>
  <c r="W2016" i="3"/>
  <c r="X2016" i="3"/>
  <c r="S2017" i="3"/>
  <c r="T2017" i="3" s="1"/>
  <c r="U2017" i="3"/>
  <c r="V2017" i="3" s="1"/>
  <c r="W2017" i="3"/>
  <c r="X2017" i="3"/>
  <c r="S2018" i="3"/>
  <c r="T2018" i="3" s="1"/>
  <c r="U2018" i="3"/>
  <c r="V2018" i="3" s="1"/>
  <c r="W2018" i="3"/>
  <c r="X2018" i="3"/>
  <c r="S2019" i="3"/>
  <c r="T2019" i="3" s="1"/>
  <c r="U2019" i="3"/>
  <c r="V2019" i="3" s="1"/>
  <c r="W2019" i="3"/>
  <c r="X2019" i="3"/>
  <c r="S2020" i="3"/>
  <c r="T2020" i="3" s="1"/>
  <c r="U2020" i="3"/>
  <c r="V2020" i="3" s="1"/>
  <c r="W2020" i="3"/>
  <c r="X2020" i="3"/>
  <c r="S2021" i="3"/>
  <c r="T2021" i="3" s="1"/>
  <c r="U2021" i="3"/>
  <c r="V2021" i="3" s="1"/>
  <c r="W2021" i="3"/>
  <c r="X2021" i="3"/>
  <c r="S2022" i="3"/>
  <c r="T2022" i="3" s="1"/>
  <c r="U2022" i="3"/>
  <c r="V2022" i="3" s="1"/>
  <c r="W2022" i="3"/>
  <c r="X2022" i="3"/>
  <c r="S2023" i="3"/>
  <c r="T2023" i="3" s="1"/>
  <c r="U2023" i="3"/>
  <c r="V2023" i="3" s="1"/>
  <c r="W2023" i="3"/>
  <c r="X2023" i="3"/>
  <c r="S2024" i="3"/>
  <c r="T2024" i="3" s="1"/>
  <c r="U2024" i="3"/>
  <c r="V2024" i="3" s="1"/>
  <c r="W2024" i="3"/>
  <c r="X2024" i="3"/>
  <c r="S2025" i="3"/>
  <c r="T2025" i="3" s="1"/>
  <c r="U2025" i="3"/>
  <c r="V2025" i="3" s="1"/>
  <c r="W2025" i="3"/>
  <c r="X2025" i="3"/>
  <c r="S2026" i="3"/>
  <c r="T2026" i="3" s="1"/>
  <c r="U2026" i="3"/>
  <c r="V2026" i="3" s="1"/>
  <c r="W2026" i="3"/>
  <c r="X2026" i="3"/>
  <c r="S2027" i="3"/>
  <c r="T2027" i="3" s="1"/>
  <c r="U2027" i="3"/>
  <c r="V2027" i="3" s="1"/>
  <c r="W2027" i="3"/>
  <c r="X2027" i="3"/>
  <c r="S2028" i="3"/>
  <c r="T2028" i="3" s="1"/>
  <c r="U2028" i="3"/>
  <c r="V2028" i="3" s="1"/>
  <c r="W2028" i="3"/>
  <c r="X2028" i="3"/>
  <c r="S2029" i="3"/>
  <c r="T2029" i="3" s="1"/>
  <c r="U2029" i="3"/>
  <c r="V2029" i="3" s="1"/>
  <c r="W2029" i="3"/>
  <c r="X2029" i="3"/>
  <c r="S2030" i="3"/>
  <c r="T2030" i="3" s="1"/>
  <c r="U2030" i="3"/>
  <c r="V2030" i="3" s="1"/>
  <c r="W2030" i="3"/>
  <c r="X2030" i="3"/>
  <c r="S2031" i="3"/>
  <c r="T2031" i="3" s="1"/>
  <c r="U2031" i="3"/>
  <c r="V2031" i="3" s="1"/>
  <c r="W2031" i="3"/>
  <c r="X2031" i="3"/>
  <c r="S2032" i="3"/>
  <c r="T2032" i="3" s="1"/>
  <c r="U2032" i="3"/>
  <c r="V2032" i="3" s="1"/>
  <c r="W2032" i="3"/>
  <c r="X2032" i="3"/>
  <c r="S2033" i="3"/>
  <c r="T2033" i="3" s="1"/>
  <c r="U2033" i="3"/>
  <c r="V2033" i="3" s="1"/>
  <c r="W2033" i="3"/>
  <c r="X2033" i="3"/>
  <c r="S2034" i="3"/>
  <c r="T2034" i="3" s="1"/>
  <c r="U2034" i="3"/>
  <c r="V2034" i="3" s="1"/>
  <c r="W2034" i="3"/>
  <c r="X2034" i="3"/>
  <c r="S2035" i="3"/>
  <c r="T2035" i="3" s="1"/>
  <c r="U2035" i="3"/>
  <c r="V2035" i="3" s="1"/>
  <c r="W2035" i="3"/>
  <c r="X2035" i="3"/>
  <c r="S2036" i="3"/>
  <c r="T2036" i="3" s="1"/>
  <c r="U2036" i="3"/>
  <c r="V2036" i="3" s="1"/>
  <c r="W2036" i="3"/>
  <c r="X2036" i="3"/>
  <c r="S2037" i="3"/>
  <c r="T2037" i="3" s="1"/>
  <c r="U2037" i="3"/>
  <c r="V2037" i="3" s="1"/>
  <c r="W2037" i="3"/>
  <c r="X2037" i="3"/>
  <c r="S2038" i="3"/>
  <c r="T2038" i="3" s="1"/>
  <c r="U2038" i="3"/>
  <c r="V2038" i="3" s="1"/>
  <c r="W2038" i="3"/>
  <c r="X2038" i="3"/>
  <c r="S2039" i="3"/>
  <c r="T2039" i="3" s="1"/>
  <c r="U2039" i="3"/>
  <c r="V2039" i="3" s="1"/>
  <c r="W2039" i="3"/>
  <c r="X2039" i="3"/>
  <c r="S2040" i="3"/>
  <c r="T2040" i="3" s="1"/>
  <c r="U2040" i="3"/>
  <c r="V2040" i="3" s="1"/>
  <c r="W2040" i="3"/>
  <c r="X2040" i="3"/>
  <c r="S2041" i="3"/>
  <c r="T2041" i="3" s="1"/>
  <c r="U2041" i="3"/>
  <c r="V2041" i="3" s="1"/>
  <c r="W2041" i="3"/>
  <c r="X2041" i="3"/>
  <c r="S2042" i="3"/>
  <c r="T2042" i="3" s="1"/>
  <c r="U2042" i="3"/>
  <c r="V2042" i="3" s="1"/>
  <c r="W2042" i="3"/>
  <c r="X2042" i="3"/>
  <c r="S2043" i="3"/>
  <c r="T2043" i="3" s="1"/>
  <c r="U2043" i="3"/>
  <c r="V2043" i="3" s="1"/>
  <c r="W2043" i="3"/>
  <c r="X2043" i="3"/>
  <c r="S2044" i="3"/>
  <c r="T2044" i="3" s="1"/>
  <c r="U2044" i="3"/>
  <c r="V2044" i="3" s="1"/>
  <c r="W2044" i="3"/>
  <c r="X2044" i="3"/>
  <c r="S2045" i="3"/>
  <c r="T2045" i="3" s="1"/>
  <c r="U2045" i="3"/>
  <c r="V2045" i="3" s="1"/>
  <c r="W2045" i="3"/>
  <c r="X2045" i="3"/>
  <c r="S2046" i="3"/>
  <c r="T2046" i="3" s="1"/>
  <c r="U2046" i="3"/>
  <c r="V2046" i="3" s="1"/>
  <c r="W2046" i="3"/>
  <c r="X2046" i="3"/>
  <c r="S2047" i="3"/>
  <c r="T2047" i="3" s="1"/>
  <c r="U2047" i="3"/>
  <c r="V2047" i="3" s="1"/>
  <c r="W2047" i="3"/>
  <c r="X2047" i="3"/>
  <c r="S2048" i="3"/>
  <c r="T2048" i="3" s="1"/>
  <c r="U2048" i="3"/>
  <c r="V2048" i="3" s="1"/>
  <c r="W2048" i="3"/>
  <c r="X2048" i="3"/>
  <c r="S2049" i="3"/>
  <c r="T2049" i="3" s="1"/>
  <c r="U2049" i="3"/>
  <c r="V2049" i="3" s="1"/>
  <c r="W2049" i="3"/>
  <c r="X2049" i="3"/>
  <c r="S2050" i="3"/>
  <c r="T2050" i="3" s="1"/>
  <c r="U2050" i="3"/>
  <c r="V2050" i="3" s="1"/>
  <c r="W2050" i="3"/>
  <c r="X2050" i="3"/>
  <c r="S2051" i="3"/>
  <c r="T2051" i="3" s="1"/>
  <c r="U2051" i="3"/>
  <c r="V2051" i="3" s="1"/>
  <c r="W2051" i="3"/>
  <c r="X2051" i="3"/>
  <c r="S2052" i="3"/>
  <c r="T2052" i="3" s="1"/>
  <c r="U2052" i="3"/>
  <c r="V2052" i="3" s="1"/>
  <c r="W2052" i="3"/>
  <c r="X2052" i="3"/>
  <c r="S2053" i="3"/>
  <c r="T2053" i="3" s="1"/>
  <c r="U2053" i="3"/>
  <c r="V2053" i="3" s="1"/>
  <c r="W2053" i="3"/>
  <c r="X2053" i="3"/>
  <c r="S2054" i="3"/>
  <c r="T2054" i="3" s="1"/>
  <c r="U2054" i="3"/>
  <c r="V2054" i="3" s="1"/>
  <c r="W2054" i="3"/>
  <c r="X2054" i="3"/>
  <c r="S2055" i="3"/>
  <c r="T2055" i="3" s="1"/>
  <c r="U2055" i="3"/>
  <c r="V2055" i="3" s="1"/>
  <c r="W2055" i="3"/>
  <c r="X2055" i="3"/>
  <c r="S2056" i="3"/>
  <c r="T2056" i="3" s="1"/>
  <c r="U2056" i="3"/>
  <c r="V2056" i="3" s="1"/>
  <c r="W2056" i="3"/>
  <c r="X2056" i="3"/>
  <c r="S2057" i="3"/>
  <c r="T2057" i="3" s="1"/>
  <c r="U2057" i="3"/>
  <c r="V2057" i="3" s="1"/>
  <c r="W2057" i="3"/>
  <c r="X2057" i="3"/>
  <c r="S2058" i="3"/>
  <c r="T2058" i="3" s="1"/>
  <c r="U2058" i="3"/>
  <c r="V2058" i="3" s="1"/>
  <c r="W2058" i="3"/>
  <c r="X2058" i="3"/>
  <c r="S2059" i="3"/>
  <c r="T2059" i="3" s="1"/>
  <c r="U2059" i="3"/>
  <c r="V2059" i="3" s="1"/>
  <c r="W2059" i="3"/>
  <c r="X2059" i="3"/>
  <c r="S2060" i="3"/>
  <c r="T2060" i="3" s="1"/>
  <c r="U2060" i="3"/>
  <c r="V2060" i="3" s="1"/>
  <c r="W2060" i="3"/>
  <c r="X2060" i="3"/>
  <c r="S2061" i="3"/>
  <c r="T2061" i="3" s="1"/>
  <c r="U2061" i="3"/>
  <c r="V2061" i="3" s="1"/>
  <c r="W2061" i="3"/>
  <c r="X2061" i="3"/>
  <c r="S2062" i="3"/>
  <c r="T2062" i="3" s="1"/>
  <c r="U2062" i="3"/>
  <c r="V2062" i="3" s="1"/>
  <c r="W2062" i="3"/>
  <c r="X2062" i="3"/>
  <c r="S2063" i="3"/>
  <c r="T2063" i="3" s="1"/>
  <c r="U2063" i="3"/>
  <c r="V2063" i="3" s="1"/>
  <c r="W2063" i="3"/>
  <c r="X2063" i="3"/>
  <c r="S2064" i="3"/>
  <c r="T2064" i="3" s="1"/>
  <c r="U2064" i="3"/>
  <c r="V2064" i="3" s="1"/>
  <c r="W2064" i="3"/>
  <c r="X2064" i="3"/>
  <c r="S2065" i="3"/>
  <c r="T2065" i="3" s="1"/>
  <c r="U2065" i="3"/>
  <c r="V2065" i="3" s="1"/>
  <c r="W2065" i="3"/>
  <c r="X2065" i="3"/>
  <c r="S2066" i="3"/>
  <c r="T2066" i="3" s="1"/>
  <c r="U2066" i="3"/>
  <c r="V2066" i="3" s="1"/>
  <c r="W2066" i="3"/>
  <c r="X2066" i="3"/>
  <c r="S2067" i="3"/>
  <c r="T2067" i="3" s="1"/>
  <c r="U2067" i="3"/>
  <c r="V2067" i="3" s="1"/>
  <c r="W2067" i="3"/>
  <c r="X2067" i="3"/>
  <c r="S2068" i="3"/>
  <c r="T2068" i="3" s="1"/>
  <c r="U2068" i="3"/>
  <c r="V2068" i="3" s="1"/>
  <c r="W2068" i="3"/>
  <c r="X2068" i="3"/>
  <c r="S2069" i="3"/>
  <c r="T2069" i="3" s="1"/>
  <c r="U2069" i="3"/>
  <c r="V2069" i="3" s="1"/>
  <c r="W2069" i="3"/>
  <c r="X2069" i="3"/>
  <c r="S2070" i="3"/>
  <c r="T2070" i="3" s="1"/>
  <c r="U2070" i="3"/>
  <c r="V2070" i="3" s="1"/>
  <c r="W2070" i="3"/>
  <c r="X2070" i="3"/>
  <c r="S2071" i="3"/>
  <c r="T2071" i="3" s="1"/>
  <c r="U2071" i="3"/>
  <c r="V2071" i="3" s="1"/>
  <c r="W2071" i="3"/>
  <c r="X2071" i="3"/>
  <c r="S2072" i="3"/>
  <c r="T2072" i="3" s="1"/>
  <c r="U2072" i="3"/>
  <c r="V2072" i="3" s="1"/>
  <c r="W2072" i="3"/>
  <c r="X2072" i="3"/>
  <c r="S2073" i="3"/>
  <c r="T2073" i="3" s="1"/>
  <c r="U2073" i="3"/>
  <c r="V2073" i="3" s="1"/>
  <c r="W2073" i="3"/>
  <c r="X2073" i="3"/>
  <c r="S2074" i="3"/>
  <c r="T2074" i="3" s="1"/>
  <c r="U2074" i="3"/>
  <c r="V2074" i="3" s="1"/>
  <c r="W2074" i="3"/>
  <c r="X2074" i="3"/>
  <c r="S2075" i="3"/>
  <c r="T2075" i="3" s="1"/>
  <c r="U2075" i="3"/>
  <c r="V2075" i="3" s="1"/>
  <c r="W2075" i="3"/>
  <c r="X2075" i="3"/>
  <c r="S2076" i="3"/>
  <c r="T2076" i="3" s="1"/>
  <c r="U2076" i="3"/>
  <c r="V2076" i="3" s="1"/>
  <c r="W2076" i="3"/>
  <c r="X2076" i="3"/>
  <c r="S2077" i="3"/>
  <c r="T2077" i="3" s="1"/>
  <c r="U2077" i="3"/>
  <c r="V2077" i="3" s="1"/>
  <c r="W2077" i="3"/>
  <c r="X2077" i="3"/>
  <c r="S2078" i="3"/>
  <c r="T2078" i="3" s="1"/>
  <c r="U2078" i="3"/>
  <c r="V2078" i="3" s="1"/>
  <c r="W2078" i="3"/>
  <c r="X2078" i="3"/>
  <c r="S2079" i="3"/>
  <c r="T2079" i="3" s="1"/>
  <c r="U2079" i="3"/>
  <c r="V2079" i="3" s="1"/>
  <c r="W2079" i="3"/>
  <c r="X2079" i="3"/>
  <c r="S2080" i="3"/>
  <c r="T2080" i="3" s="1"/>
  <c r="U2080" i="3"/>
  <c r="V2080" i="3" s="1"/>
  <c r="W2080" i="3"/>
  <c r="X2080" i="3"/>
  <c r="S2081" i="3"/>
  <c r="T2081" i="3" s="1"/>
  <c r="U2081" i="3"/>
  <c r="V2081" i="3" s="1"/>
  <c r="W2081" i="3"/>
  <c r="X2081" i="3"/>
  <c r="S2082" i="3"/>
  <c r="T2082" i="3" s="1"/>
  <c r="U2082" i="3"/>
  <c r="V2082" i="3" s="1"/>
  <c r="W2082" i="3"/>
  <c r="X2082" i="3"/>
  <c r="S2083" i="3"/>
  <c r="T2083" i="3" s="1"/>
  <c r="U2083" i="3"/>
  <c r="V2083" i="3" s="1"/>
  <c r="W2083" i="3"/>
  <c r="X2083" i="3"/>
  <c r="S2084" i="3"/>
  <c r="T2084" i="3" s="1"/>
  <c r="U2084" i="3"/>
  <c r="V2084" i="3" s="1"/>
  <c r="W2084" i="3"/>
  <c r="X2084" i="3"/>
  <c r="S2085" i="3"/>
  <c r="T2085" i="3" s="1"/>
  <c r="U2085" i="3"/>
  <c r="V2085" i="3" s="1"/>
  <c r="W2085" i="3"/>
  <c r="X2085" i="3"/>
  <c r="S2086" i="3"/>
  <c r="T2086" i="3" s="1"/>
  <c r="U2086" i="3"/>
  <c r="V2086" i="3" s="1"/>
  <c r="W2086" i="3"/>
  <c r="X2086" i="3"/>
  <c r="S2087" i="3"/>
  <c r="T2087" i="3" s="1"/>
  <c r="U2087" i="3"/>
  <c r="V2087" i="3" s="1"/>
  <c r="W2087" i="3"/>
  <c r="X2087" i="3"/>
  <c r="S2088" i="3"/>
  <c r="T2088" i="3" s="1"/>
  <c r="U2088" i="3"/>
  <c r="V2088" i="3" s="1"/>
  <c r="W2088" i="3"/>
  <c r="X2088" i="3"/>
  <c r="S2089" i="3"/>
  <c r="T2089" i="3" s="1"/>
  <c r="U2089" i="3"/>
  <c r="V2089" i="3" s="1"/>
  <c r="W2089" i="3"/>
  <c r="X2089" i="3"/>
  <c r="S2090" i="3"/>
  <c r="T2090" i="3" s="1"/>
  <c r="U2090" i="3"/>
  <c r="V2090" i="3" s="1"/>
  <c r="W2090" i="3"/>
  <c r="X2090" i="3"/>
  <c r="S2091" i="3"/>
  <c r="T2091" i="3" s="1"/>
  <c r="U2091" i="3"/>
  <c r="V2091" i="3" s="1"/>
  <c r="W2091" i="3"/>
  <c r="X2091" i="3"/>
  <c r="S2092" i="3"/>
  <c r="T2092" i="3" s="1"/>
  <c r="U2092" i="3"/>
  <c r="V2092" i="3" s="1"/>
  <c r="W2092" i="3"/>
  <c r="X2092" i="3"/>
  <c r="S2093" i="3"/>
  <c r="T2093" i="3" s="1"/>
  <c r="U2093" i="3"/>
  <c r="V2093" i="3" s="1"/>
  <c r="W2093" i="3"/>
  <c r="X2093" i="3"/>
  <c r="S2094" i="3"/>
  <c r="T2094" i="3" s="1"/>
  <c r="U2094" i="3"/>
  <c r="V2094" i="3" s="1"/>
  <c r="W2094" i="3"/>
  <c r="X2094" i="3"/>
  <c r="S2095" i="3"/>
  <c r="T2095" i="3" s="1"/>
  <c r="U2095" i="3"/>
  <c r="V2095" i="3" s="1"/>
  <c r="W2095" i="3"/>
  <c r="X2095" i="3"/>
  <c r="S2096" i="3"/>
  <c r="T2096" i="3" s="1"/>
  <c r="U2096" i="3"/>
  <c r="V2096" i="3" s="1"/>
  <c r="W2096" i="3"/>
  <c r="X2096" i="3"/>
  <c r="S2097" i="3"/>
  <c r="T2097" i="3" s="1"/>
  <c r="U2097" i="3"/>
  <c r="V2097" i="3" s="1"/>
  <c r="W2097" i="3"/>
  <c r="X2097" i="3"/>
  <c r="S2098" i="3"/>
  <c r="T2098" i="3" s="1"/>
  <c r="U2098" i="3"/>
  <c r="V2098" i="3" s="1"/>
  <c r="W2098" i="3"/>
  <c r="X2098" i="3"/>
  <c r="S2099" i="3"/>
  <c r="T2099" i="3" s="1"/>
  <c r="U2099" i="3"/>
  <c r="V2099" i="3" s="1"/>
  <c r="W2099" i="3"/>
  <c r="X2099" i="3"/>
  <c r="S2100" i="3"/>
  <c r="T2100" i="3" s="1"/>
  <c r="U2100" i="3"/>
  <c r="V2100" i="3" s="1"/>
  <c r="W2100" i="3"/>
  <c r="X2100" i="3"/>
  <c r="S2101" i="3"/>
  <c r="T2101" i="3" s="1"/>
  <c r="U2101" i="3"/>
  <c r="V2101" i="3" s="1"/>
  <c r="W2101" i="3"/>
  <c r="X2101" i="3"/>
  <c r="S2102" i="3"/>
  <c r="T2102" i="3" s="1"/>
  <c r="U2102" i="3"/>
  <c r="V2102" i="3" s="1"/>
  <c r="W2102" i="3"/>
  <c r="X2102" i="3"/>
  <c r="S2103" i="3"/>
  <c r="T2103" i="3" s="1"/>
  <c r="U2103" i="3"/>
  <c r="V2103" i="3" s="1"/>
  <c r="W2103" i="3"/>
  <c r="X2103" i="3"/>
  <c r="S2104" i="3"/>
  <c r="T2104" i="3" s="1"/>
  <c r="U2104" i="3"/>
  <c r="V2104" i="3" s="1"/>
  <c r="W2104" i="3"/>
  <c r="X2104" i="3"/>
  <c r="S2105" i="3"/>
  <c r="T2105" i="3" s="1"/>
  <c r="U2105" i="3"/>
  <c r="V2105" i="3" s="1"/>
  <c r="W2105" i="3"/>
  <c r="X2105" i="3"/>
  <c r="S2106" i="3"/>
  <c r="T2106" i="3" s="1"/>
  <c r="U2106" i="3"/>
  <c r="V2106" i="3" s="1"/>
  <c r="W2106" i="3"/>
  <c r="X2106" i="3"/>
  <c r="S2107" i="3"/>
  <c r="T2107" i="3" s="1"/>
  <c r="U2107" i="3"/>
  <c r="V2107" i="3" s="1"/>
  <c r="W2107" i="3"/>
  <c r="X2107" i="3"/>
  <c r="S2108" i="3"/>
  <c r="T2108" i="3" s="1"/>
  <c r="U2108" i="3"/>
  <c r="V2108" i="3" s="1"/>
  <c r="W2108" i="3"/>
  <c r="X2108" i="3"/>
  <c r="S2109" i="3"/>
  <c r="T2109" i="3" s="1"/>
  <c r="U2109" i="3"/>
  <c r="V2109" i="3" s="1"/>
  <c r="W2109" i="3"/>
  <c r="X2109" i="3"/>
  <c r="S2110" i="3"/>
  <c r="T2110" i="3" s="1"/>
  <c r="U2110" i="3"/>
  <c r="V2110" i="3" s="1"/>
  <c r="W2110" i="3"/>
  <c r="X2110" i="3"/>
  <c r="S2111" i="3"/>
  <c r="T2111" i="3" s="1"/>
  <c r="U2111" i="3"/>
  <c r="V2111" i="3" s="1"/>
  <c r="W2111" i="3"/>
  <c r="X2111" i="3"/>
  <c r="S2112" i="3"/>
  <c r="T2112" i="3" s="1"/>
  <c r="U2112" i="3"/>
  <c r="V2112" i="3" s="1"/>
  <c r="W2112" i="3"/>
  <c r="X2112" i="3"/>
  <c r="S2113" i="3"/>
  <c r="T2113" i="3" s="1"/>
  <c r="U2113" i="3"/>
  <c r="V2113" i="3" s="1"/>
  <c r="W2113" i="3"/>
  <c r="X2113" i="3"/>
  <c r="S2114" i="3"/>
  <c r="T2114" i="3" s="1"/>
  <c r="U2114" i="3"/>
  <c r="V2114" i="3" s="1"/>
  <c r="W2114" i="3"/>
  <c r="X2114" i="3"/>
  <c r="S2115" i="3"/>
  <c r="T2115" i="3" s="1"/>
  <c r="U2115" i="3"/>
  <c r="V2115" i="3" s="1"/>
  <c r="W2115" i="3"/>
  <c r="X2115" i="3"/>
  <c r="S2116" i="3"/>
  <c r="T2116" i="3" s="1"/>
  <c r="U2116" i="3"/>
  <c r="V2116" i="3" s="1"/>
  <c r="W2116" i="3"/>
  <c r="X2116" i="3"/>
  <c r="S2117" i="3"/>
  <c r="T2117" i="3" s="1"/>
  <c r="U2117" i="3"/>
  <c r="V2117" i="3" s="1"/>
  <c r="W2117" i="3"/>
  <c r="X2117" i="3"/>
  <c r="S2118" i="3"/>
  <c r="T2118" i="3" s="1"/>
  <c r="U2118" i="3"/>
  <c r="V2118" i="3" s="1"/>
  <c r="W2118" i="3"/>
  <c r="X2118" i="3"/>
  <c r="S2119" i="3"/>
  <c r="T2119" i="3" s="1"/>
  <c r="U2119" i="3"/>
  <c r="V2119" i="3" s="1"/>
  <c r="W2119" i="3"/>
  <c r="X2119" i="3"/>
  <c r="S2120" i="3"/>
  <c r="T2120" i="3" s="1"/>
  <c r="U2120" i="3"/>
  <c r="V2120" i="3" s="1"/>
  <c r="W2120" i="3"/>
  <c r="X2120" i="3"/>
  <c r="S2121" i="3"/>
  <c r="T2121" i="3" s="1"/>
  <c r="U2121" i="3"/>
  <c r="V2121" i="3" s="1"/>
  <c r="W2121" i="3"/>
  <c r="X2121" i="3"/>
  <c r="S2122" i="3"/>
  <c r="T2122" i="3" s="1"/>
  <c r="U2122" i="3"/>
  <c r="V2122" i="3" s="1"/>
  <c r="W2122" i="3"/>
  <c r="X2122" i="3"/>
  <c r="S2123" i="3"/>
  <c r="T2123" i="3" s="1"/>
  <c r="U2123" i="3"/>
  <c r="V2123" i="3" s="1"/>
  <c r="W2123" i="3"/>
  <c r="X2123" i="3"/>
  <c r="S2124" i="3"/>
  <c r="T2124" i="3" s="1"/>
  <c r="U2124" i="3"/>
  <c r="V2124" i="3" s="1"/>
  <c r="W2124" i="3"/>
  <c r="X2124" i="3"/>
  <c r="S2125" i="3"/>
  <c r="T2125" i="3" s="1"/>
  <c r="U2125" i="3"/>
  <c r="V2125" i="3" s="1"/>
  <c r="W2125" i="3"/>
  <c r="X2125" i="3"/>
  <c r="S2126" i="3"/>
  <c r="T2126" i="3" s="1"/>
  <c r="U2126" i="3"/>
  <c r="V2126" i="3" s="1"/>
  <c r="W2126" i="3"/>
  <c r="X2126" i="3"/>
  <c r="S2127" i="3"/>
  <c r="T2127" i="3" s="1"/>
  <c r="U2127" i="3"/>
  <c r="V2127" i="3" s="1"/>
  <c r="W2127" i="3"/>
  <c r="X2127" i="3"/>
  <c r="S2128" i="3"/>
  <c r="T2128" i="3" s="1"/>
  <c r="U2128" i="3"/>
  <c r="V2128" i="3" s="1"/>
  <c r="W2128" i="3"/>
  <c r="X2128" i="3"/>
  <c r="S2129" i="3"/>
  <c r="T2129" i="3" s="1"/>
  <c r="U2129" i="3"/>
  <c r="V2129" i="3" s="1"/>
  <c r="W2129" i="3"/>
  <c r="X2129" i="3"/>
  <c r="S2130" i="3"/>
  <c r="T2130" i="3" s="1"/>
  <c r="U2130" i="3"/>
  <c r="V2130" i="3" s="1"/>
  <c r="W2130" i="3"/>
  <c r="X2130" i="3"/>
  <c r="S2131" i="3"/>
  <c r="T2131" i="3" s="1"/>
  <c r="U2131" i="3"/>
  <c r="V2131" i="3" s="1"/>
  <c r="W2131" i="3"/>
  <c r="X2131" i="3"/>
  <c r="S2132" i="3"/>
  <c r="T2132" i="3" s="1"/>
  <c r="U2132" i="3"/>
  <c r="V2132" i="3" s="1"/>
  <c r="W2132" i="3"/>
  <c r="X2132" i="3"/>
  <c r="S2133" i="3"/>
  <c r="T2133" i="3" s="1"/>
  <c r="U2133" i="3"/>
  <c r="V2133" i="3" s="1"/>
  <c r="W2133" i="3"/>
  <c r="X2133" i="3"/>
  <c r="S2134" i="3"/>
  <c r="T2134" i="3" s="1"/>
  <c r="U2134" i="3"/>
  <c r="V2134" i="3" s="1"/>
  <c r="W2134" i="3"/>
  <c r="X2134" i="3"/>
  <c r="S2135" i="3"/>
  <c r="T2135" i="3" s="1"/>
  <c r="U2135" i="3"/>
  <c r="V2135" i="3" s="1"/>
  <c r="W2135" i="3"/>
  <c r="X2135" i="3"/>
  <c r="S2136" i="3"/>
  <c r="T2136" i="3" s="1"/>
  <c r="U2136" i="3"/>
  <c r="V2136" i="3" s="1"/>
  <c r="W2136" i="3"/>
  <c r="X2136" i="3"/>
  <c r="S2137" i="3"/>
  <c r="T2137" i="3" s="1"/>
  <c r="U2137" i="3"/>
  <c r="V2137" i="3" s="1"/>
  <c r="W2137" i="3"/>
  <c r="X2137" i="3"/>
  <c r="S2138" i="3"/>
  <c r="T2138" i="3" s="1"/>
  <c r="U2138" i="3"/>
  <c r="V2138" i="3" s="1"/>
  <c r="W2138" i="3"/>
  <c r="X2138" i="3"/>
  <c r="S2139" i="3"/>
  <c r="T2139" i="3" s="1"/>
  <c r="U2139" i="3"/>
  <c r="V2139" i="3" s="1"/>
  <c r="W2139" i="3"/>
  <c r="X2139" i="3"/>
  <c r="S2140" i="3"/>
  <c r="T2140" i="3" s="1"/>
  <c r="U2140" i="3"/>
  <c r="V2140" i="3" s="1"/>
  <c r="W2140" i="3"/>
  <c r="X2140" i="3"/>
  <c r="S2141" i="3"/>
  <c r="T2141" i="3" s="1"/>
  <c r="U2141" i="3"/>
  <c r="V2141" i="3" s="1"/>
  <c r="W2141" i="3"/>
  <c r="X2141" i="3"/>
  <c r="S2142" i="3"/>
  <c r="T2142" i="3" s="1"/>
  <c r="U2142" i="3"/>
  <c r="V2142" i="3" s="1"/>
  <c r="W2142" i="3"/>
  <c r="X2142" i="3"/>
  <c r="S2143" i="3"/>
  <c r="T2143" i="3" s="1"/>
  <c r="U2143" i="3"/>
  <c r="V2143" i="3" s="1"/>
  <c r="W2143" i="3"/>
  <c r="X2143" i="3"/>
  <c r="S2144" i="3"/>
  <c r="T2144" i="3" s="1"/>
  <c r="U2144" i="3"/>
  <c r="V2144" i="3" s="1"/>
  <c r="W2144" i="3"/>
  <c r="X2144" i="3"/>
  <c r="S2145" i="3"/>
  <c r="T2145" i="3" s="1"/>
  <c r="U2145" i="3"/>
  <c r="V2145" i="3" s="1"/>
  <c r="W2145" i="3"/>
  <c r="X2145" i="3"/>
  <c r="S2146" i="3"/>
  <c r="T2146" i="3" s="1"/>
  <c r="U2146" i="3"/>
  <c r="V2146" i="3" s="1"/>
  <c r="W2146" i="3"/>
  <c r="X2146" i="3"/>
  <c r="S2147" i="3"/>
  <c r="T2147" i="3" s="1"/>
  <c r="U2147" i="3"/>
  <c r="V2147" i="3" s="1"/>
  <c r="W2147" i="3"/>
  <c r="X2147" i="3"/>
  <c r="S2148" i="3"/>
  <c r="T2148" i="3" s="1"/>
  <c r="U2148" i="3"/>
  <c r="V2148" i="3" s="1"/>
  <c r="W2148" i="3"/>
  <c r="X2148" i="3"/>
  <c r="S2149" i="3"/>
  <c r="T2149" i="3" s="1"/>
  <c r="U2149" i="3"/>
  <c r="V2149" i="3" s="1"/>
  <c r="W2149" i="3"/>
  <c r="X2149" i="3"/>
  <c r="S2150" i="3"/>
  <c r="T2150" i="3" s="1"/>
  <c r="U2150" i="3"/>
  <c r="V2150" i="3" s="1"/>
  <c r="W2150" i="3"/>
  <c r="X2150" i="3"/>
  <c r="S2151" i="3"/>
  <c r="T2151" i="3" s="1"/>
  <c r="U2151" i="3"/>
  <c r="V2151" i="3" s="1"/>
  <c r="W2151" i="3"/>
  <c r="X2151" i="3"/>
  <c r="S2152" i="3"/>
  <c r="T2152" i="3" s="1"/>
  <c r="U2152" i="3"/>
  <c r="V2152" i="3" s="1"/>
  <c r="W2152" i="3"/>
  <c r="X2152" i="3"/>
  <c r="S2153" i="3"/>
  <c r="T2153" i="3" s="1"/>
  <c r="U2153" i="3"/>
  <c r="V2153" i="3" s="1"/>
  <c r="W2153" i="3"/>
  <c r="X2153" i="3"/>
  <c r="S2154" i="3"/>
  <c r="T2154" i="3"/>
  <c r="U2154" i="3"/>
  <c r="V2154" i="3" s="1"/>
  <c r="W2154" i="3"/>
  <c r="X2154" i="3"/>
  <c r="S2155" i="3"/>
  <c r="T2155" i="3" s="1"/>
  <c r="U2155" i="3"/>
  <c r="V2155" i="3" s="1"/>
  <c r="W2155" i="3"/>
  <c r="X2155" i="3"/>
  <c r="S2156" i="3"/>
  <c r="T2156" i="3" s="1"/>
  <c r="U2156" i="3"/>
  <c r="V2156" i="3" s="1"/>
  <c r="W2156" i="3"/>
  <c r="X2156" i="3"/>
  <c r="S2157" i="3"/>
  <c r="T2157" i="3" s="1"/>
  <c r="U2157" i="3"/>
  <c r="V2157" i="3" s="1"/>
  <c r="W2157" i="3"/>
  <c r="X2157" i="3"/>
  <c r="S2158" i="3"/>
  <c r="T2158" i="3" s="1"/>
  <c r="U2158" i="3"/>
  <c r="V2158" i="3" s="1"/>
  <c r="W2158" i="3"/>
  <c r="X2158" i="3"/>
  <c r="S2159" i="3"/>
  <c r="T2159" i="3" s="1"/>
  <c r="U2159" i="3"/>
  <c r="V2159" i="3" s="1"/>
  <c r="W2159" i="3"/>
  <c r="X2159" i="3"/>
  <c r="S2160" i="3"/>
  <c r="T2160" i="3" s="1"/>
  <c r="U2160" i="3"/>
  <c r="V2160" i="3" s="1"/>
  <c r="W2160" i="3"/>
  <c r="X2160" i="3"/>
  <c r="S2161" i="3"/>
  <c r="T2161" i="3" s="1"/>
  <c r="U2161" i="3"/>
  <c r="V2161" i="3" s="1"/>
  <c r="W2161" i="3"/>
  <c r="X2161" i="3"/>
  <c r="S2162" i="3"/>
  <c r="T2162" i="3" s="1"/>
  <c r="U2162" i="3"/>
  <c r="V2162" i="3" s="1"/>
  <c r="W2162" i="3"/>
  <c r="X2162" i="3"/>
  <c r="S2163" i="3"/>
  <c r="T2163" i="3" s="1"/>
  <c r="U2163" i="3"/>
  <c r="V2163" i="3" s="1"/>
  <c r="W2163" i="3"/>
  <c r="X2163" i="3"/>
  <c r="S2164" i="3"/>
  <c r="T2164" i="3" s="1"/>
  <c r="U2164" i="3"/>
  <c r="V2164" i="3" s="1"/>
  <c r="W2164" i="3"/>
  <c r="X2164" i="3"/>
  <c r="S2165" i="3"/>
  <c r="T2165" i="3" s="1"/>
  <c r="U2165" i="3"/>
  <c r="V2165" i="3" s="1"/>
  <c r="W2165" i="3"/>
  <c r="X2165" i="3"/>
  <c r="S2166" i="3"/>
  <c r="T2166" i="3" s="1"/>
  <c r="U2166" i="3"/>
  <c r="V2166" i="3" s="1"/>
  <c r="W2166" i="3"/>
  <c r="X2166" i="3"/>
  <c r="S2167" i="3"/>
  <c r="T2167" i="3" s="1"/>
  <c r="U2167" i="3"/>
  <c r="V2167" i="3" s="1"/>
  <c r="W2167" i="3"/>
  <c r="X2167" i="3"/>
  <c r="S2168" i="3"/>
  <c r="T2168" i="3" s="1"/>
  <c r="U2168" i="3"/>
  <c r="V2168" i="3" s="1"/>
  <c r="W2168" i="3"/>
  <c r="X2168" i="3"/>
  <c r="S2169" i="3"/>
  <c r="T2169" i="3" s="1"/>
  <c r="U2169" i="3"/>
  <c r="V2169" i="3" s="1"/>
  <c r="W2169" i="3"/>
  <c r="X2169" i="3"/>
  <c r="S2170" i="3"/>
  <c r="T2170" i="3" s="1"/>
  <c r="U2170" i="3"/>
  <c r="V2170" i="3" s="1"/>
  <c r="W2170" i="3"/>
  <c r="X2170" i="3"/>
  <c r="S2171" i="3"/>
  <c r="T2171" i="3" s="1"/>
  <c r="U2171" i="3"/>
  <c r="V2171" i="3" s="1"/>
  <c r="W2171" i="3"/>
  <c r="X2171" i="3"/>
  <c r="S2172" i="3"/>
  <c r="T2172" i="3" s="1"/>
  <c r="U2172" i="3"/>
  <c r="V2172" i="3" s="1"/>
  <c r="W2172" i="3"/>
  <c r="X2172" i="3"/>
  <c r="S2173" i="3"/>
  <c r="T2173" i="3" s="1"/>
  <c r="U2173" i="3"/>
  <c r="V2173" i="3" s="1"/>
  <c r="W2173" i="3"/>
  <c r="X2173" i="3"/>
  <c r="S2174" i="3"/>
  <c r="T2174" i="3" s="1"/>
  <c r="U2174" i="3"/>
  <c r="V2174" i="3" s="1"/>
  <c r="W2174" i="3"/>
  <c r="X2174" i="3"/>
  <c r="S2175" i="3"/>
  <c r="T2175" i="3" s="1"/>
  <c r="U2175" i="3"/>
  <c r="V2175" i="3" s="1"/>
  <c r="W2175" i="3"/>
  <c r="X2175" i="3"/>
  <c r="S2176" i="3"/>
  <c r="T2176" i="3" s="1"/>
  <c r="U2176" i="3"/>
  <c r="V2176" i="3" s="1"/>
  <c r="W2176" i="3"/>
  <c r="X2176" i="3"/>
  <c r="S2177" i="3"/>
  <c r="T2177" i="3" s="1"/>
  <c r="U2177" i="3"/>
  <c r="V2177" i="3" s="1"/>
  <c r="W2177" i="3"/>
  <c r="X2177" i="3"/>
  <c r="S2178" i="3"/>
  <c r="T2178" i="3" s="1"/>
  <c r="U2178" i="3"/>
  <c r="V2178" i="3" s="1"/>
  <c r="W2178" i="3"/>
  <c r="X2178" i="3"/>
  <c r="S2179" i="3"/>
  <c r="T2179" i="3" s="1"/>
  <c r="U2179" i="3"/>
  <c r="V2179" i="3" s="1"/>
  <c r="W2179" i="3"/>
  <c r="X2179" i="3"/>
  <c r="S2180" i="3"/>
  <c r="T2180" i="3" s="1"/>
  <c r="U2180" i="3"/>
  <c r="V2180" i="3" s="1"/>
  <c r="W2180" i="3"/>
  <c r="X2180" i="3"/>
  <c r="S2181" i="3"/>
  <c r="T2181" i="3" s="1"/>
  <c r="U2181" i="3"/>
  <c r="V2181" i="3" s="1"/>
  <c r="W2181" i="3"/>
  <c r="X2181" i="3"/>
  <c r="S2182" i="3"/>
  <c r="T2182" i="3" s="1"/>
  <c r="U2182" i="3"/>
  <c r="V2182" i="3" s="1"/>
  <c r="W2182" i="3"/>
  <c r="X2182" i="3"/>
  <c r="S2183" i="3"/>
  <c r="T2183" i="3" s="1"/>
  <c r="U2183" i="3"/>
  <c r="V2183" i="3" s="1"/>
  <c r="W2183" i="3"/>
  <c r="X2183" i="3"/>
  <c r="S2184" i="3"/>
  <c r="T2184" i="3" s="1"/>
  <c r="U2184" i="3"/>
  <c r="V2184" i="3" s="1"/>
  <c r="W2184" i="3"/>
  <c r="X2184" i="3"/>
  <c r="S2185" i="3"/>
  <c r="T2185" i="3" s="1"/>
  <c r="U2185" i="3"/>
  <c r="V2185" i="3" s="1"/>
  <c r="W2185" i="3"/>
  <c r="X2185" i="3"/>
  <c r="S2186" i="3"/>
  <c r="T2186" i="3" s="1"/>
  <c r="U2186" i="3"/>
  <c r="V2186" i="3" s="1"/>
  <c r="W2186" i="3"/>
  <c r="X2186" i="3"/>
  <c r="S2187" i="3"/>
  <c r="T2187" i="3" s="1"/>
  <c r="U2187" i="3"/>
  <c r="V2187" i="3" s="1"/>
  <c r="W2187" i="3"/>
  <c r="X2187" i="3"/>
  <c r="S2188" i="3"/>
  <c r="T2188" i="3" s="1"/>
  <c r="U2188" i="3"/>
  <c r="V2188" i="3" s="1"/>
  <c r="W2188" i="3"/>
  <c r="X2188" i="3"/>
  <c r="S2189" i="3"/>
  <c r="T2189" i="3" s="1"/>
  <c r="U2189" i="3"/>
  <c r="V2189" i="3" s="1"/>
  <c r="W2189" i="3"/>
  <c r="X2189" i="3"/>
  <c r="S2190" i="3"/>
  <c r="T2190" i="3" s="1"/>
  <c r="U2190" i="3"/>
  <c r="V2190" i="3" s="1"/>
  <c r="W2190" i="3"/>
  <c r="X2190" i="3"/>
  <c r="S2191" i="3"/>
  <c r="T2191" i="3" s="1"/>
  <c r="U2191" i="3"/>
  <c r="V2191" i="3" s="1"/>
  <c r="W2191" i="3"/>
  <c r="X2191" i="3"/>
  <c r="S2192" i="3"/>
  <c r="T2192" i="3" s="1"/>
  <c r="U2192" i="3"/>
  <c r="V2192" i="3" s="1"/>
  <c r="W2192" i="3"/>
  <c r="X2192" i="3"/>
  <c r="S2193" i="3"/>
  <c r="T2193" i="3" s="1"/>
  <c r="U2193" i="3"/>
  <c r="V2193" i="3" s="1"/>
  <c r="W2193" i="3"/>
  <c r="X2193" i="3"/>
  <c r="S2194" i="3"/>
  <c r="T2194" i="3" s="1"/>
  <c r="U2194" i="3"/>
  <c r="V2194" i="3" s="1"/>
  <c r="W2194" i="3"/>
  <c r="X2194" i="3"/>
  <c r="S2195" i="3"/>
  <c r="T2195" i="3" s="1"/>
  <c r="U2195" i="3"/>
  <c r="V2195" i="3" s="1"/>
  <c r="W2195" i="3"/>
  <c r="X2195" i="3"/>
  <c r="S2196" i="3"/>
  <c r="T2196" i="3" s="1"/>
  <c r="U2196" i="3"/>
  <c r="V2196" i="3" s="1"/>
  <c r="W2196" i="3"/>
  <c r="X2196" i="3"/>
  <c r="S2197" i="3"/>
  <c r="T2197" i="3" s="1"/>
  <c r="U2197" i="3"/>
  <c r="V2197" i="3" s="1"/>
  <c r="W2197" i="3"/>
  <c r="X2197" i="3"/>
  <c r="S2198" i="3"/>
  <c r="T2198" i="3" s="1"/>
  <c r="U2198" i="3"/>
  <c r="V2198" i="3" s="1"/>
  <c r="W2198" i="3"/>
  <c r="X2198" i="3"/>
  <c r="S2199" i="3"/>
  <c r="T2199" i="3" s="1"/>
  <c r="U2199" i="3"/>
  <c r="V2199" i="3" s="1"/>
  <c r="W2199" i="3"/>
  <c r="X2199" i="3"/>
  <c r="S2200" i="3"/>
  <c r="T2200" i="3" s="1"/>
  <c r="U2200" i="3"/>
  <c r="V2200" i="3" s="1"/>
  <c r="W2200" i="3"/>
  <c r="X2200" i="3"/>
  <c r="S2201" i="3"/>
  <c r="T2201" i="3" s="1"/>
  <c r="U2201" i="3"/>
  <c r="V2201" i="3" s="1"/>
  <c r="W2201" i="3"/>
  <c r="X2201" i="3"/>
  <c r="S2202" i="3"/>
  <c r="T2202" i="3" s="1"/>
  <c r="U2202" i="3"/>
  <c r="V2202" i="3" s="1"/>
  <c r="W2202" i="3"/>
  <c r="X2202" i="3"/>
  <c r="S2203" i="3"/>
  <c r="T2203" i="3" s="1"/>
  <c r="U2203" i="3"/>
  <c r="V2203" i="3" s="1"/>
  <c r="W2203" i="3"/>
  <c r="X2203" i="3"/>
  <c r="S2204" i="3"/>
  <c r="T2204" i="3" s="1"/>
  <c r="U2204" i="3"/>
  <c r="V2204" i="3" s="1"/>
  <c r="W2204" i="3"/>
  <c r="X2204" i="3"/>
  <c r="S2205" i="3"/>
  <c r="T2205" i="3" s="1"/>
  <c r="U2205" i="3"/>
  <c r="V2205" i="3" s="1"/>
  <c r="W2205" i="3"/>
  <c r="X2205" i="3"/>
  <c r="S2206" i="3"/>
  <c r="T2206" i="3" s="1"/>
  <c r="U2206" i="3"/>
  <c r="V2206" i="3" s="1"/>
  <c r="W2206" i="3"/>
  <c r="X2206" i="3"/>
  <c r="S2207" i="3"/>
  <c r="T2207" i="3" s="1"/>
  <c r="U2207" i="3"/>
  <c r="V2207" i="3" s="1"/>
  <c r="W2207" i="3"/>
  <c r="X2207" i="3"/>
  <c r="S2208" i="3"/>
  <c r="T2208" i="3" s="1"/>
  <c r="U2208" i="3"/>
  <c r="V2208" i="3" s="1"/>
  <c r="W2208" i="3"/>
  <c r="X2208" i="3"/>
  <c r="S2209" i="3"/>
  <c r="T2209" i="3" s="1"/>
  <c r="U2209" i="3"/>
  <c r="V2209" i="3" s="1"/>
  <c r="W2209" i="3"/>
  <c r="X2209" i="3"/>
  <c r="S2210" i="3"/>
  <c r="T2210" i="3" s="1"/>
  <c r="U2210" i="3"/>
  <c r="V2210" i="3" s="1"/>
  <c r="W2210" i="3"/>
  <c r="X2210" i="3"/>
  <c r="S2211" i="3"/>
  <c r="T2211" i="3" s="1"/>
  <c r="U2211" i="3"/>
  <c r="V2211" i="3" s="1"/>
  <c r="W2211" i="3"/>
  <c r="X2211" i="3"/>
  <c r="S2212" i="3"/>
  <c r="T2212" i="3" s="1"/>
  <c r="U2212" i="3"/>
  <c r="V2212" i="3" s="1"/>
  <c r="W2212" i="3"/>
  <c r="X2212" i="3"/>
  <c r="S2213" i="3"/>
  <c r="T2213" i="3" s="1"/>
  <c r="U2213" i="3"/>
  <c r="V2213" i="3" s="1"/>
  <c r="W2213" i="3"/>
  <c r="X2213" i="3"/>
  <c r="S2214" i="3"/>
  <c r="T2214" i="3" s="1"/>
  <c r="U2214" i="3"/>
  <c r="V2214" i="3" s="1"/>
  <c r="W2214" i="3"/>
  <c r="X2214" i="3"/>
  <c r="S2215" i="3"/>
  <c r="T2215" i="3" s="1"/>
  <c r="U2215" i="3"/>
  <c r="V2215" i="3" s="1"/>
  <c r="W2215" i="3"/>
  <c r="X2215" i="3"/>
  <c r="S2216" i="3"/>
  <c r="T2216" i="3" s="1"/>
  <c r="U2216" i="3"/>
  <c r="V2216" i="3" s="1"/>
  <c r="W2216" i="3"/>
  <c r="X2216" i="3"/>
  <c r="S2217" i="3"/>
  <c r="T2217" i="3" s="1"/>
  <c r="U2217" i="3"/>
  <c r="V2217" i="3" s="1"/>
  <c r="W2217" i="3"/>
  <c r="X2217" i="3"/>
  <c r="S2218" i="3"/>
  <c r="T2218" i="3" s="1"/>
  <c r="U2218" i="3"/>
  <c r="V2218" i="3" s="1"/>
  <c r="W2218" i="3"/>
  <c r="X2218" i="3"/>
  <c r="S2219" i="3"/>
  <c r="T2219" i="3" s="1"/>
  <c r="U2219" i="3"/>
  <c r="V2219" i="3" s="1"/>
  <c r="W2219" i="3"/>
  <c r="X2219" i="3"/>
  <c r="S2220" i="3"/>
  <c r="T2220" i="3" s="1"/>
  <c r="U2220" i="3"/>
  <c r="V2220" i="3" s="1"/>
  <c r="W2220" i="3"/>
  <c r="X2220" i="3"/>
  <c r="S2221" i="3"/>
  <c r="T2221" i="3" s="1"/>
  <c r="U2221" i="3"/>
  <c r="V2221" i="3" s="1"/>
  <c r="W2221" i="3"/>
  <c r="X2221" i="3"/>
  <c r="S2222" i="3"/>
  <c r="T2222" i="3" s="1"/>
  <c r="U2222" i="3"/>
  <c r="V2222" i="3" s="1"/>
  <c r="W2222" i="3"/>
  <c r="X2222" i="3"/>
  <c r="S2223" i="3"/>
  <c r="T2223" i="3" s="1"/>
  <c r="U2223" i="3"/>
  <c r="V2223" i="3" s="1"/>
  <c r="W2223" i="3"/>
  <c r="X2223" i="3"/>
  <c r="S2224" i="3"/>
  <c r="T2224" i="3" s="1"/>
  <c r="U2224" i="3"/>
  <c r="V2224" i="3" s="1"/>
  <c r="W2224" i="3"/>
  <c r="X2224" i="3"/>
  <c r="S2225" i="3"/>
  <c r="T2225" i="3" s="1"/>
  <c r="U2225" i="3"/>
  <c r="V2225" i="3" s="1"/>
  <c r="W2225" i="3"/>
  <c r="X2225" i="3"/>
  <c r="S2226" i="3"/>
  <c r="T2226" i="3" s="1"/>
  <c r="U2226" i="3"/>
  <c r="V2226" i="3" s="1"/>
  <c r="W2226" i="3"/>
  <c r="X2226" i="3"/>
  <c r="S2227" i="3"/>
  <c r="T2227" i="3" s="1"/>
  <c r="U2227" i="3"/>
  <c r="V2227" i="3" s="1"/>
  <c r="W2227" i="3"/>
  <c r="X2227" i="3"/>
  <c r="S2228" i="3"/>
  <c r="T2228" i="3" s="1"/>
  <c r="U2228" i="3"/>
  <c r="V2228" i="3" s="1"/>
  <c r="W2228" i="3"/>
  <c r="X2228" i="3"/>
  <c r="S2229" i="3"/>
  <c r="T2229" i="3" s="1"/>
  <c r="U2229" i="3"/>
  <c r="V2229" i="3" s="1"/>
  <c r="W2229" i="3"/>
  <c r="X2229" i="3"/>
  <c r="S2230" i="3"/>
  <c r="T2230" i="3" s="1"/>
  <c r="U2230" i="3"/>
  <c r="V2230" i="3" s="1"/>
  <c r="W2230" i="3"/>
  <c r="X2230" i="3"/>
  <c r="S2231" i="3"/>
  <c r="T2231" i="3" s="1"/>
  <c r="U2231" i="3"/>
  <c r="V2231" i="3" s="1"/>
  <c r="W2231" i="3"/>
  <c r="X2231" i="3"/>
  <c r="S2232" i="3"/>
  <c r="T2232" i="3" s="1"/>
  <c r="U2232" i="3"/>
  <c r="V2232" i="3" s="1"/>
  <c r="W2232" i="3"/>
  <c r="X2232" i="3"/>
  <c r="S2233" i="3"/>
  <c r="T2233" i="3" s="1"/>
  <c r="U2233" i="3"/>
  <c r="V2233" i="3" s="1"/>
  <c r="W2233" i="3"/>
  <c r="X2233" i="3"/>
  <c r="S2234" i="3"/>
  <c r="T2234" i="3" s="1"/>
  <c r="U2234" i="3"/>
  <c r="V2234" i="3" s="1"/>
  <c r="W2234" i="3"/>
  <c r="X2234" i="3"/>
  <c r="S2235" i="3"/>
  <c r="T2235" i="3" s="1"/>
  <c r="U2235" i="3"/>
  <c r="V2235" i="3" s="1"/>
  <c r="W2235" i="3"/>
  <c r="X2235" i="3"/>
  <c r="S2236" i="3"/>
  <c r="T2236" i="3" s="1"/>
  <c r="U2236" i="3"/>
  <c r="V2236" i="3" s="1"/>
  <c r="W2236" i="3"/>
  <c r="X2236" i="3"/>
  <c r="S2237" i="3"/>
  <c r="T2237" i="3" s="1"/>
  <c r="U2237" i="3"/>
  <c r="V2237" i="3" s="1"/>
  <c r="W2237" i="3"/>
  <c r="X2237" i="3"/>
  <c r="S2238" i="3"/>
  <c r="T2238" i="3" s="1"/>
  <c r="U2238" i="3"/>
  <c r="V2238" i="3" s="1"/>
  <c r="W2238" i="3"/>
  <c r="X2238" i="3"/>
  <c r="S2239" i="3"/>
  <c r="T2239" i="3" s="1"/>
  <c r="U2239" i="3"/>
  <c r="V2239" i="3" s="1"/>
  <c r="W2239" i="3"/>
  <c r="X2239" i="3"/>
  <c r="S2240" i="3"/>
  <c r="T2240" i="3" s="1"/>
  <c r="U2240" i="3"/>
  <c r="V2240" i="3" s="1"/>
  <c r="W2240" i="3"/>
  <c r="X2240" i="3"/>
  <c r="S2241" i="3"/>
  <c r="T2241" i="3" s="1"/>
  <c r="U2241" i="3"/>
  <c r="V2241" i="3" s="1"/>
  <c r="W2241" i="3"/>
  <c r="X2241" i="3"/>
  <c r="S2242" i="3"/>
  <c r="T2242" i="3" s="1"/>
  <c r="U2242" i="3"/>
  <c r="V2242" i="3" s="1"/>
  <c r="W2242" i="3"/>
  <c r="X2242" i="3"/>
  <c r="S2243" i="3"/>
  <c r="T2243" i="3" s="1"/>
  <c r="U2243" i="3"/>
  <c r="V2243" i="3" s="1"/>
  <c r="W2243" i="3"/>
  <c r="X2243" i="3"/>
  <c r="S2244" i="3"/>
  <c r="T2244" i="3" s="1"/>
  <c r="U2244" i="3"/>
  <c r="V2244" i="3" s="1"/>
  <c r="W2244" i="3"/>
  <c r="X2244" i="3"/>
  <c r="S2245" i="3"/>
  <c r="T2245" i="3" s="1"/>
  <c r="U2245" i="3"/>
  <c r="V2245" i="3" s="1"/>
  <c r="W2245" i="3"/>
  <c r="X2245" i="3"/>
  <c r="S2246" i="3"/>
  <c r="T2246" i="3" s="1"/>
  <c r="U2246" i="3"/>
  <c r="V2246" i="3" s="1"/>
  <c r="W2246" i="3"/>
  <c r="X2246" i="3"/>
  <c r="S2247" i="3"/>
  <c r="T2247" i="3" s="1"/>
  <c r="U2247" i="3"/>
  <c r="V2247" i="3" s="1"/>
  <c r="W2247" i="3"/>
  <c r="X2247" i="3"/>
  <c r="S2248" i="3"/>
  <c r="T2248" i="3" s="1"/>
  <c r="U2248" i="3"/>
  <c r="V2248" i="3" s="1"/>
  <c r="W2248" i="3"/>
  <c r="X2248" i="3"/>
  <c r="S2249" i="3"/>
  <c r="T2249" i="3" s="1"/>
  <c r="U2249" i="3"/>
  <c r="V2249" i="3" s="1"/>
  <c r="W2249" i="3"/>
  <c r="X2249" i="3"/>
  <c r="S2250" i="3"/>
  <c r="T2250" i="3" s="1"/>
  <c r="U2250" i="3"/>
  <c r="V2250" i="3" s="1"/>
  <c r="W2250" i="3"/>
  <c r="X2250" i="3"/>
  <c r="S2251" i="3"/>
  <c r="T2251" i="3" s="1"/>
  <c r="U2251" i="3"/>
  <c r="V2251" i="3" s="1"/>
  <c r="W2251" i="3"/>
  <c r="X2251" i="3"/>
  <c r="S2252" i="3"/>
  <c r="T2252" i="3" s="1"/>
  <c r="U2252" i="3"/>
  <c r="V2252" i="3" s="1"/>
  <c r="W2252" i="3"/>
  <c r="X2252" i="3"/>
  <c r="S2253" i="3"/>
  <c r="T2253" i="3" s="1"/>
  <c r="U2253" i="3"/>
  <c r="V2253" i="3" s="1"/>
  <c r="W2253" i="3"/>
  <c r="X2253" i="3"/>
  <c r="S2254" i="3"/>
  <c r="T2254" i="3" s="1"/>
  <c r="U2254" i="3"/>
  <c r="V2254" i="3" s="1"/>
  <c r="W2254" i="3"/>
  <c r="X2254" i="3"/>
  <c r="S2255" i="3"/>
  <c r="T2255" i="3" s="1"/>
  <c r="U2255" i="3"/>
  <c r="V2255" i="3" s="1"/>
  <c r="W2255" i="3"/>
  <c r="X2255" i="3"/>
  <c r="S2256" i="3"/>
  <c r="T2256" i="3" s="1"/>
  <c r="U2256" i="3"/>
  <c r="V2256" i="3" s="1"/>
  <c r="W2256" i="3"/>
  <c r="X2256" i="3"/>
  <c r="S2257" i="3"/>
  <c r="T2257" i="3" s="1"/>
  <c r="U2257" i="3"/>
  <c r="V2257" i="3" s="1"/>
  <c r="W2257" i="3"/>
  <c r="X2257" i="3"/>
  <c r="S2258" i="3"/>
  <c r="T2258" i="3" s="1"/>
  <c r="U2258" i="3"/>
  <c r="V2258" i="3" s="1"/>
  <c r="W2258" i="3"/>
  <c r="X2258" i="3"/>
  <c r="S2259" i="3"/>
  <c r="T2259" i="3" s="1"/>
  <c r="U2259" i="3"/>
  <c r="V2259" i="3" s="1"/>
  <c r="W2259" i="3"/>
  <c r="X2259" i="3"/>
  <c r="S2260" i="3"/>
  <c r="T2260" i="3" s="1"/>
  <c r="U2260" i="3"/>
  <c r="V2260" i="3" s="1"/>
  <c r="W2260" i="3"/>
  <c r="X2260" i="3"/>
  <c r="S2261" i="3"/>
  <c r="T2261" i="3" s="1"/>
  <c r="U2261" i="3"/>
  <c r="V2261" i="3" s="1"/>
  <c r="W2261" i="3"/>
  <c r="X2261" i="3"/>
  <c r="S2262" i="3"/>
  <c r="T2262" i="3" s="1"/>
  <c r="U2262" i="3"/>
  <c r="V2262" i="3" s="1"/>
  <c r="W2262" i="3"/>
  <c r="X2262" i="3"/>
  <c r="S2263" i="3"/>
  <c r="T2263" i="3" s="1"/>
  <c r="U2263" i="3"/>
  <c r="V2263" i="3" s="1"/>
  <c r="W2263" i="3"/>
  <c r="X2263" i="3"/>
  <c r="S2264" i="3"/>
  <c r="T2264" i="3" s="1"/>
  <c r="U2264" i="3"/>
  <c r="V2264" i="3" s="1"/>
  <c r="W2264" i="3"/>
  <c r="X2264" i="3"/>
  <c r="S2265" i="3"/>
  <c r="T2265" i="3" s="1"/>
  <c r="U2265" i="3"/>
  <c r="V2265" i="3" s="1"/>
  <c r="W2265" i="3"/>
  <c r="X2265" i="3"/>
  <c r="S2266" i="3"/>
  <c r="T2266" i="3" s="1"/>
  <c r="U2266" i="3"/>
  <c r="V2266" i="3" s="1"/>
  <c r="W2266" i="3"/>
  <c r="X2266" i="3"/>
  <c r="S2267" i="3"/>
  <c r="T2267" i="3" s="1"/>
  <c r="U2267" i="3"/>
  <c r="V2267" i="3" s="1"/>
  <c r="W2267" i="3"/>
  <c r="X2267" i="3"/>
  <c r="S2268" i="3"/>
  <c r="T2268" i="3" s="1"/>
  <c r="U2268" i="3"/>
  <c r="V2268" i="3" s="1"/>
  <c r="W2268" i="3"/>
  <c r="X2268" i="3"/>
  <c r="S2269" i="3"/>
  <c r="T2269" i="3" s="1"/>
  <c r="U2269" i="3"/>
  <c r="V2269" i="3" s="1"/>
  <c r="W2269" i="3"/>
  <c r="X2269" i="3"/>
  <c r="S2270" i="3"/>
  <c r="T2270" i="3" s="1"/>
  <c r="U2270" i="3"/>
  <c r="V2270" i="3" s="1"/>
  <c r="W2270" i="3"/>
  <c r="X2270" i="3"/>
  <c r="S2271" i="3"/>
  <c r="T2271" i="3" s="1"/>
  <c r="U2271" i="3"/>
  <c r="V2271" i="3" s="1"/>
  <c r="W2271" i="3"/>
  <c r="X2271" i="3"/>
  <c r="S2272" i="3"/>
  <c r="T2272" i="3" s="1"/>
  <c r="U2272" i="3"/>
  <c r="V2272" i="3" s="1"/>
  <c r="W2272" i="3"/>
  <c r="X2272" i="3"/>
  <c r="S2273" i="3"/>
  <c r="T2273" i="3" s="1"/>
  <c r="U2273" i="3"/>
  <c r="V2273" i="3" s="1"/>
  <c r="W2273" i="3"/>
  <c r="X2273" i="3"/>
  <c r="S2274" i="3"/>
  <c r="T2274" i="3" s="1"/>
  <c r="U2274" i="3"/>
  <c r="V2274" i="3" s="1"/>
  <c r="W2274" i="3"/>
  <c r="X2274" i="3"/>
  <c r="S2275" i="3"/>
  <c r="T2275" i="3" s="1"/>
  <c r="U2275" i="3"/>
  <c r="V2275" i="3" s="1"/>
  <c r="W2275" i="3"/>
  <c r="X2275" i="3"/>
  <c r="S2276" i="3"/>
  <c r="T2276" i="3" s="1"/>
  <c r="U2276" i="3"/>
  <c r="V2276" i="3" s="1"/>
  <c r="W2276" i="3"/>
  <c r="X2276" i="3"/>
  <c r="S2277" i="3"/>
  <c r="T2277" i="3" s="1"/>
  <c r="U2277" i="3"/>
  <c r="V2277" i="3" s="1"/>
  <c r="W2277" i="3"/>
  <c r="X2277" i="3"/>
  <c r="S2278" i="3"/>
  <c r="T2278" i="3" s="1"/>
  <c r="U2278" i="3"/>
  <c r="V2278" i="3" s="1"/>
  <c r="W2278" i="3"/>
  <c r="X2278" i="3"/>
  <c r="S2279" i="3"/>
  <c r="T2279" i="3" s="1"/>
  <c r="U2279" i="3"/>
  <c r="V2279" i="3" s="1"/>
  <c r="W2279" i="3"/>
  <c r="X2279" i="3"/>
  <c r="S2280" i="3"/>
  <c r="T2280" i="3" s="1"/>
  <c r="U2280" i="3"/>
  <c r="V2280" i="3" s="1"/>
  <c r="W2280" i="3"/>
  <c r="X2280" i="3"/>
  <c r="S2281" i="3"/>
  <c r="T2281" i="3" s="1"/>
  <c r="U2281" i="3"/>
  <c r="V2281" i="3" s="1"/>
  <c r="W2281" i="3"/>
  <c r="X2281" i="3"/>
  <c r="S2282" i="3"/>
  <c r="T2282" i="3" s="1"/>
  <c r="U2282" i="3"/>
  <c r="V2282" i="3" s="1"/>
  <c r="W2282" i="3"/>
  <c r="X2282" i="3"/>
  <c r="S2283" i="3"/>
  <c r="T2283" i="3" s="1"/>
  <c r="U2283" i="3"/>
  <c r="V2283" i="3" s="1"/>
  <c r="W2283" i="3"/>
  <c r="X2283" i="3"/>
  <c r="S2284" i="3"/>
  <c r="T2284" i="3" s="1"/>
  <c r="U2284" i="3"/>
  <c r="V2284" i="3" s="1"/>
  <c r="W2284" i="3"/>
  <c r="X2284" i="3"/>
  <c r="S2285" i="3"/>
  <c r="T2285" i="3" s="1"/>
  <c r="U2285" i="3"/>
  <c r="V2285" i="3" s="1"/>
  <c r="W2285" i="3"/>
  <c r="X2285" i="3"/>
  <c r="S2286" i="3"/>
  <c r="T2286" i="3" s="1"/>
  <c r="U2286" i="3"/>
  <c r="V2286" i="3" s="1"/>
  <c r="W2286" i="3"/>
  <c r="X2286" i="3"/>
  <c r="S2287" i="3"/>
  <c r="T2287" i="3" s="1"/>
  <c r="U2287" i="3"/>
  <c r="V2287" i="3" s="1"/>
  <c r="W2287" i="3"/>
  <c r="X2287" i="3"/>
  <c r="S2288" i="3"/>
  <c r="T2288" i="3" s="1"/>
  <c r="U2288" i="3"/>
  <c r="V2288" i="3" s="1"/>
  <c r="W2288" i="3"/>
  <c r="X2288" i="3"/>
  <c r="S2289" i="3"/>
  <c r="T2289" i="3" s="1"/>
  <c r="U2289" i="3"/>
  <c r="V2289" i="3" s="1"/>
  <c r="W2289" i="3"/>
  <c r="X2289" i="3"/>
  <c r="S2290" i="3"/>
  <c r="T2290" i="3" s="1"/>
  <c r="U2290" i="3"/>
  <c r="V2290" i="3" s="1"/>
  <c r="W2290" i="3"/>
  <c r="X2290" i="3"/>
  <c r="S2291" i="3"/>
  <c r="T2291" i="3" s="1"/>
  <c r="U2291" i="3"/>
  <c r="V2291" i="3" s="1"/>
  <c r="W2291" i="3"/>
  <c r="X2291" i="3"/>
  <c r="S2292" i="3"/>
  <c r="T2292" i="3" s="1"/>
  <c r="U2292" i="3"/>
  <c r="V2292" i="3" s="1"/>
  <c r="W2292" i="3"/>
  <c r="X2292" i="3"/>
  <c r="S2293" i="3"/>
  <c r="T2293" i="3" s="1"/>
  <c r="U2293" i="3"/>
  <c r="V2293" i="3" s="1"/>
  <c r="W2293" i="3"/>
  <c r="X2293" i="3"/>
  <c r="S2294" i="3"/>
  <c r="T2294" i="3" s="1"/>
  <c r="U2294" i="3"/>
  <c r="V2294" i="3" s="1"/>
  <c r="W2294" i="3"/>
  <c r="X2294" i="3"/>
  <c r="S2295" i="3"/>
  <c r="T2295" i="3" s="1"/>
  <c r="U2295" i="3"/>
  <c r="V2295" i="3" s="1"/>
  <c r="W2295" i="3"/>
  <c r="X2295" i="3"/>
  <c r="S2296" i="3"/>
  <c r="T2296" i="3" s="1"/>
  <c r="U2296" i="3"/>
  <c r="V2296" i="3" s="1"/>
  <c r="W2296" i="3"/>
  <c r="X2296" i="3"/>
  <c r="S2297" i="3"/>
  <c r="T2297" i="3" s="1"/>
  <c r="U2297" i="3"/>
  <c r="V2297" i="3" s="1"/>
  <c r="W2297" i="3"/>
  <c r="X2297" i="3"/>
  <c r="S2298" i="3"/>
  <c r="T2298" i="3" s="1"/>
  <c r="U2298" i="3"/>
  <c r="V2298" i="3" s="1"/>
  <c r="W2298" i="3"/>
  <c r="X2298" i="3"/>
  <c r="S2299" i="3"/>
  <c r="T2299" i="3" s="1"/>
  <c r="U2299" i="3"/>
  <c r="V2299" i="3" s="1"/>
  <c r="W2299" i="3"/>
  <c r="X2299" i="3"/>
  <c r="S2300" i="3"/>
  <c r="T2300" i="3" s="1"/>
  <c r="U2300" i="3"/>
  <c r="V2300" i="3" s="1"/>
  <c r="W2300" i="3"/>
  <c r="X2300" i="3"/>
  <c r="S2301" i="3"/>
  <c r="T2301" i="3" s="1"/>
  <c r="U2301" i="3"/>
  <c r="V2301" i="3" s="1"/>
  <c r="W2301" i="3"/>
  <c r="X2301" i="3"/>
  <c r="S2302" i="3"/>
  <c r="T2302" i="3" s="1"/>
  <c r="U2302" i="3"/>
  <c r="V2302" i="3" s="1"/>
  <c r="W2302" i="3"/>
  <c r="X2302" i="3"/>
  <c r="S2303" i="3"/>
  <c r="T2303" i="3" s="1"/>
  <c r="U2303" i="3"/>
  <c r="V2303" i="3" s="1"/>
  <c r="W2303" i="3"/>
  <c r="X2303" i="3"/>
  <c r="S2304" i="3"/>
  <c r="T2304" i="3" s="1"/>
  <c r="U2304" i="3"/>
  <c r="V2304" i="3" s="1"/>
  <c r="W2304" i="3"/>
  <c r="X2304" i="3"/>
  <c r="S2305" i="3"/>
  <c r="T2305" i="3" s="1"/>
  <c r="U2305" i="3"/>
  <c r="V2305" i="3" s="1"/>
  <c r="W2305" i="3"/>
  <c r="X2305" i="3"/>
  <c r="S2306" i="3"/>
  <c r="T2306" i="3" s="1"/>
  <c r="U2306" i="3"/>
  <c r="V2306" i="3" s="1"/>
  <c r="W2306" i="3"/>
  <c r="X2306" i="3"/>
  <c r="S2307" i="3"/>
  <c r="T2307" i="3" s="1"/>
  <c r="U2307" i="3"/>
  <c r="V2307" i="3" s="1"/>
  <c r="W2307" i="3"/>
  <c r="X2307" i="3"/>
  <c r="S2308" i="3"/>
  <c r="T2308" i="3" s="1"/>
  <c r="U2308" i="3"/>
  <c r="V2308" i="3" s="1"/>
  <c r="W2308" i="3"/>
  <c r="X2308" i="3"/>
  <c r="S2309" i="3"/>
  <c r="T2309" i="3" s="1"/>
  <c r="U2309" i="3"/>
  <c r="V2309" i="3" s="1"/>
  <c r="W2309" i="3"/>
  <c r="X2309" i="3"/>
  <c r="S2310" i="3"/>
  <c r="T2310" i="3" s="1"/>
  <c r="U2310" i="3"/>
  <c r="V2310" i="3" s="1"/>
  <c r="W2310" i="3"/>
  <c r="X2310" i="3"/>
  <c r="S2311" i="3"/>
  <c r="T2311" i="3" s="1"/>
  <c r="U2311" i="3"/>
  <c r="V2311" i="3" s="1"/>
  <c r="W2311" i="3"/>
  <c r="X2311" i="3"/>
  <c r="S2312" i="3"/>
  <c r="T2312" i="3" s="1"/>
  <c r="U2312" i="3"/>
  <c r="V2312" i="3" s="1"/>
  <c r="W2312" i="3"/>
  <c r="X2312" i="3"/>
  <c r="S2313" i="3"/>
  <c r="T2313" i="3" s="1"/>
  <c r="U2313" i="3"/>
  <c r="V2313" i="3" s="1"/>
  <c r="W2313" i="3"/>
  <c r="X2313" i="3"/>
  <c r="S2314" i="3"/>
  <c r="T2314" i="3" s="1"/>
  <c r="U2314" i="3"/>
  <c r="V2314" i="3" s="1"/>
  <c r="W2314" i="3"/>
  <c r="X2314" i="3"/>
  <c r="S2315" i="3"/>
  <c r="T2315" i="3" s="1"/>
  <c r="U2315" i="3"/>
  <c r="V2315" i="3" s="1"/>
  <c r="W2315" i="3"/>
  <c r="X2315" i="3"/>
  <c r="S2316" i="3"/>
  <c r="T2316" i="3" s="1"/>
  <c r="U2316" i="3"/>
  <c r="V2316" i="3" s="1"/>
  <c r="W2316" i="3"/>
  <c r="X2316" i="3"/>
  <c r="S2317" i="3"/>
  <c r="T2317" i="3" s="1"/>
  <c r="U2317" i="3"/>
  <c r="V2317" i="3" s="1"/>
  <c r="W2317" i="3"/>
  <c r="X2317" i="3"/>
  <c r="S2318" i="3"/>
  <c r="T2318" i="3" s="1"/>
  <c r="U2318" i="3"/>
  <c r="V2318" i="3" s="1"/>
  <c r="W2318" i="3"/>
  <c r="X2318" i="3"/>
  <c r="S2319" i="3"/>
  <c r="T2319" i="3" s="1"/>
  <c r="U2319" i="3"/>
  <c r="V2319" i="3" s="1"/>
  <c r="W2319" i="3"/>
  <c r="X2319" i="3"/>
  <c r="S2320" i="3"/>
  <c r="T2320" i="3" s="1"/>
  <c r="U2320" i="3"/>
  <c r="V2320" i="3" s="1"/>
  <c r="W2320" i="3"/>
  <c r="X2320" i="3"/>
  <c r="S2321" i="3"/>
  <c r="T2321" i="3" s="1"/>
  <c r="U2321" i="3"/>
  <c r="V2321" i="3" s="1"/>
  <c r="W2321" i="3"/>
  <c r="X2321" i="3"/>
  <c r="S2322" i="3"/>
  <c r="T2322" i="3" s="1"/>
  <c r="U2322" i="3"/>
  <c r="V2322" i="3" s="1"/>
  <c r="W2322" i="3"/>
  <c r="X2322" i="3"/>
  <c r="S2323" i="3"/>
  <c r="T2323" i="3" s="1"/>
  <c r="U2323" i="3"/>
  <c r="V2323" i="3" s="1"/>
  <c r="W2323" i="3"/>
  <c r="X2323" i="3"/>
  <c r="S2324" i="3"/>
  <c r="T2324" i="3" s="1"/>
  <c r="U2324" i="3"/>
  <c r="V2324" i="3" s="1"/>
  <c r="W2324" i="3"/>
  <c r="X2324" i="3"/>
  <c r="S2325" i="3"/>
  <c r="T2325" i="3" s="1"/>
  <c r="U2325" i="3"/>
  <c r="V2325" i="3" s="1"/>
  <c r="W2325" i="3"/>
  <c r="X2325" i="3"/>
  <c r="S2326" i="3"/>
  <c r="T2326" i="3" s="1"/>
  <c r="U2326" i="3"/>
  <c r="V2326" i="3" s="1"/>
  <c r="W2326" i="3"/>
  <c r="X2326" i="3"/>
  <c r="S2327" i="3"/>
  <c r="T2327" i="3" s="1"/>
  <c r="U2327" i="3"/>
  <c r="V2327" i="3" s="1"/>
  <c r="W2327" i="3"/>
  <c r="X2327" i="3"/>
  <c r="S2328" i="3"/>
  <c r="T2328" i="3" s="1"/>
  <c r="U2328" i="3"/>
  <c r="V2328" i="3" s="1"/>
  <c r="W2328" i="3"/>
  <c r="X2328" i="3"/>
  <c r="S2329" i="3"/>
  <c r="T2329" i="3" s="1"/>
  <c r="U2329" i="3"/>
  <c r="V2329" i="3" s="1"/>
  <c r="W2329" i="3"/>
  <c r="X2329" i="3"/>
  <c r="S2330" i="3"/>
  <c r="T2330" i="3" s="1"/>
  <c r="U2330" i="3"/>
  <c r="V2330" i="3" s="1"/>
  <c r="W2330" i="3"/>
  <c r="X2330" i="3"/>
  <c r="S2331" i="3"/>
  <c r="T2331" i="3" s="1"/>
  <c r="U2331" i="3"/>
  <c r="V2331" i="3" s="1"/>
  <c r="W2331" i="3"/>
  <c r="X2331" i="3"/>
  <c r="S2332" i="3"/>
  <c r="T2332" i="3" s="1"/>
  <c r="U2332" i="3"/>
  <c r="V2332" i="3" s="1"/>
  <c r="W2332" i="3"/>
  <c r="X2332" i="3"/>
  <c r="S2333" i="3"/>
  <c r="T2333" i="3" s="1"/>
  <c r="U2333" i="3"/>
  <c r="V2333" i="3" s="1"/>
  <c r="W2333" i="3"/>
  <c r="X2333" i="3"/>
  <c r="S2334" i="3"/>
  <c r="T2334" i="3" s="1"/>
  <c r="U2334" i="3"/>
  <c r="V2334" i="3" s="1"/>
  <c r="W2334" i="3"/>
  <c r="X2334" i="3"/>
  <c r="S2335" i="3"/>
  <c r="T2335" i="3" s="1"/>
  <c r="U2335" i="3"/>
  <c r="V2335" i="3" s="1"/>
  <c r="W2335" i="3"/>
  <c r="X2335" i="3"/>
  <c r="S2336" i="3"/>
  <c r="T2336" i="3" s="1"/>
  <c r="U2336" i="3"/>
  <c r="V2336" i="3" s="1"/>
  <c r="W2336" i="3"/>
  <c r="X2336" i="3"/>
  <c r="S2337" i="3"/>
  <c r="T2337" i="3" s="1"/>
  <c r="U2337" i="3"/>
  <c r="V2337" i="3" s="1"/>
  <c r="W2337" i="3"/>
  <c r="X2337" i="3"/>
  <c r="S2338" i="3"/>
  <c r="T2338" i="3" s="1"/>
  <c r="U2338" i="3"/>
  <c r="V2338" i="3" s="1"/>
  <c r="W2338" i="3"/>
  <c r="X2338" i="3"/>
  <c r="S2339" i="3"/>
  <c r="T2339" i="3" s="1"/>
  <c r="U2339" i="3"/>
  <c r="V2339" i="3" s="1"/>
  <c r="W2339" i="3"/>
  <c r="X2339" i="3"/>
  <c r="S2340" i="3"/>
  <c r="T2340" i="3" s="1"/>
  <c r="U2340" i="3"/>
  <c r="V2340" i="3" s="1"/>
  <c r="W2340" i="3"/>
  <c r="X2340" i="3"/>
  <c r="S2341" i="3"/>
  <c r="T2341" i="3" s="1"/>
  <c r="U2341" i="3"/>
  <c r="V2341" i="3" s="1"/>
  <c r="W2341" i="3"/>
  <c r="X2341" i="3"/>
  <c r="S2342" i="3"/>
  <c r="T2342" i="3" s="1"/>
  <c r="U2342" i="3"/>
  <c r="V2342" i="3" s="1"/>
  <c r="W2342" i="3"/>
  <c r="X2342" i="3"/>
  <c r="S2343" i="3"/>
  <c r="T2343" i="3" s="1"/>
  <c r="U2343" i="3"/>
  <c r="V2343" i="3" s="1"/>
  <c r="W2343" i="3"/>
  <c r="X2343" i="3"/>
  <c r="S2344" i="3"/>
  <c r="T2344" i="3" s="1"/>
  <c r="U2344" i="3"/>
  <c r="V2344" i="3" s="1"/>
  <c r="W2344" i="3"/>
  <c r="X2344" i="3"/>
  <c r="S2345" i="3"/>
  <c r="T2345" i="3" s="1"/>
  <c r="U2345" i="3"/>
  <c r="V2345" i="3" s="1"/>
  <c r="W2345" i="3"/>
  <c r="X2345" i="3"/>
  <c r="S2346" i="3"/>
  <c r="T2346" i="3" s="1"/>
  <c r="U2346" i="3"/>
  <c r="V2346" i="3" s="1"/>
  <c r="W2346" i="3"/>
  <c r="X2346" i="3"/>
  <c r="S2347" i="3"/>
  <c r="T2347" i="3" s="1"/>
  <c r="U2347" i="3"/>
  <c r="V2347" i="3" s="1"/>
  <c r="W2347" i="3"/>
  <c r="X2347" i="3"/>
  <c r="S2348" i="3"/>
  <c r="T2348" i="3" s="1"/>
  <c r="U2348" i="3"/>
  <c r="V2348" i="3" s="1"/>
  <c r="W2348" i="3"/>
  <c r="X2348" i="3"/>
  <c r="S2349" i="3"/>
  <c r="T2349" i="3" s="1"/>
  <c r="U2349" i="3"/>
  <c r="V2349" i="3" s="1"/>
  <c r="W2349" i="3"/>
  <c r="X2349" i="3"/>
  <c r="S2350" i="3"/>
  <c r="T2350" i="3" s="1"/>
  <c r="U2350" i="3"/>
  <c r="V2350" i="3" s="1"/>
  <c r="W2350" i="3"/>
  <c r="X2350" i="3"/>
  <c r="S2351" i="3"/>
  <c r="T2351" i="3" s="1"/>
  <c r="U2351" i="3"/>
  <c r="V2351" i="3" s="1"/>
  <c r="W2351" i="3"/>
  <c r="X2351" i="3"/>
  <c r="S2352" i="3"/>
  <c r="T2352" i="3" s="1"/>
  <c r="U2352" i="3"/>
  <c r="V2352" i="3" s="1"/>
  <c r="W2352" i="3"/>
  <c r="X2352" i="3"/>
  <c r="S2353" i="3"/>
  <c r="T2353" i="3" s="1"/>
  <c r="U2353" i="3"/>
  <c r="V2353" i="3" s="1"/>
  <c r="W2353" i="3"/>
  <c r="X2353" i="3"/>
  <c r="S2354" i="3"/>
  <c r="T2354" i="3" s="1"/>
  <c r="U2354" i="3"/>
  <c r="V2354" i="3" s="1"/>
  <c r="W2354" i="3"/>
  <c r="X2354" i="3"/>
  <c r="S2355" i="3"/>
  <c r="T2355" i="3" s="1"/>
  <c r="U2355" i="3"/>
  <c r="V2355" i="3" s="1"/>
  <c r="W2355" i="3"/>
  <c r="X2355" i="3"/>
  <c r="S2356" i="3"/>
  <c r="T2356" i="3" s="1"/>
  <c r="U2356" i="3"/>
  <c r="V2356" i="3" s="1"/>
  <c r="W2356" i="3"/>
  <c r="X2356" i="3"/>
  <c r="S2357" i="3"/>
  <c r="T2357" i="3" s="1"/>
  <c r="U2357" i="3"/>
  <c r="V2357" i="3" s="1"/>
  <c r="W2357" i="3"/>
  <c r="X2357" i="3"/>
  <c r="S2358" i="3"/>
  <c r="T2358" i="3" s="1"/>
  <c r="U2358" i="3"/>
  <c r="V2358" i="3" s="1"/>
  <c r="W2358" i="3"/>
  <c r="X2358" i="3"/>
  <c r="S2359" i="3"/>
  <c r="T2359" i="3" s="1"/>
  <c r="U2359" i="3"/>
  <c r="V2359" i="3" s="1"/>
  <c r="W2359" i="3"/>
  <c r="X2359" i="3"/>
  <c r="S2360" i="3"/>
  <c r="T2360" i="3" s="1"/>
  <c r="U2360" i="3"/>
  <c r="V2360" i="3" s="1"/>
  <c r="W2360" i="3"/>
  <c r="X2360" i="3"/>
  <c r="S2361" i="3"/>
  <c r="T2361" i="3" s="1"/>
  <c r="U2361" i="3"/>
  <c r="V2361" i="3" s="1"/>
  <c r="W2361" i="3"/>
  <c r="X2361" i="3"/>
  <c r="S2362" i="3"/>
  <c r="T2362" i="3" s="1"/>
  <c r="U2362" i="3"/>
  <c r="V2362" i="3" s="1"/>
  <c r="W2362" i="3"/>
  <c r="X2362" i="3"/>
  <c r="S2363" i="3"/>
  <c r="T2363" i="3" s="1"/>
  <c r="U2363" i="3"/>
  <c r="V2363" i="3" s="1"/>
  <c r="W2363" i="3"/>
  <c r="X2363" i="3"/>
  <c r="S2364" i="3"/>
  <c r="T2364" i="3" s="1"/>
  <c r="U2364" i="3"/>
  <c r="V2364" i="3" s="1"/>
  <c r="W2364" i="3"/>
  <c r="X2364" i="3"/>
  <c r="S2365" i="3"/>
  <c r="T2365" i="3" s="1"/>
  <c r="U2365" i="3"/>
  <c r="V2365" i="3" s="1"/>
  <c r="W2365" i="3"/>
  <c r="X2365" i="3"/>
  <c r="S2366" i="3"/>
  <c r="T2366" i="3" s="1"/>
  <c r="U2366" i="3"/>
  <c r="V2366" i="3" s="1"/>
  <c r="W2366" i="3"/>
  <c r="X2366" i="3"/>
  <c r="S2367" i="3"/>
  <c r="T2367" i="3" s="1"/>
  <c r="U2367" i="3"/>
  <c r="V2367" i="3" s="1"/>
  <c r="W2367" i="3"/>
  <c r="X2367" i="3"/>
  <c r="S2368" i="3"/>
  <c r="T2368" i="3" s="1"/>
  <c r="U2368" i="3"/>
  <c r="V2368" i="3" s="1"/>
  <c r="W2368" i="3"/>
  <c r="X2368" i="3"/>
  <c r="S2369" i="3"/>
  <c r="T2369" i="3" s="1"/>
  <c r="U2369" i="3"/>
  <c r="V2369" i="3" s="1"/>
  <c r="W2369" i="3"/>
  <c r="X2369" i="3"/>
  <c r="S2370" i="3"/>
  <c r="T2370" i="3" s="1"/>
  <c r="U2370" i="3"/>
  <c r="V2370" i="3" s="1"/>
  <c r="W2370" i="3"/>
  <c r="X2370" i="3"/>
  <c r="S2371" i="3"/>
  <c r="T2371" i="3" s="1"/>
  <c r="U2371" i="3"/>
  <c r="V2371" i="3" s="1"/>
  <c r="W2371" i="3"/>
  <c r="X2371" i="3"/>
  <c r="S2372" i="3"/>
  <c r="T2372" i="3" s="1"/>
  <c r="U2372" i="3"/>
  <c r="V2372" i="3" s="1"/>
  <c r="W2372" i="3"/>
  <c r="X2372" i="3"/>
  <c r="S2373" i="3"/>
  <c r="T2373" i="3" s="1"/>
  <c r="U2373" i="3"/>
  <c r="V2373" i="3" s="1"/>
  <c r="W2373" i="3"/>
  <c r="X2373" i="3"/>
  <c r="S2374" i="3"/>
  <c r="T2374" i="3" s="1"/>
  <c r="U2374" i="3"/>
  <c r="V2374" i="3" s="1"/>
  <c r="W2374" i="3"/>
  <c r="X2374" i="3"/>
  <c r="S2375" i="3"/>
  <c r="T2375" i="3" s="1"/>
  <c r="U2375" i="3"/>
  <c r="V2375" i="3" s="1"/>
  <c r="W2375" i="3"/>
  <c r="X2375" i="3"/>
  <c r="S2376" i="3"/>
  <c r="T2376" i="3" s="1"/>
  <c r="U2376" i="3"/>
  <c r="V2376" i="3" s="1"/>
  <c r="W2376" i="3"/>
  <c r="X2376" i="3"/>
  <c r="S2377" i="3"/>
  <c r="T2377" i="3" s="1"/>
  <c r="U2377" i="3"/>
  <c r="V2377" i="3" s="1"/>
  <c r="W2377" i="3"/>
  <c r="X2377" i="3"/>
  <c r="S2378" i="3"/>
  <c r="T2378" i="3" s="1"/>
  <c r="U2378" i="3"/>
  <c r="V2378" i="3" s="1"/>
  <c r="W2378" i="3"/>
  <c r="X2378" i="3"/>
  <c r="S2379" i="3"/>
  <c r="T2379" i="3" s="1"/>
  <c r="U2379" i="3"/>
  <c r="V2379" i="3" s="1"/>
  <c r="W2379" i="3"/>
  <c r="X2379" i="3"/>
  <c r="S2380" i="3"/>
  <c r="T2380" i="3" s="1"/>
  <c r="U2380" i="3"/>
  <c r="V2380" i="3" s="1"/>
  <c r="W2380" i="3"/>
  <c r="X2380" i="3"/>
  <c r="S2381" i="3"/>
  <c r="T2381" i="3" s="1"/>
  <c r="U2381" i="3"/>
  <c r="V2381" i="3" s="1"/>
  <c r="W2381" i="3"/>
  <c r="X2381" i="3"/>
  <c r="S2382" i="3"/>
  <c r="T2382" i="3" s="1"/>
  <c r="U2382" i="3"/>
  <c r="V2382" i="3" s="1"/>
  <c r="W2382" i="3"/>
  <c r="X2382" i="3"/>
  <c r="S2383" i="3"/>
  <c r="T2383" i="3" s="1"/>
  <c r="U2383" i="3"/>
  <c r="V2383" i="3" s="1"/>
  <c r="W2383" i="3"/>
  <c r="X2383" i="3"/>
  <c r="S2384" i="3"/>
  <c r="T2384" i="3" s="1"/>
  <c r="U2384" i="3"/>
  <c r="V2384" i="3" s="1"/>
  <c r="W2384" i="3"/>
  <c r="X2384" i="3"/>
  <c r="S2385" i="3"/>
  <c r="T2385" i="3" s="1"/>
  <c r="U2385" i="3"/>
  <c r="V2385" i="3" s="1"/>
  <c r="W2385" i="3"/>
  <c r="X2385" i="3"/>
  <c r="S2386" i="3"/>
  <c r="T2386" i="3" s="1"/>
  <c r="U2386" i="3"/>
  <c r="V2386" i="3" s="1"/>
  <c r="W2386" i="3"/>
  <c r="X2386" i="3"/>
  <c r="S2387" i="3"/>
  <c r="T2387" i="3" s="1"/>
  <c r="U2387" i="3"/>
  <c r="V2387" i="3" s="1"/>
  <c r="W2387" i="3"/>
  <c r="X2387" i="3"/>
  <c r="S2388" i="3"/>
  <c r="T2388" i="3" s="1"/>
  <c r="U2388" i="3"/>
  <c r="V2388" i="3" s="1"/>
  <c r="W2388" i="3"/>
  <c r="X2388" i="3"/>
  <c r="S2389" i="3"/>
  <c r="T2389" i="3" s="1"/>
  <c r="U2389" i="3"/>
  <c r="V2389" i="3" s="1"/>
  <c r="W2389" i="3"/>
  <c r="X2389" i="3"/>
  <c r="S2390" i="3"/>
  <c r="T2390" i="3" s="1"/>
  <c r="U2390" i="3"/>
  <c r="V2390" i="3" s="1"/>
  <c r="W2390" i="3"/>
  <c r="X2390" i="3"/>
  <c r="S2391" i="3"/>
  <c r="T2391" i="3" s="1"/>
  <c r="U2391" i="3"/>
  <c r="V2391" i="3" s="1"/>
  <c r="W2391" i="3"/>
  <c r="X2391" i="3"/>
  <c r="S2392" i="3"/>
  <c r="T2392" i="3" s="1"/>
  <c r="U2392" i="3"/>
  <c r="V2392" i="3" s="1"/>
  <c r="W2392" i="3"/>
  <c r="X2392" i="3"/>
  <c r="S2393" i="3"/>
  <c r="T2393" i="3" s="1"/>
  <c r="U2393" i="3"/>
  <c r="V2393" i="3" s="1"/>
  <c r="W2393" i="3"/>
  <c r="X2393" i="3"/>
  <c r="S2394" i="3"/>
  <c r="T2394" i="3" s="1"/>
  <c r="U2394" i="3"/>
  <c r="V2394" i="3" s="1"/>
  <c r="W2394" i="3"/>
  <c r="X2394" i="3"/>
  <c r="S2395" i="3"/>
  <c r="T2395" i="3" s="1"/>
  <c r="U2395" i="3"/>
  <c r="V2395" i="3" s="1"/>
  <c r="W2395" i="3"/>
  <c r="X2395" i="3"/>
  <c r="S2396" i="3"/>
  <c r="T2396" i="3" s="1"/>
  <c r="U2396" i="3"/>
  <c r="V2396" i="3" s="1"/>
  <c r="W2396" i="3"/>
  <c r="X2396" i="3"/>
  <c r="S2397" i="3"/>
  <c r="T2397" i="3" s="1"/>
  <c r="U2397" i="3"/>
  <c r="V2397" i="3" s="1"/>
  <c r="W2397" i="3"/>
  <c r="X2397" i="3"/>
  <c r="S2398" i="3"/>
  <c r="T2398" i="3" s="1"/>
  <c r="U2398" i="3"/>
  <c r="V2398" i="3" s="1"/>
  <c r="W2398" i="3"/>
  <c r="X2398" i="3"/>
  <c r="S2399" i="3"/>
  <c r="T2399" i="3" s="1"/>
  <c r="U2399" i="3"/>
  <c r="V2399" i="3" s="1"/>
  <c r="W2399" i="3"/>
  <c r="X2399" i="3"/>
  <c r="S2400" i="3"/>
  <c r="T2400" i="3" s="1"/>
  <c r="U2400" i="3"/>
  <c r="V2400" i="3" s="1"/>
  <c r="W2400" i="3"/>
  <c r="X2400" i="3"/>
  <c r="S2401" i="3"/>
  <c r="T2401" i="3" s="1"/>
  <c r="U2401" i="3"/>
  <c r="V2401" i="3" s="1"/>
  <c r="W2401" i="3"/>
  <c r="X2401" i="3"/>
  <c r="S2402" i="3"/>
  <c r="T2402" i="3" s="1"/>
  <c r="U2402" i="3"/>
  <c r="V2402" i="3" s="1"/>
  <c r="W2402" i="3"/>
  <c r="X2402" i="3"/>
  <c r="S2403" i="3"/>
  <c r="T2403" i="3" s="1"/>
  <c r="U2403" i="3"/>
  <c r="V2403" i="3" s="1"/>
  <c r="W2403" i="3"/>
  <c r="X2403" i="3"/>
  <c r="S2404" i="3"/>
  <c r="T2404" i="3" s="1"/>
  <c r="U2404" i="3"/>
  <c r="V2404" i="3" s="1"/>
  <c r="W2404" i="3"/>
  <c r="X2404" i="3"/>
  <c r="S2405" i="3"/>
  <c r="T2405" i="3" s="1"/>
  <c r="U2405" i="3"/>
  <c r="V2405" i="3" s="1"/>
  <c r="W2405" i="3"/>
  <c r="X2405" i="3"/>
  <c r="S2406" i="3"/>
  <c r="T2406" i="3" s="1"/>
  <c r="U2406" i="3"/>
  <c r="V2406" i="3" s="1"/>
  <c r="W2406" i="3"/>
  <c r="X2406" i="3"/>
  <c r="S2407" i="3"/>
  <c r="T2407" i="3" s="1"/>
  <c r="U2407" i="3"/>
  <c r="V2407" i="3" s="1"/>
  <c r="W2407" i="3"/>
  <c r="X2407" i="3"/>
  <c r="S2408" i="3"/>
  <c r="T2408" i="3" s="1"/>
  <c r="U2408" i="3"/>
  <c r="V2408" i="3" s="1"/>
  <c r="W2408" i="3"/>
  <c r="X2408" i="3"/>
  <c r="S2409" i="3"/>
  <c r="T2409" i="3" s="1"/>
  <c r="U2409" i="3"/>
  <c r="V2409" i="3" s="1"/>
  <c r="W2409" i="3"/>
  <c r="X2409" i="3"/>
  <c r="S2410" i="3"/>
  <c r="T2410" i="3" s="1"/>
  <c r="U2410" i="3"/>
  <c r="V2410" i="3" s="1"/>
  <c r="W2410" i="3"/>
  <c r="X2410" i="3"/>
  <c r="S2411" i="3"/>
  <c r="T2411" i="3" s="1"/>
  <c r="U2411" i="3"/>
  <c r="V2411" i="3" s="1"/>
  <c r="W2411" i="3"/>
  <c r="X2411" i="3"/>
  <c r="S2412" i="3"/>
  <c r="T2412" i="3" s="1"/>
  <c r="U2412" i="3"/>
  <c r="V2412" i="3" s="1"/>
  <c r="W2412" i="3"/>
  <c r="X2412" i="3"/>
  <c r="S2413" i="3"/>
  <c r="T2413" i="3" s="1"/>
  <c r="U2413" i="3"/>
  <c r="V2413" i="3" s="1"/>
  <c r="W2413" i="3"/>
  <c r="X2413" i="3"/>
  <c r="S2414" i="3"/>
  <c r="T2414" i="3" s="1"/>
  <c r="U2414" i="3"/>
  <c r="V2414" i="3" s="1"/>
  <c r="W2414" i="3"/>
  <c r="X2414" i="3"/>
  <c r="S2415" i="3"/>
  <c r="T2415" i="3" s="1"/>
  <c r="U2415" i="3"/>
  <c r="V2415" i="3" s="1"/>
  <c r="W2415" i="3"/>
  <c r="X2415" i="3"/>
  <c r="S2416" i="3"/>
  <c r="T2416" i="3" s="1"/>
  <c r="U2416" i="3"/>
  <c r="V2416" i="3" s="1"/>
  <c r="W2416" i="3"/>
  <c r="X2416" i="3"/>
  <c r="S2417" i="3"/>
  <c r="T2417" i="3" s="1"/>
  <c r="U2417" i="3"/>
  <c r="V2417" i="3" s="1"/>
  <c r="W2417" i="3"/>
  <c r="X2417" i="3"/>
  <c r="S2418" i="3"/>
  <c r="T2418" i="3" s="1"/>
  <c r="U2418" i="3"/>
  <c r="V2418" i="3" s="1"/>
  <c r="W2418" i="3"/>
  <c r="X2418" i="3"/>
  <c r="S2419" i="3"/>
  <c r="T2419" i="3" s="1"/>
  <c r="U2419" i="3"/>
  <c r="V2419" i="3" s="1"/>
  <c r="W2419" i="3"/>
  <c r="X2419" i="3"/>
  <c r="S2420" i="3"/>
  <c r="T2420" i="3" s="1"/>
  <c r="U2420" i="3"/>
  <c r="V2420" i="3" s="1"/>
  <c r="W2420" i="3"/>
  <c r="X2420" i="3"/>
  <c r="S2421" i="3"/>
  <c r="T2421" i="3" s="1"/>
  <c r="U2421" i="3"/>
  <c r="V2421" i="3" s="1"/>
  <c r="W2421" i="3"/>
  <c r="X2421" i="3"/>
  <c r="S2422" i="3"/>
  <c r="T2422" i="3" s="1"/>
  <c r="U2422" i="3"/>
  <c r="V2422" i="3" s="1"/>
  <c r="W2422" i="3"/>
  <c r="X2422" i="3"/>
  <c r="S2423" i="3"/>
  <c r="T2423" i="3" s="1"/>
  <c r="U2423" i="3"/>
  <c r="V2423" i="3" s="1"/>
  <c r="W2423" i="3"/>
  <c r="X2423" i="3"/>
  <c r="S2424" i="3"/>
  <c r="T2424" i="3" s="1"/>
  <c r="U2424" i="3"/>
  <c r="V2424" i="3" s="1"/>
  <c r="W2424" i="3"/>
  <c r="X2424" i="3"/>
  <c r="S2425" i="3"/>
  <c r="T2425" i="3" s="1"/>
  <c r="U2425" i="3"/>
  <c r="V2425" i="3" s="1"/>
  <c r="W2425" i="3"/>
  <c r="X2425" i="3"/>
  <c r="S2426" i="3"/>
  <c r="T2426" i="3" s="1"/>
  <c r="U2426" i="3"/>
  <c r="V2426" i="3" s="1"/>
  <c r="W2426" i="3"/>
  <c r="X2426" i="3"/>
  <c r="S2427" i="3"/>
  <c r="T2427" i="3" s="1"/>
  <c r="U2427" i="3"/>
  <c r="V2427" i="3" s="1"/>
  <c r="W2427" i="3"/>
  <c r="X2427" i="3"/>
  <c r="S2428" i="3"/>
  <c r="T2428" i="3" s="1"/>
  <c r="U2428" i="3"/>
  <c r="V2428" i="3" s="1"/>
  <c r="W2428" i="3"/>
  <c r="X2428" i="3"/>
  <c r="S2429" i="3"/>
  <c r="T2429" i="3" s="1"/>
  <c r="U2429" i="3"/>
  <c r="V2429" i="3" s="1"/>
  <c r="W2429" i="3"/>
  <c r="X2429" i="3"/>
  <c r="S2430" i="3"/>
  <c r="T2430" i="3" s="1"/>
  <c r="U2430" i="3"/>
  <c r="V2430" i="3" s="1"/>
  <c r="W2430" i="3"/>
  <c r="X2430" i="3"/>
  <c r="S2431" i="3"/>
  <c r="T2431" i="3" s="1"/>
  <c r="U2431" i="3"/>
  <c r="V2431" i="3" s="1"/>
  <c r="W2431" i="3"/>
  <c r="X2431" i="3"/>
  <c r="S2432" i="3"/>
  <c r="T2432" i="3" s="1"/>
  <c r="U2432" i="3"/>
  <c r="V2432" i="3" s="1"/>
  <c r="W2432" i="3"/>
  <c r="X2432" i="3"/>
  <c r="S2433" i="3"/>
  <c r="T2433" i="3" s="1"/>
  <c r="U2433" i="3"/>
  <c r="V2433" i="3" s="1"/>
  <c r="W2433" i="3"/>
  <c r="X2433" i="3"/>
  <c r="S2434" i="3"/>
  <c r="T2434" i="3" s="1"/>
  <c r="U2434" i="3"/>
  <c r="V2434" i="3" s="1"/>
  <c r="W2434" i="3"/>
  <c r="X2434" i="3"/>
  <c r="S2435" i="3"/>
  <c r="T2435" i="3" s="1"/>
  <c r="U2435" i="3"/>
  <c r="V2435" i="3" s="1"/>
  <c r="W2435" i="3"/>
  <c r="X2435" i="3"/>
  <c r="S2436" i="3"/>
  <c r="T2436" i="3" s="1"/>
  <c r="U2436" i="3"/>
  <c r="V2436" i="3" s="1"/>
  <c r="W2436" i="3"/>
  <c r="X2436" i="3"/>
  <c r="S2437" i="3"/>
  <c r="T2437" i="3" s="1"/>
  <c r="U2437" i="3"/>
  <c r="V2437" i="3" s="1"/>
  <c r="W2437" i="3"/>
  <c r="X2437" i="3"/>
  <c r="S2438" i="3"/>
  <c r="T2438" i="3" s="1"/>
  <c r="U2438" i="3"/>
  <c r="V2438" i="3" s="1"/>
  <c r="W2438" i="3"/>
  <c r="X2438" i="3"/>
  <c r="S2439" i="3"/>
  <c r="T2439" i="3" s="1"/>
  <c r="U2439" i="3"/>
  <c r="V2439" i="3" s="1"/>
  <c r="W2439" i="3"/>
  <c r="X2439" i="3"/>
  <c r="S2440" i="3"/>
  <c r="T2440" i="3" s="1"/>
  <c r="U2440" i="3"/>
  <c r="V2440" i="3" s="1"/>
  <c r="W2440" i="3"/>
  <c r="X2440" i="3"/>
  <c r="S2441" i="3"/>
  <c r="T2441" i="3" s="1"/>
  <c r="U2441" i="3"/>
  <c r="V2441" i="3" s="1"/>
  <c r="W2441" i="3"/>
  <c r="X2441" i="3"/>
  <c r="S2442" i="3"/>
  <c r="T2442" i="3" s="1"/>
  <c r="U2442" i="3"/>
  <c r="V2442" i="3" s="1"/>
  <c r="W2442" i="3"/>
  <c r="X2442" i="3"/>
  <c r="S2443" i="3"/>
  <c r="T2443" i="3" s="1"/>
  <c r="U2443" i="3"/>
  <c r="V2443" i="3" s="1"/>
  <c r="W2443" i="3"/>
  <c r="X2443" i="3"/>
  <c r="S2444" i="3"/>
  <c r="T2444" i="3" s="1"/>
  <c r="U2444" i="3"/>
  <c r="V2444" i="3" s="1"/>
  <c r="W2444" i="3"/>
  <c r="X2444" i="3"/>
  <c r="S2445" i="3"/>
  <c r="T2445" i="3" s="1"/>
  <c r="U2445" i="3"/>
  <c r="V2445" i="3" s="1"/>
  <c r="W2445" i="3"/>
  <c r="X2445" i="3"/>
  <c r="S2446" i="3"/>
  <c r="T2446" i="3" s="1"/>
  <c r="U2446" i="3"/>
  <c r="V2446" i="3" s="1"/>
  <c r="W2446" i="3"/>
  <c r="X2446" i="3"/>
  <c r="S2447" i="3"/>
  <c r="T2447" i="3" s="1"/>
  <c r="U2447" i="3"/>
  <c r="V2447" i="3" s="1"/>
  <c r="W2447" i="3"/>
  <c r="X2447" i="3"/>
  <c r="S2448" i="3"/>
  <c r="T2448" i="3" s="1"/>
  <c r="U2448" i="3"/>
  <c r="V2448" i="3" s="1"/>
  <c r="W2448" i="3"/>
  <c r="X2448" i="3"/>
  <c r="S2449" i="3"/>
  <c r="T2449" i="3" s="1"/>
  <c r="U2449" i="3"/>
  <c r="V2449" i="3" s="1"/>
  <c r="W2449" i="3"/>
  <c r="X2449" i="3"/>
  <c r="S2450" i="3"/>
  <c r="T2450" i="3" s="1"/>
  <c r="U2450" i="3"/>
  <c r="V2450" i="3" s="1"/>
  <c r="W2450" i="3"/>
  <c r="X2450" i="3"/>
  <c r="S2451" i="3"/>
  <c r="T2451" i="3" s="1"/>
  <c r="U2451" i="3"/>
  <c r="V2451" i="3" s="1"/>
  <c r="W2451" i="3"/>
  <c r="X2451" i="3"/>
  <c r="S2452" i="3"/>
  <c r="T2452" i="3" s="1"/>
  <c r="U2452" i="3"/>
  <c r="V2452" i="3" s="1"/>
  <c r="W2452" i="3"/>
  <c r="X2452" i="3"/>
  <c r="S2453" i="3"/>
  <c r="T2453" i="3" s="1"/>
  <c r="U2453" i="3"/>
  <c r="V2453" i="3" s="1"/>
  <c r="W2453" i="3"/>
  <c r="X2453" i="3"/>
  <c r="S2454" i="3"/>
  <c r="T2454" i="3" s="1"/>
  <c r="U2454" i="3"/>
  <c r="V2454" i="3" s="1"/>
  <c r="W2454" i="3"/>
  <c r="X2454" i="3"/>
  <c r="S2455" i="3"/>
  <c r="T2455" i="3" s="1"/>
  <c r="U2455" i="3"/>
  <c r="V2455" i="3" s="1"/>
  <c r="W2455" i="3"/>
  <c r="X2455" i="3"/>
  <c r="S2456" i="3"/>
  <c r="T2456" i="3" s="1"/>
  <c r="U2456" i="3"/>
  <c r="V2456" i="3" s="1"/>
  <c r="W2456" i="3"/>
  <c r="X2456" i="3"/>
  <c r="S2457" i="3"/>
  <c r="T2457" i="3" s="1"/>
  <c r="U2457" i="3"/>
  <c r="V2457" i="3" s="1"/>
  <c r="W2457" i="3"/>
  <c r="X2457" i="3"/>
  <c r="S2458" i="3"/>
  <c r="T2458" i="3" s="1"/>
  <c r="U2458" i="3"/>
  <c r="V2458" i="3" s="1"/>
  <c r="W2458" i="3"/>
  <c r="X2458" i="3"/>
  <c r="S2459" i="3"/>
  <c r="T2459" i="3" s="1"/>
  <c r="U2459" i="3"/>
  <c r="V2459" i="3" s="1"/>
  <c r="W2459" i="3"/>
  <c r="X2459" i="3"/>
  <c r="S2460" i="3"/>
  <c r="T2460" i="3" s="1"/>
  <c r="U2460" i="3"/>
  <c r="V2460" i="3" s="1"/>
  <c r="W2460" i="3"/>
  <c r="X2460" i="3"/>
  <c r="S2461" i="3"/>
  <c r="T2461" i="3" s="1"/>
  <c r="U2461" i="3"/>
  <c r="V2461" i="3" s="1"/>
  <c r="W2461" i="3"/>
  <c r="X2461" i="3"/>
  <c r="S2462" i="3"/>
  <c r="T2462" i="3" s="1"/>
  <c r="U2462" i="3"/>
  <c r="V2462" i="3" s="1"/>
  <c r="W2462" i="3"/>
  <c r="X2462" i="3"/>
  <c r="S2463" i="3"/>
  <c r="T2463" i="3" s="1"/>
  <c r="U2463" i="3"/>
  <c r="V2463" i="3" s="1"/>
  <c r="W2463" i="3"/>
  <c r="X2463" i="3"/>
  <c r="S2464" i="3"/>
  <c r="T2464" i="3" s="1"/>
  <c r="U2464" i="3"/>
  <c r="V2464" i="3" s="1"/>
  <c r="W2464" i="3"/>
  <c r="X2464" i="3"/>
  <c r="S2465" i="3"/>
  <c r="T2465" i="3" s="1"/>
  <c r="U2465" i="3"/>
  <c r="V2465" i="3" s="1"/>
  <c r="W2465" i="3"/>
  <c r="X2465" i="3"/>
  <c r="S2466" i="3"/>
  <c r="T2466" i="3" s="1"/>
  <c r="U2466" i="3"/>
  <c r="V2466" i="3" s="1"/>
  <c r="W2466" i="3"/>
  <c r="X2466" i="3"/>
  <c r="S2467" i="3"/>
  <c r="T2467" i="3" s="1"/>
  <c r="U2467" i="3"/>
  <c r="V2467" i="3" s="1"/>
  <c r="W2467" i="3"/>
  <c r="X2467" i="3"/>
  <c r="S2468" i="3"/>
  <c r="T2468" i="3" s="1"/>
  <c r="U2468" i="3"/>
  <c r="V2468" i="3" s="1"/>
  <c r="W2468" i="3"/>
  <c r="X2468" i="3"/>
  <c r="S2469" i="3"/>
  <c r="T2469" i="3" s="1"/>
  <c r="U2469" i="3"/>
  <c r="V2469" i="3" s="1"/>
  <c r="W2469" i="3"/>
  <c r="X2469" i="3"/>
  <c r="S2470" i="3"/>
  <c r="T2470" i="3" s="1"/>
  <c r="U2470" i="3"/>
  <c r="V2470" i="3" s="1"/>
  <c r="W2470" i="3"/>
  <c r="X2470" i="3"/>
  <c r="S2471" i="3"/>
  <c r="T2471" i="3" s="1"/>
  <c r="U2471" i="3"/>
  <c r="V2471" i="3" s="1"/>
  <c r="W2471" i="3"/>
  <c r="X2471" i="3"/>
  <c r="S2472" i="3"/>
  <c r="T2472" i="3" s="1"/>
  <c r="U2472" i="3"/>
  <c r="V2472" i="3" s="1"/>
  <c r="W2472" i="3"/>
  <c r="X2472" i="3"/>
  <c r="S2473" i="3"/>
  <c r="T2473" i="3" s="1"/>
  <c r="U2473" i="3"/>
  <c r="V2473" i="3" s="1"/>
  <c r="W2473" i="3"/>
  <c r="X2473" i="3"/>
  <c r="S2474" i="3"/>
  <c r="T2474" i="3" s="1"/>
  <c r="U2474" i="3"/>
  <c r="V2474" i="3" s="1"/>
  <c r="W2474" i="3"/>
  <c r="X2474" i="3"/>
  <c r="S2475" i="3"/>
  <c r="T2475" i="3" s="1"/>
  <c r="U2475" i="3"/>
  <c r="V2475" i="3" s="1"/>
  <c r="W2475" i="3"/>
  <c r="X2475" i="3"/>
  <c r="S2476" i="3"/>
  <c r="T2476" i="3" s="1"/>
  <c r="U2476" i="3"/>
  <c r="V2476" i="3" s="1"/>
  <c r="W2476" i="3"/>
  <c r="X2476" i="3"/>
  <c r="S2477" i="3"/>
  <c r="T2477" i="3" s="1"/>
  <c r="U2477" i="3"/>
  <c r="V2477" i="3" s="1"/>
  <c r="W2477" i="3"/>
  <c r="X2477" i="3"/>
  <c r="S2478" i="3"/>
  <c r="T2478" i="3" s="1"/>
  <c r="U2478" i="3"/>
  <c r="V2478" i="3" s="1"/>
  <c r="W2478" i="3"/>
  <c r="X2478" i="3"/>
  <c r="S2479" i="3"/>
  <c r="T2479" i="3" s="1"/>
  <c r="U2479" i="3"/>
  <c r="V2479" i="3" s="1"/>
  <c r="W2479" i="3"/>
  <c r="X2479" i="3"/>
  <c r="S2480" i="3"/>
  <c r="T2480" i="3" s="1"/>
  <c r="U2480" i="3"/>
  <c r="V2480" i="3" s="1"/>
  <c r="W2480" i="3"/>
  <c r="X2480" i="3"/>
  <c r="S2481" i="3"/>
  <c r="T2481" i="3" s="1"/>
  <c r="U2481" i="3"/>
  <c r="V2481" i="3" s="1"/>
  <c r="W2481" i="3"/>
  <c r="X2481" i="3"/>
  <c r="S2482" i="3"/>
  <c r="T2482" i="3" s="1"/>
  <c r="U2482" i="3"/>
  <c r="V2482" i="3" s="1"/>
  <c r="W2482" i="3"/>
  <c r="X2482" i="3"/>
  <c r="S2483" i="3"/>
  <c r="T2483" i="3" s="1"/>
  <c r="U2483" i="3"/>
  <c r="V2483" i="3" s="1"/>
  <c r="W2483" i="3"/>
  <c r="X2483" i="3"/>
  <c r="S2484" i="3"/>
  <c r="T2484" i="3" s="1"/>
  <c r="U2484" i="3"/>
  <c r="V2484" i="3" s="1"/>
  <c r="W2484" i="3"/>
  <c r="X2484" i="3"/>
  <c r="S2485" i="3"/>
  <c r="T2485" i="3" s="1"/>
  <c r="U2485" i="3"/>
  <c r="V2485" i="3" s="1"/>
  <c r="W2485" i="3"/>
  <c r="X2485" i="3"/>
  <c r="S2486" i="3"/>
  <c r="T2486" i="3" s="1"/>
  <c r="U2486" i="3"/>
  <c r="V2486" i="3" s="1"/>
  <c r="W2486" i="3"/>
  <c r="X2486" i="3"/>
  <c r="S2487" i="3"/>
  <c r="T2487" i="3" s="1"/>
  <c r="U2487" i="3"/>
  <c r="V2487" i="3" s="1"/>
  <c r="W2487" i="3"/>
  <c r="X2487" i="3"/>
  <c r="S2488" i="3"/>
  <c r="T2488" i="3" s="1"/>
  <c r="U2488" i="3"/>
  <c r="V2488" i="3" s="1"/>
  <c r="W2488" i="3"/>
  <c r="X2488" i="3"/>
  <c r="S2489" i="3"/>
  <c r="T2489" i="3" s="1"/>
  <c r="U2489" i="3"/>
  <c r="V2489" i="3" s="1"/>
  <c r="W2489" i="3"/>
  <c r="X2489" i="3"/>
  <c r="S2490" i="3"/>
  <c r="T2490" i="3" s="1"/>
  <c r="U2490" i="3"/>
  <c r="V2490" i="3" s="1"/>
  <c r="W2490" i="3"/>
  <c r="X2490" i="3"/>
  <c r="S2491" i="3"/>
  <c r="T2491" i="3" s="1"/>
  <c r="U2491" i="3"/>
  <c r="V2491" i="3" s="1"/>
  <c r="W2491" i="3"/>
  <c r="X2491" i="3"/>
  <c r="S2492" i="3"/>
  <c r="T2492" i="3" s="1"/>
  <c r="U2492" i="3"/>
  <c r="V2492" i="3" s="1"/>
  <c r="W2492" i="3"/>
  <c r="X2492" i="3"/>
  <c r="S2493" i="3"/>
  <c r="T2493" i="3" s="1"/>
  <c r="U2493" i="3"/>
  <c r="V2493" i="3" s="1"/>
  <c r="W2493" i="3"/>
  <c r="X2493" i="3"/>
  <c r="S2494" i="3"/>
  <c r="T2494" i="3" s="1"/>
  <c r="U2494" i="3"/>
  <c r="V2494" i="3" s="1"/>
  <c r="W2494" i="3"/>
  <c r="X2494" i="3"/>
  <c r="S2495" i="3"/>
  <c r="T2495" i="3" s="1"/>
  <c r="U2495" i="3"/>
  <c r="V2495" i="3" s="1"/>
  <c r="W2495" i="3"/>
  <c r="X2495" i="3"/>
  <c r="S2496" i="3"/>
  <c r="T2496" i="3" s="1"/>
  <c r="U2496" i="3"/>
  <c r="V2496" i="3" s="1"/>
  <c r="W2496" i="3"/>
  <c r="X2496" i="3"/>
  <c r="S2497" i="3"/>
  <c r="T2497" i="3" s="1"/>
  <c r="U2497" i="3"/>
  <c r="V2497" i="3" s="1"/>
  <c r="W2497" i="3"/>
  <c r="X2497" i="3"/>
  <c r="S2498" i="3"/>
  <c r="T2498" i="3" s="1"/>
  <c r="U2498" i="3"/>
  <c r="V2498" i="3" s="1"/>
  <c r="W2498" i="3"/>
  <c r="X2498" i="3"/>
  <c r="S2499" i="3"/>
  <c r="T2499" i="3" s="1"/>
  <c r="U2499" i="3"/>
  <c r="V2499" i="3" s="1"/>
  <c r="W2499" i="3"/>
  <c r="X2499" i="3"/>
  <c r="S2500" i="3"/>
  <c r="T2500" i="3" s="1"/>
  <c r="U2500" i="3"/>
  <c r="V2500" i="3" s="1"/>
  <c r="W2500" i="3"/>
  <c r="X2500" i="3"/>
  <c r="S2501" i="3"/>
  <c r="T2501" i="3" s="1"/>
  <c r="U2501" i="3"/>
  <c r="V2501" i="3" s="1"/>
  <c r="W2501" i="3"/>
  <c r="X2501" i="3"/>
  <c r="S2502" i="3"/>
  <c r="T2502" i="3" s="1"/>
  <c r="U2502" i="3"/>
  <c r="V2502" i="3" s="1"/>
  <c r="W2502" i="3"/>
  <c r="X2502" i="3"/>
  <c r="S2503" i="3"/>
  <c r="T2503" i="3" s="1"/>
  <c r="U2503" i="3"/>
  <c r="V2503" i="3" s="1"/>
  <c r="W2503" i="3"/>
  <c r="X2503" i="3"/>
  <c r="S2504" i="3"/>
  <c r="T2504" i="3" s="1"/>
  <c r="U2504" i="3"/>
  <c r="V2504" i="3" s="1"/>
  <c r="W2504" i="3"/>
  <c r="X2504" i="3"/>
  <c r="S2505" i="3"/>
  <c r="T2505" i="3" s="1"/>
  <c r="U2505" i="3"/>
  <c r="V2505" i="3" s="1"/>
  <c r="W2505" i="3"/>
  <c r="X2505" i="3"/>
  <c r="S2506" i="3"/>
  <c r="T2506" i="3" s="1"/>
  <c r="U2506" i="3"/>
  <c r="V2506" i="3" s="1"/>
  <c r="W2506" i="3"/>
  <c r="X2506" i="3"/>
  <c r="S2507" i="3"/>
  <c r="T2507" i="3" s="1"/>
  <c r="U2507" i="3"/>
  <c r="V2507" i="3" s="1"/>
  <c r="W2507" i="3"/>
  <c r="X2507" i="3"/>
  <c r="S2508" i="3"/>
  <c r="T2508" i="3" s="1"/>
  <c r="U2508" i="3"/>
  <c r="V2508" i="3" s="1"/>
  <c r="W2508" i="3"/>
  <c r="X2508" i="3"/>
  <c r="S2509" i="3"/>
  <c r="T2509" i="3" s="1"/>
  <c r="U2509" i="3"/>
  <c r="V2509" i="3" s="1"/>
  <c r="W2509" i="3"/>
  <c r="X2509" i="3"/>
  <c r="S2510" i="3"/>
  <c r="T2510" i="3" s="1"/>
  <c r="U2510" i="3"/>
  <c r="V2510" i="3" s="1"/>
  <c r="W2510" i="3"/>
  <c r="X2510" i="3"/>
  <c r="S2511" i="3"/>
  <c r="T2511" i="3" s="1"/>
  <c r="U2511" i="3"/>
  <c r="V2511" i="3" s="1"/>
  <c r="W2511" i="3"/>
  <c r="X2511" i="3"/>
  <c r="S2512" i="3"/>
  <c r="T2512" i="3" s="1"/>
  <c r="U2512" i="3"/>
  <c r="V2512" i="3" s="1"/>
  <c r="W2512" i="3"/>
  <c r="X2512" i="3"/>
  <c r="S2513" i="3"/>
  <c r="T2513" i="3" s="1"/>
  <c r="U2513" i="3"/>
  <c r="V2513" i="3" s="1"/>
  <c r="W2513" i="3"/>
  <c r="X2513" i="3"/>
  <c r="S2514" i="3"/>
  <c r="T2514" i="3" s="1"/>
  <c r="U2514" i="3"/>
  <c r="V2514" i="3" s="1"/>
  <c r="W2514" i="3"/>
  <c r="X2514" i="3"/>
  <c r="S2515" i="3"/>
  <c r="T2515" i="3" s="1"/>
  <c r="U2515" i="3"/>
  <c r="V2515" i="3" s="1"/>
  <c r="W2515" i="3"/>
  <c r="X2515" i="3"/>
  <c r="S2516" i="3"/>
  <c r="T2516" i="3" s="1"/>
  <c r="U2516" i="3"/>
  <c r="V2516" i="3" s="1"/>
  <c r="W2516" i="3"/>
  <c r="X2516" i="3"/>
  <c r="S2517" i="3"/>
  <c r="T2517" i="3" s="1"/>
  <c r="U2517" i="3"/>
  <c r="V2517" i="3" s="1"/>
  <c r="W2517" i="3"/>
  <c r="X2517" i="3"/>
  <c r="S2518" i="3"/>
  <c r="T2518" i="3" s="1"/>
  <c r="U2518" i="3"/>
  <c r="V2518" i="3" s="1"/>
  <c r="W2518" i="3"/>
  <c r="X2518" i="3"/>
  <c r="S2519" i="3"/>
  <c r="T2519" i="3" s="1"/>
  <c r="U2519" i="3"/>
  <c r="V2519" i="3" s="1"/>
  <c r="W2519" i="3"/>
  <c r="X2519" i="3"/>
  <c r="S2520" i="3"/>
  <c r="T2520" i="3" s="1"/>
  <c r="U2520" i="3"/>
  <c r="V2520" i="3" s="1"/>
  <c r="W2520" i="3"/>
  <c r="X2520" i="3"/>
  <c r="S2521" i="3"/>
  <c r="T2521" i="3" s="1"/>
  <c r="U2521" i="3"/>
  <c r="V2521" i="3" s="1"/>
  <c r="W2521" i="3"/>
  <c r="X2521" i="3"/>
  <c r="S2522" i="3"/>
  <c r="T2522" i="3" s="1"/>
  <c r="U2522" i="3"/>
  <c r="V2522" i="3" s="1"/>
  <c r="W2522" i="3"/>
  <c r="X2522" i="3"/>
  <c r="S2523" i="3"/>
  <c r="T2523" i="3" s="1"/>
  <c r="U2523" i="3"/>
  <c r="V2523" i="3" s="1"/>
  <c r="W2523" i="3"/>
  <c r="X2523" i="3"/>
  <c r="S2524" i="3"/>
  <c r="T2524" i="3" s="1"/>
  <c r="U2524" i="3"/>
  <c r="V2524" i="3" s="1"/>
  <c r="W2524" i="3"/>
  <c r="X2524" i="3"/>
  <c r="S2525" i="3"/>
  <c r="T2525" i="3" s="1"/>
  <c r="U2525" i="3"/>
  <c r="V2525" i="3" s="1"/>
  <c r="W2525" i="3"/>
  <c r="X2525" i="3"/>
  <c r="S2526" i="3"/>
  <c r="T2526" i="3" s="1"/>
  <c r="U2526" i="3"/>
  <c r="V2526" i="3" s="1"/>
  <c r="W2526" i="3"/>
  <c r="X2526" i="3"/>
  <c r="S2527" i="3"/>
  <c r="T2527" i="3" s="1"/>
  <c r="U2527" i="3"/>
  <c r="V2527" i="3" s="1"/>
  <c r="W2527" i="3"/>
  <c r="X2527" i="3"/>
  <c r="S2528" i="3"/>
  <c r="T2528" i="3" s="1"/>
  <c r="U2528" i="3"/>
  <c r="V2528" i="3" s="1"/>
  <c r="W2528" i="3"/>
  <c r="X2528" i="3"/>
  <c r="S2529" i="3"/>
  <c r="T2529" i="3" s="1"/>
  <c r="U2529" i="3"/>
  <c r="V2529" i="3" s="1"/>
  <c r="W2529" i="3"/>
  <c r="X2529" i="3"/>
  <c r="S2530" i="3"/>
  <c r="T2530" i="3" s="1"/>
  <c r="U2530" i="3"/>
  <c r="V2530" i="3" s="1"/>
  <c r="W2530" i="3"/>
  <c r="X2530" i="3"/>
  <c r="S2531" i="3"/>
  <c r="T2531" i="3" s="1"/>
  <c r="U2531" i="3"/>
  <c r="V2531" i="3" s="1"/>
  <c r="W2531" i="3"/>
  <c r="X2531" i="3"/>
  <c r="S2532" i="3"/>
  <c r="T2532" i="3" s="1"/>
  <c r="U2532" i="3"/>
  <c r="V2532" i="3" s="1"/>
  <c r="W2532" i="3"/>
  <c r="X2532" i="3"/>
  <c r="S2533" i="3"/>
  <c r="T2533" i="3" s="1"/>
  <c r="U2533" i="3"/>
  <c r="V2533" i="3" s="1"/>
  <c r="W2533" i="3"/>
  <c r="X2533" i="3"/>
  <c r="S2534" i="3"/>
  <c r="T2534" i="3" s="1"/>
  <c r="U2534" i="3"/>
  <c r="V2534" i="3" s="1"/>
  <c r="W2534" i="3"/>
  <c r="X2534" i="3"/>
  <c r="S2535" i="3"/>
  <c r="T2535" i="3" s="1"/>
  <c r="U2535" i="3"/>
  <c r="V2535" i="3" s="1"/>
  <c r="W2535" i="3"/>
  <c r="X2535" i="3"/>
  <c r="S2536" i="3"/>
  <c r="T2536" i="3" s="1"/>
  <c r="U2536" i="3"/>
  <c r="V2536" i="3" s="1"/>
  <c r="W2536" i="3"/>
  <c r="X2536" i="3"/>
  <c r="S2537" i="3"/>
  <c r="T2537" i="3" s="1"/>
  <c r="U2537" i="3"/>
  <c r="V2537" i="3" s="1"/>
  <c r="W2537" i="3"/>
  <c r="X2537" i="3"/>
  <c r="S2538" i="3"/>
  <c r="T2538" i="3" s="1"/>
  <c r="U2538" i="3"/>
  <c r="V2538" i="3" s="1"/>
  <c r="W2538" i="3"/>
  <c r="X2538" i="3"/>
  <c r="S2539" i="3"/>
  <c r="T2539" i="3" s="1"/>
  <c r="U2539" i="3"/>
  <c r="V2539" i="3" s="1"/>
  <c r="W2539" i="3"/>
  <c r="X2539" i="3"/>
  <c r="S2540" i="3"/>
  <c r="T2540" i="3" s="1"/>
  <c r="U2540" i="3"/>
  <c r="V2540" i="3" s="1"/>
  <c r="W2540" i="3"/>
  <c r="X2540" i="3"/>
  <c r="S2541" i="3"/>
  <c r="T2541" i="3" s="1"/>
  <c r="U2541" i="3"/>
  <c r="V2541" i="3" s="1"/>
  <c r="W2541" i="3"/>
  <c r="X2541" i="3"/>
  <c r="S2542" i="3"/>
  <c r="T2542" i="3" s="1"/>
  <c r="U2542" i="3"/>
  <c r="V2542" i="3" s="1"/>
  <c r="W2542" i="3"/>
  <c r="X2542" i="3"/>
  <c r="S2543" i="3"/>
  <c r="T2543" i="3" s="1"/>
  <c r="U2543" i="3"/>
  <c r="V2543" i="3" s="1"/>
  <c r="W2543" i="3"/>
  <c r="X2543" i="3"/>
  <c r="S2544" i="3"/>
  <c r="T2544" i="3" s="1"/>
  <c r="U2544" i="3"/>
  <c r="V2544" i="3" s="1"/>
  <c r="W2544" i="3"/>
  <c r="X2544" i="3"/>
  <c r="S2545" i="3"/>
  <c r="T2545" i="3" s="1"/>
  <c r="U2545" i="3"/>
  <c r="V2545" i="3" s="1"/>
  <c r="W2545" i="3"/>
  <c r="X2545" i="3"/>
  <c r="S2546" i="3"/>
  <c r="T2546" i="3" s="1"/>
  <c r="U2546" i="3"/>
  <c r="V2546" i="3" s="1"/>
  <c r="W2546" i="3"/>
  <c r="X2546" i="3"/>
  <c r="S2547" i="3"/>
  <c r="T2547" i="3" s="1"/>
  <c r="U2547" i="3"/>
  <c r="V2547" i="3" s="1"/>
  <c r="W2547" i="3"/>
  <c r="X2547" i="3"/>
  <c r="S2548" i="3"/>
  <c r="T2548" i="3" s="1"/>
  <c r="U2548" i="3"/>
  <c r="V2548" i="3" s="1"/>
  <c r="W2548" i="3"/>
  <c r="X2548" i="3"/>
  <c r="S2549" i="3"/>
  <c r="T2549" i="3" s="1"/>
  <c r="U2549" i="3"/>
  <c r="V2549" i="3" s="1"/>
  <c r="W2549" i="3"/>
  <c r="X2549" i="3"/>
  <c r="S2550" i="3"/>
  <c r="T2550" i="3" s="1"/>
  <c r="U2550" i="3"/>
  <c r="V2550" i="3" s="1"/>
  <c r="W2550" i="3"/>
  <c r="X2550" i="3"/>
  <c r="S2551" i="3"/>
  <c r="T2551" i="3" s="1"/>
  <c r="U2551" i="3"/>
  <c r="V2551" i="3" s="1"/>
  <c r="W2551" i="3"/>
  <c r="X2551" i="3"/>
  <c r="S2552" i="3"/>
  <c r="T2552" i="3" s="1"/>
  <c r="U2552" i="3"/>
  <c r="V2552" i="3" s="1"/>
  <c r="W2552" i="3"/>
  <c r="X2552" i="3"/>
  <c r="S2553" i="3"/>
  <c r="T2553" i="3" s="1"/>
  <c r="U2553" i="3"/>
  <c r="V2553" i="3" s="1"/>
  <c r="W2553" i="3"/>
  <c r="X2553" i="3"/>
  <c r="S2554" i="3"/>
  <c r="T2554" i="3" s="1"/>
  <c r="U2554" i="3"/>
  <c r="V2554" i="3" s="1"/>
  <c r="W2554" i="3"/>
  <c r="X2554" i="3"/>
  <c r="S2555" i="3"/>
  <c r="T2555" i="3" s="1"/>
  <c r="U2555" i="3"/>
  <c r="V2555" i="3" s="1"/>
  <c r="W2555" i="3"/>
  <c r="X2555" i="3"/>
  <c r="S2556" i="3"/>
  <c r="T2556" i="3" s="1"/>
  <c r="U2556" i="3"/>
  <c r="V2556" i="3" s="1"/>
  <c r="W2556" i="3"/>
  <c r="X2556" i="3"/>
  <c r="S2557" i="3"/>
  <c r="T2557" i="3" s="1"/>
  <c r="U2557" i="3"/>
  <c r="V2557" i="3" s="1"/>
  <c r="W2557" i="3"/>
  <c r="X2557" i="3"/>
  <c r="S2558" i="3"/>
  <c r="T2558" i="3" s="1"/>
  <c r="U2558" i="3"/>
  <c r="V2558" i="3" s="1"/>
  <c r="W2558" i="3"/>
  <c r="X2558" i="3"/>
  <c r="S2559" i="3"/>
  <c r="T2559" i="3" s="1"/>
  <c r="U2559" i="3"/>
  <c r="V2559" i="3" s="1"/>
  <c r="W2559" i="3"/>
  <c r="X2559" i="3"/>
  <c r="S2560" i="3"/>
  <c r="T2560" i="3" s="1"/>
  <c r="U2560" i="3"/>
  <c r="V2560" i="3" s="1"/>
  <c r="W2560" i="3"/>
  <c r="X2560" i="3"/>
  <c r="S2561" i="3"/>
  <c r="T2561" i="3" s="1"/>
  <c r="U2561" i="3"/>
  <c r="V2561" i="3" s="1"/>
  <c r="W2561" i="3"/>
  <c r="X2561" i="3"/>
  <c r="S2562" i="3"/>
  <c r="T2562" i="3" s="1"/>
  <c r="U2562" i="3"/>
  <c r="V2562" i="3" s="1"/>
  <c r="W2562" i="3"/>
  <c r="X2562" i="3"/>
  <c r="S2563" i="3"/>
  <c r="T2563" i="3" s="1"/>
  <c r="U2563" i="3"/>
  <c r="V2563" i="3" s="1"/>
  <c r="W2563" i="3"/>
  <c r="X2563" i="3"/>
  <c r="S2564" i="3"/>
  <c r="T2564" i="3" s="1"/>
  <c r="U2564" i="3"/>
  <c r="V2564" i="3" s="1"/>
  <c r="W2564" i="3"/>
  <c r="X2564" i="3"/>
  <c r="S2565" i="3"/>
  <c r="T2565" i="3" s="1"/>
  <c r="U2565" i="3"/>
  <c r="V2565" i="3" s="1"/>
  <c r="W2565" i="3"/>
  <c r="X2565" i="3"/>
  <c r="S2566" i="3"/>
  <c r="T2566" i="3" s="1"/>
  <c r="U2566" i="3"/>
  <c r="V2566" i="3" s="1"/>
  <c r="W2566" i="3"/>
  <c r="X2566" i="3"/>
  <c r="S2567" i="3"/>
  <c r="T2567" i="3" s="1"/>
  <c r="U2567" i="3"/>
  <c r="V2567" i="3" s="1"/>
  <c r="W2567" i="3"/>
  <c r="X2567" i="3"/>
  <c r="S2568" i="3"/>
  <c r="T2568" i="3" s="1"/>
  <c r="U2568" i="3"/>
  <c r="V2568" i="3" s="1"/>
  <c r="W2568" i="3"/>
  <c r="X2568" i="3"/>
  <c r="S2569" i="3"/>
  <c r="T2569" i="3" s="1"/>
  <c r="U2569" i="3"/>
  <c r="V2569" i="3" s="1"/>
  <c r="W2569" i="3"/>
  <c r="X2569" i="3"/>
  <c r="S2570" i="3"/>
  <c r="T2570" i="3" s="1"/>
  <c r="U2570" i="3"/>
  <c r="V2570" i="3" s="1"/>
  <c r="W2570" i="3"/>
  <c r="X2570" i="3"/>
  <c r="S2571" i="3"/>
  <c r="T2571" i="3" s="1"/>
  <c r="U2571" i="3"/>
  <c r="V2571" i="3" s="1"/>
  <c r="W2571" i="3"/>
  <c r="X2571" i="3"/>
  <c r="S2572" i="3"/>
  <c r="T2572" i="3" s="1"/>
  <c r="U2572" i="3"/>
  <c r="V2572" i="3" s="1"/>
  <c r="W2572" i="3"/>
  <c r="X2572" i="3"/>
  <c r="S2573" i="3"/>
  <c r="T2573" i="3" s="1"/>
  <c r="U2573" i="3"/>
  <c r="V2573" i="3" s="1"/>
  <c r="W2573" i="3"/>
  <c r="X2573" i="3"/>
  <c r="S2574" i="3"/>
  <c r="T2574" i="3" s="1"/>
  <c r="U2574" i="3"/>
  <c r="V2574" i="3" s="1"/>
  <c r="W2574" i="3"/>
  <c r="X2574" i="3"/>
  <c r="S2575" i="3"/>
  <c r="T2575" i="3" s="1"/>
  <c r="U2575" i="3"/>
  <c r="V2575" i="3" s="1"/>
  <c r="W2575" i="3"/>
  <c r="X2575" i="3"/>
  <c r="S2576" i="3"/>
  <c r="T2576" i="3" s="1"/>
  <c r="U2576" i="3"/>
  <c r="V2576" i="3" s="1"/>
  <c r="W2576" i="3"/>
  <c r="X2576" i="3"/>
  <c r="S2577" i="3"/>
  <c r="T2577" i="3" s="1"/>
  <c r="U2577" i="3"/>
  <c r="V2577" i="3" s="1"/>
  <c r="W2577" i="3"/>
  <c r="X2577" i="3"/>
  <c r="S2578" i="3"/>
  <c r="T2578" i="3" s="1"/>
  <c r="U2578" i="3"/>
  <c r="V2578" i="3" s="1"/>
  <c r="W2578" i="3"/>
  <c r="X2578" i="3"/>
  <c r="S2579" i="3"/>
  <c r="T2579" i="3" s="1"/>
  <c r="U2579" i="3"/>
  <c r="V2579" i="3" s="1"/>
  <c r="W2579" i="3"/>
  <c r="X2579" i="3"/>
  <c r="S2580" i="3"/>
  <c r="T2580" i="3" s="1"/>
  <c r="U2580" i="3"/>
  <c r="V2580" i="3" s="1"/>
  <c r="W2580" i="3"/>
  <c r="X2580" i="3"/>
  <c r="S2581" i="3"/>
  <c r="T2581" i="3" s="1"/>
  <c r="U2581" i="3"/>
  <c r="V2581" i="3" s="1"/>
  <c r="W2581" i="3"/>
  <c r="X2581" i="3"/>
  <c r="S2582" i="3"/>
  <c r="T2582" i="3" s="1"/>
  <c r="U2582" i="3"/>
  <c r="V2582" i="3" s="1"/>
  <c r="W2582" i="3"/>
  <c r="X2582" i="3"/>
  <c r="S2583" i="3"/>
  <c r="T2583" i="3" s="1"/>
  <c r="U2583" i="3"/>
  <c r="V2583" i="3" s="1"/>
  <c r="W2583" i="3"/>
  <c r="X2583" i="3"/>
  <c r="S2584" i="3"/>
  <c r="T2584" i="3" s="1"/>
  <c r="U2584" i="3"/>
  <c r="V2584" i="3" s="1"/>
  <c r="W2584" i="3"/>
  <c r="X2584" i="3"/>
  <c r="S2585" i="3"/>
  <c r="T2585" i="3" s="1"/>
  <c r="U2585" i="3"/>
  <c r="V2585" i="3" s="1"/>
  <c r="W2585" i="3"/>
  <c r="X2585" i="3"/>
  <c r="S2586" i="3"/>
  <c r="T2586" i="3" s="1"/>
  <c r="U2586" i="3"/>
  <c r="V2586" i="3" s="1"/>
  <c r="W2586" i="3"/>
  <c r="X2586" i="3"/>
  <c r="S2587" i="3"/>
  <c r="T2587" i="3" s="1"/>
  <c r="U2587" i="3"/>
  <c r="V2587" i="3" s="1"/>
  <c r="W2587" i="3"/>
  <c r="X2587" i="3"/>
  <c r="S2588" i="3"/>
  <c r="T2588" i="3" s="1"/>
  <c r="U2588" i="3"/>
  <c r="V2588" i="3" s="1"/>
  <c r="W2588" i="3"/>
  <c r="X2588" i="3"/>
  <c r="S2589" i="3"/>
  <c r="T2589" i="3" s="1"/>
  <c r="U2589" i="3"/>
  <c r="V2589" i="3" s="1"/>
  <c r="W2589" i="3"/>
  <c r="X2589" i="3"/>
  <c r="S2590" i="3"/>
  <c r="T2590" i="3" s="1"/>
  <c r="U2590" i="3"/>
  <c r="V2590" i="3" s="1"/>
  <c r="W2590" i="3"/>
  <c r="X2590" i="3"/>
  <c r="S2591" i="3"/>
  <c r="T2591" i="3" s="1"/>
  <c r="U2591" i="3"/>
  <c r="V2591" i="3" s="1"/>
  <c r="W2591" i="3"/>
  <c r="X2591" i="3"/>
  <c r="S2592" i="3"/>
  <c r="T2592" i="3" s="1"/>
  <c r="U2592" i="3"/>
  <c r="V2592" i="3" s="1"/>
  <c r="W2592" i="3"/>
  <c r="X2592" i="3"/>
  <c r="S2593" i="3"/>
  <c r="T2593" i="3" s="1"/>
  <c r="U2593" i="3"/>
  <c r="V2593" i="3" s="1"/>
  <c r="W2593" i="3"/>
  <c r="X2593" i="3"/>
  <c r="S2594" i="3"/>
  <c r="T2594" i="3" s="1"/>
  <c r="U2594" i="3"/>
  <c r="V2594" i="3" s="1"/>
  <c r="W2594" i="3"/>
  <c r="X2594" i="3"/>
  <c r="S2595" i="3"/>
  <c r="T2595" i="3" s="1"/>
  <c r="U2595" i="3"/>
  <c r="V2595" i="3" s="1"/>
  <c r="W2595" i="3"/>
  <c r="X2595" i="3"/>
  <c r="S2596" i="3"/>
  <c r="T2596" i="3" s="1"/>
  <c r="U2596" i="3"/>
  <c r="V2596" i="3" s="1"/>
  <c r="W2596" i="3"/>
  <c r="X2596" i="3"/>
  <c r="S2597" i="3"/>
  <c r="T2597" i="3" s="1"/>
  <c r="U2597" i="3"/>
  <c r="V2597" i="3" s="1"/>
  <c r="W2597" i="3"/>
  <c r="X2597" i="3"/>
  <c r="S2598" i="3"/>
  <c r="T2598" i="3" s="1"/>
  <c r="U2598" i="3"/>
  <c r="V2598" i="3" s="1"/>
  <c r="W2598" i="3"/>
  <c r="X2598" i="3"/>
  <c r="S2599" i="3"/>
  <c r="T2599" i="3" s="1"/>
  <c r="U2599" i="3"/>
  <c r="V2599" i="3" s="1"/>
  <c r="W2599" i="3"/>
  <c r="X2599" i="3"/>
  <c r="S2600" i="3"/>
  <c r="T2600" i="3" s="1"/>
  <c r="U2600" i="3"/>
  <c r="V2600" i="3" s="1"/>
  <c r="W2600" i="3"/>
  <c r="X2600" i="3"/>
  <c r="S2601" i="3"/>
  <c r="T2601" i="3" s="1"/>
  <c r="U2601" i="3"/>
  <c r="V2601" i="3" s="1"/>
  <c r="W2601" i="3"/>
  <c r="X2601" i="3"/>
  <c r="S2602" i="3"/>
  <c r="T2602" i="3" s="1"/>
  <c r="U2602" i="3"/>
  <c r="V2602" i="3" s="1"/>
  <c r="W2602" i="3"/>
  <c r="X2602" i="3"/>
  <c r="S2603" i="3"/>
  <c r="T2603" i="3" s="1"/>
  <c r="U2603" i="3"/>
  <c r="V2603" i="3" s="1"/>
  <c r="W2603" i="3"/>
  <c r="X2603" i="3"/>
  <c r="S2604" i="3"/>
  <c r="T2604" i="3" s="1"/>
  <c r="U2604" i="3"/>
  <c r="V2604" i="3" s="1"/>
  <c r="W2604" i="3"/>
  <c r="X2604" i="3"/>
  <c r="S2605" i="3"/>
  <c r="T2605" i="3" s="1"/>
  <c r="U2605" i="3"/>
  <c r="V2605" i="3" s="1"/>
  <c r="W2605" i="3"/>
  <c r="X2605" i="3"/>
  <c r="S2606" i="3"/>
  <c r="T2606" i="3" s="1"/>
  <c r="U2606" i="3"/>
  <c r="V2606" i="3" s="1"/>
  <c r="W2606" i="3"/>
  <c r="X2606" i="3"/>
  <c r="S2607" i="3"/>
  <c r="T2607" i="3" s="1"/>
  <c r="U2607" i="3"/>
  <c r="V2607" i="3" s="1"/>
  <c r="W2607" i="3"/>
  <c r="X2607" i="3"/>
  <c r="S2608" i="3"/>
  <c r="T2608" i="3" s="1"/>
  <c r="U2608" i="3"/>
  <c r="V2608" i="3" s="1"/>
  <c r="W2608" i="3"/>
  <c r="X2608" i="3"/>
  <c r="S2609" i="3"/>
  <c r="T2609" i="3" s="1"/>
  <c r="U2609" i="3"/>
  <c r="V2609" i="3" s="1"/>
  <c r="W2609" i="3"/>
  <c r="X2609" i="3"/>
  <c r="S2610" i="3"/>
  <c r="T2610" i="3" s="1"/>
  <c r="U2610" i="3"/>
  <c r="V2610" i="3" s="1"/>
  <c r="W2610" i="3"/>
  <c r="X2610" i="3"/>
  <c r="S2611" i="3"/>
  <c r="T2611" i="3" s="1"/>
  <c r="U2611" i="3"/>
  <c r="V2611" i="3" s="1"/>
  <c r="W2611" i="3"/>
  <c r="X2611" i="3"/>
  <c r="S2612" i="3"/>
  <c r="T2612" i="3" s="1"/>
  <c r="U2612" i="3"/>
  <c r="V2612" i="3" s="1"/>
  <c r="W2612" i="3"/>
  <c r="X2612" i="3"/>
  <c r="S2613" i="3"/>
  <c r="T2613" i="3" s="1"/>
  <c r="U2613" i="3"/>
  <c r="V2613" i="3" s="1"/>
  <c r="W2613" i="3"/>
  <c r="X2613" i="3"/>
  <c r="S2614" i="3"/>
  <c r="T2614" i="3" s="1"/>
  <c r="U2614" i="3"/>
  <c r="V2614" i="3" s="1"/>
  <c r="W2614" i="3"/>
  <c r="X2614" i="3"/>
  <c r="S2615" i="3"/>
  <c r="T2615" i="3" s="1"/>
  <c r="U2615" i="3"/>
  <c r="V2615" i="3" s="1"/>
  <c r="W2615" i="3"/>
  <c r="X2615" i="3"/>
  <c r="S2616" i="3"/>
  <c r="T2616" i="3" s="1"/>
  <c r="U2616" i="3"/>
  <c r="V2616" i="3" s="1"/>
  <c r="W2616" i="3"/>
  <c r="X2616" i="3"/>
  <c r="S2617" i="3"/>
  <c r="T2617" i="3" s="1"/>
  <c r="U2617" i="3"/>
  <c r="V2617" i="3" s="1"/>
  <c r="W2617" i="3"/>
  <c r="X2617" i="3"/>
  <c r="S2618" i="3"/>
  <c r="T2618" i="3" s="1"/>
  <c r="U2618" i="3"/>
  <c r="V2618" i="3" s="1"/>
  <c r="W2618" i="3"/>
  <c r="X2618" i="3"/>
  <c r="S2619" i="3"/>
  <c r="T2619" i="3" s="1"/>
  <c r="U2619" i="3"/>
  <c r="V2619" i="3" s="1"/>
  <c r="W2619" i="3"/>
  <c r="X2619" i="3"/>
  <c r="S2620" i="3"/>
  <c r="T2620" i="3" s="1"/>
  <c r="U2620" i="3"/>
  <c r="V2620" i="3" s="1"/>
  <c r="W2620" i="3"/>
  <c r="X2620" i="3"/>
  <c r="S2621" i="3"/>
  <c r="T2621" i="3" s="1"/>
  <c r="U2621" i="3"/>
  <c r="V2621" i="3" s="1"/>
  <c r="W2621" i="3"/>
  <c r="X2621" i="3"/>
  <c r="S2622" i="3"/>
  <c r="T2622" i="3" s="1"/>
  <c r="U2622" i="3"/>
  <c r="V2622" i="3" s="1"/>
  <c r="W2622" i="3"/>
  <c r="X2622" i="3"/>
  <c r="S2623" i="3"/>
  <c r="T2623" i="3" s="1"/>
  <c r="U2623" i="3"/>
  <c r="V2623" i="3" s="1"/>
  <c r="W2623" i="3"/>
  <c r="X2623" i="3"/>
  <c r="S2624" i="3"/>
  <c r="T2624" i="3" s="1"/>
  <c r="U2624" i="3"/>
  <c r="V2624" i="3" s="1"/>
  <c r="W2624" i="3"/>
  <c r="X2624" i="3"/>
  <c r="S2625" i="3"/>
  <c r="T2625" i="3" s="1"/>
  <c r="U2625" i="3"/>
  <c r="V2625" i="3" s="1"/>
  <c r="W2625" i="3"/>
  <c r="X2625" i="3"/>
  <c r="S2626" i="3"/>
  <c r="T2626" i="3" s="1"/>
  <c r="U2626" i="3"/>
  <c r="V2626" i="3" s="1"/>
  <c r="W2626" i="3"/>
  <c r="X2626" i="3"/>
  <c r="S2627" i="3"/>
  <c r="T2627" i="3" s="1"/>
  <c r="U2627" i="3"/>
  <c r="V2627" i="3" s="1"/>
  <c r="W2627" i="3"/>
  <c r="X2627" i="3"/>
  <c r="S2628" i="3"/>
  <c r="T2628" i="3" s="1"/>
  <c r="U2628" i="3"/>
  <c r="V2628" i="3" s="1"/>
  <c r="W2628" i="3"/>
  <c r="X2628" i="3"/>
  <c r="S2629" i="3"/>
  <c r="T2629" i="3" s="1"/>
  <c r="U2629" i="3"/>
  <c r="V2629" i="3" s="1"/>
  <c r="W2629" i="3"/>
  <c r="X2629" i="3"/>
  <c r="S2630" i="3"/>
  <c r="T2630" i="3" s="1"/>
  <c r="U2630" i="3"/>
  <c r="V2630" i="3" s="1"/>
  <c r="W2630" i="3"/>
  <c r="X2630" i="3"/>
  <c r="S2631" i="3"/>
  <c r="T2631" i="3" s="1"/>
  <c r="U2631" i="3"/>
  <c r="V2631" i="3" s="1"/>
  <c r="W2631" i="3"/>
  <c r="X2631" i="3"/>
  <c r="S2632" i="3"/>
  <c r="T2632" i="3" s="1"/>
  <c r="U2632" i="3"/>
  <c r="V2632" i="3" s="1"/>
  <c r="W2632" i="3"/>
  <c r="X2632" i="3"/>
  <c r="S2633" i="3"/>
  <c r="T2633" i="3" s="1"/>
  <c r="U2633" i="3"/>
  <c r="V2633" i="3" s="1"/>
  <c r="W2633" i="3"/>
  <c r="X2633" i="3"/>
  <c r="S2634" i="3"/>
  <c r="T2634" i="3" s="1"/>
  <c r="U2634" i="3"/>
  <c r="V2634" i="3" s="1"/>
  <c r="W2634" i="3"/>
  <c r="X2634" i="3"/>
  <c r="S2635" i="3"/>
  <c r="T2635" i="3" s="1"/>
  <c r="U2635" i="3"/>
  <c r="V2635" i="3" s="1"/>
  <c r="W2635" i="3"/>
  <c r="X2635" i="3"/>
  <c r="S2636" i="3"/>
  <c r="T2636" i="3" s="1"/>
  <c r="U2636" i="3"/>
  <c r="V2636" i="3" s="1"/>
  <c r="W2636" i="3"/>
  <c r="X2636" i="3"/>
  <c r="S2637" i="3"/>
  <c r="T2637" i="3" s="1"/>
  <c r="U2637" i="3"/>
  <c r="V2637" i="3" s="1"/>
  <c r="W2637" i="3"/>
  <c r="X2637" i="3"/>
  <c r="S2638" i="3"/>
  <c r="T2638" i="3" s="1"/>
  <c r="U2638" i="3"/>
  <c r="V2638" i="3" s="1"/>
  <c r="W2638" i="3"/>
  <c r="X2638" i="3"/>
  <c r="S2639" i="3"/>
  <c r="T2639" i="3" s="1"/>
  <c r="U2639" i="3"/>
  <c r="V2639" i="3" s="1"/>
  <c r="W2639" i="3"/>
  <c r="X2639" i="3"/>
  <c r="S2640" i="3"/>
  <c r="T2640" i="3" s="1"/>
  <c r="U2640" i="3"/>
  <c r="V2640" i="3" s="1"/>
  <c r="W2640" i="3"/>
  <c r="X2640" i="3"/>
  <c r="S2641" i="3"/>
  <c r="T2641" i="3" s="1"/>
  <c r="U2641" i="3"/>
  <c r="V2641" i="3" s="1"/>
  <c r="W2641" i="3"/>
  <c r="X2641" i="3"/>
  <c r="S2642" i="3"/>
  <c r="T2642" i="3" s="1"/>
  <c r="U2642" i="3"/>
  <c r="V2642" i="3" s="1"/>
  <c r="W2642" i="3"/>
  <c r="X2642" i="3"/>
  <c r="S2643" i="3"/>
  <c r="T2643" i="3" s="1"/>
  <c r="U2643" i="3"/>
  <c r="V2643" i="3" s="1"/>
  <c r="W2643" i="3"/>
  <c r="X2643" i="3"/>
  <c r="S2644" i="3"/>
  <c r="T2644" i="3" s="1"/>
  <c r="U2644" i="3"/>
  <c r="V2644" i="3" s="1"/>
  <c r="W2644" i="3"/>
  <c r="X2644" i="3"/>
  <c r="S2645" i="3"/>
  <c r="T2645" i="3" s="1"/>
  <c r="U2645" i="3"/>
  <c r="V2645" i="3" s="1"/>
  <c r="W2645" i="3"/>
  <c r="X2645" i="3"/>
  <c r="S2646" i="3"/>
  <c r="T2646" i="3" s="1"/>
  <c r="U2646" i="3"/>
  <c r="V2646" i="3" s="1"/>
  <c r="W2646" i="3"/>
  <c r="X2646" i="3"/>
  <c r="S2647" i="3"/>
  <c r="T2647" i="3" s="1"/>
  <c r="U2647" i="3"/>
  <c r="V2647" i="3" s="1"/>
  <c r="W2647" i="3"/>
  <c r="X2647" i="3"/>
  <c r="S2648" i="3"/>
  <c r="T2648" i="3" s="1"/>
  <c r="U2648" i="3"/>
  <c r="V2648" i="3" s="1"/>
  <c r="W2648" i="3"/>
  <c r="X2648" i="3"/>
  <c r="S2649" i="3"/>
  <c r="T2649" i="3" s="1"/>
  <c r="U2649" i="3"/>
  <c r="V2649" i="3" s="1"/>
  <c r="W2649" i="3"/>
  <c r="X2649" i="3"/>
  <c r="S2650" i="3"/>
  <c r="T2650" i="3" s="1"/>
  <c r="U2650" i="3"/>
  <c r="V2650" i="3" s="1"/>
  <c r="W2650" i="3"/>
  <c r="X2650" i="3"/>
  <c r="S2651" i="3"/>
  <c r="T2651" i="3" s="1"/>
  <c r="U2651" i="3"/>
  <c r="V2651" i="3" s="1"/>
  <c r="W2651" i="3"/>
  <c r="X2651" i="3"/>
  <c r="S2652" i="3"/>
  <c r="T2652" i="3" s="1"/>
  <c r="U2652" i="3"/>
  <c r="V2652" i="3" s="1"/>
  <c r="W2652" i="3"/>
  <c r="X2652" i="3"/>
  <c r="S2653" i="3"/>
  <c r="T2653" i="3" s="1"/>
  <c r="U2653" i="3"/>
  <c r="V2653" i="3" s="1"/>
  <c r="W2653" i="3"/>
  <c r="X2653" i="3"/>
  <c r="S2654" i="3"/>
  <c r="T2654" i="3" s="1"/>
  <c r="U2654" i="3"/>
  <c r="V2654" i="3" s="1"/>
  <c r="W2654" i="3"/>
  <c r="X2654" i="3"/>
  <c r="S2655" i="3"/>
  <c r="T2655" i="3" s="1"/>
  <c r="U2655" i="3"/>
  <c r="V2655" i="3" s="1"/>
  <c r="W2655" i="3"/>
  <c r="X2655" i="3"/>
  <c r="S2656" i="3"/>
  <c r="T2656" i="3" s="1"/>
  <c r="U2656" i="3"/>
  <c r="V2656" i="3" s="1"/>
  <c r="W2656" i="3"/>
  <c r="X2656" i="3"/>
  <c r="S2657" i="3"/>
  <c r="T2657" i="3" s="1"/>
  <c r="U2657" i="3"/>
  <c r="V2657" i="3" s="1"/>
  <c r="W2657" i="3"/>
  <c r="X2657" i="3"/>
  <c r="S2658" i="3"/>
  <c r="T2658" i="3" s="1"/>
  <c r="U2658" i="3"/>
  <c r="V2658" i="3" s="1"/>
  <c r="W2658" i="3"/>
  <c r="X2658" i="3"/>
  <c r="S2659" i="3"/>
  <c r="T2659" i="3" s="1"/>
  <c r="U2659" i="3"/>
  <c r="V2659" i="3" s="1"/>
  <c r="W2659" i="3"/>
  <c r="X2659" i="3"/>
  <c r="S2660" i="3"/>
  <c r="T2660" i="3" s="1"/>
  <c r="U2660" i="3"/>
  <c r="V2660" i="3" s="1"/>
  <c r="W2660" i="3"/>
  <c r="X2660" i="3"/>
  <c r="S2661" i="3"/>
  <c r="T2661" i="3" s="1"/>
  <c r="U2661" i="3"/>
  <c r="V2661" i="3" s="1"/>
  <c r="W2661" i="3"/>
  <c r="X2661" i="3"/>
  <c r="S2662" i="3"/>
  <c r="T2662" i="3" s="1"/>
  <c r="U2662" i="3"/>
  <c r="V2662" i="3" s="1"/>
  <c r="W2662" i="3"/>
  <c r="X2662" i="3"/>
  <c r="S2663" i="3"/>
  <c r="T2663" i="3" s="1"/>
  <c r="U2663" i="3"/>
  <c r="V2663" i="3" s="1"/>
  <c r="W2663" i="3"/>
  <c r="X2663" i="3"/>
  <c r="S2664" i="3"/>
  <c r="T2664" i="3" s="1"/>
  <c r="U2664" i="3"/>
  <c r="V2664" i="3" s="1"/>
  <c r="W2664" i="3"/>
  <c r="X2664" i="3"/>
  <c r="S2665" i="3"/>
  <c r="T2665" i="3" s="1"/>
  <c r="U2665" i="3"/>
  <c r="V2665" i="3" s="1"/>
  <c r="W2665" i="3"/>
  <c r="X2665" i="3"/>
  <c r="S2666" i="3"/>
  <c r="T2666" i="3" s="1"/>
  <c r="U2666" i="3"/>
  <c r="V2666" i="3" s="1"/>
  <c r="W2666" i="3"/>
  <c r="X2666" i="3"/>
  <c r="S2667" i="3"/>
  <c r="T2667" i="3" s="1"/>
  <c r="U2667" i="3"/>
  <c r="V2667" i="3" s="1"/>
  <c r="W2667" i="3"/>
  <c r="X2667" i="3"/>
  <c r="S2668" i="3"/>
  <c r="T2668" i="3" s="1"/>
  <c r="U2668" i="3"/>
  <c r="V2668" i="3" s="1"/>
  <c r="W2668" i="3"/>
  <c r="X2668" i="3"/>
  <c r="S2669" i="3"/>
  <c r="T2669" i="3" s="1"/>
  <c r="U2669" i="3"/>
  <c r="V2669" i="3" s="1"/>
  <c r="W2669" i="3"/>
  <c r="X2669" i="3"/>
  <c r="S2670" i="3"/>
  <c r="T2670" i="3" s="1"/>
  <c r="U2670" i="3"/>
  <c r="V2670" i="3" s="1"/>
  <c r="W2670" i="3"/>
  <c r="X2670" i="3"/>
  <c r="S2671" i="3"/>
  <c r="T2671" i="3" s="1"/>
  <c r="U2671" i="3"/>
  <c r="V2671" i="3" s="1"/>
  <c r="W2671" i="3"/>
  <c r="X2671" i="3"/>
  <c r="S2672" i="3"/>
  <c r="T2672" i="3" s="1"/>
  <c r="U2672" i="3"/>
  <c r="V2672" i="3" s="1"/>
  <c r="W2672" i="3"/>
  <c r="X2672" i="3"/>
  <c r="S2673" i="3"/>
  <c r="T2673" i="3" s="1"/>
  <c r="U2673" i="3"/>
  <c r="V2673" i="3" s="1"/>
  <c r="W2673" i="3"/>
  <c r="X2673" i="3"/>
  <c r="S2674" i="3"/>
  <c r="T2674" i="3" s="1"/>
  <c r="U2674" i="3"/>
  <c r="V2674" i="3" s="1"/>
  <c r="W2674" i="3"/>
  <c r="X2674" i="3"/>
  <c r="S2675" i="3"/>
  <c r="T2675" i="3" s="1"/>
  <c r="U2675" i="3"/>
  <c r="V2675" i="3" s="1"/>
  <c r="W2675" i="3"/>
  <c r="X2675" i="3"/>
  <c r="S2676" i="3"/>
  <c r="T2676" i="3" s="1"/>
  <c r="U2676" i="3"/>
  <c r="V2676" i="3" s="1"/>
  <c r="W2676" i="3"/>
  <c r="X2676" i="3"/>
  <c r="S2677" i="3"/>
  <c r="T2677" i="3" s="1"/>
  <c r="U2677" i="3"/>
  <c r="V2677" i="3" s="1"/>
  <c r="W2677" i="3"/>
  <c r="X2677" i="3"/>
  <c r="S2678" i="3"/>
  <c r="T2678" i="3" s="1"/>
  <c r="U2678" i="3"/>
  <c r="V2678" i="3" s="1"/>
  <c r="W2678" i="3"/>
  <c r="X2678" i="3"/>
  <c r="S2679" i="3"/>
  <c r="T2679" i="3" s="1"/>
  <c r="U2679" i="3"/>
  <c r="V2679" i="3" s="1"/>
  <c r="W2679" i="3"/>
  <c r="X2679" i="3"/>
  <c r="S2680" i="3"/>
  <c r="T2680" i="3" s="1"/>
  <c r="U2680" i="3"/>
  <c r="V2680" i="3" s="1"/>
  <c r="W2680" i="3"/>
  <c r="X2680" i="3"/>
  <c r="S2681" i="3"/>
  <c r="T2681" i="3" s="1"/>
  <c r="U2681" i="3"/>
  <c r="V2681" i="3" s="1"/>
  <c r="W2681" i="3"/>
  <c r="X2681" i="3"/>
  <c r="S2682" i="3"/>
  <c r="T2682" i="3" s="1"/>
  <c r="U2682" i="3"/>
  <c r="V2682" i="3" s="1"/>
  <c r="W2682" i="3"/>
  <c r="X2682" i="3"/>
  <c r="S2683" i="3"/>
  <c r="T2683" i="3" s="1"/>
  <c r="U2683" i="3"/>
  <c r="V2683" i="3" s="1"/>
  <c r="W2683" i="3"/>
  <c r="X2683" i="3"/>
  <c r="S2684" i="3"/>
  <c r="T2684" i="3" s="1"/>
  <c r="U2684" i="3"/>
  <c r="V2684" i="3" s="1"/>
  <c r="W2684" i="3"/>
  <c r="X2684" i="3"/>
  <c r="S2685" i="3"/>
  <c r="T2685" i="3" s="1"/>
  <c r="U2685" i="3"/>
  <c r="V2685" i="3" s="1"/>
  <c r="W2685" i="3"/>
  <c r="X2685" i="3"/>
  <c r="S2686" i="3"/>
  <c r="T2686" i="3" s="1"/>
  <c r="U2686" i="3"/>
  <c r="V2686" i="3" s="1"/>
  <c r="W2686" i="3"/>
  <c r="X2686" i="3"/>
  <c r="S2687" i="3"/>
  <c r="T2687" i="3" s="1"/>
  <c r="U2687" i="3"/>
  <c r="V2687" i="3" s="1"/>
  <c r="W2687" i="3"/>
  <c r="X2687" i="3"/>
  <c r="S2688" i="3"/>
  <c r="T2688" i="3" s="1"/>
  <c r="U2688" i="3"/>
  <c r="V2688" i="3" s="1"/>
  <c r="W2688" i="3"/>
  <c r="X2688" i="3"/>
  <c r="S2689" i="3"/>
  <c r="T2689" i="3" s="1"/>
  <c r="U2689" i="3"/>
  <c r="V2689" i="3" s="1"/>
  <c r="W2689" i="3"/>
  <c r="X2689" i="3"/>
  <c r="S2690" i="3"/>
  <c r="T2690" i="3" s="1"/>
  <c r="U2690" i="3"/>
  <c r="V2690" i="3" s="1"/>
  <c r="W2690" i="3"/>
  <c r="X2690" i="3"/>
  <c r="S2691" i="3"/>
  <c r="T2691" i="3" s="1"/>
  <c r="U2691" i="3"/>
  <c r="V2691" i="3" s="1"/>
  <c r="W2691" i="3"/>
  <c r="X2691" i="3"/>
  <c r="S2692" i="3"/>
  <c r="T2692" i="3" s="1"/>
  <c r="U2692" i="3"/>
  <c r="V2692" i="3" s="1"/>
  <c r="W2692" i="3"/>
  <c r="X2692" i="3"/>
  <c r="S2693" i="3"/>
  <c r="T2693" i="3" s="1"/>
  <c r="U2693" i="3"/>
  <c r="V2693" i="3" s="1"/>
  <c r="W2693" i="3"/>
  <c r="X2693" i="3"/>
  <c r="S2694" i="3"/>
  <c r="T2694" i="3" s="1"/>
  <c r="U2694" i="3"/>
  <c r="V2694" i="3" s="1"/>
  <c r="W2694" i="3"/>
  <c r="X2694" i="3"/>
  <c r="S2695" i="3"/>
  <c r="T2695" i="3" s="1"/>
  <c r="U2695" i="3"/>
  <c r="V2695" i="3" s="1"/>
  <c r="W2695" i="3"/>
  <c r="X2695" i="3"/>
  <c r="S2696" i="3"/>
  <c r="T2696" i="3" s="1"/>
  <c r="U2696" i="3"/>
  <c r="V2696" i="3" s="1"/>
  <c r="W2696" i="3"/>
  <c r="X2696" i="3"/>
  <c r="S2697" i="3"/>
  <c r="T2697" i="3" s="1"/>
  <c r="U2697" i="3"/>
  <c r="V2697" i="3" s="1"/>
  <c r="W2697" i="3"/>
  <c r="X2697" i="3"/>
  <c r="S2698" i="3"/>
  <c r="T2698" i="3" s="1"/>
  <c r="U2698" i="3"/>
  <c r="V2698" i="3" s="1"/>
  <c r="W2698" i="3"/>
  <c r="X2698" i="3"/>
  <c r="S2699" i="3"/>
  <c r="T2699" i="3" s="1"/>
  <c r="U2699" i="3"/>
  <c r="V2699" i="3" s="1"/>
  <c r="W2699" i="3"/>
  <c r="X2699" i="3"/>
  <c r="S2700" i="3"/>
  <c r="T2700" i="3" s="1"/>
  <c r="U2700" i="3"/>
  <c r="V2700" i="3" s="1"/>
  <c r="W2700" i="3"/>
  <c r="X2700" i="3"/>
  <c r="S2701" i="3"/>
  <c r="T2701" i="3" s="1"/>
  <c r="U2701" i="3"/>
  <c r="V2701" i="3" s="1"/>
  <c r="W2701" i="3"/>
  <c r="X2701" i="3"/>
  <c r="S2702" i="3"/>
  <c r="T2702" i="3" s="1"/>
  <c r="U2702" i="3"/>
  <c r="V2702" i="3" s="1"/>
  <c r="W2702" i="3"/>
  <c r="X2702" i="3"/>
  <c r="S2703" i="3"/>
  <c r="T2703" i="3" s="1"/>
  <c r="U2703" i="3"/>
  <c r="V2703" i="3" s="1"/>
  <c r="W2703" i="3"/>
  <c r="X2703" i="3"/>
  <c r="S2704" i="3"/>
  <c r="T2704" i="3" s="1"/>
  <c r="U2704" i="3"/>
  <c r="V2704" i="3" s="1"/>
  <c r="W2704" i="3"/>
  <c r="X2704" i="3"/>
  <c r="S2705" i="3"/>
  <c r="T2705" i="3" s="1"/>
  <c r="U2705" i="3"/>
  <c r="V2705" i="3" s="1"/>
  <c r="W2705" i="3"/>
  <c r="X2705" i="3"/>
  <c r="S2706" i="3"/>
  <c r="T2706" i="3" s="1"/>
  <c r="U2706" i="3"/>
  <c r="V2706" i="3" s="1"/>
  <c r="W2706" i="3"/>
  <c r="X2706" i="3"/>
  <c r="S2707" i="3"/>
  <c r="T2707" i="3" s="1"/>
  <c r="U2707" i="3"/>
  <c r="V2707" i="3" s="1"/>
  <c r="W2707" i="3"/>
  <c r="X2707" i="3"/>
  <c r="S2708" i="3"/>
  <c r="T2708" i="3" s="1"/>
  <c r="U2708" i="3"/>
  <c r="V2708" i="3" s="1"/>
  <c r="W2708" i="3"/>
  <c r="X2708" i="3"/>
  <c r="S2709" i="3"/>
  <c r="T2709" i="3" s="1"/>
  <c r="U2709" i="3"/>
  <c r="V2709" i="3" s="1"/>
  <c r="W2709" i="3"/>
  <c r="X2709" i="3"/>
  <c r="S2710" i="3"/>
  <c r="T2710" i="3" s="1"/>
  <c r="U2710" i="3"/>
  <c r="V2710" i="3" s="1"/>
  <c r="W2710" i="3"/>
  <c r="X2710" i="3"/>
  <c r="S2711" i="3"/>
  <c r="T2711" i="3" s="1"/>
  <c r="U2711" i="3"/>
  <c r="V2711" i="3" s="1"/>
  <c r="W2711" i="3"/>
  <c r="X2711" i="3"/>
  <c r="S2712" i="3"/>
  <c r="T2712" i="3" s="1"/>
  <c r="U2712" i="3"/>
  <c r="V2712" i="3" s="1"/>
  <c r="W2712" i="3"/>
  <c r="X2712" i="3"/>
  <c r="S2713" i="3"/>
  <c r="T2713" i="3" s="1"/>
  <c r="U2713" i="3"/>
  <c r="V2713" i="3" s="1"/>
  <c r="W2713" i="3"/>
  <c r="X2713" i="3"/>
  <c r="S2714" i="3"/>
  <c r="T2714" i="3" s="1"/>
  <c r="U2714" i="3"/>
  <c r="V2714" i="3" s="1"/>
  <c r="W2714" i="3"/>
  <c r="X2714" i="3"/>
  <c r="S2715" i="3"/>
  <c r="T2715" i="3" s="1"/>
  <c r="U2715" i="3"/>
  <c r="V2715" i="3" s="1"/>
  <c r="W2715" i="3"/>
  <c r="X2715" i="3"/>
  <c r="S2716" i="3"/>
  <c r="T2716" i="3" s="1"/>
  <c r="U2716" i="3"/>
  <c r="V2716" i="3" s="1"/>
  <c r="W2716" i="3"/>
  <c r="X2716" i="3"/>
  <c r="S2717" i="3"/>
  <c r="T2717" i="3" s="1"/>
  <c r="U2717" i="3"/>
  <c r="V2717" i="3" s="1"/>
  <c r="W2717" i="3"/>
  <c r="X2717" i="3"/>
  <c r="S2718" i="3"/>
  <c r="T2718" i="3" s="1"/>
  <c r="U2718" i="3"/>
  <c r="V2718" i="3" s="1"/>
  <c r="W2718" i="3"/>
  <c r="X2718" i="3"/>
  <c r="S2719" i="3"/>
  <c r="T2719" i="3" s="1"/>
  <c r="U2719" i="3"/>
  <c r="V2719" i="3" s="1"/>
  <c r="W2719" i="3"/>
  <c r="X2719" i="3"/>
  <c r="S2720" i="3"/>
  <c r="T2720" i="3" s="1"/>
  <c r="U2720" i="3"/>
  <c r="V2720" i="3" s="1"/>
  <c r="W2720" i="3"/>
  <c r="X2720" i="3"/>
  <c r="S2721" i="3"/>
  <c r="T2721" i="3" s="1"/>
  <c r="U2721" i="3"/>
  <c r="V2721" i="3" s="1"/>
  <c r="W2721" i="3"/>
  <c r="X2721" i="3"/>
  <c r="S2722" i="3"/>
  <c r="T2722" i="3" s="1"/>
  <c r="U2722" i="3"/>
  <c r="V2722" i="3" s="1"/>
  <c r="W2722" i="3"/>
  <c r="X2722" i="3"/>
  <c r="S2723" i="3"/>
  <c r="T2723" i="3" s="1"/>
  <c r="U2723" i="3"/>
  <c r="V2723" i="3" s="1"/>
  <c r="W2723" i="3"/>
  <c r="X2723" i="3"/>
  <c r="S2724" i="3"/>
  <c r="T2724" i="3" s="1"/>
  <c r="U2724" i="3"/>
  <c r="V2724" i="3" s="1"/>
  <c r="W2724" i="3"/>
  <c r="X2724" i="3"/>
  <c r="S2725" i="3"/>
  <c r="T2725" i="3" s="1"/>
  <c r="U2725" i="3"/>
  <c r="V2725" i="3" s="1"/>
  <c r="W2725" i="3"/>
  <c r="X2725" i="3"/>
  <c r="S2726" i="3"/>
  <c r="T2726" i="3" s="1"/>
  <c r="U2726" i="3"/>
  <c r="V2726" i="3" s="1"/>
  <c r="W2726" i="3"/>
  <c r="X2726" i="3"/>
  <c r="S2727" i="3"/>
  <c r="T2727" i="3" s="1"/>
  <c r="U2727" i="3"/>
  <c r="V2727" i="3" s="1"/>
  <c r="W2727" i="3"/>
  <c r="X2727" i="3"/>
  <c r="S2728" i="3"/>
  <c r="T2728" i="3" s="1"/>
  <c r="U2728" i="3"/>
  <c r="V2728" i="3" s="1"/>
  <c r="W2728" i="3"/>
  <c r="X2728" i="3"/>
  <c r="S2729" i="3"/>
  <c r="T2729" i="3" s="1"/>
  <c r="U2729" i="3"/>
  <c r="V2729" i="3" s="1"/>
  <c r="W2729" i="3"/>
  <c r="X2729" i="3"/>
  <c r="S2730" i="3"/>
  <c r="T2730" i="3" s="1"/>
  <c r="U2730" i="3"/>
  <c r="V2730" i="3" s="1"/>
  <c r="W2730" i="3"/>
  <c r="X2730" i="3"/>
  <c r="S2731" i="3"/>
  <c r="T2731" i="3" s="1"/>
  <c r="U2731" i="3"/>
  <c r="V2731" i="3" s="1"/>
  <c r="W2731" i="3"/>
  <c r="X2731" i="3"/>
  <c r="S2732" i="3"/>
  <c r="T2732" i="3" s="1"/>
  <c r="U2732" i="3"/>
  <c r="V2732" i="3" s="1"/>
  <c r="W2732" i="3"/>
  <c r="X2732" i="3"/>
  <c r="S2733" i="3"/>
  <c r="T2733" i="3" s="1"/>
  <c r="U2733" i="3"/>
  <c r="V2733" i="3" s="1"/>
  <c r="W2733" i="3"/>
  <c r="X2733" i="3"/>
  <c r="S2734" i="3"/>
  <c r="T2734" i="3" s="1"/>
  <c r="U2734" i="3"/>
  <c r="V2734" i="3" s="1"/>
  <c r="W2734" i="3"/>
  <c r="X2734" i="3"/>
  <c r="S2735" i="3"/>
  <c r="T2735" i="3" s="1"/>
  <c r="U2735" i="3"/>
  <c r="V2735" i="3" s="1"/>
  <c r="W2735" i="3"/>
  <c r="X2735" i="3"/>
  <c r="S2736" i="3"/>
  <c r="T2736" i="3" s="1"/>
  <c r="U2736" i="3"/>
  <c r="V2736" i="3" s="1"/>
  <c r="W2736" i="3"/>
  <c r="X2736" i="3"/>
  <c r="S2737" i="3"/>
  <c r="T2737" i="3" s="1"/>
  <c r="U2737" i="3"/>
  <c r="V2737" i="3" s="1"/>
  <c r="W2737" i="3"/>
  <c r="X2737" i="3"/>
  <c r="S2738" i="3"/>
  <c r="T2738" i="3" s="1"/>
  <c r="U2738" i="3"/>
  <c r="V2738" i="3" s="1"/>
  <c r="W2738" i="3"/>
  <c r="X2738" i="3"/>
  <c r="S2739" i="3"/>
  <c r="T2739" i="3" s="1"/>
  <c r="U2739" i="3"/>
  <c r="V2739" i="3" s="1"/>
  <c r="W2739" i="3"/>
  <c r="X2739" i="3"/>
  <c r="S2740" i="3"/>
  <c r="T2740" i="3" s="1"/>
  <c r="U2740" i="3"/>
  <c r="V2740" i="3" s="1"/>
  <c r="W2740" i="3"/>
  <c r="X2740" i="3"/>
  <c r="S2741" i="3"/>
  <c r="T2741" i="3" s="1"/>
  <c r="U2741" i="3"/>
  <c r="V2741" i="3" s="1"/>
  <c r="W2741" i="3"/>
  <c r="X2741" i="3"/>
  <c r="S2742" i="3"/>
  <c r="T2742" i="3" s="1"/>
  <c r="U2742" i="3"/>
  <c r="V2742" i="3" s="1"/>
  <c r="W2742" i="3"/>
  <c r="X2742" i="3"/>
  <c r="S2743" i="3"/>
  <c r="T2743" i="3" s="1"/>
  <c r="U2743" i="3"/>
  <c r="V2743" i="3" s="1"/>
  <c r="W2743" i="3"/>
  <c r="X2743" i="3"/>
  <c r="S2744" i="3"/>
  <c r="T2744" i="3" s="1"/>
  <c r="U2744" i="3"/>
  <c r="V2744" i="3" s="1"/>
  <c r="W2744" i="3"/>
  <c r="X2744" i="3"/>
  <c r="S2745" i="3"/>
  <c r="T2745" i="3" s="1"/>
  <c r="U2745" i="3"/>
  <c r="V2745" i="3" s="1"/>
  <c r="W2745" i="3"/>
  <c r="X2745" i="3"/>
  <c r="S2746" i="3"/>
  <c r="T2746" i="3" s="1"/>
  <c r="U2746" i="3"/>
  <c r="V2746" i="3" s="1"/>
  <c r="W2746" i="3"/>
  <c r="X2746" i="3"/>
  <c r="S2747" i="3"/>
  <c r="T2747" i="3" s="1"/>
  <c r="U2747" i="3"/>
  <c r="V2747" i="3" s="1"/>
  <c r="W2747" i="3"/>
  <c r="X2747" i="3"/>
  <c r="S2748" i="3"/>
  <c r="T2748" i="3" s="1"/>
  <c r="U2748" i="3"/>
  <c r="V2748" i="3" s="1"/>
  <c r="W2748" i="3"/>
  <c r="X2748" i="3"/>
  <c r="S2749" i="3"/>
  <c r="T2749" i="3" s="1"/>
  <c r="U2749" i="3"/>
  <c r="V2749" i="3" s="1"/>
  <c r="W2749" i="3"/>
  <c r="X2749" i="3"/>
  <c r="S2750" i="3"/>
  <c r="T2750" i="3" s="1"/>
  <c r="U2750" i="3"/>
  <c r="V2750" i="3" s="1"/>
  <c r="W2750" i="3"/>
  <c r="X2750" i="3"/>
  <c r="S2751" i="3"/>
  <c r="T2751" i="3" s="1"/>
  <c r="U2751" i="3"/>
  <c r="V2751" i="3" s="1"/>
  <c r="W2751" i="3"/>
  <c r="X2751" i="3"/>
  <c r="S2752" i="3"/>
  <c r="T2752" i="3" s="1"/>
  <c r="U2752" i="3"/>
  <c r="V2752" i="3" s="1"/>
  <c r="W2752" i="3"/>
  <c r="X2752" i="3"/>
  <c r="S2753" i="3"/>
  <c r="T2753" i="3" s="1"/>
  <c r="U2753" i="3"/>
  <c r="V2753" i="3" s="1"/>
  <c r="W2753" i="3"/>
  <c r="X2753" i="3"/>
  <c r="S2754" i="3"/>
  <c r="T2754" i="3" s="1"/>
  <c r="U2754" i="3"/>
  <c r="V2754" i="3" s="1"/>
  <c r="W2754" i="3"/>
  <c r="X2754" i="3"/>
  <c r="S2755" i="3"/>
  <c r="T2755" i="3" s="1"/>
  <c r="U2755" i="3"/>
  <c r="V2755" i="3" s="1"/>
  <c r="W2755" i="3"/>
  <c r="X2755" i="3"/>
  <c r="S2756" i="3"/>
  <c r="T2756" i="3" s="1"/>
  <c r="U2756" i="3"/>
  <c r="V2756" i="3" s="1"/>
  <c r="W2756" i="3"/>
  <c r="X2756" i="3"/>
  <c r="S2757" i="3"/>
  <c r="T2757" i="3" s="1"/>
  <c r="U2757" i="3"/>
  <c r="V2757" i="3" s="1"/>
  <c r="W2757" i="3"/>
  <c r="X2757" i="3"/>
  <c r="S2758" i="3"/>
  <c r="T2758" i="3" s="1"/>
  <c r="U2758" i="3"/>
  <c r="V2758" i="3" s="1"/>
  <c r="W2758" i="3"/>
  <c r="X2758" i="3"/>
  <c r="S2759" i="3"/>
  <c r="T2759" i="3" s="1"/>
  <c r="U2759" i="3"/>
  <c r="V2759" i="3" s="1"/>
  <c r="W2759" i="3"/>
  <c r="X2759" i="3"/>
  <c r="S2760" i="3"/>
  <c r="T2760" i="3" s="1"/>
  <c r="U2760" i="3"/>
  <c r="V2760" i="3" s="1"/>
  <c r="W2760" i="3"/>
  <c r="X2760" i="3"/>
  <c r="S2761" i="3"/>
  <c r="T2761" i="3" s="1"/>
  <c r="U2761" i="3"/>
  <c r="V2761" i="3" s="1"/>
  <c r="W2761" i="3"/>
  <c r="X2761" i="3"/>
  <c r="S2762" i="3"/>
  <c r="T2762" i="3" s="1"/>
  <c r="U2762" i="3"/>
  <c r="V2762" i="3" s="1"/>
  <c r="W2762" i="3"/>
  <c r="X2762" i="3"/>
  <c r="S2763" i="3"/>
  <c r="T2763" i="3" s="1"/>
  <c r="U2763" i="3"/>
  <c r="V2763" i="3" s="1"/>
  <c r="W2763" i="3"/>
  <c r="X2763" i="3"/>
  <c r="S2764" i="3"/>
  <c r="T2764" i="3" s="1"/>
  <c r="U2764" i="3"/>
  <c r="V2764" i="3" s="1"/>
  <c r="W2764" i="3"/>
  <c r="X2764" i="3"/>
  <c r="S2765" i="3"/>
  <c r="T2765" i="3" s="1"/>
  <c r="U2765" i="3"/>
  <c r="V2765" i="3" s="1"/>
  <c r="W2765" i="3"/>
  <c r="X2765" i="3"/>
  <c r="S2766" i="3"/>
  <c r="T2766" i="3" s="1"/>
  <c r="U2766" i="3"/>
  <c r="V2766" i="3" s="1"/>
  <c r="W2766" i="3"/>
  <c r="X2766" i="3"/>
  <c r="S2767" i="3"/>
  <c r="T2767" i="3" s="1"/>
  <c r="U2767" i="3"/>
  <c r="V2767" i="3" s="1"/>
  <c r="W2767" i="3"/>
  <c r="X2767" i="3"/>
  <c r="S2768" i="3"/>
  <c r="T2768" i="3" s="1"/>
  <c r="U2768" i="3"/>
  <c r="V2768" i="3" s="1"/>
  <c r="W2768" i="3"/>
  <c r="X2768" i="3"/>
  <c r="S2769" i="3"/>
  <c r="T2769" i="3" s="1"/>
  <c r="U2769" i="3"/>
  <c r="V2769" i="3" s="1"/>
  <c r="W2769" i="3"/>
  <c r="X2769" i="3"/>
  <c r="S2770" i="3"/>
  <c r="T2770" i="3" s="1"/>
  <c r="U2770" i="3"/>
  <c r="V2770" i="3" s="1"/>
  <c r="W2770" i="3"/>
  <c r="X2770" i="3"/>
  <c r="S2771" i="3"/>
  <c r="T2771" i="3" s="1"/>
  <c r="U2771" i="3"/>
  <c r="V2771" i="3" s="1"/>
  <c r="W2771" i="3"/>
  <c r="X2771" i="3"/>
  <c r="S2772" i="3"/>
  <c r="T2772" i="3" s="1"/>
  <c r="U2772" i="3"/>
  <c r="V2772" i="3" s="1"/>
  <c r="W2772" i="3"/>
  <c r="X2772" i="3"/>
  <c r="S2773" i="3"/>
  <c r="T2773" i="3" s="1"/>
  <c r="U2773" i="3"/>
  <c r="V2773" i="3" s="1"/>
  <c r="W2773" i="3"/>
  <c r="X2773" i="3"/>
  <c r="S2774" i="3"/>
  <c r="T2774" i="3" s="1"/>
  <c r="U2774" i="3"/>
  <c r="V2774" i="3" s="1"/>
  <c r="W2774" i="3"/>
  <c r="X2774" i="3"/>
  <c r="S2775" i="3"/>
  <c r="T2775" i="3" s="1"/>
  <c r="U2775" i="3"/>
  <c r="V2775" i="3" s="1"/>
  <c r="W2775" i="3"/>
  <c r="X2775" i="3"/>
  <c r="S2776" i="3"/>
  <c r="T2776" i="3" s="1"/>
  <c r="U2776" i="3"/>
  <c r="V2776" i="3" s="1"/>
  <c r="W2776" i="3"/>
  <c r="X2776" i="3"/>
  <c r="S2777" i="3"/>
  <c r="T2777" i="3" s="1"/>
  <c r="U2777" i="3"/>
  <c r="V2777" i="3" s="1"/>
  <c r="W2777" i="3"/>
  <c r="X2777" i="3"/>
  <c r="S2778" i="3"/>
  <c r="T2778" i="3" s="1"/>
  <c r="U2778" i="3"/>
  <c r="V2778" i="3" s="1"/>
  <c r="W2778" i="3"/>
  <c r="X2778" i="3"/>
  <c r="S2779" i="3"/>
  <c r="T2779" i="3" s="1"/>
  <c r="U2779" i="3"/>
  <c r="V2779" i="3" s="1"/>
  <c r="W2779" i="3"/>
  <c r="X2779" i="3"/>
  <c r="S2780" i="3"/>
  <c r="T2780" i="3" s="1"/>
  <c r="U2780" i="3"/>
  <c r="V2780" i="3" s="1"/>
  <c r="W2780" i="3"/>
  <c r="X2780" i="3"/>
  <c r="S2781" i="3"/>
  <c r="T2781" i="3" s="1"/>
  <c r="U2781" i="3"/>
  <c r="V2781" i="3" s="1"/>
  <c r="W2781" i="3"/>
  <c r="X2781" i="3"/>
  <c r="S2782" i="3"/>
  <c r="T2782" i="3" s="1"/>
  <c r="U2782" i="3"/>
  <c r="V2782" i="3" s="1"/>
  <c r="W2782" i="3"/>
  <c r="X2782" i="3"/>
  <c r="S2783" i="3"/>
  <c r="T2783" i="3" s="1"/>
  <c r="U2783" i="3"/>
  <c r="V2783" i="3" s="1"/>
  <c r="W2783" i="3"/>
  <c r="X2783" i="3"/>
  <c r="S2784" i="3"/>
  <c r="T2784" i="3" s="1"/>
  <c r="U2784" i="3"/>
  <c r="V2784" i="3" s="1"/>
  <c r="W2784" i="3"/>
  <c r="X2784" i="3"/>
  <c r="S2785" i="3"/>
  <c r="T2785" i="3" s="1"/>
  <c r="U2785" i="3"/>
  <c r="V2785" i="3" s="1"/>
  <c r="W2785" i="3"/>
  <c r="X2785" i="3"/>
  <c r="S2786" i="3"/>
  <c r="T2786" i="3" s="1"/>
  <c r="U2786" i="3"/>
  <c r="V2786" i="3" s="1"/>
  <c r="W2786" i="3"/>
  <c r="X2786" i="3"/>
  <c r="S2787" i="3"/>
  <c r="T2787" i="3" s="1"/>
  <c r="U2787" i="3"/>
  <c r="V2787" i="3" s="1"/>
  <c r="W2787" i="3"/>
  <c r="X2787" i="3"/>
  <c r="S2788" i="3"/>
  <c r="T2788" i="3" s="1"/>
  <c r="U2788" i="3"/>
  <c r="V2788" i="3" s="1"/>
  <c r="W2788" i="3"/>
  <c r="X2788" i="3"/>
  <c r="S2789" i="3"/>
  <c r="T2789" i="3" s="1"/>
  <c r="U2789" i="3"/>
  <c r="V2789" i="3" s="1"/>
  <c r="W2789" i="3"/>
  <c r="X2789" i="3"/>
  <c r="S2790" i="3"/>
  <c r="T2790" i="3" s="1"/>
  <c r="U2790" i="3"/>
  <c r="V2790" i="3" s="1"/>
  <c r="W2790" i="3"/>
  <c r="X2790" i="3"/>
  <c r="S2791" i="3"/>
  <c r="T2791" i="3" s="1"/>
  <c r="U2791" i="3"/>
  <c r="V2791" i="3" s="1"/>
  <c r="W2791" i="3"/>
  <c r="X2791" i="3"/>
  <c r="S2792" i="3"/>
  <c r="T2792" i="3" s="1"/>
  <c r="U2792" i="3"/>
  <c r="V2792" i="3" s="1"/>
  <c r="W2792" i="3"/>
  <c r="X2792" i="3"/>
  <c r="S2793" i="3"/>
  <c r="T2793" i="3" s="1"/>
  <c r="U2793" i="3"/>
  <c r="V2793" i="3" s="1"/>
  <c r="W2793" i="3"/>
  <c r="X2793" i="3"/>
  <c r="S2794" i="3"/>
  <c r="T2794" i="3" s="1"/>
  <c r="U2794" i="3"/>
  <c r="V2794" i="3" s="1"/>
  <c r="W2794" i="3"/>
  <c r="X2794" i="3"/>
  <c r="S2795" i="3"/>
  <c r="T2795" i="3" s="1"/>
  <c r="U2795" i="3"/>
  <c r="V2795" i="3" s="1"/>
  <c r="W2795" i="3"/>
  <c r="X2795" i="3"/>
  <c r="S2796" i="3"/>
  <c r="T2796" i="3" s="1"/>
  <c r="U2796" i="3"/>
  <c r="V2796" i="3" s="1"/>
  <c r="W2796" i="3"/>
  <c r="X2796" i="3"/>
  <c r="S2797" i="3"/>
  <c r="T2797" i="3" s="1"/>
  <c r="U2797" i="3"/>
  <c r="V2797" i="3" s="1"/>
  <c r="W2797" i="3"/>
  <c r="X2797" i="3"/>
  <c r="S2798" i="3"/>
  <c r="T2798" i="3" s="1"/>
  <c r="U2798" i="3"/>
  <c r="V2798" i="3" s="1"/>
  <c r="W2798" i="3"/>
  <c r="X2798" i="3"/>
  <c r="S2799" i="3"/>
  <c r="T2799" i="3" s="1"/>
  <c r="U2799" i="3"/>
  <c r="V2799" i="3" s="1"/>
  <c r="W2799" i="3"/>
  <c r="X2799" i="3"/>
  <c r="S2800" i="3"/>
  <c r="T2800" i="3" s="1"/>
  <c r="U2800" i="3"/>
  <c r="V2800" i="3" s="1"/>
  <c r="W2800" i="3"/>
  <c r="X2800" i="3"/>
  <c r="S2801" i="3"/>
  <c r="T2801" i="3" s="1"/>
  <c r="U2801" i="3"/>
  <c r="V2801" i="3" s="1"/>
  <c r="W2801" i="3"/>
  <c r="X2801" i="3"/>
  <c r="S2802" i="3"/>
  <c r="T2802" i="3" s="1"/>
  <c r="U2802" i="3"/>
  <c r="V2802" i="3" s="1"/>
  <c r="W2802" i="3"/>
  <c r="X2802" i="3"/>
  <c r="S2803" i="3"/>
  <c r="T2803" i="3" s="1"/>
  <c r="U2803" i="3"/>
  <c r="V2803" i="3" s="1"/>
  <c r="W2803" i="3"/>
  <c r="X2803" i="3"/>
  <c r="S2804" i="3"/>
  <c r="T2804" i="3" s="1"/>
  <c r="U2804" i="3"/>
  <c r="V2804" i="3" s="1"/>
  <c r="W2804" i="3"/>
  <c r="X2804" i="3"/>
  <c r="S2805" i="3"/>
  <c r="T2805" i="3" s="1"/>
  <c r="U2805" i="3"/>
  <c r="V2805" i="3" s="1"/>
  <c r="W2805" i="3"/>
  <c r="X2805" i="3"/>
  <c r="S2806" i="3"/>
  <c r="T2806" i="3" s="1"/>
  <c r="U2806" i="3"/>
  <c r="V2806" i="3" s="1"/>
  <c r="W2806" i="3"/>
  <c r="X2806" i="3"/>
  <c r="S2807" i="3"/>
  <c r="T2807" i="3" s="1"/>
  <c r="U2807" i="3"/>
  <c r="V2807" i="3" s="1"/>
  <c r="W2807" i="3"/>
  <c r="X2807" i="3"/>
  <c r="S2808" i="3"/>
  <c r="T2808" i="3" s="1"/>
  <c r="U2808" i="3"/>
  <c r="V2808" i="3" s="1"/>
  <c r="W2808" i="3"/>
  <c r="X2808" i="3"/>
  <c r="S2809" i="3"/>
  <c r="T2809" i="3" s="1"/>
  <c r="U2809" i="3"/>
  <c r="V2809" i="3" s="1"/>
  <c r="W2809" i="3"/>
  <c r="X2809" i="3"/>
  <c r="S2810" i="3"/>
  <c r="T2810" i="3" s="1"/>
  <c r="U2810" i="3"/>
  <c r="V2810" i="3" s="1"/>
  <c r="W2810" i="3"/>
  <c r="X2810" i="3"/>
  <c r="S2811" i="3"/>
  <c r="T2811" i="3" s="1"/>
  <c r="U2811" i="3"/>
  <c r="V2811" i="3" s="1"/>
  <c r="W2811" i="3"/>
  <c r="X2811" i="3"/>
  <c r="S2812" i="3"/>
  <c r="T2812" i="3" s="1"/>
  <c r="U2812" i="3"/>
  <c r="V2812" i="3" s="1"/>
  <c r="W2812" i="3"/>
  <c r="X2812" i="3"/>
  <c r="S2813" i="3"/>
  <c r="T2813" i="3" s="1"/>
  <c r="U2813" i="3"/>
  <c r="V2813" i="3" s="1"/>
  <c r="W2813" i="3"/>
  <c r="X2813" i="3"/>
  <c r="S2814" i="3"/>
  <c r="T2814" i="3" s="1"/>
  <c r="U2814" i="3"/>
  <c r="V2814" i="3" s="1"/>
  <c r="W2814" i="3"/>
  <c r="X2814" i="3"/>
  <c r="S2815" i="3"/>
  <c r="T2815" i="3" s="1"/>
  <c r="U2815" i="3"/>
  <c r="V2815" i="3" s="1"/>
  <c r="W2815" i="3"/>
  <c r="X2815" i="3"/>
  <c r="S2816" i="3"/>
  <c r="T2816" i="3" s="1"/>
  <c r="U2816" i="3"/>
  <c r="V2816" i="3" s="1"/>
  <c r="W2816" i="3"/>
  <c r="X2816" i="3"/>
  <c r="S2817" i="3"/>
  <c r="T2817" i="3" s="1"/>
  <c r="U2817" i="3"/>
  <c r="V2817" i="3" s="1"/>
  <c r="W2817" i="3"/>
  <c r="X2817" i="3"/>
  <c r="S2818" i="3"/>
  <c r="T2818" i="3" s="1"/>
  <c r="U2818" i="3"/>
  <c r="V2818" i="3" s="1"/>
  <c r="W2818" i="3"/>
  <c r="X2818" i="3"/>
  <c r="S2819" i="3"/>
  <c r="T2819" i="3" s="1"/>
  <c r="U2819" i="3"/>
  <c r="V2819" i="3" s="1"/>
  <c r="W2819" i="3"/>
  <c r="X2819" i="3"/>
  <c r="S2820" i="3"/>
  <c r="T2820" i="3" s="1"/>
  <c r="U2820" i="3"/>
  <c r="V2820" i="3" s="1"/>
  <c r="W2820" i="3"/>
  <c r="X2820" i="3"/>
  <c r="S2821" i="3"/>
  <c r="T2821" i="3" s="1"/>
  <c r="U2821" i="3"/>
  <c r="V2821" i="3" s="1"/>
  <c r="W2821" i="3"/>
  <c r="X2821" i="3"/>
  <c r="S2822" i="3"/>
  <c r="T2822" i="3" s="1"/>
  <c r="U2822" i="3"/>
  <c r="V2822" i="3" s="1"/>
  <c r="W2822" i="3"/>
  <c r="X2822" i="3"/>
  <c r="S2823" i="3"/>
  <c r="T2823" i="3" s="1"/>
  <c r="U2823" i="3"/>
  <c r="V2823" i="3" s="1"/>
  <c r="W2823" i="3"/>
  <c r="X2823" i="3"/>
  <c r="S2824" i="3"/>
  <c r="T2824" i="3" s="1"/>
  <c r="U2824" i="3"/>
  <c r="V2824" i="3" s="1"/>
  <c r="W2824" i="3"/>
  <c r="X2824" i="3"/>
  <c r="S2825" i="3"/>
  <c r="T2825" i="3" s="1"/>
  <c r="U2825" i="3"/>
  <c r="V2825" i="3" s="1"/>
  <c r="W2825" i="3"/>
  <c r="X2825" i="3"/>
  <c r="S2826" i="3"/>
  <c r="T2826" i="3" s="1"/>
  <c r="U2826" i="3"/>
  <c r="V2826" i="3" s="1"/>
  <c r="W2826" i="3"/>
  <c r="X2826" i="3"/>
  <c r="S2827" i="3"/>
  <c r="T2827" i="3" s="1"/>
  <c r="U2827" i="3"/>
  <c r="V2827" i="3" s="1"/>
  <c r="W2827" i="3"/>
  <c r="X2827" i="3"/>
  <c r="S2828" i="3"/>
  <c r="T2828" i="3" s="1"/>
  <c r="U2828" i="3"/>
  <c r="V2828" i="3" s="1"/>
  <c r="W2828" i="3"/>
  <c r="X2828" i="3"/>
  <c r="S2829" i="3"/>
  <c r="T2829" i="3" s="1"/>
  <c r="U2829" i="3"/>
  <c r="V2829" i="3" s="1"/>
  <c r="W2829" i="3"/>
  <c r="X2829" i="3"/>
  <c r="S2830" i="3"/>
  <c r="T2830" i="3" s="1"/>
  <c r="U2830" i="3"/>
  <c r="V2830" i="3" s="1"/>
  <c r="W2830" i="3"/>
  <c r="X2830" i="3"/>
  <c r="S2831" i="3"/>
  <c r="T2831" i="3" s="1"/>
  <c r="U2831" i="3"/>
  <c r="V2831" i="3" s="1"/>
  <c r="W2831" i="3"/>
  <c r="X2831" i="3"/>
  <c r="S2832" i="3"/>
  <c r="T2832" i="3" s="1"/>
  <c r="U2832" i="3"/>
  <c r="V2832" i="3" s="1"/>
  <c r="W2832" i="3"/>
  <c r="X2832" i="3"/>
  <c r="S2833" i="3"/>
  <c r="T2833" i="3" s="1"/>
  <c r="U2833" i="3"/>
  <c r="V2833" i="3" s="1"/>
  <c r="W2833" i="3"/>
  <c r="X2833" i="3"/>
  <c r="S2834" i="3"/>
  <c r="T2834" i="3" s="1"/>
  <c r="U2834" i="3"/>
  <c r="V2834" i="3" s="1"/>
  <c r="W2834" i="3"/>
  <c r="X2834" i="3"/>
  <c r="S2835" i="3"/>
  <c r="T2835" i="3" s="1"/>
  <c r="U2835" i="3"/>
  <c r="V2835" i="3" s="1"/>
  <c r="W2835" i="3"/>
  <c r="X2835" i="3"/>
  <c r="S2836" i="3"/>
  <c r="T2836" i="3" s="1"/>
  <c r="U2836" i="3"/>
  <c r="V2836" i="3" s="1"/>
  <c r="W2836" i="3"/>
  <c r="X2836" i="3"/>
  <c r="S2837" i="3"/>
  <c r="T2837" i="3" s="1"/>
  <c r="U2837" i="3"/>
  <c r="V2837" i="3" s="1"/>
  <c r="W2837" i="3"/>
  <c r="X2837" i="3"/>
  <c r="S2838" i="3"/>
  <c r="T2838" i="3" s="1"/>
  <c r="U2838" i="3"/>
  <c r="V2838" i="3" s="1"/>
  <c r="W2838" i="3"/>
  <c r="X2838" i="3"/>
  <c r="S2839" i="3"/>
  <c r="T2839" i="3" s="1"/>
  <c r="U2839" i="3"/>
  <c r="V2839" i="3" s="1"/>
  <c r="W2839" i="3"/>
  <c r="X2839" i="3"/>
  <c r="S2840" i="3"/>
  <c r="T2840" i="3" s="1"/>
  <c r="U2840" i="3"/>
  <c r="V2840" i="3" s="1"/>
  <c r="W2840" i="3"/>
  <c r="X2840" i="3"/>
  <c r="S2841" i="3"/>
  <c r="T2841" i="3" s="1"/>
  <c r="U2841" i="3"/>
  <c r="V2841" i="3" s="1"/>
  <c r="W2841" i="3"/>
  <c r="X2841" i="3"/>
  <c r="S2842" i="3"/>
  <c r="T2842" i="3" s="1"/>
  <c r="U2842" i="3"/>
  <c r="V2842" i="3" s="1"/>
  <c r="W2842" i="3"/>
  <c r="X2842" i="3"/>
  <c r="S2843" i="3"/>
  <c r="T2843" i="3" s="1"/>
  <c r="U2843" i="3"/>
  <c r="V2843" i="3" s="1"/>
  <c r="W2843" i="3"/>
  <c r="X2843" i="3"/>
  <c r="S2844" i="3"/>
  <c r="T2844" i="3" s="1"/>
  <c r="U2844" i="3"/>
  <c r="V2844" i="3" s="1"/>
  <c r="W2844" i="3"/>
  <c r="X2844" i="3"/>
  <c r="S2845" i="3"/>
  <c r="T2845" i="3" s="1"/>
  <c r="U2845" i="3"/>
  <c r="V2845" i="3" s="1"/>
  <c r="W2845" i="3"/>
  <c r="X2845" i="3"/>
  <c r="S2846" i="3"/>
  <c r="T2846" i="3" s="1"/>
  <c r="U2846" i="3"/>
  <c r="V2846" i="3" s="1"/>
  <c r="W2846" i="3"/>
  <c r="X2846" i="3"/>
  <c r="S2847" i="3"/>
  <c r="T2847" i="3" s="1"/>
  <c r="U2847" i="3"/>
  <c r="V2847" i="3" s="1"/>
  <c r="W2847" i="3"/>
  <c r="X2847" i="3"/>
  <c r="S2848" i="3"/>
  <c r="T2848" i="3" s="1"/>
  <c r="U2848" i="3"/>
  <c r="V2848" i="3" s="1"/>
  <c r="W2848" i="3"/>
  <c r="X2848" i="3"/>
  <c r="S2849" i="3"/>
  <c r="T2849" i="3" s="1"/>
  <c r="U2849" i="3"/>
  <c r="V2849" i="3" s="1"/>
  <c r="W2849" i="3"/>
  <c r="X2849" i="3"/>
  <c r="S2850" i="3"/>
  <c r="T2850" i="3" s="1"/>
  <c r="U2850" i="3"/>
  <c r="V2850" i="3" s="1"/>
  <c r="W2850" i="3"/>
  <c r="X2850" i="3"/>
  <c r="S2851" i="3"/>
  <c r="T2851" i="3" s="1"/>
  <c r="U2851" i="3"/>
  <c r="V2851" i="3" s="1"/>
  <c r="W2851" i="3"/>
  <c r="X2851" i="3"/>
  <c r="S2852" i="3"/>
  <c r="T2852" i="3" s="1"/>
  <c r="U2852" i="3"/>
  <c r="V2852" i="3" s="1"/>
  <c r="W2852" i="3"/>
  <c r="X2852" i="3"/>
  <c r="S2853" i="3"/>
  <c r="T2853" i="3" s="1"/>
  <c r="U2853" i="3"/>
  <c r="V2853" i="3" s="1"/>
  <c r="W2853" i="3"/>
  <c r="X2853" i="3"/>
  <c r="S2854" i="3"/>
  <c r="T2854" i="3" s="1"/>
  <c r="U2854" i="3"/>
  <c r="V2854" i="3" s="1"/>
  <c r="W2854" i="3"/>
  <c r="X2854" i="3"/>
  <c r="S2855" i="3"/>
  <c r="T2855" i="3" s="1"/>
  <c r="U2855" i="3"/>
  <c r="V2855" i="3" s="1"/>
  <c r="W2855" i="3"/>
  <c r="X2855" i="3"/>
  <c r="S2856" i="3"/>
  <c r="T2856" i="3" s="1"/>
  <c r="U2856" i="3"/>
  <c r="V2856" i="3" s="1"/>
  <c r="W2856" i="3"/>
  <c r="X2856" i="3"/>
  <c r="S2857" i="3"/>
  <c r="T2857" i="3" s="1"/>
  <c r="U2857" i="3"/>
  <c r="V2857" i="3" s="1"/>
  <c r="W2857" i="3"/>
  <c r="X2857" i="3"/>
  <c r="S2858" i="3"/>
  <c r="T2858" i="3" s="1"/>
  <c r="U2858" i="3"/>
  <c r="V2858" i="3" s="1"/>
  <c r="W2858" i="3"/>
  <c r="X2858" i="3"/>
  <c r="S2859" i="3"/>
  <c r="T2859" i="3" s="1"/>
  <c r="U2859" i="3"/>
  <c r="V2859" i="3" s="1"/>
  <c r="W2859" i="3"/>
  <c r="X2859" i="3"/>
  <c r="S2860" i="3"/>
  <c r="T2860" i="3" s="1"/>
  <c r="U2860" i="3"/>
  <c r="V2860" i="3" s="1"/>
  <c r="W2860" i="3"/>
  <c r="X2860" i="3"/>
  <c r="S2861" i="3"/>
  <c r="T2861" i="3" s="1"/>
  <c r="U2861" i="3"/>
  <c r="V2861" i="3" s="1"/>
  <c r="W2861" i="3"/>
  <c r="X2861" i="3"/>
  <c r="S2862" i="3"/>
  <c r="T2862" i="3" s="1"/>
  <c r="U2862" i="3"/>
  <c r="V2862" i="3" s="1"/>
  <c r="W2862" i="3"/>
  <c r="X2862" i="3"/>
  <c r="S2863" i="3"/>
  <c r="T2863" i="3" s="1"/>
  <c r="U2863" i="3"/>
  <c r="V2863" i="3" s="1"/>
  <c r="W2863" i="3"/>
  <c r="X2863" i="3"/>
  <c r="S2864" i="3"/>
  <c r="T2864" i="3" s="1"/>
  <c r="U2864" i="3"/>
  <c r="V2864" i="3" s="1"/>
  <c r="W2864" i="3"/>
  <c r="X2864" i="3"/>
  <c r="S2865" i="3"/>
  <c r="T2865" i="3" s="1"/>
  <c r="U2865" i="3"/>
  <c r="V2865" i="3" s="1"/>
  <c r="W2865" i="3"/>
  <c r="X2865" i="3"/>
  <c r="S2866" i="3"/>
  <c r="T2866" i="3" s="1"/>
  <c r="U2866" i="3"/>
  <c r="V2866" i="3" s="1"/>
  <c r="W2866" i="3"/>
  <c r="X2866" i="3"/>
  <c r="S2867" i="3"/>
  <c r="T2867" i="3" s="1"/>
  <c r="U2867" i="3"/>
  <c r="V2867" i="3" s="1"/>
  <c r="W2867" i="3"/>
  <c r="X2867" i="3"/>
  <c r="S2868" i="3"/>
  <c r="T2868" i="3" s="1"/>
  <c r="U2868" i="3"/>
  <c r="V2868" i="3" s="1"/>
  <c r="W2868" i="3"/>
  <c r="X2868" i="3"/>
  <c r="S2869" i="3"/>
  <c r="T2869" i="3" s="1"/>
  <c r="U2869" i="3"/>
  <c r="V2869" i="3" s="1"/>
  <c r="W2869" i="3"/>
  <c r="X2869" i="3"/>
  <c r="S2870" i="3"/>
  <c r="T2870" i="3" s="1"/>
  <c r="U2870" i="3"/>
  <c r="V2870" i="3" s="1"/>
  <c r="W2870" i="3"/>
  <c r="X2870" i="3"/>
  <c r="S2871" i="3"/>
  <c r="T2871" i="3" s="1"/>
  <c r="U2871" i="3"/>
  <c r="V2871" i="3" s="1"/>
  <c r="W2871" i="3"/>
  <c r="X2871" i="3"/>
  <c r="S2872" i="3"/>
  <c r="T2872" i="3" s="1"/>
  <c r="U2872" i="3"/>
  <c r="V2872" i="3" s="1"/>
  <c r="W2872" i="3"/>
  <c r="X2872" i="3"/>
  <c r="S2873" i="3"/>
  <c r="T2873" i="3" s="1"/>
  <c r="U2873" i="3"/>
  <c r="V2873" i="3" s="1"/>
  <c r="W2873" i="3"/>
  <c r="X2873" i="3"/>
  <c r="S2874" i="3"/>
  <c r="T2874" i="3" s="1"/>
  <c r="U2874" i="3"/>
  <c r="V2874" i="3" s="1"/>
  <c r="W2874" i="3"/>
  <c r="X2874" i="3"/>
  <c r="S2875" i="3"/>
  <c r="T2875" i="3" s="1"/>
  <c r="U2875" i="3"/>
  <c r="V2875" i="3" s="1"/>
  <c r="W2875" i="3"/>
  <c r="X2875" i="3"/>
  <c r="S2876" i="3"/>
  <c r="T2876" i="3" s="1"/>
  <c r="U2876" i="3"/>
  <c r="V2876" i="3" s="1"/>
  <c r="W2876" i="3"/>
  <c r="X2876" i="3"/>
  <c r="S2877" i="3"/>
  <c r="T2877" i="3" s="1"/>
  <c r="U2877" i="3"/>
  <c r="V2877" i="3" s="1"/>
  <c r="W2877" i="3"/>
  <c r="X2877" i="3"/>
  <c r="S2878" i="3"/>
  <c r="T2878" i="3" s="1"/>
  <c r="U2878" i="3"/>
  <c r="V2878" i="3" s="1"/>
  <c r="W2878" i="3"/>
  <c r="X2878" i="3"/>
  <c r="S2879" i="3"/>
  <c r="T2879" i="3" s="1"/>
  <c r="U2879" i="3"/>
  <c r="V2879" i="3" s="1"/>
  <c r="W2879" i="3"/>
  <c r="X2879" i="3"/>
  <c r="S2880" i="3"/>
  <c r="T2880" i="3" s="1"/>
  <c r="U2880" i="3"/>
  <c r="V2880" i="3" s="1"/>
  <c r="W2880" i="3"/>
  <c r="X2880" i="3"/>
  <c r="S2881" i="3"/>
  <c r="T2881" i="3" s="1"/>
  <c r="U2881" i="3"/>
  <c r="V2881" i="3" s="1"/>
  <c r="W2881" i="3"/>
  <c r="X2881" i="3"/>
  <c r="S2882" i="3"/>
  <c r="T2882" i="3" s="1"/>
  <c r="U2882" i="3"/>
  <c r="V2882" i="3" s="1"/>
  <c r="W2882" i="3"/>
  <c r="X2882" i="3"/>
  <c r="S2883" i="3"/>
  <c r="T2883" i="3" s="1"/>
  <c r="U2883" i="3"/>
  <c r="V2883" i="3" s="1"/>
  <c r="W2883" i="3"/>
  <c r="X2883" i="3"/>
  <c r="S2884" i="3"/>
  <c r="T2884" i="3" s="1"/>
  <c r="U2884" i="3"/>
  <c r="V2884" i="3" s="1"/>
  <c r="W2884" i="3"/>
  <c r="X2884" i="3"/>
  <c r="S2885" i="3"/>
  <c r="T2885" i="3" s="1"/>
  <c r="U2885" i="3"/>
  <c r="V2885" i="3" s="1"/>
  <c r="W2885" i="3"/>
  <c r="X2885" i="3"/>
  <c r="S2886" i="3"/>
  <c r="T2886" i="3" s="1"/>
  <c r="U2886" i="3"/>
  <c r="V2886" i="3" s="1"/>
  <c r="W2886" i="3"/>
  <c r="X2886" i="3"/>
  <c r="S2887" i="3"/>
  <c r="T2887" i="3" s="1"/>
  <c r="U2887" i="3"/>
  <c r="V2887" i="3" s="1"/>
  <c r="W2887" i="3"/>
  <c r="X2887" i="3"/>
  <c r="S2888" i="3"/>
  <c r="T2888" i="3" s="1"/>
  <c r="U2888" i="3"/>
  <c r="V2888" i="3" s="1"/>
  <c r="W2888" i="3"/>
  <c r="X2888" i="3"/>
  <c r="S2889" i="3"/>
  <c r="T2889" i="3" s="1"/>
  <c r="U2889" i="3"/>
  <c r="V2889" i="3" s="1"/>
  <c r="W2889" i="3"/>
  <c r="X2889" i="3"/>
  <c r="S2890" i="3"/>
  <c r="T2890" i="3" s="1"/>
  <c r="U2890" i="3"/>
  <c r="V2890" i="3" s="1"/>
  <c r="W2890" i="3"/>
  <c r="X2890" i="3"/>
  <c r="S2891" i="3"/>
  <c r="T2891" i="3" s="1"/>
  <c r="U2891" i="3"/>
  <c r="V2891" i="3" s="1"/>
  <c r="W2891" i="3"/>
  <c r="X2891" i="3"/>
  <c r="S2892" i="3"/>
  <c r="T2892" i="3" s="1"/>
  <c r="U2892" i="3"/>
  <c r="V2892" i="3" s="1"/>
  <c r="W2892" i="3"/>
  <c r="X2892" i="3"/>
  <c r="S2893" i="3"/>
  <c r="T2893" i="3" s="1"/>
  <c r="U2893" i="3"/>
  <c r="V2893" i="3" s="1"/>
  <c r="W2893" i="3"/>
  <c r="X2893" i="3"/>
  <c r="S2894" i="3"/>
  <c r="T2894" i="3" s="1"/>
  <c r="U2894" i="3"/>
  <c r="V2894" i="3" s="1"/>
  <c r="W2894" i="3"/>
  <c r="X2894" i="3"/>
  <c r="S2895" i="3"/>
  <c r="T2895" i="3" s="1"/>
  <c r="U2895" i="3"/>
  <c r="V2895" i="3" s="1"/>
  <c r="W2895" i="3"/>
  <c r="X2895" i="3"/>
  <c r="S2896" i="3"/>
  <c r="T2896" i="3" s="1"/>
  <c r="U2896" i="3"/>
  <c r="V2896" i="3" s="1"/>
  <c r="W2896" i="3"/>
  <c r="X2896" i="3"/>
  <c r="S2897" i="3"/>
  <c r="T2897" i="3" s="1"/>
  <c r="U2897" i="3"/>
  <c r="V2897" i="3" s="1"/>
  <c r="W2897" i="3"/>
  <c r="X2897" i="3"/>
  <c r="S2898" i="3"/>
  <c r="T2898" i="3" s="1"/>
  <c r="U2898" i="3"/>
  <c r="V2898" i="3" s="1"/>
  <c r="W2898" i="3"/>
  <c r="X2898" i="3"/>
  <c r="S2899" i="3"/>
  <c r="T2899" i="3" s="1"/>
  <c r="U2899" i="3"/>
  <c r="V2899" i="3" s="1"/>
  <c r="W2899" i="3"/>
  <c r="X2899" i="3"/>
  <c r="S2900" i="3"/>
  <c r="T2900" i="3" s="1"/>
  <c r="U2900" i="3"/>
  <c r="V2900" i="3" s="1"/>
  <c r="W2900" i="3"/>
  <c r="X2900" i="3"/>
  <c r="S2901" i="3"/>
  <c r="T2901" i="3" s="1"/>
  <c r="U2901" i="3"/>
  <c r="V2901" i="3" s="1"/>
  <c r="W2901" i="3"/>
  <c r="X2901" i="3"/>
  <c r="S2902" i="3"/>
  <c r="T2902" i="3" s="1"/>
  <c r="U2902" i="3"/>
  <c r="V2902" i="3" s="1"/>
  <c r="W2902" i="3"/>
  <c r="X2902" i="3"/>
  <c r="S2903" i="3"/>
  <c r="T2903" i="3" s="1"/>
  <c r="U2903" i="3"/>
  <c r="V2903" i="3" s="1"/>
  <c r="W2903" i="3"/>
  <c r="X2903" i="3"/>
  <c r="S2904" i="3"/>
  <c r="T2904" i="3" s="1"/>
  <c r="U2904" i="3"/>
  <c r="V2904" i="3" s="1"/>
  <c r="W2904" i="3"/>
  <c r="X2904" i="3"/>
  <c r="S2905" i="3"/>
  <c r="T2905" i="3" s="1"/>
  <c r="U2905" i="3"/>
  <c r="V2905" i="3" s="1"/>
  <c r="W2905" i="3"/>
  <c r="X2905" i="3"/>
  <c r="S2906" i="3"/>
  <c r="T2906" i="3" s="1"/>
  <c r="U2906" i="3"/>
  <c r="V2906" i="3" s="1"/>
  <c r="W2906" i="3"/>
  <c r="X2906" i="3"/>
  <c r="S2907" i="3"/>
  <c r="T2907" i="3" s="1"/>
  <c r="U2907" i="3"/>
  <c r="V2907" i="3" s="1"/>
  <c r="W2907" i="3"/>
  <c r="X2907" i="3"/>
  <c r="S2908" i="3"/>
  <c r="T2908" i="3" s="1"/>
  <c r="U2908" i="3"/>
  <c r="V2908" i="3" s="1"/>
  <c r="W2908" i="3"/>
  <c r="X2908" i="3"/>
  <c r="S2909" i="3"/>
  <c r="T2909" i="3" s="1"/>
  <c r="U2909" i="3"/>
  <c r="V2909" i="3" s="1"/>
  <c r="W2909" i="3"/>
  <c r="X2909" i="3"/>
  <c r="S2910" i="3"/>
  <c r="T2910" i="3" s="1"/>
  <c r="U2910" i="3"/>
  <c r="V2910" i="3" s="1"/>
  <c r="W2910" i="3"/>
  <c r="X2910" i="3"/>
  <c r="S2911" i="3"/>
  <c r="T2911" i="3" s="1"/>
  <c r="U2911" i="3"/>
  <c r="V2911" i="3" s="1"/>
  <c r="W2911" i="3"/>
  <c r="X2911" i="3"/>
  <c r="S2912" i="3"/>
  <c r="T2912" i="3" s="1"/>
  <c r="U2912" i="3"/>
  <c r="V2912" i="3" s="1"/>
  <c r="W2912" i="3"/>
  <c r="X2912" i="3"/>
  <c r="S2913" i="3"/>
  <c r="T2913" i="3" s="1"/>
  <c r="U2913" i="3"/>
  <c r="V2913" i="3" s="1"/>
  <c r="W2913" i="3"/>
  <c r="X2913" i="3"/>
  <c r="S2914" i="3"/>
  <c r="T2914" i="3" s="1"/>
  <c r="U2914" i="3"/>
  <c r="V2914" i="3" s="1"/>
  <c r="W2914" i="3"/>
  <c r="X2914" i="3"/>
  <c r="S2915" i="3"/>
  <c r="T2915" i="3" s="1"/>
  <c r="U2915" i="3"/>
  <c r="V2915" i="3" s="1"/>
  <c r="W2915" i="3"/>
  <c r="X2915" i="3"/>
  <c r="S2916" i="3"/>
  <c r="T2916" i="3" s="1"/>
  <c r="U2916" i="3"/>
  <c r="V2916" i="3" s="1"/>
  <c r="W2916" i="3"/>
  <c r="X2916" i="3"/>
  <c r="S2917" i="3"/>
  <c r="T2917" i="3" s="1"/>
  <c r="U2917" i="3"/>
  <c r="V2917" i="3" s="1"/>
  <c r="W2917" i="3"/>
  <c r="X2917" i="3"/>
  <c r="S2918" i="3"/>
  <c r="T2918" i="3" s="1"/>
  <c r="U2918" i="3"/>
  <c r="V2918" i="3" s="1"/>
  <c r="W2918" i="3"/>
  <c r="X2918" i="3"/>
  <c r="S2919" i="3"/>
  <c r="T2919" i="3" s="1"/>
  <c r="U2919" i="3"/>
  <c r="V2919" i="3" s="1"/>
  <c r="W2919" i="3"/>
  <c r="X2919" i="3"/>
  <c r="S2920" i="3"/>
  <c r="T2920" i="3" s="1"/>
  <c r="U2920" i="3"/>
  <c r="V2920" i="3" s="1"/>
  <c r="W2920" i="3"/>
  <c r="X2920" i="3"/>
  <c r="S2921" i="3"/>
  <c r="T2921" i="3" s="1"/>
  <c r="U2921" i="3"/>
  <c r="V2921" i="3" s="1"/>
  <c r="W2921" i="3"/>
  <c r="X2921" i="3"/>
  <c r="S2922" i="3"/>
  <c r="T2922" i="3" s="1"/>
  <c r="U2922" i="3"/>
  <c r="V2922" i="3" s="1"/>
  <c r="W2922" i="3"/>
  <c r="X2922" i="3"/>
  <c r="S2923" i="3"/>
  <c r="T2923" i="3" s="1"/>
  <c r="U2923" i="3"/>
  <c r="V2923" i="3" s="1"/>
  <c r="W2923" i="3"/>
  <c r="X2923" i="3"/>
  <c r="S2924" i="3"/>
  <c r="T2924" i="3" s="1"/>
  <c r="U2924" i="3"/>
  <c r="V2924" i="3" s="1"/>
  <c r="W2924" i="3"/>
  <c r="X2924" i="3"/>
  <c r="S2925" i="3"/>
  <c r="T2925" i="3" s="1"/>
  <c r="U2925" i="3"/>
  <c r="V2925" i="3" s="1"/>
  <c r="W2925" i="3"/>
  <c r="X2925" i="3"/>
  <c r="S2926" i="3"/>
  <c r="T2926" i="3" s="1"/>
  <c r="U2926" i="3"/>
  <c r="V2926" i="3" s="1"/>
  <c r="W2926" i="3"/>
  <c r="X2926" i="3"/>
  <c r="S2927" i="3"/>
  <c r="T2927" i="3" s="1"/>
  <c r="U2927" i="3"/>
  <c r="V2927" i="3" s="1"/>
  <c r="W2927" i="3"/>
  <c r="X2927" i="3"/>
  <c r="S2928" i="3"/>
  <c r="T2928" i="3" s="1"/>
  <c r="U2928" i="3"/>
  <c r="V2928" i="3" s="1"/>
  <c r="W2928" i="3"/>
  <c r="X2928" i="3"/>
  <c r="S2929" i="3"/>
  <c r="T2929" i="3" s="1"/>
  <c r="U2929" i="3"/>
  <c r="V2929" i="3" s="1"/>
  <c r="W2929" i="3"/>
  <c r="X2929" i="3"/>
  <c r="S2930" i="3"/>
  <c r="T2930" i="3" s="1"/>
  <c r="U2930" i="3"/>
  <c r="V2930" i="3" s="1"/>
  <c r="W2930" i="3"/>
  <c r="X2930" i="3"/>
  <c r="S2931" i="3"/>
  <c r="T2931" i="3" s="1"/>
  <c r="U2931" i="3"/>
  <c r="V2931" i="3" s="1"/>
  <c r="W2931" i="3"/>
  <c r="X2931" i="3"/>
  <c r="S2932" i="3"/>
  <c r="T2932" i="3" s="1"/>
  <c r="U2932" i="3"/>
  <c r="V2932" i="3" s="1"/>
  <c r="W2932" i="3"/>
  <c r="X2932" i="3"/>
  <c r="S2933" i="3"/>
  <c r="T2933" i="3" s="1"/>
  <c r="U2933" i="3"/>
  <c r="V2933" i="3" s="1"/>
  <c r="W2933" i="3"/>
  <c r="X2933" i="3"/>
  <c r="S2934" i="3"/>
  <c r="T2934" i="3" s="1"/>
  <c r="U2934" i="3"/>
  <c r="V2934" i="3" s="1"/>
  <c r="W2934" i="3"/>
  <c r="X2934" i="3"/>
  <c r="S2935" i="3"/>
  <c r="T2935" i="3" s="1"/>
  <c r="U2935" i="3"/>
  <c r="V2935" i="3" s="1"/>
  <c r="W2935" i="3"/>
  <c r="X2935" i="3"/>
  <c r="S2936" i="3"/>
  <c r="T2936" i="3" s="1"/>
  <c r="U2936" i="3"/>
  <c r="V2936" i="3" s="1"/>
  <c r="W2936" i="3"/>
  <c r="X2936" i="3"/>
  <c r="S2937" i="3"/>
  <c r="T2937" i="3" s="1"/>
  <c r="U2937" i="3"/>
  <c r="V2937" i="3" s="1"/>
  <c r="W2937" i="3"/>
  <c r="X2937" i="3"/>
  <c r="S2938" i="3"/>
  <c r="T2938" i="3" s="1"/>
  <c r="U2938" i="3"/>
  <c r="V2938" i="3" s="1"/>
  <c r="W2938" i="3"/>
  <c r="X2938" i="3"/>
  <c r="S2939" i="3"/>
  <c r="T2939" i="3" s="1"/>
  <c r="U2939" i="3"/>
  <c r="V2939" i="3" s="1"/>
  <c r="W2939" i="3"/>
  <c r="X2939" i="3"/>
  <c r="S2940" i="3"/>
  <c r="T2940" i="3" s="1"/>
  <c r="U2940" i="3"/>
  <c r="V2940" i="3" s="1"/>
  <c r="W2940" i="3"/>
  <c r="X2940" i="3"/>
  <c r="S2941" i="3"/>
  <c r="T2941" i="3" s="1"/>
  <c r="U2941" i="3"/>
  <c r="V2941" i="3" s="1"/>
  <c r="W2941" i="3"/>
  <c r="X2941" i="3"/>
  <c r="S2942" i="3"/>
  <c r="T2942" i="3" s="1"/>
  <c r="U2942" i="3"/>
  <c r="V2942" i="3" s="1"/>
  <c r="W2942" i="3"/>
  <c r="X2942" i="3"/>
  <c r="S2943" i="3"/>
  <c r="T2943" i="3" s="1"/>
  <c r="U2943" i="3"/>
  <c r="V2943" i="3" s="1"/>
  <c r="W2943" i="3"/>
  <c r="X2943" i="3"/>
  <c r="S2944" i="3"/>
  <c r="T2944" i="3" s="1"/>
  <c r="U2944" i="3"/>
  <c r="V2944" i="3" s="1"/>
  <c r="W2944" i="3"/>
  <c r="X2944" i="3"/>
  <c r="S2945" i="3"/>
  <c r="T2945" i="3" s="1"/>
  <c r="U2945" i="3"/>
  <c r="V2945" i="3" s="1"/>
  <c r="W2945" i="3"/>
  <c r="X2945" i="3"/>
  <c r="S2946" i="3"/>
  <c r="T2946" i="3" s="1"/>
  <c r="U2946" i="3"/>
  <c r="V2946" i="3" s="1"/>
  <c r="W2946" i="3"/>
  <c r="X2946" i="3"/>
  <c r="S2947" i="3"/>
  <c r="T2947" i="3" s="1"/>
  <c r="U2947" i="3"/>
  <c r="V2947" i="3" s="1"/>
  <c r="W2947" i="3"/>
  <c r="X2947" i="3"/>
  <c r="S2948" i="3"/>
  <c r="T2948" i="3" s="1"/>
  <c r="U2948" i="3"/>
  <c r="V2948" i="3" s="1"/>
  <c r="W2948" i="3"/>
  <c r="X2948" i="3"/>
  <c r="S2949" i="3"/>
  <c r="T2949" i="3" s="1"/>
  <c r="U2949" i="3"/>
  <c r="V2949" i="3" s="1"/>
  <c r="W2949" i="3"/>
  <c r="X2949" i="3"/>
  <c r="S2950" i="3"/>
  <c r="T2950" i="3" s="1"/>
  <c r="U2950" i="3"/>
  <c r="V2950" i="3" s="1"/>
  <c r="W2950" i="3"/>
  <c r="X2950" i="3"/>
  <c r="S2951" i="3"/>
  <c r="T2951" i="3" s="1"/>
  <c r="U2951" i="3"/>
  <c r="V2951" i="3" s="1"/>
  <c r="W2951" i="3"/>
  <c r="X2951" i="3"/>
  <c r="S2952" i="3"/>
  <c r="T2952" i="3" s="1"/>
  <c r="U2952" i="3"/>
  <c r="V2952" i="3" s="1"/>
  <c r="W2952" i="3"/>
  <c r="X2952" i="3"/>
  <c r="S2953" i="3"/>
  <c r="T2953" i="3" s="1"/>
  <c r="U2953" i="3"/>
  <c r="V2953" i="3" s="1"/>
  <c r="W2953" i="3"/>
  <c r="X2953" i="3"/>
  <c r="S2954" i="3"/>
  <c r="T2954" i="3" s="1"/>
  <c r="U2954" i="3"/>
  <c r="V2954" i="3" s="1"/>
  <c r="W2954" i="3"/>
  <c r="X2954" i="3"/>
  <c r="S2955" i="3"/>
  <c r="T2955" i="3" s="1"/>
  <c r="U2955" i="3"/>
  <c r="V2955" i="3" s="1"/>
  <c r="W2955" i="3"/>
  <c r="X2955" i="3"/>
  <c r="S2956" i="3"/>
  <c r="T2956" i="3" s="1"/>
  <c r="U2956" i="3"/>
  <c r="V2956" i="3" s="1"/>
  <c r="W2956" i="3"/>
  <c r="X2956" i="3"/>
  <c r="S2957" i="3"/>
  <c r="T2957" i="3" s="1"/>
  <c r="U2957" i="3"/>
  <c r="V2957" i="3" s="1"/>
  <c r="W2957" i="3"/>
  <c r="X2957" i="3"/>
  <c r="S2958" i="3"/>
  <c r="T2958" i="3" s="1"/>
  <c r="U2958" i="3"/>
  <c r="V2958" i="3" s="1"/>
  <c r="W2958" i="3"/>
  <c r="X2958" i="3"/>
  <c r="S2959" i="3"/>
  <c r="T2959" i="3" s="1"/>
  <c r="U2959" i="3"/>
  <c r="V2959" i="3" s="1"/>
  <c r="W2959" i="3"/>
  <c r="X2959" i="3"/>
  <c r="S2960" i="3"/>
  <c r="T2960" i="3" s="1"/>
  <c r="U2960" i="3"/>
  <c r="V2960" i="3" s="1"/>
  <c r="W2960" i="3"/>
  <c r="X2960" i="3"/>
  <c r="S2961" i="3"/>
  <c r="T2961" i="3" s="1"/>
  <c r="U2961" i="3"/>
  <c r="V2961" i="3" s="1"/>
  <c r="W2961" i="3"/>
  <c r="X2961" i="3"/>
  <c r="S2962" i="3"/>
  <c r="T2962" i="3" s="1"/>
  <c r="U2962" i="3"/>
  <c r="V2962" i="3" s="1"/>
  <c r="W2962" i="3"/>
  <c r="X2962" i="3"/>
  <c r="S2963" i="3"/>
  <c r="T2963" i="3" s="1"/>
  <c r="U2963" i="3"/>
  <c r="V2963" i="3" s="1"/>
  <c r="W2963" i="3"/>
  <c r="X2963" i="3"/>
  <c r="S2964" i="3"/>
  <c r="T2964" i="3" s="1"/>
  <c r="U2964" i="3"/>
  <c r="V2964" i="3" s="1"/>
  <c r="W2964" i="3"/>
  <c r="X2964" i="3"/>
  <c r="S2965" i="3"/>
  <c r="T2965" i="3" s="1"/>
  <c r="U2965" i="3"/>
  <c r="V2965" i="3" s="1"/>
  <c r="W2965" i="3"/>
  <c r="X2965" i="3"/>
  <c r="S2966" i="3"/>
  <c r="T2966" i="3" s="1"/>
  <c r="U2966" i="3"/>
  <c r="V2966" i="3" s="1"/>
  <c r="W2966" i="3"/>
  <c r="X2966" i="3"/>
  <c r="S2967" i="3"/>
  <c r="T2967" i="3" s="1"/>
  <c r="U2967" i="3"/>
  <c r="V2967" i="3" s="1"/>
  <c r="W2967" i="3"/>
  <c r="X2967" i="3"/>
  <c r="S2968" i="3"/>
  <c r="T2968" i="3" s="1"/>
  <c r="U2968" i="3"/>
  <c r="V2968" i="3" s="1"/>
  <c r="W2968" i="3"/>
  <c r="X2968" i="3"/>
  <c r="S2969" i="3"/>
  <c r="T2969" i="3" s="1"/>
  <c r="U2969" i="3"/>
  <c r="V2969" i="3" s="1"/>
  <c r="W2969" i="3"/>
  <c r="X2969" i="3"/>
  <c r="S2970" i="3"/>
  <c r="T2970" i="3" s="1"/>
  <c r="U2970" i="3"/>
  <c r="V2970" i="3" s="1"/>
  <c r="W2970" i="3"/>
  <c r="X2970" i="3"/>
  <c r="S2971" i="3"/>
  <c r="T2971" i="3" s="1"/>
  <c r="U2971" i="3"/>
  <c r="V2971" i="3" s="1"/>
  <c r="W2971" i="3"/>
  <c r="X2971" i="3"/>
  <c r="S2972" i="3"/>
  <c r="T2972" i="3" s="1"/>
  <c r="U2972" i="3"/>
  <c r="V2972" i="3" s="1"/>
  <c r="W2972" i="3"/>
  <c r="X2972" i="3"/>
  <c r="S2973" i="3"/>
  <c r="T2973" i="3" s="1"/>
  <c r="U2973" i="3"/>
  <c r="V2973" i="3" s="1"/>
  <c r="W2973" i="3"/>
  <c r="X2973" i="3"/>
  <c r="S2974" i="3"/>
  <c r="T2974" i="3" s="1"/>
  <c r="U2974" i="3"/>
  <c r="V2974" i="3" s="1"/>
  <c r="W2974" i="3"/>
  <c r="X2974" i="3"/>
  <c r="S2975" i="3"/>
  <c r="T2975" i="3" s="1"/>
  <c r="U2975" i="3"/>
  <c r="V2975" i="3" s="1"/>
  <c r="W2975" i="3"/>
  <c r="X2975" i="3"/>
  <c r="S2976" i="3"/>
  <c r="T2976" i="3" s="1"/>
  <c r="U2976" i="3"/>
  <c r="V2976" i="3" s="1"/>
  <c r="W2976" i="3"/>
  <c r="X2976" i="3"/>
  <c r="S2977" i="3"/>
  <c r="T2977" i="3" s="1"/>
  <c r="U2977" i="3"/>
  <c r="V2977" i="3" s="1"/>
  <c r="W2977" i="3"/>
  <c r="X2977" i="3"/>
  <c r="S2978" i="3"/>
  <c r="T2978" i="3" s="1"/>
  <c r="U2978" i="3"/>
  <c r="V2978" i="3" s="1"/>
  <c r="W2978" i="3"/>
  <c r="X2978" i="3"/>
  <c r="S2979" i="3"/>
  <c r="T2979" i="3" s="1"/>
  <c r="U2979" i="3"/>
  <c r="V2979" i="3" s="1"/>
  <c r="W2979" i="3"/>
  <c r="X2979" i="3"/>
  <c r="S2980" i="3"/>
  <c r="T2980" i="3" s="1"/>
  <c r="U2980" i="3"/>
  <c r="V2980" i="3" s="1"/>
  <c r="W2980" i="3"/>
  <c r="X2980" i="3"/>
  <c r="S2981" i="3"/>
  <c r="T2981" i="3" s="1"/>
  <c r="U2981" i="3"/>
  <c r="V2981" i="3" s="1"/>
  <c r="W2981" i="3"/>
  <c r="X2981" i="3"/>
  <c r="S2982" i="3"/>
  <c r="T2982" i="3" s="1"/>
  <c r="U2982" i="3"/>
  <c r="V2982" i="3" s="1"/>
  <c r="W2982" i="3"/>
  <c r="X2982" i="3"/>
  <c r="S2983" i="3"/>
  <c r="T2983" i="3" s="1"/>
  <c r="U2983" i="3"/>
  <c r="V2983" i="3" s="1"/>
  <c r="W2983" i="3"/>
  <c r="X2983" i="3"/>
  <c r="S2984" i="3"/>
  <c r="T2984" i="3" s="1"/>
  <c r="U2984" i="3"/>
  <c r="V2984" i="3" s="1"/>
  <c r="W2984" i="3"/>
  <c r="X2984" i="3"/>
  <c r="S2985" i="3"/>
  <c r="T2985" i="3" s="1"/>
  <c r="U2985" i="3"/>
  <c r="V2985" i="3" s="1"/>
  <c r="W2985" i="3"/>
  <c r="X2985" i="3"/>
  <c r="S2986" i="3"/>
  <c r="T2986" i="3" s="1"/>
  <c r="U2986" i="3"/>
  <c r="V2986" i="3" s="1"/>
  <c r="W2986" i="3"/>
  <c r="X2986" i="3"/>
  <c r="S2987" i="3"/>
  <c r="T2987" i="3" s="1"/>
  <c r="U2987" i="3"/>
  <c r="V2987" i="3" s="1"/>
  <c r="W2987" i="3"/>
  <c r="X2987" i="3"/>
  <c r="S2988" i="3"/>
  <c r="T2988" i="3" s="1"/>
  <c r="U2988" i="3"/>
  <c r="V2988" i="3" s="1"/>
  <c r="W2988" i="3"/>
  <c r="X2988" i="3"/>
  <c r="S2989" i="3"/>
  <c r="T2989" i="3" s="1"/>
  <c r="U2989" i="3"/>
  <c r="V2989" i="3" s="1"/>
  <c r="W2989" i="3"/>
  <c r="X2989" i="3"/>
  <c r="S2990" i="3"/>
  <c r="T2990" i="3" s="1"/>
  <c r="U2990" i="3"/>
  <c r="V2990" i="3" s="1"/>
  <c r="W2990" i="3"/>
  <c r="X2990" i="3"/>
  <c r="S2991" i="3"/>
  <c r="T2991" i="3" s="1"/>
  <c r="U2991" i="3"/>
  <c r="V2991" i="3" s="1"/>
  <c r="W2991" i="3"/>
  <c r="X2991" i="3"/>
  <c r="S2992" i="3"/>
  <c r="T2992" i="3" s="1"/>
  <c r="U2992" i="3"/>
  <c r="V2992" i="3" s="1"/>
  <c r="W2992" i="3"/>
  <c r="X2992" i="3"/>
  <c r="S2993" i="3"/>
  <c r="T2993" i="3" s="1"/>
  <c r="U2993" i="3"/>
  <c r="V2993" i="3" s="1"/>
  <c r="W2993" i="3"/>
  <c r="X2993" i="3"/>
  <c r="S2994" i="3"/>
  <c r="T2994" i="3" s="1"/>
  <c r="U2994" i="3"/>
  <c r="V2994" i="3" s="1"/>
  <c r="W2994" i="3"/>
  <c r="X2994" i="3"/>
  <c r="S2995" i="3"/>
  <c r="T2995" i="3" s="1"/>
  <c r="U2995" i="3"/>
  <c r="V2995" i="3" s="1"/>
  <c r="W2995" i="3"/>
  <c r="X2995" i="3"/>
  <c r="S2996" i="3"/>
  <c r="T2996" i="3" s="1"/>
  <c r="U2996" i="3"/>
  <c r="V2996" i="3" s="1"/>
  <c r="W2996" i="3"/>
  <c r="X2996" i="3"/>
  <c r="S2997" i="3"/>
  <c r="T2997" i="3" s="1"/>
  <c r="U2997" i="3"/>
  <c r="V2997" i="3" s="1"/>
  <c r="W2997" i="3"/>
  <c r="X2997" i="3"/>
  <c r="S2998" i="3"/>
  <c r="T2998" i="3" s="1"/>
  <c r="U2998" i="3"/>
  <c r="V2998" i="3" s="1"/>
  <c r="W2998" i="3"/>
  <c r="X2998" i="3"/>
  <c r="S2999" i="3"/>
  <c r="T2999" i="3" s="1"/>
  <c r="U2999" i="3"/>
  <c r="V2999" i="3" s="1"/>
  <c r="W2999" i="3"/>
  <c r="X2999" i="3"/>
  <c r="S3000" i="3"/>
  <c r="T3000" i="3" s="1"/>
  <c r="U3000" i="3"/>
  <c r="V3000" i="3" s="1"/>
  <c r="W3000" i="3"/>
  <c r="X3000" i="3"/>
  <c r="S3001" i="3"/>
  <c r="T3001" i="3" s="1"/>
  <c r="U3001" i="3"/>
  <c r="V3001" i="3" s="1"/>
  <c r="W3001" i="3"/>
  <c r="X3001" i="3"/>
  <c r="S3002" i="3"/>
  <c r="T3002" i="3" s="1"/>
  <c r="U3002" i="3"/>
  <c r="V3002" i="3" s="1"/>
  <c r="W3002" i="3"/>
  <c r="X3002" i="3"/>
  <c r="S3003" i="3"/>
  <c r="T3003" i="3" s="1"/>
  <c r="U3003" i="3"/>
  <c r="V3003" i="3" s="1"/>
  <c r="W3003" i="3"/>
  <c r="X3003" i="3"/>
  <c r="S3004" i="3"/>
  <c r="T3004" i="3" s="1"/>
  <c r="U3004" i="3"/>
  <c r="V3004" i="3" s="1"/>
  <c r="W3004" i="3"/>
  <c r="X3004" i="3"/>
  <c r="S3005" i="3"/>
  <c r="T3005" i="3" s="1"/>
  <c r="U3005" i="3"/>
  <c r="V3005" i="3" s="1"/>
  <c r="W3005" i="3"/>
  <c r="X3005" i="3"/>
  <c r="S3006" i="3"/>
  <c r="T3006" i="3" s="1"/>
  <c r="U3006" i="3"/>
  <c r="V3006" i="3" s="1"/>
  <c r="W3006" i="3"/>
  <c r="X3006" i="3"/>
  <c r="S3007" i="3"/>
  <c r="T3007" i="3" s="1"/>
  <c r="U3007" i="3"/>
  <c r="V3007" i="3" s="1"/>
  <c r="W3007" i="3"/>
  <c r="X3007" i="3"/>
  <c r="S3008" i="3"/>
  <c r="T3008" i="3" s="1"/>
  <c r="U3008" i="3"/>
  <c r="V3008" i="3" s="1"/>
  <c r="W3008" i="3"/>
  <c r="X3008" i="3"/>
  <c r="S3009" i="3"/>
  <c r="T3009" i="3" s="1"/>
  <c r="U3009" i="3"/>
  <c r="V3009" i="3" s="1"/>
  <c r="W3009" i="3"/>
  <c r="X3009" i="3"/>
  <c r="S3010" i="3"/>
  <c r="T3010" i="3" s="1"/>
  <c r="U3010" i="3"/>
  <c r="V3010" i="3" s="1"/>
  <c r="W3010" i="3"/>
  <c r="X3010" i="3"/>
  <c r="S3011" i="3"/>
  <c r="T3011" i="3" s="1"/>
  <c r="U3011" i="3"/>
  <c r="V3011" i="3" s="1"/>
  <c r="W3011" i="3"/>
  <c r="X3011" i="3"/>
  <c r="S3012" i="3"/>
  <c r="T3012" i="3" s="1"/>
  <c r="U3012" i="3"/>
  <c r="V3012" i="3" s="1"/>
  <c r="W3012" i="3"/>
  <c r="X3012" i="3"/>
  <c r="S3013" i="3"/>
  <c r="T3013" i="3" s="1"/>
  <c r="U3013" i="3"/>
  <c r="V3013" i="3" s="1"/>
  <c r="W3013" i="3"/>
  <c r="X3013" i="3"/>
  <c r="S3014" i="3"/>
  <c r="T3014" i="3" s="1"/>
  <c r="U3014" i="3"/>
  <c r="V3014" i="3" s="1"/>
  <c r="W3014" i="3"/>
  <c r="X3014" i="3"/>
  <c r="S3015" i="3"/>
  <c r="T3015" i="3" s="1"/>
  <c r="U3015" i="3"/>
  <c r="V3015" i="3" s="1"/>
  <c r="W3015" i="3"/>
  <c r="X3015" i="3"/>
  <c r="S3016" i="3"/>
  <c r="T3016" i="3" s="1"/>
  <c r="U3016" i="3"/>
  <c r="V3016" i="3" s="1"/>
  <c r="W3016" i="3"/>
  <c r="X3016" i="3"/>
  <c r="S3017" i="3"/>
  <c r="T3017" i="3" s="1"/>
  <c r="U3017" i="3"/>
  <c r="V3017" i="3" s="1"/>
  <c r="W3017" i="3"/>
  <c r="X3017" i="3"/>
  <c r="S3018" i="3"/>
  <c r="T3018" i="3" s="1"/>
  <c r="U3018" i="3"/>
  <c r="V3018" i="3" s="1"/>
  <c r="W3018" i="3"/>
  <c r="X3018" i="3"/>
  <c r="S3019" i="3"/>
  <c r="T3019" i="3" s="1"/>
  <c r="U3019" i="3"/>
  <c r="V3019" i="3" s="1"/>
  <c r="W3019" i="3"/>
  <c r="X3019" i="3"/>
  <c r="S3020" i="3"/>
  <c r="T3020" i="3" s="1"/>
  <c r="U3020" i="3"/>
  <c r="V3020" i="3" s="1"/>
  <c r="W3020" i="3"/>
  <c r="X3020" i="3"/>
  <c r="S3021" i="3"/>
  <c r="T3021" i="3" s="1"/>
  <c r="U3021" i="3"/>
  <c r="V3021" i="3" s="1"/>
  <c r="W3021" i="3"/>
  <c r="X3021" i="3"/>
  <c r="S3022" i="3"/>
  <c r="T3022" i="3" s="1"/>
  <c r="U3022" i="3"/>
  <c r="V3022" i="3" s="1"/>
  <c r="W3022" i="3"/>
  <c r="X3022" i="3"/>
  <c r="S3023" i="3"/>
  <c r="T3023" i="3" s="1"/>
  <c r="U3023" i="3"/>
  <c r="V3023" i="3" s="1"/>
  <c r="W3023" i="3"/>
  <c r="X3023" i="3"/>
  <c r="S3024" i="3"/>
  <c r="T3024" i="3" s="1"/>
  <c r="U3024" i="3"/>
  <c r="V3024" i="3" s="1"/>
  <c r="W3024" i="3"/>
  <c r="X3024" i="3"/>
  <c r="S3025" i="3"/>
  <c r="T3025" i="3" s="1"/>
  <c r="U3025" i="3"/>
  <c r="V3025" i="3" s="1"/>
  <c r="W3025" i="3"/>
  <c r="X3025" i="3"/>
  <c r="S3026" i="3"/>
  <c r="T3026" i="3" s="1"/>
  <c r="U3026" i="3"/>
  <c r="V3026" i="3" s="1"/>
  <c r="W3026" i="3"/>
  <c r="X3026" i="3"/>
  <c r="S3027" i="3"/>
  <c r="T3027" i="3" s="1"/>
  <c r="U3027" i="3"/>
  <c r="V3027" i="3" s="1"/>
  <c r="W3027" i="3"/>
  <c r="X3027" i="3"/>
  <c r="S3028" i="3"/>
  <c r="T3028" i="3" s="1"/>
  <c r="U3028" i="3"/>
  <c r="V3028" i="3" s="1"/>
  <c r="W3028" i="3"/>
  <c r="X3028" i="3"/>
  <c r="S3029" i="3"/>
  <c r="T3029" i="3" s="1"/>
  <c r="U3029" i="3"/>
  <c r="V3029" i="3" s="1"/>
  <c r="W3029" i="3"/>
  <c r="X3029" i="3"/>
  <c r="S3030" i="3"/>
  <c r="T3030" i="3" s="1"/>
  <c r="U3030" i="3"/>
  <c r="V3030" i="3" s="1"/>
  <c r="W3030" i="3"/>
  <c r="X3030" i="3"/>
  <c r="S3031" i="3"/>
  <c r="T3031" i="3" s="1"/>
  <c r="U3031" i="3"/>
  <c r="V3031" i="3" s="1"/>
  <c r="W3031" i="3"/>
  <c r="X3031" i="3"/>
  <c r="S3032" i="3"/>
  <c r="T3032" i="3" s="1"/>
  <c r="U3032" i="3"/>
  <c r="V3032" i="3" s="1"/>
  <c r="W3032" i="3"/>
  <c r="X3032" i="3"/>
  <c r="S3033" i="3"/>
  <c r="T3033" i="3" s="1"/>
  <c r="U3033" i="3"/>
  <c r="V3033" i="3" s="1"/>
  <c r="W3033" i="3"/>
  <c r="X3033" i="3"/>
  <c r="S3034" i="3"/>
  <c r="T3034" i="3" s="1"/>
  <c r="U3034" i="3"/>
  <c r="V3034" i="3" s="1"/>
  <c r="W3034" i="3"/>
  <c r="X3034" i="3"/>
  <c r="S3035" i="3"/>
  <c r="T3035" i="3" s="1"/>
  <c r="U3035" i="3"/>
  <c r="V3035" i="3" s="1"/>
  <c r="W3035" i="3"/>
  <c r="X3035" i="3"/>
  <c r="S3036" i="3"/>
  <c r="T3036" i="3" s="1"/>
  <c r="U3036" i="3"/>
  <c r="V3036" i="3" s="1"/>
  <c r="W3036" i="3"/>
  <c r="X3036" i="3"/>
  <c r="S3037" i="3"/>
  <c r="T3037" i="3" s="1"/>
  <c r="U3037" i="3"/>
  <c r="V3037" i="3" s="1"/>
  <c r="W3037" i="3"/>
  <c r="X3037" i="3"/>
  <c r="S3038" i="3"/>
  <c r="T3038" i="3" s="1"/>
  <c r="U3038" i="3"/>
  <c r="V3038" i="3" s="1"/>
  <c r="W3038" i="3"/>
  <c r="X3038" i="3"/>
  <c r="S3039" i="3"/>
  <c r="T3039" i="3" s="1"/>
  <c r="U3039" i="3"/>
  <c r="V3039" i="3" s="1"/>
  <c r="W3039" i="3"/>
  <c r="X3039" i="3"/>
  <c r="S3040" i="3"/>
  <c r="T3040" i="3" s="1"/>
  <c r="U3040" i="3"/>
  <c r="V3040" i="3" s="1"/>
  <c r="W3040" i="3"/>
  <c r="X3040" i="3"/>
  <c r="S3041" i="3"/>
  <c r="T3041" i="3" s="1"/>
  <c r="U3041" i="3"/>
  <c r="V3041" i="3" s="1"/>
  <c r="W3041" i="3"/>
  <c r="X3041" i="3"/>
  <c r="S3042" i="3"/>
  <c r="T3042" i="3" s="1"/>
  <c r="U3042" i="3"/>
  <c r="V3042" i="3" s="1"/>
  <c r="W3042" i="3"/>
  <c r="X3042" i="3"/>
  <c r="S3043" i="3"/>
  <c r="T3043" i="3" s="1"/>
  <c r="U3043" i="3"/>
  <c r="V3043" i="3" s="1"/>
  <c r="W3043" i="3"/>
  <c r="X3043" i="3"/>
  <c r="S3044" i="3"/>
  <c r="T3044" i="3" s="1"/>
  <c r="U3044" i="3"/>
  <c r="V3044" i="3" s="1"/>
  <c r="W3044" i="3"/>
  <c r="X3044" i="3"/>
  <c r="S3045" i="3"/>
  <c r="T3045" i="3" s="1"/>
  <c r="U3045" i="3"/>
  <c r="V3045" i="3" s="1"/>
  <c r="W3045" i="3"/>
  <c r="X3045" i="3"/>
  <c r="S3046" i="3"/>
  <c r="T3046" i="3" s="1"/>
  <c r="U3046" i="3"/>
  <c r="V3046" i="3" s="1"/>
  <c r="W3046" i="3"/>
  <c r="X3046" i="3"/>
  <c r="S3047" i="3"/>
  <c r="T3047" i="3" s="1"/>
  <c r="U3047" i="3"/>
  <c r="V3047" i="3" s="1"/>
  <c r="W3047" i="3"/>
  <c r="X3047" i="3"/>
  <c r="S3048" i="3"/>
  <c r="T3048" i="3" s="1"/>
  <c r="U3048" i="3"/>
  <c r="V3048" i="3" s="1"/>
  <c r="W3048" i="3"/>
  <c r="X3048" i="3"/>
  <c r="S3049" i="3"/>
  <c r="T3049" i="3" s="1"/>
  <c r="U3049" i="3"/>
  <c r="V3049" i="3" s="1"/>
  <c r="W3049" i="3"/>
  <c r="X3049" i="3"/>
  <c r="S3050" i="3"/>
  <c r="T3050" i="3" s="1"/>
  <c r="U3050" i="3"/>
  <c r="V3050" i="3" s="1"/>
  <c r="W3050" i="3"/>
  <c r="X3050" i="3"/>
  <c r="S3051" i="3"/>
  <c r="T3051" i="3" s="1"/>
  <c r="U3051" i="3"/>
  <c r="V3051" i="3" s="1"/>
  <c r="W3051" i="3"/>
  <c r="X3051" i="3"/>
  <c r="S3052" i="3"/>
  <c r="T3052" i="3" s="1"/>
  <c r="U3052" i="3"/>
  <c r="V3052" i="3" s="1"/>
  <c r="W3052" i="3"/>
  <c r="X3052" i="3"/>
  <c r="S3053" i="3"/>
  <c r="T3053" i="3" s="1"/>
  <c r="U3053" i="3"/>
  <c r="V3053" i="3" s="1"/>
  <c r="W3053" i="3"/>
  <c r="X3053" i="3"/>
  <c r="S3054" i="3"/>
  <c r="T3054" i="3" s="1"/>
  <c r="U3054" i="3"/>
  <c r="V3054" i="3" s="1"/>
  <c r="W3054" i="3"/>
  <c r="X3054" i="3"/>
  <c r="S3055" i="3"/>
  <c r="T3055" i="3" s="1"/>
  <c r="U3055" i="3"/>
  <c r="V3055" i="3" s="1"/>
  <c r="W3055" i="3"/>
  <c r="X3055" i="3"/>
  <c r="S3056" i="3"/>
  <c r="T3056" i="3" s="1"/>
  <c r="U3056" i="3"/>
  <c r="V3056" i="3" s="1"/>
  <c r="W3056" i="3"/>
  <c r="X3056" i="3"/>
  <c r="S3057" i="3"/>
  <c r="T3057" i="3" s="1"/>
  <c r="U3057" i="3"/>
  <c r="V3057" i="3" s="1"/>
  <c r="W3057" i="3"/>
  <c r="X3057" i="3"/>
  <c r="S3058" i="3"/>
  <c r="T3058" i="3" s="1"/>
  <c r="U3058" i="3"/>
  <c r="V3058" i="3" s="1"/>
  <c r="W3058" i="3"/>
  <c r="X3058" i="3"/>
  <c r="S3059" i="3"/>
  <c r="T3059" i="3" s="1"/>
  <c r="U3059" i="3"/>
  <c r="V3059" i="3" s="1"/>
  <c r="W3059" i="3"/>
  <c r="X3059" i="3"/>
  <c r="S3060" i="3"/>
  <c r="T3060" i="3" s="1"/>
  <c r="U3060" i="3"/>
  <c r="V3060" i="3" s="1"/>
  <c r="W3060" i="3"/>
  <c r="X3060" i="3"/>
  <c r="S3061" i="3"/>
  <c r="T3061" i="3" s="1"/>
  <c r="U3061" i="3"/>
  <c r="V3061" i="3" s="1"/>
  <c r="W3061" i="3"/>
  <c r="X3061" i="3"/>
  <c r="S3062" i="3"/>
  <c r="T3062" i="3" s="1"/>
  <c r="U3062" i="3"/>
  <c r="V3062" i="3" s="1"/>
  <c r="W3062" i="3"/>
  <c r="X3062" i="3"/>
  <c r="S3063" i="3"/>
  <c r="T3063" i="3" s="1"/>
  <c r="U3063" i="3"/>
  <c r="V3063" i="3" s="1"/>
  <c r="W3063" i="3"/>
  <c r="X3063" i="3"/>
  <c r="S3064" i="3"/>
  <c r="T3064" i="3" s="1"/>
  <c r="U3064" i="3"/>
  <c r="V3064" i="3" s="1"/>
  <c r="W3064" i="3"/>
  <c r="X3064" i="3"/>
  <c r="S3065" i="3"/>
  <c r="T3065" i="3" s="1"/>
  <c r="U3065" i="3"/>
  <c r="V3065" i="3" s="1"/>
  <c r="W3065" i="3"/>
  <c r="X3065" i="3"/>
  <c r="S3066" i="3"/>
  <c r="T3066" i="3" s="1"/>
  <c r="U3066" i="3"/>
  <c r="V3066" i="3" s="1"/>
  <c r="W3066" i="3"/>
  <c r="X3066" i="3"/>
  <c r="S3067" i="3"/>
  <c r="T3067" i="3" s="1"/>
  <c r="U3067" i="3"/>
  <c r="V3067" i="3" s="1"/>
  <c r="W3067" i="3"/>
  <c r="X3067" i="3"/>
  <c r="S3068" i="3"/>
  <c r="T3068" i="3" s="1"/>
  <c r="U3068" i="3"/>
  <c r="V3068" i="3" s="1"/>
  <c r="W3068" i="3"/>
  <c r="X3068" i="3"/>
  <c r="S3069" i="3"/>
  <c r="T3069" i="3" s="1"/>
  <c r="U3069" i="3"/>
  <c r="V3069" i="3" s="1"/>
  <c r="W3069" i="3"/>
  <c r="X3069" i="3"/>
  <c r="S3070" i="3"/>
  <c r="T3070" i="3" s="1"/>
  <c r="U3070" i="3"/>
  <c r="V3070" i="3" s="1"/>
  <c r="W3070" i="3"/>
  <c r="X3070" i="3"/>
  <c r="S3071" i="3"/>
  <c r="T3071" i="3" s="1"/>
  <c r="U3071" i="3"/>
  <c r="V3071" i="3" s="1"/>
  <c r="W3071" i="3"/>
  <c r="X3071" i="3"/>
  <c r="S3072" i="3"/>
  <c r="T3072" i="3" s="1"/>
  <c r="U3072" i="3"/>
  <c r="V3072" i="3" s="1"/>
  <c r="W3072" i="3"/>
  <c r="X3072" i="3"/>
  <c r="S3073" i="3"/>
  <c r="T3073" i="3" s="1"/>
  <c r="U3073" i="3"/>
  <c r="V3073" i="3" s="1"/>
  <c r="W3073" i="3"/>
  <c r="X3073" i="3"/>
  <c r="S3074" i="3"/>
  <c r="T3074" i="3" s="1"/>
  <c r="U3074" i="3"/>
  <c r="V3074" i="3" s="1"/>
  <c r="W3074" i="3"/>
  <c r="X3074" i="3"/>
  <c r="S3075" i="3"/>
  <c r="T3075" i="3" s="1"/>
  <c r="U3075" i="3"/>
  <c r="V3075" i="3" s="1"/>
  <c r="W3075" i="3"/>
  <c r="X3075" i="3"/>
  <c r="S3076" i="3"/>
  <c r="T3076" i="3" s="1"/>
  <c r="U3076" i="3"/>
  <c r="V3076" i="3" s="1"/>
  <c r="W3076" i="3"/>
  <c r="X3076" i="3"/>
  <c r="S3077" i="3"/>
  <c r="T3077" i="3" s="1"/>
  <c r="U3077" i="3"/>
  <c r="V3077" i="3" s="1"/>
  <c r="W3077" i="3"/>
  <c r="X3077" i="3"/>
  <c r="S3078" i="3"/>
  <c r="T3078" i="3" s="1"/>
  <c r="U3078" i="3"/>
  <c r="V3078" i="3" s="1"/>
  <c r="W3078" i="3"/>
  <c r="X3078" i="3"/>
  <c r="S3079" i="3"/>
  <c r="T3079" i="3" s="1"/>
  <c r="U3079" i="3"/>
  <c r="V3079" i="3" s="1"/>
  <c r="W3079" i="3"/>
  <c r="X3079" i="3"/>
  <c r="S3080" i="3"/>
  <c r="T3080" i="3" s="1"/>
  <c r="U3080" i="3"/>
  <c r="V3080" i="3" s="1"/>
  <c r="W3080" i="3"/>
  <c r="X3080" i="3"/>
  <c r="S3081" i="3"/>
  <c r="T3081" i="3" s="1"/>
  <c r="U3081" i="3"/>
  <c r="V3081" i="3" s="1"/>
  <c r="W3081" i="3"/>
  <c r="X3081" i="3"/>
  <c r="S3082" i="3"/>
  <c r="T3082" i="3" s="1"/>
  <c r="U3082" i="3"/>
  <c r="V3082" i="3" s="1"/>
  <c r="W3082" i="3"/>
  <c r="X3082" i="3"/>
  <c r="S3083" i="3"/>
  <c r="T3083" i="3" s="1"/>
  <c r="U3083" i="3"/>
  <c r="V3083" i="3" s="1"/>
  <c r="W3083" i="3"/>
  <c r="X3083" i="3"/>
  <c r="S3084" i="3"/>
  <c r="T3084" i="3" s="1"/>
  <c r="U3084" i="3"/>
  <c r="V3084" i="3" s="1"/>
  <c r="W3084" i="3"/>
  <c r="X3084" i="3"/>
  <c r="S3085" i="3"/>
  <c r="T3085" i="3" s="1"/>
  <c r="U3085" i="3"/>
  <c r="V3085" i="3" s="1"/>
  <c r="W3085" i="3"/>
  <c r="X3085" i="3"/>
  <c r="S3086" i="3"/>
  <c r="T3086" i="3" s="1"/>
  <c r="U3086" i="3"/>
  <c r="V3086" i="3" s="1"/>
  <c r="W3086" i="3"/>
  <c r="X3086" i="3"/>
  <c r="S3087" i="3"/>
  <c r="T3087" i="3" s="1"/>
  <c r="U3087" i="3"/>
  <c r="V3087" i="3" s="1"/>
  <c r="W3087" i="3"/>
  <c r="X3087" i="3"/>
  <c r="S3088" i="3"/>
  <c r="T3088" i="3" s="1"/>
  <c r="U3088" i="3"/>
  <c r="V3088" i="3" s="1"/>
  <c r="W3088" i="3"/>
  <c r="X3088" i="3"/>
  <c r="S3089" i="3"/>
  <c r="T3089" i="3" s="1"/>
  <c r="U3089" i="3"/>
  <c r="V3089" i="3" s="1"/>
  <c r="W3089" i="3"/>
  <c r="X3089" i="3"/>
  <c r="S3090" i="3"/>
  <c r="T3090" i="3" s="1"/>
  <c r="U3090" i="3"/>
  <c r="V3090" i="3" s="1"/>
  <c r="W3090" i="3"/>
  <c r="X3090" i="3"/>
  <c r="S3091" i="3"/>
  <c r="T3091" i="3" s="1"/>
  <c r="U3091" i="3"/>
  <c r="V3091" i="3" s="1"/>
  <c r="W3091" i="3"/>
  <c r="X3091" i="3"/>
  <c r="S3092" i="3"/>
  <c r="T3092" i="3" s="1"/>
  <c r="U3092" i="3"/>
  <c r="V3092" i="3" s="1"/>
  <c r="W3092" i="3"/>
  <c r="X3092" i="3"/>
  <c r="S3093" i="3"/>
  <c r="T3093" i="3" s="1"/>
  <c r="U3093" i="3"/>
  <c r="V3093" i="3" s="1"/>
  <c r="W3093" i="3"/>
  <c r="X3093" i="3"/>
  <c r="S3094" i="3"/>
  <c r="T3094" i="3" s="1"/>
  <c r="U3094" i="3"/>
  <c r="V3094" i="3" s="1"/>
  <c r="W3094" i="3"/>
  <c r="X3094" i="3"/>
  <c r="S3095" i="3"/>
  <c r="T3095" i="3" s="1"/>
  <c r="U3095" i="3"/>
  <c r="V3095" i="3" s="1"/>
  <c r="W3095" i="3"/>
  <c r="X3095" i="3"/>
  <c r="S3096" i="3"/>
  <c r="T3096" i="3" s="1"/>
  <c r="U3096" i="3"/>
  <c r="V3096" i="3" s="1"/>
  <c r="W3096" i="3"/>
  <c r="X3096" i="3"/>
  <c r="S3097" i="3"/>
  <c r="T3097" i="3" s="1"/>
  <c r="U3097" i="3"/>
  <c r="V3097" i="3" s="1"/>
  <c r="W3097" i="3"/>
  <c r="X3097" i="3"/>
  <c r="S3098" i="3"/>
  <c r="T3098" i="3" s="1"/>
  <c r="U3098" i="3"/>
  <c r="V3098" i="3" s="1"/>
  <c r="W3098" i="3"/>
  <c r="X3098" i="3"/>
  <c r="S3099" i="3"/>
  <c r="T3099" i="3" s="1"/>
  <c r="U3099" i="3"/>
  <c r="V3099" i="3" s="1"/>
  <c r="W3099" i="3"/>
  <c r="X3099" i="3"/>
  <c r="S3100" i="3"/>
  <c r="T3100" i="3" s="1"/>
  <c r="U3100" i="3"/>
  <c r="V3100" i="3" s="1"/>
  <c r="W3100" i="3"/>
  <c r="X3100" i="3"/>
  <c r="S3101" i="3"/>
  <c r="T3101" i="3" s="1"/>
  <c r="U3101" i="3"/>
  <c r="V3101" i="3" s="1"/>
  <c r="W3101" i="3"/>
  <c r="X3101" i="3"/>
  <c r="S3102" i="3"/>
  <c r="T3102" i="3" s="1"/>
  <c r="U3102" i="3"/>
  <c r="V3102" i="3" s="1"/>
  <c r="W3102" i="3"/>
  <c r="X3102" i="3"/>
  <c r="S3103" i="3"/>
  <c r="T3103" i="3" s="1"/>
  <c r="U3103" i="3"/>
  <c r="V3103" i="3" s="1"/>
  <c r="W3103" i="3"/>
  <c r="X3103" i="3"/>
  <c r="S3104" i="3"/>
  <c r="T3104" i="3" s="1"/>
  <c r="U3104" i="3"/>
  <c r="V3104" i="3" s="1"/>
  <c r="W3104" i="3"/>
  <c r="X3104" i="3"/>
  <c r="S3105" i="3"/>
  <c r="T3105" i="3" s="1"/>
  <c r="U3105" i="3"/>
  <c r="V3105" i="3" s="1"/>
  <c r="W3105" i="3"/>
  <c r="X3105" i="3"/>
  <c r="S3106" i="3"/>
  <c r="T3106" i="3" s="1"/>
  <c r="U3106" i="3"/>
  <c r="V3106" i="3" s="1"/>
  <c r="W3106" i="3"/>
  <c r="X3106" i="3"/>
  <c r="S3107" i="3"/>
  <c r="T3107" i="3" s="1"/>
  <c r="U3107" i="3"/>
  <c r="V3107" i="3" s="1"/>
  <c r="W3107" i="3"/>
  <c r="X3107" i="3"/>
  <c r="S3108" i="3"/>
  <c r="T3108" i="3" s="1"/>
  <c r="U3108" i="3"/>
  <c r="V3108" i="3" s="1"/>
  <c r="W3108" i="3"/>
  <c r="X3108" i="3"/>
  <c r="S3109" i="3"/>
  <c r="T3109" i="3" s="1"/>
  <c r="U3109" i="3"/>
  <c r="V3109" i="3" s="1"/>
  <c r="W3109" i="3"/>
  <c r="X3109" i="3"/>
  <c r="S3110" i="3"/>
  <c r="T3110" i="3" s="1"/>
  <c r="U3110" i="3"/>
  <c r="V3110" i="3" s="1"/>
  <c r="W3110" i="3"/>
  <c r="X3110" i="3"/>
  <c r="S3111" i="3"/>
  <c r="T3111" i="3" s="1"/>
  <c r="U3111" i="3"/>
  <c r="V3111" i="3" s="1"/>
  <c r="W3111" i="3"/>
  <c r="X3111" i="3"/>
  <c r="S3112" i="3"/>
  <c r="T3112" i="3" s="1"/>
  <c r="U3112" i="3"/>
  <c r="V3112" i="3" s="1"/>
  <c r="W3112" i="3"/>
  <c r="X3112" i="3"/>
  <c r="S3113" i="3"/>
  <c r="T3113" i="3" s="1"/>
  <c r="U3113" i="3"/>
  <c r="V3113" i="3" s="1"/>
  <c r="W3113" i="3"/>
  <c r="X3113" i="3"/>
  <c r="S3114" i="3"/>
  <c r="T3114" i="3" s="1"/>
  <c r="U3114" i="3"/>
  <c r="V3114" i="3" s="1"/>
  <c r="W3114" i="3"/>
  <c r="X3114" i="3"/>
  <c r="S3115" i="3"/>
  <c r="T3115" i="3" s="1"/>
  <c r="U3115" i="3"/>
  <c r="V3115" i="3" s="1"/>
  <c r="W3115" i="3"/>
  <c r="X3115" i="3"/>
  <c r="S3116" i="3"/>
  <c r="T3116" i="3" s="1"/>
  <c r="U3116" i="3"/>
  <c r="V3116" i="3" s="1"/>
  <c r="W3116" i="3"/>
  <c r="X3116" i="3"/>
  <c r="S3117" i="3"/>
  <c r="T3117" i="3" s="1"/>
  <c r="U3117" i="3"/>
  <c r="V3117" i="3" s="1"/>
  <c r="W3117" i="3"/>
  <c r="X3117" i="3"/>
  <c r="S3118" i="3"/>
  <c r="T3118" i="3" s="1"/>
  <c r="U3118" i="3"/>
  <c r="V3118" i="3" s="1"/>
  <c r="W3118" i="3"/>
  <c r="X3118" i="3"/>
  <c r="S3119" i="3"/>
  <c r="T3119" i="3" s="1"/>
  <c r="U3119" i="3"/>
  <c r="V3119" i="3" s="1"/>
  <c r="W3119" i="3"/>
  <c r="X3119" i="3"/>
  <c r="S3120" i="3"/>
  <c r="T3120" i="3" s="1"/>
  <c r="U3120" i="3"/>
  <c r="V3120" i="3" s="1"/>
  <c r="W3120" i="3"/>
  <c r="X3120" i="3"/>
  <c r="S3121" i="3"/>
  <c r="T3121" i="3" s="1"/>
  <c r="U3121" i="3"/>
  <c r="V3121" i="3" s="1"/>
  <c r="W3121" i="3"/>
  <c r="X3121" i="3"/>
  <c r="S3122" i="3"/>
  <c r="T3122" i="3" s="1"/>
  <c r="U3122" i="3"/>
  <c r="V3122" i="3" s="1"/>
  <c r="W3122" i="3"/>
  <c r="X3122" i="3"/>
  <c r="S3123" i="3"/>
  <c r="T3123" i="3" s="1"/>
  <c r="U3123" i="3"/>
  <c r="V3123" i="3" s="1"/>
  <c r="W3123" i="3"/>
  <c r="X3123" i="3"/>
  <c r="S3124" i="3"/>
  <c r="T3124" i="3" s="1"/>
  <c r="U3124" i="3"/>
  <c r="V3124" i="3" s="1"/>
  <c r="W3124" i="3"/>
  <c r="X3124" i="3"/>
  <c r="S3125" i="3"/>
  <c r="T3125" i="3" s="1"/>
  <c r="U3125" i="3"/>
  <c r="V3125" i="3" s="1"/>
  <c r="W3125" i="3"/>
  <c r="X3125" i="3"/>
  <c r="S3126" i="3"/>
  <c r="T3126" i="3" s="1"/>
  <c r="U3126" i="3"/>
  <c r="V3126" i="3" s="1"/>
  <c r="W3126" i="3"/>
  <c r="X3126" i="3"/>
  <c r="S3127" i="3"/>
  <c r="T3127" i="3" s="1"/>
  <c r="U3127" i="3"/>
  <c r="V3127" i="3" s="1"/>
  <c r="W3127" i="3"/>
  <c r="X3127" i="3"/>
  <c r="S3128" i="3"/>
  <c r="T3128" i="3" s="1"/>
  <c r="U3128" i="3"/>
  <c r="V3128" i="3" s="1"/>
  <c r="W3128" i="3"/>
  <c r="X3128" i="3"/>
  <c r="S3129" i="3"/>
  <c r="T3129" i="3" s="1"/>
  <c r="U3129" i="3"/>
  <c r="V3129" i="3" s="1"/>
  <c r="W3129" i="3"/>
  <c r="X3129" i="3"/>
  <c r="S3130" i="3"/>
  <c r="T3130" i="3" s="1"/>
  <c r="U3130" i="3"/>
  <c r="V3130" i="3" s="1"/>
  <c r="W3130" i="3"/>
  <c r="X3130" i="3"/>
  <c r="S3131" i="3"/>
  <c r="T3131" i="3" s="1"/>
  <c r="U3131" i="3"/>
  <c r="V3131" i="3" s="1"/>
  <c r="W3131" i="3"/>
  <c r="X3131" i="3"/>
  <c r="S3132" i="3"/>
  <c r="T3132" i="3" s="1"/>
  <c r="U3132" i="3"/>
  <c r="V3132" i="3" s="1"/>
  <c r="W3132" i="3"/>
  <c r="X3132" i="3"/>
  <c r="S3133" i="3"/>
  <c r="T3133" i="3" s="1"/>
  <c r="U3133" i="3"/>
  <c r="V3133" i="3" s="1"/>
  <c r="W3133" i="3"/>
  <c r="X3133" i="3"/>
  <c r="S3134" i="3"/>
  <c r="T3134" i="3" s="1"/>
  <c r="U3134" i="3"/>
  <c r="V3134" i="3" s="1"/>
  <c r="W3134" i="3"/>
  <c r="X3134" i="3"/>
  <c r="S3135" i="3"/>
  <c r="T3135" i="3" s="1"/>
  <c r="U3135" i="3"/>
  <c r="V3135" i="3" s="1"/>
  <c r="W3135" i="3"/>
  <c r="X3135" i="3"/>
  <c r="S3136" i="3"/>
  <c r="T3136" i="3" s="1"/>
  <c r="U3136" i="3"/>
  <c r="V3136" i="3" s="1"/>
  <c r="W3136" i="3"/>
  <c r="X3136" i="3"/>
  <c r="S3137" i="3"/>
  <c r="T3137" i="3" s="1"/>
  <c r="U3137" i="3"/>
  <c r="V3137" i="3" s="1"/>
  <c r="W3137" i="3"/>
  <c r="X3137" i="3"/>
  <c r="S3138" i="3"/>
  <c r="T3138" i="3" s="1"/>
  <c r="U3138" i="3"/>
  <c r="V3138" i="3" s="1"/>
  <c r="W3138" i="3"/>
  <c r="X3138" i="3"/>
  <c r="S3139" i="3"/>
  <c r="T3139" i="3" s="1"/>
  <c r="U3139" i="3"/>
  <c r="V3139" i="3" s="1"/>
  <c r="W3139" i="3"/>
  <c r="X3139" i="3"/>
  <c r="S3140" i="3"/>
  <c r="T3140" i="3" s="1"/>
  <c r="U3140" i="3"/>
  <c r="V3140" i="3" s="1"/>
  <c r="W3140" i="3"/>
  <c r="X3140" i="3"/>
  <c r="S3141" i="3"/>
  <c r="T3141" i="3" s="1"/>
  <c r="U3141" i="3"/>
  <c r="V3141" i="3" s="1"/>
  <c r="W3141" i="3"/>
  <c r="X3141" i="3"/>
  <c r="S3142" i="3"/>
  <c r="T3142" i="3" s="1"/>
  <c r="U3142" i="3"/>
  <c r="V3142" i="3" s="1"/>
  <c r="W3142" i="3"/>
  <c r="X3142" i="3"/>
  <c r="S3143" i="3"/>
  <c r="T3143" i="3" s="1"/>
  <c r="U3143" i="3"/>
  <c r="V3143" i="3" s="1"/>
  <c r="W3143" i="3"/>
  <c r="X3143" i="3"/>
  <c r="S3144" i="3"/>
  <c r="T3144" i="3" s="1"/>
  <c r="U3144" i="3"/>
  <c r="V3144" i="3" s="1"/>
  <c r="W3144" i="3"/>
  <c r="X3144" i="3"/>
  <c r="S3145" i="3"/>
  <c r="T3145" i="3" s="1"/>
  <c r="U3145" i="3"/>
  <c r="V3145" i="3" s="1"/>
  <c r="W3145" i="3"/>
  <c r="X3145" i="3"/>
  <c r="S3146" i="3"/>
  <c r="T3146" i="3" s="1"/>
  <c r="U3146" i="3"/>
  <c r="V3146" i="3" s="1"/>
  <c r="W3146" i="3"/>
  <c r="X3146" i="3"/>
  <c r="S3147" i="3"/>
  <c r="T3147" i="3" s="1"/>
  <c r="U3147" i="3"/>
  <c r="V3147" i="3" s="1"/>
  <c r="W3147" i="3"/>
  <c r="X3147" i="3"/>
  <c r="S3148" i="3"/>
  <c r="T3148" i="3" s="1"/>
  <c r="U3148" i="3"/>
  <c r="V3148" i="3" s="1"/>
  <c r="W3148" i="3"/>
  <c r="X3148" i="3"/>
  <c r="S3149" i="3"/>
  <c r="T3149" i="3" s="1"/>
  <c r="U3149" i="3"/>
  <c r="V3149" i="3" s="1"/>
  <c r="W3149" i="3"/>
  <c r="X3149" i="3"/>
  <c r="S3150" i="3"/>
  <c r="T3150" i="3" s="1"/>
  <c r="U3150" i="3"/>
  <c r="V3150" i="3" s="1"/>
  <c r="W3150" i="3"/>
  <c r="X3150" i="3"/>
  <c r="S3151" i="3"/>
  <c r="T3151" i="3" s="1"/>
  <c r="U3151" i="3"/>
  <c r="V3151" i="3" s="1"/>
  <c r="W3151" i="3"/>
  <c r="X3151" i="3"/>
  <c r="S3152" i="3"/>
  <c r="T3152" i="3" s="1"/>
  <c r="U3152" i="3"/>
  <c r="V3152" i="3" s="1"/>
  <c r="W3152" i="3"/>
  <c r="X3152" i="3"/>
  <c r="S3153" i="3"/>
  <c r="T3153" i="3" s="1"/>
  <c r="U3153" i="3"/>
  <c r="V3153" i="3" s="1"/>
  <c r="W3153" i="3"/>
  <c r="X3153" i="3"/>
  <c r="S3154" i="3"/>
  <c r="T3154" i="3" s="1"/>
  <c r="U3154" i="3"/>
  <c r="V3154" i="3" s="1"/>
  <c r="W3154" i="3"/>
  <c r="X3154" i="3"/>
  <c r="S3155" i="3"/>
  <c r="T3155" i="3" s="1"/>
  <c r="U3155" i="3"/>
  <c r="V3155" i="3" s="1"/>
  <c r="W3155" i="3"/>
  <c r="X3155" i="3"/>
  <c r="S3156" i="3"/>
  <c r="T3156" i="3" s="1"/>
  <c r="U3156" i="3"/>
  <c r="V3156" i="3" s="1"/>
  <c r="W3156" i="3"/>
  <c r="X3156" i="3"/>
  <c r="S3157" i="3"/>
  <c r="T3157" i="3" s="1"/>
  <c r="U3157" i="3"/>
  <c r="V3157" i="3" s="1"/>
  <c r="W3157" i="3"/>
  <c r="X3157" i="3"/>
  <c r="S3158" i="3"/>
  <c r="T3158" i="3" s="1"/>
  <c r="U3158" i="3"/>
  <c r="V3158" i="3" s="1"/>
  <c r="W3158" i="3"/>
  <c r="X3158" i="3"/>
  <c r="S3159" i="3"/>
  <c r="T3159" i="3" s="1"/>
  <c r="U3159" i="3"/>
  <c r="V3159" i="3" s="1"/>
  <c r="W3159" i="3"/>
  <c r="X3159" i="3"/>
  <c r="S3160" i="3"/>
  <c r="T3160" i="3" s="1"/>
  <c r="U3160" i="3"/>
  <c r="V3160" i="3" s="1"/>
  <c r="W3160" i="3"/>
  <c r="X3160" i="3"/>
  <c r="S3161" i="3"/>
  <c r="T3161" i="3" s="1"/>
  <c r="U3161" i="3"/>
  <c r="V3161" i="3" s="1"/>
  <c r="W3161" i="3"/>
  <c r="X3161" i="3"/>
  <c r="S3162" i="3"/>
  <c r="T3162" i="3" s="1"/>
  <c r="U3162" i="3"/>
  <c r="V3162" i="3" s="1"/>
  <c r="W3162" i="3"/>
  <c r="X3162" i="3"/>
  <c r="S3163" i="3"/>
  <c r="T3163" i="3" s="1"/>
  <c r="U3163" i="3"/>
  <c r="V3163" i="3" s="1"/>
  <c r="W3163" i="3"/>
  <c r="X3163" i="3"/>
  <c r="S3164" i="3"/>
  <c r="T3164" i="3" s="1"/>
  <c r="U3164" i="3"/>
  <c r="V3164" i="3" s="1"/>
  <c r="W3164" i="3"/>
  <c r="X3164" i="3"/>
  <c r="S3165" i="3"/>
  <c r="T3165" i="3" s="1"/>
  <c r="U3165" i="3"/>
  <c r="V3165" i="3" s="1"/>
  <c r="W3165" i="3"/>
  <c r="X3165" i="3"/>
  <c r="S3166" i="3"/>
  <c r="T3166" i="3" s="1"/>
  <c r="U3166" i="3"/>
  <c r="V3166" i="3" s="1"/>
  <c r="W3166" i="3"/>
  <c r="X3166" i="3"/>
  <c r="S3167" i="3"/>
  <c r="T3167" i="3" s="1"/>
  <c r="U3167" i="3"/>
  <c r="V3167" i="3" s="1"/>
  <c r="W3167" i="3"/>
  <c r="X3167" i="3"/>
  <c r="S3168" i="3"/>
  <c r="T3168" i="3" s="1"/>
  <c r="U3168" i="3"/>
  <c r="V3168" i="3" s="1"/>
  <c r="W3168" i="3"/>
  <c r="X3168" i="3"/>
  <c r="S3169" i="3"/>
  <c r="T3169" i="3" s="1"/>
  <c r="U3169" i="3"/>
  <c r="V3169" i="3" s="1"/>
  <c r="W3169" i="3"/>
  <c r="X3169" i="3"/>
  <c r="S3170" i="3"/>
  <c r="T3170" i="3" s="1"/>
  <c r="U3170" i="3"/>
  <c r="V3170" i="3" s="1"/>
  <c r="W3170" i="3"/>
  <c r="X3170" i="3"/>
  <c r="S3171" i="3"/>
  <c r="T3171" i="3" s="1"/>
  <c r="U3171" i="3"/>
  <c r="V3171" i="3" s="1"/>
  <c r="W3171" i="3"/>
  <c r="X3171" i="3"/>
  <c r="S3172" i="3"/>
  <c r="T3172" i="3" s="1"/>
  <c r="U3172" i="3"/>
  <c r="V3172" i="3" s="1"/>
  <c r="W3172" i="3"/>
  <c r="X3172" i="3"/>
  <c r="S3173" i="3"/>
  <c r="T3173" i="3" s="1"/>
  <c r="U3173" i="3"/>
  <c r="V3173" i="3" s="1"/>
  <c r="W3173" i="3"/>
  <c r="X3173" i="3"/>
  <c r="S3174" i="3"/>
  <c r="T3174" i="3" s="1"/>
  <c r="U3174" i="3"/>
  <c r="V3174" i="3" s="1"/>
  <c r="W3174" i="3"/>
  <c r="X3174" i="3"/>
  <c r="S3175" i="3"/>
  <c r="T3175" i="3" s="1"/>
  <c r="U3175" i="3"/>
  <c r="V3175" i="3" s="1"/>
  <c r="W3175" i="3"/>
  <c r="X3175" i="3"/>
  <c r="S3176" i="3"/>
  <c r="T3176" i="3" s="1"/>
  <c r="U3176" i="3"/>
  <c r="V3176" i="3" s="1"/>
  <c r="W3176" i="3"/>
  <c r="X3176" i="3"/>
  <c r="S3177" i="3"/>
  <c r="T3177" i="3" s="1"/>
  <c r="U3177" i="3"/>
  <c r="V3177" i="3" s="1"/>
  <c r="W3177" i="3"/>
  <c r="X3177" i="3"/>
  <c r="S3178" i="3"/>
  <c r="T3178" i="3" s="1"/>
  <c r="U3178" i="3"/>
  <c r="V3178" i="3" s="1"/>
  <c r="W3178" i="3"/>
  <c r="X3178" i="3"/>
  <c r="S3179" i="3"/>
  <c r="T3179" i="3" s="1"/>
  <c r="U3179" i="3"/>
  <c r="V3179" i="3" s="1"/>
  <c r="W3179" i="3"/>
  <c r="X3179" i="3"/>
  <c r="S3180" i="3"/>
  <c r="T3180" i="3" s="1"/>
  <c r="U3180" i="3"/>
  <c r="V3180" i="3" s="1"/>
  <c r="W3180" i="3"/>
  <c r="X3180" i="3"/>
  <c r="S3181" i="3"/>
  <c r="T3181" i="3" s="1"/>
  <c r="U3181" i="3"/>
  <c r="V3181" i="3" s="1"/>
  <c r="W3181" i="3"/>
  <c r="X3181" i="3"/>
  <c r="S3182" i="3"/>
  <c r="T3182" i="3" s="1"/>
  <c r="U3182" i="3"/>
  <c r="V3182" i="3" s="1"/>
  <c r="W3182" i="3"/>
  <c r="X3182" i="3"/>
  <c r="S3183" i="3"/>
  <c r="T3183" i="3" s="1"/>
  <c r="U3183" i="3"/>
  <c r="V3183" i="3" s="1"/>
  <c r="W3183" i="3"/>
  <c r="X3183" i="3"/>
  <c r="S3184" i="3"/>
  <c r="T3184" i="3" s="1"/>
  <c r="U3184" i="3"/>
  <c r="V3184" i="3" s="1"/>
  <c r="W3184" i="3"/>
  <c r="X3184" i="3"/>
  <c r="S3185" i="3"/>
  <c r="T3185" i="3" s="1"/>
  <c r="U3185" i="3"/>
  <c r="V3185" i="3" s="1"/>
  <c r="W3185" i="3"/>
  <c r="X3185" i="3"/>
  <c r="S3186" i="3"/>
  <c r="T3186" i="3" s="1"/>
  <c r="U3186" i="3"/>
  <c r="V3186" i="3" s="1"/>
  <c r="W3186" i="3"/>
  <c r="X3186" i="3"/>
  <c r="S3187" i="3"/>
  <c r="T3187" i="3" s="1"/>
  <c r="U3187" i="3"/>
  <c r="V3187" i="3" s="1"/>
  <c r="W3187" i="3"/>
  <c r="X3187" i="3"/>
  <c r="S3188" i="3"/>
  <c r="T3188" i="3" s="1"/>
  <c r="U3188" i="3"/>
  <c r="V3188" i="3" s="1"/>
  <c r="W3188" i="3"/>
  <c r="X3188" i="3"/>
  <c r="S3189" i="3"/>
  <c r="T3189" i="3" s="1"/>
  <c r="U3189" i="3"/>
  <c r="V3189" i="3" s="1"/>
  <c r="W3189" i="3"/>
  <c r="X3189" i="3"/>
  <c r="S3190" i="3"/>
  <c r="T3190" i="3" s="1"/>
  <c r="U3190" i="3"/>
  <c r="V3190" i="3" s="1"/>
  <c r="W3190" i="3"/>
  <c r="X3190" i="3"/>
  <c r="S3191" i="3"/>
  <c r="T3191" i="3" s="1"/>
  <c r="U3191" i="3"/>
  <c r="V3191" i="3" s="1"/>
  <c r="W3191" i="3"/>
  <c r="X3191" i="3"/>
  <c r="S3192" i="3"/>
  <c r="T3192" i="3" s="1"/>
  <c r="U3192" i="3"/>
  <c r="V3192" i="3" s="1"/>
  <c r="W3192" i="3"/>
  <c r="X3192" i="3"/>
  <c r="S3193" i="3"/>
  <c r="T3193" i="3" s="1"/>
  <c r="U3193" i="3"/>
  <c r="V3193" i="3" s="1"/>
  <c r="W3193" i="3"/>
  <c r="X3193" i="3"/>
  <c r="S3194" i="3"/>
  <c r="T3194" i="3" s="1"/>
  <c r="U3194" i="3"/>
  <c r="V3194" i="3" s="1"/>
  <c r="W3194" i="3"/>
  <c r="X3194" i="3"/>
  <c r="S3195" i="3"/>
  <c r="T3195" i="3" s="1"/>
  <c r="U3195" i="3"/>
  <c r="V3195" i="3" s="1"/>
  <c r="W3195" i="3"/>
  <c r="X3195" i="3"/>
  <c r="S3196" i="3"/>
  <c r="T3196" i="3" s="1"/>
  <c r="U3196" i="3"/>
  <c r="V3196" i="3" s="1"/>
  <c r="W3196" i="3"/>
  <c r="X3196" i="3"/>
  <c r="S3197" i="3"/>
  <c r="T3197" i="3" s="1"/>
  <c r="U3197" i="3"/>
  <c r="V3197" i="3" s="1"/>
  <c r="W3197" i="3"/>
  <c r="X3197" i="3"/>
  <c r="S3198" i="3"/>
  <c r="T3198" i="3" s="1"/>
  <c r="U3198" i="3"/>
  <c r="V3198" i="3" s="1"/>
  <c r="W3198" i="3"/>
  <c r="X3198" i="3"/>
  <c r="S3199" i="3"/>
  <c r="T3199" i="3" s="1"/>
  <c r="U3199" i="3"/>
  <c r="V3199" i="3" s="1"/>
  <c r="W3199" i="3"/>
  <c r="X3199" i="3"/>
  <c r="S3200" i="3"/>
  <c r="T3200" i="3" s="1"/>
  <c r="U3200" i="3"/>
  <c r="V3200" i="3" s="1"/>
  <c r="W3200" i="3"/>
  <c r="X3200" i="3"/>
  <c r="S3201" i="3"/>
  <c r="T3201" i="3" s="1"/>
  <c r="U3201" i="3"/>
  <c r="V3201" i="3" s="1"/>
  <c r="W3201" i="3"/>
  <c r="X3201" i="3"/>
  <c r="S3202" i="3"/>
  <c r="T3202" i="3" s="1"/>
  <c r="U3202" i="3"/>
  <c r="V3202" i="3" s="1"/>
  <c r="W3202" i="3"/>
  <c r="X3202" i="3"/>
  <c r="S3203" i="3"/>
  <c r="T3203" i="3" s="1"/>
  <c r="U3203" i="3"/>
  <c r="V3203" i="3" s="1"/>
  <c r="W3203" i="3"/>
  <c r="X3203" i="3"/>
  <c r="S3204" i="3"/>
  <c r="T3204" i="3" s="1"/>
  <c r="U3204" i="3"/>
  <c r="V3204" i="3" s="1"/>
  <c r="W3204" i="3"/>
  <c r="X3204" i="3"/>
  <c r="S3205" i="3"/>
  <c r="T3205" i="3" s="1"/>
  <c r="U3205" i="3"/>
  <c r="V3205" i="3" s="1"/>
  <c r="W3205" i="3"/>
  <c r="X3205" i="3"/>
  <c r="S3206" i="3"/>
  <c r="T3206" i="3" s="1"/>
  <c r="U3206" i="3"/>
  <c r="V3206" i="3" s="1"/>
  <c r="W3206" i="3"/>
  <c r="X3206" i="3"/>
  <c r="S3207" i="3"/>
  <c r="T3207" i="3" s="1"/>
  <c r="U3207" i="3"/>
  <c r="V3207" i="3" s="1"/>
  <c r="W3207" i="3"/>
  <c r="X3207" i="3"/>
  <c r="S3208" i="3"/>
  <c r="T3208" i="3" s="1"/>
  <c r="U3208" i="3"/>
  <c r="V3208" i="3" s="1"/>
  <c r="W3208" i="3"/>
  <c r="X3208" i="3"/>
  <c r="S3209" i="3"/>
  <c r="T3209" i="3" s="1"/>
  <c r="U3209" i="3"/>
  <c r="V3209" i="3" s="1"/>
  <c r="W3209" i="3"/>
  <c r="X3209" i="3"/>
  <c r="S3210" i="3"/>
  <c r="T3210" i="3" s="1"/>
  <c r="U3210" i="3"/>
  <c r="V3210" i="3" s="1"/>
  <c r="W3210" i="3"/>
  <c r="X3210" i="3"/>
  <c r="S3211" i="3"/>
  <c r="T3211" i="3" s="1"/>
  <c r="U3211" i="3"/>
  <c r="V3211" i="3" s="1"/>
  <c r="W3211" i="3"/>
  <c r="X3211" i="3"/>
  <c r="S3212" i="3"/>
  <c r="T3212" i="3" s="1"/>
  <c r="U3212" i="3"/>
  <c r="V3212" i="3" s="1"/>
  <c r="W3212" i="3"/>
  <c r="X3212" i="3"/>
  <c r="S3213" i="3"/>
  <c r="T3213" i="3" s="1"/>
  <c r="U3213" i="3"/>
  <c r="V3213" i="3" s="1"/>
  <c r="W3213" i="3"/>
  <c r="X3213" i="3"/>
  <c r="S3214" i="3"/>
  <c r="T3214" i="3" s="1"/>
  <c r="U3214" i="3"/>
  <c r="V3214" i="3" s="1"/>
  <c r="W3214" i="3"/>
  <c r="X3214" i="3"/>
  <c r="S3215" i="3"/>
  <c r="T3215" i="3" s="1"/>
  <c r="U3215" i="3"/>
  <c r="V3215" i="3" s="1"/>
  <c r="W3215" i="3"/>
  <c r="X3215" i="3"/>
  <c r="S3216" i="3"/>
  <c r="T3216" i="3" s="1"/>
  <c r="U3216" i="3"/>
  <c r="V3216" i="3" s="1"/>
  <c r="W3216" i="3"/>
  <c r="X3216" i="3"/>
  <c r="S3217" i="3"/>
  <c r="T3217" i="3" s="1"/>
  <c r="U3217" i="3"/>
  <c r="V3217" i="3" s="1"/>
  <c r="W3217" i="3"/>
  <c r="X3217" i="3"/>
  <c r="S3218" i="3"/>
  <c r="T3218" i="3" s="1"/>
  <c r="U3218" i="3"/>
  <c r="V3218" i="3" s="1"/>
  <c r="W3218" i="3"/>
  <c r="X3218" i="3"/>
  <c r="S3219" i="3"/>
  <c r="T3219" i="3" s="1"/>
  <c r="U3219" i="3"/>
  <c r="V3219" i="3" s="1"/>
  <c r="W3219" i="3"/>
  <c r="X3219" i="3"/>
  <c r="S3220" i="3"/>
  <c r="T3220" i="3" s="1"/>
  <c r="U3220" i="3"/>
  <c r="V3220" i="3" s="1"/>
  <c r="W3220" i="3"/>
  <c r="X3220" i="3"/>
  <c r="S3221" i="3"/>
  <c r="T3221" i="3" s="1"/>
  <c r="U3221" i="3"/>
  <c r="V3221" i="3" s="1"/>
  <c r="W3221" i="3"/>
  <c r="X3221" i="3"/>
  <c r="S3222" i="3"/>
  <c r="T3222" i="3" s="1"/>
  <c r="U3222" i="3"/>
  <c r="V3222" i="3" s="1"/>
  <c r="W3222" i="3"/>
  <c r="X3222" i="3"/>
  <c r="S3223" i="3"/>
  <c r="T3223" i="3" s="1"/>
  <c r="U3223" i="3"/>
  <c r="V3223" i="3" s="1"/>
  <c r="W3223" i="3"/>
  <c r="X3223" i="3"/>
  <c r="S3224" i="3"/>
  <c r="T3224" i="3" s="1"/>
  <c r="U3224" i="3"/>
  <c r="V3224" i="3" s="1"/>
  <c r="W3224" i="3"/>
  <c r="X3224" i="3"/>
  <c r="S3225" i="3"/>
  <c r="T3225" i="3" s="1"/>
  <c r="U3225" i="3"/>
  <c r="V3225" i="3" s="1"/>
  <c r="W3225" i="3"/>
  <c r="X3225" i="3"/>
  <c r="S3226" i="3"/>
  <c r="T3226" i="3" s="1"/>
  <c r="U3226" i="3"/>
  <c r="V3226" i="3" s="1"/>
  <c r="W3226" i="3"/>
  <c r="X3226" i="3"/>
  <c r="S3227" i="3"/>
  <c r="T3227" i="3" s="1"/>
  <c r="U3227" i="3"/>
  <c r="V3227" i="3" s="1"/>
  <c r="W3227" i="3"/>
  <c r="X3227" i="3"/>
  <c r="S3228" i="3"/>
  <c r="T3228" i="3" s="1"/>
  <c r="U3228" i="3"/>
  <c r="V3228" i="3" s="1"/>
  <c r="W3228" i="3"/>
  <c r="X3228" i="3"/>
  <c r="S3229" i="3"/>
  <c r="T3229" i="3" s="1"/>
  <c r="U3229" i="3"/>
  <c r="V3229" i="3" s="1"/>
  <c r="W3229" i="3"/>
  <c r="X3229" i="3"/>
  <c r="S3230" i="3"/>
  <c r="T3230" i="3" s="1"/>
  <c r="U3230" i="3"/>
  <c r="V3230" i="3" s="1"/>
  <c r="W3230" i="3"/>
  <c r="X3230" i="3"/>
  <c r="S3231" i="3"/>
  <c r="T3231" i="3" s="1"/>
  <c r="U3231" i="3"/>
  <c r="V3231" i="3" s="1"/>
  <c r="W3231" i="3"/>
  <c r="X3231" i="3"/>
  <c r="S3232" i="3"/>
  <c r="T3232" i="3" s="1"/>
  <c r="U3232" i="3"/>
  <c r="V3232" i="3" s="1"/>
  <c r="W3232" i="3"/>
  <c r="X3232" i="3"/>
  <c r="S3233" i="3"/>
  <c r="T3233" i="3" s="1"/>
  <c r="U3233" i="3"/>
  <c r="V3233" i="3" s="1"/>
  <c r="W3233" i="3"/>
  <c r="X3233" i="3"/>
  <c r="S3234" i="3"/>
  <c r="T3234" i="3" s="1"/>
  <c r="U3234" i="3"/>
  <c r="V3234" i="3" s="1"/>
  <c r="W3234" i="3"/>
  <c r="X3234" i="3"/>
  <c r="S3235" i="3"/>
  <c r="T3235" i="3" s="1"/>
  <c r="U3235" i="3"/>
  <c r="V3235" i="3" s="1"/>
  <c r="W3235" i="3"/>
  <c r="X3235" i="3"/>
  <c r="S3236" i="3"/>
  <c r="T3236" i="3" s="1"/>
  <c r="U3236" i="3"/>
  <c r="V3236" i="3" s="1"/>
  <c r="W3236" i="3"/>
  <c r="X3236" i="3"/>
  <c r="S3237" i="3"/>
  <c r="T3237" i="3" s="1"/>
  <c r="U3237" i="3"/>
  <c r="V3237" i="3" s="1"/>
  <c r="W3237" i="3"/>
  <c r="X3237" i="3"/>
  <c r="S3238" i="3"/>
  <c r="T3238" i="3" s="1"/>
  <c r="U3238" i="3"/>
  <c r="V3238" i="3" s="1"/>
  <c r="W3238" i="3"/>
  <c r="X3238" i="3"/>
  <c r="S3239" i="3"/>
  <c r="T3239" i="3" s="1"/>
  <c r="U3239" i="3"/>
  <c r="V3239" i="3" s="1"/>
  <c r="W3239" i="3"/>
  <c r="X3239" i="3"/>
  <c r="S3240" i="3"/>
  <c r="T3240" i="3" s="1"/>
  <c r="U3240" i="3"/>
  <c r="V3240" i="3" s="1"/>
  <c r="W3240" i="3"/>
  <c r="X3240" i="3"/>
  <c r="S3241" i="3"/>
  <c r="T3241" i="3" s="1"/>
  <c r="U3241" i="3"/>
  <c r="V3241" i="3" s="1"/>
  <c r="W3241" i="3"/>
  <c r="X3241" i="3"/>
  <c r="S3242" i="3"/>
  <c r="T3242" i="3" s="1"/>
  <c r="U3242" i="3"/>
  <c r="V3242" i="3" s="1"/>
  <c r="W3242" i="3"/>
  <c r="X3242" i="3"/>
  <c r="S3243" i="3"/>
  <c r="T3243" i="3" s="1"/>
  <c r="U3243" i="3"/>
  <c r="V3243" i="3" s="1"/>
  <c r="W3243" i="3"/>
  <c r="X3243" i="3"/>
  <c r="S3244" i="3"/>
  <c r="T3244" i="3" s="1"/>
  <c r="U3244" i="3"/>
  <c r="V3244" i="3" s="1"/>
  <c r="W3244" i="3"/>
  <c r="X3244" i="3"/>
  <c r="S3245" i="3"/>
  <c r="T3245" i="3" s="1"/>
  <c r="U3245" i="3"/>
  <c r="V3245" i="3" s="1"/>
  <c r="W3245" i="3"/>
  <c r="X3245" i="3"/>
  <c r="S3246" i="3"/>
  <c r="T3246" i="3" s="1"/>
  <c r="U3246" i="3"/>
  <c r="V3246" i="3" s="1"/>
  <c r="W3246" i="3"/>
  <c r="X3246" i="3"/>
  <c r="S3247" i="3"/>
  <c r="T3247" i="3" s="1"/>
  <c r="U3247" i="3"/>
  <c r="V3247" i="3" s="1"/>
  <c r="W3247" i="3"/>
  <c r="X3247" i="3"/>
  <c r="S3248" i="3"/>
  <c r="T3248" i="3" s="1"/>
  <c r="U3248" i="3"/>
  <c r="V3248" i="3" s="1"/>
  <c r="W3248" i="3"/>
  <c r="X3248" i="3"/>
  <c r="S3249" i="3"/>
  <c r="T3249" i="3" s="1"/>
  <c r="U3249" i="3"/>
  <c r="V3249" i="3" s="1"/>
  <c r="W3249" i="3"/>
  <c r="X3249" i="3"/>
  <c r="S3250" i="3"/>
  <c r="T3250" i="3" s="1"/>
  <c r="U3250" i="3"/>
  <c r="V3250" i="3" s="1"/>
  <c r="W3250" i="3"/>
  <c r="X3250" i="3"/>
  <c r="S3251" i="3"/>
  <c r="T3251" i="3" s="1"/>
  <c r="U3251" i="3"/>
  <c r="V3251" i="3" s="1"/>
  <c r="W3251" i="3"/>
  <c r="X3251" i="3"/>
  <c r="S3252" i="3"/>
  <c r="T3252" i="3" s="1"/>
  <c r="U3252" i="3"/>
  <c r="V3252" i="3" s="1"/>
  <c r="W3252" i="3"/>
  <c r="X3252" i="3"/>
  <c r="S3253" i="3"/>
  <c r="T3253" i="3" s="1"/>
  <c r="U3253" i="3"/>
  <c r="V3253" i="3" s="1"/>
  <c r="W3253" i="3"/>
  <c r="X3253" i="3"/>
  <c r="S3254" i="3"/>
  <c r="T3254" i="3" s="1"/>
  <c r="U3254" i="3"/>
  <c r="V3254" i="3" s="1"/>
  <c r="W3254" i="3"/>
  <c r="X3254" i="3"/>
  <c r="S3255" i="3"/>
  <c r="T3255" i="3" s="1"/>
  <c r="U3255" i="3"/>
  <c r="V3255" i="3" s="1"/>
  <c r="W3255" i="3"/>
  <c r="X3255" i="3"/>
  <c r="S3256" i="3"/>
  <c r="T3256" i="3" s="1"/>
  <c r="U3256" i="3"/>
  <c r="V3256" i="3" s="1"/>
  <c r="W3256" i="3"/>
  <c r="X3256" i="3"/>
  <c r="S3257" i="3"/>
  <c r="T3257" i="3" s="1"/>
  <c r="U3257" i="3"/>
  <c r="V3257" i="3" s="1"/>
  <c r="W3257" i="3"/>
  <c r="X3257" i="3"/>
  <c r="S3258" i="3"/>
  <c r="T3258" i="3" s="1"/>
  <c r="U3258" i="3"/>
  <c r="V3258" i="3" s="1"/>
  <c r="W3258" i="3"/>
  <c r="X3258" i="3"/>
  <c r="S3259" i="3"/>
  <c r="T3259" i="3" s="1"/>
  <c r="U3259" i="3"/>
  <c r="V3259" i="3" s="1"/>
  <c r="W3259" i="3"/>
  <c r="X3259" i="3"/>
  <c r="S3260" i="3"/>
  <c r="T3260" i="3" s="1"/>
  <c r="U3260" i="3"/>
  <c r="V3260" i="3" s="1"/>
  <c r="W3260" i="3"/>
  <c r="X3260" i="3"/>
  <c r="S3261" i="3"/>
  <c r="T3261" i="3" s="1"/>
  <c r="U3261" i="3"/>
  <c r="V3261" i="3" s="1"/>
  <c r="W3261" i="3"/>
  <c r="X3261" i="3"/>
  <c r="S3262" i="3"/>
  <c r="T3262" i="3" s="1"/>
  <c r="U3262" i="3"/>
  <c r="V3262" i="3" s="1"/>
  <c r="W3262" i="3"/>
  <c r="X3262" i="3"/>
  <c r="S3263" i="3"/>
  <c r="T3263" i="3" s="1"/>
  <c r="U3263" i="3"/>
  <c r="V3263" i="3" s="1"/>
  <c r="W3263" i="3"/>
  <c r="X3263" i="3"/>
  <c r="S3264" i="3"/>
  <c r="T3264" i="3" s="1"/>
  <c r="U3264" i="3"/>
  <c r="V3264" i="3" s="1"/>
  <c r="W3264" i="3"/>
  <c r="X3264" i="3"/>
  <c r="S3265" i="3"/>
  <c r="T3265" i="3" s="1"/>
  <c r="U3265" i="3"/>
  <c r="V3265" i="3" s="1"/>
  <c r="W3265" i="3"/>
  <c r="X3265" i="3"/>
  <c r="S3266" i="3"/>
  <c r="T3266" i="3" s="1"/>
  <c r="U3266" i="3"/>
  <c r="V3266" i="3" s="1"/>
  <c r="W3266" i="3"/>
  <c r="X3266" i="3"/>
  <c r="S3267" i="3"/>
  <c r="T3267" i="3" s="1"/>
  <c r="U3267" i="3"/>
  <c r="V3267" i="3" s="1"/>
  <c r="W3267" i="3"/>
  <c r="X3267" i="3"/>
  <c r="S3268" i="3"/>
  <c r="T3268" i="3" s="1"/>
  <c r="U3268" i="3"/>
  <c r="V3268" i="3" s="1"/>
  <c r="W3268" i="3"/>
  <c r="X3268" i="3"/>
  <c r="S3269" i="3"/>
  <c r="T3269" i="3" s="1"/>
  <c r="U3269" i="3"/>
  <c r="V3269" i="3" s="1"/>
  <c r="W3269" i="3"/>
  <c r="X3269" i="3"/>
  <c r="S3270" i="3"/>
  <c r="T3270" i="3" s="1"/>
  <c r="U3270" i="3"/>
  <c r="V3270" i="3" s="1"/>
  <c r="W3270" i="3"/>
  <c r="X3270" i="3"/>
  <c r="S3271" i="3"/>
  <c r="T3271" i="3" s="1"/>
  <c r="U3271" i="3"/>
  <c r="V3271" i="3" s="1"/>
  <c r="W3271" i="3"/>
  <c r="X3271" i="3"/>
  <c r="S3272" i="3"/>
  <c r="T3272" i="3" s="1"/>
  <c r="U3272" i="3"/>
  <c r="V3272" i="3" s="1"/>
  <c r="W3272" i="3"/>
  <c r="X3272" i="3"/>
  <c r="S3273" i="3"/>
  <c r="T3273" i="3" s="1"/>
  <c r="U3273" i="3"/>
  <c r="V3273" i="3" s="1"/>
  <c r="W3273" i="3"/>
  <c r="X3273" i="3"/>
  <c r="S3274" i="3"/>
  <c r="T3274" i="3" s="1"/>
  <c r="U3274" i="3"/>
  <c r="V3274" i="3" s="1"/>
  <c r="W3274" i="3"/>
  <c r="X3274" i="3"/>
  <c r="S3275" i="3"/>
  <c r="T3275" i="3" s="1"/>
  <c r="U3275" i="3"/>
  <c r="V3275" i="3" s="1"/>
  <c r="W3275" i="3"/>
  <c r="X3275" i="3"/>
  <c r="S3276" i="3"/>
  <c r="T3276" i="3" s="1"/>
  <c r="U3276" i="3"/>
  <c r="V3276" i="3" s="1"/>
  <c r="W3276" i="3"/>
  <c r="X3276" i="3"/>
  <c r="S3277" i="3"/>
  <c r="T3277" i="3" s="1"/>
  <c r="U3277" i="3"/>
  <c r="V3277" i="3" s="1"/>
  <c r="W3277" i="3"/>
  <c r="X3277" i="3"/>
  <c r="S3278" i="3"/>
  <c r="T3278" i="3" s="1"/>
  <c r="U3278" i="3"/>
  <c r="V3278" i="3" s="1"/>
  <c r="W3278" i="3"/>
  <c r="X3278" i="3"/>
  <c r="S3279" i="3"/>
  <c r="T3279" i="3" s="1"/>
  <c r="U3279" i="3"/>
  <c r="V3279" i="3" s="1"/>
  <c r="W3279" i="3"/>
  <c r="X3279" i="3"/>
  <c r="S3280" i="3"/>
  <c r="T3280" i="3" s="1"/>
  <c r="U3280" i="3"/>
  <c r="V3280" i="3" s="1"/>
  <c r="W3280" i="3"/>
  <c r="X3280" i="3"/>
  <c r="S3281" i="3"/>
  <c r="T3281" i="3" s="1"/>
  <c r="U3281" i="3"/>
  <c r="V3281" i="3" s="1"/>
  <c r="W3281" i="3"/>
  <c r="X3281" i="3"/>
  <c r="S3282" i="3"/>
  <c r="T3282" i="3" s="1"/>
  <c r="U3282" i="3"/>
  <c r="V3282" i="3" s="1"/>
  <c r="W3282" i="3"/>
  <c r="X3282" i="3"/>
  <c r="S3283" i="3"/>
  <c r="T3283" i="3" s="1"/>
  <c r="U3283" i="3"/>
  <c r="V3283" i="3" s="1"/>
  <c r="W3283" i="3"/>
  <c r="X3283" i="3"/>
  <c r="S3284" i="3"/>
  <c r="T3284" i="3" s="1"/>
  <c r="U3284" i="3"/>
  <c r="V3284" i="3" s="1"/>
  <c r="W3284" i="3"/>
  <c r="X3284" i="3"/>
  <c r="S3285" i="3"/>
  <c r="T3285" i="3" s="1"/>
  <c r="U3285" i="3"/>
  <c r="V3285" i="3" s="1"/>
  <c r="W3285" i="3"/>
  <c r="X3285" i="3"/>
  <c r="S3286" i="3"/>
  <c r="T3286" i="3" s="1"/>
  <c r="U3286" i="3"/>
  <c r="V3286" i="3" s="1"/>
  <c r="W3286" i="3"/>
  <c r="X3286" i="3"/>
  <c r="S3287" i="3"/>
  <c r="T3287" i="3" s="1"/>
  <c r="U3287" i="3"/>
  <c r="V3287" i="3" s="1"/>
  <c r="W3287" i="3"/>
  <c r="X3287" i="3"/>
  <c r="S3288" i="3"/>
  <c r="T3288" i="3" s="1"/>
  <c r="U3288" i="3"/>
  <c r="V3288" i="3" s="1"/>
  <c r="W3288" i="3"/>
  <c r="X3288" i="3"/>
  <c r="S3289" i="3"/>
  <c r="T3289" i="3" s="1"/>
  <c r="U3289" i="3"/>
  <c r="V3289" i="3" s="1"/>
  <c r="W3289" i="3"/>
  <c r="X3289" i="3"/>
  <c r="S3290" i="3"/>
  <c r="T3290" i="3" s="1"/>
  <c r="U3290" i="3"/>
  <c r="V3290" i="3" s="1"/>
  <c r="W3290" i="3"/>
  <c r="X3290" i="3"/>
  <c r="S3291" i="3"/>
  <c r="T3291" i="3" s="1"/>
  <c r="U3291" i="3"/>
  <c r="V3291" i="3" s="1"/>
  <c r="W3291" i="3"/>
  <c r="X3291" i="3"/>
  <c r="S3292" i="3"/>
  <c r="T3292" i="3" s="1"/>
  <c r="U3292" i="3"/>
  <c r="V3292" i="3" s="1"/>
  <c r="W3292" i="3"/>
  <c r="X3292" i="3"/>
  <c r="S3293" i="3"/>
  <c r="T3293" i="3" s="1"/>
  <c r="U3293" i="3"/>
  <c r="V3293" i="3" s="1"/>
  <c r="W3293" i="3"/>
  <c r="X3293" i="3"/>
  <c r="S3294" i="3"/>
  <c r="T3294" i="3" s="1"/>
  <c r="U3294" i="3"/>
  <c r="V3294" i="3" s="1"/>
  <c r="W3294" i="3"/>
  <c r="X3294" i="3"/>
  <c r="S3295" i="3"/>
  <c r="T3295" i="3" s="1"/>
  <c r="U3295" i="3"/>
  <c r="V3295" i="3" s="1"/>
  <c r="W3295" i="3"/>
  <c r="X3295" i="3"/>
  <c r="S3296" i="3"/>
  <c r="T3296" i="3" s="1"/>
  <c r="U3296" i="3"/>
  <c r="V3296" i="3" s="1"/>
  <c r="W3296" i="3"/>
  <c r="X3296" i="3"/>
  <c r="S3297" i="3"/>
  <c r="T3297" i="3" s="1"/>
  <c r="U3297" i="3"/>
  <c r="V3297" i="3" s="1"/>
  <c r="W3297" i="3"/>
  <c r="X3297" i="3"/>
  <c r="S3298" i="3"/>
  <c r="T3298" i="3" s="1"/>
  <c r="U3298" i="3"/>
  <c r="V3298" i="3" s="1"/>
  <c r="W3298" i="3"/>
  <c r="X3298" i="3"/>
  <c r="S3299" i="3"/>
  <c r="T3299" i="3" s="1"/>
  <c r="U3299" i="3"/>
  <c r="V3299" i="3" s="1"/>
  <c r="W3299" i="3"/>
  <c r="X3299" i="3"/>
  <c r="S3300" i="3"/>
  <c r="T3300" i="3" s="1"/>
  <c r="U3300" i="3"/>
  <c r="V3300" i="3" s="1"/>
  <c r="W3300" i="3"/>
  <c r="X3300" i="3"/>
  <c r="S3301" i="3"/>
  <c r="T3301" i="3" s="1"/>
  <c r="U3301" i="3"/>
  <c r="V3301" i="3" s="1"/>
  <c r="W3301" i="3"/>
  <c r="X3301" i="3"/>
  <c r="S3302" i="3"/>
  <c r="T3302" i="3" s="1"/>
  <c r="U3302" i="3"/>
  <c r="V3302" i="3" s="1"/>
  <c r="W3302" i="3"/>
  <c r="X3302" i="3"/>
  <c r="S3303" i="3"/>
  <c r="T3303" i="3" s="1"/>
  <c r="U3303" i="3"/>
  <c r="V3303" i="3" s="1"/>
  <c r="W3303" i="3"/>
  <c r="X3303" i="3"/>
  <c r="S3304" i="3"/>
  <c r="T3304" i="3" s="1"/>
  <c r="U3304" i="3"/>
  <c r="V3304" i="3" s="1"/>
  <c r="W3304" i="3"/>
  <c r="X3304" i="3"/>
  <c r="S3305" i="3"/>
  <c r="T3305" i="3" s="1"/>
  <c r="U3305" i="3"/>
  <c r="V3305" i="3" s="1"/>
  <c r="W3305" i="3"/>
  <c r="X3305" i="3"/>
  <c r="S3306" i="3"/>
  <c r="T3306" i="3" s="1"/>
  <c r="U3306" i="3"/>
  <c r="V3306" i="3" s="1"/>
  <c r="W3306" i="3"/>
  <c r="X3306" i="3"/>
  <c r="S3307" i="3"/>
  <c r="T3307" i="3" s="1"/>
  <c r="U3307" i="3"/>
  <c r="V3307" i="3" s="1"/>
  <c r="W3307" i="3"/>
  <c r="X3307" i="3"/>
  <c r="S3308" i="3"/>
  <c r="T3308" i="3" s="1"/>
  <c r="U3308" i="3"/>
  <c r="V3308" i="3" s="1"/>
  <c r="W3308" i="3"/>
  <c r="X3308" i="3"/>
  <c r="S3309" i="3"/>
  <c r="T3309" i="3" s="1"/>
  <c r="U3309" i="3"/>
  <c r="V3309" i="3" s="1"/>
  <c r="W3309" i="3"/>
  <c r="X3309" i="3"/>
  <c r="S3310" i="3"/>
  <c r="T3310" i="3" s="1"/>
  <c r="U3310" i="3"/>
  <c r="V3310" i="3" s="1"/>
  <c r="W3310" i="3"/>
  <c r="X3310" i="3"/>
  <c r="S3311" i="3"/>
  <c r="T3311" i="3" s="1"/>
  <c r="U3311" i="3"/>
  <c r="V3311" i="3" s="1"/>
  <c r="W3311" i="3"/>
  <c r="X3311" i="3"/>
  <c r="S3312" i="3"/>
  <c r="T3312" i="3" s="1"/>
  <c r="U3312" i="3"/>
  <c r="V3312" i="3" s="1"/>
  <c r="W3312" i="3"/>
  <c r="X3312" i="3"/>
  <c r="S3313" i="3"/>
  <c r="T3313" i="3" s="1"/>
  <c r="U3313" i="3"/>
  <c r="V3313" i="3" s="1"/>
  <c r="W3313" i="3"/>
  <c r="X3313" i="3"/>
  <c r="S3314" i="3"/>
  <c r="T3314" i="3" s="1"/>
  <c r="U3314" i="3"/>
  <c r="V3314" i="3" s="1"/>
  <c r="W3314" i="3"/>
  <c r="X3314" i="3"/>
  <c r="S3315" i="3"/>
  <c r="T3315" i="3" s="1"/>
  <c r="U3315" i="3"/>
  <c r="V3315" i="3" s="1"/>
  <c r="W3315" i="3"/>
  <c r="X3315" i="3"/>
  <c r="S3316" i="3"/>
  <c r="T3316" i="3" s="1"/>
  <c r="U3316" i="3"/>
  <c r="V3316" i="3" s="1"/>
  <c r="W3316" i="3"/>
  <c r="X3316" i="3"/>
  <c r="S3317" i="3"/>
  <c r="T3317" i="3" s="1"/>
  <c r="U3317" i="3"/>
  <c r="V3317" i="3" s="1"/>
  <c r="W3317" i="3"/>
  <c r="X3317" i="3"/>
  <c r="S3318" i="3"/>
  <c r="T3318" i="3" s="1"/>
  <c r="U3318" i="3"/>
  <c r="V3318" i="3" s="1"/>
  <c r="W3318" i="3"/>
  <c r="X3318" i="3"/>
  <c r="S3319" i="3"/>
  <c r="T3319" i="3" s="1"/>
  <c r="U3319" i="3"/>
  <c r="V3319" i="3" s="1"/>
  <c r="W3319" i="3"/>
  <c r="X3319" i="3"/>
  <c r="S3320" i="3"/>
  <c r="T3320" i="3" s="1"/>
  <c r="U3320" i="3"/>
  <c r="V3320" i="3" s="1"/>
  <c r="W3320" i="3"/>
  <c r="X3320" i="3"/>
  <c r="S3321" i="3"/>
  <c r="T3321" i="3" s="1"/>
  <c r="U3321" i="3"/>
  <c r="V3321" i="3" s="1"/>
  <c r="W3321" i="3"/>
  <c r="X3321" i="3"/>
  <c r="S3322" i="3"/>
  <c r="T3322" i="3" s="1"/>
  <c r="U3322" i="3"/>
  <c r="V3322" i="3" s="1"/>
  <c r="W3322" i="3"/>
  <c r="X3322" i="3"/>
  <c r="S3323" i="3"/>
  <c r="T3323" i="3" s="1"/>
  <c r="U3323" i="3"/>
  <c r="V3323" i="3" s="1"/>
  <c r="W3323" i="3"/>
  <c r="X3323" i="3"/>
  <c r="S3324" i="3"/>
  <c r="T3324" i="3" s="1"/>
  <c r="U3324" i="3"/>
  <c r="V3324" i="3" s="1"/>
  <c r="W3324" i="3"/>
  <c r="X3324" i="3"/>
  <c r="S3325" i="3"/>
  <c r="T3325" i="3" s="1"/>
  <c r="U3325" i="3"/>
  <c r="V3325" i="3" s="1"/>
  <c r="W3325" i="3"/>
  <c r="X3325" i="3"/>
  <c r="S3326" i="3"/>
  <c r="T3326" i="3" s="1"/>
  <c r="U3326" i="3"/>
  <c r="V3326" i="3" s="1"/>
  <c r="W3326" i="3"/>
  <c r="X3326" i="3"/>
  <c r="S3327" i="3"/>
  <c r="T3327" i="3" s="1"/>
  <c r="U3327" i="3"/>
  <c r="V3327" i="3" s="1"/>
  <c r="W3327" i="3"/>
  <c r="X3327" i="3"/>
  <c r="S3328" i="3"/>
  <c r="T3328" i="3" s="1"/>
  <c r="U3328" i="3"/>
  <c r="V3328" i="3" s="1"/>
  <c r="W3328" i="3"/>
  <c r="X3328" i="3"/>
  <c r="S3329" i="3"/>
  <c r="T3329" i="3" s="1"/>
  <c r="U3329" i="3"/>
  <c r="V3329" i="3" s="1"/>
  <c r="W3329" i="3"/>
  <c r="X3329" i="3"/>
  <c r="S3330" i="3"/>
  <c r="T3330" i="3" s="1"/>
  <c r="U3330" i="3"/>
  <c r="V3330" i="3" s="1"/>
  <c r="W3330" i="3"/>
  <c r="X3330" i="3"/>
  <c r="S3331" i="3"/>
  <c r="T3331" i="3" s="1"/>
  <c r="U3331" i="3"/>
  <c r="V3331" i="3" s="1"/>
  <c r="W3331" i="3"/>
  <c r="X3331" i="3"/>
  <c r="S3332" i="3"/>
  <c r="T3332" i="3" s="1"/>
  <c r="U3332" i="3"/>
  <c r="V3332" i="3" s="1"/>
  <c r="W3332" i="3"/>
  <c r="X3332" i="3"/>
  <c r="S3333" i="3"/>
  <c r="T3333" i="3" s="1"/>
  <c r="U3333" i="3"/>
  <c r="V3333" i="3" s="1"/>
  <c r="W3333" i="3"/>
  <c r="X3333" i="3"/>
  <c r="S3334" i="3"/>
  <c r="T3334" i="3" s="1"/>
  <c r="U3334" i="3"/>
  <c r="V3334" i="3" s="1"/>
  <c r="W3334" i="3"/>
  <c r="X3334" i="3"/>
  <c r="S3335" i="3"/>
  <c r="T3335" i="3" s="1"/>
  <c r="U3335" i="3"/>
  <c r="V3335" i="3" s="1"/>
  <c r="W3335" i="3"/>
  <c r="X3335" i="3"/>
  <c r="S3336" i="3"/>
  <c r="T3336" i="3" s="1"/>
  <c r="U3336" i="3"/>
  <c r="V3336" i="3" s="1"/>
  <c r="W3336" i="3"/>
  <c r="X3336" i="3"/>
  <c r="S3337" i="3"/>
  <c r="T3337" i="3" s="1"/>
  <c r="U3337" i="3"/>
  <c r="V3337" i="3" s="1"/>
  <c r="W3337" i="3"/>
  <c r="X3337" i="3"/>
  <c r="S3338" i="3"/>
  <c r="T3338" i="3" s="1"/>
  <c r="U3338" i="3"/>
  <c r="V3338" i="3" s="1"/>
  <c r="W3338" i="3"/>
  <c r="X3338" i="3"/>
  <c r="S3339" i="3"/>
  <c r="T3339" i="3" s="1"/>
  <c r="U3339" i="3"/>
  <c r="V3339" i="3" s="1"/>
  <c r="W3339" i="3"/>
  <c r="X3339" i="3"/>
  <c r="S3340" i="3"/>
  <c r="T3340" i="3" s="1"/>
  <c r="U3340" i="3"/>
  <c r="V3340" i="3" s="1"/>
  <c r="W3340" i="3"/>
  <c r="X3340" i="3"/>
  <c r="S3341" i="3"/>
  <c r="T3341" i="3" s="1"/>
  <c r="U3341" i="3"/>
  <c r="V3341" i="3" s="1"/>
  <c r="W3341" i="3"/>
  <c r="X3341" i="3"/>
  <c r="S3342" i="3"/>
  <c r="T3342" i="3" s="1"/>
  <c r="U3342" i="3"/>
  <c r="V3342" i="3" s="1"/>
  <c r="W3342" i="3"/>
  <c r="X3342" i="3"/>
  <c r="S3343" i="3"/>
  <c r="T3343" i="3" s="1"/>
  <c r="U3343" i="3"/>
  <c r="V3343" i="3" s="1"/>
  <c r="W3343" i="3"/>
  <c r="X3343" i="3"/>
  <c r="S3344" i="3"/>
  <c r="T3344" i="3" s="1"/>
  <c r="U3344" i="3"/>
  <c r="V3344" i="3" s="1"/>
  <c r="W3344" i="3"/>
  <c r="X3344" i="3"/>
  <c r="S3345" i="3"/>
  <c r="T3345" i="3" s="1"/>
  <c r="U3345" i="3"/>
  <c r="V3345" i="3" s="1"/>
  <c r="W3345" i="3"/>
  <c r="X3345" i="3"/>
  <c r="S3346" i="3"/>
  <c r="T3346" i="3" s="1"/>
  <c r="U3346" i="3"/>
  <c r="V3346" i="3" s="1"/>
  <c r="W3346" i="3"/>
  <c r="X3346" i="3"/>
  <c r="S3347" i="3"/>
  <c r="T3347" i="3" s="1"/>
  <c r="U3347" i="3"/>
  <c r="V3347" i="3" s="1"/>
  <c r="W3347" i="3"/>
  <c r="X3347" i="3"/>
  <c r="S3348" i="3"/>
  <c r="T3348" i="3" s="1"/>
  <c r="U3348" i="3"/>
  <c r="V3348" i="3" s="1"/>
  <c r="W3348" i="3"/>
  <c r="X3348" i="3"/>
  <c r="S3349" i="3"/>
  <c r="T3349" i="3" s="1"/>
  <c r="U3349" i="3"/>
  <c r="V3349" i="3" s="1"/>
  <c r="W3349" i="3"/>
  <c r="X3349" i="3"/>
  <c r="S3350" i="3"/>
  <c r="T3350" i="3" s="1"/>
  <c r="U3350" i="3"/>
  <c r="V3350" i="3" s="1"/>
  <c r="W3350" i="3"/>
  <c r="X3350" i="3"/>
  <c r="S3351" i="3"/>
  <c r="T3351" i="3" s="1"/>
  <c r="U3351" i="3"/>
  <c r="V3351" i="3" s="1"/>
  <c r="W3351" i="3"/>
  <c r="X3351" i="3"/>
  <c r="S3352" i="3"/>
  <c r="T3352" i="3" s="1"/>
  <c r="U3352" i="3"/>
  <c r="V3352" i="3" s="1"/>
  <c r="W3352" i="3"/>
  <c r="X3352" i="3"/>
  <c r="S3353" i="3"/>
  <c r="T3353" i="3"/>
  <c r="U3353" i="3"/>
  <c r="V3353" i="3" s="1"/>
  <c r="W3353" i="3"/>
  <c r="X3353" i="3"/>
  <c r="S3354" i="3"/>
  <c r="T3354" i="3" s="1"/>
  <c r="U3354" i="3"/>
  <c r="V3354" i="3" s="1"/>
  <c r="W3354" i="3"/>
  <c r="X3354" i="3"/>
  <c r="S3355" i="3"/>
  <c r="T3355" i="3" s="1"/>
  <c r="U3355" i="3"/>
  <c r="V3355" i="3" s="1"/>
  <c r="W3355" i="3"/>
  <c r="X3355" i="3"/>
  <c r="S3356" i="3"/>
  <c r="T3356" i="3" s="1"/>
  <c r="U3356" i="3"/>
  <c r="V3356" i="3"/>
  <c r="W3356" i="3"/>
  <c r="X3356" i="3"/>
  <c r="S3357" i="3"/>
  <c r="T3357" i="3"/>
  <c r="U3357" i="3"/>
  <c r="V3357" i="3" s="1"/>
  <c r="W3357" i="3"/>
  <c r="X3357" i="3"/>
  <c r="S3358" i="3"/>
  <c r="T3358" i="3" s="1"/>
  <c r="U3358" i="3"/>
  <c r="V3358" i="3" s="1"/>
  <c r="W3358" i="3"/>
  <c r="X3358" i="3"/>
  <c r="S3359" i="3"/>
  <c r="T3359" i="3" s="1"/>
  <c r="U3359" i="3"/>
  <c r="V3359" i="3"/>
  <c r="W3359" i="3"/>
  <c r="X3359" i="3"/>
  <c r="S3360" i="3"/>
  <c r="T3360" i="3"/>
  <c r="U3360" i="3"/>
  <c r="V3360" i="3" s="1"/>
  <c r="W3360" i="3"/>
  <c r="X3360" i="3"/>
  <c r="S3361" i="3"/>
  <c r="T3361" i="3" s="1"/>
  <c r="U3361" i="3"/>
  <c r="V3361" i="3"/>
  <c r="W3361" i="3"/>
  <c r="X3361" i="3"/>
  <c r="S3362" i="3"/>
  <c r="T3362" i="3"/>
  <c r="U3362" i="3"/>
  <c r="V3362" i="3" s="1"/>
  <c r="W3362" i="3"/>
  <c r="X3362" i="3"/>
  <c r="S3363" i="3"/>
  <c r="T3363" i="3" s="1"/>
  <c r="U3363" i="3"/>
  <c r="V3363" i="3"/>
  <c r="W3363" i="3"/>
  <c r="X3363" i="3"/>
  <c r="S3364" i="3"/>
  <c r="T3364" i="3"/>
  <c r="U3364" i="3"/>
  <c r="V3364" i="3" s="1"/>
  <c r="W3364" i="3"/>
  <c r="X3364" i="3"/>
  <c r="S3365" i="3"/>
  <c r="T3365" i="3" s="1"/>
  <c r="U3365" i="3"/>
  <c r="V3365" i="3"/>
  <c r="W3365" i="3"/>
  <c r="X3365" i="3"/>
  <c r="S3366" i="3"/>
  <c r="T3366" i="3"/>
  <c r="U3366" i="3"/>
  <c r="V3366" i="3" s="1"/>
  <c r="W3366" i="3"/>
  <c r="X3366" i="3"/>
  <c r="Q3365" i="3"/>
  <c r="Q3366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49" i="3"/>
  <c r="Q3150" i="3"/>
  <c r="Q3151" i="3"/>
  <c r="Q3152" i="3"/>
  <c r="Q3153" i="3"/>
  <c r="Q3147" i="3"/>
  <c r="Q3148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2973" i="3"/>
  <c r="Q2974" i="3"/>
  <c r="Q2975" i="3"/>
  <c r="Q2976" i="3"/>
  <c r="Q2972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54" i="3"/>
  <c r="Q2955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868" i="3"/>
  <c r="Q2866" i="3"/>
  <c r="Q2867" i="3"/>
  <c r="Q2864" i="3"/>
  <c r="Q2865" i="3"/>
  <c r="Q2858" i="3"/>
  <c r="Q2859" i="3"/>
  <c r="Q2860" i="3"/>
  <c r="Q2861" i="3"/>
  <c r="Q2862" i="3"/>
  <c r="Q2863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58" i="3"/>
  <c r="Q2759" i="3"/>
  <c r="Q2760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678" i="3"/>
  <c r="Q2679" i="3"/>
  <c r="Q2680" i="3"/>
  <c r="Q2681" i="3"/>
  <c r="Q2682" i="3"/>
  <c r="Q2683" i="3"/>
  <c r="Q2684" i="3"/>
  <c r="Q2685" i="3"/>
  <c r="Q2686" i="3"/>
  <c r="Q2676" i="3"/>
  <c r="Q2677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590" i="3"/>
  <c r="Q2591" i="3"/>
  <c r="Q2592" i="3"/>
  <c r="Q2593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480" i="3"/>
  <c r="Q2481" i="3"/>
  <c r="Q2482" i="3"/>
  <c r="Q2483" i="3"/>
  <c r="Q2484" i="3"/>
  <c r="Q248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44" i="3"/>
  <c r="Q2345" i="3"/>
  <c r="Q2346" i="3"/>
  <c r="Q2347" i="3"/>
  <c r="Q2348" i="3"/>
  <c r="Q2349" i="3"/>
  <c r="Q2350" i="3"/>
  <c r="Q2334" i="3"/>
  <c r="Q2335" i="3"/>
  <c r="Q2336" i="3"/>
  <c r="Q2337" i="3"/>
  <c r="Q2338" i="3"/>
  <c r="Q2339" i="3"/>
  <c r="Q2340" i="3"/>
  <c r="Q2341" i="3"/>
  <c r="Q2342" i="3"/>
  <c r="Q2343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268" i="3"/>
  <c r="Q2269" i="3"/>
  <c r="Q2270" i="3"/>
  <c r="Q2271" i="3"/>
  <c r="Q2272" i="3"/>
  <c r="Q2273" i="3"/>
  <c r="Q2274" i="3"/>
  <c r="Q2275" i="3"/>
  <c r="Q2276" i="3"/>
  <c r="Q2277" i="3"/>
  <c r="Q227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41" i="3"/>
  <c r="Q2242" i="3"/>
  <c r="Q2243" i="3"/>
  <c r="Q2244" i="3"/>
  <c r="Q2245" i="3"/>
  <c r="Q2246" i="3"/>
  <c r="Q2247" i="3"/>
  <c r="Q2248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44" i="3"/>
  <c r="Q2145" i="3"/>
  <c r="Q2146" i="3"/>
  <c r="Q2147" i="3"/>
  <c r="Q2148" i="3"/>
  <c r="Q2149" i="3"/>
  <c r="Q2150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73" i="3"/>
  <c r="Q2074" i="3"/>
  <c r="Q2075" i="3"/>
  <c r="Q2072" i="3"/>
  <c r="Q2062" i="3"/>
  <c r="Q2063" i="3"/>
  <c r="Q2064" i="3"/>
  <c r="Q2065" i="3"/>
  <c r="Q2066" i="3"/>
  <c r="Q2067" i="3"/>
  <c r="Q2068" i="3"/>
  <c r="Q2069" i="3"/>
  <c r="Q2070" i="3"/>
  <c r="Q2071" i="3"/>
  <c r="Q2061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45" i="3"/>
  <c r="Q2046" i="3"/>
  <c r="Q2047" i="3"/>
  <c r="Q2048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1984" i="3"/>
  <c r="Q1985" i="3"/>
  <c r="Q1986" i="3"/>
  <c r="Q1987" i="3"/>
  <c r="Q1988" i="3"/>
  <c r="Q1989" i="3"/>
  <c r="Q1990" i="3"/>
  <c r="Q1991" i="3"/>
  <c r="Q1833" i="3" l="1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04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4326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S1833" i="3"/>
  <c r="T1833" i="3" s="1"/>
  <c r="S1834" i="3"/>
  <c r="S1835" i="3"/>
  <c r="S1836" i="3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T1848" i="3" s="1"/>
  <c r="S1849" i="3"/>
  <c r="T1849" i="3" s="1"/>
  <c r="S1850" i="3"/>
  <c r="T1850" i="3" s="1"/>
  <c r="S1851" i="3"/>
  <c r="T1851" i="3" s="1"/>
  <c r="S1852" i="3"/>
  <c r="S1853" i="3"/>
  <c r="T1853" i="3" s="1"/>
  <c r="S1854" i="3"/>
  <c r="T1854" i="3" s="1"/>
  <c r="S1855" i="3"/>
  <c r="T1855" i="3" s="1"/>
  <c r="S1856" i="3"/>
  <c r="T1856" i="3" s="1"/>
  <c r="S1857" i="3"/>
  <c r="T1857" i="3" s="1"/>
  <c r="S1858" i="3"/>
  <c r="T1858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2" i="3"/>
  <c r="T1882" i="3" s="1"/>
  <c r="S1883" i="3"/>
  <c r="T1883" i="3" s="1"/>
  <c r="S1884" i="3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041" i="3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4326" i="3"/>
  <c r="T4326" i="3" s="1"/>
  <c r="S1944" i="3"/>
  <c r="T1944" i="3" s="1"/>
  <c r="S1945" i="3"/>
  <c r="T1945" i="3" s="1"/>
  <c r="S1946" i="3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S1963" i="3"/>
  <c r="T1963" i="3" s="1"/>
  <c r="S1964" i="3"/>
  <c r="T1964" i="3" s="1"/>
  <c r="S1965" i="3"/>
  <c r="T1965" i="3" s="1"/>
  <c r="S1966" i="3"/>
  <c r="T1966" i="3" s="1"/>
  <c r="S1967" i="3"/>
  <c r="T1967" i="3" s="1"/>
  <c r="S1968" i="3"/>
  <c r="T1968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1976" i="3"/>
  <c r="T1976" i="3" s="1"/>
  <c r="S1977" i="3"/>
  <c r="T1977" i="3" s="1"/>
  <c r="S1978" i="3"/>
  <c r="S1979" i="3"/>
  <c r="T1979" i="3" s="1"/>
  <c r="S1980" i="3"/>
  <c r="T1980" i="3" s="1"/>
  <c r="S1981" i="3"/>
  <c r="T1981" i="3" s="1"/>
  <c r="S1982" i="3"/>
  <c r="T1982" i="3" s="1"/>
  <c r="S1983" i="3"/>
  <c r="T1983" i="3" s="1"/>
  <c r="T1834" i="3"/>
  <c r="T1835" i="3"/>
  <c r="T1836" i="3"/>
  <c r="T1852" i="3"/>
  <c r="T1868" i="3"/>
  <c r="T1884" i="3"/>
  <c r="T1900" i="3"/>
  <c r="T1916" i="3"/>
  <c r="T1041" i="3"/>
  <c r="T1946" i="3"/>
  <c r="T1962" i="3"/>
  <c r="T1978" i="3"/>
  <c r="U1833" i="3"/>
  <c r="V1833" i="3" s="1"/>
  <c r="U1834" i="3"/>
  <c r="V1834" i="3" s="1"/>
  <c r="U1835" i="3"/>
  <c r="V1835" i="3" s="1"/>
  <c r="U1836" i="3"/>
  <c r="V1836" i="3" s="1"/>
  <c r="U1837" i="3"/>
  <c r="V1837" i="3" s="1"/>
  <c r="U1838" i="3"/>
  <c r="V1838" i="3" s="1"/>
  <c r="U1839" i="3"/>
  <c r="V1839" i="3" s="1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V1883" i="3" s="1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041" i="3"/>
  <c r="V104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4326" i="3"/>
  <c r="V4326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U1965" i="3"/>
  <c r="V1965" i="3" s="1"/>
  <c r="U1966" i="3"/>
  <c r="V1966" i="3" s="1"/>
  <c r="U1967" i="3"/>
  <c r="V1967" i="3" s="1"/>
  <c r="U1968" i="3"/>
  <c r="V1968" i="3" s="1"/>
  <c r="U1969" i="3"/>
  <c r="V1969" i="3" s="1"/>
  <c r="U1970" i="3"/>
  <c r="V1970" i="3" s="1"/>
  <c r="U1971" i="3"/>
  <c r="V1971" i="3" s="1"/>
  <c r="U1972" i="3"/>
  <c r="V1972" i="3" s="1"/>
  <c r="U1973" i="3"/>
  <c r="V1973" i="3" s="1"/>
  <c r="U1974" i="3"/>
  <c r="V1974" i="3" s="1"/>
  <c r="U1975" i="3"/>
  <c r="V1975" i="3" s="1"/>
  <c r="U1976" i="3"/>
  <c r="V1976" i="3" s="1"/>
  <c r="U1977" i="3"/>
  <c r="V1977" i="3" s="1"/>
  <c r="U1978" i="3"/>
  <c r="V1978" i="3" s="1"/>
  <c r="U1979" i="3"/>
  <c r="V1979" i="3" s="1"/>
  <c r="U1980" i="3"/>
  <c r="V1980" i="3" s="1"/>
  <c r="U1981" i="3"/>
  <c r="V1981" i="3" s="1"/>
  <c r="U1982" i="3"/>
  <c r="V1982" i="3" s="1"/>
  <c r="U1983" i="3"/>
  <c r="V1983" i="3" s="1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04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4326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04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4326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C52" i="13"/>
  <c r="C55" i="13"/>
  <c r="C53" i="13"/>
  <c r="C54" i="13"/>
  <c r="Q2" i="3" l="1"/>
  <c r="L16" i="16" l="1"/>
  <c r="K16" i="16"/>
  <c r="J16" i="16"/>
  <c r="I16" i="16"/>
  <c r="H16" i="16"/>
  <c r="G16" i="16"/>
  <c r="F16" i="16"/>
  <c r="E16" i="16"/>
  <c r="D16" i="16"/>
  <c r="C16" i="16"/>
  <c r="B16" i="16"/>
  <c r="M2" i="16"/>
  <c r="L47" i="20"/>
  <c r="K47" i="20"/>
  <c r="J47" i="20"/>
  <c r="I47" i="20"/>
  <c r="H47" i="20"/>
  <c r="G47" i="20"/>
  <c r="F47" i="20"/>
  <c r="E47" i="20"/>
  <c r="D47" i="20"/>
  <c r="C47" i="20"/>
  <c r="B47" i="20"/>
  <c r="M3" i="20"/>
  <c r="M2" i="20"/>
  <c r="M16" i="16" l="1"/>
  <c r="M47" i="20"/>
  <c r="M2" i="15"/>
  <c r="M313" i="19"/>
  <c r="L313" i="19"/>
  <c r="K313" i="19"/>
  <c r="J313" i="19"/>
  <c r="I313" i="19"/>
  <c r="H313" i="19"/>
  <c r="G313" i="19"/>
  <c r="F313" i="19"/>
  <c r="E313" i="19"/>
  <c r="D313" i="19"/>
  <c r="C313" i="19"/>
  <c r="B313" i="19"/>
  <c r="M522" i="15" l="1"/>
  <c r="L522" i="15"/>
  <c r="K522" i="15"/>
  <c r="J522" i="15"/>
  <c r="I522" i="15"/>
  <c r="H522" i="15"/>
  <c r="G522" i="15"/>
  <c r="F522" i="15"/>
  <c r="E522" i="15"/>
  <c r="D522" i="15"/>
  <c r="C522" i="15"/>
  <c r="B522" i="15"/>
  <c r="Q769" i="3" l="1"/>
  <c r="Q1108" i="3"/>
  <c r="Q915" i="3"/>
  <c r="Q916" i="3"/>
  <c r="Q917" i="3"/>
  <c r="Q918" i="3"/>
  <c r="Q919" i="3"/>
  <c r="Q920" i="3"/>
  <c r="Q770" i="3"/>
  <c r="Q540" i="3"/>
  <c r="Q1420" i="3"/>
  <c r="Q921" i="3"/>
  <c r="Q922" i="3"/>
  <c r="Q1421" i="3"/>
  <c r="Q1422" i="3"/>
  <c r="Q1109" i="3"/>
  <c r="Q324" i="3"/>
  <c r="Q541" i="3"/>
  <c r="Q1423" i="3"/>
  <c r="Q923" i="3"/>
  <c r="Q1110" i="3"/>
  <c r="Q325" i="3"/>
  <c r="Q326" i="3"/>
  <c r="Q169" i="3"/>
  <c r="Q771" i="3"/>
  <c r="Q542" i="3"/>
  <c r="Q543" i="3"/>
  <c r="Q327" i="3"/>
  <c r="Q328" i="3"/>
  <c r="Q544" i="3"/>
  <c r="Q1424" i="3"/>
  <c r="Q545" i="3"/>
  <c r="Q170" i="3"/>
  <c r="Q1425" i="3"/>
  <c r="Q1426" i="3"/>
  <c r="Q1427" i="3"/>
  <c r="Q546" i="3"/>
  <c r="Q547" i="3"/>
  <c r="Q1428" i="3"/>
  <c r="Q1111" i="3"/>
  <c r="Q1429" i="3"/>
  <c r="Q1112" i="3"/>
  <c r="Q171" i="3"/>
  <c r="Q924" i="3"/>
  <c r="Q1113" i="3"/>
  <c r="Q772" i="3"/>
  <c r="Q773" i="3"/>
  <c r="Q925" i="3"/>
  <c r="Q1114" i="3"/>
  <c r="Q1430" i="3"/>
  <c r="Q774" i="3"/>
  <c r="Q1115" i="3"/>
  <c r="Q548" i="3"/>
  <c r="Q775" i="3"/>
  <c r="Q549" i="3"/>
  <c r="Q550" i="3"/>
  <c r="Q329" i="3"/>
  <c r="Q776" i="3"/>
  <c r="Q330" i="3"/>
  <c r="Q551" i="3"/>
  <c r="Q331" i="3"/>
  <c r="Q1431" i="3"/>
  <c r="Q332" i="3"/>
  <c r="Q1432" i="3"/>
  <c r="Q1433" i="3"/>
  <c r="Q86" i="3"/>
  <c r="Q926" i="3"/>
  <c r="Q777" i="3"/>
  <c r="Q1434" i="3"/>
  <c r="Q927" i="3"/>
  <c r="Q552" i="3"/>
  <c r="Q778" i="3"/>
  <c r="Q333" i="3"/>
  <c r="Q553" i="3"/>
  <c r="Q779" i="3"/>
  <c r="Q457" i="3"/>
  <c r="Q172" i="3"/>
  <c r="Q1116" i="3"/>
  <c r="Q3" i="3"/>
  <c r="Q87" i="3"/>
  <c r="Q780" i="3"/>
  <c r="Q1117" i="3"/>
  <c r="Q1435" i="3"/>
  <c r="Q781" i="3"/>
  <c r="Q1118" i="3"/>
  <c r="Q554" i="3"/>
  <c r="Q1436" i="3"/>
  <c r="Q1119" i="3"/>
  <c r="Q928" i="3"/>
  <c r="Q88" i="3"/>
  <c r="Q173" i="3"/>
  <c r="Q1120" i="3"/>
  <c r="Q334" i="3"/>
  <c r="Q4" i="3"/>
  <c r="Q1121" i="3"/>
  <c r="Q335" i="3"/>
  <c r="Q555" i="3"/>
  <c r="Q174" i="3"/>
  <c r="Q336" i="3"/>
  <c r="Q1122" i="3"/>
  <c r="Q5" i="3"/>
  <c r="Q458" i="3"/>
  <c r="Q175" i="3"/>
  <c r="Q1123" i="3"/>
  <c r="Q6" i="3"/>
  <c r="Q7" i="3"/>
  <c r="Q8" i="3"/>
  <c r="Q782" i="3"/>
  <c r="Q9" i="3"/>
  <c r="Q10" i="3"/>
  <c r="Q11" i="3"/>
  <c r="Q12" i="3"/>
  <c r="Q1437" i="3"/>
  <c r="Q13" i="3"/>
  <c r="Q14" i="3"/>
  <c r="Q15" i="3"/>
  <c r="Q16" i="3"/>
  <c r="Q1438" i="3"/>
  <c r="Q929" i="3"/>
  <c r="Q783" i="3"/>
  <c r="Q784" i="3"/>
  <c r="Q1439" i="3"/>
  <c r="Q1440" i="3"/>
  <c r="Q930" i="3"/>
  <c r="Q89" i="3"/>
  <c r="Q176" i="3"/>
  <c r="Q556" i="3"/>
  <c r="Q1441" i="3"/>
  <c r="Q177" i="3"/>
  <c r="Q337" i="3"/>
  <c r="Q338" i="3"/>
  <c r="Q339" i="3"/>
  <c r="Q459" i="3"/>
  <c r="Q557" i="3"/>
  <c r="Q1066" i="3"/>
  <c r="Q558" i="3"/>
  <c r="Q785" i="3"/>
  <c r="Q1442" i="3"/>
  <c r="Q786" i="3"/>
  <c r="Q787" i="3"/>
  <c r="Q1124" i="3"/>
  <c r="Q559" i="3"/>
  <c r="Q560" i="3"/>
  <c r="Q1443" i="3"/>
  <c r="Q90" i="3"/>
  <c r="Q561" i="3"/>
  <c r="Q1125" i="3"/>
  <c r="Q788" i="3"/>
  <c r="Q931" i="3"/>
  <c r="Q562" i="3"/>
  <c r="Q1444" i="3"/>
  <c r="Q563" i="3"/>
  <c r="Q340" i="3"/>
  <c r="Q1126" i="3"/>
  <c r="Q1445" i="3"/>
  <c r="Q1067" i="3"/>
  <c r="Q1446" i="3"/>
  <c r="Q1447" i="3"/>
  <c r="Q1127" i="3"/>
  <c r="Q1448" i="3"/>
  <c r="Q564" i="3"/>
  <c r="Q17" i="3"/>
  <c r="Q789" i="3"/>
  <c r="Q1449" i="3"/>
  <c r="Q1128" i="3"/>
  <c r="Q790" i="3"/>
  <c r="Q341" i="3"/>
  <c r="Q932" i="3"/>
  <c r="Q933" i="3"/>
  <c r="Q1450" i="3"/>
  <c r="Q342" i="3"/>
  <c r="Q791" i="3"/>
  <c r="Q343" i="3"/>
  <c r="Q934" i="3"/>
  <c r="Q1451" i="3"/>
  <c r="Q792" i="3"/>
  <c r="Q344" i="3"/>
  <c r="Q178" i="3"/>
  <c r="Q1068" i="3"/>
  <c r="Q1452" i="3"/>
  <c r="Q1453" i="3"/>
  <c r="Q91" i="3"/>
  <c r="Q92" i="3"/>
  <c r="Q935" i="3"/>
  <c r="Q1129" i="3"/>
  <c r="Q18" i="3"/>
  <c r="Q1130" i="3"/>
  <c r="Q345" i="3"/>
  <c r="Q346" i="3"/>
  <c r="Q565" i="3"/>
  <c r="Q566" i="3"/>
  <c r="Q1454" i="3"/>
  <c r="Q93" i="3"/>
  <c r="Q347" i="3"/>
  <c r="Q19" i="3"/>
  <c r="Q20" i="3"/>
  <c r="Q348" i="3"/>
  <c r="Q460" i="3"/>
  <c r="Q936" i="3"/>
  <c r="Q1455" i="3"/>
  <c r="Q349" i="3"/>
  <c r="Q793" i="3"/>
  <c r="Q567" i="3"/>
  <c r="Q937" i="3"/>
  <c r="Q1131" i="3"/>
  <c r="Q21" i="3"/>
  <c r="Q1456" i="3"/>
  <c r="Q1457" i="3"/>
  <c r="Q1458" i="3"/>
  <c r="Q1459" i="3"/>
  <c r="Q1132" i="3"/>
  <c r="Q794" i="3"/>
  <c r="Q1460" i="3"/>
  <c r="Q94" i="3"/>
  <c r="Q95" i="3"/>
  <c r="Q96" i="3"/>
  <c r="Q938" i="3"/>
  <c r="Q939" i="3"/>
  <c r="Q795" i="3"/>
  <c r="Q1133" i="3"/>
  <c r="Q1134" i="3"/>
  <c r="Q568" i="3"/>
  <c r="Q1461" i="3"/>
  <c r="Q1069" i="3"/>
  <c r="Q1135" i="3"/>
  <c r="Q97" i="3"/>
  <c r="Q350" i="3"/>
  <c r="Q1136" i="3"/>
  <c r="Q98" i="3"/>
  <c r="Q940" i="3"/>
  <c r="Q1137" i="3"/>
  <c r="Q1138" i="3"/>
  <c r="Q796" i="3"/>
  <c r="Q1139" i="3"/>
  <c r="Q1140" i="3"/>
  <c r="Q1141" i="3"/>
  <c r="Q99" i="3"/>
  <c r="Q797" i="3"/>
  <c r="Q941" i="3"/>
  <c r="Q22" i="3"/>
  <c r="Q1070" i="3"/>
  <c r="Q100" i="3"/>
  <c r="Q569" i="3"/>
  <c r="Q570" i="3"/>
  <c r="Q1142" i="3"/>
  <c r="Q461" i="3"/>
  <c r="Q351" i="3"/>
  <c r="Q462" i="3"/>
  <c r="Q571" i="3"/>
  <c r="Q1143" i="3"/>
  <c r="Q1462" i="3"/>
  <c r="Q572" i="3"/>
  <c r="Q798" i="3"/>
  <c r="Q1144" i="3"/>
  <c r="Q1463" i="3"/>
  <c r="Q101" i="3"/>
  <c r="Q1145" i="3"/>
  <c r="Q1071" i="3"/>
  <c r="Q352" i="3"/>
  <c r="Q1146" i="3"/>
  <c r="Q1464" i="3"/>
  <c r="Q1147" i="3"/>
  <c r="Q1148" i="3"/>
  <c r="Q573" i="3"/>
  <c r="Q799" i="3"/>
  <c r="Q1149" i="3"/>
  <c r="Q1150" i="3"/>
  <c r="Q1151" i="3"/>
  <c r="Q1465" i="3"/>
  <c r="Q179" i="3"/>
  <c r="Q1152" i="3"/>
  <c r="Q353" i="3"/>
  <c r="Q354" i="3"/>
  <c r="Q355" i="3"/>
  <c r="Q102" i="3"/>
  <c r="Q1153" i="3"/>
  <c r="Q1154" i="3"/>
  <c r="Q1155" i="3"/>
  <c r="Q1156" i="3"/>
  <c r="Q1466" i="3"/>
  <c r="Q1467" i="3"/>
  <c r="Q1468" i="3"/>
  <c r="Q180" i="3"/>
  <c r="Q356" i="3"/>
  <c r="Q1157" i="3"/>
  <c r="Q1158" i="3"/>
  <c r="Q357" i="3"/>
  <c r="Q1469" i="3"/>
  <c r="Q1159" i="3"/>
  <c r="Q463" i="3"/>
  <c r="Q1470" i="3"/>
  <c r="Q942" i="3"/>
  <c r="Q943" i="3"/>
  <c r="Q944" i="3"/>
  <c r="Q23" i="3"/>
  <c r="Q358" i="3"/>
  <c r="Q800" i="3"/>
  <c r="Q945" i="3"/>
  <c r="Q1160" i="3"/>
  <c r="Q1471" i="3"/>
  <c r="Q1161" i="3"/>
  <c r="Q1472" i="3"/>
  <c r="Q1473" i="3"/>
  <c r="Q946" i="3"/>
  <c r="Q1474" i="3"/>
  <c r="Q24" i="3"/>
  <c r="Q1475" i="3"/>
  <c r="Q464" i="3"/>
  <c r="Q25" i="3"/>
  <c r="Q1162" i="3"/>
  <c r="Q574" i="3"/>
  <c r="Q575" i="3"/>
  <c r="Q576" i="3"/>
  <c r="Q359" i="3"/>
  <c r="Q360" i="3"/>
  <c r="Q465" i="3"/>
  <c r="Q103" i="3"/>
  <c r="Q1163" i="3"/>
  <c r="Q1164" i="3"/>
  <c r="Q104" i="3"/>
  <c r="Q1165" i="3"/>
  <c r="Q1166" i="3"/>
  <c r="Q1072" i="3"/>
  <c r="Q947" i="3"/>
  <c r="Q361" i="3"/>
  <c r="Q1476" i="3"/>
  <c r="Q1167" i="3"/>
  <c r="Q466" i="3"/>
  <c r="Q1168" i="3"/>
  <c r="Q181" i="3"/>
  <c r="Q948" i="3"/>
  <c r="Q577" i="3"/>
  <c r="Q801" i="3"/>
  <c r="Q578" i="3"/>
  <c r="Q182" i="3"/>
  <c r="Q1477" i="3"/>
  <c r="Q949" i="3"/>
  <c r="Q1478" i="3"/>
  <c r="Q1169" i="3"/>
  <c r="Q1479" i="3"/>
  <c r="Q183" i="3"/>
  <c r="Q1480" i="3"/>
  <c r="Q362" i="3"/>
  <c r="Q802" i="3"/>
  <c r="Q363" i="3"/>
  <c r="Q1170" i="3"/>
  <c r="Q1171" i="3"/>
  <c r="Q1172" i="3"/>
  <c r="Q803" i="3"/>
  <c r="Q1173" i="3"/>
  <c r="Q1174" i="3"/>
  <c r="Q1073" i="3"/>
  <c r="Q1481" i="3"/>
  <c r="Q1482" i="3"/>
  <c r="Q1483" i="3"/>
  <c r="Q1074" i="3"/>
  <c r="Q579" i="3"/>
  <c r="Q1484" i="3"/>
  <c r="Q1175" i="3"/>
  <c r="Q1176" i="3"/>
  <c r="Q1485" i="3"/>
  <c r="Q1486" i="3"/>
  <c r="Q580" i="3"/>
  <c r="Q1487" i="3"/>
  <c r="Q1488" i="3"/>
  <c r="Q1489" i="3"/>
  <c r="Q1490" i="3"/>
  <c r="Q1491" i="3"/>
  <c r="Q1177" i="3"/>
  <c r="Q364" i="3"/>
  <c r="Q1675" i="3"/>
  <c r="Q581" i="3"/>
  <c r="Q1492" i="3"/>
  <c r="Q1493" i="3"/>
  <c r="Q804" i="3"/>
  <c r="Q1178" i="3"/>
  <c r="Q1179" i="3"/>
  <c r="Q1180" i="3"/>
  <c r="Q1181" i="3"/>
  <c r="Q582" i="3"/>
  <c r="Q1182" i="3"/>
  <c r="Q1494" i="3"/>
  <c r="Q1183" i="3"/>
  <c r="Q1184" i="3"/>
  <c r="Q1495" i="3"/>
  <c r="Q105" i="3"/>
  <c r="Q950" i="3"/>
  <c r="Q1075" i="3"/>
  <c r="Q951" i="3"/>
  <c r="Q583" i="3"/>
  <c r="Q805" i="3"/>
  <c r="Q806" i="3"/>
  <c r="Q1185" i="3"/>
  <c r="Q1186" i="3"/>
  <c r="Q1187" i="3"/>
  <c r="Q1496" i="3"/>
  <c r="Q952" i="3"/>
  <c r="Q584" i="3"/>
  <c r="Q585" i="3"/>
  <c r="Q1497" i="3"/>
  <c r="Q1498" i="3"/>
  <c r="Q1499" i="3"/>
  <c r="Q1500" i="3"/>
  <c r="Q1501" i="3"/>
  <c r="Q106" i="3"/>
  <c r="Q468" i="3"/>
  <c r="Q1502" i="3"/>
  <c r="Q807" i="3"/>
  <c r="Q1188" i="3"/>
  <c r="Q1189" i="3"/>
  <c r="Q586" i="3"/>
  <c r="Q1190" i="3"/>
  <c r="Q587" i="3"/>
  <c r="Q1503" i="3"/>
  <c r="Q1191" i="3"/>
  <c r="Q1192" i="3"/>
  <c r="Q1193" i="3"/>
  <c r="Q1194" i="3"/>
  <c r="Q1504" i="3"/>
  <c r="Q1195" i="3"/>
  <c r="Q1505" i="3"/>
  <c r="Q1196" i="3"/>
  <c r="Q1197" i="3"/>
  <c r="Q469" i="3"/>
  <c r="Q107" i="3"/>
  <c r="Q1198" i="3"/>
  <c r="Q808" i="3"/>
  <c r="Q1199" i="3"/>
  <c r="Q108" i="3"/>
  <c r="Q1200" i="3"/>
  <c r="Q365" i="3"/>
  <c r="Q26" i="3"/>
  <c r="Q1201" i="3"/>
  <c r="Q184" i="3"/>
  <c r="Q588" i="3"/>
  <c r="Q1076" i="3"/>
  <c r="Q953" i="3"/>
  <c r="Q109" i="3"/>
  <c r="Q809" i="3"/>
  <c r="Q589" i="3"/>
  <c r="Q110" i="3"/>
  <c r="Q366" i="3"/>
  <c r="Q810" i="3"/>
  <c r="Q367" i="3"/>
  <c r="Q1202" i="3"/>
  <c r="Q1203" i="3"/>
  <c r="Q1506" i="3"/>
  <c r="Q590" i="3"/>
  <c r="Q470" i="3"/>
  <c r="Q1204" i="3"/>
  <c r="Q1507" i="3"/>
  <c r="Q1077" i="3"/>
  <c r="Q1205" i="3"/>
  <c r="Q811" i="3"/>
  <c r="Q1206" i="3"/>
  <c r="Q1078" i="3"/>
  <c r="Q1508" i="3"/>
  <c r="Q1509" i="3"/>
  <c r="Q1510" i="3"/>
  <c r="Q1207" i="3"/>
  <c r="Q591" i="3"/>
  <c r="Q368" i="3"/>
  <c r="Q1208" i="3"/>
  <c r="Q369" i="3"/>
  <c r="Q111" i="3"/>
  <c r="Q112" i="3"/>
  <c r="Q592" i="3"/>
  <c r="Q370" i="3"/>
  <c r="Q27" i="3"/>
  <c r="Q1079" i="3"/>
  <c r="Q28" i="3"/>
  <c r="Q29" i="3"/>
  <c r="Q593" i="3"/>
  <c r="Q1209" i="3"/>
  <c r="Q1511" i="3"/>
  <c r="Q954" i="3"/>
  <c r="Q1512" i="3"/>
  <c r="Q1513" i="3"/>
  <c r="Q1514" i="3"/>
  <c r="Q1515" i="3"/>
  <c r="Q471" i="3"/>
  <c r="Q30" i="3"/>
  <c r="Q1516" i="3"/>
  <c r="Q1517" i="3"/>
  <c r="Q1518" i="3"/>
  <c r="Q1519" i="3"/>
  <c r="Q371" i="3"/>
  <c r="Q1520" i="3"/>
  <c r="Q1521" i="3"/>
  <c r="Q1522" i="3"/>
  <c r="Q1523" i="3"/>
  <c r="Q1524" i="3"/>
  <c r="Q1525" i="3"/>
  <c r="Q472" i="3"/>
  <c r="Q473" i="3"/>
  <c r="Q1210" i="3"/>
  <c r="Q31" i="3"/>
  <c r="Q113" i="3"/>
  <c r="Q812" i="3"/>
  <c r="Q1211" i="3"/>
  <c r="Q1526" i="3"/>
  <c r="Q1212" i="3"/>
  <c r="Q185" i="3"/>
  <c r="Q32" i="3"/>
  <c r="Q1527" i="3"/>
  <c r="Q1528" i="3"/>
  <c r="Q955" i="3"/>
  <c r="Q1080" i="3"/>
  <c r="Q1529" i="3"/>
  <c r="Q1530" i="3"/>
  <c r="Q813" i="3"/>
  <c r="Q814" i="3"/>
  <c r="Q1081" i="3"/>
  <c r="Q1531" i="3"/>
  <c r="Q594" i="3"/>
  <c r="Q372" i="3"/>
  <c r="Q1532" i="3"/>
  <c r="Q1082" i="3"/>
  <c r="Q373" i="3"/>
  <c r="Q1213" i="3"/>
  <c r="Q1083" i="3"/>
  <c r="Q1084" i="3"/>
  <c r="Q374" i="3"/>
  <c r="Q956" i="3"/>
  <c r="Q957" i="3"/>
  <c r="Q958" i="3"/>
  <c r="Q114" i="3"/>
  <c r="Q1214" i="3"/>
  <c r="Q1215" i="3"/>
  <c r="Q1216" i="3"/>
  <c r="Q595" i="3"/>
  <c r="Q33" i="3"/>
  <c r="Q596" i="3"/>
  <c r="Q1217" i="3"/>
  <c r="Q1085" i="3"/>
  <c r="Q597" i="3"/>
  <c r="Q598" i="3"/>
  <c r="Q1218" i="3"/>
  <c r="Q1219" i="3"/>
  <c r="Q115" i="3"/>
  <c r="Q1533" i="3"/>
  <c r="Q186" i="3"/>
  <c r="Q187" i="3"/>
  <c r="Q188" i="3"/>
  <c r="Q474" i="3"/>
  <c r="Q1220" i="3"/>
  <c r="Q1221" i="3"/>
  <c r="Q189" i="3"/>
  <c r="Q116" i="3"/>
  <c r="Q959" i="3"/>
  <c r="Q1534" i="3"/>
  <c r="Q190" i="3"/>
  <c r="Q1222" i="3"/>
  <c r="Q960" i="3"/>
  <c r="Q375" i="3"/>
  <c r="Q475" i="3"/>
  <c r="Q376" i="3"/>
  <c r="Q599" i="3"/>
  <c r="Q600" i="3"/>
  <c r="Q601" i="3"/>
  <c r="Q602" i="3"/>
  <c r="Q603" i="3"/>
  <c r="Q604" i="3"/>
  <c r="Q605" i="3"/>
  <c r="Q606" i="3"/>
  <c r="Q607" i="3"/>
  <c r="Q608" i="3"/>
  <c r="Q609" i="3"/>
  <c r="Q1535" i="3"/>
  <c r="Q1536" i="3"/>
  <c r="Q191" i="3"/>
  <c r="Q377" i="3"/>
  <c r="Q192" i="3"/>
  <c r="Q193" i="3"/>
  <c r="Q194" i="3"/>
  <c r="Q195" i="3"/>
  <c r="Q1223" i="3"/>
  <c r="Q1224" i="3"/>
  <c r="Q196" i="3"/>
  <c r="Q117" i="3"/>
  <c r="Q378" i="3"/>
  <c r="Q379" i="3"/>
  <c r="Q961" i="3"/>
  <c r="Q815" i="3"/>
  <c r="Q197" i="3"/>
  <c r="Q1537" i="3"/>
  <c r="Q118" i="3"/>
  <c r="Q198" i="3"/>
  <c r="Q199" i="3"/>
  <c r="Q200" i="3"/>
  <c r="Q201" i="3"/>
  <c r="Q202" i="3"/>
  <c r="Q610" i="3"/>
  <c r="Q1225" i="3"/>
  <c r="Q611" i="3"/>
  <c r="Q380" i="3"/>
  <c r="Q1538" i="3"/>
  <c r="Q1539" i="3"/>
  <c r="Q1540" i="3"/>
  <c r="Q476" i="3"/>
  <c r="Q816" i="3"/>
  <c r="Q1541" i="3"/>
  <c r="Q1542" i="3"/>
  <c r="Q1543" i="3"/>
  <c r="Q34" i="3"/>
  <c r="Q612" i="3"/>
  <c r="Q1544" i="3"/>
  <c r="Q381" i="3"/>
  <c r="Q613" i="3"/>
  <c r="Q614" i="3"/>
  <c r="Q1545" i="3"/>
  <c r="Q1546" i="3"/>
  <c r="Q1547" i="3"/>
  <c r="Q382" i="3"/>
  <c r="Q1548" i="3"/>
  <c r="Q1226" i="3"/>
  <c r="Q1549" i="3"/>
  <c r="Q119" i="3"/>
  <c r="Q817" i="3"/>
  <c r="Q1550" i="3"/>
  <c r="Q1551" i="3"/>
  <c r="Q1552" i="3"/>
  <c r="Q1553" i="3"/>
  <c r="Q383" i="3"/>
  <c r="Q1554" i="3"/>
  <c r="Q1555" i="3"/>
  <c r="Q818" i="3"/>
  <c r="Q615" i="3"/>
  <c r="Q1556" i="3"/>
  <c r="Q1557" i="3"/>
  <c r="Q1558" i="3"/>
  <c r="Q35" i="3"/>
  <c r="Q1559" i="3"/>
  <c r="Q1560" i="3"/>
  <c r="Q1561" i="3"/>
  <c r="Q1562" i="3"/>
  <c r="Q616" i="3"/>
  <c r="Q819" i="3"/>
  <c r="Q384" i="3"/>
  <c r="Q385" i="3"/>
  <c r="Q617" i="3"/>
  <c r="Q36" i="3"/>
  <c r="Q37" i="3"/>
  <c r="Q38" i="3"/>
  <c r="Q962" i="3"/>
  <c r="Q1227" i="3"/>
  <c r="Q820" i="3"/>
  <c r="Q39" i="3"/>
  <c r="Q821" i="3"/>
  <c r="Q40" i="3"/>
  <c r="Q41" i="3"/>
  <c r="Q42" i="3"/>
  <c r="Q1776" i="3"/>
  <c r="Q1563" i="3"/>
  <c r="Q478" i="3"/>
  <c r="Q203" i="3"/>
  <c r="Q1564" i="3"/>
  <c r="Q822" i="3"/>
  <c r="Q1565" i="3"/>
  <c r="Q618" i="3"/>
  <c r="Q963" i="3"/>
  <c r="Q386" i="3"/>
  <c r="Q120" i="3"/>
  <c r="Q43" i="3"/>
  <c r="Q387" i="3"/>
  <c r="Q467" i="3"/>
  <c r="Q1086" i="3"/>
  <c r="Q1228" i="3"/>
  <c r="Q1229" i="3"/>
  <c r="Q479" i="3"/>
  <c r="Q1566" i="3"/>
  <c r="Q1567" i="3"/>
  <c r="Q619" i="3"/>
  <c r="Q1230" i="3"/>
  <c r="Q620" i="3"/>
  <c r="Q1231" i="3"/>
  <c r="Q621" i="3"/>
  <c r="Q622" i="3"/>
  <c r="Q823" i="3"/>
  <c r="Q480" i="3"/>
  <c r="Q824" i="3"/>
  <c r="Q825" i="3"/>
  <c r="Q826" i="3"/>
  <c r="Q1568" i="3"/>
  <c r="Q1569" i="3"/>
  <c r="Q481" i="3"/>
  <c r="Q623" i="3"/>
  <c r="Q1570" i="3"/>
  <c r="Q624" i="3"/>
  <c r="Q44" i="3"/>
  <c r="Q388" i="3"/>
  <c r="Q389" i="3"/>
  <c r="Q390" i="3"/>
  <c r="Q1571" i="3"/>
  <c r="Q1572" i="3"/>
  <c r="Q1573" i="3"/>
  <c r="Q482" i="3"/>
  <c r="Q1574" i="3"/>
  <c r="Q1575" i="3"/>
  <c r="Q1576" i="3"/>
  <c r="Q1577" i="3"/>
  <c r="Q45" i="3"/>
  <c r="Q625" i="3"/>
  <c r="Q1578" i="3"/>
  <c r="Q1579" i="3"/>
  <c r="Q1232" i="3"/>
  <c r="Q1233" i="3"/>
  <c r="Q965" i="3"/>
  <c r="Q1580" i="3"/>
  <c r="Q1581" i="3"/>
  <c r="Q1582" i="3"/>
  <c r="Q966" i="3"/>
  <c r="Q1583" i="3"/>
  <c r="Q1234" i="3"/>
  <c r="Q1235" i="3"/>
  <c r="Q1236" i="3"/>
  <c r="Q967" i="3"/>
  <c r="Q121" i="3"/>
  <c r="Q1584" i="3"/>
  <c r="Q483" i="3"/>
  <c r="Q1237" i="3"/>
  <c r="Q1238" i="3"/>
  <c r="Q1239" i="3"/>
  <c r="Q626" i="3"/>
  <c r="Q391" i="3"/>
  <c r="Q1585" i="3"/>
  <c r="Q1586" i="3"/>
  <c r="Q968" i="3"/>
  <c r="Q627" i="3"/>
  <c r="Q1087" i="3"/>
  <c r="Q1587" i="3"/>
  <c r="Q1588" i="3"/>
  <c r="Q392" i="3"/>
  <c r="Q122" i="3"/>
  <c r="Q1240" i="3"/>
  <c r="Q1241" i="3"/>
  <c r="Q46" i="3"/>
  <c r="Q1589" i="3"/>
  <c r="Q1590" i="3"/>
  <c r="Q1591" i="3"/>
  <c r="Q1592" i="3"/>
  <c r="Q1351" i="3"/>
  <c r="Q204" i="3"/>
  <c r="Q205" i="3"/>
  <c r="Q206" i="3"/>
  <c r="Q1594" i="3"/>
  <c r="Q827" i="3"/>
  <c r="Q628" i="3"/>
  <c r="Q828" i="3"/>
  <c r="Q1595" i="3"/>
  <c r="Q1596" i="3"/>
  <c r="Q1597" i="3"/>
  <c r="Q1598" i="3"/>
  <c r="Q1599" i="3"/>
  <c r="Q1600" i="3"/>
  <c r="Q1601" i="3"/>
  <c r="Q47" i="3"/>
  <c r="Q48" i="3"/>
  <c r="Q1602" i="3"/>
  <c r="Q969" i="3"/>
  <c r="Q1603" i="3"/>
  <c r="Q393" i="3"/>
  <c r="Q1242" i="3"/>
  <c r="Q970" i="3"/>
  <c r="Q49" i="3"/>
  <c r="Q971" i="3"/>
  <c r="Q1604" i="3"/>
  <c r="Q1605" i="3"/>
  <c r="Q972" i="3"/>
  <c r="Q973" i="3"/>
  <c r="Q974" i="3"/>
  <c r="Q123" i="3"/>
  <c r="Q1606" i="3"/>
  <c r="Q1243" i="3"/>
  <c r="Q394" i="3"/>
  <c r="Q1607" i="3"/>
  <c r="Q1608" i="3"/>
  <c r="Q395" i="3"/>
  <c r="Q484" i="3"/>
  <c r="Q50" i="3"/>
  <c r="Q1609" i="3"/>
  <c r="Q1088" i="3"/>
  <c r="Q629" i="3"/>
  <c r="Q1610" i="3"/>
  <c r="Q396" i="3"/>
  <c r="Q1611" i="3"/>
  <c r="Q1089" i="3"/>
  <c r="Q829" i="3"/>
  <c r="Q1612" i="3"/>
  <c r="Q1613" i="3"/>
  <c r="Q1614" i="3"/>
  <c r="Q397" i="3"/>
  <c r="Q398" i="3"/>
  <c r="Q1090" i="3"/>
  <c r="Q1615" i="3"/>
  <c r="Q399" i="3"/>
  <c r="Q1091" i="3"/>
  <c r="Q1616" i="3"/>
  <c r="Q207" i="3"/>
  <c r="Q1617" i="3"/>
  <c r="Q1244" i="3"/>
  <c r="Q208" i="3"/>
  <c r="Q1618" i="3"/>
  <c r="Q1619" i="3"/>
  <c r="Q400" i="3"/>
  <c r="Q209" i="3"/>
  <c r="Q401" i="3"/>
  <c r="Q1620" i="3"/>
  <c r="Q975" i="3"/>
  <c r="Q1245" i="3"/>
  <c r="Q1246" i="3"/>
  <c r="Q210" i="3"/>
  <c r="Q976" i="3"/>
  <c r="Q51" i="3"/>
  <c r="Q124" i="3"/>
  <c r="Q1247" i="3"/>
  <c r="Q630" i="3"/>
  <c r="Q402" i="3"/>
  <c r="Q403" i="3"/>
  <c r="Q1621" i="3"/>
  <c r="Q1248" i="3"/>
  <c r="Q1249" i="3"/>
  <c r="Q1250" i="3"/>
  <c r="Q485" i="3"/>
  <c r="Q486" i="3"/>
  <c r="Q487" i="3"/>
  <c r="Q1251" i="3"/>
  <c r="Q1252" i="3"/>
  <c r="Q1622" i="3"/>
  <c r="Q830" i="3"/>
  <c r="Q1623" i="3"/>
  <c r="Q1092" i="3"/>
  <c r="Q631" i="3"/>
  <c r="Q632" i="3"/>
  <c r="Q831" i="3"/>
  <c r="Q633" i="3"/>
  <c r="Q488" i="3"/>
  <c r="Q634" i="3"/>
  <c r="Q635" i="3"/>
  <c r="Q636" i="3"/>
  <c r="Q637" i="3"/>
  <c r="Q1624" i="3"/>
  <c r="Q125" i="3"/>
  <c r="Q1253" i="3"/>
  <c r="Q1254" i="3"/>
  <c r="Q638" i="3"/>
  <c r="Q1625" i="3"/>
  <c r="Q639" i="3"/>
  <c r="Q640" i="3"/>
  <c r="Q211" i="3"/>
  <c r="Q641" i="3"/>
  <c r="Q977" i="3"/>
  <c r="Q642" i="3"/>
  <c r="Q1255" i="3"/>
  <c r="Q1626" i="3"/>
  <c r="Q832" i="3"/>
  <c r="Q1627" i="3"/>
  <c r="Q1256" i="3"/>
  <c r="Q1628" i="3"/>
  <c r="Q1257" i="3"/>
  <c r="Q1629" i="3"/>
  <c r="Q833" i="3"/>
  <c r="Q643" i="3"/>
  <c r="Q489" i="3"/>
  <c r="Q490" i="3"/>
  <c r="Q978" i="3"/>
  <c r="Q979" i="3"/>
  <c r="Q212" i="3"/>
  <c r="Q1258" i="3"/>
  <c r="Q491" i="3"/>
  <c r="Q213" i="3"/>
  <c r="Q492" i="3"/>
  <c r="Q980" i="3"/>
  <c r="Q493" i="3"/>
  <c r="Q1630" i="3"/>
  <c r="Q214" i="3"/>
  <c r="Q215" i="3"/>
  <c r="Q494" i="3"/>
  <c r="Q216" i="3"/>
  <c r="Q1631" i="3"/>
  <c r="Q981" i="3"/>
  <c r="Q1632" i="3"/>
  <c r="Q982" i="3"/>
  <c r="Q1633" i="3"/>
  <c r="Q495" i="3"/>
  <c r="Q983" i="3"/>
  <c r="Q404" i="3"/>
  <c r="Q834" i="3"/>
  <c r="Q496" i="3"/>
  <c r="Q835" i="3"/>
  <c r="Q836" i="3"/>
  <c r="Q837" i="3"/>
  <c r="Q838" i="3"/>
  <c r="Q217" i="3"/>
  <c r="Q218" i="3"/>
  <c r="Q839" i="3"/>
  <c r="Q219" i="3"/>
  <c r="Q840" i="3"/>
  <c r="Q841" i="3"/>
  <c r="Q497" i="3"/>
  <c r="Q842" i="3"/>
  <c r="Q843" i="3"/>
  <c r="Q844" i="3"/>
  <c r="Q1634" i="3"/>
  <c r="Q498" i="3"/>
  <c r="Q499" i="3"/>
  <c r="Q1259" i="3"/>
  <c r="Q52" i="3"/>
  <c r="Q644" i="3"/>
  <c r="Q1635" i="3"/>
  <c r="Q845" i="3"/>
  <c r="Q846" i="3"/>
  <c r="Q847" i="3"/>
  <c r="Q405" i="3"/>
  <c r="Q848" i="3"/>
  <c r="Q500" i="3"/>
  <c r="Q849" i="3"/>
  <c r="Q501" i="3"/>
  <c r="Q850" i="3"/>
  <c r="Q851" i="3"/>
  <c r="Q126" i="3"/>
  <c r="Q127" i="3"/>
  <c r="Q1636" i="3"/>
  <c r="Q1637" i="3"/>
  <c r="Q645" i="3"/>
  <c r="Q646" i="3"/>
  <c r="Q1638" i="3"/>
  <c r="Q128" i="3"/>
  <c r="Q502" i="3"/>
  <c r="Q1639" i="3"/>
  <c r="Q647" i="3"/>
  <c r="Q648" i="3"/>
  <c r="Q984" i="3"/>
  <c r="Q53" i="3"/>
  <c r="Q220" i="3"/>
  <c r="Q852" i="3"/>
  <c r="Q54" i="3"/>
  <c r="Q649" i="3"/>
  <c r="Q985" i="3"/>
  <c r="Q986" i="3"/>
  <c r="Q1640" i="3"/>
  <c r="Q1641" i="3"/>
  <c r="Q650" i="3"/>
  <c r="Q853" i="3"/>
  <c r="Q1260" i="3"/>
  <c r="Q406" i="3"/>
  <c r="Q1261" i="3"/>
  <c r="Q1642" i="3"/>
  <c r="Q1262" i="3"/>
  <c r="Q1263" i="3"/>
  <c r="Q651" i="3"/>
  <c r="Q854" i="3"/>
  <c r="Q855" i="3"/>
  <c r="Q856" i="3"/>
  <c r="Q503" i="3"/>
  <c r="Q857" i="3"/>
  <c r="Q1643" i="3"/>
  <c r="Q1264" i="3"/>
  <c r="Q858" i="3"/>
  <c r="Q129" i="3"/>
  <c r="Q859" i="3"/>
  <c r="Q860" i="3"/>
  <c r="Q1644" i="3"/>
  <c r="Q861" i="3"/>
  <c r="Q1265" i="3"/>
  <c r="Q1266" i="3"/>
  <c r="Q1267" i="3"/>
  <c r="Q652" i="3"/>
  <c r="Q1268" i="3"/>
  <c r="Q1645" i="3"/>
  <c r="Q987" i="3"/>
  <c r="Q1269" i="3"/>
  <c r="Q1270" i="3"/>
  <c r="Q221" i="3"/>
  <c r="Q1271" i="3"/>
  <c r="Q222" i="3"/>
  <c r="Q1646" i="3"/>
  <c r="Q223" i="3"/>
  <c r="Q1647" i="3"/>
  <c r="Q862" i="3"/>
  <c r="Q1272" i="3"/>
  <c r="Q130" i="3"/>
  <c r="Q131" i="3"/>
  <c r="Q132" i="3"/>
  <c r="Q407" i="3"/>
  <c r="Q1648" i="3"/>
  <c r="Q133" i="3"/>
  <c r="Q863" i="3"/>
  <c r="Q134" i="3"/>
  <c r="Q1649" i="3"/>
  <c r="Q224" i="3"/>
  <c r="Q135" i="3"/>
  <c r="Q1093" i="3"/>
  <c r="Q136" i="3"/>
  <c r="Q1273" i="3"/>
  <c r="Q137" i="3"/>
  <c r="Q408" i="3"/>
  <c r="Q138" i="3"/>
  <c r="Q409" i="3"/>
  <c r="Q988" i="3"/>
  <c r="Q653" i="3"/>
  <c r="Q225" i="3"/>
  <c r="Q1274" i="3"/>
  <c r="Q504" i="3"/>
  <c r="Q1650" i="3"/>
  <c r="Q989" i="3"/>
  <c r="Q139" i="3"/>
  <c r="Q410" i="3"/>
  <c r="Q226" i="3"/>
  <c r="Q990" i="3"/>
  <c r="Q1651" i="3"/>
  <c r="Q1652" i="3"/>
  <c r="Q227" i="3"/>
  <c r="Q140" i="3"/>
  <c r="Q141" i="3"/>
  <c r="Q1653" i="3"/>
  <c r="Q864" i="3"/>
  <c r="Q142" i="3"/>
  <c r="Q1275" i="3"/>
  <c r="Q1654" i="3"/>
  <c r="Q865" i="3"/>
  <c r="Q1655" i="3"/>
  <c r="Q1656" i="3"/>
  <c r="Q1657" i="3"/>
  <c r="Q1276" i="3"/>
  <c r="Q1658" i="3"/>
  <c r="Q866" i="3"/>
  <c r="Q1277" i="3"/>
  <c r="Q1659" i="3"/>
  <c r="Q1660" i="3"/>
  <c r="Q228" i="3"/>
  <c r="Q867" i="3"/>
  <c r="Q229" i="3"/>
  <c r="Q1278" i="3"/>
  <c r="Q868" i="3"/>
  <c r="Q1661" i="3"/>
  <c r="Q1662" i="3"/>
  <c r="Q1279" i="3"/>
  <c r="Q1280" i="3"/>
  <c r="Q1281" i="3"/>
  <c r="Q230" i="3"/>
  <c r="Q991" i="3"/>
  <c r="Q1663" i="3"/>
  <c r="Q1664" i="3"/>
  <c r="Q505" i="3"/>
  <c r="Q1282" i="3"/>
  <c r="Q55" i="3"/>
  <c r="Q1665" i="3"/>
  <c r="Q1666" i="3"/>
  <c r="Q56" i="3"/>
  <c r="Q1283" i="3"/>
  <c r="Q1667" i="3"/>
  <c r="Q1668" i="3"/>
  <c r="Q992" i="3"/>
  <c r="Q1284" i="3"/>
  <c r="Q57" i="3"/>
  <c r="Q1669" i="3"/>
  <c r="Q993" i="3"/>
  <c r="Q869" i="3"/>
  <c r="Q1285" i="3"/>
  <c r="Q870" i="3"/>
  <c r="Q1286" i="3"/>
  <c r="Q871" i="3"/>
  <c r="Q872" i="3"/>
  <c r="Q873" i="3"/>
  <c r="Q1287" i="3"/>
  <c r="Q524" i="3"/>
  <c r="Q58" i="3"/>
  <c r="Q654" i="3"/>
  <c r="Q655" i="3"/>
  <c r="Q1289" i="3"/>
  <c r="Q1290" i="3"/>
  <c r="Q1291" i="3"/>
  <c r="Q1094" i="3"/>
  <c r="Q656" i="3"/>
  <c r="Q231" i="3"/>
  <c r="Q59" i="3"/>
  <c r="Q1292" i="3"/>
  <c r="Q1293" i="3"/>
  <c r="Q1294" i="3"/>
  <c r="Q1295" i="3"/>
  <c r="Q60" i="3"/>
  <c r="Q506" i="3"/>
  <c r="Q657" i="3"/>
  <c r="Q874" i="3"/>
  <c r="Q1296" i="3"/>
  <c r="Q1297" i="3"/>
  <c r="Q1298" i="3"/>
  <c r="Q875" i="3"/>
  <c r="Q1299" i="3"/>
  <c r="Q507" i="3"/>
  <c r="Q1670" i="3"/>
  <c r="Q658" i="3"/>
  <c r="Q876" i="3"/>
  <c r="Q877" i="3"/>
  <c r="Q659" i="3"/>
  <c r="Q1300" i="3"/>
  <c r="Q143" i="3"/>
  <c r="Q1301" i="3"/>
  <c r="Q1671" i="3"/>
  <c r="Q1672" i="3"/>
  <c r="Q1673" i="3"/>
  <c r="Q1674" i="3"/>
  <c r="Q1358" i="3"/>
  <c r="Q1676" i="3"/>
  <c r="Q411" i="3"/>
  <c r="Q477" i="3"/>
  <c r="Q1302" i="3"/>
  <c r="Q144" i="3"/>
  <c r="Q145" i="3"/>
  <c r="Q1677" i="3"/>
  <c r="Q525" i="3"/>
  <c r="Q995" i="3"/>
  <c r="Q526" i="3"/>
  <c r="Q508" i="3"/>
  <c r="Q878" i="3"/>
  <c r="Q232" i="3"/>
  <c r="Q1305" i="3"/>
  <c r="Q1306" i="3"/>
  <c r="Q1678" i="3"/>
  <c r="Q1307" i="3"/>
  <c r="Q1679" i="3"/>
  <c r="Q1680" i="3"/>
  <c r="Q996" i="3"/>
  <c r="Q412" i="3"/>
  <c r="Q1681" i="3"/>
  <c r="Q1682" i="3"/>
  <c r="Q1308" i="3"/>
  <c r="Q1309" i="3"/>
  <c r="Q1310" i="3"/>
  <c r="Q1311" i="3"/>
  <c r="Q1312" i="3"/>
  <c r="Q1683" i="3"/>
  <c r="Q1313" i="3"/>
  <c r="Q1314" i="3"/>
  <c r="Q997" i="3"/>
  <c r="Q1315" i="3"/>
  <c r="Q1316" i="3"/>
  <c r="Q1317" i="3"/>
  <c r="Q1684" i="3"/>
  <c r="Q1318" i="3"/>
  <c r="Q1685" i="3"/>
  <c r="Q1686" i="3"/>
  <c r="Q1687" i="3"/>
  <c r="Q1319" i="3"/>
  <c r="Q1688" i="3"/>
  <c r="Q998" i="3"/>
  <c r="Q1689" i="3"/>
  <c r="Q1320" i="3"/>
  <c r="Q509" i="3"/>
  <c r="Q1690" i="3"/>
  <c r="Q1691" i="3"/>
  <c r="Q1321" i="3"/>
  <c r="Q1692" i="3"/>
  <c r="Q1322" i="3"/>
  <c r="Q879" i="3"/>
  <c r="Q880" i="3"/>
  <c r="Q1323" i="3"/>
  <c r="Q1324" i="3"/>
  <c r="Q999" i="3"/>
  <c r="Q146" i="3"/>
  <c r="Q413" i="3"/>
  <c r="Q414" i="3"/>
  <c r="Q1000" i="3"/>
  <c r="Q1001" i="3"/>
  <c r="Q1325" i="3"/>
  <c r="Q1326" i="3"/>
  <c r="Q1327" i="3"/>
  <c r="Q660" i="3"/>
  <c r="Q1002" i="3"/>
  <c r="Q661" i="3"/>
  <c r="Q662" i="3"/>
  <c r="Q1328" i="3"/>
  <c r="Q1329" i="3"/>
  <c r="Q1330" i="3"/>
  <c r="Q147" i="3"/>
  <c r="Q1331" i="3"/>
  <c r="Q881" i="3"/>
  <c r="Q1332" i="3"/>
  <c r="Q233" i="3"/>
  <c r="Q415" i="3"/>
  <c r="Q234" i="3"/>
  <c r="Q61" i="3"/>
  <c r="Q663" i="3"/>
  <c r="Q62" i="3"/>
  <c r="Q1003" i="3"/>
  <c r="Q416" i="3"/>
  <c r="Q235" i="3"/>
  <c r="Q1693" i="3"/>
  <c r="Q1694" i="3"/>
  <c r="Q1333" i="3"/>
  <c r="Q510" i="3"/>
  <c r="Q664" i="3"/>
  <c r="Q417" i="3"/>
  <c r="Q665" i="3"/>
  <c r="Q236" i="3"/>
  <c r="Q418" i="3"/>
  <c r="Q148" i="3"/>
  <c r="Q419" i="3"/>
  <c r="Q666" i="3"/>
  <c r="Q667" i="3"/>
  <c r="Q1695" i="3"/>
  <c r="Q668" i="3"/>
  <c r="Q63" i="3"/>
  <c r="Q669" i="3"/>
  <c r="Q64" i="3"/>
  <c r="Q65" i="3"/>
  <c r="Q1004" i="3"/>
  <c r="Q420" i="3"/>
  <c r="Q670" i="3"/>
  <c r="Q671" i="3"/>
  <c r="Q66" i="3"/>
  <c r="Q421" i="3"/>
  <c r="Q1005" i="3"/>
  <c r="Q882" i="3"/>
  <c r="Q883" i="3"/>
  <c r="Q511" i="3"/>
  <c r="Q67" i="3"/>
  <c r="Q672" i="3"/>
  <c r="Q1696" i="3"/>
  <c r="Q673" i="3"/>
  <c r="Q884" i="3"/>
  <c r="Q885" i="3"/>
  <c r="Q1006" i="3"/>
  <c r="Q422" i="3"/>
  <c r="Q1697" i="3"/>
  <c r="Q886" i="3"/>
  <c r="Q887" i="3"/>
  <c r="Q1698" i="3"/>
  <c r="Q1095" i="3"/>
  <c r="Q1699" i="3"/>
  <c r="Q888" i="3"/>
  <c r="Q889" i="3"/>
  <c r="Q1700" i="3"/>
  <c r="Q1701" i="3"/>
  <c r="Q423" i="3"/>
  <c r="Q1702" i="3"/>
  <c r="Q1703" i="3"/>
  <c r="Q1704" i="3"/>
  <c r="Q1705" i="3"/>
  <c r="Q424" i="3"/>
  <c r="Q425" i="3"/>
  <c r="Q149" i="3"/>
  <c r="Q426" i="3"/>
  <c r="Q674" i="3"/>
  <c r="Q1706" i="3"/>
  <c r="Q1707" i="3"/>
  <c r="Q890" i="3"/>
  <c r="Q68" i="3"/>
  <c r="Q427" i="3"/>
  <c r="Q1096" i="3"/>
  <c r="Q428" i="3"/>
  <c r="Q512" i="3"/>
  <c r="Q513" i="3"/>
  <c r="Q69" i="3"/>
  <c r="Q891" i="3"/>
  <c r="Q892" i="3"/>
  <c r="Q429" i="3"/>
  <c r="Q1708" i="3"/>
  <c r="Q1709" i="3"/>
  <c r="Q430" i="3"/>
  <c r="Q675" i="3"/>
  <c r="Q431" i="3"/>
  <c r="Q432" i="3"/>
  <c r="Q893" i="3"/>
  <c r="Q1710" i="3"/>
  <c r="Q1711" i="3"/>
  <c r="Q1712" i="3"/>
  <c r="Q1713" i="3"/>
  <c r="Q1714" i="3"/>
  <c r="Q1715" i="3"/>
  <c r="Q1007" i="3"/>
  <c r="Q1716" i="3"/>
  <c r="Q1717" i="3"/>
  <c r="Q1718" i="3"/>
  <c r="Q894" i="3"/>
  <c r="Q1719" i="3"/>
  <c r="Q895" i="3"/>
  <c r="Q1720" i="3"/>
  <c r="Q1334" i="3"/>
  <c r="Q676" i="3"/>
  <c r="Q1335" i="3"/>
  <c r="Q896" i="3"/>
  <c r="Q1721" i="3"/>
  <c r="Q1336" i="3"/>
  <c r="Q1337" i="3"/>
  <c r="Q1008" i="3"/>
  <c r="Q1009" i="3"/>
  <c r="Q433" i="3"/>
  <c r="Q237" i="3"/>
  <c r="Q897" i="3"/>
  <c r="Q1722" i="3"/>
  <c r="Q677" i="3"/>
  <c r="Q1338" i="3"/>
  <c r="Q1723" i="3"/>
  <c r="Q1010" i="3"/>
  <c r="Q1724" i="3"/>
  <c r="Q1725" i="3"/>
  <c r="Q678" i="3"/>
  <c r="Q523" i="3"/>
  <c r="Q1726" i="3"/>
  <c r="Q1727" i="3"/>
  <c r="Q434" i="3"/>
  <c r="Q1339" i="3"/>
  <c r="Q514" i="3"/>
  <c r="Q515" i="3"/>
  <c r="Q1340" i="3"/>
  <c r="Q898" i="3"/>
  <c r="Q899" i="3"/>
  <c r="Q516" i="3"/>
  <c r="Q679" i="3"/>
  <c r="Q1728" i="3"/>
  <c r="Q680" i="3"/>
  <c r="Q1729" i="3"/>
  <c r="Q1341" i="3"/>
  <c r="Q517" i="3"/>
  <c r="Q518" i="3"/>
  <c r="Q519" i="3"/>
  <c r="Q520" i="3"/>
  <c r="Q521" i="3"/>
  <c r="Q1342" i="3"/>
  <c r="Q1012" i="3"/>
  <c r="Q681" i="3"/>
  <c r="Q1343" i="3"/>
  <c r="Q1730" i="3"/>
  <c r="Q1013" i="3"/>
  <c r="Q70" i="3"/>
  <c r="Q1731" i="3"/>
  <c r="Q1014" i="3"/>
  <c r="Q682" i="3"/>
  <c r="Q1732" i="3"/>
  <c r="Q683" i="3"/>
  <c r="Q1733" i="3"/>
  <c r="Q684" i="3"/>
  <c r="Q1734" i="3"/>
  <c r="Q685" i="3"/>
  <c r="Q435" i="3"/>
  <c r="Q1735" i="3"/>
  <c r="Q1736" i="3"/>
  <c r="Q1737" i="3"/>
  <c r="Q238" i="3"/>
  <c r="Q522" i="3"/>
  <c r="Q239" i="3"/>
  <c r="Q1097" i="3"/>
  <c r="Q240" i="3"/>
  <c r="Q1344" i="3"/>
  <c r="Q686" i="3"/>
  <c r="Q241" i="3"/>
  <c r="Q242" i="3"/>
  <c r="Q243" i="3"/>
  <c r="Q436" i="3"/>
  <c r="Q244" i="3"/>
  <c r="Q245" i="3"/>
  <c r="Q246" i="3"/>
  <c r="Q247" i="3"/>
  <c r="Q1345" i="3"/>
  <c r="Q1304" i="3"/>
  <c r="Q248" i="3"/>
  <c r="Q687" i="3"/>
  <c r="Q688" i="3"/>
  <c r="Q1738" i="3"/>
  <c r="Q1739" i="3"/>
  <c r="Q689" i="3"/>
  <c r="Q437" i="3"/>
  <c r="Q249" i="3"/>
  <c r="Q250" i="3"/>
  <c r="Q251" i="3"/>
  <c r="Q252" i="3"/>
  <c r="Q253" i="3"/>
  <c r="Q254" i="3"/>
  <c r="Q1346" i="3"/>
  <c r="Q1347" i="3"/>
  <c r="Q1740" i="3"/>
  <c r="Q1741" i="3"/>
  <c r="Q1015" i="3"/>
  <c r="Q1016" i="3"/>
  <c r="Q964" i="3"/>
  <c r="Q1742" i="3"/>
  <c r="Q690" i="3"/>
  <c r="Q691" i="3"/>
  <c r="Q692" i="3"/>
  <c r="Q71" i="3"/>
  <c r="Q1017" i="3"/>
  <c r="Q72" i="3"/>
  <c r="Q1018" i="3"/>
  <c r="Q1019" i="3"/>
  <c r="Q1020" i="3"/>
  <c r="Q1021" i="3"/>
  <c r="Q1348" i="3"/>
  <c r="Q1022" i="3"/>
  <c r="Q1023" i="3"/>
  <c r="Q1743" i="3"/>
  <c r="Q1744" i="3"/>
  <c r="Q693" i="3"/>
  <c r="Q994" i="3"/>
  <c r="Q694" i="3"/>
  <c r="Q1011" i="3"/>
  <c r="Q695" i="3"/>
  <c r="Q1288" i="3"/>
  <c r="Q696" i="3"/>
  <c r="Q1349" i="3"/>
  <c r="Q1352" i="3"/>
  <c r="Q1745" i="3"/>
  <c r="Q1353" i="3"/>
  <c r="Q73" i="3"/>
  <c r="Q1354" i="3"/>
  <c r="Q697" i="3"/>
  <c r="Q698" i="3"/>
  <c r="Q255" i="3"/>
  <c r="Q699" i="3"/>
  <c r="Q700" i="3"/>
  <c r="Q900" i="3"/>
  <c r="Q74" i="3"/>
  <c r="Q701" i="3"/>
  <c r="Q1355" i="3"/>
  <c r="Q1350" i="3"/>
  <c r="Q1356" i="3"/>
  <c r="Q702" i="3"/>
  <c r="Q703" i="3"/>
  <c r="Q150" i="3"/>
  <c r="Q704" i="3"/>
  <c r="Q75" i="3"/>
  <c r="Q705" i="3"/>
  <c r="Q1098" i="3"/>
  <c r="Q706" i="3"/>
  <c r="Q707" i="3"/>
  <c r="Q1357" i="3"/>
  <c r="Q438" i="3"/>
  <c r="Q1746" i="3"/>
  <c r="Q1747" i="3"/>
  <c r="Q1748" i="3"/>
  <c r="Q1303" i="3"/>
  <c r="Q1359" i="3"/>
  <c r="Q1099" i="3"/>
  <c r="Q439" i="3"/>
  <c r="Q1749" i="3"/>
  <c r="Q1750" i="3"/>
  <c r="Q1751" i="3"/>
  <c r="Q1752" i="3"/>
  <c r="Q1753" i="3"/>
  <c r="Q708" i="3"/>
  <c r="Q901" i="3"/>
  <c r="Q76" i="3"/>
  <c r="Q1754" i="3"/>
  <c r="Q256" i="3"/>
  <c r="Q77" i="3"/>
  <c r="Q902" i="3"/>
  <c r="Q903" i="3"/>
  <c r="Q904" i="3"/>
  <c r="Q905" i="3"/>
  <c r="Q709" i="3"/>
  <c r="Q710" i="3"/>
  <c r="Q711" i="3"/>
  <c r="Q712" i="3"/>
  <c r="Q257" i="3"/>
  <c r="Q713" i="3"/>
  <c r="Q906" i="3"/>
  <c r="Q1755" i="3"/>
  <c r="Q1756" i="3"/>
  <c r="Q1757" i="3"/>
  <c r="Q1100" i="3"/>
  <c r="Q78" i="3"/>
  <c r="Q440" i="3"/>
  <c r="Q1758" i="3"/>
  <c r="Q1759" i="3"/>
  <c r="Q1760" i="3"/>
  <c r="Q714" i="3"/>
  <c r="Q907" i="3"/>
  <c r="Q1024" i="3"/>
  <c r="Q908" i="3"/>
  <c r="Q715" i="3"/>
  <c r="Q1761" i="3"/>
  <c r="Q716" i="3"/>
  <c r="Q441" i="3"/>
  <c r="Q717" i="3"/>
  <c r="Q718" i="3"/>
  <c r="Q719" i="3"/>
  <c r="Q720" i="3"/>
  <c r="Q721" i="3"/>
  <c r="Q1360" i="3"/>
  <c r="Q722" i="3"/>
  <c r="Q1762" i="3"/>
  <c r="Q1763" i="3"/>
  <c r="Q1764" i="3"/>
  <c r="Q909" i="3"/>
  <c r="Q910" i="3"/>
  <c r="Q1101" i="3"/>
  <c r="Q1765" i="3"/>
  <c r="Q1766" i="3"/>
  <c r="Q1767" i="3"/>
  <c r="Q1768" i="3"/>
  <c r="Q1361" i="3"/>
  <c r="Q151" i="3"/>
  <c r="Q723" i="3"/>
  <c r="Q1769" i="3"/>
  <c r="Q724" i="3"/>
  <c r="Q1362" i="3"/>
  <c r="Q527" i="3"/>
  <c r="Q258" i="3"/>
  <c r="Q725" i="3"/>
  <c r="Q442" i="3"/>
  <c r="Q1363" i="3"/>
  <c r="Q1770" i="3"/>
  <c r="Q259" i="3"/>
  <c r="Q1771" i="3"/>
  <c r="Q260" i="3"/>
  <c r="Q726" i="3"/>
  <c r="Q1364" i="3"/>
  <c r="Q1365" i="3"/>
  <c r="Q1772" i="3"/>
  <c r="Q1773" i="3"/>
  <c r="Q1774" i="3"/>
  <c r="Q1775" i="3"/>
  <c r="Q727" i="3"/>
  <c r="Q261" i="3"/>
  <c r="Q79" i="3"/>
  <c r="Q152" i="3"/>
  <c r="Q1102" i="3"/>
  <c r="Q1593" i="3"/>
  <c r="Q262" i="3"/>
  <c r="Q1366" i="3"/>
  <c r="Q263" i="3"/>
  <c r="Q264" i="3"/>
  <c r="Q1777" i="3"/>
  <c r="Q265" i="3"/>
  <c r="Q266" i="3"/>
  <c r="Q267" i="3"/>
  <c r="Q268" i="3"/>
  <c r="Q269" i="3"/>
  <c r="Q270" i="3"/>
  <c r="Q271" i="3"/>
  <c r="Q272" i="3"/>
  <c r="Q528" i="3"/>
  <c r="Q728" i="3"/>
  <c r="Q729" i="3"/>
  <c r="Q153" i="3"/>
  <c r="Q154" i="3"/>
  <c r="Q1103" i="3"/>
  <c r="Q273" i="3"/>
  <c r="Q443" i="3"/>
  <c r="Q155" i="3"/>
  <c r="Q1025" i="3"/>
  <c r="Q274" i="3"/>
  <c r="Q275" i="3"/>
  <c r="Q730" i="3"/>
  <c r="Q444" i="3"/>
  <c r="Q276" i="3"/>
  <c r="Q731" i="3"/>
  <c r="Q445" i="3"/>
  <c r="Q732" i="3"/>
  <c r="Q1367" i="3"/>
  <c r="Q277" i="3"/>
  <c r="Q278" i="3"/>
  <c r="Q279" i="3"/>
  <c r="Q280" i="3"/>
  <c r="Q281" i="3"/>
  <c r="Q282" i="3"/>
  <c r="Q283" i="3"/>
  <c r="Q1778" i="3"/>
  <c r="Q284" i="3"/>
  <c r="Q285" i="3"/>
  <c r="Q1026" i="3"/>
  <c r="Q286" i="3"/>
  <c r="Q733" i="3"/>
  <c r="Q734" i="3"/>
  <c r="Q911" i="3"/>
  <c r="Q735" i="3"/>
  <c r="Q736" i="3"/>
  <c r="Q737" i="3"/>
  <c r="Q738" i="3"/>
  <c r="Q739" i="3"/>
  <c r="Q287" i="3"/>
  <c r="Q740" i="3"/>
  <c r="Q288" i="3"/>
  <c r="Q1368" i="3"/>
  <c r="Q1369" i="3"/>
  <c r="Q1027" i="3"/>
  <c r="Q741" i="3"/>
  <c r="Q1370" i="3"/>
  <c r="Q742" i="3"/>
  <c r="Q743" i="3"/>
  <c r="Q80" i="3"/>
  <c r="Q1371" i="3"/>
  <c r="Q289" i="3"/>
  <c r="Q81" i="3"/>
  <c r="Q1372" i="3"/>
  <c r="Q290" i="3"/>
  <c r="Q1373" i="3"/>
  <c r="Q1374" i="3"/>
  <c r="Q1375" i="3"/>
  <c r="Q1376" i="3"/>
  <c r="Q1377" i="3"/>
  <c r="Q291" i="3"/>
  <c r="Q1104" i="3"/>
  <c r="Q1378" i="3"/>
  <c r="Q292" i="3"/>
  <c r="Q293" i="3"/>
  <c r="Q294" i="3"/>
  <c r="Q295" i="3"/>
  <c r="Q296" i="3"/>
  <c r="Q1379" i="3"/>
  <c r="Q297" i="3"/>
  <c r="Q298" i="3"/>
  <c r="Q1380" i="3"/>
  <c r="Q1381" i="3"/>
  <c r="Q1382" i="3"/>
  <c r="Q1383" i="3"/>
  <c r="Q1384" i="3"/>
  <c r="Q1385" i="3"/>
  <c r="Q299" i="3"/>
  <c r="Q300" i="3"/>
  <c r="Q1386" i="3"/>
  <c r="Q1387" i="3"/>
  <c r="Q1388" i="3"/>
  <c r="Q1389" i="3"/>
  <c r="Q1390" i="3"/>
  <c r="Q1391" i="3"/>
  <c r="Q1392" i="3"/>
  <c r="Q1028" i="3"/>
  <c r="Q1029" i="3"/>
  <c r="Q1393" i="3"/>
  <c r="Q1030" i="3"/>
  <c r="Q301" i="3"/>
  <c r="Q156" i="3"/>
  <c r="Q1394" i="3"/>
  <c r="Q1395" i="3"/>
  <c r="Q1031" i="3"/>
  <c r="Q1032" i="3"/>
  <c r="Q1033" i="3"/>
  <c r="Q1779" i="3"/>
  <c r="Q1396" i="3"/>
  <c r="Q1397" i="3"/>
  <c r="Q1780" i="3"/>
  <c r="Q1398" i="3"/>
  <c r="Q744" i="3"/>
  <c r="Q302" i="3"/>
  <c r="Q1781" i="3"/>
  <c r="Q1399" i="3"/>
  <c r="Q157" i="3"/>
  <c r="Q1034" i="3"/>
  <c r="Q1035" i="3"/>
  <c r="Q158" i="3"/>
  <c r="Q159" i="3"/>
  <c r="Q1036" i="3"/>
  <c r="Q1782" i="3"/>
  <c r="Q160" i="3"/>
  <c r="Q1037" i="3"/>
  <c r="Q529" i="3"/>
  <c r="Q1783" i="3"/>
  <c r="Q1400" i="3"/>
  <c r="Q1784" i="3"/>
  <c r="Q446" i="3"/>
  <c r="Q1401" i="3"/>
  <c r="Q745" i="3"/>
  <c r="Q1038" i="3"/>
  <c r="Q1785" i="3"/>
  <c r="Q1039" i="3"/>
  <c r="Q1105" i="3"/>
  <c r="Q1040" i="3"/>
  <c r="Q1786" i="3"/>
  <c r="Q4325" i="3"/>
  <c r="Q303" i="3"/>
  <c r="Q161" i="3"/>
  <c r="Q1787" i="3"/>
  <c r="Q1788" i="3"/>
  <c r="Q1789" i="3"/>
  <c r="Q1402" i="3"/>
  <c r="Q1403" i="3"/>
  <c r="Q447" i="3"/>
  <c r="Q448" i="3"/>
  <c r="Q449" i="3"/>
  <c r="Q746" i="3"/>
  <c r="Q1042" i="3"/>
  <c r="Q82" i="3"/>
  <c r="Q450" i="3"/>
  <c r="Q747" i="3"/>
  <c r="Q748" i="3"/>
  <c r="Q1790" i="3"/>
  <c r="Q304" i="3"/>
  <c r="Q1791" i="3"/>
  <c r="Q1792" i="3"/>
  <c r="Q1404" i="3"/>
  <c r="Q1405" i="3"/>
  <c r="Q749" i="3"/>
  <c r="Q305" i="3"/>
  <c r="Q1793" i="3"/>
  <c r="Q1043" i="3"/>
  <c r="Q1406" i="3"/>
  <c r="Q1044" i="3"/>
  <c r="Q750" i="3"/>
  <c r="Q451" i="3"/>
  <c r="Q912" i="3"/>
  <c r="Q1794" i="3"/>
  <c r="Q1795" i="3"/>
  <c r="Q452" i="3"/>
  <c r="Q453" i="3"/>
  <c r="Q751" i="3"/>
  <c r="Q1796" i="3"/>
  <c r="Q752" i="3"/>
  <c r="Q1797" i="3"/>
  <c r="Q913" i="3"/>
  <c r="Q753" i="3"/>
  <c r="Q754" i="3"/>
  <c r="Q1045" i="3"/>
  <c r="Q1798" i="3"/>
  <c r="Q1046" i="3"/>
  <c r="Q1799" i="3"/>
  <c r="Q1407" i="3"/>
  <c r="Q1408" i="3"/>
  <c r="Q454" i="3"/>
  <c r="Q1800" i="3"/>
  <c r="Q914" i="3"/>
  <c r="Q1801" i="3"/>
  <c r="Q530" i="3"/>
  <c r="Q306" i="3"/>
  <c r="Q162" i="3"/>
  <c r="Q755" i="3"/>
  <c r="Q1409" i="3"/>
  <c r="Q1802" i="3"/>
  <c r="Q1803" i="3"/>
  <c r="Q1804" i="3"/>
  <c r="Q1805" i="3"/>
  <c r="Q1410" i="3"/>
  <c r="Q1806" i="3"/>
  <c r="Q531" i="3"/>
  <c r="Q1807" i="3"/>
  <c r="Q1808" i="3"/>
  <c r="Q1809" i="3"/>
  <c r="Q1810" i="3"/>
  <c r="Q307" i="3"/>
  <c r="Q308" i="3"/>
  <c r="Q1811" i="3"/>
  <c r="Q1812" i="3"/>
  <c r="Q309" i="3"/>
  <c r="Q310" i="3"/>
  <c r="Q311" i="3"/>
  <c r="Q83" i="3"/>
  <c r="Q312" i="3"/>
  <c r="Q163" i="3"/>
  <c r="Q1813" i="3"/>
  <c r="Q313" i="3"/>
  <c r="Q1814" i="3"/>
  <c r="Q1815" i="3"/>
  <c r="Q455" i="3"/>
  <c r="Q1816" i="3"/>
  <c r="Q1411" i="3"/>
  <c r="Q1047" i="3"/>
  <c r="Q1817" i="3"/>
  <c r="Q1818" i="3"/>
  <c r="Q1819" i="3"/>
  <c r="Q314" i="3"/>
  <c r="Q315" i="3"/>
  <c r="Q1048" i="3"/>
  <c r="Q1049" i="3"/>
  <c r="Q84" i="3"/>
  <c r="Q1820" i="3"/>
  <c r="Q1821" i="3"/>
  <c r="Q1050" i="3"/>
  <c r="Q1822" i="3"/>
  <c r="Q1823" i="3"/>
  <c r="Q1051" i="3"/>
  <c r="Q1824" i="3"/>
  <c r="Q1052" i="3"/>
  <c r="Q316" i="3"/>
  <c r="Q317" i="3"/>
  <c r="Q1053" i="3"/>
  <c r="Q1054" i="3"/>
  <c r="Q1055" i="3"/>
  <c r="Q1056" i="3"/>
  <c r="Q1057" i="3"/>
  <c r="Q1058" i="3"/>
  <c r="Q756" i="3"/>
  <c r="Q318" i="3"/>
  <c r="Q319" i="3"/>
  <c r="Q757" i="3"/>
  <c r="Q320" i="3"/>
  <c r="Q758" i="3"/>
  <c r="Q1825" i="3"/>
  <c r="Q321" i="3"/>
  <c r="Q759" i="3"/>
  <c r="Q760" i="3"/>
  <c r="Q1412" i="3"/>
  <c r="Q322" i="3"/>
  <c r="Q761" i="3"/>
  <c r="Q1413" i="3"/>
  <c r="Q762" i="3"/>
  <c r="Q1059" i="3"/>
  <c r="Q1060" i="3"/>
  <c r="Q323" i="3"/>
  <c r="Q164" i="3"/>
  <c r="Q1061" i="3"/>
  <c r="Q165" i="3"/>
  <c r="Q1062" i="3"/>
  <c r="Q166" i="3"/>
  <c r="Q1106" i="3"/>
  <c r="Q1107" i="3"/>
  <c r="Q1063" i="3"/>
  <c r="Q1414" i="3"/>
  <c r="Q763" i="3"/>
  <c r="Q167" i="3"/>
  <c r="Q532" i="3"/>
  <c r="Q533" i="3"/>
  <c r="Q764" i="3"/>
  <c r="Q1415" i="3"/>
  <c r="Q765" i="3"/>
  <c r="Q1064" i="3"/>
  <c r="Q766" i="3"/>
  <c r="Q534" i="3"/>
  <c r="Q535" i="3"/>
  <c r="Q1826" i="3"/>
  <c r="Q1827" i="3"/>
  <c r="Q1416" i="3"/>
  <c r="Q536" i="3"/>
  <c r="Q1065" i="3"/>
  <c r="Q168" i="3"/>
  <c r="Q456" i="3"/>
  <c r="Q537" i="3"/>
  <c r="Q538" i="3"/>
  <c r="Q1417" i="3"/>
  <c r="Q1418" i="3"/>
  <c r="Q1828" i="3"/>
  <c r="Q539" i="3"/>
  <c r="Q1829" i="3"/>
  <c r="Q1830" i="3"/>
  <c r="Q1419" i="3"/>
  <c r="Q767" i="3"/>
  <c r="Q85" i="3"/>
  <c r="Q1831" i="3"/>
  <c r="Q768" i="3"/>
  <c r="Q1832" i="3"/>
  <c r="S137" i="3" l="1"/>
  <c r="T137" i="3" s="1"/>
  <c r="U137" i="3"/>
  <c r="V137" i="3" s="1"/>
  <c r="W137" i="3"/>
  <c r="X137" i="3"/>
  <c r="S1753" i="3" l="1"/>
  <c r="T1753" i="3" s="1"/>
  <c r="S708" i="3"/>
  <c r="T708" i="3" s="1"/>
  <c r="S901" i="3"/>
  <c r="T901" i="3" s="1"/>
  <c r="S76" i="3"/>
  <c r="T76" i="3" s="1"/>
  <c r="S1754" i="3"/>
  <c r="S256" i="3"/>
  <c r="T256" i="3" s="1"/>
  <c r="S77" i="3"/>
  <c r="T77" i="3" s="1"/>
  <c r="S902" i="3"/>
  <c r="T902" i="3" s="1"/>
  <c r="S903" i="3"/>
  <c r="T903" i="3" s="1"/>
  <c r="S904" i="3"/>
  <c r="T904" i="3" s="1"/>
  <c r="S905" i="3"/>
  <c r="T905" i="3" s="1"/>
  <c r="S709" i="3"/>
  <c r="T709" i="3" s="1"/>
  <c r="S710" i="3"/>
  <c r="T710" i="3" s="1"/>
  <c r="S711" i="3"/>
  <c r="T711" i="3" s="1"/>
  <c r="S712" i="3"/>
  <c r="T712" i="3" s="1"/>
  <c r="S257" i="3"/>
  <c r="T257" i="3" s="1"/>
  <c r="S713" i="3"/>
  <c r="T713" i="3" s="1"/>
  <c r="S906" i="3"/>
  <c r="T906" i="3" s="1"/>
  <c r="S1755" i="3"/>
  <c r="T1755" i="3" s="1"/>
  <c r="S1756" i="3"/>
  <c r="T1756" i="3" s="1"/>
  <c r="S1757" i="3"/>
  <c r="T1757" i="3" s="1"/>
  <c r="S1100" i="3"/>
  <c r="T1100" i="3" s="1"/>
  <c r="S78" i="3"/>
  <c r="T78" i="3" s="1"/>
  <c r="S440" i="3"/>
  <c r="T440" i="3" s="1"/>
  <c r="S1758" i="3"/>
  <c r="T1758" i="3" s="1"/>
  <c r="S1759" i="3"/>
  <c r="T1759" i="3" s="1"/>
  <c r="S1760" i="3"/>
  <c r="T1760" i="3" s="1"/>
  <c r="S714" i="3"/>
  <c r="T714" i="3" s="1"/>
  <c r="S907" i="3"/>
  <c r="T907" i="3" s="1"/>
  <c r="S1024" i="3"/>
  <c r="T1024" i="3" s="1"/>
  <c r="S908" i="3"/>
  <c r="T908" i="3" s="1"/>
  <c r="S715" i="3"/>
  <c r="T715" i="3" s="1"/>
  <c r="S1761" i="3"/>
  <c r="T1761" i="3" s="1"/>
  <c r="S716" i="3"/>
  <c r="T716" i="3" s="1"/>
  <c r="S441" i="3"/>
  <c r="T441" i="3" s="1"/>
  <c r="S717" i="3"/>
  <c r="T717" i="3" s="1"/>
  <c r="S718" i="3"/>
  <c r="T718" i="3" s="1"/>
  <c r="S719" i="3"/>
  <c r="T719" i="3" s="1"/>
  <c r="S720" i="3"/>
  <c r="T720" i="3" s="1"/>
  <c r="S721" i="3"/>
  <c r="T721" i="3" s="1"/>
  <c r="S1360" i="3"/>
  <c r="T1360" i="3" s="1"/>
  <c r="S722" i="3"/>
  <c r="T722" i="3" s="1"/>
  <c r="S1762" i="3"/>
  <c r="T1762" i="3" s="1"/>
  <c r="S1763" i="3"/>
  <c r="T1763" i="3" s="1"/>
  <c r="S1764" i="3"/>
  <c r="T1764" i="3" s="1"/>
  <c r="S909" i="3"/>
  <c r="T909" i="3" s="1"/>
  <c r="S910" i="3"/>
  <c r="T910" i="3" s="1"/>
  <c r="S1101" i="3"/>
  <c r="T1101" i="3" s="1"/>
  <c r="S1765" i="3"/>
  <c r="T1765" i="3" s="1"/>
  <c r="S1766" i="3"/>
  <c r="T1766" i="3" s="1"/>
  <c r="S1767" i="3"/>
  <c r="T1767" i="3" s="1"/>
  <c r="S1768" i="3"/>
  <c r="T1768" i="3" s="1"/>
  <c r="S1361" i="3"/>
  <c r="T1361" i="3" s="1"/>
  <c r="S151" i="3"/>
  <c r="T151" i="3" s="1"/>
  <c r="S723" i="3"/>
  <c r="T723" i="3" s="1"/>
  <c r="S1769" i="3"/>
  <c r="T1769" i="3" s="1"/>
  <c r="S724" i="3"/>
  <c r="T724" i="3" s="1"/>
  <c r="S1362" i="3"/>
  <c r="T1362" i="3" s="1"/>
  <c r="S527" i="3"/>
  <c r="T527" i="3" s="1"/>
  <c r="S258" i="3"/>
  <c r="T258" i="3" s="1"/>
  <c r="S725" i="3"/>
  <c r="T725" i="3" s="1"/>
  <c r="S442" i="3"/>
  <c r="T442" i="3" s="1"/>
  <c r="S1363" i="3"/>
  <c r="T1363" i="3" s="1"/>
  <c r="S1770" i="3"/>
  <c r="T1770" i="3" s="1"/>
  <c r="S259" i="3"/>
  <c r="T259" i="3" s="1"/>
  <c r="S1771" i="3"/>
  <c r="T1771" i="3" s="1"/>
  <c r="S260" i="3"/>
  <c r="T260" i="3" s="1"/>
  <c r="S726" i="3"/>
  <c r="T726" i="3" s="1"/>
  <c r="S1364" i="3"/>
  <c r="T1364" i="3" s="1"/>
  <c r="S1365" i="3"/>
  <c r="T1365" i="3" s="1"/>
  <c r="S1772" i="3"/>
  <c r="T1772" i="3" s="1"/>
  <c r="S1773" i="3"/>
  <c r="T1773" i="3" s="1"/>
  <c r="S1774" i="3"/>
  <c r="T1774" i="3" s="1"/>
  <c r="S1775" i="3"/>
  <c r="T1775" i="3" s="1"/>
  <c r="S727" i="3"/>
  <c r="T727" i="3" s="1"/>
  <c r="S261" i="3"/>
  <c r="T261" i="3" s="1"/>
  <c r="S79" i="3"/>
  <c r="T79" i="3" s="1"/>
  <c r="S152" i="3"/>
  <c r="T152" i="3" s="1"/>
  <c r="S1102" i="3"/>
  <c r="T1102" i="3" s="1"/>
  <c r="S1593" i="3"/>
  <c r="T1593" i="3" s="1"/>
  <c r="S262" i="3"/>
  <c r="T262" i="3" s="1"/>
  <c r="S1366" i="3"/>
  <c r="T1366" i="3" s="1"/>
  <c r="S263" i="3"/>
  <c r="T263" i="3" s="1"/>
  <c r="S264" i="3"/>
  <c r="T264" i="3" s="1"/>
  <c r="S1777" i="3"/>
  <c r="T1777" i="3" s="1"/>
  <c r="S265" i="3"/>
  <c r="T265" i="3" s="1"/>
  <c r="S266" i="3"/>
  <c r="T266" i="3" s="1"/>
  <c r="S267" i="3"/>
  <c r="T267" i="3" s="1"/>
  <c r="S268" i="3"/>
  <c r="S269" i="3"/>
  <c r="T269" i="3" s="1"/>
  <c r="S270" i="3"/>
  <c r="T270" i="3" s="1"/>
  <c r="S271" i="3"/>
  <c r="T271" i="3" s="1"/>
  <c r="S272" i="3"/>
  <c r="T272" i="3" s="1"/>
  <c r="S528" i="3"/>
  <c r="T528" i="3" s="1"/>
  <c r="S728" i="3"/>
  <c r="T728" i="3" s="1"/>
  <c r="S729" i="3"/>
  <c r="T729" i="3" s="1"/>
  <c r="S153" i="3"/>
  <c r="T153" i="3" s="1"/>
  <c r="S154" i="3"/>
  <c r="T154" i="3" s="1"/>
  <c r="S1103" i="3"/>
  <c r="T1103" i="3" s="1"/>
  <c r="S273" i="3"/>
  <c r="T273" i="3" s="1"/>
  <c r="S443" i="3"/>
  <c r="T443" i="3" s="1"/>
  <c r="S155" i="3"/>
  <c r="T155" i="3" s="1"/>
  <c r="S1025" i="3"/>
  <c r="T1025" i="3" s="1"/>
  <c r="S274" i="3"/>
  <c r="T274" i="3" s="1"/>
  <c r="S275" i="3"/>
  <c r="T275" i="3" s="1"/>
  <c r="S730" i="3"/>
  <c r="T730" i="3" s="1"/>
  <c r="S444" i="3"/>
  <c r="T444" i="3" s="1"/>
  <c r="S276" i="3"/>
  <c r="T276" i="3" s="1"/>
  <c r="S731" i="3"/>
  <c r="T731" i="3" s="1"/>
  <c r="S445" i="3"/>
  <c r="T445" i="3" s="1"/>
  <c r="S732" i="3"/>
  <c r="T732" i="3" s="1"/>
  <c r="S1367" i="3"/>
  <c r="T1367" i="3" s="1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1778" i="3"/>
  <c r="T1778" i="3" s="1"/>
  <c r="S284" i="3"/>
  <c r="T284" i="3" s="1"/>
  <c r="S285" i="3"/>
  <c r="T285" i="3" s="1"/>
  <c r="S1026" i="3"/>
  <c r="T1026" i="3" s="1"/>
  <c r="S286" i="3"/>
  <c r="T286" i="3" s="1"/>
  <c r="S733" i="3"/>
  <c r="S734" i="3"/>
  <c r="T734" i="3" s="1"/>
  <c r="S911" i="3"/>
  <c r="T911" i="3" s="1"/>
  <c r="S735" i="3"/>
  <c r="T735" i="3" s="1"/>
  <c r="S736" i="3"/>
  <c r="T736" i="3" s="1"/>
  <c r="S737" i="3"/>
  <c r="T737" i="3" s="1"/>
  <c r="S738" i="3"/>
  <c r="T738" i="3" s="1"/>
  <c r="S739" i="3"/>
  <c r="T739" i="3" s="1"/>
  <c r="S287" i="3"/>
  <c r="T287" i="3" s="1"/>
  <c r="S740" i="3"/>
  <c r="T740" i="3" s="1"/>
  <c r="S288" i="3"/>
  <c r="T288" i="3" s="1"/>
  <c r="S1368" i="3"/>
  <c r="T1368" i="3" s="1"/>
  <c r="S1369" i="3"/>
  <c r="T1369" i="3" s="1"/>
  <c r="S1027" i="3"/>
  <c r="T1027" i="3" s="1"/>
  <c r="S741" i="3"/>
  <c r="T741" i="3" s="1"/>
  <c r="S1370" i="3"/>
  <c r="T1370" i="3" s="1"/>
  <c r="S742" i="3"/>
  <c r="T742" i="3" s="1"/>
  <c r="S743" i="3"/>
  <c r="T743" i="3" s="1"/>
  <c r="S80" i="3"/>
  <c r="T80" i="3" s="1"/>
  <c r="S1371" i="3"/>
  <c r="T1371" i="3" s="1"/>
  <c r="S289" i="3"/>
  <c r="T289" i="3" s="1"/>
  <c r="S81" i="3"/>
  <c r="T81" i="3" s="1"/>
  <c r="S1372" i="3"/>
  <c r="T1372" i="3" s="1"/>
  <c r="S290" i="3"/>
  <c r="T290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291" i="3"/>
  <c r="T291" i="3" s="1"/>
  <c r="S1104" i="3"/>
  <c r="T1104" i="3" s="1"/>
  <c r="S1378" i="3"/>
  <c r="T1378" i="3" s="1"/>
  <c r="S292" i="3"/>
  <c r="T292" i="3" s="1"/>
  <c r="S293" i="3"/>
  <c r="T293" i="3" s="1"/>
  <c r="S294" i="3"/>
  <c r="T294" i="3" s="1"/>
  <c r="S295" i="3"/>
  <c r="T295" i="3" s="1"/>
  <c r="S296" i="3"/>
  <c r="T296" i="3" s="1"/>
  <c r="S1379" i="3"/>
  <c r="T1379" i="3" s="1"/>
  <c r="S297" i="3"/>
  <c r="T297" i="3" s="1"/>
  <c r="S298" i="3"/>
  <c r="T298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299" i="3"/>
  <c r="T299" i="3" s="1"/>
  <c r="S300" i="3"/>
  <c r="T300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028" i="3"/>
  <c r="T1028" i="3" s="1"/>
  <c r="S1029" i="3"/>
  <c r="T1029" i="3" s="1"/>
  <c r="S1393" i="3"/>
  <c r="T1393" i="3" s="1"/>
  <c r="S1030" i="3"/>
  <c r="T1030" i="3" s="1"/>
  <c r="S301" i="3"/>
  <c r="T301" i="3" s="1"/>
  <c r="S156" i="3"/>
  <c r="T156" i="3" s="1"/>
  <c r="S1394" i="3"/>
  <c r="T1394" i="3" s="1"/>
  <c r="S1395" i="3"/>
  <c r="T1395" i="3" s="1"/>
  <c r="S1031" i="3"/>
  <c r="T1031" i="3" s="1"/>
  <c r="S1032" i="3"/>
  <c r="T1032" i="3" s="1"/>
  <c r="S1033" i="3"/>
  <c r="T1033" i="3" s="1"/>
  <c r="S1779" i="3"/>
  <c r="T1779" i="3" s="1"/>
  <c r="S1396" i="3"/>
  <c r="T1396" i="3" s="1"/>
  <c r="S1397" i="3"/>
  <c r="S1780" i="3"/>
  <c r="T1780" i="3" s="1"/>
  <c r="S1398" i="3"/>
  <c r="T1398" i="3" s="1"/>
  <c r="S744" i="3"/>
  <c r="T744" i="3" s="1"/>
  <c r="S302" i="3"/>
  <c r="T302" i="3" s="1"/>
  <c r="S1781" i="3"/>
  <c r="T1781" i="3" s="1"/>
  <c r="S1399" i="3"/>
  <c r="T1399" i="3" s="1"/>
  <c r="S157" i="3"/>
  <c r="T157" i="3" s="1"/>
  <c r="S1034" i="3"/>
  <c r="T1034" i="3" s="1"/>
  <c r="S136" i="3"/>
  <c r="T136" i="3" s="1"/>
  <c r="S158" i="3"/>
  <c r="T158" i="3" s="1"/>
  <c r="S159" i="3"/>
  <c r="T159" i="3" s="1"/>
  <c r="S1036" i="3"/>
  <c r="T1036" i="3" s="1"/>
  <c r="S1782" i="3"/>
  <c r="T1782" i="3" s="1"/>
  <c r="S160" i="3"/>
  <c r="T160" i="3" s="1"/>
  <c r="S1037" i="3"/>
  <c r="T1037" i="3" s="1"/>
  <c r="S529" i="3"/>
  <c r="T529" i="3" s="1"/>
  <c r="S1783" i="3"/>
  <c r="T1783" i="3" s="1"/>
  <c r="S1400" i="3"/>
  <c r="T1400" i="3" s="1"/>
  <c r="S1784" i="3"/>
  <c r="T1784" i="3" s="1"/>
  <c r="S446" i="3"/>
  <c r="T446" i="3" s="1"/>
  <c r="S1401" i="3"/>
  <c r="T1401" i="3" s="1"/>
  <c r="S745" i="3"/>
  <c r="T745" i="3" s="1"/>
  <c r="S1038" i="3"/>
  <c r="T1038" i="3" s="1"/>
  <c r="S1785" i="3"/>
  <c r="T1785" i="3" s="1"/>
  <c r="S1039" i="3"/>
  <c r="T1039" i="3" s="1"/>
  <c r="S1105" i="3"/>
  <c r="T1105" i="3" s="1"/>
  <c r="S1040" i="3"/>
  <c r="T1040" i="3" s="1"/>
  <c r="S1786" i="3"/>
  <c r="T1786" i="3" s="1"/>
  <c r="S4325" i="3"/>
  <c r="T4325" i="3" s="1"/>
  <c r="S303" i="3"/>
  <c r="T303" i="3" s="1"/>
  <c r="S161" i="3"/>
  <c r="T161" i="3" s="1"/>
  <c r="S1787" i="3"/>
  <c r="S1788" i="3"/>
  <c r="T1788" i="3" s="1"/>
  <c r="S1789" i="3"/>
  <c r="T1789" i="3" s="1"/>
  <c r="S1402" i="3"/>
  <c r="T1402" i="3" s="1"/>
  <c r="S1403" i="3"/>
  <c r="T1403" i="3" s="1"/>
  <c r="S447" i="3"/>
  <c r="T447" i="3" s="1"/>
  <c r="S448" i="3"/>
  <c r="T448" i="3" s="1"/>
  <c r="S449" i="3"/>
  <c r="T449" i="3" s="1"/>
  <c r="S746" i="3"/>
  <c r="T746" i="3" s="1"/>
  <c r="S1042" i="3"/>
  <c r="T1042" i="3" s="1"/>
  <c r="S82" i="3"/>
  <c r="T82" i="3" s="1"/>
  <c r="S450" i="3"/>
  <c r="T450" i="3" s="1"/>
  <c r="S747" i="3"/>
  <c r="T747" i="3" s="1"/>
  <c r="S748" i="3"/>
  <c r="T748" i="3" s="1"/>
  <c r="S1790" i="3"/>
  <c r="T1790" i="3" s="1"/>
  <c r="S304" i="3"/>
  <c r="T304" i="3" s="1"/>
  <c r="S1791" i="3"/>
  <c r="T1791" i="3" s="1"/>
  <c r="S1792" i="3"/>
  <c r="T1792" i="3" s="1"/>
  <c r="S1404" i="3"/>
  <c r="T1404" i="3" s="1"/>
  <c r="S1405" i="3"/>
  <c r="T1405" i="3" s="1"/>
  <c r="S749" i="3"/>
  <c r="T749" i="3" s="1"/>
  <c r="S305" i="3"/>
  <c r="T305" i="3" s="1"/>
  <c r="S1793" i="3"/>
  <c r="T1793" i="3" s="1"/>
  <c r="S1043" i="3"/>
  <c r="T1043" i="3" s="1"/>
  <c r="S1406" i="3"/>
  <c r="T1406" i="3" s="1"/>
  <c r="S1044" i="3"/>
  <c r="T1044" i="3" s="1"/>
  <c r="S750" i="3"/>
  <c r="T750" i="3" s="1"/>
  <c r="S451" i="3"/>
  <c r="T451" i="3" s="1"/>
  <c r="S912" i="3"/>
  <c r="S1794" i="3"/>
  <c r="T1794" i="3" s="1"/>
  <c r="S1795" i="3"/>
  <c r="T1795" i="3" s="1"/>
  <c r="S452" i="3"/>
  <c r="T452" i="3" s="1"/>
  <c r="S453" i="3"/>
  <c r="T453" i="3" s="1"/>
  <c r="S751" i="3"/>
  <c r="T751" i="3" s="1"/>
  <c r="S1796" i="3"/>
  <c r="T1796" i="3" s="1"/>
  <c r="S752" i="3"/>
  <c r="T752" i="3" s="1"/>
  <c r="S1797" i="3"/>
  <c r="T1797" i="3" s="1"/>
  <c r="S913" i="3"/>
  <c r="T913" i="3" s="1"/>
  <c r="S753" i="3"/>
  <c r="T753" i="3" s="1"/>
  <c r="S754" i="3"/>
  <c r="T754" i="3" s="1"/>
  <c r="S1045" i="3"/>
  <c r="T1045" i="3" s="1"/>
  <c r="S1798" i="3"/>
  <c r="T1798" i="3" s="1"/>
  <c r="S1046" i="3"/>
  <c r="T1046" i="3" s="1"/>
  <c r="S1799" i="3"/>
  <c r="T1799" i="3" s="1"/>
  <c r="S1407" i="3"/>
  <c r="T1407" i="3" s="1"/>
  <c r="S1408" i="3"/>
  <c r="T1408" i="3" s="1"/>
  <c r="S454" i="3"/>
  <c r="T454" i="3" s="1"/>
  <c r="S1800" i="3"/>
  <c r="T1800" i="3" s="1"/>
  <c r="S914" i="3"/>
  <c r="T914" i="3" s="1"/>
  <c r="S1801" i="3"/>
  <c r="T1801" i="3" s="1"/>
  <c r="S530" i="3"/>
  <c r="T530" i="3" s="1"/>
  <c r="S306" i="3"/>
  <c r="T306" i="3" s="1"/>
  <c r="S162" i="3"/>
  <c r="T162" i="3" s="1"/>
  <c r="S755" i="3"/>
  <c r="T755" i="3" s="1"/>
  <c r="S1409" i="3"/>
  <c r="T1409" i="3" s="1"/>
  <c r="S1802" i="3"/>
  <c r="T1802" i="3" s="1"/>
  <c r="S1803" i="3"/>
  <c r="T1803" i="3" s="1"/>
  <c r="S1804" i="3"/>
  <c r="T1804" i="3" s="1"/>
  <c r="S1805" i="3"/>
  <c r="T1805" i="3" s="1"/>
  <c r="S1410" i="3"/>
  <c r="T1410" i="3" s="1"/>
  <c r="S1806" i="3"/>
  <c r="T1806" i="3" s="1"/>
  <c r="S531" i="3"/>
  <c r="T531" i="3" s="1"/>
  <c r="S1807" i="3"/>
  <c r="T1807" i="3" s="1"/>
  <c r="S1808" i="3"/>
  <c r="T1808" i="3" s="1"/>
  <c r="S1809" i="3"/>
  <c r="T1809" i="3" s="1"/>
  <c r="S1810" i="3"/>
  <c r="T1810" i="3" s="1"/>
  <c r="S307" i="3"/>
  <c r="T307" i="3" s="1"/>
  <c r="S308" i="3"/>
  <c r="T308" i="3" s="1"/>
  <c r="S1811" i="3"/>
  <c r="T1811" i="3" s="1"/>
  <c r="S1812" i="3"/>
  <c r="T1812" i="3" s="1"/>
  <c r="S309" i="3"/>
  <c r="T309" i="3" s="1"/>
  <c r="S310" i="3"/>
  <c r="T310" i="3" s="1"/>
  <c r="S311" i="3"/>
  <c r="T311" i="3" s="1"/>
  <c r="S83" i="3"/>
  <c r="T83" i="3" s="1"/>
  <c r="S312" i="3"/>
  <c r="T312" i="3" s="1"/>
  <c r="S163" i="3"/>
  <c r="T163" i="3" s="1"/>
  <c r="S1813" i="3"/>
  <c r="T1813" i="3" s="1"/>
  <c r="S313" i="3"/>
  <c r="T313" i="3" s="1"/>
  <c r="S1814" i="3"/>
  <c r="T1814" i="3" s="1"/>
  <c r="S1815" i="3"/>
  <c r="T1815" i="3" s="1"/>
  <c r="S455" i="3"/>
  <c r="T455" i="3" s="1"/>
  <c r="S1816" i="3"/>
  <c r="T1816" i="3" s="1"/>
  <c r="S1411" i="3"/>
  <c r="T1411" i="3" s="1"/>
  <c r="S1047" i="3"/>
  <c r="T1047" i="3" s="1"/>
  <c r="S1817" i="3"/>
  <c r="T1817" i="3" s="1"/>
  <c r="S1818" i="3"/>
  <c r="T1818" i="3" s="1"/>
  <c r="S1819" i="3"/>
  <c r="T1819" i="3" s="1"/>
  <c r="S314" i="3"/>
  <c r="T314" i="3" s="1"/>
  <c r="S315" i="3"/>
  <c r="T315" i="3" s="1"/>
  <c r="S1048" i="3"/>
  <c r="T1048" i="3" s="1"/>
  <c r="S1049" i="3"/>
  <c r="T1049" i="3" s="1"/>
  <c r="S84" i="3"/>
  <c r="T84" i="3" s="1"/>
  <c r="S1820" i="3"/>
  <c r="T1820" i="3" s="1"/>
  <c r="S1821" i="3"/>
  <c r="T1821" i="3" s="1"/>
  <c r="S1050" i="3"/>
  <c r="T1050" i="3" s="1"/>
  <c r="S1822" i="3"/>
  <c r="T1822" i="3" s="1"/>
  <c r="S1823" i="3"/>
  <c r="T1823" i="3" s="1"/>
  <c r="S1051" i="3"/>
  <c r="T1051" i="3" s="1"/>
  <c r="S1824" i="3"/>
  <c r="T1824" i="3" s="1"/>
  <c r="S1052" i="3"/>
  <c r="T1052" i="3" s="1"/>
  <c r="S316" i="3"/>
  <c r="T316" i="3" s="1"/>
  <c r="S317" i="3"/>
  <c r="T317" i="3" s="1"/>
  <c r="S1053" i="3"/>
  <c r="T1053" i="3" s="1"/>
  <c r="S1054" i="3"/>
  <c r="T1054" i="3" s="1"/>
  <c r="S1055" i="3"/>
  <c r="T1055" i="3" s="1"/>
  <c r="S1056" i="3"/>
  <c r="T1056" i="3" s="1"/>
  <c r="S1057" i="3"/>
  <c r="T1057" i="3" s="1"/>
  <c r="S1058" i="3"/>
  <c r="T1058" i="3" s="1"/>
  <c r="S756" i="3"/>
  <c r="T756" i="3" s="1"/>
  <c r="S318" i="3"/>
  <c r="T318" i="3" s="1"/>
  <c r="S319" i="3"/>
  <c r="T319" i="3" s="1"/>
  <c r="S757" i="3"/>
  <c r="T757" i="3" s="1"/>
  <c r="S320" i="3"/>
  <c r="T320" i="3" s="1"/>
  <c r="S758" i="3"/>
  <c r="T758" i="3" s="1"/>
  <c r="S1825" i="3"/>
  <c r="T1825" i="3" s="1"/>
  <c r="S321" i="3"/>
  <c r="T321" i="3" s="1"/>
  <c r="S759" i="3"/>
  <c r="T759" i="3" s="1"/>
  <c r="S760" i="3"/>
  <c r="T760" i="3" s="1"/>
  <c r="S1412" i="3"/>
  <c r="T1412" i="3" s="1"/>
  <c r="S322" i="3"/>
  <c r="T322" i="3" s="1"/>
  <c r="S761" i="3"/>
  <c r="T761" i="3" s="1"/>
  <c r="S1413" i="3"/>
  <c r="T1413" i="3" s="1"/>
  <c r="S762" i="3"/>
  <c r="T762" i="3" s="1"/>
  <c r="S1059" i="3"/>
  <c r="T1059" i="3" s="1"/>
  <c r="S1060" i="3"/>
  <c r="T1060" i="3" s="1"/>
  <c r="S323" i="3"/>
  <c r="T323" i="3" s="1"/>
  <c r="S164" i="3"/>
  <c r="T164" i="3" s="1"/>
  <c r="S1061" i="3"/>
  <c r="T1061" i="3" s="1"/>
  <c r="S165" i="3"/>
  <c r="T165" i="3" s="1"/>
  <c r="S1062" i="3"/>
  <c r="T1062" i="3" s="1"/>
  <c r="S166" i="3"/>
  <c r="T166" i="3" s="1"/>
  <c r="S1106" i="3"/>
  <c r="T1106" i="3" s="1"/>
  <c r="S1107" i="3"/>
  <c r="T1107" i="3" s="1"/>
  <c r="S1063" i="3"/>
  <c r="T1063" i="3" s="1"/>
  <c r="S1414" i="3"/>
  <c r="T1414" i="3" s="1"/>
  <c r="S763" i="3"/>
  <c r="T763" i="3" s="1"/>
  <c r="S167" i="3"/>
  <c r="T167" i="3" s="1"/>
  <c r="S532" i="3"/>
  <c r="T532" i="3" s="1"/>
  <c r="S533" i="3"/>
  <c r="T533" i="3" s="1"/>
  <c r="S764" i="3"/>
  <c r="T764" i="3" s="1"/>
  <c r="S1415" i="3"/>
  <c r="T1415" i="3" s="1"/>
  <c r="S765" i="3"/>
  <c r="T765" i="3" s="1"/>
  <c r="S1064" i="3"/>
  <c r="T1064" i="3" s="1"/>
  <c r="S766" i="3"/>
  <c r="T766" i="3" s="1"/>
  <c r="S534" i="3"/>
  <c r="T534" i="3" s="1"/>
  <c r="S535" i="3"/>
  <c r="T535" i="3" s="1"/>
  <c r="S1826" i="3"/>
  <c r="T1826" i="3" s="1"/>
  <c r="S1827" i="3"/>
  <c r="T1827" i="3" s="1"/>
  <c r="S1416" i="3"/>
  <c r="T1416" i="3" s="1"/>
  <c r="S536" i="3"/>
  <c r="T536" i="3" s="1"/>
  <c r="S1065" i="3"/>
  <c r="T1065" i="3" s="1"/>
  <c r="S168" i="3"/>
  <c r="T168" i="3" s="1"/>
  <c r="S456" i="3"/>
  <c r="T456" i="3" s="1"/>
  <c r="S537" i="3"/>
  <c r="T537" i="3" s="1"/>
  <c r="S538" i="3"/>
  <c r="T538" i="3" s="1"/>
  <c r="S1417" i="3"/>
  <c r="T1417" i="3" s="1"/>
  <c r="S1418" i="3"/>
  <c r="T1418" i="3" s="1"/>
  <c r="S1828" i="3"/>
  <c r="T1828" i="3" s="1"/>
  <c r="S539" i="3"/>
  <c r="T539" i="3" s="1"/>
  <c r="S1829" i="3"/>
  <c r="T1829" i="3" s="1"/>
  <c r="S1830" i="3"/>
  <c r="T1830" i="3" s="1"/>
  <c r="S1419" i="3"/>
  <c r="T1419" i="3" s="1"/>
  <c r="S767" i="3"/>
  <c r="T767" i="3" s="1"/>
  <c r="S85" i="3"/>
  <c r="T85" i="3" s="1"/>
  <c r="S1831" i="3"/>
  <c r="T1831" i="3" s="1"/>
  <c r="S768" i="3"/>
  <c r="T768" i="3" s="1"/>
  <c r="S1832" i="3"/>
  <c r="T1832" i="3" s="1"/>
  <c r="S886" i="3"/>
  <c r="T886" i="3" s="1"/>
  <c r="S1273" i="3"/>
  <c r="T1273" i="3" s="1"/>
  <c r="S564" i="3"/>
  <c r="T564" i="3" s="1"/>
  <c r="S584" i="3"/>
  <c r="T584" i="3" s="1"/>
  <c r="T1754" i="3"/>
  <c r="T268" i="3"/>
  <c r="T733" i="3"/>
  <c r="T1397" i="3"/>
  <c r="T1787" i="3"/>
  <c r="T912" i="3"/>
  <c r="U1753" i="3"/>
  <c r="V1753" i="3" s="1"/>
  <c r="U708" i="3"/>
  <c r="V708" i="3" s="1"/>
  <c r="U901" i="3"/>
  <c r="V901" i="3" s="1"/>
  <c r="U76" i="3"/>
  <c r="U1754" i="3"/>
  <c r="V1754" i="3" s="1"/>
  <c r="U256" i="3"/>
  <c r="V256" i="3" s="1"/>
  <c r="U77" i="3"/>
  <c r="V77" i="3" s="1"/>
  <c r="U902" i="3"/>
  <c r="V902" i="3" s="1"/>
  <c r="U903" i="3"/>
  <c r="V903" i="3" s="1"/>
  <c r="U904" i="3"/>
  <c r="V904" i="3" s="1"/>
  <c r="U905" i="3"/>
  <c r="V905" i="3" s="1"/>
  <c r="U709" i="3"/>
  <c r="V709" i="3" s="1"/>
  <c r="U710" i="3"/>
  <c r="V710" i="3" s="1"/>
  <c r="U711" i="3"/>
  <c r="V711" i="3" s="1"/>
  <c r="U712" i="3"/>
  <c r="V712" i="3" s="1"/>
  <c r="U257" i="3"/>
  <c r="V257" i="3" s="1"/>
  <c r="U713" i="3"/>
  <c r="V713" i="3" s="1"/>
  <c r="U906" i="3"/>
  <c r="V906" i="3" s="1"/>
  <c r="U1755" i="3"/>
  <c r="V1755" i="3" s="1"/>
  <c r="U1756" i="3"/>
  <c r="V1756" i="3" s="1"/>
  <c r="U1757" i="3"/>
  <c r="V1757" i="3" s="1"/>
  <c r="U1100" i="3"/>
  <c r="V1100" i="3" s="1"/>
  <c r="U78" i="3"/>
  <c r="V78" i="3" s="1"/>
  <c r="U440" i="3"/>
  <c r="V440" i="3" s="1"/>
  <c r="U1758" i="3"/>
  <c r="V1758" i="3" s="1"/>
  <c r="U1759" i="3"/>
  <c r="V1759" i="3" s="1"/>
  <c r="U1760" i="3"/>
  <c r="V1760" i="3" s="1"/>
  <c r="U714" i="3"/>
  <c r="V714" i="3" s="1"/>
  <c r="U907" i="3"/>
  <c r="V907" i="3" s="1"/>
  <c r="U1024" i="3"/>
  <c r="V1024" i="3" s="1"/>
  <c r="U908" i="3"/>
  <c r="V908" i="3" s="1"/>
  <c r="U715" i="3"/>
  <c r="V715" i="3" s="1"/>
  <c r="U1761" i="3"/>
  <c r="V1761" i="3" s="1"/>
  <c r="U716" i="3"/>
  <c r="V716" i="3" s="1"/>
  <c r="U441" i="3"/>
  <c r="V441" i="3" s="1"/>
  <c r="U717" i="3"/>
  <c r="V717" i="3" s="1"/>
  <c r="U718" i="3"/>
  <c r="V718" i="3" s="1"/>
  <c r="U719" i="3"/>
  <c r="V719" i="3" s="1"/>
  <c r="U720" i="3"/>
  <c r="V720" i="3" s="1"/>
  <c r="U721" i="3"/>
  <c r="V721" i="3" s="1"/>
  <c r="U1360" i="3"/>
  <c r="V1360" i="3" s="1"/>
  <c r="U722" i="3"/>
  <c r="V722" i="3" s="1"/>
  <c r="U1762" i="3"/>
  <c r="V1762" i="3" s="1"/>
  <c r="U1763" i="3"/>
  <c r="V1763" i="3" s="1"/>
  <c r="U1764" i="3"/>
  <c r="V1764" i="3" s="1"/>
  <c r="U909" i="3"/>
  <c r="V909" i="3" s="1"/>
  <c r="U910" i="3"/>
  <c r="V910" i="3" s="1"/>
  <c r="U1101" i="3"/>
  <c r="V1101" i="3" s="1"/>
  <c r="U1765" i="3"/>
  <c r="V1765" i="3" s="1"/>
  <c r="U1766" i="3"/>
  <c r="V1766" i="3" s="1"/>
  <c r="U1767" i="3"/>
  <c r="V1767" i="3" s="1"/>
  <c r="U1768" i="3"/>
  <c r="V1768" i="3" s="1"/>
  <c r="U1361" i="3"/>
  <c r="V1361" i="3" s="1"/>
  <c r="U151" i="3"/>
  <c r="V151" i="3" s="1"/>
  <c r="U723" i="3"/>
  <c r="V723" i="3" s="1"/>
  <c r="U1769" i="3"/>
  <c r="V1769" i="3" s="1"/>
  <c r="U724" i="3"/>
  <c r="V724" i="3" s="1"/>
  <c r="U1362" i="3"/>
  <c r="V1362" i="3" s="1"/>
  <c r="U527" i="3"/>
  <c r="V527" i="3" s="1"/>
  <c r="U258" i="3"/>
  <c r="V258" i="3" s="1"/>
  <c r="U725" i="3"/>
  <c r="V725" i="3" s="1"/>
  <c r="U442" i="3"/>
  <c r="V442" i="3" s="1"/>
  <c r="U1363" i="3"/>
  <c r="V1363" i="3" s="1"/>
  <c r="U1770" i="3"/>
  <c r="V1770" i="3" s="1"/>
  <c r="U259" i="3"/>
  <c r="V259" i="3" s="1"/>
  <c r="U1771" i="3"/>
  <c r="V1771" i="3" s="1"/>
  <c r="U260" i="3"/>
  <c r="V260" i="3" s="1"/>
  <c r="U726" i="3"/>
  <c r="V726" i="3" s="1"/>
  <c r="U1364" i="3"/>
  <c r="V1364" i="3" s="1"/>
  <c r="U1365" i="3"/>
  <c r="V1365" i="3" s="1"/>
  <c r="U1772" i="3"/>
  <c r="V1772" i="3" s="1"/>
  <c r="U1773" i="3"/>
  <c r="V1773" i="3" s="1"/>
  <c r="U1774" i="3"/>
  <c r="V1774" i="3" s="1"/>
  <c r="U1775" i="3"/>
  <c r="V1775" i="3" s="1"/>
  <c r="U727" i="3"/>
  <c r="V727" i="3" s="1"/>
  <c r="U261" i="3"/>
  <c r="V261" i="3" s="1"/>
  <c r="U79" i="3"/>
  <c r="V79" i="3" s="1"/>
  <c r="U152" i="3"/>
  <c r="V152" i="3" s="1"/>
  <c r="U1102" i="3"/>
  <c r="V1102" i="3" s="1"/>
  <c r="U1593" i="3"/>
  <c r="V1593" i="3" s="1"/>
  <c r="U262" i="3"/>
  <c r="V262" i="3" s="1"/>
  <c r="U1366" i="3"/>
  <c r="V1366" i="3" s="1"/>
  <c r="U263" i="3"/>
  <c r="V263" i="3" s="1"/>
  <c r="U264" i="3"/>
  <c r="V264" i="3" s="1"/>
  <c r="U1777" i="3"/>
  <c r="V1777" i="3" s="1"/>
  <c r="U265" i="3"/>
  <c r="V265" i="3" s="1"/>
  <c r="U266" i="3"/>
  <c r="V266" i="3" s="1"/>
  <c r="U267" i="3"/>
  <c r="V267" i="3" s="1"/>
  <c r="U268" i="3"/>
  <c r="V268" i="3" s="1"/>
  <c r="U269" i="3"/>
  <c r="V269" i="3" s="1"/>
  <c r="U270" i="3"/>
  <c r="V270" i="3" s="1"/>
  <c r="U271" i="3"/>
  <c r="V271" i="3" s="1"/>
  <c r="U272" i="3"/>
  <c r="V272" i="3" s="1"/>
  <c r="U528" i="3"/>
  <c r="V528" i="3" s="1"/>
  <c r="U728" i="3"/>
  <c r="V728" i="3" s="1"/>
  <c r="U729" i="3"/>
  <c r="V729" i="3" s="1"/>
  <c r="U153" i="3"/>
  <c r="V153" i="3" s="1"/>
  <c r="U154" i="3"/>
  <c r="V154" i="3" s="1"/>
  <c r="U1103" i="3"/>
  <c r="V1103" i="3" s="1"/>
  <c r="U273" i="3"/>
  <c r="V273" i="3" s="1"/>
  <c r="U443" i="3"/>
  <c r="V443" i="3" s="1"/>
  <c r="U155" i="3"/>
  <c r="V155" i="3" s="1"/>
  <c r="U1025" i="3"/>
  <c r="V1025" i="3" s="1"/>
  <c r="U274" i="3"/>
  <c r="V274" i="3" s="1"/>
  <c r="U275" i="3"/>
  <c r="V275" i="3" s="1"/>
  <c r="U730" i="3"/>
  <c r="V730" i="3" s="1"/>
  <c r="U444" i="3"/>
  <c r="V444" i="3" s="1"/>
  <c r="U276" i="3"/>
  <c r="V276" i="3" s="1"/>
  <c r="U731" i="3"/>
  <c r="V731" i="3" s="1"/>
  <c r="U445" i="3"/>
  <c r="V445" i="3" s="1"/>
  <c r="U732" i="3"/>
  <c r="V732" i="3" s="1"/>
  <c r="U1367" i="3"/>
  <c r="V1367" i="3" s="1"/>
  <c r="U277" i="3"/>
  <c r="V277" i="3" s="1"/>
  <c r="U278" i="3"/>
  <c r="V278" i="3" s="1"/>
  <c r="U279" i="3"/>
  <c r="V279" i="3" s="1"/>
  <c r="U280" i="3"/>
  <c r="V280" i="3" s="1"/>
  <c r="U281" i="3"/>
  <c r="V281" i="3" s="1"/>
  <c r="U282" i="3"/>
  <c r="V282" i="3" s="1"/>
  <c r="U283" i="3"/>
  <c r="V283" i="3" s="1"/>
  <c r="U1778" i="3"/>
  <c r="V1778" i="3" s="1"/>
  <c r="U284" i="3"/>
  <c r="V284" i="3" s="1"/>
  <c r="U285" i="3"/>
  <c r="V285" i="3" s="1"/>
  <c r="U1026" i="3"/>
  <c r="V1026" i="3" s="1"/>
  <c r="U286" i="3"/>
  <c r="V286" i="3" s="1"/>
  <c r="U733" i="3"/>
  <c r="V733" i="3" s="1"/>
  <c r="U734" i="3"/>
  <c r="V734" i="3" s="1"/>
  <c r="U911" i="3"/>
  <c r="V911" i="3" s="1"/>
  <c r="U735" i="3"/>
  <c r="V735" i="3" s="1"/>
  <c r="U736" i="3"/>
  <c r="V736" i="3" s="1"/>
  <c r="U737" i="3"/>
  <c r="V737" i="3" s="1"/>
  <c r="U738" i="3"/>
  <c r="V738" i="3" s="1"/>
  <c r="U739" i="3"/>
  <c r="V739" i="3" s="1"/>
  <c r="U287" i="3"/>
  <c r="V287" i="3" s="1"/>
  <c r="U740" i="3"/>
  <c r="V740" i="3" s="1"/>
  <c r="U288" i="3"/>
  <c r="V288" i="3" s="1"/>
  <c r="U1368" i="3"/>
  <c r="V1368" i="3" s="1"/>
  <c r="U1369" i="3"/>
  <c r="V1369" i="3" s="1"/>
  <c r="U1027" i="3"/>
  <c r="V1027" i="3" s="1"/>
  <c r="U741" i="3"/>
  <c r="V741" i="3" s="1"/>
  <c r="U1370" i="3"/>
  <c r="V1370" i="3" s="1"/>
  <c r="U742" i="3"/>
  <c r="V742" i="3" s="1"/>
  <c r="U743" i="3"/>
  <c r="V743" i="3" s="1"/>
  <c r="U80" i="3"/>
  <c r="V80" i="3" s="1"/>
  <c r="U1371" i="3"/>
  <c r="V1371" i="3" s="1"/>
  <c r="U289" i="3"/>
  <c r="V289" i="3" s="1"/>
  <c r="U81" i="3"/>
  <c r="V81" i="3" s="1"/>
  <c r="U1372" i="3"/>
  <c r="V1372" i="3" s="1"/>
  <c r="U290" i="3"/>
  <c r="V290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291" i="3"/>
  <c r="V291" i="3" s="1"/>
  <c r="U1104" i="3"/>
  <c r="V1104" i="3" s="1"/>
  <c r="U1378" i="3"/>
  <c r="V1378" i="3" s="1"/>
  <c r="U292" i="3"/>
  <c r="V292" i="3" s="1"/>
  <c r="U293" i="3"/>
  <c r="V293" i="3" s="1"/>
  <c r="U294" i="3"/>
  <c r="V294" i="3" s="1"/>
  <c r="U295" i="3"/>
  <c r="V295" i="3" s="1"/>
  <c r="U296" i="3"/>
  <c r="V296" i="3" s="1"/>
  <c r="U1379" i="3"/>
  <c r="V1379" i="3" s="1"/>
  <c r="U297" i="3"/>
  <c r="V297" i="3" s="1"/>
  <c r="U298" i="3"/>
  <c r="V298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299" i="3"/>
  <c r="V299" i="3" s="1"/>
  <c r="U300" i="3"/>
  <c r="V300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028" i="3"/>
  <c r="V1028" i="3" s="1"/>
  <c r="U1029" i="3"/>
  <c r="V1029" i="3" s="1"/>
  <c r="U1393" i="3"/>
  <c r="V1393" i="3" s="1"/>
  <c r="U1030" i="3"/>
  <c r="V1030" i="3" s="1"/>
  <c r="U301" i="3"/>
  <c r="V301" i="3" s="1"/>
  <c r="U156" i="3"/>
  <c r="V156" i="3" s="1"/>
  <c r="U1394" i="3"/>
  <c r="V1394" i="3" s="1"/>
  <c r="U1395" i="3"/>
  <c r="V1395" i="3" s="1"/>
  <c r="U1031" i="3"/>
  <c r="V1031" i="3" s="1"/>
  <c r="U1032" i="3"/>
  <c r="V1032" i="3" s="1"/>
  <c r="U1033" i="3"/>
  <c r="V1033" i="3" s="1"/>
  <c r="U1779" i="3"/>
  <c r="V1779" i="3" s="1"/>
  <c r="U1396" i="3"/>
  <c r="V1396" i="3" s="1"/>
  <c r="U1397" i="3"/>
  <c r="V1397" i="3" s="1"/>
  <c r="U1780" i="3"/>
  <c r="V1780" i="3" s="1"/>
  <c r="U1398" i="3"/>
  <c r="V1398" i="3" s="1"/>
  <c r="U744" i="3"/>
  <c r="V744" i="3" s="1"/>
  <c r="U302" i="3"/>
  <c r="V302" i="3" s="1"/>
  <c r="U1781" i="3"/>
  <c r="V1781" i="3" s="1"/>
  <c r="U1399" i="3"/>
  <c r="V1399" i="3" s="1"/>
  <c r="U157" i="3"/>
  <c r="V157" i="3" s="1"/>
  <c r="U1034" i="3"/>
  <c r="V1034" i="3" s="1"/>
  <c r="U136" i="3"/>
  <c r="V136" i="3" s="1"/>
  <c r="U158" i="3"/>
  <c r="V158" i="3" s="1"/>
  <c r="U159" i="3"/>
  <c r="V159" i="3" s="1"/>
  <c r="U1036" i="3"/>
  <c r="V1036" i="3" s="1"/>
  <c r="U1782" i="3"/>
  <c r="V1782" i="3" s="1"/>
  <c r="U160" i="3"/>
  <c r="V160" i="3" s="1"/>
  <c r="U1037" i="3"/>
  <c r="V1037" i="3" s="1"/>
  <c r="U529" i="3"/>
  <c r="V529" i="3" s="1"/>
  <c r="U1783" i="3"/>
  <c r="V1783" i="3" s="1"/>
  <c r="U1400" i="3"/>
  <c r="V1400" i="3" s="1"/>
  <c r="U1784" i="3"/>
  <c r="V1784" i="3" s="1"/>
  <c r="U446" i="3"/>
  <c r="V446" i="3" s="1"/>
  <c r="U1401" i="3"/>
  <c r="V1401" i="3" s="1"/>
  <c r="U745" i="3"/>
  <c r="V745" i="3" s="1"/>
  <c r="U1038" i="3"/>
  <c r="V1038" i="3" s="1"/>
  <c r="U1785" i="3"/>
  <c r="V1785" i="3" s="1"/>
  <c r="U1039" i="3"/>
  <c r="V1039" i="3" s="1"/>
  <c r="U1105" i="3"/>
  <c r="V1105" i="3" s="1"/>
  <c r="U1040" i="3"/>
  <c r="V1040" i="3" s="1"/>
  <c r="U1786" i="3"/>
  <c r="V1786" i="3" s="1"/>
  <c r="U4325" i="3"/>
  <c r="V4325" i="3" s="1"/>
  <c r="U303" i="3"/>
  <c r="V303" i="3" s="1"/>
  <c r="U161" i="3"/>
  <c r="V161" i="3" s="1"/>
  <c r="U1787" i="3"/>
  <c r="V1787" i="3" s="1"/>
  <c r="U1788" i="3"/>
  <c r="V1788" i="3" s="1"/>
  <c r="U1789" i="3"/>
  <c r="V1789" i="3" s="1"/>
  <c r="U1402" i="3"/>
  <c r="V1402" i="3" s="1"/>
  <c r="U1403" i="3"/>
  <c r="V1403" i="3" s="1"/>
  <c r="U447" i="3"/>
  <c r="V447" i="3" s="1"/>
  <c r="U448" i="3"/>
  <c r="V448" i="3" s="1"/>
  <c r="U449" i="3"/>
  <c r="V449" i="3" s="1"/>
  <c r="U746" i="3"/>
  <c r="V746" i="3" s="1"/>
  <c r="U1042" i="3"/>
  <c r="V1042" i="3" s="1"/>
  <c r="U82" i="3"/>
  <c r="V82" i="3" s="1"/>
  <c r="U450" i="3"/>
  <c r="V450" i="3" s="1"/>
  <c r="U747" i="3"/>
  <c r="V747" i="3" s="1"/>
  <c r="U748" i="3"/>
  <c r="V748" i="3" s="1"/>
  <c r="U1790" i="3"/>
  <c r="V1790" i="3" s="1"/>
  <c r="U304" i="3"/>
  <c r="V304" i="3" s="1"/>
  <c r="U1791" i="3"/>
  <c r="V1791" i="3" s="1"/>
  <c r="U1792" i="3"/>
  <c r="V1792" i="3" s="1"/>
  <c r="U1404" i="3"/>
  <c r="V1404" i="3" s="1"/>
  <c r="U1405" i="3"/>
  <c r="V1405" i="3" s="1"/>
  <c r="U749" i="3"/>
  <c r="V749" i="3" s="1"/>
  <c r="U305" i="3"/>
  <c r="V305" i="3" s="1"/>
  <c r="U1793" i="3"/>
  <c r="V1793" i="3" s="1"/>
  <c r="U1043" i="3"/>
  <c r="V1043" i="3" s="1"/>
  <c r="U1406" i="3"/>
  <c r="V1406" i="3" s="1"/>
  <c r="U1044" i="3"/>
  <c r="V1044" i="3" s="1"/>
  <c r="U750" i="3"/>
  <c r="V750" i="3" s="1"/>
  <c r="U451" i="3"/>
  <c r="V451" i="3" s="1"/>
  <c r="U912" i="3"/>
  <c r="V912" i="3" s="1"/>
  <c r="U1794" i="3"/>
  <c r="V1794" i="3" s="1"/>
  <c r="U1795" i="3"/>
  <c r="V1795" i="3" s="1"/>
  <c r="U452" i="3"/>
  <c r="V452" i="3" s="1"/>
  <c r="U453" i="3"/>
  <c r="V453" i="3" s="1"/>
  <c r="U751" i="3"/>
  <c r="V751" i="3" s="1"/>
  <c r="U1796" i="3"/>
  <c r="V1796" i="3" s="1"/>
  <c r="U752" i="3"/>
  <c r="V752" i="3" s="1"/>
  <c r="U1797" i="3"/>
  <c r="V1797" i="3" s="1"/>
  <c r="U913" i="3"/>
  <c r="V913" i="3" s="1"/>
  <c r="U753" i="3"/>
  <c r="V753" i="3" s="1"/>
  <c r="U754" i="3"/>
  <c r="V754" i="3" s="1"/>
  <c r="U1045" i="3"/>
  <c r="V1045" i="3" s="1"/>
  <c r="U1798" i="3"/>
  <c r="V1798" i="3" s="1"/>
  <c r="U1046" i="3"/>
  <c r="V1046" i="3" s="1"/>
  <c r="U1799" i="3"/>
  <c r="V1799" i="3" s="1"/>
  <c r="U1407" i="3"/>
  <c r="V1407" i="3" s="1"/>
  <c r="U1408" i="3"/>
  <c r="V1408" i="3" s="1"/>
  <c r="U454" i="3"/>
  <c r="V454" i="3" s="1"/>
  <c r="U1800" i="3"/>
  <c r="V1800" i="3" s="1"/>
  <c r="U914" i="3"/>
  <c r="V914" i="3" s="1"/>
  <c r="U1801" i="3"/>
  <c r="V1801" i="3" s="1"/>
  <c r="U530" i="3"/>
  <c r="V530" i="3" s="1"/>
  <c r="U306" i="3"/>
  <c r="V306" i="3" s="1"/>
  <c r="U162" i="3"/>
  <c r="V162" i="3" s="1"/>
  <c r="U755" i="3"/>
  <c r="V755" i="3" s="1"/>
  <c r="U1409" i="3"/>
  <c r="V1409" i="3" s="1"/>
  <c r="U1802" i="3"/>
  <c r="V1802" i="3" s="1"/>
  <c r="U1803" i="3"/>
  <c r="V1803" i="3" s="1"/>
  <c r="U1804" i="3"/>
  <c r="V1804" i="3" s="1"/>
  <c r="U1805" i="3"/>
  <c r="V1805" i="3" s="1"/>
  <c r="U1410" i="3"/>
  <c r="V1410" i="3" s="1"/>
  <c r="U1806" i="3"/>
  <c r="V1806" i="3" s="1"/>
  <c r="U531" i="3"/>
  <c r="V531" i="3" s="1"/>
  <c r="U1807" i="3"/>
  <c r="V1807" i="3" s="1"/>
  <c r="U1808" i="3"/>
  <c r="V1808" i="3" s="1"/>
  <c r="U1809" i="3"/>
  <c r="V1809" i="3" s="1"/>
  <c r="U1810" i="3"/>
  <c r="V1810" i="3" s="1"/>
  <c r="U307" i="3"/>
  <c r="V307" i="3" s="1"/>
  <c r="U308" i="3"/>
  <c r="V308" i="3" s="1"/>
  <c r="U1811" i="3"/>
  <c r="V1811" i="3" s="1"/>
  <c r="U1812" i="3"/>
  <c r="V1812" i="3" s="1"/>
  <c r="U309" i="3"/>
  <c r="V309" i="3" s="1"/>
  <c r="U310" i="3"/>
  <c r="V310" i="3" s="1"/>
  <c r="U311" i="3"/>
  <c r="V311" i="3" s="1"/>
  <c r="U83" i="3"/>
  <c r="V83" i="3" s="1"/>
  <c r="U312" i="3"/>
  <c r="V312" i="3" s="1"/>
  <c r="U163" i="3"/>
  <c r="V163" i="3" s="1"/>
  <c r="U1813" i="3"/>
  <c r="V1813" i="3" s="1"/>
  <c r="U313" i="3"/>
  <c r="V313" i="3" s="1"/>
  <c r="U1814" i="3"/>
  <c r="V1814" i="3" s="1"/>
  <c r="U1815" i="3"/>
  <c r="V1815" i="3" s="1"/>
  <c r="U455" i="3"/>
  <c r="V455" i="3" s="1"/>
  <c r="U1816" i="3"/>
  <c r="V1816" i="3" s="1"/>
  <c r="U1411" i="3"/>
  <c r="V1411" i="3" s="1"/>
  <c r="U1047" i="3"/>
  <c r="V1047" i="3" s="1"/>
  <c r="U1817" i="3"/>
  <c r="V1817" i="3" s="1"/>
  <c r="U1818" i="3"/>
  <c r="V1818" i="3" s="1"/>
  <c r="U1819" i="3"/>
  <c r="V1819" i="3" s="1"/>
  <c r="U314" i="3"/>
  <c r="V314" i="3" s="1"/>
  <c r="U315" i="3"/>
  <c r="V315" i="3" s="1"/>
  <c r="U1048" i="3"/>
  <c r="V1048" i="3" s="1"/>
  <c r="U1049" i="3"/>
  <c r="V1049" i="3" s="1"/>
  <c r="U84" i="3"/>
  <c r="V84" i="3" s="1"/>
  <c r="U1820" i="3"/>
  <c r="V1820" i="3" s="1"/>
  <c r="U1821" i="3"/>
  <c r="V1821" i="3" s="1"/>
  <c r="U1050" i="3"/>
  <c r="V1050" i="3" s="1"/>
  <c r="U1822" i="3"/>
  <c r="V1822" i="3" s="1"/>
  <c r="U1823" i="3"/>
  <c r="V1823" i="3" s="1"/>
  <c r="U1051" i="3"/>
  <c r="V1051" i="3" s="1"/>
  <c r="U1824" i="3"/>
  <c r="V1824" i="3" s="1"/>
  <c r="U1052" i="3"/>
  <c r="V1052" i="3" s="1"/>
  <c r="U316" i="3"/>
  <c r="V316" i="3" s="1"/>
  <c r="U317" i="3"/>
  <c r="V317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756" i="3"/>
  <c r="V756" i="3" s="1"/>
  <c r="U318" i="3"/>
  <c r="V318" i="3" s="1"/>
  <c r="U319" i="3"/>
  <c r="V319" i="3" s="1"/>
  <c r="U757" i="3"/>
  <c r="V757" i="3" s="1"/>
  <c r="U320" i="3"/>
  <c r="V320" i="3" s="1"/>
  <c r="U758" i="3"/>
  <c r="V758" i="3" s="1"/>
  <c r="U1825" i="3"/>
  <c r="V1825" i="3" s="1"/>
  <c r="U321" i="3"/>
  <c r="V321" i="3" s="1"/>
  <c r="U759" i="3"/>
  <c r="V759" i="3" s="1"/>
  <c r="U760" i="3"/>
  <c r="V760" i="3" s="1"/>
  <c r="U1412" i="3"/>
  <c r="V1412" i="3" s="1"/>
  <c r="U322" i="3"/>
  <c r="V322" i="3" s="1"/>
  <c r="U761" i="3"/>
  <c r="V761" i="3" s="1"/>
  <c r="U1413" i="3"/>
  <c r="V1413" i="3" s="1"/>
  <c r="U762" i="3"/>
  <c r="V762" i="3" s="1"/>
  <c r="U1059" i="3"/>
  <c r="V1059" i="3" s="1"/>
  <c r="U1060" i="3"/>
  <c r="V1060" i="3" s="1"/>
  <c r="U323" i="3"/>
  <c r="V323" i="3" s="1"/>
  <c r="U164" i="3"/>
  <c r="V164" i="3" s="1"/>
  <c r="U1061" i="3"/>
  <c r="V1061" i="3" s="1"/>
  <c r="U165" i="3"/>
  <c r="V165" i="3" s="1"/>
  <c r="U1062" i="3"/>
  <c r="V1062" i="3" s="1"/>
  <c r="U166" i="3"/>
  <c r="V166" i="3" s="1"/>
  <c r="U1106" i="3"/>
  <c r="V1106" i="3" s="1"/>
  <c r="U1107" i="3"/>
  <c r="V1107" i="3" s="1"/>
  <c r="U1063" i="3"/>
  <c r="V1063" i="3" s="1"/>
  <c r="U1414" i="3"/>
  <c r="V1414" i="3" s="1"/>
  <c r="U763" i="3"/>
  <c r="V763" i="3" s="1"/>
  <c r="U167" i="3"/>
  <c r="V167" i="3" s="1"/>
  <c r="U532" i="3"/>
  <c r="V532" i="3" s="1"/>
  <c r="U533" i="3"/>
  <c r="V533" i="3" s="1"/>
  <c r="U764" i="3"/>
  <c r="V764" i="3" s="1"/>
  <c r="U1415" i="3"/>
  <c r="V1415" i="3" s="1"/>
  <c r="U765" i="3"/>
  <c r="V765" i="3" s="1"/>
  <c r="U1064" i="3"/>
  <c r="V1064" i="3" s="1"/>
  <c r="U766" i="3"/>
  <c r="V766" i="3" s="1"/>
  <c r="U534" i="3"/>
  <c r="V534" i="3" s="1"/>
  <c r="U535" i="3"/>
  <c r="V535" i="3" s="1"/>
  <c r="U1826" i="3"/>
  <c r="V1826" i="3" s="1"/>
  <c r="U1827" i="3"/>
  <c r="V1827" i="3" s="1"/>
  <c r="U1416" i="3"/>
  <c r="V1416" i="3" s="1"/>
  <c r="U536" i="3"/>
  <c r="V536" i="3" s="1"/>
  <c r="U1065" i="3"/>
  <c r="V1065" i="3" s="1"/>
  <c r="U168" i="3"/>
  <c r="V168" i="3" s="1"/>
  <c r="U456" i="3"/>
  <c r="V456" i="3" s="1"/>
  <c r="U537" i="3"/>
  <c r="V537" i="3" s="1"/>
  <c r="U538" i="3"/>
  <c r="V538" i="3" s="1"/>
  <c r="U1417" i="3"/>
  <c r="V1417" i="3" s="1"/>
  <c r="U1418" i="3"/>
  <c r="V1418" i="3" s="1"/>
  <c r="U1828" i="3"/>
  <c r="V1828" i="3" s="1"/>
  <c r="U539" i="3"/>
  <c r="V539" i="3" s="1"/>
  <c r="U1829" i="3"/>
  <c r="V1829" i="3" s="1"/>
  <c r="U1830" i="3"/>
  <c r="V1830" i="3" s="1"/>
  <c r="U1419" i="3"/>
  <c r="V1419" i="3" s="1"/>
  <c r="U767" i="3"/>
  <c r="V767" i="3" s="1"/>
  <c r="U85" i="3"/>
  <c r="V85" i="3" s="1"/>
  <c r="U1831" i="3"/>
  <c r="V1831" i="3" s="1"/>
  <c r="U768" i="3"/>
  <c r="V768" i="3" s="1"/>
  <c r="U1832" i="3"/>
  <c r="V1832" i="3" s="1"/>
  <c r="U886" i="3"/>
  <c r="V886" i="3" s="1"/>
  <c r="U1273" i="3"/>
  <c r="V1273" i="3" s="1"/>
  <c r="U564" i="3"/>
  <c r="V564" i="3" s="1"/>
  <c r="U584" i="3"/>
  <c r="V584" i="3" s="1"/>
  <c r="V76" i="3"/>
  <c r="W1753" i="3"/>
  <c r="W708" i="3"/>
  <c r="W901" i="3"/>
  <c r="W76" i="3"/>
  <c r="W1754" i="3"/>
  <c r="W256" i="3"/>
  <c r="W77" i="3"/>
  <c r="W902" i="3"/>
  <c r="W903" i="3"/>
  <c r="W904" i="3"/>
  <c r="W905" i="3"/>
  <c r="W709" i="3"/>
  <c r="W710" i="3"/>
  <c r="W711" i="3"/>
  <c r="W712" i="3"/>
  <c r="W257" i="3"/>
  <c r="W713" i="3"/>
  <c r="W906" i="3"/>
  <c r="W1755" i="3"/>
  <c r="W1756" i="3"/>
  <c r="W1757" i="3"/>
  <c r="W1100" i="3"/>
  <c r="W78" i="3"/>
  <c r="W440" i="3"/>
  <c r="W1758" i="3"/>
  <c r="W1759" i="3"/>
  <c r="W1760" i="3"/>
  <c r="W714" i="3"/>
  <c r="W907" i="3"/>
  <c r="W1024" i="3"/>
  <c r="W908" i="3"/>
  <c r="W715" i="3"/>
  <c r="W1761" i="3"/>
  <c r="W716" i="3"/>
  <c r="W441" i="3"/>
  <c r="W717" i="3"/>
  <c r="W718" i="3"/>
  <c r="W719" i="3"/>
  <c r="W720" i="3"/>
  <c r="W721" i="3"/>
  <c r="W1360" i="3"/>
  <c r="W722" i="3"/>
  <c r="W1762" i="3"/>
  <c r="W1763" i="3"/>
  <c r="W1764" i="3"/>
  <c r="W909" i="3"/>
  <c r="W910" i="3"/>
  <c r="W1101" i="3"/>
  <c r="W1765" i="3"/>
  <c r="W1766" i="3"/>
  <c r="W1767" i="3"/>
  <c r="W1768" i="3"/>
  <c r="W1361" i="3"/>
  <c r="W151" i="3"/>
  <c r="W723" i="3"/>
  <c r="W1769" i="3"/>
  <c r="W724" i="3"/>
  <c r="W1362" i="3"/>
  <c r="W527" i="3"/>
  <c r="W258" i="3"/>
  <c r="W725" i="3"/>
  <c r="W442" i="3"/>
  <c r="W1363" i="3"/>
  <c r="W1770" i="3"/>
  <c r="W259" i="3"/>
  <c r="W1771" i="3"/>
  <c r="W260" i="3"/>
  <c r="W726" i="3"/>
  <c r="W1364" i="3"/>
  <c r="W1365" i="3"/>
  <c r="W1772" i="3"/>
  <c r="W1773" i="3"/>
  <c r="W1774" i="3"/>
  <c r="W1775" i="3"/>
  <c r="W727" i="3"/>
  <c r="W261" i="3"/>
  <c r="W79" i="3"/>
  <c r="W152" i="3"/>
  <c r="W1102" i="3"/>
  <c r="W1593" i="3"/>
  <c r="W262" i="3"/>
  <c r="W1366" i="3"/>
  <c r="W263" i="3"/>
  <c r="W264" i="3"/>
  <c r="W1777" i="3"/>
  <c r="W265" i="3"/>
  <c r="W266" i="3"/>
  <c r="W267" i="3"/>
  <c r="W268" i="3"/>
  <c r="W269" i="3"/>
  <c r="W270" i="3"/>
  <c r="W271" i="3"/>
  <c r="W272" i="3"/>
  <c r="W528" i="3"/>
  <c r="W728" i="3"/>
  <c r="W729" i="3"/>
  <c r="W153" i="3"/>
  <c r="W154" i="3"/>
  <c r="W1103" i="3"/>
  <c r="W273" i="3"/>
  <c r="W443" i="3"/>
  <c r="W155" i="3"/>
  <c r="W1025" i="3"/>
  <c r="W274" i="3"/>
  <c r="W275" i="3"/>
  <c r="W730" i="3"/>
  <c r="W444" i="3"/>
  <c r="W276" i="3"/>
  <c r="W731" i="3"/>
  <c r="W445" i="3"/>
  <c r="W732" i="3"/>
  <c r="W1367" i="3"/>
  <c r="W277" i="3"/>
  <c r="W278" i="3"/>
  <c r="W279" i="3"/>
  <c r="W280" i="3"/>
  <c r="W281" i="3"/>
  <c r="W282" i="3"/>
  <c r="W283" i="3"/>
  <c r="W1778" i="3"/>
  <c r="W284" i="3"/>
  <c r="W285" i="3"/>
  <c r="W1026" i="3"/>
  <c r="W286" i="3"/>
  <c r="W733" i="3"/>
  <c r="W734" i="3"/>
  <c r="W911" i="3"/>
  <c r="W735" i="3"/>
  <c r="W736" i="3"/>
  <c r="W737" i="3"/>
  <c r="W738" i="3"/>
  <c r="W739" i="3"/>
  <c r="W287" i="3"/>
  <c r="W740" i="3"/>
  <c r="W288" i="3"/>
  <c r="W1368" i="3"/>
  <c r="W1369" i="3"/>
  <c r="W1027" i="3"/>
  <c r="W741" i="3"/>
  <c r="W1370" i="3"/>
  <c r="W742" i="3"/>
  <c r="W743" i="3"/>
  <c r="W80" i="3"/>
  <c r="W1371" i="3"/>
  <c r="W289" i="3"/>
  <c r="W81" i="3"/>
  <c r="W1372" i="3"/>
  <c r="W290" i="3"/>
  <c r="W1373" i="3"/>
  <c r="W1374" i="3"/>
  <c r="W1375" i="3"/>
  <c r="W1376" i="3"/>
  <c r="W1377" i="3"/>
  <c r="W291" i="3"/>
  <c r="W1104" i="3"/>
  <c r="W1378" i="3"/>
  <c r="W292" i="3"/>
  <c r="W293" i="3"/>
  <c r="W294" i="3"/>
  <c r="W295" i="3"/>
  <c r="W296" i="3"/>
  <c r="W1379" i="3"/>
  <c r="W297" i="3"/>
  <c r="W298" i="3"/>
  <c r="W1380" i="3"/>
  <c r="W1381" i="3"/>
  <c r="W1382" i="3"/>
  <c r="W1383" i="3"/>
  <c r="W1384" i="3"/>
  <c r="W1385" i="3"/>
  <c r="W299" i="3"/>
  <c r="W300" i="3"/>
  <c r="W1386" i="3"/>
  <c r="W1387" i="3"/>
  <c r="W1388" i="3"/>
  <c r="W1389" i="3"/>
  <c r="W1390" i="3"/>
  <c r="W1391" i="3"/>
  <c r="W1392" i="3"/>
  <c r="W1028" i="3"/>
  <c r="W1029" i="3"/>
  <c r="W1393" i="3"/>
  <c r="W1030" i="3"/>
  <c r="W301" i="3"/>
  <c r="W156" i="3"/>
  <c r="W1394" i="3"/>
  <c r="W1395" i="3"/>
  <c r="W1031" i="3"/>
  <c r="W1032" i="3"/>
  <c r="W1033" i="3"/>
  <c r="W1779" i="3"/>
  <c r="W1396" i="3"/>
  <c r="W1397" i="3"/>
  <c r="W1780" i="3"/>
  <c r="W1398" i="3"/>
  <c r="W744" i="3"/>
  <c r="W302" i="3"/>
  <c r="W1781" i="3"/>
  <c r="W1399" i="3"/>
  <c r="W157" i="3"/>
  <c r="W1034" i="3"/>
  <c r="W136" i="3"/>
  <c r="W158" i="3"/>
  <c r="W159" i="3"/>
  <c r="W1036" i="3"/>
  <c r="W1782" i="3"/>
  <c r="W160" i="3"/>
  <c r="W1037" i="3"/>
  <c r="W529" i="3"/>
  <c r="W1783" i="3"/>
  <c r="W1400" i="3"/>
  <c r="W1784" i="3"/>
  <c r="W446" i="3"/>
  <c r="W1401" i="3"/>
  <c r="W745" i="3"/>
  <c r="W1038" i="3"/>
  <c r="W1785" i="3"/>
  <c r="W1039" i="3"/>
  <c r="W1105" i="3"/>
  <c r="W1040" i="3"/>
  <c r="W1786" i="3"/>
  <c r="W4325" i="3"/>
  <c r="W303" i="3"/>
  <c r="W161" i="3"/>
  <c r="W1787" i="3"/>
  <c r="W1788" i="3"/>
  <c r="W1789" i="3"/>
  <c r="W1402" i="3"/>
  <c r="W1403" i="3"/>
  <c r="W447" i="3"/>
  <c r="W448" i="3"/>
  <c r="W449" i="3"/>
  <c r="W746" i="3"/>
  <c r="W1042" i="3"/>
  <c r="W82" i="3"/>
  <c r="W450" i="3"/>
  <c r="W747" i="3"/>
  <c r="W748" i="3"/>
  <c r="W1790" i="3"/>
  <c r="W304" i="3"/>
  <c r="W1791" i="3"/>
  <c r="W1792" i="3"/>
  <c r="W1404" i="3"/>
  <c r="W1405" i="3"/>
  <c r="W749" i="3"/>
  <c r="W305" i="3"/>
  <c r="W1793" i="3"/>
  <c r="W1043" i="3"/>
  <c r="W1406" i="3"/>
  <c r="W1044" i="3"/>
  <c r="W750" i="3"/>
  <c r="W451" i="3"/>
  <c r="W912" i="3"/>
  <c r="W1794" i="3"/>
  <c r="W1795" i="3"/>
  <c r="W452" i="3"/>
  <c r="W453" i="3"/>
  <c r="W751" i="3"/>
  <c r="W1796" i="3"/>
  <c r="W752" i="3"/>
  <c r="W1797" i="3"/>
  <c r="W913" i="3"/>
  <c r="W753" i="3"/>
  <c r="W754" i="3"/>
  <c r="W1045" i="3"/>
  <c r="W1798" i="3"/>
  <c r="W1046" i="3"/>
  <c r="W1799" i="3"/>
  <c r="W1407" i="3"/>
  <c r="W1408" i="3"/>
  <c r="W454" i="3"/>
  <c r="W1800" i="3"/>
  <c r="W914" i="3"/>
  <c r="W1801" i="3"/>
  <c r="W530" i="3"/>
  <c r="W306" i="3"/>
  <c r="W162" i="3"/>
  <c r="W755" i="3"/>
  <c r="W1409" i="3"/>
  <c r="W1802" i="3"/>
  <c r="W1803" i="3"/>
  <c r="W1804" i="3"/>
  <c r="W1805" i="3"/>
  <c r="W1410" i="3"/>
  <c r="W1806" i="3"/>
  <c r="W531" i="3"/>
  <c r="W1807" i="3"/>
  <c r="W1808" i="3"/>
  <c r="W1809" i="3"/>
  <c r="W1810" i="3"/>
  <c r="W307" i="3"/>
  <c r="W308" i="3"/>
  <c r="W1811" i="3"/>
  <c r="W1812" i="3"/>
  <c r="W309" i="3"/>
  <c r="W310" i="3"/>
  <c r="W311" i="3"/>
  <c r="W83" i="3"/>
  <c r="W312" i="3"/>
  <c r="W163" i="3"/>
  <c r="W1813" i="3"/>
  <c r="W313" i="3"/>
  <c r="W1814" i="3"/>
  <c r="W1815" i="3"/>
  <c r="W455" i="3"/>
  <c r="W1816" i="3"/>
  <c r="W1411" i="3"/>
  <c r="W1047" i="3"/>
  <c r="W1817" i="3"/>
  <c r="W1818" i="3"/>
  <c r="W1819" i="3"/>
  <c r="W314" i="3"/>
  <c r="W315" i="3"/>
  <c r="W1048" i="3"/>
  <c r="W1049" i="3"/>
  <c r="W84" i="3"/>
  <c r="W1820" i="3"/>
  <c r="W1821" i="3"/>
  <c r="W1050" i="3"/>
  <c r="W1822" i="3"/>
  <c r="W1823" i="3"/>
  <c r="W1051" i="3"/>
  <c r="W1824" i="3"/>
  <c r="W1052" i="3"/>
  <c r="W316" i="3"/>
  <c r="W317" i="3"/>
  <c r="W1053" i="3"/>
  <c r="W1054" i="3"/>
  <c r="W1055" i="3"/>
  <c r="W1056" i="3"/>
  <c r="W1057" i="3"/>
  <c r="W1058" i="3"/>
  <c r="W756" i="3"/>
  <c r="W318" i="3"/>
  <c r="W319" i="3"/>
  <c r="W757" i="3"/>
  <c r="W320" i="3"/>
  <c r="W758" i="3"/>
  <c r="W1825" i="3"/>
  <c r="W321" i="3"/>
  <c r="W759" i="3"/>
  <c r="W760" i="3"/>
  <c r="W1412" i="3"/>
  <c r="W322" i="3"/>
  <c r="W761" i="3"/>
  <c r="W1413" i="3"/>
  <c r="W762" i="3"/>
  <c r="W1059" i="3"/>
  <c r="W1060" i="3"/>
  <c r="W323" i="3"/>
  <c r="W164" i="3"/>
  <c r="W1061" i="3"/>
  <c r="W165" i="3"/>
  <c r="W1062" i="3"/>
  <c r="W166" i="3"/>
  <c r="W1106" i="3"/>
  <c r="W1107" i="3"/>
  <c r="W1063" i="3"/>
  <c r="W1414" i="3"/>
  <c r="W763" i="3"/>
  <c r="W167" i="3"/>
  <c r="W532" i="3"/>
  <c r="W533" i="3"/>
  <c r="W764" i="3"/>
  <c r="W1415" i="3"/>
  <c r="W765" i="3"/>
  <c r="W1064" i="3"/>
  <c r="W766" i="3"/>
  <c r="W534" i="3"/>
  <c r="W535" i="3"/>
  <c r="W1826" i="3"/>
  <c r="W1827" i="3"/>
  <c r="W1416" i="3"/>
  <c r="W536" i="3"/>
  <c r="W1065" i="3"/>
  <c r="W168" i="3"/>
  <c r="W456" i="3"/>
  <c r="W537" i="3"/>
  <c r="W538" i="3"/>
  <c r="W1417" i="3"/>
  <c r="W1418" i="3"/>
  <c r="W1828" i="3"/>
  <c r="W539" i="3"/>
  <c r="W1829" i="3"/>
  <c r="W1830" i="3"/>
  <c r="W1419" i="3"/>
  <c r="W767" i="3"/>
  <c r="W85" i="3"/>
  <c r="W1831" i="3"/>
  <c r="W768" i="3"/>
  <c r="W1832" i="3"/>
  <c r="W886" i="3"/>
  <c r="W1273" i="3"/>
  <c r="W564" i="3"/>
  <c r="W584" i="3"/>
  <c r="X1753" i="3"/>
  <c r="X708" i="3"/>
  <c r="X901" i="3"/>
  <c r="X76" i="3"/>
  <c r="X1754" i="3"/>
  <c r="X256" i="3"/>
  <c r="X77" i="3"/>
  <c r="X902" i="3"/>
  <c r="X903" i="3"/>
  <c r="X904" i="3"/>
  <c r="X905" i="3"/>
  <c r="X709" i="3"/>
  <c r="X710" i="3"/>
  <c r="X711" i="3"/>
  <c r="X712" i="3"/>
  <c r="X257" i="3"/>
  <c r="X713" i="3"/>
  <c r="X906" i="3"/>
  <c r="X1755" i="3"/>
  <c r="X1756" i="3"/>
  <c r="X1757" i="3"/>
  <c r="X1100" i="3"/>
  <c r="X78" i="3"/>
  <c r="X440" i="3"/>
  <c r="X1758" i="3"/>
  <c r="X1759" i="3"/>
  <c r="X1760" i="3"/>
  <c r="X714" i="3"/>
  <c r="X907" i="3"/>
  <c r="X1024" i="3"/>
  <c r="X908" i="3"/>
  <c r="X715" i="3"/>
  <c r="X1761" i="3"/>
  <c r="X716" i="3"/>
  <c r="X441" i="3"/>
  <c r="X717" i="3"/>
  <c r="X718" i="3"/>
  <c r="X719" i="3"/>
  <c r="X720" i="3"/>
  <c r="X721" i="3"/>
  <c r="X1360" i="3"/>
  <c r="X722" i="3"/>
  <c r="X1762" i="3"/>
  <c r="X1763" i="3"/>
  <c r="X1764" i="3"/>
  <c r="X909" i="3"/>
  <c r="X910" i="3"/>
  <c r="X1101" i="3"/>
  <c r="X1765" i="3"/>
  <c r="X1766" i="3"/>
  <c r="X1767" i="3"/>
  <c r="X1768" i="3"/>
  <c r="X1361" i="3"/>
  <c r="X151" i="3"/>
  <c r="X723" i="3"/>
  <c r="X1769" i="3"/>
  <c r="X724" i="3"/>
  <c r="X1362" i="3"/>
  <c r="X527" i="3"/>
  <c r="X258" i="3"/>
  <c r="X725" i="3"/>
  <c r="X442" i="3"/>
  <c r="X1363" i="3"/>
  <c r="X1770" i="3"/>
  <c r="X259" i="3"/>
  <c r="X1771" i="3"/>
  <c r="X260" i="3"/>
  <c r="X726" i="3"/>
  <c r="X1364" i="3"/>
  <c r="X1365" i="3"/>
  <c r="X1772" i="3"/>
  <c r="X1773" i="3"/>
  <c r="X1774" i="3"/>
  <c r="X1775" i="3"/>
  <c r="X727" i="3"/>
  <c r="X261" i="3"/>
  <c r="X79" i="3"/>
  <c r="X152" i="3"/>
  <c r="X1102" i="3"/>
  <c r="X1593" i="3"/>
  <c r="X262" i="3"/>
  <c r="X1366" i="3"/>
  <c r="X263" i="3"/>
  <c r="X264" i="3"/>
  <c r="X1777" i="3"/>
  <c r="X265" i="3"/>
  <c r="X266" i="3"/>
  <c r="X267" i="3"/>
  <c r="X268" i="3"/>
  <c r="X269" i="3"/>
  <c r="X270" i="3"/>
  <c r="X271" i="3"/>
  <c r="X272" i="3"/>
  <c r="X528" i="3"/>
  <c r="X728" i="3"/>
  <c r="X729" i="3"/>
  <c r="X153" i="3"/>
  <c r="X154" i="3"/>
  <c r="X1103" i="3"/>
  <c r="X273" i="3"/>
  <c r="X443" i="3"/>
  <c r="X155" i="3"/>
  <c r="X1025" i="3"/>
  <c r="X274" i="3"/>
  <c r="X275" i="3"/>
  <c r="X730" i="3"/>
  <c r="X444" i="3"/>
  <c r="X276" i="3"/>
  <c r="X731" i="3"/>
  <c r="X445" i="3"/>
  <c r="X732" i="3"/>
  <c r="X1367" i="3"/>
  <c r="X277" i="3"/>
  <c r="X278" i="3"/>
  <c r="X279" i="3"/>
  <c r="X280" i="3"/>
  <c r="X281" i="3"/>
  <c r="X282" i="3"/>
  <c r="X283" i="3"/>
  <c r="X1778" i="3"/>
  <c r="X284" i="3"/>
  <c r="X285" i="3"/>
  <c r="X1026" i="3"/>
  <c r="X286" i="3"/>
  <c r="X733" i="3"/>
  <c r="X734" i="3"/>
  <c r="X911" i="3"/>
  <c r="X735" i="3"/>
  <c r="X736" i="3"/>
  <c r="X737" i="3"/>
  <c r="X738" i="3"/>
  <c r="X739" i="3"/>
  <c r="X287" i="3"/>
  <c r="X740" i="3"/>
  <c r="X288" i="3"/>
  <c r="X1368" i="3"/>
  <c r="X1369" i="3"/>
  <c r="X1027" i="3"/>
  <c r="X741" i="3"/>
  <c r="X1370" i="3"/>
  <c r="X742" i="3"/>
  <c r="X743" i="3"/>
  <c r="X80" i="3"/>
  <c r="X1371" i="3"/>
  <c r="X289" i="3"/>
  <c r="X81" i="3"/>
  <c r="X1372" i="3"/>
  <c r="X290" i="3"/>
  <c r="X1373" i="3"/>
  <c r="X1374" i="3"/>
  <c r="X1375" i="3"/>
  <c r="X1376" i="3"/>
  <c r="X1377" i="3"/>
  <c r="X291" i="3"/>
  <c r="X1104" i="3"/>
  <c r="X1378" i="3"/>
  <c r="X292" i="3"/>
  <c r="X293" i="3"/>
  <c r="X294" i="3"/>
  <c r="X295" i="3"/>
  <c r="X296" i="3"/>
  <c r="X1379" i="3"/>
  <c r="X297" i="3"/>
  <c r="X298" i="3"/>
  <c r="X1380" i="3"/>
  <c r="X1381" i="3"/>
  <c r="X1382" i="3"/>
  <c r="X1383" i="3"/>
  <c r="X1384" i="3"/>
  <c r="X1385" i="3"/>
  <c r="X299" i="3"/>
  <c r="X300" i="3"/>
  <c r="X1386" i="3"/>
  <c r="X1387" i="3"/>
  <c r="X1388" i="3"/>
  <c r="X1389" i="3"/>
  <c r="X1390" i="3"/>
  <c r="X1391" i="3"/>
  <c r="X1392" i="3"/>
  <c r="X1028" i="3"/>
  <c r="X1029" i="3"/>
  <c r="X1393" i="3"/>
  <c r="X1030" i="3"/>
  <c r="X301" i="3"/>
  <c r="X156" i="3"/>
  <c r="X1394" i="3"/>
  <c r="X1395" i="3"/>
  <c r="X1031" i="3"/>
  <c r="X1032" i="3"/>
  <c r="X1033" i="3"/>
  <c r="X1779" i="3"/>
  <c r="X1396" i="3"/>
  <c r="X1397" i="3"/>
  <c r="X1780" i="3"/>
  <c r="X1398" i="3"/>
  <c r="X744" i="3"/>
  <c r="X302" i="3"/>
  <c r="X1781" i="3"/>
  <c r="X1399" i="3"/>
  <c r="X157" i="3"/>
  <c r="X1034" i="3"/>
  <c r="X136" i="3"/>
  <c r="X158" i="3"/>
  <c r="X159" i="3"/>
  <c r="X1036" i="3"/>
  <c r="X1782" i="3"/>
  <c r="X160" i="3"/>
  <c r="X1037" i="3"/>
  <c r="X529" i="3"/>
  <c r="X1783" i="3"/>
  <c r="X1400" i="3"/>
  <c r="X1784" i="3"/>
  <c r="X446" i="3"/>
  <c r="X1401" i="3"/>
  <c r="X745" i="3"/>
  <c r="X1038" i="3"/>
  <c r="X1785" i="3"/>
  <c r="X1039" i="3"/>
  <c r="X1105" i="3"/>
  <c r="X1040" i="3"/>
  <c r="X1786" i="3"/>
  <c r="X4325" i="3"/>
  <c r="X303" i="3"/>
  <c r="X161" i="3"/>
  <c r="X1787" i="3"/>
  <c r="X1788" i="3"/>
  <c r="X1789" i="3"/>
  <c r="X1402" i="3"/>
  <c r="X1403" i="3"/>
  <c r="X447" i="3"/>
  <c r="X448" i="3"/>
  <c r="X449" i="3"/>
  <c r="X746" i="3"/>
  <c r="X1042" i="3"/>
  <c r="X82" i="3"/>
  <c r="X450" i="3"/>
  <c r="X747" i="3"/>
  <c r="X748" i="3"/>
  <c r="X1790" i="3"/>
  <c r="X304" i="3"/>
  <c r="X1791" i="3"/>
  <c r="X1792" i="3"/>
  <c r="X1404" i="3"/>
  <c r="X1405" i="3"/>
  <c r="X749" i="3"/>
  <c r="X305" i="3"/>
  <c r="X1793" i="3"/>
  <c r="X1043" i="3"/>
  <c r="X1406" i="3"/>
  <c r="X1044" i="3"/>
  <c r="X750" i="3"/>
  <c r="X451" i="3"/>
  <c r="X912" i="3"/>
  <c r="X1794" i="3"/>
  <c r="X1795" i="3"/>
  <c r="X452" i="3"/>
  <c r="X453" i="3"/>
  <c r="X751" i="3"/>
  <c r="X1796" i="3"/>
  <c r="X752" i="3"/>
  <c r="X1797" i="3"/>
  <c r="X913" i="3"/>
  <c r="X753" i="3"/>
  <c r="X754" i="3"/>
  <c r="X1045" i="3"/>
  <c r="X1798" i="3"/>
  <c r="X1046" i="3"/>
  <c r="X1799" i="3"/>
  <c r="X1407" i="3"/>
  <c r="X1408" i="3"/>
  <c r="X454" i="3"/>
  <c r="X1800" i="3"/>
  <c r="X914" i="3"/>
  <c r="X1801" i="3"/>
  <c r="X530" i="3"/>
  <c r="X306" i="3"/>
  <c r="X162" i="3"/>
  <c r="X755" i="3"/>
  <c r="X1409" i="3"/>
  <c r="X1802" i="3"/>
  <c r="X1803" i="3"/>
  <c r="X1804" i="3"/>
  <c r="X1805" i="3"/>
  <c r="X1410" i="3"/>
  <c r="X1806" i="3"/>
  <c r="X531" i="3"/>
  <c r="X1807" i="3"/>
  <c r="X1808" i="3"/>
  <c r="X1809" i="3"/>
  <c r="X1810" i="3"/>
  <c r="X307" i="3"/>
  <c r="X308" i="3"/>
  <c r="X1811" i="3"/>
  <c r="X1812" i="3"/>
  <c r="X309" i="3"/>
  <c r="X310" i="3"/>
  <c r="X311" i="3"/>
  <c r="X83" i="3"/>
  <c r="X312" i="3"/>
  <c r="X163" i="3"/>
  <c r="X1813" i="3"/>
  <c r="X313" i="3"/>
  <c r="X1814" i="3"/>
  <c r="X1815" i="3"/>
  <c r="X455" i="3"/>
  <c r="X1816" i="3"/>
  <c r="X1411" i="3"/>
  <c r="X1047" i="3"/>
  <c r="X1817" i="3"/>
  <c r="X1818" i="3"/>
  <c r="X1819" i="3"/>
  <c r="X314" i="3"/>
  <c r="X315" i="3"/>
  <c r="X1048" i="3"/>
  <c r="X1049" i="3"/>
  <c r="X84" i="3"/>
  <c r="X1820" i="3"/>
  <c r="X1821" i="3"/>
  <c r="X1050" i="3"/>
  <c r="X1822" i="3"/>
  <c r="X1823" i="3"/>
  <c r="X1051" i="3"/>
  <c r="X1824" i="3"/>
  <c r="X1052" i="3"/>
  <c r="X316" i="3"/>
  <c r="X317" i="3"/>
  <c r="X1053" i="3"/>
  <c r="X1054" i="3"/>
  <c r="X1055" i="3"/>
  <c r="X1056" i="3"/>
  <c r="X1057" i="3"/>
  <c r="X1058" i="3"/>
  <c r="X756" i="3"/>
  <c r="X318" i="3"/>
  <c r="X319" i="3"/>
  <c r="X757" i="3"/>
  <c r="X320" i="3"/>
  <c r="X758" i="3"/>
  <c r="X1825" i="3"/>
  <c r="X321" i="3"/>
  <c r="X759" i="3"/>
  <c r="X760" i="3"/>
  <c r="X1412" i="3"/>
  <c r="X322" i="3"/>
  <c r="X761" i="3"/>
  <c r="X1413" i="3"/>
  <c r="X762" i="3"/>
  <c r="X1059" i="3"/>
  <c r="X1060" i="3"/>
  <c r="X323" i="3"/>
  <c r="X164" i="3"/>
  <c r="X1061" i="3"/>
  <c r="X165" i="3"/>
  <c r="X1062" i="3"/>
  <c r="X166" i="3"/>
  <c r="X1106" i="3"/>
  <c r="X1107" i="3"/>
  <c r="X1063" i="3"/>
  <c r="X1414" i="3"/>
  <c r="X763" i="3"/>
  <c r="X167" i="3"/>
  <c r="X532" i="3"/>
  <c r="X533" i="3"/>
  <c r="X764" i="3"/>
  <c r="X1415" i="3"/>
  <c r="X765" i="3"/>
  <c r="X1064" i="3"/>
  <c r="X766" i="3"/>
  <c r="X534" i="3"/>
  <c r="X535" i="3"/>
  <c r="X1826" i="3"/>
  <c r="X1827" i="3"/>
  <c r="X1416" i="3"/>
  <c r="X536" i="3"/>
  <c r="X1065" i="3"/>
  <c r="X168" i="3"/>
  <c r="X456" i="3"/>
  <c r="X537" i="3"/>
  <c r="X538" i="3"/>
  <c r="X1417" i="3"/>
  <c r="X1418" i="3"/>
  <c r="X1828" i="3"/>
  <c r="X539" i="3"/>
  <c r="X1829" i="3"/>
  <c r="X1830" i="3"/>
  <c r="X1419" i="3"/>
  <c r="X767" i="3"/>
  <c r="X85" i="3"/>
  <c r="X1831" i="3"/>
  <c r="X768" i="3"/>
  <c r="X1832" i="3"/>
  <c r="X886" i="3"/>
  <c r="X1273" i="3"/>
  <c r="X564" i="3"/>
  <c r="X584" i="3"/>
  <c r="X1752" i="3" l="1"/>
  <c r="W1752" i="3"/>
  <c r="U1752" i="3"/>
  <c r="V1752" i="3" s="1"/>
  <c r="S1752" i="3"/>
  <c r="T1752" i="3" s="1"/>
  <c r="X1751" i="3"/>
  <c r="W1751" i="3"/>
  <c r="U1751" i="3"/>
  <c r="V1751" i="3" s="1"/>
  <c r="S1751" i="3"/>
  <c r="T1751" i="3" s="1"/>
  <c r="X1750" i="3"/>
  <c r="W1750" i="3"/>
  <c r="U1750" i="3"/>
  <c r="V1750" i="3" s="1"/>
  <c r="S1750" i="3"/>
  <c r="T1750" i="3" s="1"/>
  <c r="X1749" i="3"/>
  <c r="W1749" i="3"/>
  <c r="U1749" i="3"/>
  <c r="V1749" i="3" s="1"/>
  <c r="S1749" i="3"/>
  <c r="T1749" i="3" s="1"/>
  <c r="X439" i="3"/>
  <c r="W439" i="3"/>
  <c r="U439" i="3"/>
  <c r="V439" i="3" s="1"/>
  <c r="S439" i="3"/>
  <c r="T439" i="3" s="1"/>
  <c r="X1099" i="3"/>
  <c r="W1099" i="3"/>
  <c r="U1099" i="3"/>
  <c r="V1099" i="3" s="1"/>
  <c r="S1099" i="3"/>
  <c r="T1099" i="3" s="1"/>
  <c r="X1359" i="3"/>
  <c r="W1359" i="3"/>
  <c r="U1359" i="3"/>
  <c r="V1359" i="3" s="1"/>
  <c r="S1359" i="3"/>
  <c r="T1359" i="3" s="1"/>
  <c r="X1303" i="3"/>
  <c r="W1303" i="3"/>
  <c r="U1303" i="3"/>
  <c r="V1303" i="3" s="1"/>
  <c r="S1303" i="3"/>
  <c r="T1303" i="3" s="1"/>
  <c r="X1748" i="3"/>
  <c r="W1748" i="3"/>
  <c r="U1748" i="3"/>
  <c r="V1748" i="3" s="1"/>
  <c r="S1748" i="3"/>
  <c r="T1748" i="3" s="1"/>
  <c r="X1747" i="3"/>
  <c r="W1747" i="3"/>
  <c r="U1747" i="3"/>
  <c r="V1747" i="3" s="1"/>
  <c r="S1747" i="3"/>
  <c r="T1747" i="3" s="1"/>
  <c r="X1746" i="3"/>
  <c r="W1746" i="3"/>
  <c r="U1746" i="3"/>
  <c r="V1746" i="3" s="1"/>
  <c r="S1746" i="3"/>
  <c r="T1746" i="3" s="1"/>
  <c r="X438" i="3"/>
  <c r="W438" i="3"/>
  <c r="U438" i="3"/>
  <c r="V438" i="3" s="1"/>
  <c r="S438" i="3"/>
  <c r="T438" i="3" s="1"/>
  <c r="X1357" i="3"/>
  <c r="W1357" i="3"/>
  <c r="U1357" i="3"/>
  <c r="V1357" i="3" s="1"/>
  <c r="S1357" i="3"/>
  <c r="T1357" i="3" s="1"/>
  <c r="X707" i="3"/>
  <c r="W707" i="3"/>
  <c r="U707" i="3"/>
  <c r="V707" i="3" s="1"/>
  <c r="S707" i="3"/>
  <c r="T707" i="3" s="1"/>
  <c r="X706" i="3"/>
  <c r="W706" i="3"/>
  <c r="U706" i="3"/>
  <c r="V706" i="3" s="1"/>
  <c r="S706" i="3"/>
  <c r="T706" i="3" s="1"/>
  <c r="X1098" i="3"/>
  <c r="W1098" i="3"/>
  <c r="U1098" i="3"/>
  <c r="V1098" i="3" s="1"/>
  <c r="S1098" i="3"/>
  <c r="T1098" i="3" s="1"/>
  <c r="X705" i="3"/>
  <c r="W705" i="3"/>
  <c r="U705" i="3"/>
  <c r="V705" i="3" s="1"/>
  <c r="S705" i="3"/>
  <c r="T705" i="3" s="1"/>
  <c r="X75" i="3"/>
  <c r="W75" i="3"/>
  <c r="U75" i="3"/>
  <c r="V75" i="3" s="1"/>
  <c r="S75" i="3"/>
  <c r="T75" i="3" s="1"/>
  <c r="X704" i="3"/>
  <c r="W704" i="3"/>
  <c r="U704" i="3"/>
  <c r="V704" i="3" s="1"/>
  <c r="S704" i="3"/>
  <c r="T704" i="3" s="1"/>
  <c r="X150" i="3"/>
  <c r="W150" i="3"/>
  <c r="U150" i="3"/>
  <c r="V150" i="3" s="1"/>
  <c r="S150" i="3"/>
  <c r="T150" i="3" s="1"/>
  <c r="X703" i="3"/>
  <c r="W703" i="3"/>
  <c r="U703" i="3"/>
  <c r="V703" i="3" s="1"/>
  <c r="S703" i="3"/>
  <c r="T703" i="3" s="1"/>
  <c r="X702" i="3"/>
  <c r="W702" i="3"/>
  <c r="U702" i="3"/>
  <c r="V702" i="3" s="1"/>
  <c r="S702" i="3"/>
  <c r="T702" i="3" s="1"/>
  <c r="X1356" i="3"/>
  <c r="W1356" i="3"/>
  <c r="U1356" i="3"/>
  <c r="V1356" i="3" s="1"/>
  <c r="S1356" i="3"/>
  <c r="T1356" i="3" s="1"/>
  <c r="X1350" i="3"/>
  <c r="W1350" i="3"/>
  <c r="U1350" i="3"/>
  <c r="V1350" i="3" s="1"/>
  <c r="S1350" i="3"/>
  <c r="T1350" i="3" s="1"/>
  <c r="X1355" i="3"/>
  <c r="W1355" i="3"/>
  <c r="U1355" i="3"/>
  <c r="V1355" i="3" s="1"/>
  <c r="S1355" i="3"/>
  <c r="T1355" i="3" s="1"/>
  <c r="X701" i="3"/>
  <c r="W701" i="3"/>
  <c r="U701" i="3"/>
  <c r="V701" i="3" s="1"/>
  <c r="S701" i="3"/>
  <c r="T701" i="3" s="1"/>
  <c r="X74" i="3"/>
  <c r="W74" i="3"/>
  <c r="U74" i="3"/>
  <c r="V74" i="3" s="1"/>
  <c r="S74" i="3"/>
  <c r="T74" i="3" s="1"/>
  <c r="X900" i="3"/>
  <c r="W900" i="3"/>
  <c r="U900" i="3"/>
  <c r="V900" i="3" s="1"/>
  <c r="S900" i="3"/>
  <c r="T900" i="3" s="1"/>
  <c r="X700" i="3"/>
  <c r="W700" i="3"/>
  <c r="U700" i="3"/>
  <c r="V700" i="3" s="1"/>
  <c r="S700" i="3"/>
  <c r="T700" i="3" s="1"/>
  <c r="X699" i="3"/>
  <c r="W699" i="3"/>
  <c r="U699" i="3"/>
  <c r="V699" i="3" s="1"/>
  <c r="S699" i="3"/>
  <c r="T699" i="3" s="1"/>
  <c r="X255" i="3"/>
  <c r="W255" i="3"/>
  <c r="U255" i="3"/>
  <c r="V255" i="3" s="1"/>
  <c r="S255" i="3"/>
  <c r="T255" i="3" s="1"/>
  <c r="X698" i="3"/>
  <c r="W698" i="3"/>
  <c r="U698" i="3"/>
  <c r="V698" i="3" s="1"/>
  <c r="S698" i="3"/>
  <c r="T698" i="3" s="1"/>
  <c r="X697" i="3"/>
  <c r="W697" i="3"/>
  <c r="U697" i="3"/>
  <c r="V697" i="3" s="1"/>
  <c r="S697" i="3"/>
  <c r="T697" i="3" s="1"/>
  <c r="X1354" i="3"/>
  <c r="W1354" i="3"/>
  <c r="U1354" i="3"/>
  <c r="V1354" i="3" s="1"/>
  <c r="S1354" i="3"/>
  <c r="T1354" i="3" s="1"/>
  <c r="X73" i="3"/>
  <c r="W73" i="3"/>
  <c r="U73" i="3"/>
  <c r="V73" i="3" s="1"/>
  <c r="S73" i="3"/>
  <c r="T73" i="3" s="1"/>
  <c r="X1353" i="3"/>
  <c r="W1353" i="3"/>
  <c r="U1353" i="3"/>
  <c r="V1353" i="3" s="1"/>
  <c r="S1353" i="3"/>
  <c r="T1353" i="3" s="1"/>
  <c r="X1745" i="3"/>
  <c r="W1745" i="3"/>
  <c r="U1745" i="3"/>
  <c r="V1745" i="3" s="1"/>
  <c r="S1745" i="3"/>
  <c r="T1745" i="3" s="1"/>
  <c r="X1352" i="3"/>
  <c r="W1352" i="3"/>
  <c r="U1352" i="3"/>
  <c r="V1352" i="3" s="1"/>
  <c r="S1352" i="3"/>
  <c r="T1352" i="3" s="1"/>
  <c r="X1349" i="3"/>
  <c r="W1349" i="3"/>
  <c r="U1349" i="3"/>
  <c r="V1349" i="3" s="1"/>
  <c r="S1349" i="3"/>
  <c r="T1349" i="3" s="1"/>
  <c r="X696" i="3"/>
  <c r="W696" i="3"/>
  <c r="U696" i="3"/>
  <c r="V696" i="3" s="1"/>
  <c r="S696" i="3"/>
  <c r="T696" i="3" s="1"/>
  <c r="X1288" i="3"/>
  <c r="W1288" i="3"/>
  <c r="U1288" i="3"/>
  <c r="V1288" i="3" s="1"/>
  <c r="S1288" i="3"/>
  <c r="T1288" i="3" s="1"/>
  <c r="X695" i="3"/>
  <c r="W695" i="3"/>
  <c r="U695" i="3"/>
  <c r="V695" i="3" s="1"/>
  <c r="S695" i="3"/>
  <c r="T695" i="3" s="1"/>
  <c r="X1011" i="3"/>
  <c r="W1011" i="3"/>
  <c r="U1011" i="3"/>
  <c r="V1011" i="3" s="1"/>
  <c r="S1011" i="3"/>
  <c r="T1011" i="3" s="1"/>
  <c r="X694" i="3"/>
  <c r="W694" i="3"/>
  <c r="U694" i="3"/>
  <c r="V694" i="3" s="1"/>
  <c r="S694" i="3"/>
  <c r="T694" i="3" s="1"/>
  <c r="X994" i="3"/>
  <c r="W994" i="3"/>
  <c r="U994" i="3"/>
  <c r="V994" i="3" s="1"/>
  <c r="S994" i="3"/>
  <c r="T994" i="3" s="1"/>
  <c r="X693" i="3"/>
  <c r="W693" i="3"/>
  <c r="U693" i="3"/>
  <c r="V693" i="3" s="1"/>
  <c r="S693" i="3"/>
  <c r="T693" i="3" s="1"/>
  <c r="X1744" i="3"/>
  <c r="W1744" i="3"/>
  <c r="U1744" i="3"/>
  <c r="V1744" i="3" s="1"/>
  <c r="S1744" i="3"/>
  <c r="T1744" i="3" s="1"/>
  <c r="X1743" i="3"/>
  <c r="W1743" i="3"/>
  <c r="U1743" i="3"/>
  <c r="V1743" i="3" s="1"/>
  <c r="S1743" i="3"/>
  <c r="T1743" i="3" s="1"/>
  <c r="X1023" i="3"/>
  <c r="W1023" i="3"/>
  <c r="U1023" i="3"/>
  <c r="V1023" i="3" s="1"/>
  <c r="S1023" i="3"/>
  <c r="T1023" i="3" s="1"/>
  <c r="X1022" i="3"/>
  <c r="W1022" i="3"/>
  <c r="U1022" i="3"/>
  <c r="V1022" i="3" s="1"/>
  <c r="S1022" i="3"/>
  <c r="T1022" i="3" s="1"/>
  <c r="X1348" i="3"/>
  <c r="W1348" i="3"/>
  <c r="U1348" i="3"/>
  <c r="V1348" i="3" s="1"/>
  <c r="S1348" i="3"/>
  <c r="T1348" i="3" s="1"/>
  <c r="X1021" i="3"/>
  <c r="W1021" i="3"/>
  <c r="U1021" i="3"/>
  <c r="V1021" i="3" s="1"/>
  <c r="S1021" i="3"/>
  <c r="T1021" i="3" s="1"/>
  <c r="X1020" i="3"/>
  <c r="W1020" i="3"/>
  <c r="U1020" i="3"/>
  <c r="V1020" i="3" s="1"/>
  <c r="S1020" i="3"/>
  <c r="T1020" i="3" s="1"/>
  <c r="X1019" i="3"/>
  <c r="W1019" i="3"/>
  <c r="U1019" i="3"/>
  <c r="V1019" i="3" s="1"/>
  <c r="S1019" i="3"/>
  <c r="T1019" i="3" s="1"/>
  <c r="X1018" i="3"/>
  <c r="W1018" i="3"/>
  <c r="U1018" i="3"/>
  <c r="V1018" i="3" s="1"/>
  <c r="S1018" i="3"/>
  <c r="T1018" i="3" s="1"/>
  <c r="X72" i="3"/>
  <c r="W72" i="3"/>
  <c r="U72" i="3"/>
  <c r="V72" i="3" s="1"/>
  <c r="S72" i="3"/>
  <c r="T72" i="3" s="1"/>
  <c r="X1017" i="3"/>
  <c r="W1017" i="3"/>
  <c r="U1017" i="3"/>
  <c r="V1017" i="3" s="1"/>
  <c r="S1017" i="3"/>
  <c r="T1017" i="3" s="1"/>
  <c r="X71" i="3"/>
  <c r="W71" i="3"/>
  <c r="U71" i="3"/>
  <c r="V71" i="3" s="1"/>
  <c r="S71" i="3"/>
  <c r="T71" i="3" s="1"/>
  <c r="X692" i="3"/>
  <c r="W692" i="3"/>
  <c r="U692" i="3"/>
  <c r="V692" i="3" s="1"/>
  <c r="S692" i="3"/>
  <c r="T692" i="3" s="1"/>
  <c r="X691" i="3"/>
  <c r="W691" i="3"/>
  <c r="U691" i="3"/>
  <c r="V691" i="3" s="1"/>
  <c r="S691" i="3"/>
  <c r="T691" i="3" s="1"/>
  <c r="X690" i="3"/>
  <c r="W690" i="3"/>
  <c r="U690" i="3"/>
  <c r="V690" i="3" s="1"/>
  <c r="S690" i="3"/>
  <c r="T690" i="3" s="1"/>
  <c r="X1742" i="3"/>
  <c r="W1742" i="3"/>
  <c r="U1742" i="3"/>
  <c r="V1742" i="3" s="1"/>
  <c r="S1742" i="3"/>
  <c r="T1742" i="3" s="1"/>
  <c r="X964" i="3"/>
  <c r="W964" i="3"/>
  <c r="U964" i="3"/>
  <c r="V964" i="3" s="1"/>
  <c r="S964" i="3"/>
  <c r="T964" i="3" s="1"/>
  <c r="X1016" i="3"/>
  <c r="W1016" i="3"/>
  <c r="U1016" i="3"/>
  <c r="V1016" i="3" s="1"/>
  <c r="S1016" i="3"/>
  <c r="T1016" i="3" s="1"/>
  <c r="X1015" i="3"/>
  <c r="W1015" i="3"/>
  <c r="U1015" i="3"/>
  <c r="V1015" i="3" s="1"/>
  <c r="S1015" i="3"/>
  <c r="T1015" i="3" s="1"/>
  <c r="X1741" i="3"/>
  <c r="W1741" i="3"/>
  <c r="U1741" i="3"/>
  <c r="V1741" i="3" s="1"/>
  <c r="S1741" i="3"/>
  <c r="T1741" i="3" s="1"/>
  <c r="X1740" i="3"/>
  <c r="W1740" i="3"/>
  <c r="U1740" i="3"/>
  <c r="V1740" i="3" s="1"/>
  <c r="S1740" i="3"/>
  <c r="T1740" i="3" s="1"/>
  <c r="X1347" i="3"/>
  <c r="W1347" i="3"/>
  <c r="U1347" i="3"/>
  <c r="V1347" i="3" s="1"/>
  <c r="S1347" i="3"/>
  <c r="T1347" i="3" s="1"/>
  <c r="X1346" i="3"/>
  <c r="W1346" i="3"/>
  <c r="U1346" i="3"/>
  <c r="V1346" i="3" s="1"/>
  <c r="S1346" i="3"/>
  <c r="T1346" i="3" s="1"/>
  <c r="X254" i="3"/>
  <c r="W254" i="3"/>
  <c r="U254" i="3"/>
  <c r="V254" i="3" s="1"/>
  <c r="S254" i="3"/>
  <c r="T254" i="3" s="1"/>
  <c r="X253" i="3"/>
  <c r="W253" i="3"/>
  <c r="U253" i="3"/>
  <c r="V253" i="3" s="1"/>
  <c r="S253" i="3"/>
  <c r="T253" i="3" s="1"/>
  <c r="X252" i="3"/>
  <c r="W252" i="3"/>
  <c r="U252" i="3"/>
  <c r="V252" i="3" s="1"/>
  <c r="S252" i="3"/>
  <c r="T252" i="3" s="1"/>
  <c r="X251" i="3"/>
  <c r="W251" i="3"/>
  <c r="U251" i="3"/>
  <c r="V251" i="3" s="1"/>
  <c r="S251" i="3"/>
  <c r="T251" i="3" s="1"/>
  <c r="X250" i="3"/>
  <c r="W250" i="3"/>
  <c r="U250" i="3"/>
  <c r="V250" i="3" s="1"/>
  <c r="S250" i="3"/>
  <c r="T250" i="3" s="1"/>
  <c r="X249" i="3"/>
  <c r="W249" i="3"/>
  <c r="U249" i="3"/>
  <c r="V249" i="3" s="1"/>
  <c r="S249" i="3"/>
  <c r="T249" i="3" s="1"/>
  <c r="X437" i="3"/>
  <c r="W437" i="3"/>
  <c r="U437" i="3"/>
  <c r="V437" i="3" s="1"/>
  <c r="S437" i="3"/>
  <c r="T437" i="3" s="1"/>
  <c r="X689" i="3"/>
  <c r="W689" i="3"/>
  <c r="U689" i="3"/>
  <c r="V689" i="3" s="1"/>
  <c r="S689" i="3"/>
  <c r="T689" i="3" s="1"/>
  <c r="X1739" i="3"/>
  <c r="W1739" i="3"/>
  <c r="U1739" i="3"/>
  <c r="V1739" i="3" s="1"/>
  <c r="S1739" i="3"/>
  <c r="T1739" i="3" s="1"/>
  <c r="X1738" i="3"/>
  <c r="W1738" i="3"/>
  <c r="U1738" i="3"/>
  <c r="V1738" i="3" s="1"/>
  <c r="S1738" i="3"/>
  <c r="T1738" i="3" s="1"/>
  <c r="X688" i="3"/>
  <c r="W688" i="3"/>
  <c r="U688" i="3"/>
  <c r="V688" i="3" s="1"/>
  <c r="S688" i="3"/>
  <c r="T688" i="3" s="1"/>
  <c r="X687" i="3"/>
  <c r="W687" i="3"/>
  <c r="U687" i="3"/>
  <c r="V687" i="3" s="1"/>
  <c r="S687" i="3"/>
  <c r="T687" i="3" s="1"/>
  <c r="X248" i="3"/>
  <c r="W248" i="3"/>
  <c r="U248" i="3"/>
  <c r="V248" i="3" s="1"/>
  <c r="S248" i="3"/>
  <c r="T248" i="3" s="1"/>
  <c r="X1304" i="3"/>
  <c r="W1304" i="3"/>
  <c r="U1304" i="3"/>
  <c r="V1304" i="3" s="1"/>
  <c r="S1304" i="3"/>
  <c r="T1304" i="3" s="1"/>
  <c r="X1345" i="3"/>
  <c r="W1345" i="3"/>
  <c r="U1345" i="3"/>
  <c r="V1345" i="3" s="1"/>
  <c r="S1345" i="3"/>
  <c r="T1345" i="3" s="1"/>
  <c r="X247" i="3"/>
  <c r="W247" i="3"/>
  <c r="U247" i="3"/>
  <c r="V247" i="3" s="1"/>
  <c r="S247" i="3"/>
  <c r="T247" i="3" s="1"/>
  <c r="X246" i="3"/>
  <c r="W246" i="3"/>
  <c r="U246" i="3"/>
  <c r="V246" i="3" s="1"/>
  <c r="S246" i="3"/>
  <c r="T246" i="3" s="1"/>
  <c r="X245" i="3"/>
  <c r="W245" i="3"/>
  <c r="U245" i="3"/>
  <c r="V245" i="3" s="1"/>
  <c r="S245" i="3"/>
  <c r="T245" i="3" s="1"/>
  <c r="X244" i="3"/>
  <c r="W244" i="3"/>
  <c r="U244" i="3"/>
  <c r="V244" i="3" s="1"/>
  <c r="S244" i="3"/>
  <c r="T244" i="3" s="1"/>
  <c r="X436" i="3"/>
  <c r="W436" i="3"/>
  <c r="U436" i="3"/>
  <c r="V436" i="3" s="1"/>
  <c r="S436" i="3"/>
  <c r="T436" i="3" s="1"/>
  <c r="X243" i="3"/>
  <c r="W243" i="3"/>
  <c r="U243" i="3"/>
  <c r="V243" i="3" s="1"/>
  <c r="S243" i="3"/>
  <c r="T243" i="3" s="1"/>
  <c r="X242" i="3"/>
  <c r="W242" i="3"/>
  <c r="U242" i="3"/>
  <c r="V242" i="3" s="1"/>
  <c r="S242" i="3"/>
  <c r="T242" i="3" s="1"/>
  <c r="X241" i="3"/>
  <c r="W241" i="3"/>
  <c r="U241" i="3"/>
  <c r="V241" i="3" s="1"/>
  <c r="S241" i="3"/>
  <c r="T241" i="3" s="1"/>
  <c r="X686" i="3"/>
  <c r="W686" i="3"/>
  <c r="U686" i="3"/>
  <c r="V686" i="3" s="1"/>
  <c r="S686" i="3"/>
  <c r="T686" i="3" s="1"/>
  <c r="X1344" i="3"/>
  <c r="W1344" i="3"/>
  <c r="U1344" i="3"/>
  <c r="V1344" i="3" s="1"/>
  <c r="S1344" i="3"/>
  <c r="T1344" i="3" s="1"/>
  <c r="X240" i="3"/>
  <c r="W240" i="3"/>
  <c r="U240" i="3"/>
  <c r="V240" i="3" s="1"/>
  <c r="S240" i="3"/>
  <c r="T240" i="3" s="1"/>
  <c r="X1097" i="3"/>
  <c r="W1097" i="3"/>
  <c r="U1097" i="3"/>
  <c r="V1097" i="3" s="1"/>
  <c r="S1097" i="3"/>
  <c r="T1097" i="3" s="1"/>
  <c r="X239" i="3"/>
  <c r="W239" i="3"/>
  <c r="U239" i="3"/>
  <c r="V239" i="3" s="1"/>
  <c r="S239" i="3"/>
  <c r="T239" i="3" s="1"/>
  <c r="X522" i="3"/>
  <c r="W522" i="3"/>
  <c r="U522" i="3"/>
  <c r="V522" i="3" s="1"/>
  <c r="S522" i="3"/>
  <c r="T522" i="3" s="1"/>
  <c r="X238" i="3"/>
  <c r="W238" i="3"/>
  <c r="U238" i="3"/>
  <c r="V238" i="3" s="1"/>
  <c r="S238" i="3"/>
  <c r="T238" i="3" s="1"/>
  <c r="X1737" i="3"/>
  <c r="W1737" i="3"/>
  <c r="U1737" i="3"/>
  <c r="V1737" i="3" s="1"/>
  <c r="S1737" i="3"/>
  <c r="T1737" i="3" s="1"/>
  <c r="X1736" i="3"/>
  <c r="W1736" i="3"/>
  <c r="U1736" i="3"/>
  <c r="V1736" i="3" s="1"/>
  <c r="S1736" i="3"/>
  <c r="T1736" i="3" s="1"/>
  <c r="X1735" i="3"/>
  <c r="W1735" i="3"/>
  <c r="U1735" i="3"/>
  <c r="V1735" i="3" s="1"/>
  <c r="S1735" i="3"/>
  <c r="T1735" i="3" s="1"/>
  <c r="X435" i="3"/>
  <c r="W435" i="3"/>
  <c r="U435" i="3"/>
  <c r="V435" i="3" s="1"/>
  <c r="S435" i="3"/>
  <c r="T435" i="3" s="1"/>
  <c r="X685" i="3"/>
  <c r="W685" i="3"/>
  <c r="U685" i="3"/>
  <c r="V685" i="3" s="1"/>
  <c r="S685" i="3"/>
  <c r="T685" i="3" s="1"/>
  <c r="X1734" i="3"/>
  <c r="W1734" i="3"/>
  <c r="U1734" i="3"/>
  <c r="V1734" i="3" s="1"/>
  <c r="S1734" i="3"/>
  <c r="T1734" i="3" s="1"/>
  <c r="X684" i="3"/>
  <c r="W684" i="3"/>
  <c r="U684" i="3"/>
  <c r="V684" i="3" s="1"/>
  <c r="S684" i="3"/>
  <c r="T684" i="3" s="1"/>
  <c r="X1733" i="3"/>
  <c r="W1733" i="3"/>
  <c r="U1733" i="3"/>
  <c r="V1733" i="3" s="1"/>
  <c r="S1733" i="3"/>
  <c r="T1733" i="3" s="1"/>
  <c r="X683" i="3"/>
  <c r="W683" i="3"/>
  <c r="U683" i="3"/>
  <c r="V683" i="3" s="1"/>
  <c r="S683" i="3"/>
  <c r="T683" i="3" s="1"/>
  <c r="X1732" i="3"/>
  <c r="W1732" i="3"/>
  <c r="U1732" i="3"/>
  <c r="V1732" i="3" s="1"/>
  <c r="S1732" i="3"/>
  <c r="T1732" i="3" s="1"/>
  <c r="X682" i="3"/>
  <c r="W682" i="3"/>
  <c r="U682" i="3"/>
  <c r="V682" i="3" s="1"/>
  <c r="S682" i="3"/>
  <c r="T682" i="3" s="1"/>
  <c r="X1014" i="3"/>
  <c r="W1014" i="3"/>
  <c r="U1014" i="3"/>
  <c r="V1014" i="3" s="1"/>
  <c r="S1014" i="3"/>
  <c r="T1014" i="3" s="1"/>
  <c r="X1731" i="3"/>
  <c r="W1731" i="3"/>
  <c r="U1731" i="3"/>
  <c r="V1731" i="3" s="1"/>
  <c r="S1731" i="3"/>
  <c r="T1731" i="3" s="1"/>
  <c r="X70" i="3"/>
  <c r="W70" i="3"/>
  <c r="U70" i="3"/>
  <c r="V70" i="3" s="1"/>
  <c r="S70" i="3"/>
  <c r="T70" i="3" s="1"/>
  <c r="X1013" i="3"/>
  <c r="W1013" i="3"/>
  <c r="U1013" i="3"/>
  <c r="V1013" i="3" s="1"/>
  <c r="S1013" i="3"/>
  <c r="T1013" i="3" s="1"/>
  <c r="X1730" i="3"/>
  <c r="W1730" i="3"/>
  <c r="U1730" i="3"/>
  <c r="V1730" i="3" s="1"/>
  <c r="S1730" i="3"/>
  <c r="T1730" i="3" s="1"/>
  <c r="X1343" i="3"/>
  <c r="W1343" i="3"/>
  <c r="U1343" i="3"/>
  <c r="V1343" i="3" s="1"/>
  <c r="S1343" i="3"/>
  <c r="T1343" i="3" s="1"/>
  <c r="X681" i="3"/>
  <c r="W681" i="3"/>
  <c r="U681" i="3"/>
  <c r="V681" i="3" s="1"/>
  <c r="S681" i="3"/>
  <c r="T681" i="3" s="1"/>
  <c r="X1012" i="3"/>
  <c r="W1012" i="3"/>
  <c r="U1012" i="3"/>
  <c r="V1012" i="3" s="1"/>
  <c r="S1012" i="3"/>
  <c r="T1012" i="3" s="1"/>
  <c r="X1342" i="3"/>
  <c r="W1342" i="3"/>
  <c r="U1342" i="3"/>
  <c r="V1342" i="3" s="1"/>
  <c r="S1342" i="3"/>
  <c r="T1342" i="3" s="1"/>
  <c r="X521" i="3"/>
  <c r="W521" i="3"/>
  <c r="U521" i="3"/>
  <c r="V521" i="3" s="1"/>
  <c r="S521" i="3"/>
  <c r="T521" i="3" s="1"/>
  <c r="X520" i="3"/>
  <c r="W520" i="3"/>
  <c r="U520" i="3"/>
  <c r="V520" i="3" s="1"/>
  <c r="S520" i="3"/>
  <c r="T520" i="3" s="1"/>
  <c r="X519" i="3"/>
  <c r="W519" i="3"/>
  <c r="U519" i="3"/>
  <c r="V519" i="3" s="1"/>
  <c r="S519" i="3"/>
  <c r="T519" i="3" s="1"/>
  <c r="X518" i="3"/>
  <c r="W518" i="3"/>
  <c r="U518" i="3"/>
  <c r="V518" i="3" s="1"/>
  <c r="S518" i="3"/>
  <c r="T518" i="3" s="1"/>
  <c r="X517" i="3"/>
  <c r="W517" i="3"/>
  <c r="U517" i="3"/>
  <c r="V517" i="3" s="1"/>
  <c r="S517" i="3"/>
  <c r="T517" i="3" s="1"/>
  <c r="X1341" i="3"/>
  <c r="W1341" i="3"/>
  <c r="U1341" i="3"/>
  <c r="V1341" i="3" s="1"/>
  <c r="S1341" i="3"/>
  <c r="T1341" i="3" s="1"/>
  <c r="X1729" i="3"/>
  <c r="W1729" i="3"/>
  <c r="U1729" i="3"/>
  <c r="V1729" i="3" s="1"/>
  <c r="S1729" i="3"/>
  <c r="T1729" i="3" s="1"/>
  <c r="X680" i="3"/>
  <c r="W680" i="3"/>
  <c r="U680" i="3"/>
  <c r="V680" i="3" s="1"/>
  <c r="S680" i="3"/>
  <c r="T680" i="3" s="1"/>
  <c r="X1728" i="3"/>
  <c r="W1728" i="3"/>
  <c r="U1728" i="3"/>
  <c r="V1728" i="3" s="1"/>
  <c r="S1728" i="3"/>
  <c r="T1728" i="3" s="1"/>
  <c r="X679" i="3"/>
  <c r="W679" i="3"/>
  <c r="U679" i="3"/>
  <c r="V679" i="3" s="1"/>
  <c r="S679" i="3"/>
  <c r="T679" i="3" s="1"/>
  <c r="X516" i="3"/>
  <c r="W516" i="3"/>
  <c r="U516" i="3"/>
  <c r="V516" i="3" s="1"/>
  <c r="S516" i="3"/>
  <c r="T516" i="3" s="1"/>
  <c r="X899" i="3"/>
  <c r="W899" i="3"/>
  <c r="U899" i="3"/>
  <c r="V899" i="3" s="1"/>
  <c r="S899" i="3"/>
  <c r="T899" i="3" s="1"/>
  <c r="X898" i="3"/>
  <c r="W898" i="3"/>
  <c r="U898" i="3"/>
  <c r="V898" i="3" s="1"/>
  <c r="S898" i="3"/>
  <c r="T898" i="3" s="1"/>
  <c r="X1340" i="3"/>
  <c r="W1340" i="3"/>
  <c r="U1340" i="3"/>
  <c r="V1340" i="3" s="1"/>
  <c r="S1340" i="3"/>
  <c r="T1340" i="3" s="1"/>
  <c r="X515" i="3"/>
  <c r="W515" i="3"/>
  <c r="U515" i="3"/>
  <c r="V515" i="3" s="1"/>
  <c r="S515" i="3"/>
  <c r="T515" i="3" s="1"/>
  <c r="X514" i="3"/>
  <c r="W514" i="3"/>
  <c r="U514" i="3"/>
  <c r="V514" i="3" s="1"/>
  <c r="S514" i="3"/>
  <c r="T514" i="3" s="1"/>
  <c r="X1339" i="3"/>
  <c r="W1339" i="3"/>
  <c r="U1339" i="3"/>
  <c r="V1339" i="3" s="1"/>
  <c r="S1339" i="3"/>
  <c r="T1339" i="3" s="1"/>
  <c r="X434" i="3"/>
  <c r="W434" i="3"/>
  <c r="U434" i="3"/>
  <c r="V434" i="3" s="1"/>
  <c r="S434" i="3"/>
  <c r="T434" i="3" s="1"/>
  <c r="X1727" i="3"/>
  <c r="W1727" i="3"/>
  <c r="U1727" i="3"/>
  <c r="V1727" i="3" s="1"/>
  <c r="S1727" i="3"/>
  <c r="T1727" i="3" s="1"/>
  <c r="X1726" i="3"/>
  <c r="W1726" i="3"/>
  <c r="U1726" i="3"/>
  <c r="V1726" i="3" s="1"/>
  <c r="S1726" i="3"/>
  <c r="T1726" i="3" s="1"/>
  <c r="X523" i="3"/>
  <c r="W523" i="3"/>
  <c r="U523" i="3"/>
  <c r="V523" i="3" s="1"/>
  <c r="S523" i="3"/>
  <c r="T523" i="3" s="1"/>
  <c r="X678" i="3"/>
  <c r="W678" i="3"/>
  <c r="U678" i="3"/>
  <c r="V678" i="3" s="1"/>
  <c r="S678" i="3"/>
  <c r="T678" i="3" s="1"/>
  <c r="X1725" i="3"/>
  <c r="W1725" i="3"/>
  <c r="U1725" i="3"/>
  <c r="V1725" i="3" s="1"/>
  <c r="S1725" i="3"/>
  <c r="T1725" i="3" s="1"/>
  <c r="X1724" i="3"/>
  <c r="W1724" i="3"/>
  <c r="U1724" i="3"/>
  <c r="V1724" i="3" s="1"/>
  <c r="S1724" i="3"/>
  <c r="T1724" i="3" s="1"/>
  <c r="X1010" i="3"/>
  <c r="W1010" i="3"/>
  <c r="U1010" i="3"/>
  <c r="V1010" i="3" s="1"/>
  <c r="S1010" i="3"/>
  <c r="T1010" i="3" s="1"/>
  <c r="X1723" i="3"/>
  <c r="W1723" i="3"/>
  <c r="U1723" i="3"/>
  <c r="V1723" i="3" s="1"/>
  <c r="S1723" i="3"/>
  <c r="T1723" i="3" s="1"/>
  <c r="X1338" i="3"/>
  <c r="W1338" i="3"/>
  <c r="U1338" i="3"/>
  <c r="V1338" i="3" s="1"/>
  <c r="S1338" i="3"/>
  <c r="T1338" i="3" s="1"/>
  <c r="X677" i="3"/>
  <c r="W677" i="3"/>
  <c r="U677" i="3"/>
  <c r="V677" i="3" s="1"/>
  <c r="S677" i="3"/>
  <c r="T677" i="3" s="1"/>
  <c r="X1722" i="3"/>
  <c r="W1722" i="3"/>
  <c r="U1722" i="3"/>
  <c r="V1722" i="3" s="1"/>
  <c r="S1722" i="3"/>
  <c r="T1722" i="3" s="1"/>
  <c r="X897" i="3"/>
  <c r="W897" i="3"/>
  <c r="U897" i="3"/>
  <c r="V897" i="3" s="1"/>
  <c r="S897" i="3"/>
  <c r="T897" i="3" s="1"/>
  <c r="X237" i="3"/>
  <c r="W237" i="3"/>
  <c r="U237" i="3"/>
  <c r="V237" i="3" s="1"/>
  <c r="S237" i="3"/>
  <c r="T237" i="3" s="1"/>
  <c r="X433" i="3"/>
  <c r="W433" i="3"/>
  <c r="U433" i="3"/>
  <c r="V433" i="3" s="1"/>
  <c r="S433" i="3"/>
  <c r="T433" i="3" s="1"/>
  <c r="X1009" i="3"/>
  <c r="W1009" i="3"/>
  <c r="U1009" i="3"/>
  <c r="V1009" i="3" s="1"/>
  <c r="S1009" i="3"/>
  <c r="T1009" i="3" s="1"/>
  <c r="X1008" i="3"/>
  <c r="W1008" i="3"/>
  <c r="U1008" i="3"/>
  <c r="V1008" i="3" s="1"/>
  <c r="S1008" i="3"/>
  <c r="T1008" i="3" s="1"/>
  <c r="X1337" i="3"/>
  <c r="W1337" i="3"/>
  <c r="U1337" i="3"/>
  <c r="V1337" i="3" s="1"/>
  <c r="S1337" i="3"/>
  <c r="T1337" i="3" s="1"/>
  <c r="X1336" i="3"/>
  <c r="W1336" i="3"/>
  <c r="U1336" i="3"/>
  <c r="V1336" i="3" s="1"/>
  <c r="S1336" i="3"/>
  <c r="T1336" i="3" s="1"/>
  <c r="X1721" i="3"/>
  <c r="W1721" i="3"/>
  <c r="U1721" i="3"/>
  <c r="V1721" i="3" s="1"/>
  <c r="S1721" i="3"/>
  <c r="T1721" i="3" s="1"/>
  <c r="X896" i="3"/>
  <c r="W896" i="3"/>
  <c r="U896" i="3"/>
  <c r="V896" i="3" s="1"/>
  <c r="S896" i="3"/>
  <c r="T896" i="3" s="1"/>
  <c r="X1335" i="3"/>
  <c r="W1335" i="3"/>
  <c r="U1335" i="3"/>
  <c r="V1335" i="3" s="1"/>
  <c r="S1335" i="3"/>
  <c r="T1335" i="3" s="1"/>
  <c r="X676" i="3"/>
  <c r="W676" i="3"/>
  <c r="U676" i="3"/>
  <c r="V676" i="3" s="1"/>
  <c r="S676" i="3"/>
  <c r="T676" i="3" s="1"/>
  <c r="X1334" i="3"/>
  <c r="W1334" i="3"/>
  <c r="U1334" i="3"/>
  <c r="V1334" i="3" s="1"/>
  <c r="S1334" i="3"/>
  <c r="T1334" i="3" s="1"/>
  <c r="X1720" i="3"/>
  <c r="W1720" i="3"/>
  <c r="U1720" i="3"/>
  <c r="V1720" i="3" s="1"/>
  <c r="S1720" i="3"/>
  <c r="T1720" i="3" s="1"/>
  <c r="X895" i="3"/>
  <c r="W895" i="3"/>
  <c r="U895" i="3"/>
  <c r="V895" i="3" s="1"/>
  <c r="S895" i="3"/>
  <c r="T895" i="3" s="1"/>
  <c r="X1719" i="3"/>
  <c r="W1719" i="3"/>
  <c r="U1719" i="3"/>
  <c r="V1719" i="3" s="1"/>
  <c r="S1719" i="3"/>
  <c r="T1719" i="3" s="1"/>
  <c r="X894" i="3"/>
  <c r="W894" i="3"/>
  <c r="U894" i="3"/>
  <c r="V894" i="3" s="1"/>
  <c r="S894" i="3"/>
  <c r="T894" i="3" s="1"/>
  <c r="X1718" i="3"/>
  <c r="W1718" i="3"/>
  <c r="U1718" i="3"/>
  <c r="V1718" i="3" s="1"/>
  <c r="S1718" i="3"/>
  <c r="T1718" i="3" s="1"/>
  <c r="X1717" i="3"/>
  <c r="W1717" i="3"/>
  <c r="U1717" i="3"/>
  <c r="V1717" i="3" s="1"/>
  <c r="S1717" i="3"/>
  <c r="T1717" i="3" s="1"/>
  <c r="X1716" i="3"/>
  <c r="W1716" i="3"/>
  <c r="U1716" i="3"/>
  <c r="V1716" i="3" s="1"/>
  <c r="S1716" i="3"/>
  <c r="T1716" i="3" s="1"/>
  <c r="X1007" i="3"/>
  <c r="W1007" i="3"/>
  <c r="U1007" i="3"/>
  <c r="V1007" i="3" s="1"/>
  <c r="S1007" i="3"/>
  <c r="T1007" i="3" s="1"/>
  <c r="X1715" i="3"/>
  <c r="W1715" i="3"/>
  <c r="U1715" i="3"/>
  <c r="V1715" i="3" s="1"/>
  <c r="S1715" i="3"/>
  <c r="T1715" i="3" s="1"/>
  <c r="X1714" i="3"/>
  <c r="W1714" i="3"/>
  <c r="U1714" i="3"/>
  <c r="V1714" i="3" s="1"/>
  <c r="S1714" i="3"/>
  <c r="T1714" i="3" s="1"/>
  <c r="X1713" i="3"/>
  <c r="W1713" i="3"/>
  <c r="U1713" i="3"/>
  <c r="V1713" i="3" s="1"/>
  <c r="S1713" i="3"/>
  <c r="T1713" i="3" s="1"/>
  <c r="X1712" i="3"/>
  <c r="W1712" i="3"/>
  <c r="U1712" i="3"/>
  <c r="V1712" i="3" s="1"/>
  <c r="S1712" i="3"/>
  <c r="T1712" i="3" s="1"/>
  <c r="X1711" i="3"/>
  <c r="W1711" i="3"/>
  <c r="U1711" i="3"/>
  <c r="V1711" i="3" s="1"/>
  <c r="S1711" i="3"/>
  <c r="T1711" i="3" s="1"/>
  <c r="X1710" i="3"/>
  <c r="W1710" i="3"/>
  <c r="U1710" i="3"/>
  <c r="V1710" i="3" s="1"/>
  <c r="S1710" i="3"/>
  <c r="T1710" i="3" s="1"/>
  <c r="X893" i="3"/>
  <c r="W893" i="3"/>
  <c r="U893" i="3"/>
  <c r="V893" i="3" s="1"/>
  <c r="S893" i="3"/>
  <c r="T893" i="3" s="1"/>
  <c r="X432" i="3"/>
  <c r="W432" i="3"/>
  <c r="U432" i="3"/>
  <c r="V432" i="3" s="1"/>
  <c r="S432" i="3"/>
  <c r="T432" i="3" s="1"/>
  <c r="X431" i="3"/>
  <c r="W431" i="3"/>
  <c r="U431" i="3"/>
  <c r="V431" i="3" s="1"/>
  <c r="S431" i="3"/>
  <c r="T431" i="3" s="1"/>
  <c r="X675" i="3"/>
  <c r="W675" i="3"/>
  <c r="U675" i="3"/>
  <c r="V675" i="3" s="1"/>
  <c r="S675" i="3"/>
  <c r="T675" i="3" s="1"/>
  <c r="X430" i="3"/>
  <c r="W430" i="3"/>
  <c r="U430" i="3"/>
  <c r="V430" i="3" s="1"/>
  <c r="S430" i="3"/>
  <c r="T430" i="3" s="1"/>
  <c r="X1709" i="3"/>
  <c r="W1709" i="3"/>
  <c r="U1709" i="3"/>
  <c r="V1709" i="3" s="1"/>
  <c r="S1709" i="3"/>
  <c r="T1709" i="3" s="1"/>
  <c r="X1708" i="3"/>
  <c r="W1708" i="3"/>
  <c r="U1708" i="3"/>
  <c r="V1708" i="3" s="1"/>
  <c r="S1708" i="3"/>
  <c r="T1708" i="3" s="1"/>
  <c r="X429" i="3"/>
  <c r="W429" i="3"/>
  <c r="U429" i="3"/>
  <c r="V429" i="3" s="1"/>
  <c r="S429" i="3"/>
  <c r="T429" i="3" s="1"/>
  <c r="X892" i="3"/>
  <c r="W892" i="3"/>
  <c r="U892" i="3"/>
  <c r="V892" i="3" s="1"/>
  <c r="S892" i="3"/>
  <c r="T892" i="3" s="1"/>
  <c r="X891" i="3"/>
  <c r="W891" i="3"/>
  <c r="U891" i="3"/>
  <c r="V891" i="3" s="1"/>
  <c r="S891" i="3"/>
  <c r="T891" i="3" s="1"/>
  <c r="X69" i="3"/>
  <c r="W69" i="3"/>
  <c r="U69" i="3"/>
  <c r="V69" i="3" s="1"/>
  <c r="S69" i="3"/>
  <c r="T69" i="3" s="1"/>
  <c r="X513" i="3"/>
  <c r="W513" i="3"/>
  <c r="U513" i="3"/>
  <c r="V513" i="3" s="1"/>
  <c r="S513" i="3"/>
  <c r="T513" i="3" s="1"/>
  <c r="X512" i="3"/>
  <c r="W512" i="3"/>
  <c r="U512" i="3"/>
  <c r="V512" i="3" s="1"/>
  <c r="S512" i="3"/>
  <c r="T512" i="3" s="1"/>
  <c r="X428" i="3"/>
  <c r="W428" i="3"/>
  <c r="U428" i="3"/>
  <c r="V428" i="3" s="1"/>
  <c r="S428" i="3"/>
  <c r="T428" i="3" s="1"/>
  <c r="X1096" i="3"/>
  <c r="W1096" i="3"/>
  <c r="U1096" i="3"/>
  <c r="V1096" i="3" s="1"/>
  <c r="S1096" i="3"/>
  <c r="T1096" i="3" s="1"/>
  <c r="X427" i="3"/>
  <c r="W427" i="3"/>
  <c r="U427" i="3"/>
  <c r="V427" i="3" s="1"/>
  <c r="S427" i="3"/>
  <c r="T427" i="3" s="1"/>
  <c r="X68" i="3"/>
  <c r="W68" i="3"/>
  <c r="U68" i="3"/>
  <c r="V68" i="3" s="1"/>
  <c r="S68" i="3"/>
  <c r="T68" i="3" s="1"/>
  <c r="X890" i="3"/>
  <c r="W890" i="3"/>
  <c r="U890" i="3"/>
  <c r="V890" i="3" s="1"/>
  <c r="S890" i="3"/>
  <c r="T890" i="3" s="1"/>
  <c r="X1707" i="3"/>
  <c r="W1707" i="3"/>
  <c r="U1707" i="3"/>
  <c r="V1707" i="3" s="1"/>
  <c r="S1707" i="3"/>
  <c r="T1707" i="3" s="1"/>
  <c r="X1706" i="3"/>
  <c r="W1706" i="3"/>
  <c r="U1706" i="3"/>
  <c r="V1706" i="3" s="1"/>
  <c r="S1706" i="3"/>
  <c r="T1706" i="3" s="1"/>
  <c r="X674" i="3"/>
  <c r="W674" i="3"/>
  <c r="U674" i="3"/>
  <c r="V674" i="3" s="1"/>
  <c r="S674" i="3"/>
  <c r="T674" i="3" s="1"/>
  <c r="X426" i="3"/>
  <c r="W426" i="3"/>
  <c r="U426" i="3"/>
  <c r="V426" i="3" s="1"/>
  <c r="S426" i="3"/>
  <c r="T426" i="3" s="1"/>
  <c r="X149" i="3"/>
  <c r="W149" i="3"/>
  <c r="U149" i="3"/>
  <c r="V149" i="3" s="1"/>
  <c r="S149" i="3"/>
  <c r="T149" i="3" s="1"/>
  <c r="X425" i="3"/>
  <c r="W425" i="3"/>
  <c r="U425" i="3"/>
  <c r="V425" i="3" s="1"/>
  <c r="S425" i="3"/>
  <c r="T425" i="3" s="1"/>
  <c r="X424" i="3"/>
  <c r="W424" i="3"/>
  <c r="U424" i="3"/>
  <c r="V424" i="3" s="1"/>
  <c r="S424" i="3"/>
  <c r="T424" i="3" s="1"/>
  <c r="X1705" i="3"/>
  <c r="W1705" i="3"/>
  <c r="U1705" i="3"/>
  <c r="V1705" i="3" s="1"/>
  <c r="S1705" i="3"/>
  <c r="T1705" i="3" s="1"/>
  <c r="X1704" i="3"/>
  <c r="W1704" i="3"/>
  <c r="U1704" i="3"/>
  <c r="V1704" i="3" s="1"/>
  <c r="S1704" i="3"/>
  <c r="T1704" i="3" s="1"/>
  <c r="X1703" i="3"/>
  <c r="W1703" i="3"/>
  <c r="U1703" i="3"/>
  <c r="V1703" i="3" s="1"/>
  <c r="S1703" i="3"/>
  <c r="T1703" i="3" s="1"/>
  <c r="X1702" i="3"/>
  <c r="W1702" i="3"/>
  <c r="U1702" i="3"/>
  <c r="V1702" i="3" s="1"/>
  <c r="S1702" i="3"/>
  <c r="T1702" i="3" s="1"/>
  <c r="X423" i="3"/>
  <c r="W423" i="3"/>
  <c r="U423" i="3"/>
  <c r="V423" i="3" s="1"/>
  <c r="S423" i="3"/>
  <c r="T423" i="3" s="1"/>
  <c r="X1701" i="3"/>
  <c r="W1701" i="3"/>
  <c r="U1701" i="3"/>
  <c r="V1701" i="3" s="1"/>
  <c r="S1701" i="3"/>
  <c r="T1701" i="3" s="1"/>
  <c r="X1700" i="3"/>
  <c r="W1700" i="3"/>
  <c r="U1700" i="3"/>
  <c r="V1700" i="3" s="1"/>
  <c r="S1700" i="3"/>
  <c r="T1700" i="3" s="1"/>
  <c r="X889" i="3"/>
  <c r="W889" i="3"/>
  <c r="U889" i="3"/>
  <c r="V889" i="3" s="1"/>
  <c r="S889" i="3"/>
  <c r="T889" i="3" s="1"/>
  <c r="X888" i="3"/>
  <c r="W888" i="3"/>
  <c r="U888" i="3"/>
  <c r="V888" i="3" s="1"/>
  <c r="S888" i="3"/>
  <c r="T888" i="3" s="1"/>
  <c r="X1699" i="3"/>
  <c r="W1699" i="3"/>
  <c r="U1699" i="3"/>
  <c r="V1699" i="3" s="1"/>
  <c r="S1699" i="3"/>
  <c r="T1699" i="3" s="1"/>
  <c r="X1095" i="3"/>
  <c r="W1095" i="3"/>
  <c r="U1095" i="3"/>
  <c r="V1095" i="3" s="1"/>
  <c r="S1095" i="3"/>
  <c r="T1095" i="3" s="1"/>
  <c r="X1698" i="3"/>
  <c r="W1698" i="3"/>
  <c r="U1698" i="3"/>
  <c r="V1698" i="3" s="1"/>
  <c r="S1698" i="3"/>
  <c r="T1698" i="3" s="1"/>
  <c r="X887" i="3"/>
  <c r="W887" i="3"/>
  <c r="U887" i="3"/>
  <c r="V887" i="3" s="1"/>
  <c r="S887" i="3"/>
  <c r="T887" i="3" s="1"/>
  <c r="X1697" i="3"/>
  <c r="W1697" i="3"/>
  <c r="U1697" i="3"/>
  <c r="V1697" i="3" s="1"/>
  <c r="S1697" i="3"/>
  <c r="T1697" i="3" s="1"/>
  <c r="X422" i="3"/>
  <c r="W422" i="3"/>
  <c r="U422" i="3"/>
  <c r="V422" i="3" s="1"/>
  <c r="S422" i="3"/>
  <c r="T422" i="3" s="1"/>
  <c r="X1006" i="3"/>
  <c r="W1006" i="3"/>
  <c r="U1006" i="3"/>
  <c r="V1006" i="3" s="1"/>
  <c r="S1006" i="3"/>
  <c r="T1006" i="3" s="1"/>
  <c r="X885" i="3"/>
  <c r="W885" i="3"/>
  <c r="U885" i="3"/>
  <c r="V885" i="3" s="1"/>
  <c r="S885" i="3"/>
  <c r="T885" i="3" s="1"/>
  <c r="X884" i="3"/>
  <c r="W884" i="3"/>
  <c r="U884" i="3"/>
  <c r="V884" i="3" s="1"/>
  <c r="S884" i="3"/>
  <c r="T884" i="3" s="1"/>
  <c r="X673" i="3"/>
  <c r="W673" i="3"/>
  <c r="U673" i="3"/>
  <c r="V673" i="3" s="1"/>
  <c r="S673" i="3"/>
  <c r="T673" i="3" s="1"/>
  <c r="X1696" i="3"/>
  <c r="W1696" i="3"/>
  <c r="U1696" i="3"/>
  <c r="V1696" i="3" s="1"/>
  <c r="S1696" i="3"/>
  <c r="T1696" i="3" s="1"/>
  <c r="X672" i="3"/>
  <c r="W672" i="3"/>
  <c r="U672" i="3"/>
  <c r="V672" i="3" s="1"/>
  <c r="S672" i="3"/>
  <c r="T672" i="3" s="1"/>
  <c r="X67" i="3"/>
  <c r="W67" i="3"/>
  <c r="U67" i="3"/>
  <c r="V67" i="3" s="1"/>
  <c r="S67" i="3"/>
  <c r="T67" i="3" s="1"/>
  <c r="X511" i="3"/>
  <c r="W511" i="3"/>
  <c r="U511" i="3"/>
  <c r="V511" i="3" s="1"/>
  <c r="S511" i="3"/>
  <c r="T511" i="3" s="1"/>
  <c r="X883" i="3"/>
  <c r="W883" i="3"/>
  <c r="U883" i="3"/>
  <c r="V883" i="3" s="1"/>
  <c r="S883" i="3"/>
  <c r="T883" i="3" s="1"/>
  <c r="X882" i="3"/>
  <c r="W882" i="3"/>
  <c r="U882" i="3"/>
  <c r="V882" i="3" s="1"/>
  <c r="S882" i="3"/>
  <c r="T882" i="3" s="1"/>
  <c r="X1005" i="3"/>
  <c r="W1005" i="3"/>
  <c r="U1005" i="3"/>
  <c r="V1005" i="3" s="1"/>
  <c r="S1005" i="3"/>
  <c r="T1005" i="3" s="1"/>
  <c r="X421" i="3"/>
  <c r="W421" i="3"/>
  <c r="U421" i="3"/>
  <c r="V421" i="3" s="1"/>
  <c r="S421" i="3"/>
  <c r="T421" i="3" s="1"/>
  <c r="X66" i="3"/>
  <c r="W66" i="3"/>
  <c r="U66" i="3"/>
  <c r="V66" i="3" s="1"/>
  <c r="S66" i="3"/>
  <c r="T66" i="3" s="1"/>
  <c r="X671" i="3"/>
  <c r="W671" i="3"/>
  <c r="U671" i="3"/>
  <c r="V671" i="3" s="1"/>
  <c r="S671" i="3"/>
  <c r="T671" i="3" s="1"/>
  <c r="X670" i="3"/>
  <c r="W670" i="3"/>
  <c r="U670" i="3"/>
  <c r="V670" i="3" s="1"/>
  <c r="S670" i="3"/>
  <c r="T670" i="3" s="1"/>
  <c r="X420" i="3"/>
  <c r="W420" i="3"/>
  <c r="U420" i="3"/>
  <c r="V420" i="3" s="1"/>
  <c r="S420" i="3"/>
  <c r="T420" i="3" s="1"/>
  <c r="X1004" i="3"/>
  <c r="W1004" i="3"/>
  <c r="U1004" i="3"/>
  <c r="V1004" i="3" s="1"/>
  <c r="S1004" i="3"/>
  <c r="T1004" i="3" s="1"/>
  <c r="X65" i="3"/>
  <c r="W65" i="3"/>
  <c r="U65" i="3"/>
  <c r="V65" i="3" s="1"/>
  <c r="S65" i="3"/>
  <c r="T65" i="3" s="1"/>
  <c r="X64" i="3"/>
  <c r="W64" i="3"/>
  <c r="U64" i="3"/>
  <c r="V64" i="3" s="1"/>
  <c r="S64" i="3"/>
  <c r="T64" i="3" s="1"/>
  <c r="X669" i="3"/>
  <c r="W669" i="3"/>
  <c r="U669" i="3"/>
  <c r="V669" i="3" s="1"/>
  <c r="S669" i="3"/>
  <c r="T669" i="3" s="1"/>
  <c r="X63" i="3"/>
  <c r="W63" i="3"/>
  <c r="U63" i="3"/>
  <c r="V63" i="3" s="1"/>
  <c r="S63" i="3"/>
  <c r="T63" i="3" s="1"/>
  <c r="X668" i="3"/>
  <c r="W668" i="3"/>
  <c r="U668" i="3"/>
  <c r="V668" i="3" s="1"/>
  <c r="S668" i="3"/>
  <c r="T668" i="3" s="1"/>
  <c r="X1695" i="3"/>
  <c r="W1695" i="3"/>
  <c r="U1695" i="3"/>
  <c r="V1695" i="3" s="1"/>
  <c r="S1695" i="3"/>
  <c r="T1695" i="3" s="1"/>
  <c r="X667" i="3"/>
  <c r="W667" i="3"/>
  <c r="U667" i="3"/>
  <c r="V667" i="3" s="1"/>
  <c r="S667" i="3"/>
  <c r="T667" i="3" s="1"/>
  <c r="X666" i="3"/>
  <c r="W666" i="3"/>
  <c r="U666" i="3"/>
  <c r="V666" i="3" s="1"/>
  <c r="S666" i="3"/>
  <c r="T666" i="3" s="1"/>
  <c r="X419" i="3"/>
  <c r="W419" i="3"/>
  <c r="U419" i="3"/>
  <c r="V419" i="3" s="1"/>
  <c r="S419" i="3"/>
  <c r="T419" i="3" s="1"/>
  <c r="X148" i="3"/>
  <c r="W148" i="3"/>
  <c r="U148" i="3"/>
  <c r="V148" i="3" s="1"/>
  <c r="S148" i="3"/>
  <c r="T148" i="3" s="1"/>
  <c r="X418" i="3"/>
  <c r="W418" i="3"/>
  <c r="U418" i="3"/>
  <c r="V418" i="3" s="1"/>
  <c r="S418" i="3"/>
  <c r="T418" i="3" s="1"/>
  <c r="X236" i="3"/>
  <c r="W236" i="3"/>
  <c r="U236" i="3"/>
  <c r="V236" i="3" s="1"/>
  <c r="S236" i="3"/>
  <c r="T236" i="3" s="1"/>
  <c r="X665" i="3"/>
  <c r="W665" i="3"/>
  <c r="U665" i="3"/>
  <c r="V665" i="3" s="1"/>
  <c r="S665" i="3"/>
  <c r="T665" i="3" s="1"/>
  <c r="X417" i="3"/>
  <c r="W417" i="3"/>
  <c r="U417" i="3"/>
  <c r="V417" i="3" s="1"/>
  <c r="S417" i="3"/>
  <c r="T417" i="3" s="1"/>
  <c r="X664" i="3"/>
  <c r="W664" i="3"/>
  <c r="U664" i="3"/>
  <c r="V664" i="3" s="1"/>
  <c r="S664" i="3"/>
  <c r="T664" i="3" s="1"/>
  <c r="X510" i="3"/>
  <c r="W510" i="3"/>
  <c r="U510" i="3"/>
  <c r="V510" i="3" s="1"/>
  <c r="S510" i="3"/>
  <c r="T510" i="3" s="1"/>
  <c r="X1333" i="3"/>
  <c r="W1333" i="3"/>
  <c r="U1333" i="3"/>
  <c r="V1333" i="3" s="1"/>
  <c r="S1333" i="3"/>
  <c r="T1333" i="3" s="1"/>
  <c r="X1694" i="3"/>
  <c r="W1694" i="3"/>
  <c r="U1694" i="3"/>
  <c r="V1694" i="3" s="1"/>
  <c r="S1694" i="3"/>
  <c r="T1694" i="3" s="1"/>
  <c r="X1693" i="3"/>
  <c r="W1693" i="3"/>
  <c r="U1693" i="3"/>
  <c r="V1693" i="3" s="1"/>
  <c r="S1693" i="3"/>
  <c r="T1693" i="3" s="1"/>
  <c r="X235" i="3"/>
  <c r="W235" i="3"/>
  <c r="U235" i="3"/>
  <c r="V235" i="3" s="1"/>
  <c r="S235" i="3"/>
  <c r="T235" i="3" s="1"/>
  <c r="X416" i="3"/>
  <c r="W416" i="3"/>
  <c r="U416" i="3"/>
  <c r="V416" i="3" s="1"/>
  <c r="S416" i="3"/>
  <c r="T416" i="3" s="1"/>
  <c r="X1003" i="3"/>
  <c r="W1003" i="3"/>
  <c r="U1003" i="3"/>
  <c r="V1003" i="3" s="1"/>
  <c r="S1003" i="3"/>
  <c r="T1003" i="3" s="1"/>
  <c r="X62" i="3"/>
  <c r="W62" i="3"/>
  <c r="U62" i="3"/>
  <c r="V62" i="3" s="1"/>
  <c r="S62" i="3"/>
  <c r="T62" i="3" s="1"/>
  <c r="X663" i="3"/>
  <c r="W663" i="3"/>
  <c r="U663" i="3"/>
  <c r="V663" i="3" s="1"/>
  <c r="S663" i="3"/>
  <c r="T663" i="3" s="1"/>
  <c r="X61" i="3"/>
  <c r="W61" i="3"/>
  <c r="U61" i="3"/>
  <c r="V61" i="3" s="1"/>
  <c r="S61" i="3"/>
  <c r="T61" i="3" s="1"/>
  <c r="X234" i="3"/>
  <c r="W234" i="3"/>
  <c r="U234" i="3"/>
  <c r="V234" i="3" s="1"/>
  <c r="S234" i="3"/>
  <c r="T234" i="3" s="1"/>
  <c r="X415" i="3"/>
  <c r="W415" i="3"/>
  <c r="U415" i="3"/>
  <c r="V415" i="3" s="1"/>
  <c r="S415" i="3"/>
  <c r="T415" i="3" s="1"/>
  <c r="X233" i="3"/>
  <c r="W233" i="3"/>
  <c r="U233" i="3"/>
  <c r="V233" i="3" s="1"/>
  <c r="S233" i="3"/>
  <c r="T233" i="3" s="1"/>
  <c r="X1332" i="3"/>
  <c r="W1332" i="3"/>
  <c r="U1332" i="3"/>
  <c r="V1332" i="3" s="1"/>
  <c r="S1332" i="3"/>
  <c r="T1332" i="3" s="1"/>
  <c r="X881" i="3"/>
  <c r="W881" i="3"/>
  <c r="U881" i="3"/>
  <c r="V881" i="3" s="1"/>
  <c r="S881" i="3"/>
  <c r="T881" i="3" s="1"/>
  <c r="X1331" i="3"/>
  <c r="W1331" i="3"/>
  <c r="U1331" i="3"/>
  <c r="V1331" i="3" s="1"/>
  <c r="S1331" i="3"/>
  <c r="T1331" i="3" s="1"/>
  <c r="X147" i="3"/>
  <c r="W147" i="3"/>
  <c r="U147" i="3"/>
  <c r="V147" i="3" s="1"/>
  <c r="S147" i="3"/>
  <c r="T147" i="3" s="1"/>
  <c r="X1330" i="3"/>
  <c r="W1330" i="3"/>
  <c r="U1330" i="3"/>
  <c r="V1330" i="3" s="1"/>
  <c r="S1330" i="3"/>
  <c r="T1330" i="3" s="1"/>
  <c r="X1329" i="3"/>
  <c r="W1329" i="3"/>
  <c r="U1329" i="3"/>
  <c r="V1329" i="3" s="1"/>
  <c r="S1329" i="3"/>
  <c r="T1329" i="3" s="1"/>
  <c r="X1328" i="3"/>
  <c r="W1328" i="3"/>
  <c r="U1328" i="3"/>
  <c r="V1328" i="3" s="1"/>
  <c r="S1328" i="3"/>
  <c r="T1328" i="3" s="1"/>
  <c r="X662" i="3"/>
  <c r="W662" i="3"/>
  <c r="U662" i="3"/>
  <c r="V662" i="3" s="1"/>
  <c r="S662" i="3"/>
  <c r="T662" i="3" s="1"/>
  <c r="X661" i="3"/>
  <c r="W661" i="3"/>
  <c r="U661" i="3"/>
  <c r="V661" i="3" s="1"/>
  <c r="S661" i="3"/>
  <c r="T661" i="3" s="1"/>
  <c r="X1002" i="3"/>
  <c r="W1002" i="3"/>
  <c r="U1002" i="3"/>
  <c r="V1002" i="3" s="1"/>
  <c r="S1002" i="3"/>
  <c r="T1002" i="3" s="1"/>
  <c r="X660" i="3"/>
  <c r="W660" i="3"/>
  <c r="U660" i="3"/>
  <c r="V660" i="3" s="1"/>
  <c r="S660" i="3"/>
  <c r="T660" i="3" s="1"/>
  <c r="X1327" i="3"/>
  <c r="W1327" i="3"/>
  <c r="U1327" i="3"/>
  <c r="V1327" i="3" s="1"/>
  <c r="S1327" i="3"/>
  <c r="T1327" i="3" s="1"/>
  <c r="X1326" i="3"/>
  <c r="W1326" i="3"/>
  <c r="U1326" i="3"/>
  <c r="V1326" i="3" s="1"/>
  <c r="S1326" i="3"/>
  <c r="T1326" i="3" s="1"/>
  <c r="X1325" i="3"/>
  <c r="W1325" i="3"/>
  <c r="U1325" i="3"/>
  <c r="V1325" i="3" s="1"/>
  <c r="S1325" i="3"/>
  <c r="T1325" i="3" s="1"/>
  <c r="X1001" i="3"/>
  <c r="W1001" i="3"/>
  <c r="U1001" i="3"/>
  <c r="V1001" i="3" s="1"/>
  <c r="S1001" i="3"/>
  <c r="T1001" i="3" s="1"/>
  <c r="X1000" i="3"/>
  <c r="W1000" i="3"/>
  <c r="U1000" i="3"/>
  <c r="V1000" i="3" s="1"/>
  <c r="S1000" i="3"/>
  <c r="T1000" i="3" s="1"/>
  <c r="X414" i="3"/>
  <c r="W414" i="3"/>
  <c r="U414" i="3"/>
  <c r="V414" i="3" s="1"/>
  <c r="S414" i="3"/>
  <c r="T414" i="3" s="1"/>
  <c r="X413" i="3"/>
  <c r="W413" i="3"/>
  <c r="U413" i="3"/>
  <c r="V413" i="3" s="1"/>
  <c r="S413" i="3"/>
  <c r="T413" i="3" s="1"/>
  <c r="X146" i="3"/>
  <c r="W146" i="3"/>
  <c r="U146" i="3"/>
  <c r="V146" i="3" s="1"/>
  <c r="S146" i="3"/>
  <c r="T146" i="3" s="1"/>
  <c r="X999" i="3"/>
  <c r="W999" i="3"/>
  <c r="U999" i="3"/>
  <c r="V999" i="3" s="1"/>
  <c r="S999" i="3"/>
  <c r="T999" i="3" s="1"/>
  <c r="X1324" i="3"/>
  <c r="W1324" i="3"/>
  <c r="U1324" i="3"/>
  <c r="V1324" i="3" s="1"/>
  <c r="S1324" i="3"/>
  <c r="T1324" i="3" s="1"/>
  <c r="X1323" i="3"/>
  <c r="W1323" i="3"/>
  <c r="U1323" i="3"/>
  <c r="V1323" i="3" s="1"/>
  <c r="S1323" i="3"/>
  <c r="T1323" i="3" s="1"/>
  <c r="X880" i="3"/>
  <c r="W880" i="3"/>
  <c r="U880" i="3"/>
  <c r="V880" i="3" s="1"/>
  <c r="S880" i="3"/>
  <c r="T880" i="3" s="1"/>
  <c r="X879" i="3"/>
  <c r="W879" i="3"/>
  <c r="U879" i="3"/>
  <c r="V879" i="3" s="1"/>
  <c r="S879" i="3"/>
  <c r="T879" i="3" s="1"/>
  <c r="X1322" i="3"/>
  <c r="W1322" i="3"/>
  <c r="U1322" i="3"/>
  <c r="V1322" i="3" s="1"/>
  <c r="S1322" i="3"/>
  <c r="T1322" i="3" s="1"/>
  <c r="X1692" i="3"/>
  <c r="W1692" i="3"/>
  <c r="U1692" i="3"/>
  <c r="V1692" i="3" s="1"/>
  <c r="S1692" i="3"/>
  <c r="T1692" i="3" s="1"/>
  <c r="X1321" i="3"/>
  <c r="W1321" i="3"/>
  <c r="U1321" i="3"/>
  <c r="V1321" i="3" s="1"/>
  <c r="S1321" i="3"/>
  <c r="T1321" i="3" s="1"/>
  <c r="X1691" i="3"/>
  <c r="W1691" i="3"/>
  <c r="U1691" i="3"/>
  <c r="V1691" i="3" s="1"/>
  <c r="S1691" i="3"/>
  <c r="T1691" i="3" s="1"/>
  <c r="X1690" i="3"/>
  <c r="W1690" i="3"/>
  <c r="U1690" i="3"/>
  <c r="V1690" i="3" s="1"/>
  <c r="S1690" i="3"/>
  <c r="T1690" i="3" s="1"/>
  <c r="X509" i="3"/>
  <c r="W509" i="3"/>
  <c r="U509" i="3"/>
  <c r="V509" i="3" s="1"/>
  <c r="S509" i="3"/>
  <c r="T509" i="3" s="1"/>
  <c r="X1320" i="3"/>
  <c r="W1320" i="3"/>
  <c r="U1320" i="3"/>
  <c r="V1320" i="3" s="1"/>
  <c r="S1320" i="3"/>
  <c r="T1320" i="3" s="1"/>
  <c r="X1689" i="3"/>
  <c r="W1689" i="3"/>
  <c r="U1689" i="3"/>
  <c r="V1689" i="3" s="1"/>
  <c r="S1689" i="3"/>
  <c r="T1689" i="3" s="1"/>
  <c r="X998" i="3"/>
  <c r="W998" i="3"/>
  <c r="U998" i="3"/>
  <c r="V998" i="3" s="1"/>
  <c r="S998" i="3"/>
  <c r="T998" i="3" s="1"/>
  <c r="X1688" i="3"/>
  <c r="W1688" i="3"/>
  <c r="U1688" i="3"/>
  <c r="V1688" i="3" s="1"/>
  <c r="S1688" i="3"/>
  <c r="T1688" i="3" s="1"/>
  <c r="X1319" i="3"/>
  <c r="W1319" i="3"/>
  <c r="U1319" i="3"/>
  <c r="V1319" i="3" s="1"/>
  <c r="S1319" i="3"/>
  <c r="T1319" i="3" s="1"/>
  <c r="X1687" i="3"/>
  <c r="W1687" i="3"/>
  <c r="U1687" i="3"/>
  <c r="V1687" i="3" s="1"/>
  <c r="S1687" i="3"/>
  <c r="T1687" i="3" s="1"/>
  <c r="X1686" i="3"/>
  <c r="W1686" i="3"/>
  <c r="U1686" i="3"/>
  <c r="V1686" i="3" s="1"/>
  <c r="S1686" i="3"/>
  <c r="T1686" i="3" s="1"/>
  <c r="X1685" i="3"/>
  <c r="W1685" i="3"/>
  <c r="U1685" i="3"/>
  <c r="V1685" i="3" s="1"/>
  <c r="S1685" i="3"/>
  <c r="T1685" i="3" s="1"/>
  <c r="X1318" i="3"/>
  <c r="W1318" i="3"/>
  <c r="U1318" i="3"/>
  <c r="V1318" i="3" s="1"/>
  <c r="S1318" i="3"/>
  <c r="T1318" i="3" s="1"/>
  <c r="X1684" i="3"/>
  <c r="W1684" i="3"/>
  <c r="U1684" i="3"/>
  <c r="V1684" i="3" s="1"/>
  <c r="S1684" i="3"/>
  <c r="T1684" i="3" s="1"/>
  <c r="X1317" i="3"/>
  <c r="W1317" i="3"/>
  <c r="U1317" i="3"/>
  <c r="V1317" i="3" s="1"/>
  <c r="S1317" i="3"/>
  <c r="T1317" i="3" s="1"/>
  <c r="X1316" i="3"/>
  <c r="W1316" i="3"/>
  <c r="U1316" i="3"/>
  <c r="V1316" i="3" s="1"/>
  <c r="S1316" i="3"/>
  <c r="T1316" i="3" s="1"/>
  <c r="X1315" i="3"/>
  <c r="W1315" i="3"/>
  <c r="U1315" i="3"/>
  <c r="V1315" i="3" s="1"/>
  <c r="S1315" i="3"/>
  <c r="T1315" i="3" s="1"/>
  <c r="X997" i="3"/>
  <c r="W997" i="3"/>
  <c r="U997" i="3"/>
  <c r="V997" i="3" s="1"/>
  <c r="S997" i="3"/>
  <c r="T997" i="3" s="1"/>
  <c r="X1314" i="3"/>
  <c r="W1314" i="3"/>
  <c r="U1314" i="3"/>
  <c r="V1314" i="3" s="1"/>
  <c r="S1314" i="3"/>
  <c r="T1314" i="3" s="1"/>
  <c r="X1313" i="3"/>
  <c r="W1313" i="3"/>
  <c r="U1313" i="3"/>
  <c r="V1313" i="3" s="1"/>
  <c r="S1313" i="3"/>
  <c r="T1313" i="3" s="1"/>
  <c r="X1683" i="3"/>
  <c r="W1683" i="3"/>
  <c r="U1683" i="3"/>
  <c r="V1683" i="3" s="1"/>
  <c r="S1683" i="3"/>
  <c r="T1683" i="3" s="1"/>
  <c r="X1312" i="3"/>
  <c r="W1312" i="3"/>
  <c r="U1312" i="3"/>
  <c r="V1312" i="3" s="1"/>
  <c r="S1312" i="3"/>
  <c r="T1312" i="3" s="1"/>
  <c r="X1311" i="3"/>
  <c r="W1311" i="3"/>
  <c r="U1311" i="3"/>
  <c r="V1311" i="3" s="1"/>
  <c r="S1311" i="3"/>
  <c r="T1311" i="3" s="1"/>
  <c r="X1310" i="3"/>
  <c r="W1310" i="3"/>
  <c r="U1310" i="3"/>
  <c r="V1310" i="3" s="1"/>
  <c r="S1310" i="3"/>
  <c r="T1310" i="3" s="1"/>
  <c r="X1309" i="3"/>
  <c r="W1309" i="3"/>
  <c r="U1309" i="3"/>
  <c r="V1309" i="3" s="1"/>
  <c r="S1309" i="3"/>
  <c r="T1309" i="3" s="1"/>
  <c r="X1308" i="3"/>
  <c r="W1308" i="3"/>
  <c r="U1308" i="3"/>
  <c r="V1308" i="3" s="1"/>
  <c r="S1308" i="3"/>
  <c r="T1308" i="3" s="1"/>
  <c r="X1682" i="3"/>
  <c r="W1682" i="3"/>
  <c r="U1682" i="3"/>
  <c r="V1682" i="3" s="1"/>
  <c r="S1682" i="3"/>
  <c r="T1682" i="3" s="1"/>
  <c r="X1681" i="3"/>
  <c r="W1681" i="3"/>
  <c r="U1681" i="3"/>
  <c r="V1681" i="3" s="1"/>
  <c r="S1681" i="3"/>
  <c r="T1681" i="3" s="1"/>
  <c r="X412" i="3"/>
  <c r="W412" i="3"/>
  <c r="U412" i="3"/>
  <c r="V412" i="3" s="1"/>
  <c r="S412" i="3"/>
  <c r="T412" i="3" s="1"/>
  <c r="X996" i="3"/>
  <c r="W996" i="3"/>
  <c r="U996" i="3"/>
  <c r="V996" i="3" s="1"/>
  <c r="S996" i="3"/>
  <c r="T996" i="3" s="1"/>
  <c r="X1680" i="3"/>
  <c r="W1680" i="3"/>
  <c r="U1680" i="3"/>
  <c r="V1680" i="3" s="1"/>
  <c r="S1680" i="3"/>
  <c r="T1680" i="3" s="1"/>
  <c r="X1679" i="3"/>
  <c r="W1679" i="3"/>
  <c r="U1679" i="3"/>
  <c r="V1679" i="3" s="1"/>
  <c r="S1679" i="3"/>
  <c r="T1679" i="3" s="1"/>
  <c r="X1307" i="3"/>
  <c r="W1307" i="3"/>
  <c r="U1307" i="3"/>
  <c r="V1307" i="3" s="1"/>
  <c r="S1307" i="3"/>
  <c r="T1307" i="3" s="1"/>
  <c r="X1678" i="3"/>
  <c r="W1678" i="3"/>
  <c r="U1678" i="3"/>
  <c r="V1678" i="3" s="1"/>
  <c r="S1678" i="3"/>
  <c r="T1678" i="3" s="1"/>
  <c r="X1306" i="3"/>
  <c r="W1306" i="3"/>
  <c r="U1306" i="3"/>
  <c r="V1306" i="3" s="1"/>
  <c r="S1306" i="3"/>
  <c r="T1306" i="3" s="1"/>
  <c r="X1305" i="3"/>
  <c r="W1305" i="3"/>
  <c r="U1305" i="3"/>
  <c r="V1305" i="3" s="1"/>
  <c r="S1305" i="3"/>
  <c r="T1305" i="3" s="1"/>
  <c r="X232" i="3"/>
  <c r="W232" i="3"/>
  <c r="U232" i="3"/>
  <c r="V232" i="3" s="1"/>
  <c r="S232" i="3"/>
  <c r="T232" i="3" s="1"/>
  <c r="X878" i="3"/>
  <c r="W878" i="3"/>
  <c r="U878" i="3"/>
  <c r="V878" i="3" s="1"/>
  <c r="S878" i="3"/>
  <c r="T878" i="3" s="1"/>
  <c r="X508" i="3"/>
  <c r="W508" i="3"/>
  <c r="U508" i="3"/>
  <c r="V508" i="3" s="1"/>
  <c r="S508" i="3"/>
  <c r="T508" i="3" s="1"/>
  <c r="X526" i="3"/>
  <c r="W526" i="3"/>
  <c r="U526" i="3"/>
  <c r="V526" i="3" s="1"/>
  <c r="S526" i="3"/>
  <c r="T526" i="3" s="1"/>
  <c r="X995" i="3"/>
  <c r="W995" i="3"/>
  <c r="U995" i="3"/>
  <c r="V995" i="3" s="1"/>
  <c r="S995" i="3"/>
  <c r="T995" i="3" s="1"/>
  <c r="X525" i="3"/>
  <c r="W525" i="3"/>
  <c r="U525" i="3"/>
  <c r="V525" i="3" s="1"/>
  <c r="S525" i="3"/>
  <c r="T525" i="3" s="1"/>
  <c r="X1677" i="3"/>
  <c r="W1677" i="3"/>
  <c r="U1677" i="3"/>
  <c r="V1677" i="3" s="1"/>
  <c r="S1677" i="3"/>
  <c r="T1677" i="3" s="1"/>
  <c r="X145" i="3"/>
  <c r="W145" i="3"/>
  <c r="U145" i="3"/>
  <c r="V145" i="3" s="1"/>
  <c r="S145" i="3"/>
  <c r="T145" i="3" s="1"/>
  <c r="X144" i="3"/>
  <c r="W144" i="3"/>
  <c r="U144" i="3"/>
  <c r="V144" i="3" s="1"/>
  <c r="S144" i="3"/>
  <c r="T144" i="3" s="1"/>
  <c r="X1302" i="3"/>
  <c r="W1302" i="3"/>
  <c r="U1302" i="3"/>
  <c r="V1302" i="3" s="1"/>
  <c r="S1302" i="3"/>
  <c r="T1302" i="3" s="1"/>
  <c r="X477" i="3"/>
  <c r="W477" i="3"/>
  <c r="U477" i="3"/>
  <c r="V477" i="3" s="1"/>
  <c r="S477" i="3"/>
  <c r="T477" i="3" s="1"/>
  <c r="X411" i="3"/>
  <c r="W411" i="3"/>
  <c r="U411" i="3"/>
  <c r="V411" i="3" s="1"/>
  <c r="S411" i="3"/>
  <c r="T411" i="3" s="1"/>
  <c r="X1676" i="3"/>
  <c r="W1676" i="3"/>
  <c r="U1676" i="3"/>
  <c r="V1676" i="3" s="1"/>
  <c r="S1676" i="3"/>
  <c r="T1676" i="3" s="1"/>
  <c r="X1358" i="3"/>
  <c r="W1358" i="3"/>
  <c r="U1358" i="3"/>
  <c r="V1358" i="3" s="1"/>
  <c r="S1358" i="3"/>
  <c r="T1358" i="3" s="1"/>
  <c r="X1674" i="3"/>
  <c r="W1674" i="3"/>
  <c r="U1674" i="3"/>
  <c r="V1674" i="3" s="1"/>
  <c r="S1674" i="3"/>
  <c r="T1674" i="3" s="1"/>
  <c r="X1673" i="3"/>
  <c r="W1673" i="3"/>
  <c r="U1673" i="3"/>
  <c r="V1673" i="3" s="1"/>
  <c r="S1673" i="3"/>
  <c r="T1673" i="3" s="1"/>
  <c r="X1672" i="3"/>
  <c r="W1672" i="3"/>
  <c r="U1672" i="3"/>
  <c r="V1672" i="3" s="1"/>
  <c r="S1672" i="3"/>
  <c r="T1672" i="3" s="1"/>
  <c r="X1671" i="3"/>
  <c r="W1671" i="3"/>
  <c r="U1671" i="3"/>
  <c r="V1671" i="3" s="1"/>
  <c r="S1671" i="3"/>
  <c r="T1671" i="3" s="1"/>
  <c r="X1301" i="3"/>
  <c r="W1301" i="3"/>
  <c r="U1301" i="3"/>
  <c r="V1301" i="3" s="1"/>
  <c r="S1301" i="3"/>
  <c r="T1301" i="3" s="1"/>
  <c r="X143" i="3"/>
  <c r="W143" i="3"/>
  <c r="U143" i="3"/>
  <c r="V143" i="3" s="1"/>
  <c r="S143" i="3"/>
  <c r="T143" i="3" s="1"/>
  <c r="X1300" i="3"/>
  <c r="W1300" i="3"/>
  <c r="U1300" i="3"/>
  <c r="V1300" i="3" s="1"/>
  <c r="S1300" i="3"/>
  <c r="T1300" i="3" s="1"/>
  <c r="X659" i="3"/>
  <c r="W659" i="3"/>
  <c r="U659" i="3"/>
  <c r="V659" i="3" s="1"/>
  <c r="S659" i="3"/>
  <c r="T659" i="3" s="1"/>
  <c r="X877" i="3"/>
  <c r="W877" i="3"/>
  <c r="U877" i="3"/>
  <c r="V877" i="3" s="1"/>
  <c r="S877" i="3"/>
  <c r="T877" i="3" s="1"/>
  <c r="X876" i="3"/>
  <c r="W876" i="3"/>
  <c r="U876" i="3"/>
  <c r="V876" i="3" s="1"/>
  <c r="S876" i="3"/>
  <c r="T876" i="3" s="1"/>
  <c r="X658" i="3"/>
  <c r="W658" i="3"/>
  <c r="U658" i="3"/>
  <c r="V658" i="3" s="1"/>
  <c r="S658" i="3"/>
  <c r="T658" i="3" s="1"/>
  <c r="X1670" i="3"/>
  <c r="W1670" i="3"/>
  <c r="U1670" i="3"/>
  <c r="V1670" i="3" s="1"/>
  <c r="S1670" i="3"/>
  <c r="T1670" i="3" s="1"/>
  <c r="X507" i="3"/>
  <c r="W507" i="3"/>
  <c r="U507" i="3"/>
  <c r="V507" i="3" s="1"/>
  <c r="S507" i="3"/>
  <c r="T507" i="3" s="1"/>
  <c r="X1299" i="3"/>
  <c r="W1299" i="3"/>
  <c r="U1299" i="3"/>
  <c r="V1299" i="3" s="1"/>
  <c r="S1299" i="3"/>
  <c r="T1299" i="3" s="1"/>
  <c r="X875" i="3"/>
  <c r="W875" i="3"/>
  <c r="U875" i="3"/>
  <c r="V875" i="3" s="1"/>
  <c r="S875" i="3"/>
  <c r="T875" i="3" s="1"/>
  <c r="X1298" i="3"/>
  <c r="W1298" i="3"/>
  <c r="U1298" i="3"/>
  <c r="V1298" i="3" s="1"/>
  <c r="S1298" i="3"/>
  <c r="T1298" i="3" s="1"/>
  <c r="X1297" i="3"/>
  <c r="W1297" i="3"/>
  <c r="U1297" i="3"/>
  <c r="V1297" i="3" s="1"/>
  <c r="S1297" i="3"/>
  <c r="T1297" i="3" s="1"/>
  <c r="X1296" i="3"/>
  <c r="W1296" i="3"/>
  <c r="U1296" i="3"/>
  <c r="V1296" i="3" s="1"/>
  <c r="S1296" i="3"/>
  <c r="T1296" i="3" s="1"/>
  <c r="X874" i="3"/>
  <c r="W874" i="3"/>
  <c r="U874" i="3"/>
  <c r="V874" i="3" s="1"/>
  <c r="S874" i="3"/>
  <c r="T874" i="3" s="1"/>
  <c r="X657" i="3"/>
  <c r="W657" i="3"/>
  <c r="U657" i="3"/>
  <c r="V657" i="3" s="1"/>
  <c r="S657" i="3"/>
  <c r="T657" i="3" s="1"/>
  <c r="X506" i="3"/>
  <c r="W506" i="3"/>
  <c r="U506" i="3"/>
  <c r="V506" i="3" s="1"/>
  <c r="S506" i="3"/>
  <c r="T506" i="3" s="1"/>
  <c r="X60" i="3"/>
  <c r="W60" i="3"/>
  <c r="U60" i="3"/>
  <c r="V60" i="3" s="1"/>
  <c r="S60" i="3"/>
  <c r="T60" i="3" s="1"/>
  <c r="X1295" i="3"/>
  <c r="W1295" i="3"/>
  <c r="U1295" i="3"/>
  <c r="V1295" i="3" s="1"/>
  <c r="S1295" i="3"/>
  <c r="T1295" i="3" s="1"/>
  <c r="X1294" i="3"/>
  <c r="W1294" i="3"/>
  <c r="U1294" i="3"/>
  <c r="V1294" i="3" s="1"/>
  <c r="S1294" i="3"/>
  <c r="T1294" i="3" s="1"/>
  <c r="X1293" i="3"/>
  <c r="W1293" i="3"/>
  <c r="U1293" i="3"/>
  <c r="V1293" i="3" s="1"/>
  <c r="S1293" i="3"/>
  <c r="T1293" i="3" s="1"/>
  <c r="X1292" i="3"/>
  <c r="W1292" i="3"/>
  <c r="U1292" i="3"/>
  <c r="V1292" i="3" s="1"/>
  <c r="S1292" i="3"/>
  <c r="T1292" i="3" s="1"/>
  <c r="X59" i="3"/>
  <c r="W59" i="3"/>
  <c r="U59" i="3"/>
  <c r="V59" i="3" s="1"/>
  <c r="S59" i="3"/>
  <c r="T59" i="3" s="1"/>
  <c r="X231" i="3"/>
  <c r="W231" i="3"/>
  <c r="U231" i="3"/>
  <c r="V231" i="3" s="1"/>
  <c r="S231" i="3"/>
  <c r="T231" i="3" s="1"/>
  <c r="X656" i="3"/>
  <c r="W656" i="3"/>
  <c r="U656" i="3"/>
  <c r="V656" i="3" s="1"/>
  <c r="S656" i="3"/>
  <c r="T656" i="3" s="1"/>
  <c r="X1094" i="3"/>
  <c r="W1094" i="3"/>
  <c r="U1094" i="3"/>
  <c r="V1094" i="3" s="1"/>
  <c r="S1094" i="3"/>
  <c r="T1094" i="3" s="1"/>
  <c r="X1291" i="3"/>
  <c r="W1291" i="3"/>
  <c r="U1291" i="3"/>
  <c r="V1291" i="3" s="1"/>
  <c r="S1291" i="3"/>
  <c r="T1291" i="3" s="1"/>
  <c r="X1290" i="3"/>
  <c r="W1290" i="3"/>
  <c r="U1290" i="3"/>
  <c r="V1290" i="3" s="1"/>
  <c r="S1290" i="3"/>
  <c r="T1290" i="3" s="1"/>
  <c r="X1289" i="3"/>
  <c r="W1289" i="3"/>
  <c r="U1289" i="3"/>
  <c r="V1289" i="3" s="1"/>
  <c r="S1289" i="3"/>
  <c r="T1289" i="3" s="1"/>
  <c r="X655" i="3"/>
  <c r="W655" i="3"/>
  <c r="U655" i="3"/>
  <c r="V655" i="3" s="1"/>
  <c r="S655" i="3"/>
  <c r="T655" i="3" s="1"/>
  <c r="X654" i="3"/>
  <c r="W654" i="3"/>
  <c r="U654" i="3"/>
  <c r="V654" i="3" s="1"/>
  <c r="S654" i="3"/>
  <c r="T654" i="3" s="1"/>
  <c r="X58" i="3"/>
  <c r="W58" i="3"/>
  <c r="U58" i="3"/>
  <c r="V58" i="3" s="1"/>
  <c r="S58" i="3"/>
  <c r="T58" i="3" s="1"/>
  <c r="X524" i="3"/>
  <c r="W524" i="3"/>
  <c r="U524" i="3"/>
  <c r="V524" i="3" s="1"/>
  <c r="S524" i="3"/>
  <c r="T524" i="3" s="1"/>
  <c r="X1287" i="3"/>
  <c r="W1287" i="3"/>
  <c r="U1287" i="3"/>
  <c r="V1287" i="3" s="1"/>
  <c r="S1287" i="3"/>
  <c r="T1287" i="3" s="1"/>
  <c r="X873" i="3"/>
  <c r="W873" i="3"/>
  <c r="U873" i="3"/>
  <c r="V873" i="3" s="1"/>
  <c r="S873" i="3"/>
  <c r="T873" i="3" s="1"/>
  <c r="X872" i="3"/>
  <c r="W872" i="3"/>
  <c r="U872" i="3"/>
  <c r="V872" i="3" s="1"/>
  <c r="S872" i="3"/>
  <c r="T872" i="3" s="1"/>
  <c r="X871" i="3"/>
  <c r="W871" i="3"/>
  <c r="U871" i="3"/>
  <c r="V871" i="3" s="1"/>
  <c r="S871" i="3"/>
  <c r="T871" i="3" s="1"/>
  <c r="X1286" i="3"/>
  <c r="W1286" i="3"/>
  <c r="U1286" i="3"/>
  <c r="V1286" i="3" s="1"/>
  <c r="S1286" i="3"/>
  <c r="T1286" i="3" s="1"/>
  <c r="X870" i="3"/>
  <c r="W870" i="3"/>
  <c r="U870" i="3"/>
  <c r="V870" i="3" s="1"/>
  <c r="S870" i="3"/>
  <c r="T870" i="3" s="1"/>
  <c r="X1285" i="3"/>
  <c r="W1285" i="3"/>
  <c r="U1285" i="3"/>
  <c r="V1285" i="3" s="1"/>
  <c r="S1285" i="3"/>
  <c r="T1285" i="3" s="1"/>
  <c r="X869" i="3"/>
  <c r="W869" i="3"/>
  <c r="U869" i="3"/>
  <c r="V869" i="3" s="1"/>
  <c r="S869" i="3"/>
  <c r="T869" i="3" s="1"/>
  <c r="X993" i="3"/>
  <c r="W993" i="3"/>
  <c r="U993" i="3"/>
  <c r="V993" i="3" s="1"/>
  <c r="S993" i="3"/>
  <c r="T993" i="3" s="1"/>
  <c r="X1669" i="3"/>
  <c r="W1669" i="3"/>
  <c r="U1669" i="3"/>
  <c r="V1669" i="3" s="1"/>
  <c r="S1669" i="3"/>
  <c r="T1669" i="3" s="1"/>
  <c r="X57" i="3"/>
  <c r="W57" i="3"/>
  <c r="U57" i="3"/>
  <c r="V57" i="3" s="1"/>
  <c r="S57" i="3"/>
  <c r="T57" i="3" s="1"/>
  <c r="X1284" i="3"/>
  <c r="W1284" i="3"/>
  <c r="U1284" i="3"/>
  <c r="V1284" i="3" s="1"/>
  <c r="S1284" i="3"/>
  <c r="T1284" i="3" s="1"/>
  <c r="X992" i="3"/>
  <c r="W992" i="3"/>
  <c r="U992" i="3"/>
  <c r="V992" i="3" s="1"/>
  <c r="S992" i="3"/>
  <c r="T992" i="3" s="1"/>
  <c r="X1668" i="3"/>
  <c r="W1668" i="3"/>
  <c r="U1668" i="3"/>
  <c r="V1668" i="3" s="1"/>
  <c r="S1668" i="3"/>
  <c r="T1668" i="3" s="1"/>
  <c r="X1667" i="3"/>
  <c r="W1667" i="3"/>
  <c r="U1667" i="3"/>
  <c r="V1667" i="3" s="1"/>
  <c r="S1667" i="3"/>
  <c r="T1667" i="3" s="1"/>
  <c r="X1283" i="3"/>
  <c r="W1283" i="3"/>
  <c r="U1283" i="3"/>
  <c r="V1283" i="3" s="1"/>
  <c r="S1283" i="3"/>
  <c r="T1283" i="3" s="1"/>
  <c r="X56" i="3"/>
  <c r="W56" i="3"/>
  <c r="U56" i="3"/>
  <c r="V56" i="3" s="1"/>
  <c r="S56" i="3"/>
  <c r="T56" i="3" s="1"/>
  <c r="X1666" i="3"/>
  <c r="W1666" i="3"/>
  <c r="U1666" i="3"/>
  <c r="V1666" i="3" s="1"/>
  <c r="S1666" i="3"/>
  <c r="T1666" i="3" s="1"/>
  <c r="X1665" i="3"/>
  <c r="W1665" i="3"/>
  <c r="U1665" i="3"/>
  <c r="V1665" i="3" s="1"/>
  <c r="S1665" i="3"/>
  <c r="T1665" i="3" s="1"/>
  <c r="X55" i="3"/>
  <c r="W55" i="3"/>
  <c r="U55" i="3"/>
  <c r="V55" i="3" s="1"/>
  <c r="S55" i="3"/>
  <c r="T55" i="3" s="1"/>
  <c r="X1282" i="3"/>
  <c r="W1282" i="3"/>
  <c r="U1282" i="3"/>
  <c r="V1282" i="3" s="1"/>
  <c r="S1282" i="3"/>
  <c r="T1282" i="3" s="1"/>
  <c r="X505" i="3"/>
  <c r="W505" i="3"/>
  <c r="U505" i="3"/>
  <c r="V505" i="3" s="1"/>
  <c r="S505" i="3"/>
  <c r="T505" i="3" s="1"/>
  <c r="X1664" i="3"/>
  <c r="W1664" i="3"/>
  <c r="U1664" i="3"/>
  <c r="V1664" i="3" s="1"/>
  <c r="S1664" i="3"/>
  <c r="T1664" i="3" s="1"/>
  <c r="X1663" i="3"/>
  <c r="W1663" i="3"/>
  <c r="U1663" i="3"/>
  <c r="V1663" i="3" s="1"/>
  <c r="S1663" i="3"/>
  <c r="T1663" i="3" s="1"/>
  <c r="X991" i="3"/>
  <c r="W991" i="3"/>
  <c r="U991" i="3"/>
  <c r="V991" i="3" s="1"/>
  <c r="S991" i="3"/>
  <c r="T991" i="3" s="1"/>
  <c r="X230" i="3"/>
  <c r="W230" i="3"/>
  <c r="U230" i="3"/>
  <c r="V230" i="3" s="1"/>
  <c r="S230" i="3"/>
  <c r="T230" i="3" s="1"/>
  <c r="X1281" i="3"/>
  <c r="W1281" i="3"/>
  <c r="U1281" i="3"/>
  <c r="V1281" i="3" s="1"/>
  <c r="S1281" i="3"/>
  <c r="T1281" i="3" s="1"/>
  <c r="X1280" i="3"/>
  <c r="W1280" i="3"/>
  <c r="U1280" i="3"/>
  <c r="V1280" i="3" s="1"/>
  <c r="S1280" i="3"/>
  <c r="T1280" i="3" s="1"/>
  <c r="X1279" i="3"/>
  <c r="W1279" i="3"/>
  <c r="U1279" i="3"/>
  <c r="V1279" i="3" s="1"/>
  <c r="S1279" i="3"/>
  <c r="T1279" i="3" s="1"/>
  <c r="X1662" i="3"/>
  <c r="W1662" i="3"/>
  <c r="U1662" i="3"/>
  <c r="V1662" i="3" s="1"/>
  <c r="S1662" i="3"/>
  <c r="T1662" i="3" s="1"/>
  <c r="X1661" i="3"/>
  <c r="W1661" i="3"/>
  <c r="U1661" i="3"/>
  <c r="V1661" i="3" s="1"/>
  <c r="S1661" i="3"/>
  <c r="T1661" i="3" s="1"/>
  <c r="X868" i="3"/>
  <c r="W868" i="3"/>
  <c r="U868" i="3"/>
  <c r="V868" i="3" s="1"/>
  <c r="S868" i="3"/>
  <c r="T868" i="3" s="1"/>
  <c r="X1278" i="3"/>
  <c r="W1278" i="3"/>
  <c r="U1278" i="3"/>
  <c r="V1278" i="3" s="1"/>
  <c r="S1278" i="3"/>
  <c r="T1278" i="3" s="1"/>
  <c r="X229" i="3"/>
  <c r="W229" i="3"/>
  <c r="U229" i="3"/>
  <c r="V229" i="3" s="1"/>
  <c r="S229" i="3"/>
  <c r="T229" i="3" s="1"/>
  <c r="X867" i="3"/>
  <c r="W867" i="3"/>
  <c r="U867" i="3"/>
  <c r="V867" i="3" s="1"/>
  <c r="S867" i="3"/>
  <c r="T867" i="3" s="1"/>
  <c r="X228" i="3"/>
  <c r="W228" i="3"/>
  <c r="U228" i="3"/>
  <c r="V228" i="3" s="1"/>
  <c r="S228" i="3"/>
  <c r="T228" i="3" s="1"/>
  <c r="X1660" i="3"/>
  <c r="W1660" i="3"/>
  <c r="U1660" i="3"/>
  <c r="V1660" i="3" s="1"/>
  <c r="S1660" i="3"/>
  <c r="T1660" i="3" s="1"/>
  <c r="X1659" i="3"/>
  <c r="W1659" i="3"/>
  <c r="U1659" i="3"/>
  <c r="V1659" i="3" s="1"/>
  <c r="S1659" i="3"/>
  <c r="T1659" i="3" s="1"/>
  <c r="X1277" i="3"/>
  <c r="W1277" i="3"/>
  <c r="U1277" i="3"/>
  <c r="V1277" i="3" s="1"/>
  <c r="S1277" i="3"/>
  <c r="T1277" i="3" s="1"/>
  <c r="X866" i="3"/>
  <c r="W866" i="3"/>
  <c r="U866" i="3"/>
  <c r="V866" i="3" s="1"/>
  <c r="S866" i="3"/>
  <c r="T866" i="3" s="1"/>
  <c r="X1658" i="3"/>
  <c r="W1658" i="3"/>
  <c r="U1658" i="3"/>
  <c r="V1658" i="3" s="1"/>
  <c r="S1658" i="3"/>
  <c r="T1658" i="3" s="1"/>
  <c r="X1276" i="3"/>
  <c r="W1276" i="3"/>
  <c r="U1276" i="3"/>
  <c r="V1276" i="3" s="1"/>
  <c r="S1276" i="3"/>
  <c r="T1276" i="3" s="1"/>
  <c r="X1657" i="3"/>
  <c r="W1657" i="3"/>
  <c r="U1657" i="3"/>
  <c r="V1657" i="3" s="1"/>
  <c r="S1657" i="3"/>
  <c r="T1657" i="3" s="1"/>
  <c r="X1656" i="3"/>
  <c r="W1656" i="3"/>
  <c r="U1656" i="3"/>
  <c r="V1656" i="3" s="1"/>
  <c r="S1656" i="3"/>
  <c r="T1656" i="3" s="1"/>
  <c r="X1655" i="3"/>
  <c r="W1655" i="3"/>
  <c r="U1655" i="3"/>
  <c r="V1655" i="3" s="1"/>
  <c r="S1655" i="3"/>
  <c r="T1655" i="3" s="1"/>
  <c r="X865" i="3"/>
  <c r="W865" i="3"/>
  <c r="U865" i="3"/>
  <c r="V865" i="3" s="1"/>
  <c r="S865" i="3"/>
  <c r="T865" i="3" s="1"/>
  <c r="X1654" i="3"/>
  <c r="W1654" i="3"/>
  <c r="U1654" i="3"/>
  <c r="V1654" i="3" s="1"/>
  <c r="S1654" i="3"/>
  <c r="T1654" i="3" s="1"/>
  <c r="X1275" i="3"/>
  <c r="W1275" i="3"/>
  <c r="U1275" i="3"/>
  <c r="V1275" i="3" s="1"/>
  <c r="S1275" i="3"/>
  <c r="T1275" i="3" s="1"/>
  <c r="X142" i="3"/>
  <c r="W142" i="3"/>
  <c r="U142" i="3"/>
  <c r="V142" i="3" s="1"/>
  <c r="S142" i="3"/>
  <c r="T142" i="3" s="1"/>
  <c r="X864" i="3"/>
  <c r="W864" i="3"/>
  <c r="U864" i="3"/>
  <c r="V864" i="3" s="1"/>
  <c r="S864" i="3"/>
  <c r="T864" i="3" s="1"/>
  <c r="X1653" i="3"/>
  <c r="W1653" i="3"/>
  <c r="U1653" i="3"/>
  <c r="V1653" i="3" s="1"/>
  <c r="S1653" i="3"/>
  <c r="T1653" i="3" s="1"/>
  <c r="X141" i="3"/>
  <c r="W141" i="3"/>
  <c r="U141" i="3"/>
  <c r="V141" i="3" s="1"/>
  <c r="S141" i="3"/>
  <c r="T141" i="3" s="1"/>
  <c r="X140" i="3"/>
  <c r="W140" i="3"/>
  <c r="U140" i="3"/>
  <c r="V140" i="3" s="1"/>
  <c r="S140" i="3"/>
  <c r="T140" i="3" s="1"/>
  <c r="X227" i="3"/>
  <c r="W227" i="3"/>
  <c r="U227" i="3"/>
  <c r="V227" i="3" s="1"/>
  <c r="S227" i="3"/>
  <c r="T227" i="3" s="1"/>
  <c r="X1652" i="3"/>
  <c r="W1652" i="3"/>
  <c r="U1652" i="3"/>
  <c r="V1652" i="3" s="1"/>
  <c r="S1652" i="3"/>
  <c r="T1652" i="3" s="1"/>
  <c r="X1651" i="3"/>
  <c r="W1651" i="3"/>
  <c r="U1651" i="3"/>
  <c r="V1651" i="3" s="1"/>
  <c r="S1651" i="3"/>
  <c r="T1651" i="3" s="1"/>
  <c r="X990" i="3"/>
  <c r="W990" i="3"/>
  <c r="U990" i="3"/>
  <c r="V990" i="3" s="1"/>
  <c r="S990" i="3"/>
  <c r="T990" i="3" s="1"/>
  <c r="X226" i="3"/>
  <c r="W226" i="3"/>
  <c r="U226" i="3"/>
  <c r="V226" i="3" s="1"/>
  <c r="S226" i="3"/>
  <c r="T226" i="3" s="1"/>
  <c r="X410" i="3"/>
  <c r="W410" i="3"/>
  <c r="U410" i="3"/>
  <c r="V410" i="3" s="1"/>
  <c r="S410" i="3"/>
  <c r="T410" i="3" s="1"/>
  <c r="X139" i="3"/>
  <c r="W139" i="3"/>
  <c r="U139" i="3"/>
  <c r="V139" i="3" s="1"/>
  <c r="S139" i="3"/>
  <c r="T139" i="3" s="1"/>
  <c r="X989" i="3"/>
  <c r="W989" i="3"/>
  <c r="U989" i="3"/>
  <c r="V989" i="3" s="1"/>
  <c r="S989" i="3"/>
  <c r="T989" i="3" s="1"/>
  <c r="X1650" i="3"/>
  <c r="W1650" i="3"/>
  <c r="U1650" i="3"/>
  <c r="V1650" i="3" s="1"/>
  <c r="S1650" i="3"/>
  <c r="T1650" i="3" s="1"/>
  <c r="X504" i="3"/>
  <c r="W504" i="3"/>
  <c r="U504" i="3"/>
  <c r="V504" i="3" s="1"/>
  <c r="S504" i="3"/>
  <c r="T504" i="3" s="1"/>
  <c r="X1274" i="3"/>
  <c r="W1274" i="3"/>
  <c r="U1274" i="3"/>
  <c r="V1274" i="3" s="1"/>
  <c r="S1274" i="3"/>
  <c r="T1274" i="3" s="1"/>
  <c r="X225" i="3"/>
  <c r="W225" i="3"/>
  <c r="U225" i="3"/>
  <c r="V225" i="3" s="1"/>
  <c r="S225" i="3"/>
  <c r="T225" i="3" s="1"/>
  <c r="X653" i="3"/>
  <c r="W653" i="3"/>
  <c r="U653" i="3"/>
  <c r="V653" i="3" s="1"/>
  <c r="S653" i="3"/>
  <c r="T653" i="3" s="1"/>
  <c r="X988" i="3"/>
  <c r="W988" i="3"/>
  <c r="U988" i="3"/>
  <c r="V988" i="3" s="1"/>
  <c r="S988" i="3"/>
  <c r="T988" i="3" s="1"/>
  <c r="X409" i="3"/>
  <c r="W409" i="3"/>
  <c r="U409" i="3"/>
  <c r="V409" i="3" s="1"/>
  <c r="S409" i="3"/>
  <c r="T409" i="3" s="1"/>
  <c r="X138" i="3"/>
  <c r="W138" i="3"/>
  <c r="U138" i="3"/>
  <c r="V138" i="3" s="1"/>
  <c r="S138" i="3"/>
  <c r="T138" i="3" s="1"/>
  <c r="X408" i="3"/>
  <c r="W408" i="3"/>
  <c r="U408" i="3"/>
  <c r="V408" i="3" s="1"/>
  <c r="S408" i="3"/>
  <c r="T408" i="3" s="1"/>
  <c r="X7" i="3"/>
  <c r="W7" i="3"/>
  <c r="U7" i="3"/>
  <c r="V7" i="3" s="1"/>
  <c r="S7" i="3"/>
  <c r="T7" i="3" s="1"/>
  <c r="X1093" i="3"/>
  <c r="W1093" i="3"/>
  <c r="U1093" i="3"/>
  <c r="V1093" i="3" s="1"/>
  <c r="S1093" i="3"/>
  <c r="T1093" i="3" s="1"/>
  <c r="X135" i="3"/>
  <c r="W135" i="3"/>
  <c r="U135" i="3"/>
  <c r="V135" i="3" s="1"/>
  <c r="S135" i="3"/>
  <c r="T135" i="3" s="1"/>
  <c r="X224" i="3"/>
  <c r="W224" i="3"/>
  <c r="U224" i="3"/>
  <c r="V224" i="3" s="1"/>
  <c r="S224" i="3"/>
  <c r="T224" i="3" s="1"/>
  <c r="X1649" i="3"/>
  <c r="W1649" i="3"/>
  <c r="U1649" i="3"/>
  <c r="V1649" i="3" s="1"/>
  <c r="S1649" i="3"/>
  <c r="T1649" i="3" s="1"/>
  <c r="X134" i="3"/>
  <c r="W134" i="3"/>
  <c r="U134" i="3"/>
  <c r="V134" i="3" s="1"/>
  <c r="S134" i="3"/>
  <c r="T134" i="3" s="1"/>
  <c r="X863" i="3"/>
  <c r="W863" i="3"/>
  <c r="U863" i="3"/>
  <c r="V863" i="3" s="1"/>
  <c r="S863" i="3"/>
  <c r="T863" i="3" s="1"/>
  <c r="X133" i="3"/>
  <c r="W133" i="3"/>
  <c r="U133" i="3"/>
  <c r="V133" i="3" s="1"/>
  <c r="S133" i="3"/>
  <c r="T133" i="3" s="1"/>
  <c r="X1648" i="3"/>
  <c r="W1648" i="3"/>
  <c r="U1648" i="3"/>
  <c r="V1648" i="3" s="1"/>
  <c r="S1648" i="3"/>
  <c r="T1648" i="3" s="1"/>
  <c r="X407" i="3"/>
  <c r="W407" i="3"/>
  <c r="U407" i="3"/>
  <c r="V407" i="3" s="1"/>
  <c r="S407" i="3"/>
  <c r="T407" i="3" s="1"/>
  <c r="X132" i="3"/>
  <c r="W132" i="3"/>
  <c r="U132" i="3"/>
  <c r="V132" i="3" s="1"/>
  <c r="S132" i="3"/>
  <c r="T132" i="3" s="1"/>
  <c r="X131" i="3"/>
  <c r="W131" i="3"/>
  <c r="U131" i="3"/>
  <c r="V131" i="3" s="1"/>
  <c r="S131" i="3"/>
  <c r="T131" i="3" s="1"/>
  <c r="X130" i="3"/>
  <c r="W130" i="3"/>
  <c r="U130" i="3"/>
  <c r="V130" i="3" s="1"/>
  <c r="S130" i="3"/>
  <c r="T130" i="3" s="1"/>
  <c r="X1272" i="3"/>
  <c r="W1272" i="3"/>
  <c r="U1272" i="3"/>
  <c r="V1272" i="3" s="1"/>
  <c r="S1272" i="3"/>
  <c r="T1272" i="3" s="1"/>
  <c r="X862" i="3"/>
  <c r="W862" i="3"/>
  <c r="U862" i="3"/>
  <c r="V862" i="3" s="1"/>
  <c r="S862" i="3"/>
  <c r="T862" i="3" s="1"/>
  <c r="X1647" i="3"/>
  <c r="W1647" i="3"/>
  <c r="U1647" i="3"/>
  <c r="V1647" i="3" s="1"/>
  <c r="S1647" i="3"/>
  <c r="T1647" i="3" s="1"/>
  <c r="X223" i="3"/>
  <c r="W223" i="3"/>
  <c r="U223" i="3"/>
  <c r="V223" i="3" s="1"/>
  <c r="S223" i="3"/>
  <c r="T223" i="3" s="1"/>
  <c r="X1646" i="3"/>
  <c r="W1646" i="3"/>
  <c r="U1646" i="3"/>
  <c r="V1646" i="3" s="1"/>
  <c r="S1646" i="3"/>
  <c r="T1646" i="3" s="1"/>
  <c r="X222" i="3"/>
  <c r="W222" i="3"/>
  <c r="U222" i="3"/>
  <c r="V222" i="3" s="1"/>
  <c r="S222" i="3"/>
  <c r="T222" i="3" s="1"/>
  <c r="X1271" i="3"/>
  <c r="W1271" i="3"/>
  <c r="U1271" i="3"/>
  <c r="V1271" i="3" s="1"/>
  <c r="S1271" i="3"/>
  <c r="T1271" i="3" s="1"/>
  <c r="X221" i="3"/>
  <c r="W221" i="3"/>
  <c r="U221" i="3"/>
  <c r="V221" i="3" s="1"/>
  <c r="S221" i="3"/>
  <c r="T221" i="3" s="1"/>
  <c r="X1270" i="3"/>
  <c r="W1270" i="3"/>
  <c r="U1270" i="3"/>
  <c r="V1270" i="3" s="1"/>
  <c r="S1270" i="3"/>
  <c r="T1270" i="3" s="1"/>
  <c r="X1269" i="3"/>
  <c r="W1269" i="3"/>
  <c r="U1269" i="3"/>
  <c r="V1269" i="3" s="1"/>
  <c r="S1269" i="3"/>
  <c r="T1269" i="3" s="1"/>
  <c r="X987" i="3"/>
  <c r="W987" i="3"/>
  <c r="U987" i="3"/>
  <c r="V987" i="3" s="1"/>
  <c r="S987" i="3"/>
  <c r="T987" i="3" s="1"/>
  <c r="X1645" i="3"/>
  <c r="W1645" i="3"/>
  <c r="U1645" i="3"/>
  <c r="V1645" i="3" s="1"/>
  <c r="S1645" i="3"/>
  <c r="T1645" i="3" s="1"/>
  <c r="X1268" i="3"/>
  <c r="W1268" i="3"/>
  <c r="U1268" i="3"/>
  <c r="V1268" i="3" s="1"/>
  <c r="S1268" i="3"/>
  <c r="T1268" i="3" s="1"/>
  <c r="X652" i="3"/>
  <c r="W652" i="3"/>
  <c r="U652" i="3"/>
  <c r="V652" i="3" s="1"/>
  <c r="S652" i="3"/>
  <c r="T652" i="3" s="1"/>
  <c r="X1267" i="3"/>
  <c r="W1267" i="3"/>
  <c r="U1267" i="3"/>
  <c r="V1267" i="3" s="1"/>
  <c r="S1267" i="3"/>
  <c r="T1267" i="3" s="1"/>
  <c r="X1266" i="3"/>
  <c r="W1266" i="3"/>
  <c r="U1266" i="3"/>
  <c r="V1266" i="3" s="1"/>
  <c r="S1266" i="3"/>
  <c r="T1266" i="3" s="1"/>
  <c r="X1265" i="3"/>
  <c r="W1265" i="3"/>
  <c r="U1265" i="3"/>
  <c r="V1265" i="3" s="1"/>
  <c r="S1265" i="3"/>
  <c r="T1265" i="3" s="1"/>
  <c r="X861" i="3"/>
  <c r="W861" i="3"/>
  <c r="U861" i="3"/>
  <c r="V861" i="3" s="1"/>
  <c r="S861" i="3"/>
  <c r="T861" i="3" s="1"/>
  <c r="X1644" i="3"/>
  <c r="W1644" i="3"/>
  <c r="U1644" i="3"/>
  <c r="V1644" i="3" s="1"/>
  <c r="S1644" i="3"/>
  <c r="T1644" i="3" s="1"/>
  <c r="X860" i="3"/>
  <c r="W860" i="3"/>
  <c r="U860" i="3"/>
  <c r="V860" i="3" s="1"/>
  <c r="S860" i="3"/>
  <c r="T860" i="3" s="1"/>
  <c r="X859" i="3"/>
  <c r="W859" i="3"/>
  <c r="U859" i="3"/>
  <c r="V859" i="3" s="1"/>
  <c r="S859" i="3"/>
  <c r="T859" i="3" s="1"/>
  <c r="X129" i="3"/>
  <c r="W129" i="3"/>
  <c r="U129" i="3"/>
  <c r="V129" i="3" s="1"/>
  <c r="S129" i="3"/>
  <c r="T129" i="3" s="1"/>
  <c r="X858" i="3"/>
  <c r="W858" i="3"/>
  <c r="U858" i="3"/>
  <c r="V858" i="3" s="1"/>
  <c r="S858" i="3"/>
  <c r="T858" i="3" s="1"/>
  <c r="X1264" i="3"/>
  <c r="W1264" i="3"/>
  <c r="U1264" i="3"/>
  <c r="V1264" i="3" s="1"/>
  <c r="S1264" i="3"/>
  <c r="T1264" i="3" s="1"/>
  <c r="X1643" i="3"/>
  <c r="W1643" i="3"/>
  <c r="U1643" i="3"/>
  <c r="V1643" i="3" s="1"/>
  <c r="S1643" i="3"/>
  <c r="T1643" i="3" s="1"/>
  <c r="X857" i="3"/>
  <c r="W857" i="3"/>
  <c r="U857" i="3"/>
  <c r="V857" i="3" s="1"/>
  <c r="S857" i="3"/>
  <c r="T857" i="3" s="1"/>
  <c r="X503" i="3"/>
  <c r="W503" i="3"/>
  <c r="U503" i="3"/>
  <c r="V503" i="3" s="1"/>
  <c r="S503" i="3"/>
  <c r="T503" i="3" s="1"/>
  <c r="X856" i="3"/>
  <c r="W856" i="3"/>
  <c r="U856" i="3"/>
  <c r="V856" i="3" s="1"/>
  <c r="S856" i="3"/>
  <c r="T856" i="3" s="1"/>
  <c r="X855" i="3"/>
  <c r="W855" i="3"/>
  <c r="U855" i="3"/>
  <c r="V855" i="3" s="1"/>
  <c r="S855" i="3"/>
  <c r="T855" i="3" s="1"/>
  <c r="X854" i="3"/>
  <c r="W854" i="3"/>
  <c r="U854" i="3"/>
  <c r="V854" i="3" s="1"/>
  <c r="S854" i="3"/>
  <c r="T854" i="3" s="1"/>
  <c r="X651" i="3"/>
  <c r="W651" i="3"/>
  <c r="U651" i="3"/>
  <c r="V651" i="3" s="1"/>
  <c r="S651" i="3"/>
  <c r="T651" i="3" s="1"/>
  <c r="X1263" i="3"/>
  <c r="W1263" i="3"/>
  <c r="U1263" i="3"/>
  <c r="V1263" i="3" s="1"/>
  <c r="S1263" i="3"/>
  <c r="T1263" i="3" s="1"/>
  <c r="X1262" i="3"/>
  <c r="W1262" i="3"/>
  <c r="U1262" i="3"/>
  <c r="V1262" i="3" s="1"/>
  <c r="S1262" i="3"/>
  <c r="T1262" i="3" s="1"/>
  <c r="X1642" i="3"/>
  <c r="W1642" i="3"/>
  <c r="U1642" i="3"/>
  <c r="V1642" i="3" s="1"/>
  <c r="S1642" i="3"/>
  <c r="T1642" i="3" s="1"/>
  <c r="X1261" i="3"/>
  <c r="W1261" i="3"/>
  <c r="U1261" i="3"/>
  <c r="V1261" i="3" s="1"/>
  <c r="S1261" i="3"/>
  <c r="T1261" i="3" s="1"/>
  <c r="X406" i="3"/>
  <c r="W406" i="3"/>
  <c r="U406" i="3"/>
  <c r="V406" i="3" s="1"/>
  <c r="S406" i="3"/>
  <c r="T406" i="3" s="1"/>
  <c r="X1260" i="3"/>
  <c r="W1260" i="3"/>
  <c r="U1260" i="3"/>
  <c r="V1260" i="3" s="1"/>
  <c r="S1260" i="3"/>
  <c r="T1260" i="3" s="1"/>
  <c r="X853" i="3"/>
  <c r="W853" i="3"/>
  <c r="U853" i="3"/>
  <c r="V853" i="3" s="1"/>
  <c r="S853" i="3"/>
  <c r="T853" i="3" s="1"/>
  <c r="X650" i="3"/>
  <c r="W650" i="3"/>
  <c r="U650" i="3"/>
  <c r="V650" i="3" s="1"/>
  <c r="S650" i="3"/>
  <c r="T650" i="3" s="1"/>
  <c r="X1641" i="3"/>
  <c r="W1641" i="3"/>
  <c r="U1641" i="3"/>
  <c r="V1641" i="3" s="1"/>
  <c r="S1641" i="3"/>
  <c r="T1641" i="3" s="1"/>
  <c r="X1640" i="3"/>
  <c r="W1640" i="3"/>
  <c r="U1640" i="3"/>
  <c r="V1640" i="3" s="1"/>
  <c r="S1640" i="3"/>
  <c r="T1640" i="3" s="1"/>
  <c r="X986" i="3"/>
  <c r="W986" i="3"/>
  <c r="U986" i="3"/>
  <c r="V986" i="3" s="1"/>
  <c r="S986" i="3"/>
  <c r="T986" i="3" s="1"/>
  <c r="X985" i="3"/>
  <c r="W985" i="3"/>
  <c r="U985" i="3"/>
  <c r="V985" i="3" s="1"/>
  <c r="S985" i="3"/>
  <c r="T985" i="3" s="1"/>
  <c r="X649" i="3"/>
  <c r="W649" i="3"/>
  <c r="U649" i="3"/>
  <c r="V649" i="3" s="1"/>
  <c r="S649" i="3"/>
  <c r="T649" i="3" s="1"/>
  <c r="X54" i="3"/>
  <c r="W54" i="3"/>
  <c r="U54" i="3"/>
  <c r="V54" i="3" s="1"/>
  <c r="S54" i="3"/>
  <c r="T54" i="3" s="1"/>
  <c r="X852" i="3"/>
  <c r="W852" i="3"/>
  <c r="U852" i="3"/>
  <c r="V852" i="3" s="1"/>
  <c r="S852" i="3"/>
  <c r="T852" i="3" s="1"/>
  <c r="X220" i="3"/>
  <c r="W220" i="3"/>
  <c r="U220" i="3"/>
  <c r="V220" i="3" s="1"/>
  <c r="S220" i="3"/>
  <c r="T220" i="3" s="1"/>
  <c r="X53" i="3"/>
  <c r="W53" i="3"/>
  <c r="U53" i="3"/>
  <c r="V53" i="3" s="1"/>
  <c r="S53" i="3"/>
  <c r="T53" i="3" s="1"/>
  <c r="X984" i="3"/>
  <c r="W984" i="3"/>
  <c r="U984" i="3"/>
  <c r="V984" i="3" s="1"/>
  <c r="S984" i="3"/>
  <c r="T984" i="3" s="1"/>
  <c r="X648" i="3"/>
  <c r="W648" i="3"/>
  <c r="U648" i="3"/>
  <c r="V648" i="3" s="1"/>
  <c r="S648" i="3"/>
  <c r="T648" i="3" s="1"/>
  <c r="X647" i="3"/>
  <c r="W647" i="3"/>
  <c r="U647" i="3"/>
  <c r="V647" i="3" s="1"/>
  <c r="S647" i="3"/>
  <c r="T647" i="3" s="1"/>
  <c r="X1639" i="3"/>
  <c r="W1639" i="3"/>
  <c r="U1639" i="3"/>
  <c r="V1639" i="3" s="1"/>
  <c r="S1639" i="3"/>
  <c r="T1639" i="3" s="1"/>
  <c r="X502" i="3"/>
  <c r="W502" i="3"/>
  <c r="U502" i="3"/>
  <c r="V502" i="3" s="1"/>
  <c r="S502" i="3"/>
  <c r="T502" i="3" s="1"/>
  <c r="X128" i="3"/>
  <c r="W128" i="3"/>
  <c r="U128" i="3"/>
  <c r="V128" i="3" s="1"/>
  <c r="S128" i="3"/>
  <c r="T128" i="3" s="1"/>
  <c r="X1638" i="3"/>
  <c r="W1638" i="3"/>
  <c r="U1638" i="3"/>
  <c r="V1638" i="3" s="1"/>
  <c r="S1638" i="3"/>
  <c r="T1638" i="3" s="1"/>
  <c r="X646" i="3"/>
  <c r="W646" i="3"/>
  <c r="U646" i="3"/>
  <c r="V646" i="3" s="1"/>
  <c r="S646" i="3"/>
  <c r="T646" i="3" s="1"/>
  <c r="X645" i="3"/>
  <c r="W645" i="3"/>
  <c r="U645" i="3"/>
  <c r="V645" i="3" s="1"/>
  <c r="S645" i="3"/>
  <c r="T645" i="3" s="1"/>
  <c r="X1637" i="3"/>
  <c r="W1637" i="3"/>
  <c r="U1637" i="3"/>
  <c r="V1637" i="3" s="1"/>
  <c r="S1637" i="3"/>
  <c r="T1637" i="3" s="1"/>
  <c r="X1636" i="3"/>
  <c r="W1636" i="3"/>
  <c r="U1636" i="3"/>
  <c r="V1636" i="3" s="1"/>
  <c r="S1636" i="3"/>
  <c r="T1636" i="3" s="1"/>
  <c r="X127" i="3"/>
  <c r="W127" i="3"/>
  <c r="U127" i="3"/>
  <c r="V127" i="3" s="1"/>
  <c r="S127" i="3"/>
  <c r="T127" i="3" s="1"/>
  <c r="X126" i="3"/>
  <c r="W126" i="3"/>
  <c r="U126" i="3"/>
  <c r="V126" i="3" s="1"/>
  <c r="S126" i="3"/>
  <c r="T126" i="3" s="1"/>
  <c r="X851" i="3"/>
  <c r="W851" i="3"/>
  <c r="U851" i="3"/>
  <c r="V851" i="3" s="1"/>
  <c r="S851" i="3"/>
  <c r="T851" i="3" s="1"/>
  <c r="X850" i="3"/>
  <c r="W850" i="3"/>
  <c r="U850" i="3"/>
  <c r="V850" i="3" s="1"/>
  <c r="S850" i="3"/>
  <c r="T850" i="3" s="1"/>
  <c r="X501" i="3"/>
  <c r="W501" i="3"/>
  <c r="U501" i="3"/>
  <c r="V501" i="3" s="1"/>
  <c r="S501" i="3"/>
  <c r="T501" i="3" s="1"/>
  <c r="X849" i="3"/>
  <c r="W849" i="3"/>
  <c r="U849" i="3"/>
  <c r="V849" i="3" s="1"/>
  <c r="S849" i="3"/>
  <c r="T849" i="3" s="1"/>
  <c r="X500" i="3"/>
  <c r="W500" i="3"/>
  <c r="U500" i="3"/>
  <c r="V500" i="3" s="1"/>
  <c r="S500" i="3"/>
  <c r="T500" i="3" s="1"/>
  <c r="X848" i="3"/>
  <c r="W848" i="3"/>
  <c r="U848" i="3"/>
  <c r="V848" i="3" s="1"/>
  <c r="S848" i="3"/>
  <c r="T848" i="3" s="1"/>
  <c r="X405" i="3"/>
  <c r="W405" i="3"/>
  <c r="U405" i="3"/>
  <c r="V405" i="3" s="1"/>
  <c r="S405" i="3"/>
  <c r="T405" i="3" s="1"/>
  <c r="X847" i="3"/>
  <c r="W847" i="3"/>
  <c r="U847" i="3"/>
  <c r="V847" i="3" s="1"/>
  <c r="S847" i="3"/>
  <c r="T847" i="3" s="1"/>
  <c r="X846" i="3"/>
  <c r="W846" i="3"/>
  <c r="U846" i="3"/>
  <c r="V846" i="3" s="1"/>
  <c r="S846" i="3"/>
  <c r="T846" i="3" s="1"/>
  <c r="X845" i="3"/>
  <c r="W845" i="3"/>
  <c r="U845" i="3"/>
  <c r="V845" i="3" s="1"/>
  <c r="S845" i="3"/>
  <c r="T845" i="3" s="1"/>
  <c r="X1635" i="3"/>
  <c r="W1635" i="3"/>
  <c r="U1635" i="3"/>
  <c r="V1635" i="3" s="1"/>
  <c r="S1635" i="3"/>
  <c r="T1635" i="3" s="1"/>
  <c r="X644" i="3"/>
  <c r="W644" i="3"/>
  <c r="U644" i="3"/>
  <c r="V644" i="3" s="1"/>
  <c r="S644" i="3"/>
  <c r="T644" i="3" s="1"/>
  <c r="X52" i="3"/>
  <c r="W52" i="3"/>
  <c r="U52" i="3"/>
  <c r="V52" i="3" s="1"/>
  <c r="S52" i="3"/>
  <c r="T52" i="3" s="1"/>
  <c r="X1259" i="3"/>
  <c r="W1259" i="3"/>
  <c r="U1259" i="3"/>
  <c r="V1259" i="3" s="1"/>
  <c r="S1259" i="3"/>
  <c r="T1259" i="3" s="1"/>
  <c r="X499" i="3"/>
  <c r="W499" i="3"/>
  <c r="U499" i="3"/>
  <c r="V499" i="3" s="1"/>
  <c r="S499" i="3"/>
  <c r="T499" i="3" s="1"/>
  <c r="X498" i="3"/>
  <c r="W498" i="3"/>
  <c r="U498" i="3"/>
  <c r="V498" i="3" s="1"/>
  <c r="S498" i="3"/>
  <c r="T498" i="3" s="1"/>
  <c r="X1634" i="3"/>
  <c r="W1634" i="3"/>
  <c r="U1634" i="3"/>
  <c r="V1634" i="3" s="1"/>
  <c r="S1634" i="3"/>
  <c r="T1634" i="3" s="1"/>
  <c r="X844" i="3"/>
  <c r="W844" i="3"/>
  <c r="U844" i="3"/>
  <c r="V844" i="3" s="1"/>
  <c r="S844" i="3"/>
  <c r="T844" i="3" s="1"/>
  <c r="X843" i="3"/>
  <c r="W843" i="3"/>
  <c r="U843" i="3"/>
  <c r="V843" i="3" s="1"/>
  <c r="S843" i="3"/>
  <c r="T843" i="3" s="1"/>
  <c r="X842" i="3"/>
  <c r="W842" i="3"/>
  <c r="U842" i="3"/>
  <c r="V842" i="3" s="1"/>
  <c r="S842" i="3"/>
  <c r="T842" i="3" s="1"/>
  <c r="X497" i="3"/>
  <c r="W497" i="3"/>
  <c r="U497" i="3"/>
  <c r="V497" i="3" s="1"/>
  <c r="S497" i="3"/>
  <c r="T497" i="3" s="1"/>
  <c r="X841" i="3"/>
  <c r="W841" i="3"/>
  <c r="U841" i="3"/>
  <c r="V841" i="3" s="1"/>
  <c r="S841" i="3"/>
  <c r="T841" i="3" s="1"/>
  <c r="X840" i="3"/>
  <c r="W840" i="3"/>
  <c r="U840" i="3"/>
  <c r="V840" i="3" s="1"/>
  <c r="S840" i="3"/>
  <c r="T840" i="3" s="1"/>
  <c r="X219" i="3"/>
  <c r="W219" i="3"/>
  <c r="U219" i="3"/>
  <c r="V219" i="3" s="1"/>
  <c r="S219" i="3"/>
  <c r="T219" i="3" s="1"/>
  <c r="X839" i="3"/>
  <c r="W839" i="3"/>
  <c r="U839" i="3"/>
  <c r="V839" i="3" s="1"/>
  <c r="S839" i="3"/>
  <c r="T839" i="3" s="1"/>
  <c r="X218" i="3"/>
  <c r="W218" i="3"/>
  <c r="U218" i="3"/>
  <c r="V218" i="3" s="1"/>
  <c r="S218" i="3"/>
  <c r="T218" i="3" s="1"/>
  <c r="X217" i="3"/>
  <c r="W217" i="3"/>
  <c r="U217" i="3"/>
  <c r="V217" i="3" s="1"/>
  <c r="S217" i="3"/>
  <c r="T217" i="3" s="1"/>
  <c r="X838" i="3"/>
  <c r="W838" i="3"/>
  <c r="U838" i="3"/>
  <c r="V838" i="3" s="1"/>
  <c r="S838" i="3"/>
  <c r="T838" i="3" s="1"/>
  <c r="X837" i="3"/>
  <c r="W837" i="3"/>
  <c r="U837" i="3"/>
  <c r="V837" i="3" s="1"/>
  <c r="S837" i="3"/>
  <c r="T837" i="3" s="1"/>
  <c r="X836" i="3"/>
  <c r="W836" i="3"/>
  <c r="U836" i="3"/>
  <c r="V836" i="3" s="1"/>
  <c r="S836" i="3"/>
  <c r="T836" i="3" s="1"/>
  <c r="X835" i="3"/>
  <c r="W835" i="3"/>
  <c r="U835" i="3"/>
  <c r="V835" i="3" s="1"/>
  <c r="S835" i="3"/>
  <c r="T835" i="3" s="1"/>
  <c r="X496" i="3"/>
  <c r="W496" i="3"/>
  <c r="U496" i="3"/>
  <c r="V496" i="3" s="1"/>
  <c r="S496" i="3"/>
  <c r="T496" i="3" s="1"/>
  <c r="X834" i="3"/>
  <c r="W834" i="3"/>
  <c r="U834" i="3"/>
  <c r="V834" i="3" s="1"/>
  <c r="S834" i="3"/>
  <c r="T834" i="3" s="1"/>
  <c r="X404" i="3"/>
  <c r="W404" i="3"/>
  <c r="U404" i="3"/>
  <c r="V404" i="3" s="1"/>
  <c r="S404" i="3"/>
  <c r="T404" i="3" s="1"/>
  <c r="X983" i="3"/>
  <c r="W983" i="3"/>
  <c r="U983" i="3"/>
  <c r="V983" i="3" s="1"/>
  <c r="S983" i="3"/>
  <c r="T983" i="3" s="1"/>
  <c r="X495" i="3"/>
  <c r="W495" i="3"/>
  <c r="U495" i="3"/>
  <c r="V495" i="3" s="1"/>
  <c r="S495" i="3"/>
  <c r="T495" i="3" s="1"/>
  <c r="X1633" i="3"/>
  <c r="W1633" i="3"/>
  <c r="U1633" i="3"/>
  <c r="V1633" i="3" s="1"/>
  <c r="S1633" i="3"/>
  <c r="T1633" i="3" s="1"/>
  <c r="X982" i="3"/>
  <c r="W982" i="3"/>
  <c r="U982" i="3"/>
  <c r="V982" i="3" s="1"/>
  <c r="S982" i="3"/>
  <c r="T982" i="3" s="1"/>
  <c r="X1632" i="3"/>
  <c r="W1632" i="3"/>
  <c r="U1632" i="3"/>
  <c r="V1632" i="3" s="1"/>
  <c r="S1632" i="3"/>
  <c r="T1632" i="3" s="1"/>
  <c r="X981" i="3"/>
  <c r="W981" i="3"/>
  <c r="U981" i="3"/>
  <c r="V981" i="3" s="1"/>
  <c r="S981" i="3"/>
  <c r="T981" i="3" s="1"/>
  <c r="X1631" i="3"/>
  <c r="W1631" i="3"/>
  <c r="U1631" i="3"/>
  <c r="V1631" i="3" s="1"/>
  <c r="S1631" i="3"/>
  <c r="T1631" i="3" s="1"/>
  <c r="X216" i="3"/>
  <c r="W216" i="3"/>
  <c r="U216" i="3"/>
  <c r="V216" i="3" s="1"/>
  <c r="S216" i="3"/>
  <c r="T216" i="3" s="1"/>
  <c r="X494" i="3"/>
  <c r="W494" i="3"/>
  <c r="U494" i="3"/>
  <c r="V494" i="3" s="1"/>
  <c r="S494" i="3"/>
  <c r="T494" i="3" s="1"/>
  <c r="X215" i="3"/>
  <c r="W215" i="3"/>
  <c r="U215" i="3"/>
  <c r="V215" i="3" s="1"/>
  <c r="S215" i="3"/>
  <c r="T215" i="3" s="1"/>
  <c r="X214" i="3"/>
  <c r="W214" i="3"/>
  <c r="U214" i="3"/>
  <c r="V214" i="3" s="1"/>
  <c r="S214" i="3"/>
  <c r="T214" i="3" s="1"/>
  <c r="X1630" i="3"/>
  <c r="W1630" i="3"/>
  <c r="U1630" i="3"/>
  <c r="V1630" i="3" s="1"/>
  <c r="S1630" i="3"/>
  <c r="T1630" i="3" s="1"/>
  <c r="X493" i="3"/>
  <c r="W493" i="3"/>
  <c r="U493" i="3"/>
  <c r="V493" i="3" s="1"/>
  <c r="S493" i="3"/>
  <c r="T493" i="3" s="1"/>
  <c r="X980" i="3"/>
  <c r="W980" i="3"/>
  <c r="U980" i="3"/>
  <c r="V980" i="3" s="1"/>
  <c r="S980" i="3"/>
  <c r="T980" i="3" s="1"/>
  <c r="X492" i="3"/>
  <c r="W492" i="3"/>
  <c r="U492" i="3"/>
  <c r="V492" i="3" s="1"/>
  <c r="S492" i="3"/>
  <c r="T492" i="3" s="1"/>
  <c r="X213" i="3"/>
  <c r="W213" i="3"/>
  <c r="U213" i="3"/>
  <c r="V213" i="3" s="1"/>
  <c r="S213" i="3"/>
  <c r="T213" i="3" s="1"/>
  <c r="X491" i="3"/>
  <c r="W491" i="3"/>
  <c r="U491" i="3"/>
  <c r="V491" i="3" s="1"/>
  <c r="S491" i="3"/>
  <c r="T491" i="3" s="1"/>
  <c r="X1258" i="3"/>
  <c r="W1258" i="3"/>
  <c r="U1258" i="3"/>
  <c r="V1258" i="3" s="1"/>
  <c r="S1258" i="3"/>
  <c r="T1258" i="3" s="1"/>
  <c r="X212" i="3"/>
  <c r="W212" i="3"/>
  <c r="U212" i="3"/>
  <c r="V212" i="3" s="1"/>
  <c r="S212" i="3"/>
  <c r="T212" i="3" s="1"/>
  <c r="X979" i="3"/>
  <c r="W979" i="3"/>
  <c r="U979" i="3"/>
  <c r="V979" i="3" s="1"/>
  <c r="S979" i="3"/>
  <c r="T979" i="3" s="1"/>
  <c r="X978" i="3"/>
  <c r="W978" i="3"/>
  <c r="U978" i="3"/>
  <c r="V978" i="3" s="1"/>
  <c r="S978" i="3"/>
  <c r="T978" i="3" s="1"/>
  <c r="X490" i="3"/>
  <c r="W490" i="3"/>
  <c r="U490" i="3"/>
  <c r="V490" i="3" s="1"/>
  <c r="S490" i="3"/>
  <c r="T490" i="3" s="1"/>
  <c r="X489" i="3"/>
  <c r="W489" i="3"/>
  <c r="U489" i="3"/>
  <c r="V489" i="3" s="1"/>
  <c r="S489" i="3"/>
  <c r="T489" i="3" s="1"/>
  <c r="X643" i="3"/>
  <c r="W643" i="3"/>
  <c r="U643" i="3"/>
  <c r="V643" i="3" s="1"/>
  <c r="S643" i="3"/>
  <c r="T643" i="3" s="1"/>
  <c r="X833" i="3"/>
  <c r="W833" i="3"/>
  <c r="U833" i="3"/>
  <c r="V833" i="3" s="1"/>
  <c r="S833" i="3"/>
  <c r="T833" i="3" s="1"/>
  <c r="X1629" i="3"/>
  <c r="W1629" i="3"/>
  <c r="U1629" i="3"/>
  <c r="V1629" i="3" s="1"/>
  <c r="S1629" i="3"/>
  <c r="T1629" i="3" s="1"/>
  <c r="X1257" i="3"/>
  <c r="W1257" i="3"/>
  <c r="U1257" i="3"/>
  <c r="V1257" i="3" s="1"/>
  <c r="S1257" i="3"/>
  <c r="T1257" i="3" s="1"/>
  <c r="X1628" i="3"/>
  <c r="W1628" i="3"/>
  <c r="U1628" i="3"/>
  <c r="V1628" i="3" s="1"/>
  <c r="S1628" i="3"/>
  <c r="T1628" i="3" s="1"/>
  <c r="X1256" i="3"/>
  <c r="W1256" i="3"/>
  <c r="U1256" i="3"/>
  <c r="V1256" i="3" s="1"/>
  <c r="S1256" i="3"/>
  <c r="T1256" i="3" s="1"/>
  <c r="X1627" i="3"/>
  <c r="W1627" i="3"/>
  <c r="U1627" i="3"/>
  <c r="V1627" i="3" s="1"/>
  <c r="S1627" i="3"/>
  <c r="T1627" i="3" s="1"/>
  <c r="X832" i="3"/>
  <c r="W832" i="3"/>
  <c r="U832" i="3"/>
  <c r="V832" i="3" s="1"/>
  <c r="S832" i="3"/>
  <c r="T832" i="3" s="1"/>
  <c r="X1626" i="3"/>
  <c r="W1626" i="3"/>
  <c r="U1626" i="3"/>
  <c r="V1626" i="3" s="1"/>
  <c r="S1626" i="3"/>
  <c r="T1626" i="3" s="1"/>
  <c r="X1255" i="3"/>
  <c r="W1255" i="3"/>
  <c r="U1255" i="3"/>
  <c r="V1255" i="3" s="1"/>
  <c r="S1255" i="3"/>
  <c r="T1255" i="3" s="1"/>
  <c r="X642" i="3"/>
  <c r="W642" i="3"/>
  <c r="U642" i="3"/>
  <c r="V642" i="3" s="1"/>
  <c r="S642" i="3"/>
  <c r="T642" i="3" s="1"/>
  <c r="X977" i="3"/>
  <c r="W977" i="3"/>
  <c r="U977" i="3"/>
  <c r="V977" i="3" s="1"/>
  <c r="S977" i="3"/>
  <c r="T977" i="3" s="1"/>
  <c r="X641" i="3"/>
  <c r="W641" i="3"/>
  <c r="U641" i="3"/>
  <c r="V641" i="3" s="1"/>
  <c r="S641" i="3"/>
  <c r="T641" i="3" s="1"/>
  <c r="X211" i="3"/>
  <c r="W211" i="3"/>
  <c r="U211" i="3"/>
  <c r="V211" i="3" s="1"/>
  <c r="S211" i="3"/>
  <c r="T211" i="3" s="1"/>
  <c r="X640" i="3"/>
  <c r="W640" i="3"/>
  <c r="U640" i="3"/>
  <c r="V640" i="3" s="1"/>
  <c r="S640" i="3"/>
  <c r="T640" i="3" s="1"/>
  <c r="X639" i="3"/>
  <c r="W639" i="3"/>
  <c r="U639" i="3"/>
  <c r="V639" i="3" s="1"/>
  <c r="S639" i="3"/>
  <c r="T639" i="3" s="1"/>
  <c r="X1625" i="3"/>
  <c r="W1625" i="3"/>
  <c r="U1625" i="3"/>
  <c r="V1625" i="3" s="1"/>
  <c r="S1625" i="3"/>
  <c r="T1625" i="3" s="1"/>
  <c r="X638" i="3"/>
  <c r="W638" i="3"/>
  <c r="U638" i="3"/>
  <c r="V638" i="3" s="1"/>
  <c r="S638" i="3"/>
  <c r="T638" i="3" s="1"/>
  <c r="X1254" i="3"/>
  <c r="W1254" i="3"/>
  <c r="U1254" i="3"/>
  <c r="V1254" i="3" s="1"/>
  <c r="S1254" i="3"/>
  <c r="T1254" i="3" s="1"/>
  <c r="X1253" i="3"/>
  <c r="W1253" i="3"/>
  <c r="U1253" i="3"/>
  <c r="V1253" i="3" s="1"/>
  <c r="S1253" i="3"/>
  <c r="T1253" i="3" s="1"/>
  <c r="X125" i="3"/>
  <c r="W125" i="3"/>
  <c r="U125" i="3"/>
  <c r="V125" i="3" s="1"/>
  <c r="S125" i="3"/>
  <c r="T125" i="3" s="1"/>
  <c r="X1624" i="3"/>
  <c r="W1624" i="3"/>
  <c r="U1624" i="3"/>
  <c r="V1624" i="3" s="1"/>
  <c r="S1624" i="3"/>
  <c r="T1624" i="3" s="1"/>
  <c r="X637" i="3"/>
  <c r="W637" i="3"/>
  <c r="U637" i="3"/>
  <c r="V637" i="3" s="1"/>
  <c r="S637" i="3"/>
  <c r="T637" i="3" s="1"/>
  <c r="X636" i="3"/>
  <c r="W636" i="3"/>
  <c r="U636" i="3"/>
  <c r="V636" i="3" s="1"/>
  <c r="S636" i="3"/>
  <c r="T636" i="3" s="1"/>
  <c r="X635" i="3"/>
  <c r="W635" i="3"/>
  <c r="U635" i="3"/>
  <c r="V635" i="3" s="1"/>
  <c r="S635" i="3"/>
  <c r="T635" i="3" s="1"/>
  <c r="X634" i="3"/>
  <c r="W634" i="3"/>
  <c r="U634" i="3"/>
  <c r="V634" i="3" s="1"/>
  <c r="S634" i="3"/>
  <c r="T634" i="3" s="1"/>
  <c r="X488" i="3"/>
  <c r="W488" i="3"/>
  <c r="U488" i="3"/>
  <c r="V488" i="3" s="1"/>
  <c r="S488" i="3"/>
  <c r="T488" i="3" s="1"/>
  <c r="X633" i="3"/>
  <c r="W633" i="3"/>
  <c r="U633" i="3"/>
  <c r="V633" i="3" s="1"/>
  <c r="S633" i="3"/>
  <c r="T633" i="3" s="1"/>
  <c r="X831" i="3"/>
  <c r="W831" i="3"/>
  <c r="U831" i="3"/>
  <c r="V831" i="3" s="1"/>
  <c r="S831" i="3"/>
  <c r="T831" i="3" s="1"/>
  <c r="X632" i="3"/>
  <c r="W632" i="3"/>
  <c r="U632" i="3"/>
  <c r="V632" i="3" s="1"/>
  <c r="S632" i="3"/>
  <c r="T632" i="3" s="1"/>
  <c r="X631" i="3"/>
  <c r="W631" i="3"/>
  <c r="U631" i="3"/>
  <c r="V631" i="3" s="1"/>
  <c r="S631" i="3"/>
  <c r="T631" i="3" s="1"/>
  <c r="X1092" i="3"/>
  <c r="W1092" i="3"/>
  <c r="U1092" i="3"/>
  <c r="V1092" i="3" s="1"/>
  <c r="S1092" i="3"/>
  <c r="T1092" i="3" s="1"/>
  <c r="X1623" i="3"/>
  <c r="W1623" i="3"/>
  <c r="U1623" i="3"/>
  <c r="V1623" i="3" s="1"/>
  <c r="S1623" i="3"/>
  <c r="T1623" i="3" s="1"/>
  <c r="X830" i="3"/>
  <c r="W830" i="3"/>
  <c r="U830" i="3"/>
  <c r="V830" i="3" s="1"/>
  <c r="S830" i="3"/>
  <c r="T830" i="3" s="1"/>
  <c r="X1622" i="3"/>
  <c r="W1622" i="3"/>
  <c r="U1622" i="3"/>
  <c r="V1622" i="3" s="1"/>
  <c r="S1622" i="3"/>
  <c r="T1622" i="3" s="1"/>
  <c r="X1252" i="3"/>
  <c r="W1252" i="3"/>
  <c r="U1252" i="3"/>
  <c r="V1252" i="3" s="1"/>
  <c r="S1252" i="3"/>
  <c r="T1252" i="3" s="1"/>
  <c r="X1251" i="3"/>
  <c r="W1251" i="3"/>
  <c r="U1251" i="3"/>
  <c r="V1251" i="3" s="1"/>
  <c r="S1251" i="3"/>
  <c r="T1251" i="3" s="1"/>
  <c r="X487" i="3"/>
  <c r="W487" i="3"/>
  <c r="U487" i="3"/>
  <c r="V487" i="3" s="1"/>
  <c r="S487" i="3"/>
  <c r="T487" i="3" s="1"/>
  <c r="X486" i="3"/>
  <c r="W486" i="3"/>
  <c r="U486" i="3"/>
  <c r="V486" i="3" s="1"/>
  <c r="S486" i="3"/>
  <c r="T486" i="3" s="1"/>
  <c r="X485" i="3"/>
  <c r="W485" i="3"/>
  <c r="U485" i="3"/>
  <c r="V485" i="3" s="1"/>
  <c r="S485" i="3"/>
  <c r="T485" i="3" s="1"/>
  <c r="X1250" i="3"/>
  <c r="W1250" i="3"/>
  <c r="U1250" i="3"/>
  <c r="V1250" i="3" s="1"/>
  <c r="S1250" i="3"/>
  <c r="T1250" i="3" s="1"/>
  <c r="X1249" i="3"/>
  <c r="W1249" i="3"/>
  <c r="U1249" i="3"/>
  <c r="V1249" i="3" s="1"/>
  <c r="S1249" i="3"/>
  <c r="T1249" i="3" s="1"/>
  <c r="X1248" i="3"/>
  <c r="W1248" i="3"/>
  <c r="U1248" i="3"/>
  <c r="V1248" i="3" s="1"/>
  <c r="S1248" i="3"/>
  <c r="T1248" i="3" s="1"/>
  <c r="X1621" i="3"/>
  <c r="W1621" i="3"/>
  <c r="U1621" i="3"/>
  <c r="V1621" i="3" s="1"/>
  <c r="S1621" i="3"/>
  <c r="T1621" i="3" s="1"/>
  <c r="X403" i="3"/>
  <c r="W403" i="3"/>
  <c r="U403" i="3"/>
  <c r="V403" i="3" s="1"/>
  <c r="S403" i="3"/>
  <c r="T403" i="3" s="1"/>
  <c r="X402" i="3"/>
  <c r="W402" i="3"/>
  <c r="U402" i="3"/>
  <c r="V402" i="3" s="1"/>
  <c r="S402" i="3"/>
  <c r="T402" i="3" s="1"/>
  <c r="X630" i="3"/>
  <c r="W630" i="3"/>
  <c r="U630" i="3"/>
  <c r="V630" i="3" s="1"/>
  <c r="S630" i="3"/>
  <c r="T630" i="3" s="1"/>
  <c r="X1247" i="3"/>
  <c r="W1247" i="3"/>
  <c r="U1247" i="3"/>
  <c r="V1247" i="3" s="1"/>
  <c r="S1247" i="3"/>
  <c r="T1247" i="3" s="1"/>
  <c r="X124" i="3"/>
  <c r="W124" i="3"/>
  <c r="U124" i="3"/>
  <c r="V124" i="3" s="1"/>
  <c r="S124" i="3"/>
  <c r="T124" i="3" s="1"/>
  <c r="X51" i="3"/>
  <c r="W51" i="3"/>
  <c r="U51" i="3"/>
  <c r="V51" i="3" s="1"/>
  <c r="S51" i="3"/>
  <c r="T51" i="3" s="1"/>
  <c r="X976" i="3"/>
  <c r="W976" i="3"/>
  <c r="U976" i="3"/>
  <c r="V976" i="3" s="1"/>
  <c r="S976" i="3"/>
  <c r="T976" i="3" s="1"/>
  <c r="X210" i="3"/>
  <c r="W210" i="3"/>
  <c r="U210" i="3"/>
  <c r="V210" i="3" s="1"/>
  <c r="S210" i="3"/>
  <c r="T210" i="3" s="1"/>
  <c r="X1246" i="3"/>
  <c r="W1246" i="3"/>
  <c r="U1246" i="3"/>
  <c r="V1246" i="3" s="1"/>
  <c r="S1246" i="3"/>
  <c r="T1246" i="3" s="1"/>
  <c r="X1245" i="3"/>
  <c r="W1245" i="3"/>
  <c r="U1245" i="3"/>
  <c r="V1245" i="3" s="1"/>
  <c r="S1245" i="3"/>
  <c r="T1245" i="3" s="1"/>
  <c r="X975" i="3"/>
  <c r="W975" i="3"/>
  <c r="U975" i="3"/>
  <c r="V975" i="3" s="1"/>
  <c r="S975" i="3"/>
  <c r="T975" i="3" s="1"/>
  <c r="X1620" i="3"/>
  <c r="W1620" i="3"/>
  <c r="U1620" i="3"/>
  <c r="V1620" i="3" s="1"/>
  <c r="S1620" i="3"/>
  <c r="T1620" i="3" s="1"/>
  <c r="X401" i="3"/>
  <c r="W401" i="3"/>
  <c r="U401" i="3"/>
  <c r="V401" i="3" s="1"/>
  <c r="S401" i="3"/>
  <c r="T401" i="3" s="1"/>
  <c r="X209" i="3"/>
  <c r="W209" i="3"/>
  <c r="U209" i="3"/>
  <c r="V209" i="3" s="1"/>
  <c r="S209" i="3"/>
  <c r="T209" i="3" s="1"/>
  <c r="X400" i="3"/>
  <c r="W400" i="3"/>
  <c r="U400" i="3"/>
  <c r="V400" i="3" s="1"/>
  <c r="S400" i="3"/>
  <c r="T400" i="3" s="1"/>
  <c r="X1619" i="3"/>
  <c r="W1619" i="3"/>
  <c r="U1619" i="3"/>
  <c r="V1619" i="3" s="1"/>
  <c r="S1619" i="3"/>
  <c r="T1619" i="3" s="1"/>
  <c r="X1618" i="3"/>
  <c r="W1618" i="3"/>
  <c r="U1618" i="3"/>
  <c r="V1618" i="3" s="1"/>
  <c r="S1618" i="3"/>
  <c r="T1618" i="3" s="1"/>
  <c r="X208" i="3"/>
  <c r="W208" i="3"/>
  <c r="U208" i="3"/>
  <c r="V208" i="3" s="1"/>
  <c r="S208" i="3"/>
  <c r="T208" i="3" s="1"/>
  <c r="X1244" i="3"/>
  <c r="W1244" i="3"/>
  <c r="U1244" i="3"/>
  <c r="V1244" i="3" s="1"/>
  <c r="S1244" i="3"/>
  <c r="T1244" i="3" s="1"/>
  <c r="X1617" i="3"/>
  <c r="W1617" i="3"/>
  <c r="U1617" i="3"/>
  <c r="V1617" i="3" s="1"/>
  <c r="S1617" i="3"/>
  <c r="T1617" i="3" s="1"/>
  <c r="X207" i="3"/>
  <c r="W207" i="3"/>
  <c r="U207" i="3"/>
  <c r="V207" i="3" s="1"/>
  <c r="S207" i="3"/>
  <c r="T207" i="3" s="1"/>
  <c r="X1616" i="3"/>
  <c r="W1616" i="3"/>
  <c r="U1616" i="3"/>
  <c r="V1616" i="3" s="1"/>
  <c r="S1616" i="3"/>
  <c r="T1616" i="3" s="1"/>
  <c r="X1091" i="3"/>
  <c r="W1091" i="3"/>
  <c r="U1091" i="3"/>
  <c r="V1091" i="3" s="1"/>
  <c r="S1091" i="3"/>
  <c r="T1091" i="3" s="1"/>
  <c r="X399" i="3"/>
  <c r="W399" i="3"/>
  <c r="U399" i="3"/>
  <c r="V399" i="3" s="1"/>
  <c r="S399" i="3"/>
  <c r="T399" i="3" s="1"/>
  <c r="X1615" i="3"/>
  <c r="W1615" i="3"/>
  <c r="U1615" i="3"/>
  <c r="V1615" i="3" s="1"/>
  <c r="S1615" i="3"/>
  <c r="T1615" i="3" s="1"/>
  <c r="X1090" i="3"/>
  <c r="W1090" i="3"/>
  <c r="U1090" i="3"/>
  <c r="V1090" i="3" s="1"/>
  <c r="S1090" i="3"/>
  <c r="T1090" i="3" s="1"/>
  <c r="X398" i="3"/>
  <c r="W398" i="3"/>
  <c r="U398" i="3"/>
  <c r="V398" i="3" s="1"/>
  <c r="S398" i="3"/>
  <c r="T398" i="3" s="1"/>
  <c r="X397" i="3"/>
  <c r="W397" i="3"/>
  <c r="U397" i="3"/>
  <c r="V397" i="3" s="1"/>
  <c r="S397" i="3"/>
  <c r="T397" i="3" s="1"/>
  <c r="X1614" i="3"/>
  <c r="W1614" i="3"/>
  <c r="U1614" i="3"/>
  <c r="V1614" i="3" s="1"/>
  <c r="S1614" i="3"/>
  <c r="T1614" i="3" s="1"/>
  <c r="X1613" i="3"/>
  <c r="W1613" i="3"/>
  <c r="U1613" i="3"/>
  <c r="V1613" i="3" s="1"/>
  <c r="S1613" i="3"/>
  <c r="T1613" i="3" s="1"/>
  <c r="X1612" i="3"/>
  <c r="W1612" i="3"/>
  <c r="U1612" i="3"/>
  <c r="V1612" i="3" s="1"/>
  <c r="S1612" i="3"/>
  <c r="T1612" i="3" s="1"/>
  <c r="X829" i="3"/>
  <c r="W829" i="3"/>
  <c r="U829" i="3"/>
  <c r="V829" i="3" s="1"/>
  <c r="S829" i="3"/>
  <c r="T829" i="3" s="1"/>
  <c r="X1089" i="3"/>
  <c r="W1089" i="3"/>
  <c r="U1089" i="3"/>
  <c r="V1089" i="3" s="1"/>
  <c r="S1089" i="3"/>
  <c r="T1089" i="3" s="1"/>
  <c r="X1611" i="3"/>
  <c r="W1611" i="3"/>
  <c r="U1611" i="3"/>
  <c r="V1611" i="3" s="1"/>
  <c r="S1611" i="3"/>
  <c r="T1611" i="3" s="1"/>
  <c r="X396" i="3"/>
  <c r="W396" i="3"/>
  <c r="U396" i="3"/>
  <c r="V396" i="3" s="1"/>
  <c r="S396" i="3"/>
  <c r="T396" i="3" s="1"/>
  <c r="X1610" i="3"/>
  <c r="W1610" i="3"/>
  <c r="U1610" i="3"/>
  <c r="V1610" i="3" s="1"/>
  <c r="S1610" i="3"/>
  <c r="T1610" i="3" s="1"/>
  <c r="X629" i="3"/>
  <c r="W629" i="3"/>
  <c r="U629" i="3"/>
  <c r="V629" i="3" s="1"/>
  <c r="S629" i="3"/>
  <c r="T629" i="3" s="1"/>
  <c r="X1088" i="3"/>
  <c r="W1088" i="3"/>
  <c r="U1088" i="3"/>
  <c r="V1088" i="3" s="1"/>
  <c r="S1088" i="3"/>
  <c r="T1088" i="3" s="1"/>
  <c r="X1609" i="3"/>
  <c r="W1609" i="3"/>
  <c r="U1609" i="3"/>
  <c r="V1609" i="3" s="1"/>
  <c r="S1609" i="3"/>
  <c r="T1609" i="3" s="1"/>
  <c r="X50" i="3"/>
  <c r="W50" i="3"/>
  <c r="U50" i="3"/>
  <c r="V50" i="3" s="1"/>
  <c r="S50" i="3"/>
  <c r="T50" i="3" s="1"/>
  <c r="X484" i="3"/>
  <c r="W484" i="3"/>
  <c r="U484" i="3"/>
  <c r="V484" i="3" s="1"/>
  <c r="S484" i="3"/>
  <c r="T484" i="3" s="1"/>
  <c r="X395" i="3"/>
  <c r="W395" i="3"/>
  <c r="U395" i="3"/>
  <c r="V395" i="3" s="1"/>
  <c r="S395" i="3"/>
  <c r="T395" i="3" s="1"/>
  <c r="X1608" i="3"/>
  <c r="W1608" i="3"/>
  <c r="U1608" i="3"/>
  <c r="V1608" i="3" s="1"/>
  <c r="S1608" i="3"/>
  <c r="T1608" i="3" s="1"/>
  <c r="X1607" i="3"/>
  <c r="W1607" i="3"/>
  <c r="U1607" i="3"/>
  <c r="V1607" i="3" s="1"/>
  <c r="S1607" i="3"/>
  <c r="T1607" i="3" s="1"/>
  <c r="X394" i="3"/>
  <c r="W394" i="3"/>
  <c r="U394" i="3"/>
  <c r="V394" i="3" s="1"/>
  <c r="S394" i="3"/>
  <c r="T394" i="3" s="1"/>
  <c r="X1243" i="3"/>
  <c r="W1243" i="3"/>
  <c r="U1243" i="3"/>
  <c r="V1243" i="3" s="1"/>
  <c r="S1243" i="3"/>
  <c r="T1243" i="3" s="1"/>
  <c r="X1606" i="3"/>
  <c r="W1606" i="3"/>
  <c r="U1606" i="3"/>
  <c r="V1606" i="3" s="1"/>
  <c r="S1606" i="3"/>
  <c r="T1606" i="3" s="1"/>
  <c r="X123" i="3"/>
  <c r="W123" i="3"/>
  <c r="U123" i="3"/>
  <c r="V123" i="3" s="1"/>
  <c r="S123" i="3"/>
  <c r="T123" i="3" s="1"/>
  <c r="X974" i="3"/>
  <c r="W974" i="3"/>
  <c r="U974" i="3"/>
  <c r="V974" i="3" s="1"/>
  <c r="S974" i="3"/>
  <c r="T974" i="3" s="1"/>
  <c r="X973" i="3"/>
  <c r="W973" i="3"/>
  <c r="U973" i="3"/>
  <c r="V973" i="3" s="1"/>
  <c r="S973" i="3"/>
  <c r="T973" i="3" s="1"/>
  <c r="X972" i="3"/>
  <c r="W972" i="3"/>
  <c r="U972" i="3"/>
  <c r="V972" i="3" s="1"/>
  <c r="S972" i="3"/>
  <c r="T972" i="3" s="1"/>
  <c r="X1605" i="3"/>
  <c r="W1605" i="3"/>
  <c r="U1605" i="3"/>
  <c r="V1605" i="3" s="1"/>
  <c r="S1605" i="3"/>
  <c r="T1605" i="3" s="1"/>
  <c r="X1604" i="3"/>
  <c r="W1604" i="3"/>
  <c r="U1604" i="3"/>
  <c r="V1604" i="3" s="1"/>
  <c r="S1604" i="3"/>
  <c r="T1604" i="3" s="1"/>
  <c r="X971" i="3"/>
  <c r="W971" i="3"/>
  <c r="U971" i="3"/>
  <c r="V971" i="3" s="1"/>
  <c r="S971" i="3"/>
  <c r="T971" i="3" s="1"/>
  <c r="X49" i="3"/>
  <c r="W49" i="3"/>
  <c r="U49" i="3"/>
  <c r="V49" i="3" s="1"/>
  <c r="S49" i="3"/>
  <c r="T49" i="3" s="1"/>
  <c r="X970" i="3"/>
  <c r="W970" i="3"/>
  <c r="U970" i="3"/>
  <c r="V970" i="3" s="1"/>
  <c r="S970" i="3"/>
  <c r="T970" i="3" s="1"/>
  <c r="X1242" i="3"/>
  <c r="W1242" i="3"/>
  <c r="U1242" i="3"/>
  <c r="V1242" i="3" s="1"/>
  <c r="S1242" i="3"/>
  <c r="T1242" i="3" s="1"/>
  <c r="X393" i="3"/>
  <c r="W393" i="3"/>
  <c r="U393" i="3"/>
  <c r="V393" i="3" s="1"/>
  <c r="S393" i="3"/>
  <c r="T393" i="3" s="1"/>
  <c r="X1603" i="3"/>
  <c r="W1603" i="3"/>
  <c r="U1603" i="3"/>
  <c r="V1603" i="3" s="1"/>
  <c r="S1603" i="3"/>
  <c r="T1603" i="3" s="1"/>
  <c r="X969" i="3"/>
  <c r="W969" i="3"/>
  <c r="U969" i="3"/>
  <c r="V969" i="3" s="1"/>
  <c r="S969" i="3"/>
  <c r="T969" i="3" s="1"/>
  <c r="X1602" i="3"/>
  <c r="W1602" i="3"/>
  <c r="U1602" i="3"/>
  <c r="V1602" i="3" s="1"/>
  <c r="S1602" i="3"/>
  <c r="T1602" i="3" s="1"/>
  <c r="X48" i="3"/>
  <c r="W48" i="3"/>
  <c r="U48" i="3"/>
  <c r="V48" i="3" s="1"/>
  <c r="S48" i="3"/>
  <c r="T48" i="3" s="1"/>
  <c r="X47" i="3"/>
  <c r="W47" i="3"/>
  <c r="U47" i="3"/>
  <c r="V47" i="3" s="1"/>
  <c r="S47" i="3"/>
  <c r="T47" i="3" s="1"/>
  <c r="X1601" i="3"/>
  <c r="W1601" i="3"/>
  <c r="U1601" i="3"/>
  <c r="V1601" i="3" s="1"/>
  <c r="S1601" i="3"/>
  <c r="T1601" i="3" s="1"/>
  <c r="X1600" i="3"/>
  <c r="W1600" i="3"/>
  <c r="U1600" i="3"/>
  <c r="V1600" i="3" s="1"/>
  <c r="S1600" i="3"/>
  <c r="T1600" i="3" s="1"/>
  <c r="X1599" i="3"/>
  <c r="W1599" i="3"/>
  <c r="U1599" i="3"/>
  <c r="V1599" i="3" s="1"/>
  <c r="S1599" i="3"/>
  <c r="T1599" i="3" s="1"/>
  <c r="X1598" i="3"/>
  <c r="W1598" i="3"/>
  <c r="U1598" i="3"/>
  <c r="V1598" i="3" s="1"/>
  <c r="S1598" i="3"/>
  <c r="T1598" i="3" s="1"/>
  <c r="X1597" i="3"/>
  <c r="W1597" i="3"/>
  <c r="U1597" i="3"/>
  <c r="V1597" i="3" s="1"/>
  <c r="S1597" i="3"/>
  <c r="T1597" i="3" s="1"/>
  <c r="X1596" i="3"/>
  <c r="W1596" i="3"/>
  <c r="U1596" i="3"/>
  <c r="V1596" i="3" s="1"/>
  <c r="S1596" i="3"/>
  <c r="T1596" i="3" s="1"/>
  <c r="X1595" i="3"/>
  <c r="W1595" i="3"/>
  <c r="U1595" i="3"/>
  <c r="V1595" i="3" s="1"/>
  <c r="S1595" i="3"/>
  <c r="T1595" i="3" s="1"/>
  <c r="X828" i="3"/>
  <c r="W828" i="3"/>
  <c r="U828" i="3"/>
  <c r="V828" i="3" s="1"/>
  <c r="S828" i="3"/>
  <c r="T828" i="3" s="1"/>
  <c r="X628" i="3"/>
  <c r="W628" i="3"/>
  <c r="U628" i="3"/>
  <c r="V628" i="3" s="1"/>
  <c r="S628" i="3"/>
  <c r="T628" i="3" s="1"/>
  <c r="X827" i="3"/>
  <c r="W827" i="3"/>
  <c r="U827" i="3"/>
  <c r="V827" i="3" s="1"/>
  <c r="S827" i="3"/>
  <c r="T827" i="3" s="1"/>
  <c r="X1594" i="3"/>
  <c r="W1594" i="3"/>
  <c r="U1594" i="3"/>
  <c r="V1594" i="3" s="1"/>
  <c r="S1594" i="3"/>
  <c r="T1594" i="3" s="1"/>
  <c r="X206" i="3"/>
  <c r="W206" i="3"/>
  <c r="U206" i="3"/>
  <c r="V206" i="3" s="1"/>
  <c r="S206" i="3"/>
  <c r="T206" i="3" s="1"/>
  <c r="X205" i="3"/>
  <c r="W205" i="3"/>
  <c r="U205" i="3"/>
  <c r="V205" i="3" s="1"/>
  <c r="S205" i="3"/>
  <c r="T205" i="3" s="1"/>
  <c r="X204" i="3"/>
  <c r="W204" i="3"/>
  <c r="U204" i="3"/>
  <c r="V204" i="3" s="1"/>
  <c r="S204" i="3"/>
  <c r="T204" i="3" s="1"/>
  <c r="X1351" i="3"/>
  <c r="W1351" i="3"/>
  <c r="U1351" i="3"/>
  <c r="V1351" i="3" s="1"/>
  <c r="S1351" i="3"/>
  <c r="T1351" i="3" s="1"/>
  <c r="X1592" i="3"/>
  <c r="W1592" i="3"/>
  <c r="U1592" i="3"/>
  <c r="V1592" i="3" s="1"/>
  <c r="S1592" i="3"/>
  <c r="T1592" i="3" s="1"/>
  <c r="X1591" i="3"/>
  <c r="W1591" i="3"/>
  <c r="U1591" i="3"/>
  <c r="V1591" i="3" s="1"/>
  <c r="S1591" i="3"/>
  <c r="T1591" i="3" s="1"/>
  <c r="X1590" i="3"/>
  <c r="W1590" i="3"/>
  <c r="U1590" i="3"/>
  <c r="V1590" i="3" s="1"/>
  <c r="S1590" i="3"/>
  <c r="T1590" i="3" s="1"/>
  <c r="X1589" i="3"/>
  <c r="W1589" i="3"/>
  <c r="U1589" i="3"/>
  <c r="V1589" i="3" s="1"/>
  <c r="S1589" i="3"/>
  <c r="T1589" i="3" s="1"/>
  <c r="X46" i="3"/>
  <c r="W46" i="3"/>
  <c r="U46" i="3"/>
  <c r="V46" i="3" s="1"/>
  <c r="S46" i="3"/>
  <c r="T46" i="3" s="1"/>
  <c r="X1241" i="3"/>
  <c r="W1241" i="3"/>
  <c r="U1241" i="3"/>
  <c r="V1241" i="3" s="1"/>
  <c r="S1241" i="3"/>
  <c r="T1241" i="3" s="1"/>
  <c r="X1240" i="3"/>
  <c r="W1240" i="3"/>
  <c r="U1240" i="3"/>
  <c r="V1240" i="3" s="1"/>
  <c r="S1240" i="3"/>
  <c r="T1240" i="3" s="1"/>
  <c r="X122" i="3"/>
  <c r="W122" i="3"/>
  <c r="U122" i="3"/>
  <c r="V122" i="3" s="1"/>
  <c r="S122" i="3"/>
  <c r="T122" i="3" s="1"/>
  <c r="X392" i="3"/>
  <c r="W392" i="3"/>
  <c r="U392" i="3"/>
  <c r="V392" i="3" s="1"/>
  <c r="S392" i="3"/>
  <c r="T392" i="3" s="1"/>
  <c r="X1588" i="3"/>
  <c r="W1588" i="3"/>
  <c r="U1588" i="3"/>
  <c r="V1588" i="3" s="1"/>
  <c r="S1588" i="3"/>
  <c r="T1588" i="3" s="1"/>
  <c r="X1587" i="3"/>
  <c r="W1587" i="3"/>
  <c r="U1587" i="3"/>
  <c r="V1587" i="3" s="1"/>
  <c r="S1587" i="3"/>
  <c r="T1587" i="3" s="1"/>
  <c r="X1087" i="3"/>
  <c r="W1087" i="3"/>
  <c r="U1087" i="3"/>
  <c r="V1087" i="3" s="1"/>
  <c r="S1087" i="3"/>
  <c r="T1087" i="3" s="1"/>
  <c r="X627" i="3"/>
  <c r="W627" i="3"/>
  <c r="U627" i="3"/>
  <c r="V627" i="3" s="1"/>
  <c r="S627" i="3"/>
  <c r="T627" i="3" s="1"/>
  <c r="X968" i="3"/>
  <c r="W968" i="3"/>
  <c r="U968" i="3"/>
  <c r="V968" i="3" s="1"/>
  <c r="S968" i="3"/>
  <c r="T968" i="3" s="1"/>
  <c r="X1586" i="3"/>
  <c r="W1586" i="3"/>
  <c r="U1586" i="3"/>
  <c r="V1586" i="3" s="1"/>
  <c r="S1586" i="3"/>
  <c r="T1586" i="3" s="1"/>
  <c r="X1585" i="3"/>
  <c r="W1585" i="3"/>
  <c r="U1585" i="3"/>
  <c r="V1585" i="3" s="1"/>
  <c r="S1585" i="3"/>
  <c r="T1585" i="3" s="1"/>
  <c r="X391" i="3"/>
  <c r="W391" i="3"/>
  <c r="U391" i="3"/>
  <c r="V391" i="3" s="1"/>
  <c r="S391" i="3"/>
  <c r="T391" i="3" s="1"/>
  <c r="X626" i="3"/>
  <c r="W626" i="3"/>
  <c r="U626" i="3"/>
  <c r="V626" i="3" s="1"/>
  <c r="S626" i="3"/>
  <c r="T626" i="3" s="1"/>
  <c r="X1239" i="3"/>
  <c r="W1239" i="3"/>
  <c r="U1239" i="3"/>
  <c r="V1239" i="3" s="1"/>
  <c r="S1239" i="3"/>
  <c r="T1239" i="3" s="1"/>
  <c r="X1238" i="3"/>
  <c r="W1238" i="3"/>
  <c r="U1238" i="3"/>
  <c r="V1238" i="3" s="1"/>
  <c r="S1238" i="3"/>
  <c r="T1238" i="3" s="1"/>
  <c r="X1237" i="3"/>
  <c r="W1237" i="3"/>
  <c r="U1237" i="3"/>
  <c r="V1237" i="3" s="1"/>
  <c r="S1237" i="3"/>
  <c r="T1237" i="3" s="1"/>
  <c r="X483" i="3"/>
  <c r="W483" i="3"/>
  <c r="U483" i="3"/>
  <c r="V483" i="3" s="1"/>
  <c r="S483" i="3"/>
  <c r="T483" i="3" s="1"/>
  <c r="X1584" i="3"/>
  <c r="W1584" i="3"/>
  <c r="U1584" i="3"/>
  <c r="V1584" i="3" s="1"/>
  <c r="S1584" i="3"/>
  <c r="T1584" i="3" s="1"/>
  <c r="X121" i="3"/>
  <c r="W121" i="3"/>
  <c r="U121" i="3"/>
  <c r="V121" i="3" s="1"/>
  <c r="S121" i="3"/>
  <c r="T121" i="3" s="1"/>
  <c r="X967" i="3"/>
  <c r="W967" i="3"/>
  <c r="U967" i="3"/>
  <c r="V967" i="3" s="1"/>
  <c r="S967" i="3"/>
  <c r="T967" i="3" s="1"/>
  <c r="X1236" i="3"/>
  <c r="W1236" i="3"/>
  <c r="U1236" i="3"/>
  <c r="V1236" i="3" s="1"/>
  <c r="S1236" i="3"/>
  <c r="T1236" i="3" s="1"/>
  <c r="X1235" i="3"/>
  <c r="W1235" i="3"/>
  <c r="U1235" i="3"/>
  <c r="V1235" i="3" s="1"/>
  <c r="S1235" i="3"/>
  <c r="T1235" i="3" s="1"/>
  <c r="X1234" i="3"/>
  <c r="W1234" i="3"/>
  <c r="U1234" i="3"/>
  <c r="V1234" i="3" s="1"/>
  <c r="S1234" i="3"/>
  <c r="T1234" i="3" s="1"/>
  <c r="X1583" i="3"/>
  <c r="W1583" i="3"/>
  <c r="U1583" i="3"/>
  <c r="V1583" i="3" s="1"/>
  <c r="S1583" i="3"/>
  <c r="T1583" i="3" s="1"/>
  <c r="X966" i="3"/>
  <c r="W966" i="3"/>
  <c r="U966" i="3"/>
  <c r="V966" i="3" s="1"/>
  <c r="S966" i="3"/>
  <c r="T966" i="3" s="1"/>
  <c r="X1582" i="3"/>
  <c r="W1582" i="3"/>
  <c r="U1582" i="3"/>
  <c r="V1582" i="3" s="1"/>
  <c r="S1582" i="3"/>
  <c r="T1582" i="3" s="1"/>
  <c r="X1581" i="3"/>
  <c r="W1581" i="3"/>
  <c r="U1581" i="3"/>
  <c r="V1581" i="3" s="1"/>
  <c r="S1581" i="3"/>
  <c r="T1581" i="3" s="1"/>
  <c r="X1580" i="3"/>
  <c r="W1580" i="3"/>
  <c r="U1580" i="3"/>
  <c r="V1580" i="3" s="1"/>
  <c r="S1580" i="3"/>
  <c r="T1580" i="3" s="1"/>
  <c r="X965" i="3"/>
  <c r="W965" i="3"/>
  <c r="U965" i="3"/>
  <c r="V965" i="3" s="1"/>
  <c r="S965" i="3"/>
  <c r="T965" i="3" s="1"/>
  <c r="X1233" i="3"/>
  <c r="W1233" i="3"/>
  <c r="U1233" i="3"/>
  <c r="V1233" i="3" s="1"/>
  <c r="S1233" i="3"/>
  <c r="T1233" i="3" s="1"/>
  <c r="X1232" i="3"/>
  <c r="W1232" i="3"/>
  <c r="U1232" i="3"/>
  <c r="V1232" i="3" s="1"/>
  <c r="S1232" i="3"/>
  <c r="T1232" i="3" s="1"/>
  <c r="X1579" i="3"/>
  <c r="W1579" i="3"/>
  <c r="U1579" i="3"/>
  <c r="V1579" i="3" s="1"/>
  <c r="S1579" i="3"/>
  <c r="T1579" i="3" s="1"/>
  <c r="X1578" i="3"/>
  <c r="W1578" i="3"/>
  <c r="U1578" i="3"/>
  <c r="V1578" i="3" s="1"/>
  <c r="S1578" i="3"/>
  <c r="T1578" i="3" s="1"/>
  <c r="X625" i="3"/>
  <c r="W625" i="3"/>
  <c r="U625" i="3"/>
  <c r="V625" i="3" s="1"/>
  <c r="S625" i="3"/>
  <c r="T625" i="3" s="1"/>
  <c r="X45" i="3"/>
  <c r="W45" i="3"/>
  <c r="U45" i="3"/>
  <c r="V45" i="3" s="1"/>
  <c r="S45" i="3"/>
  <c r="T45" i="3" s="1"/>
  <c r="X1577" i="3"/>
  <c r="W1577" i="3"/>
  <c r="U1577" i="3"/>
  <c r="V1577" i="3" s="1"/>
  <c r="S1577" i="3"/>
  <c r="T1577" i="3" s="1"/>
  <c r="X1576" i="3"/>
  <c r="W1576" i="3"/>
  <c r="U1576" i="3"/>
  <c r="V1576" i="3" s="1"/>
  <c r="S1576" i="3"/>
  <c r="T1576" i="3" s="1"/>
  <c r="X1575" i="3"/>
  <c r="W1575" i="3"/>
  <c r="U1575" i="3"/>
  <c r="V1575" i="3" s="1"/>
  <c r="S1575" i="3"/>
  <c r="T1575" i="3" s="1"/>
  <c r="X1574" i="3"/>
  <c r="W1574" i="3"/>
  <c r="U1574" i="3"/>
  <c r="V1574" i="3" s="1"/>
  <c r="S1574" i="3"/>
  <c r="T1574" i="3" s="1"/>
  <c r="X482" i="3"/>
  <c r="W482" i="3"/>
  <c r="U482" i="3"/>
  <c r="V482" i="3" s="1"/>
  <c r="S482" i="3"/>
  <c r="T482" i="3" s="1"/>
  <c r="X1573" i="3"/>
  <c r="W1573" i="3"/>
  <c r="U1573" i="3"/>
  <c r="V1573" i="3" s="1"/>
  <c r="S1573" i="3"/>
  <c r="T1573" i="3" s="1"/>
  <c r="X1572" i="3"/>
  <c r="W1572" i="3"/>
  <c r="U1572" i="3"/>
  <c r="V1572" i="3" s="1"/>
  <c r="S1572" i="3"/>
  <c r="T1572" i="3" s="1"/>
  <c r="X1571" i="3"/>
  <c r="W1571" i="3"/>
  <c r="U1571" i="3"/>
  <c r="V1571" i="3" s="1"/>
  <c r="S1571" i="3"/>
  <c r="T1571" i="3" s="1"/>
  <c r="X390" i="3"/>
  <c r="W390" i="3"/>
  <c r="U390" i="3"/>
  <c r="V390" i="3" s="1"/>
  <c r="S390" i="3"/>
  <c r="T390" i="3" s="1"/>
  <c r="X389" i="3"/>
  <c r="W389" i="3"/>
  <c r="U389" i="3"/>
  <c r="V389" i="3" s="1"/>
  <c r="S389" i="3"/>
  <c r="T389" i="3" s="1"/>
  <c r="X388" i="3"/>
  <c r="W388" i="3"/>
  <c r="U388" i="3"/>
  <c r="V388" i="3" s="1"/>
  <c r="S388" i="3"/>
  <c r="T388" i="3" s="1"/>
  <c r="X44" i="3"/>
  <c r="W44" i="3"/>
  <c r="U44" i="3"/>
  <c r="V44" i="3" s="1"/>
  <c r="S44" i="3"/>
  <c r="T44" i="3" s="1"/>
  <c r="X624" i="3"/>
  <c r="W624" i="3"/>
  <c r="U624" i="3"/>
  <c r="V624" i="3" s="1"/>
  <c r="S624" i="3"/>
  <c r="T624" i="3" s="1"/>
  <c r="X1570" i="3"/>
  <c r="W1570" i="3"/>
  <c r="U1570" i="3"/>
  <c r="V1570" i="3" s="1"/>
  <c r="S1570" i="3"/>
  <c r="T1570" i="3" s="1"/>
  <c r="X623" i="3"/>
  <c r="W623" i="3"/>
  <c r="U623" i="3"/>
  <c r="V623" i="3" s="1"/>
  <c r="S623" i="3"/>
  <c r="T623" i="3" s="1"/>
  <c r="X481" i="3"/>
  <c r="W481" i="3"/>
  <c r="U481" i="3"/>
  <c r="V481" i="3" s="1"/>
  <c r="S481" i="3"/>
  <c r="T481" i="3" s="1"/>
  <c r="X1569" i="3"/>
  <c r="W1569" i="3"/>
  <c r="U1569" i="3"/>
  <c r="V1569" i="3" s="1"/>
  <c r="S1569" i="3"/>
  <c r="T1569" i="3" s="1"/>
  <c r="X1568" i="3"/>
  <c r="W1568" i="3"/>
  <c r="U1568" i="3"/>
  <c r="V1568" i="3" s="1"/>
  <c r="S1568" i="3"/>
  <c r="T1568" i="3" s="1"/>
  <c r="X826" i="3"/>
  <c r="W826" i="3"/>
  <c r="U826" i="3"/>
  <c r="V826" i="3" s="1"/>
  <c r="S826" i="3"/>
  <c r="T826" i="3" s="1"/>
  <c r="X825" i="3"/>
  <c r="W825" i="3"/>
  <c r="U825" i="3"/>
  <c r="V825" i="3" s="1"/>
  <c r="S825" i="3"/>
  <c r="T825" i="3" s="1"/>
  <c r="X824" i="3"/>
  <c r="W824" i="3"/>
  <c r="U824" i="3"/>
  <c r="V824" i="3" s="1"/>
  <c r="S824" i="3"/>
  <c r="T824" i="3" s="1"/>
  <c r="X480" i="3"/>
  <c r="W480" i="3"/>
  <c r="U480" i="3"/>
  <c r="V480" i="3" s="1"/>
  <c r="S480" i="3"/>
  <c r="T480" i="3" s="1"/>
  <c r="X823" i="3"/>
  <c r="W823" i="3"/>
  <c r="U823" i="3"/>
  <c r="V823" i="3" s="1"/>
  <c r="S823" i="3"/>
  <c r="T823" i="3" s="1"/>
  <c r="X622" i="3"/>
  <c r="W622" i="3"/>
  <c r="U622" i="3"/>
  <c r="V622" i="3" s="1"/>
  <c r="S622" i="3"/>
  <c r="T622" i="3" s="1"/>
  <c r="X621" i="3"/>
  <c r="W621" i="3"/>
  <c r="U621" i="3"/>
  <c r="V621" i="3" s="1"/>
  <c r="S621" i="3"/>
  <c r="T621" i="3" s="1"/>
  <c r="X1231" i="3"/>
  <c r="W1231" i="3"/>
  <c r="U1231" i="3"/>
  <c r="V1231" i="3" s="1"/>
  <c r="S1231" i="3"/>
  <c r="T1231" i="3" s="1"/>
  <c r="X620" i="3"/>
  <c r="W620" i="3"/>
  <c r="U620" i="3"/>
  <c r="V620" i="3" s="1"/>
  <c r="S620" i="3"/>
  <c r="T620" i="3" s="1"/>
  <c r="X1230" i="3"/>
  <c r="W1230" i="3"/>
  <c r="U1230" i="3"/>
  <c r="V1230" i="3" s="1"/>
  <c r="S1230" i="3"/>
  <c r="T1230" i="3" s="1"/>
  <c r="X619" i="3"/>
  <c r="W619" i="3"/>
  <c r="U619" i="3"/>
  <c r="V619" i="3" s="1"/>
  <c r="S619" i="3"/>
  <c r="T619" i="3" s="1"/>
  <c r="X1567" i="3"/>
  <c r="W1567" i="3"/>
  <c r="U1567" i="3"/>
  <c r="V1567" i="3" s="1"/>
  <c r="S1567" i="3"/>
  <c r="T1567" i="3" s="1"/>
  <c r="X1566" i="3"/>
  <c r="W1566" i="3"/>
  <c r="U1566" i="3"/>
  <c r="V1566" i="3" s="1"/>
  <c r="S1566" i="3"/>
  <c r="T1566" i="3" s="1"/>
  <c r="X479" i="3"/>
  <c r="W479" i="3"/>
  <c r="U479" i="3"/>
  <c r="V479" i="3" s="1"/>
  <c r="S479" i="3"/>
  <c r="T479" i="3" s="1"/>
  <c r="X1229" i="3"/>
  <c r="W1229" i="3"/>
  <c r="U1229" i="3"/>
  <c r="V1229" i="3" s="1"/>
  <c r="S1229" i="3"/>
  <c r="T1229" i="3" s="1"/>
  <c r="X1228" i="3"/>
  <c r="W1228" i="3"/>
  <c r="U1228" i="3"/>
  <c r="V1228" i="3" s="1"/>
  <c r="S1228" i="3"/>
  <c r="T1228" i="3" s="1"/>
  <c r="X1086" i="3"/>
  <c r="W1086" i="3"/>
  <c r="U1086" i="3"/>
  <c r="V1086" i="3" s="1"/>
  <c r="S1086" i="3"/>
  <c r="T1086" i="3" s="1"/>
  <c r="X467" i="3"/>
  <c r="W467" i="3"/>
  <c r="U467" i="3"/>
  <c r="V467" i="3" s="1"/>
  <c r="S467" i="3"/>
  <c r="T467" i="3" s="1"/>
  <c r="X387" i="3"/>
  <c r="W387" i="3"/>
  <c r="U387" i="3"/>
  <c r="V387" i="3" s="1"/>
  <c r="S387" i="3"/>
  <c r="T387" i="3" s="1"/>
  <c r="X43" i="3"/>
  <c r="W43" i="3"/>
  <c r="U43" i="3"/>
  <c r="V43" i="3" s="1"/>
  <c r="S43" i="3"/>
  <c r="T43" i="3" s="1"/>
  <c r="X120" i="3"/>
  <c r="W120" i="3"/>
  <c r="U120" i="3"/>
  <c r="V120" i="3" s="1"/>
  <c r="S120" i="3"/>
  <c r="T120" i="3" s="1"/>
  <c r="X386" i="3"/>
  <c r="W386" i="3"/>
  <c r="U386" i="3"/>
  <c r="V386" i="3" s="1"/>
  <c r="S386" i="3"/>
  <c r="T386" i="3" s="1"/>
  <c r="X963" i="3"/>
  <c r="W963" i="3"/>
  <c r="U963" i="3"/>
  <c r="V963" i="3" s="1"/>
  <c r="S963" i="3"/>
  <c r="T963" i="3" s="1"/>
  <c r="X618" i="3"/>
  <c r="W618" i="3"/>
  <c r="U618" i="3"/>
  <c r="V618" i="3" s="1"/>
  <c r="S618" i="3"/>
  <c r="T618" i="3" s="1"/>
  <c r="X1565" i="3"/>
  <c r="W1565" i="3"/>
  <c r="U1565" i="3"/>
  <c r="V1565" i="3" s="1"/>
  <c r="S1565" i="3"/>
  <c r="T1565" i="3" s="1"/>
  <c r="X822" i="3"/>
  <c r="W822" i="3"/>
  <c r="U822" i="3"/>
  <c r="V822" i="3" s="1"/>
  <c r="S822" i="3"/>
  <c r="T822" i="3" s="1"/>
  <c r="X1564" i="3"/>
  <c r="W1564" i="3"/>
  <c r="U1564" i="3"/>
  <c r="V1564" i="3" s="1"/>
  <c r="S1564" i="3"/>
  <c r="T1564" i="3" s="1"/>
  <c r="X203" i="3"/>
  <c r="W203" i="3"/>
  <c r="U203" i="3"/>
  <c r="V203" i="3" s="1"/>
  <c r="S203" i="3"/>
  <c r="T203" i="3" s="1"/>
  <c r="X478" i="3"/>
  <c r="W478" i="3"/>
  <c r="U478" i="3"/>
  <c r="V478" i="3" s="1"/>
  <c r="S478" i="3"/>
  <c r="T478" i="3" s="1"/>
  <c r="X1563" i="3"/>
  <c r="W1563" i="3"/>
  <c r="U1563" i="3"/>
  <c r="V1563" i="3" s="1"/>
  <c r="S1563" i="3"/>
  <c r="T1563" i="3" s="1"/>
  <c r="X1776" i="3"/>
  <c r="W1776" i="3"/>
  <c r="U1776" i="3"/>
  <c r="V1776" i="3" s="1"/>
  <c r="S1776" i="3"/>
  <c r="T1776" i="3" s="1"/>
  <c r="X42" i="3"/>
  <c r="W42" i="3"/>
  <c r="U42" i="3"/>
  <c r="V42" i="3" s="1"/>
  <c r="S42" i="3"/>
  <c r="T42" i="3" s="1"/>
  <c r="X41" i="3"/>
  <c r="W41" i="3"/>
  <c r="U41" i="3"/>
  <c r="V41" i="3" s="1"/>
  <c r="S41" i="3"/>
  <c r="T41" i="3" s="1"/>
  <c r="X40" i="3"/>
  <c r="W40" i="3"/>
  <c r="U40" i="3"/>
  <c r="V40" i="3" s="1"/>
  <c r="S40" i="3"/>
  <c r="T40" i="3" s="1"/>
  <c r="X821" i="3"/>
  <c r="W821" i="3"/>
  <c r="U821" i="3"/>
  <c r="V821" i="3" s="1"/>
  <c r="S821" i="3"/>
  <c r="T821" i="3" s="1"/>
  <c r="X39" i="3"/>
  <c r="W39" i="3"/>
  <c r="U39" i="3"/>
  <c r="V39" i="3" s="1"/>
  <c r="S39" i="3"/>
  <c r="T39" i="3" s="1"/>
  <c r="X820" i="3"/>
  <c r="W820" i="3"/>
  <c r="U820" i="3"/>
  <c r="V820" i="3" s="1"/>
  <c r="S820" i="3"/>
  <c r="T820" i="3" s="1"/>
  <c r="X1227" i="3"/>
  <c r="W1227" i="3"/>
  <c r="U1227" i="3"/>
  <c r="V1227" i="3" s="1"/>
  <c r="S1227" i="3"/>
  <c r="T1227" i="3" s="1"/>
  <c r="X962" i="3"/>
  <c r="W962" i="3"/>
  <c r="U962" i="3"/>
  <c r="V962" i="3" s="1"/>
  <c r="S962" i="3"/>
  <c r="T962" i="3" s="1"/>
  <c r="X38" i="3"/>
  <c r="W38" i="3"/>
  <c r="U38" i="3"/>
  <c r="V38" i="3" s="1"/>
  <c r="S38" i="3"/>
  <c r="T38" i="3" s="1"/>
  <c r="X37" i="3"/>
  <c r="W37" i="3"/>
  <c r="U37" i="3"/>
  <c r="V37" i="3" s="1"/>
  <c r="S37" i="3"/>
  <c r="T37" i="3" s="1"/>
  <c r="X36" i="3"/>
  <c r="W36" i="3"/>
  <c r="U36" i="3"/>
  <c r="V36" i="3" s="1"/>
  <c r="S36" i="3"/>
  <c r="T36" i="3" s="1"/>
  <c r="X617" i="3"/>
  <c r="W617" i="3"/>
  <c r="U617" i="3"/>
  <c r="V617" i="3" s="1"/>
  <c r="S617" i="3"/>
  <c r="T617" i="3" s="1"/>
  <c r="X385" i="3"/>
  <c r="W385" i="3"/>
  <c r="U385" i="3"/>
  <c r="V385" i="3" s="1"/>
  <c r="S385" i="3"/>
  <c r="T385" i="3" s="1"/>
  <c r="X384" i="3"/>
  <c r="W384" i="3"/>
  <c r="U384" i="3"/>
  <c r="V384" i="3" s="1"/>
  <c r="S384" i="3"/>
  <c r="T384" i="3" s="1"/>
  <c r="X819" i="3"/>
  <c r="W819" i="3"/>
  <c r="U819" i="3"/>
  <c r="V819" i="3" s="1"/>
  <c r="S819" i="3"/>
  <c r="T819" i="3" s="1"/>
  <c r="X616" i="3"/>
  <c r="W616" i="3"/>
  <c r="U616" i="3"/>
  <c r="V616" i="3" s="1"/>
  <c r="S616" i="3"/>
  <c r="T616" i="3" s="1"/>
  <c r="X1562" i="3"/>
  <c r="W1562" i="3"/>
  <c r="U1562" i="3"/>
  <c r="V1562" i="3" s="1"/>
  <c r="S1562" i="3"/>
  <c r="T1562" i="3" s="1"/>
  <c r="X1561" i="3"/>
  <c r="W1561" i="3"/>
  <c r="U1561" i="3"/>
  <c r="V1561" i="3" s="1"/>
  <c r="S1561" i="3"/>
  <c r="T1561" i="3" s="1"/>
  <c r="X1560" i="3"/>
  <c r="W1560" i="3"/>
  <c r="U1560" i="3"/>
  <c r="V1560" i="3" s="1"/>
  <c r="S1560" i="3"/>
  <c r="T1560" i="3" s="1"/>
  <c r="X1559" i="3"/>
  <c r="W1559" i="3"/>
  <c r="U1559" i="3"/>
  <c r="V1559" i="3" s="1"/>
  <c r="S1559" i="3"/>
  <c r="T1559" i="3" s="1"/>
  <c r="X35" i="3"/>
  <c r="W35" i="3"/>
  <c r="U35" i="3"/>
  <c r="V35" i="3" s="1"/>
  <c r="S35" i="3"/>
  <c r="T35" i="3" s="1"/>
  <c r="X1558" i="3"/>
  <c r="W1558" i="3"/>
  <c r="U1558" i="3"/>
  <c r="V1558" i="3" s="1"/>
  <c r="S1558" i="3"/>
  <c r="T1558" i="3" s="1"/>
  <c r="X1557" i="3"/>
  <c r="W1557" i="3"/>
  <c r="U1557" i="3"/>
  <c r="V1557" i="3" s="1"/>
  <c r="S1557" i="3"/>
  <c r="T1557" i="3" s="1"/>
  <c r="X1556" i="3"/>
  <c r="W1556" i="3"/>
  <c r="U1556" i="3"/>
  <c r="V1556" i="3" s="1"/>
  <c r="S1556" i="3"/>
  <c r="T1556" i="3" s="1"/>
  <c r="X615" i="3"/>
  <c r="W615" i="3"/>
  <c r="U615" i="3"/>
  <c r="V615" i="3" s="1"/>
  <c r="S615" i="3"/>
  <c r="T615" i="3" s="1"/>
  <c r="X818" i="3"/>
  <c r="W818" i="3"/>
  <c r="U818" i="3"/>
  <c r="V818" i="3" s="1"/>
  <c r="S818" i="3"/>
  <c r="T818" i="3" s="1"/>
  <c r="X1555" i="3"/>
  <c r="W1555" i="3"/>
  <c r="U1555" i="3"/>
  <c r="V1555" i="3" s="1"/>
  <c r="S1555" i="3"/>
  <c r="T1555" i="3" s="1"/>
  <c r="X1554" i="3"/>
  <c r="W1554" i="3"/>
  <c r="U1554" i="3"/>
  <c r="V1554" i="3" s="1"/>
  <c r="S1554" i="3"/>
  <c r="T1554" i="3" s="1"/>
  <c r="X383" i="3"/>
  <c r="W383" i="3"/>
  <c r="U383" i="3"/>
  <c r="V383" i="3" s="1"/>
  <c r="S383" i="3"/>
  <c r="T383" i="3" s="1"/>
  <c r="X1553" i="3"/>
  <c r="W1553" i="3"/>
  <c r="U1553" i="3"/>
  <c r="V1553" i="3" s="1"/>
  <c r="S1553" i="3"/>
  <c r="T1553" i="3" s="1"/>
  <c r="X1552" i="3"/>
  <c r="W1552" i="3"/>
  <c r="U1552" i="3"/>
  <c r="V1552" i="3" s="1"/>
  <c r="S1552" i="3"/>
  <c r="T1552" i="3" s="1"/>
  <c r="X1551" i="3"/>
  <c r="W1551" i="3"/>
  <c r="U1551" i="3"/>
  <c r="V1551" i="3" s="1"/>
  <c r="S1551" i="3"/>
  <c r="T1551" i="3" s="1"/>
  <c r="X1550" i="3"/>
  <c r="W1550" i="3"/>
  <c r="U1550" i="3"/>
  <c r="V1550" i="3" s="1"/>
  <c r="S1550" i="3"/>
  <c r="T1550" i="3" s="1"/>
  <c r="X817" i="3"/>
  <c r="W817" i="3"/>
  <c r="U817" i="3"/>
  <c r="V817" i="3" s="1"/>
  <c r="S817" i="3"/>
  <c r="T817" i="3" s="1"/>
  <c r="X119" i="3"/>
  <c r="W119" i="3"/>
  <c r="U119" i="3"/>
  <c r="V119" i="3" s="1"/>
  <c r="S119" i="3"/>
  <c r="T119" i="3" s="1"/>
  <c r="X1549" i="3"/>
  <c r="W1549" i="3"/>
  <c r="U1549" i="3"/>
  <c r="V1549" i="3" s="1"/>
  <c r="S1549" i="3"/>
  <c r="T1549" i="3" s="1"/>
  <c r="X1226" i="3"/>
  <c r="W1226" i="3"/>
  <c r="U1226" i="3"/>
  <c r="V1226" i="3" s="1"/>
  <c r="S1226" i="3"/>
  <c r="T1226" i="3" s="1"/>
  <c r="X1548" i="3"/>
  <c r="W1548" i="3"/>
  <c r="U1548" i="3"/>
  <c r="V1548" i="3" s="1"/>
  <c r="S1548" i="3"/>
  <c r="T1548" i="3" s="1"/>
  <c r="X382" i="3"/>
  <c r="W382" i="3"/>
  <c r="U382" i="3"/>
  <c r="V382" i="3" s="1"/>
  <c r="S382" i="3"/>
  <c r="T382" i="3" s="1"/>
  <c r="X1547" i="3"/>
  <c r="W1547" i="3"/>
  <c r="U1547" i="3"/>
  <c r="V1547" i="3" s="1"/>
  <c r="S1547" i="3"/>
  <c r="T1547" i="3" s="1"/>
  <c r="X1546" i="3"/>
  <c r="W1546" i="3"/>
  <c r="U1546" i="3"/>
  <c r="V1546" i="3" s="1"/>
  <c r="S1546" i="3"/>
  <c r="T1546" i="3" s="1"/>
  <c r="X1545" i="3"/>
  <c r="W1545" i="3"/>
  <c r="U1545" i="3"/>
  <c r="V1545" i="3" s="1"/>
  <c r="S1545" i="3"/>
  <c r="T1545" i="3" s="1"/>
  <c r="X614" i="3"/>
  <c r="W614" i="3"/>
  <c r="U614" i="3"/>
  <c r="V614" i="3" s="1"/>
  <c r="S614" i="3"/>
  <c r="T614" i="3" s="1"/>
  <c r="X613" i="3"/>
  <c r="W613" i="3"/>
  <c r="U613" i="3"/>
  <c r="V613" i="3" s="1"/>
  <c r="S613" i="3"/>
  <c r="T613" i="3" s="1"/>
  <c r="X381" i="3"/>
  <c r="W381" i="3"/>
  <c r="U381" i="3"/>
  <c r="V381" i="3" s="1"/>
  <c r="S381" i="3"/>
  <c r="T381" i="3" s="1"/>
  <c r="X1544" i="3"/>
  <c r="W1544" i="3"/>
  <c r="U1544" i="3"/>
  <c r="V1544" i="3" s="1"/>
  <c r="S1544" i="3"/>
  <c r="T1544" i="3" s="1"/>
  <c r="X612" i="3"/>
  <c r="W612" i="3"/>
  <c r="U612" i="3"/>
  <c r="V612" i="3" s="1"/>
  <c r="S612" i="3"/>
  <c r="T612" i="3" s="1"/>
  <c r="X34" i="3"/>
  <c r="W34" i="3"/>
  <c r="U34" i="3"/>
  <c r="V34" i="3" s="1"/>
  <c r="S34" i="3"/>
  <c r="T34" i="3" s="1"/>
  <c r="X1543" i="3"/>
  <c r="W1543" i="3"/>
  <c r="U1543" i="3"/>
  <c r="V1543" i="3" s="1"/>
  <c r="S1543" i="3"/>
  <c r="T1543" i="3" s="1"/>
  <c r="X1542" i="3"/>
  <c r="W1542" i="3"/>
  <c r="U1542" i="3"/>
  <c r="V1542" i="3" s="1"/>
  <c r="S1542" i="3"/>
  <c r="T1542" i="3" s="1"/>
  <c r="X1541" i="3"/>
  <c r="W1541" i="3"/>
  <c r="U1541" i="3"/>
  <c r="V1541" i="3" s="1"/>
  <c r="S1541" i="3"/>
  <c r="T1541" i="3" s="1"/>
  <c r="X816" i="3"/>
  <c r="W816" i="3"/>
  <c r="U816" i="3"/>
  <c r="V816" i="3" s="1"/>
  <c r="S816" i="3"/>
  <c r="T816" i="3" s="1"/>
  <c r="X476" i="3"/>
  <c r="W476" i="3"/>
  <c r="U476" i="3"/>
  <c r="V476" i="3" s="1"/>
  <c r="S476" i="3"/>
  <c r="T476" i="3" s="1"/>
  <c r="X1540" i="3"/>
  <c r="W1540" i="3"/>
  <c r="U1540" i="3"/>
  <c r="V1540" i="3" s="1"/>
  <c r="S1540" i="3"/>
  <c r="T1540" i="3" s="1"/>
  <c r="X1539" i="3"/>
  <c r="W1539" i="3"/>
  <c r="U1539" i="3"/>
  <c r="V1539" i="3" s="1"/>
  <c r="S1539" i="3"/>
  <c r="T1539" i="3" s="1"/>
  <c r="X1538" i="3"/>
  <c r="W1538" i="3"/>
  <c r="U1538" i="3"/>
  <c r="V1538" i="3" s="1"/>
  <c r="S1538" i="3"/>
  <c r="T1538" i="3" s="1"/>
  <c r="X380" i="3"/>
  <c r="W380" i="3"/>
  <c r="U380" i="3"/>
  <c r="V380" i="3" s="1"/>
  <c r="S380" i="3"/>
  <c r="T380" i="3" s="1"/>
  <c r="X611" i="3"/>
  <c r="W611" i="3"/>
  <c r="U611" i="3"/>
  <c r="V611" i="3" s="1"/>
  <c r="S611" i="3"/>
  <c r="T611" i="3" s="1"/>
  <c r="X1225" i="3"/>
  <c r="W1225" i="3"/>
  <c r="U1225" i="3"/>
  <c r="V1225" i="3" s="1"/>
  <c r="S1225" i="3"/>
  <c r="T1225" i="3" s="1"/>
  <c r="X610" i="3"/>
  <c r="W610" i="3"/>
  <c r="U610" i="3"/>
  <c r="V610" i="3" s="1"/>
  <c r="S610" i="3"/>
  <c r="T610" i="3" s="1"/>
  <c r="X202" i="3"/>
  <c r="W202" i="3"/>
  <c r="U202" i="3"/>
  <c r="V202" i="3" s="1"/>
  <c r="S202" i="3"/>
  <c r="T202" i="3" s="1"/>
  <c r="X201" i="3"/>
  <c r="W201" i="3"/>
  <c r="U201" i="3"/>
  <c r="V201" i="3" s="1"/>
  <c r="S201" i="3"/>
  <c r="T201" i="3" s="1"/>
  <c r="X200" i="3"/>
  <c r="W200" i="3"/>
  <c r="U200" i="3"/>
  <c r="V200" i="3" s="1"/>
  <c r="S200" i="3"/>
  <c r="T200" i="3" s="1"/>
  <c r="X199" i="3"/>
  <c r="W199" i="3"/>
  <c r="U199" i="3"/>
  <c r="V199" i="3" s="1"/>
  <c r="S199" i="3"/>
  <c r="T199" i="3" s="1"/>
  <c r="X198" i="3"/>
  <c r="W198" i="3"/>
  <c r="U198" i="3"/>
  <c r="V198" i="3" s="1"/>
  <c r="S198" i="3"/>
  <c r="T198" i="3" s="1"/>
  <c r="X118" i="3"/>
  <c r="W118" i="3"/>
  <c r="U118" i="3"/>
  <c r="V118" i="3" s="1"/>
  <c r="S118" i="3"/>
  <c r="T118" i="3" s="1"/>
  <c r="X1537" i="3"/>
  <c r="W1537" i="3"/>
  <c r="U1537" i="3"/>
  <c r="V1537" i="3" s="1"/>
  <c r="S1537" i="3"/>
  <c r="T1537" i="3" s="1"/>
  <c r="X197" i="3"/>
  <c r="W197" i="3"/>
  <c r="U197" i="3"/>
  <c r="V197" i="3" s="1"/>
  <c r="S197" i="3"/>
  <c r="T197" i="3" s="1"/>
  <c r="X815" i="3"/>
  <c r="W815" i="3"/>
  <c r="U815" i="3"/>
  <c r="V815" i="3" s="1"/>
  <c r="S815" i="3"/>
  <c r="T815" i="3" s="1"/>
  <c r="X961" i="3"/>
  <c r="W961" i="3"/>
  <c r="U961" i="3"/>
  <c r="V961" i="3" s="1"/>
  <c r="S961" i="3"/>
  <c r="T961" i="3" s="1"/>
  <c r="X379" i="3"/>
  <c r="W379" i="3"/>
  <c r="U379" i="3"/>
  <c r="V379" i="3" s="1"/>
  <c r="S379" i="3"/>
  <c r="T379" i="3" s="1"/>
  <c r="X378" i="3"/>
  <c r="W378" i="3"/>
  <c r="U378" i="3"/>
  <c r="V378" i="3" s="1"/>
  <c r="S378" i="3"/>
  <c r="T378" i="3" s="1"/>
  <c r="X117" i="3"/>
  <c r="W117" i="3"/>
  <c r="U117" i="3"/>
  <c r="V117" i="3" s="1"/>
  <c r="S117" i="3"/>
  <c r="T117" i="3" s="1"/>
  <c r="X196" i="3"/>
  <c r="W196" i="3"/>
  <c r="U196" i="3"/>
  <c r="V196" i="3" s="1"/>
  <c r="S196" i="3"/>
  <c r="T196" i="3" s="1"/>
  <c r="X1224" i="3"/>
  <c r="W1224" i="3"/>
  <c r="U1224" i="3"/>
  <c r="V1224" i="3" s="1"/>
  <c r="S1224" i="3"/>
  <c r="T1224" i="3" s="1"/>
  <c r="X1223" i="3"/>
  <c r="W1223" i="3"/>
  <c r="U1223" i="3"/>
  <c r="V1223" i="3" s="1"/>
  <c r="S1223" i="3"/>
  <c r="T1223" i="3" s="1"/>
  <c r="X195" i="3"/>
  <c r="W195" i="3"/>
  <c r="U195" i="3"/>
  <c r="V195" i="3" s="1"/>
  <c r="S195" i="3"/>
  <c r="T195" i="3" s="1"/>
  <c r="X194" i="3"/>
  <c r="W194" i="3"/>
  <c r="U194" i="3"/>
  <c r="V194" i="3" s="1"/>
  <c r="S194" i="3"/>
  <c r="T194" i="3" s="1"/>
  <c r="X193" i="3"/>
  <c r="W193" i="3"/>
  <c r="U193" i="3"/>
  <c r="V193" i="3" s="1"/>
  <c r="S193" i="3"/>
  <c r="T193" i="3" s="1"/>
  <c r="X192" i="3"/>
  <c r="W192" i="3"/>
  <c r="U192" i="3"/>
  <c r="V192" i="3" s="1"/>
  <c r="S192" i="3"/>
  <c r="T192" i="3" s="1"/>
  <c r="X377" i="3"/>
  <c r="W377" i="3"/>
  <c r="U377" i="3"/>
  <c r="V377" i="3" s="1"/>
  <c r="S377" i="3"/>
  <c r="T377" i="3" s="1"/>
  <c r="X191" i="3"/>
  <c r="W191" i="3"/>
  <c r="U191" i="3"/>
  <c r="V191" i="3" s="1"/>
  <c r="S191" i="3"/>
  <c r="T191" i="3" s="1"/>
  <c r="X1536" i="3"/>
  <c r="W1536" i="3"/>
  <c r="U1536" i="3"/>
  <c r="V1536" i="3" s="1"/>
  <c r="S1536" i="3"/>
  <c r="T1536" i="3" s="1"/>
  <c r="X1535" i="3"/>
  <c r="W1535" i="3"/>
  <c r="U1535" i="3"/>
  <c r="V1535" i="3" s="1"/>
  <c r="S1535" i="3"/>
  <c r="T1535" i="3" s="1"/>
  <c r="X609" i="3"/>
  <c r="W609" i="3"/>
  <c r="U609" i="3"/>
  <c r="V609" i="3" s="1"/>
  <c r="S609" i="3"/>
  <c r="T609" i="3" s="1"/>
  <c r="X608" i="3"/>
  <c r="W608" i="3"/>
  <c r="U608" i="3"/>
  <c r="V608" i="3" s="1"/>
  <c r="S608" i="3"/>
  <c r="T608" i="3" s="1"/>
  <c r="X607" i="3"/>
  <c r="W607" i="3"/>
  <c r="U607" i="3"/>
  <c r="V607" i="3" s="1"/>
  <c r="S607" i="3"/>
  <c r="T607" i="3" s="1"/>
  <c r="X606" i="3"/>
  <c r="W606" i="3"/>
  <c r="U606" i="3"/>
  <c r="V606" i="3" s="1"/>
  <c r="S606" i="3"/>
  <c r="T606" i="3" s="1"/>
  <c r="X605" i="3"/>
  <c r="W605" i="3"/>
  <c r="U605" i="3"/>
  <c r="V605" i="3" s="1"/>
  <c r="S605" i="3"/>
  <c r="T605" i="3" s="1"/>
  <c r="X604" i="3"/>
  <c r="W604" i="3"/>
  <c r="U604" i="3"/>
  <c r="V604" i="3" s="1"/>
  <c r="S604" i="3"/>
  <c r="T604" i="3" s="1"/>
  <c r="X603" i="3"/>
  <c r="W603" i="3"/>
  <c r="U603" i="3"/>
  <c r="V603" i="3" s="1"/>
  <c r="S603" i="3"/>
  <c r="T603" i="3" s="1"/>
  <c r="X602" i="3"/>
  <c r="W602" i="3"/>
  <c r="U602" i="3"/>
  <c r="V602" i="3" s="1"/>
  <c r="S602" i="3"/>
  <c r="T602" i="3" s="1"/>
  <c r="X601" i="3"/>
  <c r="W601" i="3"/>
  <c r="U601" i="3"/>
  <c r="V601" i="3" s="1"/>
  <c r="S601" i="3"/>
  <c r="T601" i="3" s="1"/>
  <c r="X600" i="3"/>
  <c r="W600" i="3"/>
  <c r="U600" i="3"/>
  <c r="V600" i="3" s="1"/>
  <c r="S600" i="3"/>
  <c r="T600" i="3" s="1"/>
  <c r="X599" i="3"/>
  <c r="W599" i="3"/>
  <c r="U599" i="3"/>
  <c r="V599" i="3" s="1"/>
  <c r="S599" i="3"/>
  <c r="T599" i="3" s="1"/>
  <c r="X376" i="3"/>
  <c r="W376" i="3"/>
  <c r="U376" i="3"/>
  <c r="V376" i="3" s="1"/>
  <c r="S376" i="3"/>
  <c r="T376" i="3" s="1"/>
  <c r="X475" i="3"/>
  <c r="W475" i="3"/>
  <c r="U475" i="3"/>
  <c r="V475" i="3" s="1"/>
  <c r="S475" i="3"/>
  <c r="T475" i="3" s="1"/>
  <c r="X375" i="3"/>
  <c r="W375" i="3"/>
  <c r="U375" i="3"/>
  <c r="V375" i="3" s="1"/>
  <c r="S375" i="3"/>
  <c r="T375" i="3" s="1"/>
  <c r="X960" i="3"/>
  <c r="W960" i="3"/>
  <c r="U960" i="3"/>
  <c r="V960" i="3" s="1"/>
  <c r="S960" i="3"/>
  <c r="T960" i="3" s="1"/>
  <c r="X1222" i="3"/>
  <c r="W1222" i="3"/>
  <c r="U1222" i="3"/>
  <c r="V1222" i="3" s="1"/>
  <c r="S1222" i="3"/>
  <c r="T1222" i="3" s="1"/>
  <c r="X190" i="3"/>
  <c r="W190" i="3"/>
  <c r="U190" i="3"/>
  <c r="V190" i="3" s="1"/>
  <c r="S190" i="3"/>
  <c r="T190" i="3" s="1"/>
  <c r="X1534" i="3"/>
  <c r="W1534" i="3"/>
  <c r="U1534" i="3"/>
  <c r="V1534" i="3" s="1"/>
  <c r="S1534" i="3"/>
  <c r="T1534" i="3" s="1"/>
  <c r="X959" i="3"/>
  <c r="W959" i="3"/>
  <c r="U959" i="3"/>
  <c r="V959" i="3" s="1"/>
  <c r="S959" i="3"/>
  <c r="T959" i="3" s="1"/>
  <c r="X116" i="3"/>
  <c r="W116" i="3"/>
  <c r="U116" i="3"/>
  <c r="V116" i="3" s="1"/>
  <c r="S116" i="3"/>
  <c r="T116" i="3" s="1"/>
  <c r="X189" i="3"/>
  <c r="W189" i="3"/>
  <c r="U189" i="3"/>
  <c r="V189" i="3" s="1"/>
  <c r="S189" i="3"/>
  <c r="T189" i="3" s="1"/>
  <c r="X1221" i="3"/>
  <c r="W1221" i="3"/>
  <c r="U1221" i="3"/>
  <c r="V1221" i="3" s="1"/>
  <c r="S1221" i="3"/>
  <c r="T1221" i="3" s="1"/>
  <c r="X1220" i="3"/>
  <c r="W1220" i="3"/>
  <c r="U1220" i="3"/>
  <c r="V1220" i="3" s="1"/>
  <c r="S1220" i="3"/>
  <c r="T1220" i="3" s="1"/>
  <c r="X474" i="3"/>
  <c r="W474" i="3"/>
  <c r="U474" i="3"/>
  <c r="V474" i="3" s="1"/>
  <c r="S474" i="3"/>
  <c r="T474" i="3" s="1"/>
  <c r="X188" i="3"/>
  <c r="W188" i="3"/>
  <c r="U188" i="3"/>
  <c r="V188" i="3" s="1"/>
  <c r="S188" i="3"/>
  <c r="T188" i="3" s="1"/>
  <c r="X187" i="3"/>
  <c r="W187" i="3"/>
  <c r="U187" i="3"/>
  <c r="V187" i="3" s="1"/>
  <c r="S187" i="3"/>
  <c r="T187" i="3" s="1"/>
  <c r="X186" i="3"/>
  <c r="W186" i="3"/>
  <c r="U186" i="3"/>
  <c r="V186" i="3" s="1"/>
  <c r="S186" i="3"/>
  <c r="T186" i="3" s="1"/>
  <c r="X1533" i="3"/>
  <c r="W1533" i="3"/>
  <c r="U1533" i="3"/>
  <c r="V1533" i="3" s="1"/>
  <c r="S1533" i="3"/>
  <c r="T1533" i="3" s="1"/>
  <c r="X115" i="3"/>
  <c r="W115" i="3"/>
  <c r="U115" i="3"/>
  <c r="V115" i="3" s="1"/>
  <c r="S115" i="3"/>
  <c r="T115" i="3" s="1"/>
  <c r="X1219" i="3"/>
  <c r="W1219" i="3"/>
  <c r="U1219" i="3"/>
  <c r="V1219" i="3" s="1"/>
  <c r="S1219" i="3"/>
  <c r="T1219" i="3" s="1"/>
  <c r="X1218" i="3"/>
  <c r="W1218" i="3"/>
  <c r="U1218" i="3"/>
  <c r="V1218" i="3" s="1"/>
  <c r="S1218" i="3"/>
  <c r="T1218" i="3" s="1"/>
  <c r="X598" i="3"/>
  <c r="W598" i="3"/>
  <c r="U598" i="3"/>
  <c r="V598" i="3" s="1"/>
  <c r="S598" i="3"/>
  <c r="T598" i="3" s="1"/>
  <c r="X597" i="3"/>
  <c r="W597" i="3"/>
  <c r="U597" i="3"/>
  <c r="V597" i="3" s="1"/>
  <c r="S597" i="3"/>
  <c r="T597" i="3" s="1"/>
  <c r="X1085" i="3"/>
  <c r="W1085" i="3"/>
  <c r="U1085" i="3"/>
  <c r="V1085" i="3" s="1"/>
  <c r="S1085" i="3"/>
  <c r="T1085" i="3" s="1"/>
  <c r="X1217" i="3"/>
  <c r="W1217" i="3"/>
  <c r="U1217" i="3"/>
  <c r="V1217" i="3" s="1"/>
  <c r="S1217" i="3"/>
  <c r="T1217" i="3" s="1"/>
  <c r="X596" i="3"/>
  <c r="W596" i="3"/>
  <c r="U596" i="3"/>
  <c r="V596" i="3" s="1"/>
  <c r="S596" i="3"/>
  <c r="T596" i="3" s="1"/>
  <c r="X33" i="3"/>
  <c r="W33" i="3"/>
  <c r="U33" i="3"/>
  <c r="V33" i="3" s="1"/>
  <c r="S33" i="3"/>
  <c r="T33" i="3" s="1"/>
  <c r="X595" i="3"/>
  <c r="W595" i="3"/>
  <c r="U595" i="3"/>
  <c r="V595" i="3" s="1"/>
  <c r="S595" i="3"/>
  <c r="T595" i="3" s="1"/>
  <c r="X1216" i="3"/>
  <c r="W1216" i="3"/>
  <c r="U1216" i="3"/>
  <c r="V1216" i="3" s="1"/>
  <c r="S1216" i="3"/>
  <c r="T1216" i="3" s="1"/>
  <c r="X1215" i="3"/>
  <c r="W1215" i="3"/>
  <c r="U1215" i="3"/>
  <c r="V1215" i="3" s="1"/>
  <c r="S1215" i="3"/>
  <c r="T1215" i="3" s="1"/>
  <c r="X1214" i="3"/>
  <c r="W1214" i="3"/>
  <c r="U1214" i="3"/>
  <c r="V1214" i="3" s="1"/>
  <c r="S1214" i="3"/>
  <c r="T1214" i="3" s="1"/>
  <c r="X114" i="3"/>
  <c r="W114" i="3"/>
  <c r="U114" i="3"/>
  <c r="V114" i="3" s="1"/>
  <c r="S114" i="3"/>
  <c r="T114" i="3" s="1"/>
  <c r="X958" i="3"/>
  <c r="W958" i="3"/>
  <c r="U958" i="3"/>
  <c r="V958" i="3" s="1"/>
  <c r="S958" i="3"/>
  <c r="T958" i="3" s="1"/>
  <c r="X957" i="3"/>
  <c r="W957" i="3"/>
  <c r="U957" i="3"/>
  <c r="V957" i="3" s="1"/>
  <c r="S957" i="3"/>
  <c r="T957" i="3" s="1"/>
  <c r="X956" i="3"/>
  <c r="W956" i="3"/>
  <c r="U956" i="3"/>
  <c r="V956" i="3" s="1"/>
  <c r="S956" i="3"/>
  <c r="T956" i="3" s="1"/>
  <c r="X374" i="3"/>
  <c r="W374" i="3"/>
  <c r="U374" i="3"/>
  <c r="V374" i="3" s="1"/>
  <c r="S374" i="3"/>
  <c r="T374" i="3" s="1"/>
  <c r="X1084" i="3"/>
  <c r="W1084" i="3"/>
  <c r="U1084" i="3"/>
  <c r="V1084" i="3" s="1"/>
  <c r="S1084" i="3"/>
  <c r="T1084" i="3" s="1"/>
  <c r="X1083" i="3"/>
  <c r="W1083" i="3"/>
  <c r="U1083" i="3"/>
  <c r="V1083" i="3" s="1"/>
  <c r="S1083" i="3"/>
  <c r="T1083" i="3" s="1"/>
  <c r="X1213" i="3"/>
  <c r="W1213" i="3"/>
  <c r="U1213" i="3"/>
  <c r="V1213" i="3" s="1"/>
  <c r="S1213" i="3"/>
  <c r="T1213" i="3" s="1"/>
  <c r="X373" i="3"/>
  <c r="W373" i="3"/>
  <c r="U373" i="3"/>
  <c r="V373" i="3" s="1"/>
  <c r="S373" i="3"/>
  <c r="T373" i="3" s="1"/>
  <c r="X1082" i="3"/>
  <c r="W1082" i="3"/>
  <c r="U1082" i="3"/>
  <c r="V1082" i="3" s="1"/>
  <c r="S1082" i="3"/>
  <c r="T1082" i="3" s="1"/>
  <c r="X1532" i="3"/>
  <c r="W1532" i="3"/>
  <c r="U1532" i="3"/>
  <c r="V1532" i="3" s="1"/>
  <c r="S1532" i="3"/>
  <c r="T1532" i="3" s="1"/>
  <c r="X372" i="3"/>
  <c r="W372" i="3"/>
  <c r="U372" i="3"/>
  <c r="V372" i="3" s="1"/>
  <c r="S372" i="3"/>
  <c r="T372" i="3" s="1"/>
  <c r="X594" i="3"/>
  <c r="W594" i="3"/>
  <c r="U594" i="3"/>
  <c r="V594" i="3" s="1"/>
  <c r="S594" i="3"/>
  <c r="T594" i="3" s="1"/>
  <c r="X1531" i="3"/>
  <c r="W1531" i="3"/>
  <c r="U1531" i="3"/>
  <c r="V1531" i="3" s="1"/>
  <c r="S1531" i="3"/>
  <c r="T1531" i="3" s="1"/>
  <c r="X1081" i="3"/>
  <c r="W1081" i="3"/>
  <c r="U1081" i="3"/>
  <c r="V1081" i="3" s="1"/>
  <c r="S1081" i="3"/>
  <c r="T1081" i="3" s="1"/>
  <c r="X814" i="3"/>
  <c r="W814" i="3"/>
  <c r="U814" i="3"/>
  <c r="V814" i="3" s="1"/>
  <c r="S814" i="3"/>
  <c r="T814" i="3" s="1"/>
  <c r="X813" i="3"/>
  <c r="W813" i="3"/>
  <c r="U813" i="3"/>
  <c r="V813" i="3" s="1"/>
  <c r="S813" i="3"/>
  <c r="T813" i="3" s="1"/>
  <c r="X1530" i="3"/>
  <c r="W1530" i="3"/>
  <c r="U1530" i="3"/>
  <c r="V1530" i="3" s="1"/>
  <c r="S1530" i="3"/>
  <c r="T1530" i="3" s="1"/>
  <c r="X1529" i="3"/>
  <c r="W1529" i="3"/>
  <c r="U1529" i="3"/>
  <c r="V1529" i="3" s="1"/>
  <c r="S1529" i="3"/>
  <c r="T1529" i="3" s="1"/>
  <c r="X1080" i="3"/>
  <c r="W1080" i="3"/>
  <c r="U1080" i="3"/>
  <c r="V1080" i="3" s="1"/>
  <c r="S1080" i="3"/>
  <c r="T1080" i="3" s="1"/>
  <c r="X955" i="3"/>
  <c r="W955" i="3"/>
  <c r="U955" i="3"/>
  <c r="V955" i="3" s="1"/>
  <c r="S955" i="3"/>
  <c r="T955" i="3" s="1"/>
  <c r="X1528" i="3"/>
  <c r="W1528" i="3"/>
  <c r="U1528" i="3"/>
  <c r="V1528" i="3" s="1"/>
  <c r="S1528" i="3"/>
  <c r="T1528" i="3" s="1"/>
  <c r="X1527" i="3"/>
  <c r="W1527" i="3"/>
  <c r="U1527" i="3"/>
  <c r="V1527" i="3" s="1"/>
  <c r="S1527" i="3"/>
  <c r="T1527" i="3" s="1"/>
  <c r="X32" i="3"/>
  <c r="W32" i="3"/>
  <c r="U32" i="3"/>
  <c r="V32" i="3" s="1"/>
  <c r="S32" i="3"/>
  <c r="T32" i="3" s="1"/>
  <c r="X185" i="3"/>
  <c r="W185" i="3"/>
  <c r="U185" i="3"/>
  <c r="V185" i="3" s="1"/>
  <c r="S185" i="3"/>
  <c r="T185" i="3" s="1"/>
  <c r="X1212" i="3"/>
  <c r="W1212" i="3"/>
  <c r="U1212" i="3"/>
  <c r="V1212" i="3" s="1"/>
  <c r="S1212" i="3"/>
  <c r="T1212" i="3" s="1"/>
  <c r="X1526" i="3"/>
  <c r="W1526" i="3"/>
  <c r="U1526" i="3"/>
  <c r="V1526" i="3" s="1"/>
  <c r="S1526" i="3"/>
  <c r="T1526" i="3" s="1"/>
  <c r="X1211" i="3"/>
  <c r="W1211" i="3"/>
  <c r="U1211" i="3"/>
  <c r="V1211" i="3" s="1"/>
  <c r="S1211" i="3"/>
  <c r="T1211" i="3" s="1"/>
  <c r="X812" i="3"/>
  <c r="W812" i="3"/>
  <c r="U812" i="3"/>
  <c r="V812" i="3" s="1"/>
  <c r="S812" i="3"/>
  <c r="T812" i="3" s="1"/>
  <c r="X113" i="3"/>
  <c r="W113" i="3"/>
  <c r="U113" i="3"/>
  <c r="V113" i="3" s="1"/>
  <c r="S113" i="3"/>
  <c r="T113" i="3" s="1"/>
  <c r="X31" i="3"/>
  <c r="W31" i="3"/>
  <c r="U31" i="3"/>
  <c r="V31" i="3" s="1"/>
  <c r="S31" i="3"/>
  <c r="T31" i="3" s="1"/>
  <c r="X1210" i="3"/>
  <c r="W1210" i="3"/>
  <c r="U1210" i="3"/>
  <c r="V1210" i="3" s="1"/>
  <c r="S1210" i="3"/>
  <c r="T1210" i="3" s="1"/>
  <c r="X473" i="3"/>
  <c r="W473" i="3"/>
  <c r="U473" i="3"/>
  <c r="V473" i="3" s="1"/>
  <c r="S473" i="3"/>
  <c r="T473" i="3" s="1"/>
  <c r="X472" i="3"/>
  <c r="W472" i="3"/>
  <c r="U472" i="3"/>
  <c r="V472" i="3" s="1"/>
  <c r="S472" i="3"/>
  <c r="T472" i="3" s="1"/>
  <c r="X1525" i="3"/>
  <c r="W1525" i="3"/>
  <c r="U1525" i="3"/>
  <c r="V1525" i="3" s="1"/>
  <c r="S1525" i="3"/>
  <c r="T1525" i="3" s="1"/>
  <c r="X1524" i="3"/>
  <c r="W1524" i="3"/>
  <c r="U1524" i="3"/>
  <c r="V1524" i="3" s="1"/>
  <c r="S1524" i="3"/>
  <c r="T1524" i="3" s="1"/>
  <c r="X1523" i="3"/>
  <c r="W1523" i="3"/>
  <c r="U1523" i="3"/>
  <c r="V1523" i="3" s="1"/>
  <c r="S1523" i="3"/>
  <c r="T1523" i="3" s="1"/>
  <c r="X1522" i="3"/>
  <c r="W1522" i="3"/>
  <c r="U1522" i="3"/>
  <c r="V1522" i="3" s="1"/>
  <c r="S1522" i="3"/>
  <c r="T1522" i="3" s="1"/>
  <c r="X1521" i="3"/>
  <c r="W1521" i="3"/>
  <c r="U1521" i="3"/>
  <c r="V1521" i="3" s="1"/>
  <c r="S1521" i="3"/>
  <c r="T1521" i="3" s="1"/>
  <c r="X1520" i="3"/>
  <c r="W1520" i="3"/>
  <c r="U1520" i="3"/>
  <c r="V1520" i="3" s="1"/>
  <c r="S1520" i="3"/>
  <c r="T1520" i="3" s="1"/>
  <c r="X371" i="3"/>
  <c r="W371" i="3"/>
  <c r="U371" i="3"/>
  <c r="V371" i="3" s="1"/>
  <c r="S371" i="3"/>
  <c r="T371" i="3" s="1"/>
  <c r="X1519" i="3"/>
  <c r="W1519" i="3"/>
  <c r="U1519" i="3"/>
  <c r="V1519" i="3" s="1"/>
  <c r="S1519" i="3"/>
  <c r="T1519" i="3" s="1"/>
  <c r="X1518" i="3"/>
  <c r="W1518" i="3"/>
  <c r="U1518" i="3"/>
  <c r="V1518" i="3" s="1"/>
  <c r="S1518" i="3"/>
  <c r="T1518" i="3" s="1"/>
  <c r="X1517" i="3"/>
  <c r="W1517" i="3"/>
  <c r="U1517" i="3"/>
  <c r="V1517" i="3" s="1"/>
  <c r="S1517" i="3"/>
  <c r="T1517" i="3" s="1"/>
  <c r="X1516" i="3"/>
  <c r="W1516" i="3"/>
  <c r="U1516" i="3"/>
  <c r="V1516" i="3" s="1"/>
  <c r="S1516" i="3"/>
  <c r="T1516" i="3" s="1"/>
  <c r="X30" i="3"/>
  <c r="W30" i="3"/>
  <c r="U30" i="3"/>
  <c r="V30" i="3" s="1"/>
  <c r="S30" i="3"/>
  <c r="T30" i="3" s="1"/>
  <c r="X471" i="3"/>
  <c r="W471" i="3"/>
  <c r="U471" i="3"/>
  <c r="V471" i="3" s="1"/>
  <c r="S471" i="3"/>
  <c r="T471" i="3" s="1"/>
  <c r="X1515" i="3"/>
  <c r="W1515" i="3"/>
  <c r="U1515" i="3"/>
  <c r="V1515" i="3" s="1"/>
  <c r="S1515" i="3"/>
  <c r="T1515" i="3" s="1"/>
  <c r="X1514" i="3"/>
  <c r="W1514" i="3"/>
  <c r="U1514" i="3"/>
  <c r="V1514" i="3" s="1"/>
  <c r="S1514" i="3"/>
  <c r="T1514" i="3" s="1"/>
  <c r="X1513" i="3"/>
  <c r="W1513" i="3"/>
  <c r="U1513" i="3"/>
  <c r="V1513" i="3" s="1"/>
  <c r="S1513" i="3"/>
  <c r="T1513" i="3" s="1"/>
  <c r="X1512" i="3"/>
  <c r="W1512" i="3"/>
  <c r="U1512" i="3"/>
  <c r="V1512" i="3" s="1"/>
  <c r="S1512" i="3"/>
  <c r="T1512" i="3" s="1"/>
  <c r="X954" i="3"/>
  <c r="W954" i="3"/>
  <c r="U954" i="3"/>
  <c r="V954" i="3" s="1"/>
  <c r="S954" i="3"/>
  <c r="T954" i="3" s="1"/>
  <c r="X1511" i="3"/>
  <c r="W1511" i="3"/>
  <c r="U1511" i="3"/>
  <c r="V1511" i="3" s="1"/>
  <c r="S1511" i="3"/>
  <c r="T1511" i="3" s="1"/>
  <c r="X1209" i="3"/>
  <c r="W1209" i="3"/>
  <c r="U1209" i="3"/>
  <c r="V1209" i="3" s="1"/>
  <c r="S1209" i="3"/>
  <c r="T1209" i="3" s="1"/>
  <c r="X593" i="3"/>
  <c r="W593" i="3"/>
  <c r="U593" i="3"/>
  <c r="V593" i="3" s="1"/>
  <c r="S593" i="3"/>
  <c r="T593" i="3" s="1"/>
  <c r="X29" i="3"/>
  <c r="W29" i="3"/>
  <c r="U29" i="3"/>
  <c r="V29" i="3" s="1"/>
  <c r="S29" i="3"/>
  <c r="T29" i="3" s="1"/>
  <c r="X28" i="3"/>
  <c r="W28" i="3"/>
  <c r="U28" i="3"/>
  <c r="V28" i="3" s="1"/>
  <c r="S28" i="3"/>
  <c r="T28" i="3" s="1"/>
  <c r="X1079" i="3"/>
  <c r="W1079" i="3"/>
  <c r="U1079" i="3"/>
  <c r="V1079" i="3" s="1"/>
  <c r="S1079" i="3"/>
  <c r="T1079" i="3" s="1"/>
  <c r="X27" i="3"/>
  <c r="W27" i="3"/>
  <c r="U27" i="3"/>
  <c r="V27" i="3" s="1"/>
  <c r="S27" i="3"/>
  <c r="T27" i="3" s="1"/>
  <c r="X370" i="3"/>
  <c r="W370" i="3"/>
  <c r="U370" i="3"/>
  <c r="V370" i="3" s="1"/>
  <c r="S370" i="3"/>
  <c r="T370" i="3" s="1"/>
  <c r="X592" i="3"/>
  <c r="W592" i="3"/>
  <c r="U592" i="3"/>
  <c r="V592" i="3" s="1"/>
  <c r="S592" i="3"/>
  <c r="T592" i="3" s="1"/>
  <c r="X112" i="3"/>
  <c r="W112" i="3"/>
  <c r="U112" i="3"/>
  <c r="V112" i="3" s="1"/>
  <c r="S112" i="3"/>
  <c r="T112" i="3" s="1"/>
  <c r="X111" i="3"/>
  <c r="W111" i="3"/>
  <c r="U111" i="3"/>
  <c r="V111" i="3" s="1"/>
  <c r="S111" i="3"/>
  <c r="T111" i="3" s="1"/>
  <c r="X369" i="3"/>
  <c r="W369" i="3"/>
  <c r="U369" i="3"/>
  <c r="V369" i="3" s="1"/>
  <c r="S369" i="3"/>
  <c r="T369" i="3" s="1"/>
  <c r="X1208" i="3"/>
  <c r="W1208" i="3"/>
  <c r="U1208" i="3"/>
  <c r="V1208" i="3" s="1"/>
  <c r="S1208" i="3"/>
  <c r="T1208" i="3" s="1"/>
  <c r="X368" i="3"/>
  <c r="W368" i="3"/>
  <c r="U368" i="3"/>
  <c r="V368" i="3" s="1"/>
  <c r="S368" i="3"/>
  <c r="T368" i="3" s="1"/>
  <c r="X591" i="3"/>
  <c r="W591" i="3"/>
  <c r="U591" i="3"/>
  <c r="V591" i="3" s="1"/>
  <c r="S591" i="3"/>
  <c r="T591" i="3" s="1"/>
  <c r="X1207" i="3"/>
  <c r="W1207" i="3"/>
  <c r="U1207" i="3"/>
  <c r="V1207" i="3" s="1"/>
  <c r="S1207" i="3"/>
  <c r="T1207" i="3" s="1"/>
  <c r="X1510" i="3"/>
  <c r="W1510" i="3"/>
  <c r="U1510" i="3"/>
  <c r="V1510" i="3" s="1"/>
  <c r="S1510" i="3"/>
  <c r="T1510" i="3" s="1"/>
  <c r="X1509" i="3"/>
  <c r="W1509" i="3"/>
  <c r="U1509" i="3"/>
  <c r="V1509" i="3" s="1"/>
  <c r="S1509" i="3"/>
  <c r="T1509" i="3" s="1"/>
  <c r="X1508" i="3"/>
  <c r="W1508" i="3"/>
  <c r="U1508" i="3"/>
  <c r="V1508" i="3" s="1"/>
  <c r="S1508" i="3"/>
  <c r="T1508" i="3" s="1"/>
  <c r="X1078" i="3"/>
  <c r="W1078" i="3"/>
  <c r="U1078" i="3"/>
  <c r="V1078" i="3" s="1"/>
  <c r="S1078" i="3"/>
  <c r="T1078" i="3" s="1"/>
  <c r="X1206" i="3"/>
  <c r="W1206" i="3"/>
  <c r="U1206" i="3"/>
  <c r="V1206" i="3" s="1"/>
  <c r="S1206" i="3"/>
  <c r="T1206" i="3" s="1"/>
  <c r="X811" i="3"/>
  <c r="W811" i="3"/>
  <c r="U811" i="3"/>
  <c r="V811" i="3" s="1"/>
  <c r="S811" i="3"/>
  <c r="T811" i="3" s="1"/>
  <c r="X1205" i="3"/>
  <c r="W1205" i="3"/>
  <c r="U1205" i="3"/>
  <c r="V1205" i="3" s="1"/>
  <c r="S1205" i="3"/>
  <c r="T1205" i="3" s="1"/>
  <c r="X1077" i="3"/>
  <c r="W1077" i="3"/>
  <c r="U1077" i="3"/>
  <c r="V1077" i="3" s="1"/>
  <c r="S1077" i="3"/>
  <c r="T1077" i="3" s="1"/>
  <c r="X1507" i="3"/>
  <c r="W1507" i="3"/>
  <c r="U1507" i="3"/>
  <c r="V1507" i="3" s="1"/>
  <c r="S1507" i="3"/>
  <c r="T1507" i="3" s="1"/>
  <c r="X1204" i="3"/>
  <c r="W1204" i="3"/>
  <c r="U1204" i="3"/>
  <c r="V1204" i="3" s="1"/>
  <c r="S1204" i="3"/>
  <c r="T1204" i="3" s="1"/>
  <c r="X470" i="3"/>
  <c r="W470" i="3"/>
  <c r="U470" i="3"/>
  <c r="V470" i="3" s="1"/>
  <c r="S470" i="3"/>
  <c r="T470" i="3" s="1"/>
  <c r="X590" i="3"/>
  <c r="W590" i="3"/>
  <c r="U590" i="3"/>
  <c r="V590" i="3" s="1"/>
  <c r="S590" i="3"/>
  <c r="T590" i="3" s="1"/>
  <c r="X1506" i="3"/>
  <c r="W1506" i="3"/>
  <c r="U1506" i="3"/>
  <c r="V1506" i="3" s="1"/>
  <c r="S1506" i="3"/>
  <c r="T1506" i="3" s="1"/>
  <c r="X1203" i="3"/>
  <c r="W1203" i="3"/>
  <c r="U1203" i="3"/>
  <c r="V1203" i="3" s="1"/>
  <c r="S1203" i="3"/>
  <c r="T1203" i="3" s="1"/>
  <c r="X1202" i="3"/>
  <c r="W1202" i="3"/>
  <c r="U1202" i="3"/>
  <c r="V1202" i="3" s="1"/>
  <c r="S1202" i="3"/>
  <c r="T1202" i="3" s="1"/>
  <c r="X367" i="3"/>
  <c r="W367" i="3"/>
  <c r="U367" i="3"/>
  <c r="V367" i="3" s="1"/>
  <c r="S367" i="3"/>
  <c r="T367" i="3" s="1"/>
  <c r="X810" i="3"/>
  <c r="W810" i="3"/>
  <c r="U810" i="3"/>
  <c r="V810" i="3" s="1"/>
  <c r="S810" i="3"/>
  <c r="T810" i="3" s="1"/>
  <c r="X366" i="3"/>
  <c r="W366" i="3"/>
  <c r="U366" i="3"/>
  <c r="V366" i="3" s="1"/>
  <c r="S366" i="3"/>
  <c r="T366" i="3" s="1"/>
  <c r="X110" i="3"/>
  <c r="W110" i="3"/>
  <c r="U110" i="3"/>
  <c r="V110" i="3" s="1"/>
  <c r="S110" i="3"/>
  <c r="T110" i="3" s="1"/>
  <c r="X589" i="3"/>
  <c r="W589" i="3"/>
  <c r="U589" i="3"/>
  <c r="V589" i="3" s="1"/>
  <c r="S589" i="3"/>
  <c r="T589" i="3" s="1"/>
  <c r="X809" i="3"/>
  <c r="W809" i="3"/>
  <c r="U809" i="3"/>
  <c r="V809" i="3" s="1"/>
  <c r="S809" i="3"/>
  <c r="T809" i="3" s="1"/>
  <c r="X109" i="3"/>
  <c r="W109" i="3"/>
  <c r="U109" i="3"/>
  <c r="V109" i="3" s="1"/>
  <c r="S109" i="3"/>
  <c r="T109" i="3" s="1"/>
  <c r="X953" i="3"/>
  <c r="W953" i="3"/>
  <c r="U953" i="3"/>
  <c r="V953" i="3" s="1"/>
  <c r="S953" i="3"/>
  <c r="T953" i="3" s="1"/>
  <c r="X1076" i="3"/>
  <c r="W1076" i="3"/>
  <c r="U1076" i="3"/>
  <c r="V1076" i="3" s="1"/>
  <c r="S1076" i="3"/>
  <c r="T1076" i="3" s="1"/>
  <c r="X588" i="3"/>
  <c r="W588" i="3"/>
  <c r="U588" i="3"/>
  <c r="V588" i="3" s="1"/>
  <c r="S588" i="3"/>
  <c r="T588" i="3" s="1"/>
  <c r="X184" i="3"/>
  <c r="W184" i="3"/>
  <c r="U184" i="3"/>
  <c r="V184" i="3" s="1"/>
  <c r="S184" i="3"/>
  <c r="T184" i="3" s="1"/>
  <c r="X1201" i="3"/>
  <c r="W1201" i="3"/>
  <c r="U1201" i="3"/>
  <c r="V1201" i="3" s="1"/>
  <c r="S1201" i="3"/>
  <c r="T1201" i="3" s="1"/>
  <c r="X26" i="3"/>
  <c r="W26" i="3"/>
  <c r="U26" i="3"/>
  <c r="V26" i="3" s="1"/>
  <c r="S26" i="3"/>
  <c r="T26" i="3" s="1"/>
  <c r="X365" i="3"/>
  <c r="W365" i="3"/>
  <c r="U365" i="3"/>
  <c r="V365" i="3" s="1"/>
  <c r="S365" i="3"/>
  <c r="T365" i="3" s="1"/>
  <c r="X1200" i="3"/>
  <c r="W1200" i="3"/>
  <c r="U1200" i="3"/>
  <c r="V1200" i="3" s="1"/>
  <c r="S1200" i="3"/>
  <c r="T1200" i="3" s="1"/>
  <c r="X108" i="3"/>
  <c r="W108" i="3"/>
  <c r="U108" i="3"/>
  <c r="V108" i="3" s="1"/>
  <c r="S108" i="3"/>
  <c r="T108" i="3" s="1"/>
  <c r="X1199" i="3"/>
  <c r="W1199" i="3"/>
  <c r="U1199" i="3"/>
  <c r="V1199" i="3" s="1"/>
  <c r="S1199" i="3"/>
  <c r="T1199" i="3" s="1"/>
  <c r="X808" i="3"/>
  <c r="W808" i="3"/>
  <c r="U808" i="3"/>
  <c r="V808" i="3" s="1"/>
  <c r="S808" i="3"/>
  <c r="T808" i="3" s="1"/>
  <c r="X1198" i="3"/>
  <c r="W1198" i="3"/>
  <c r="U1198" i="3"/>
  <c r="V1198" i="3" s="1"/>
  <c r="S1198" i="3"/>
  <c r="T1198" i="3" s="1"/>
  <c r="X107" i="3"/>
  <c r="W107" i="3"/>
  <c r="U107" i="3"/>
  <c r="V107" i="3" s="1"/>
  <c r="S107" i="3"/>
  <c r="T107" i="3" s="1"/>
  <c r="X469" i="3"/>
  <c r="W469" i="3"/>
  <c r="U469" i="3"/>
  <c r="V469" i="3" s="1"/>
  <c r="S469" i="3"/>
  <c r="T469" i="3" s="1"/>
  <c r="X1197" i="3"/>
  <c r="W1197" i="3"/>
  <c r="U1197" i="3"/>
  <c r="V1197" i="3" s="1"/>
  <c r="S1197" i="3"/>
  <c r="T1197" i="3" s="1"/>
  <c r="X1196" i="3"/>
  <c r="W1196" i="3"/>
  <c r="U1196" i="3"/>
  <c r="V1196" i="3" s="1"/>
  <c r="S1196" i="3"/>
  <c r="T1196" i="3" s="1"/>
  <c r="X1505" i="3"/>
  <c r="W1505" i="3"/>
  <c r="U1505" i="3"/>
  <c r="V1505" i="3" s="1"/>
  <c r="S1505" i="3"/>
  <c r="T1505" i="3" s="1"/>
  <c r="X1195" i="3"/>
  <c r="W1195" i="3"/>
  <c r="U1195" i="3"/>
  <c r="V1195" i="3" s="1"/>
  <c r="S1195" i="3"/>
  <c r="T1195" i="3" s="1"/>
  <c r="X1504" i="3"/>
  <c r="W1504" i="3"/>
  <c r="U1504" i="3"/>
  <c r="V1504" i="3" s="1"/>
  <c r="S1504" i="3"/>
  <c r="T1504" i="3" s="1"/>
  <c r="X1194" i="3"/>
  <c r="W1194" i="3"/>
  <c r="U1194" i="3"/>
  <c r="V1194" i="3" s="1"/>
  <c r="S1194" i="3"/>
  <c r="T1194" i="3" s="1"/>
  <c r="X1193" i="3"/>
  <c r="W1193" i="3"/>
  <c r="U1193" i="3"/>
  <c r="V1193" i="3" s="1"/>
  <c r="S1193" i="3"/>
  <c r="T1193" i="3" s="1"/>
  <c r="X1192" i="3"/>
  <c r="W1192" i="3"/>
  <c r="U1192" i="3"/>
  <c r="V1192" i="3" s="1"/>
  <c r="S1192" i="3"/>
  <c r="T1192" i="3" s="1"/>
  <c r="X1191" i="3"/>
  <c r="W1191" i="3"/>
  <c r="U1191" i="3"/>
  <c r="V1191" i="3" s="1"/>
  <c r="S1191" i="3"/>
  <c r="T1191" i="3" s="1"/>
  <c r="X1503" i="3"/>
  <c r="W1503" i="3"/>
  <c r="U1503" i="3"/>
  <c r="V1503" i="3" s="1"/>
  <c r="S1503" i="3"/>
  <c r="T1503" i="3" s="1"/>
  <c r="X587" i="3"/>
  <c r="W587" i="3"/>
  <c r="U587" i="3"/>
  <c r="V587" i="3" s="1"/>
  <c r="S587" i="3"/>
  <c r="T587" i="3" s="1"/>
  <c r="X1190" i="3"/>
  <c r="W1190" i="3"/>
  <c r="U1190" i="3"/>
  <c r="V1190" i="3" s="1"/>
  <c r="S1190" i="3"/>
  <c r="T1190" i="3" s="1"/>
  <c r="X586" i="3"/>
  <c r="W586" i="3"/>
  <c r="U586" i="3"/>
  <c r="V586" i="3" s="1"/>
  <c r="S586" i="3"/>
  <c r="T586" i="3" s="1"/>
  <c r="X1189" i="3"/>
  <c r="W1189" i="3"/>
  <c r="U1189" i="3"/>
  <c r="V1189" i="3" s="1"/>
  <c r="S1189" i="3"/>
  <c r="T1189" i="3" s="1"/>
  <c r="X1188" i="3"/>
  <c r="W1188" i="3"/>
  <c r="U1188" i="3"/>
  <c r="V1188" i="3" s="1"/>
  <c r="S1188" i="3"/>
  <c r="T1188" i="3" s="1"/>
  <c r="X807" i="3"/>
  <c r="W807" i="3"/>
  <c r="U807" i="3"/>
  <c r="V807" i="3" s="1"/>
  <c r="S807" i="3"/>
  <c r="T807" i="3" s="1"/>
  <c r="X1502" i="3"/>
  <c r="W1502" i="3"/>
  <c r="U1502" i="3"/>
  <c r="V1502" i="3" s="1"/>
  <c r="S1502" i="3"/>
  <c r="T1502" i="3" s="1"/>
  <c r="X468" i="3"/>
  <c r="W468" i="3"/>
  <c r="U468" i="3"/>
  <c r="V468" i="3" s="1"/>
  <c r="S468" i="3"/>
  <c r="T468" i="3" s="1"/>
  <c r="X106" i="3"/>
  <c r="W106" i="3"/>
  <c r="U106" i="3"/>
  <c r="V106" i="3" s="1"/>
  <c r="S106" i="3"/>
  <c r="T106" i="3" s="1"/>
  <c r="X1501" i="3"/>
  <c r="W1501" i="3"/>
  <c r="U1501" i="3"/>
  <c r="V1501" i="3" s="1"/>
  <c r="S1501" i="3"/>
  <c r="T1501" i="3" s="1"/>
  <c r="X1500" i="3"/>
  <c r="W1500" i="3"/>
  <c r="U1500" i="3"/>
  <c r="V1500" i="3" s="1"/>
  <c r="S1500" i="3"/>
  <c r="T1500" i="3" s="1"/>
  <c r="X1499" i="3"/>
  <c r="W1499" i="3"/>
  <c r="U1499" i="3"/>
  <c r="V1499" i="3" s="1"/>
  <c r="S1499" i="3"/>
  <c r="T1499" i="3" s="1"/>
  <c r="X1498" i="3"/>
  <c r="W1498" i="3"/>
  <c r="U1498" i="3"/>
  <c r="V1498" i="3" s="1"/>
  <c r="S1498" i="3"/>
  <c r="T1498" i="3" s="1"/>
  <c r="X1497" i="3"/>
  <c r="W1497" i="3"/>
  <c r="U1497" i="3"/>
  <c r="V1497" i="3" s="1"/>
  <c r="S1497" i="3"/>
  <c r="T1497" i="3" s="1"/>
  <c r="X585" i="3"/>
  <c r="W585" i="3"/>
  <c r="U585" i="3"/>
  <c r="V585" i="3" s="1"/>
  <c r="S585" i="3"/>
  <c r="T585" i="3" s="1"/>
  <c r="X1035" i="3"/>
  <c r="W1035" i="3"/>
  <c r="U1035" i="3"/>
  <c r="V1035" i="3" s="1"/>
  <c r="S1035" i="3"/>
  <c r="T1035" i="3" s="1"/>
  <c r="X952" i="3"/>
  <c r="W952" i="3"/>
  <c r="U952" i="3"/>
  <c r="V952" i="3" s="1"/>
  <c r="S952" i="3"/>
  <c r="T952" i="3" s="1"/>
  <c r="X1496" i="3"/>
  <c r="W1496" i="3"/>
  <c r="U1496" i="3"/>
  <c r="V1496" i="3" s="1"/>
  <c r="S1496" i="3"/>
  <c r="T1496" i="3" s="1"/>
  <c r="X1187" i="3"/>
  <c r="W1187" i="3"/>
  <c r="U1187" i="3"/>
  <c r="V1187" i="3" s="1"/>
  <c r="S1187" i="3"/>
  <c r="T1187" i="3" s="1"/>
  <c r="X1186" i="3"/>
  <c r="W1186" i="3"/>
  <c r="U1186" i="3"/>
  <c r="V1186" i="3" s="1"/>
  <c r="S1186" i="3"/>
  <c r="T1186" i="3" s="1"/>
  <c r="X1185" i="3"/>
  <c r="W1185" i="3"/>
  <c r="U1185" i="3"/>
  <c r="V1185" i="3" s="1"/>
  <c r="S1185" i="3"/>
  <c r="T1185" i="3" s="1"/>
  <c r="X806" i="3"/>
  <c r="W806" i="3"/>
  <c r="U806" i="3"/>
  <c r="V806" i="3" s="1"/>
  <c r="S806" i="3"/>
  <c r="T806" i="3" s="1"/>
  <c r="X805" i="3"/>
  <c r="W805" i="3"/>
  <c r="U805" i="3"/>
  <c r="V805" i="3" s="1"/>
  <c r="S805" i="3"/>
  <c r="T805" i="3" s="1"/>
  <c r="X583" i="3"/>
  <c r="W583" i="3"/>
  <c r="U583" i="3"/>
  <c r="V583" i="3" s="1"/>
  <c r="S583" i="3"/>
  <c r="T583" i="3" s="1"/>
  <c r="X951" i="3"/>
  <c r="W951" i="3"/>
  <c r="U951" i="3"/>
  <c r="V951" i="3" s="1"/>
  <c r="S951" i="3"/>
  <c r="T951" i="3" s="1"/>
  <c r="X1075" i="3"/>
  <c r="W1075" i="3"/>
  <c r="U1075" i="3"/>
  <c r="V1075" i="3" s="1"/>
  <c r="S1075" i="3"/>
  <c r="T1075" i="3" s="1"/>
  <c r="X950" i="3"/>
  <c r="W950" i="3"/>
  <c r="U950" i="3"/>
  <c r="V950" i="3" s="1"/>
  <c r="S950" i="3"/>
  <c r="T950" i="3" s="1"/>
  <c r="X105" i="3"/>
  <c r="W105" i="3"/>
  <c r="U105" i="3"/>
  <c r="V105" i="3" s="1"/>
  <c r="S105" i="3"/>
  <c r="T105" i="3" s="1"/>
  <c r="X1495" i="3"/>
  <c r="W1495" i="3"/>
  <c r="U1495" i="3"/>
  <c r="V1495" i="3" s="1"/>
  <c r="S1495" i="3"/>
  <c r="T1495" i="3" s="1"/>
  <c r="X1184" i="3"/>
  <c r="W1184" i="3"/>
  <c r="U1184" i="3"/>
  <c r="V1184" i="3" s="1"/>
  <c r="S1184" i="3"/>
  <c r="T1184" i="3" s="1"/>
  <c r="X1183" i="3"/>
  <c r="W1183" i="3"/>
  <c r="U1183" i="3"/>
  <c r="V1183" i="3" s="1"/>
  <c r="S1183" i="3"/>
  <c r="T1183" i="3" s="1"/>
  <c r="X1494" i="3"/>
  <c r="W1494" i="3"/>
  <c r="U1494" i="3"/>
  <c r="V1494" i="3" s="1"/>
  <c r="S1494" i="3"/>
  <c r="T1494" i="3" s="1"/>
  <c r="X1182" i="3"/>
  <c r="W1182" i="3"/>
  <c r="U1182" i="3"/>
  <c r="V1182" i="3" s="1"/>
  <c r="S1182" i="3"/>
  <c r="T1182" i="3" s="1"/>
  <c r="X582" i="3"/>
  <c r="W582" i="3"/>
  <c r="U582" i="3"/>
  <c r="V582" i="3" s="1"/>
  <c r="S582" i="3"/>
  <c r="T582" i="3" s="1"/>
  <c r="X1181" i="3"/>
  <c r="W1181" i="3"/>
  <c r="U1181" i="3"/>
  <c r="V1181" i="3" s="1"/>
  <c r="S1181" i="3"/>
  <c r="T1181" i="3" s="1"/>
  <c r="X1180" i="3"/>
  <c r="W1180" i="3"/>
  <c r="U1180" i="3"/>
  <c r="V1180" i="3" s="1"/>
  <c r="S1180" i="3"/>
  <c r="T1180" i="3" s="1"/>
  <c r="X1179" i="3"/>
  <c r="W1179" i="3"/>
  <c r="U1179" i="3"/>
  <c r="V1179" i="3" s="1"/>
  <c r="S1179" i="3"/>
  <c r="T1179" i="3" s="1"/>
  <c r="X1178" i="3"/>
  <c r="W1178" i="3"/>
  <c r="U1178" i="3"/>
  <c r="V1178" i="3" s="1"/>
  <c r="S1178" i="3"/>
  <c r="T1178" i="3" s="1"/>
  <c r="X804" i="3"/>
  <c r="W804" i="3"/>
  <c r="U804" i="3"/>
  <c r="V804" i="3" s="1"/>
  <c r="S804" i="3"/>
  <c r="T804" i="3" s="1"/>
  <c r="X1493" i="3"/>
  <c r="W1493" i="3"/>
  <c r="U1493" i="3"/>
  <c r="V1493" i="3" s="1"/>
  <c r="S1493" i="3"/>
  <c r="T1493" i="3" s="1"/>
  <c r="X1492" i="3"/>
  <c r="W1492" i="3"/>
  <c r="U1492" i="3"/>
  <c r="V1492" i="3" s="1"/>
  <c r="S1492" i="3"/>
  <c r="T1492" i="3" s="1"/>
  <c r="X581" i="3"/>
  <c r="W581" i="3"/>
  <c r="U581" i="3"/>
  <c r="V581" i="3" s="1"/>
  <c r="S581" i="3"/>
  <c r="T581" i="3" s="1"/>
  <c r="X1675" i="3"/>
  <c r="W1675" i="3"/>
  <c r="U1675" i="3"/>
  <c r="V1675" i="3" s="1"/>
  <c r="S1675" i="3"/>
  <c r="T1675" i="3" s="1"/>
  <c r="X364" i="3"/>
  <c r="W364" i="3"/>
  <c r="U364" i="3"/>
  <c r="V364" i="3" s="1"/>
  <c r="S364" i="3"/>
  <c r="T364" i="3" s="1"/>
  <c r="X1177" i="3"/>
  <c r="W1177" i="3"/>
  <c r="U1177" i="3"/>
  <c r="V1177" i="3" s="1"/>
  <c r="S1177" i="3"/>
  <c r="T1177" i="3" s="1"/>
  <c r="X1491" i="3"/>
  <c r="W1491" i="3"/>
  <c r="U1491" i="3"/>
  <c r="V1491" i="3" s="1"/>
  <c r="S1491" i="3"/>
  <c r="T1491" i="3" s="1"/>
  <c r="X1490" i="3"/>
  <c r="W1490" i="3"/>
  <c r="U1490" i="3"/>
  <c r="V1490" i="3" s="1"/>
  <c r="S1490" i="3"/>
  <c r="T1490" i="3" s="1"/>
  <c r="X1489" i="3"/>
  <c r="W1489" i="3"/>
  <c r="U1489" i="3"/>
  <c r="V1489" i="3" s="1"/>
  <c r="S1489" i="3"/>
  <c r="T1489" i="3" s="1"/>
  <c r="X1488" i="3"/>
  <c r="W1488" i="3"/>
  <c r="U1488" i="3"/>
  <c r="V1488" i="3" s="1"/>
  <c r="S1488" i="3"/>
  <c r="T1488" i="3" s="1"/>
  <c r="X1487" i="3"/>
  <c r="W1487" i="3"/>
  <c r="U1487" i="3"/>
  <c r="V1487" i="3" s="1"/>
  <c r="S1487" i="3"/>
  <c r="T1487" i="3" s="1"/>
  <c r="X580" i="3"/>
  <c r="W580" i="3"/>
  <c r="U580" i="3"/>
  <c r="V580" i="3" s="1"/>
  <c r="S580" i="3"/>
  <c r="T580" i="3" s="1"/>
  <c r="X1486" i="3"/>
  <c r="W1486" i="3"/>
  <c r="U1486" i="3"/>
  <c r="V1486" i="3" s="1"/>
  <c r="S1486" i="3"/>
  <c r="T1486" i="3" s="1"/>
  <c r="X1485" i="3"/>
  <c r="W1485" i="3"/>
  <c r="U1485" i="3"/>
  <c r="V1485" i="3" s="1"/>
  <c r="S1485" i="3"/>
  <c r="T1485" i="3" s="1"/>
  <c r="X1176" i="3"/>
  <c r="W1176" i="3"/>
  <c r="U1176" i="3"/>
  <c r="V1176" i="3" s="1"/>
  <c r="S1176" i="3"/>
  <c r="T1176" i="3" s="1"/>
  <c r="X1175" i="3"/>
  <c r="W1175" i="3"/>
  <c r="U1175" i="3"/>
  <c r="V1175" i="3" s="1"/>
  <c r="S1175" i="3"/>
  <c r="T1175" i="3" s="1"/>
  <c r="X1484" i="3"/>
  <c r="W1484" i="3"/>
  <c r="U1484" i="3"/>
  <c r="V1484" i="3" s="1"/>
  <c r="S1484" i="3"/>
  <c r="T1484" i="3" s="1"/>
  <c r="X579" i="3"/>
  <c r="W579" i="3"/>
  <c r="U579" i="3"/>
  <c r="V579" i="3" s="1"/>
  <c r="S579" i="3"/>
  <c r="T579" i="3" s="1"/>
  <c r="X1074" i="3"/>
  <c r="W1074" i="3"/>
  <c r="U1074" i="3"/>
  <c r="V1074" i="3" s="1"/>
  <c r="S1074" i="3"/>
  <c r="T1074" i="3" s="1"/>
  <c r="X1483" i="3"/>
  <c r="W1483" i="3"/>
  <c r="U1483" i="3"/>
  <c r="V1483" i="3" s="1"/>
  <c r="S1483" i="3"/>
  <c r="T1483" i="3" s="1"/>
  <c r="X1482" i="3"/>
  <c r="W1482" i="3"/>
  <c r="U1482" i="3"/>
  <c r="V1482" i="3" s="1"/>
  <c r="S1482" i="3"/>
  <c r="T1482" i="3" s="1"/>
  <c r="X1481" i="3"/>
  <c r="W1481" i="3"/>
  <c r="U1481" i="3"/>
  <c r="V1481" i="3" s="1"/>
  <c r="S1481" i="3"/>
  <c r="T1481" i="3" s="1"/>
  <c r="X1073" i="3"/>
  <c r="W1073" i="3"/>
  <c r="U1073" i="3"/>
  <c r="V1073" i="3" s="1"/>
  <c r="S1073" i="3"/>
  <c r="T1073" i="3" s="1"/>
  <c r="X1174" i="3"/>
  <c r="W1174" i="3"/>
  <c r="U1174" i="3"/>
  <c r="V1174" i="3" s="1"/>
  <c r="S1174" i="3"/>
  <c r="T1174" i="3" s="1"/>
  <c r="X1173" i="3"/>
  <c r="W1173" i="3"/>
  <c r="U1173" i="3"/>
  <c r="V1173" i="3" s="1"/>
  <c r="S1173" i="3"/>
  <c r="T1173" i="3" s="1"/>
  <c r="X803" i="3"/>
  <c r="W803" i="3"/>
  <c r="U803" i="3"/>
  <c r="V803" i="3" s="1"/>
  <c r="S803" i="3"/>
  <c r="T803" i="3" s="1"/>
  <c r="X1172" i="3"/>
  <c r="W1172" i="3"/>
  <c r="U1172" i="3"/>
  <c r="V1172" i="3" s="1"/>
  <c r="S1172" i="3"/>
  <c r="T1172" i="3" s="1"/>
  <c r="X1171" i="3"/>
  <c r="W1171" i="3"/>
  <c r="U1171" i="3"/>
  <c r="V1171" i="3" s="1"/>
  <c r="S1171" i="3"/>
  <c r="T1171" i="3" s="1"/>
  <c r="X1170" i="3"/>
  <c r="W1170" i="3"/>
  <c r="U1170" i="3"/>
  <c r="V1170" i="3" s="1"/>
  <c r="S1170" i="3"/>
  <c r="T1170" i="3" s="1"/>
  <c r="X363" i="3"/>
  <c r="W363" i="3"/>
  <c r="U363" i="3"/>
  <c r="V363" i="3" s="1"/>
  <c r="S363" i="3"/>
  <c r="T363" i="3" s="1"/>
  <c r="X802" i="3"/>
  <c r="W802" i="3"/>
  <c r="U802" i="3"/>
  <c r="V802" i="3" s="1"/>
  <c r="S802" i="3"/>
  <c r="T802" i="3" s="1"/>
  <c r="X362" i="3"/>
  <c r="W362" i="3"/>
  <c r="U362" i="3"/>
  <c r="V362" i="3" s="1"/>
  <c r="S362" i="3"/>
  <c r="T362" i="3" s="1"/>
  <c r="X1480" i="3"/>
  <c r="W1480" i="3"/>
  <c r="U1480" i="3"/>
  <c r="V1480" i="3" s="1"/>
  <c r="S1480" i="3"/>
  <c r="T1480" i="3" s="1"/>
  <c r="X183" i="3"/>
  <c r="W183" i="3"/>
  <c r="U183" i="3"/>
  <c r="V183" i="3" s="1"/>
  <c r="S183" i="3"/>
  <c r="T183" i="3" s="1"/>
  <c r="X1479" i="3"/>
  <c r="W1479" i="3"/>
  <c r="U1479" i="3"/>
  <c r="V1479" i="3" s="1"/>
  <c r="S1479" i="3"/>
  <c r="T1479" i="3" s="1"/>
  <c r="X1169" i="3"/>
  <c r="W1169" i="3"/>
  <c r="U1169" i="3"/>
  <c r="V1169" i="3" s="1"/>
  <c r="S1169" i="3"/>
  <c r="T1169" i="3" s="1"/>
  <c r="X1478" i="3"/>
  <c r="W1478" i="3"/>
  <c r="U1478" i="3"/>
  <c r="V1478" i="3" s="1"/>
  <c r="S1478" i="3"/>
  <c r="T1478" i="3" s="1"/>
  <c r="X949" i="3"/>
  <c r="W949" i="3"/>
  <c r="U949" i="3"/>
  <c r="V949" i="3" s="1"/>
  <c r="S949" i="3"/>
  <c r="T949" i="3" s="1"/>
  <c r="X1477" i="3"/>
  <c r="W1477" i="3"/>
  <c r="U1477" i="3"/>
  <c r="V1477" i="3" s="1"/>
  <c r="S1477" i="3"/>
  <c r="T1477" i="3" s="1"/>
  <c r="X182" i="3"/>
  <c r="W182" i="3"/>
  <c r="U182" i="3"/>
  <c r="V182" i="3" s="1"/>
  <c r="S182" i="3"/>
  <c r="T182" i="3" s="1"/>
  <c r="X578" i="3"/>
  <c r="W578" i="3"/>
  <c r="U578" i="3"/>
  <c r="V578" i="3" s="1"/>
  <c r="S578" i="3"/>
  <c r="T578" i="3" s="1"/>
  <c r="X801" i="3"/>
  <c r="W801" i="3"/>
  <c r="U801" i="3"/>
  <c r="V801" i="3" s="1"/>
  <c r="S801" i="3"/>
  <c r="T801" i="3" s="1"/>
  <c r="X577" i="3"/>
  <c r="W577" i="3"/>
  <c r="U577" i="3"/>
  <c r="V577" i="3" s="1"/>
  <c r="S577" i="3"/>
  <c r="T577" i="3" s="1"/>
  <c r="X948" i="3"/>
  <c r="W948" i="3"/>
  <c r="U948" i="3"/>
  <c r="V948" i="3" s="1"/>
  <c r="S948" i="3"/>
  <c r="T948" i="3" s="1"/>
  <c r="X181" i="3"/>
  <c r="W181" i="3"/>
  <c r="U181" i="3"/>
  <c r="V181" i="3" s="1"/>
  <c r="S181" i="3"/>
  <c r="T181" i="3" s="1"/>
  <c r="X1168" i="3"/>
  <c r="W1168" i="3"/>
  <c r="U1168" i="3"/>
  <c r="V1168" i="3" s="1"/>
  <c r="S1168" i="3"/>
  <c r="T1168" i="3" s="1"/>
  <c r="X466" i="3"/>
  <c r="W466" i="3"/>
  <c r="U466" i="3"/>
  <c r="V466" i="3" s="1"/>
  <c r="S466" i="3"/>
  <c r="T466" i="3" s="1"/>
  <c r="X1167" i="3"/>
  <c r="W1167" i="3"/>
  <c r="U1167" i="3"/>
  <c r="V1167" i="3" s="1"/>
  <c r="S1167" i="3"/>
  <c r="T1167" i="3" s="1"/>
  <c r="X1476" i="3"/>
  <c r="W1476" i="3"/>
  <c r="U1476" i="3"/>
  <c r="V1476" i="3" s="1"/>
  <c r="S1476" i="3"/>
  <c r="T1476" i="3" s="1"/>
  <c r="X361" i="3"/>
  <c r="W361" i="3"/>
  <c r="U361" i="3"/>
  <c r="V361" i="3" s="1"/>
  <c r="S361" i="3"/>
  <c r="T361" i="3" s="1"/>
  <c r="X947" i="3"/>
  <c r="W947" i="3"/>
  <c r="U947" i="3"/>
  <c r="V947" i="3" s="1"/>
  <c r="S947" i="3"/>
  <c r="T947" i="3" s="1"/>
  <c r="X1072" i="3"/>
  <c r="W1072" i="3"/>
  <c r="U1072" i="3"/>
  <c r="V1072" i="3" s="1"/>
  <c r="S1072" i="3"/>
  <c r="T1072" i="3" s="1"/>
  <c r="X1166" i="3"/>
  <c r="W1166" i="3"/>
  <c r="U1166" i="3"/>
  <c r="V1166" i="3" s="1"/>
  <c r="S1166" i="3"/>
  <c r="T1166" i="3" s="1"/>
  <c r="X1165" i="3"/>
  <c r="W1165" i="3"/>
  <c r="U1165" i="3"/>
  <c r="V1165" i="3" s="1"/>
  <c r="S1165" i="3"/>
  <c r="T1165" i="3" s="1"/>
  <c r="X104" i="3"/>
  <c r="W104" i="3"/>
  <c r="U104" i="3"/>
  <c r="V104" i="3" s="1"/>
  <c r="S104" i="3"/>
  <c r="T104" i="3" s="1"/>
  <c r="X1164" i="3"/>
  <c r="W1164" i="3"/>
  <c r="U1164" i="3"/>
  <c r="V1164" i="3" s="1"/>
  <c r="S1164" i="3"/>
  <c r="T1164" i="3" s="1"/>
  <c r="X1163" i="3"/>
  <c r="W1163" i="3"/>
  <c r="U1163" i="3"/>
  <c r="V1163" i="3" s="1"/>
  <c r="S1163" i="3"/>
  <c r="T1163" i="3" s="1"/>
  <c r="X103" i="3"/>
  <c r="W103" i="3"/>
  <c r="U103" i="3"/>
  <c r="V103" i="3" s="1"/>
  <c r="S103" i="3"/>
  <c r="T103" i="3" s="1"/>
  <c r="X465" i="3"/>
  <c r="W465" i="3"/>
  <c r="U465" i="3"/>
  <c r="V465" i="3" s="1"/>
  <c r="S465" i="3"/>
  <c r="T465" i="3" s="1"/>
  <c r="X360" i="3"/>
  <c r="W360" i="3"/>
  <c r="U360" i="3"/>
  <c r="V360" i="3" s="1"/>
  <c r="S360" i="3"/>
  <c r="T360" i="3" s="1"/>
  <c r="X359" i="3"/>
  <c r="W359" i="3"/>
  <c r="U359" i="3"/>
  <c r="V359" i="3" s="1"/>
  <c r="S359" i="3"/>
  <c r="T359" i="3" s="1"/>
  <c r="X576" i="3"/>
  <c r="W576" i="3"/>
  <c r="U576" i="3"/>
  <c r="V576" i="3" s="1"/>
  <c r="S576" i="3"/>
  <c r="T576" i="3" s="1"/>
  <c r="X575" i="3"/>
  <c r="W575" i="3"/>
  <c r="U575" i="3"/>
  <c r="V575" i="3" s="1"/>
  <c r="S575" i="3"/>
  <c r="T575" i="3" s="1"/>
  <c r="X574" i="3"/>
  <c r="W574" i="3"/>
  <c r="U574" i="3"/>
  <c r="V574" i="3" s="1"/>
  <c r="S574" i="3"/>
  <c r="T574" i="3" s="1"/>
  <c r="X1162" i="3"/>
  <c r="W1162" i="3"/>
  <c r="U1162" i="3"/>
  <c r="V1162" i="3" s="1"/>
  <c r="S1162" i="3"/>
  <c r="T1162" i="3" s="1"/>
  <c r="X25" i="3"/>
  <c r="W25" i="3"/>
  <c r="U25" i="3"/>
  <c r="V25" i="3" s="1"/>
  <c r="S25" i="3"/>
  <c r="T25" i="3" s="1"/>
  <c r="X464" i="3"/>
  <c r="W464" i="3"/>
  <c r="U464" i="3"/>
  <c r="V464" i="3" s="1"/>
  <c r="S464" i="3"/>
  <c r="T464" i="3" s="1"/>
  <c r="X1475" i="3"/>
  <c r="W1475" i="3"/>
  <c r="U1475" i="3"/>
  <c r="V1475" i="3" s="1"/>
  <c r="S1475" i="3"/>
  <c r="T1475" i="3" s="1"/>
  <c r="X24" i="3"/>
  <c r="W24" i="3"/>
  <c r="U24" i="3"/>
  <c r="V24" i="3" s="1"/>
  <c r="S24" i="3"/>
  <c r="T24" i="3" s="1"/>
  <c r="X1474" i="3"/>
  <c r="W1474" i="3"/>
  <c r="U1474" i="3"/>
  <c r="V1474" i="3" s="1"/>
  <c r="S1474" i="3"/>
  <c r="T1474" i="3" s="1"/>
  <c r="X946" i="3"/>
  <c r="W946" i="3"/>
  <c r="U946" i="3"/>
  <c r="V946" i="3" s="1"/>
  <c r="S946" i="3"/>
  <c r="T946" i="3" s="1"/>
  <c r="X1473" i="3"/>
  <c r="W1473" i="3"/>
  <c r="U1473" i="3"/>
  <c r="V1473" i="3" s="1"/>
  <c r="S1473" i="3"/>
  <c r="T1473" i="3" s="1"/>
  <c r="X1472" i="3"/>
  <c r="W1472" i="3"/>
  <c r="U1472" i="3"/>
  <c r="V1472" i="3" s="1"/>
  <c r="S1472" i="3"/>
  <c r="T1472" i="3" s="1"/>
  <c r="X1161" i="3"/>
  <c r="W1161" i="3"/>
  <c r="U1161" i="3"/>
  <c r="V1161" i="3" s="1"/>
  <c r="S1161" i="3"/>
  <c r="T1161" i="3" s="1"/>
  <c r="X1471" i="3"/>
  <c r="W1471" i="3"/>
  <c r="U1471" i="3"/>
  <c r="V1471" i="3" s="1"/>
  <c r="S1471" i="3"/>
  <c r="T1471" i="3" s="1"/>
  <c r="X1160" i="3"/>
  <c r="W1160" i="3"/>
  <c r="U1160" i="3"/>
  <c r="V1160" i="3" s="1"/>
  <c r="S1160" i="3"/>
  <c r="T1160" i="3" s="1"/>
  <c r="X945" i="3"/>
  <c r="W945" i="3"/>
  <c r="U945" i="3"/>
  <c r="V945" i="3" s="1"/>
  <c r="S945" i="3"/>
  <c r="T945" i="3" s="1"/>
  <c r="X800" i="3"/>
  <c r="W800" i="3"/>
  <c r="U800" i="3"/>
  <c r="V800" i="3" s="1"/>
  <c r="S800" i="3"/>
  <c r="T800" i="3" s="1"/>
  <c r="X358" i="3"/>
  <c r="W358" i="3"/>
  <c r="U358" i="3"/>
  <c r="V358" i="3" s="1"/>
  <c r="S358" i="3"/>
  <c r="T358" i="3" s="1"/>
  <c r="X23" i="3"/>
  <c r="W23" i="3"/>
  <c r="U23" i="3"/>
  <c r="V23" i="3" s="1"/>
  <c r="S23" i="3"/>
  <c r="T23" i="3" s="1"/>
  <c r="X944" i="3"/>
  <c r="W944" i="3"/>
  <c r="U944" i="3"/>
  <c r="V944" i="3" s="1"/>
  <c r="S944" i="3"/>
  <c r="T944" i="3" s="1"/>
  <c r="X943" i="3"/>
  <c r="W943" i="3"/>
  <c r="U943" i="3"/>
  <c r="V943" i="3" s="1"/>
  <c r="S943" i="3"/>
  <c r="T943" i="3" s="1"/>
  <c r="X942" i="3"/>
  <c r="W942" i="3"/>
  <c r="U942" i="3"/>
  <c r="V942" i="3" s="1"/>
  <c r="S942" i="3"/>
  <c r="T942" i="3" s="1"/>
  <c r="X1470" i="3"/>
  <c r="W1470" i="3"/>
  <c r="U1470" i="3"/>
  <c r="V1470" i="3" s="1"/>
  <c r="S1470" i="3"/>
  <c r="T1470" i="3" s="1"/>
  <c r="X463" i="3"/>
  <c r="W463" i="3"/>
  <c r="U463" i="3"/>
  <c r="V463" i="3" s="1"/>
  <c r="S463" i="3"/>
  <c r="T463" i="3" s="1"/>
  <c r="X1159" i="3"/>
  <c r="W1159" i="3"/>
  <c r="U1159" i="3"/>
  <c r="V1159" i="3" s="1"/>
  <c r="S1159" i="3"/>
  <c r="T1159" i="3" s="1"/>
  <c r="X1469" i="3"/>
  <c r="W1469" i="3"/>
  <c r="U1469" i="3"/>
  <c r="V1469" i="3" s="1"/>
  <c r="S1469" i="3"/>
  <c r="T1469" i="3" s="1"/>
  <c r="X357" i="3"/>
  <c r="W357" i="3"/>
  <c r="U357" i="3"/>
  <c r="V357" i="3" s="1"/>
  <c r="S357" i="3"/>
  <c r="T357" i="3" s="1"/>
  <c r="X1158" i="3"/>
  <c r="W1158" i="3"/>
  <c r="U1158" i="3"/>
  <c r="V1158" i="3" s="1"/>
  <c r="S1158" i="3"/>
  <c r="T1158" i="3" s="1"/>
  <c r="X1157" i="3"/>
  <c r="W1157" i="3"/>
  <c r="U1157" i="3"/>
  <c r="V1157" i="3" s="1"/>
  <c r="S1157" i="3"/>
  <c r="T1157" i="3" s="1"/>
  <c r="X356" i="3"/>
  <c r="W356" i="3"/>
  <c r="U356" i="3"/>
  <c r="V356" i="3" s="1"/>
  <c r="S356" i="3"/>
  <c r="T356" i="3" s="1"/>
  <c r="X180" i="3"/>
  <c r="W180" i="3"/>
  <c r="U180" i="3"/>
  <c r="V180" i="3" s="1"/>
  <c r="S180" i="3"/>
  <c r="T180" i="3" s="1"/>
  <c r="X1468" i="3"/>
  <c r="W1468" i="3"/>
  <c r="U1468" i="3"/>
  <c r="V1468" i="3" s="1"/>
  <c r="S1468" i="3"/>
  <c r="T1468" i="3" s="1"/>
  <c r="X1467" i="3"/>
  <c r="W1467" i="3"/>
  <c r="U1467" i="3"/>
  <c r="V1467" i="3" s="1"/>
  <c r="S1467" i="3"/>
  <c r="T1467" i="3" s="1"/>
  <c r="X1466" i="3"/>
  <c r="W1466" i="3"/>
  <c r="U1466" i="3"/>
  <c r="V1466" i="3" s="1"/>
  <c r="S1466" i="3"/>
  <c r="T1466" i="3" s="1"/>
  <c r="X1156" i="3"/>
  <c r="W1156" i="3"/>
  <c r="U1156" i="3"/>
  <c r="V1156" i="3" s="1"/>
  <c r="S1156" i="3"/>
  <c r="T1156" i="3" s="1"/>
  <c r="X1155" i="3"/>
  <c r="W1155" i="3"/>
  <c r="U1155" i="3"/>
  <c r="V1155" i="3" s="1"/>
  <c r="S1155" i="3"/>
  <c r="T1155" i="3" s="1"/>
  <c r="X1154" i="3"/>
  <c r="W1154" i="3"/>
  <c r="U1154" i="3"/>
  <c r="V1154" i="3" s="1"/>
  <c r="S1154" i="3"/>
  <c r="T1154" i="3" s="1"/>
  <c r="X1153" i="3"/>
  <c r="W1153" i="3"/>
  <c r="U1153" i="3"/>
  <c r="V1153" i="3" s="1"/>
  <c r="S1153" i="3"/>
  <c r="T1153" i="3" s="1"/>
  <c r="X102" i="3"/>
  <c r="W102" i="3"/>
  <c r="U102" i="3"/>
  <c r="V102" i="3" s="1"/>
  <c r="S102" i="3"/>
  <c r="T102" i="3" s="1"/>
  <c r="X355" i="3"/>
  <c r="W355" i="3"/>
  <c r="U355" i="3"/>
  <c r="V355" i="3" s="1"/>
  <c r="S355" i="3"/>
  <c r="T355" i="3" s="1"/>
  <c r="X354" i="3"/>
  <c r="W354" i="3"/>
  <c r="U354" i="3"/>
  <c r="V354" i="3" s="1"/>
  <c r="S354" i="3"/>
  <c r="T354" i="3" s="1"/>
  <c r="X353" i="3"/>
  <c r="W353" i="3"/>
  <c r="U353" i="3"/>
  <c r="V353" i="3" s="1"/>
  <c r="S353" i="3"/>
  <c r="T353" i="3" s="1"/>
  <c r="X1152" i="3"/>
  <c r="W1152" i="3"/>
  <c r="U1152" i="3"/>
  <c r="V1152" i="3" s="1"/>
  <c r="S1152" i="3"/>
  <c r="T1152" i="3" s="1"/>
  <c r="X179" i="3"/>
  <c r="W179" i="3"/>
  <c r="U179" i="3"/>
  <c r="V179" i="3" s="1"/>
  <c r="S179" i="3"/>
  <c r="T179" i="3" s="1"/>
  <c r="X1465" i="3"/>
  <c r="W1465" i="3"/>
  <c r="U1465" i="3"/>
  <c r="V1465" i="3" s="1"/>
  <c r="S1465" i="3"/>
  <c r="T1465" i="3" s="1"/>
  <c r="X1151" i="3"/>
  <c r="W1151" i="3"/>
  <c r="U1151" i="3"/>
  <c r="V1151" i="3" s="1"/>
  <c r="S1151" i="3"/>
  <c r="T1151" i="3" s="1"/>
  <c r="X1150" i="3"/>
  <c r="W1150" i="3"/>
  <c r="U1150" i="3"/>
  <c r="V1150" i="3" s="1"/>
  <c r="S1150" i="3"/>
  <c r="T1150" i="3" s="1"/>
  <c r="X1149" i="3"/>
  <c r="W1149" i="3"/>
  <c r="U1149" i="3"/>
  <c r="V1149" i="3" s="1"/>
  <c r="S1149" i="3"/>
  <c r="T1149" i="3" s="1"/>
  <c r="X799" i="3"/>
  <c r="W799" i="3"/>
  <c r="U799" i="3"/>
  <c r="V799" i="3" s="1"/>
  <c r="S799" i="3"/>
  <c r="T799" i="3" s="1"/>
  <c r="X573" i="3"/>
  <c r="W573" i="3"/>
  <c r="U573" i="3"/>
  <c r="V573" i="3" s="1"/>
  <c r="S573" i="3"/>
  <c r="T573" i="3" s="1"/>
  <c r="X1148" i="3"/>
  <c r="W1148" i="3"/>
  <c r="U1148" i="3"/>
  <c r="V1148" i="3" s="1"/>
  <c r="S1148" i="3"/>
  <c r="T1148" i="3" s="1"/>
  <c r="X1147" i="3"/>
  <c r="W1147" i="3"/>
  <c r="U1147" i="3"/>
  <c r="V1147" i="3" s="1"/>
  <c r="S1147" i="3"/>
  <c r="T1147" i="3" s="1"/>
  <c r="X1464" i="3"/>
  <c r="W1464" i="3"/>
  <c r="U1464" i="3"/>
  <c r="V1464" i="3" s="1"/>
  <c r="S1464" i="3"/>
  <c r="T1464" i="3" s="1"/>
  <c r="X1146" i="3"/>
  <c r="W1146" i="3"/>
  <c r="U1146" i="3"/>
  <c r="V1146" i="3" s="1"/>
  <c r="S1146" i="3"/>
  <c r="T1146" i="3" s="1"/>
  <c r="X352" i="3"/>
  <c r="W352" i="3"/>
  <c r="U352" i="3"/>
  <c r="V352" i="3" s="1"/>
  <c r="S352" i="3"/>
  <c r="T352" i="3" s="1"/>
  <c r="X1071" i="3"/>
  <c r="W1071" i="3"/>
  <c r="U1071" i="3"/>
  <c r="V1071" i="3" s="1"/>
  <c r="S1071" i="3"/>
  <c r="T1071" i="3" s="1"/>
  <c r="X1145" i="3"/>
  <c r="W1145" i="3"/>
  <c r="U1145" i="3"/>
  <c r="V1145" i="3" s="1"/>
  <c r="S1145" i="3"/>
  <c r="T1145" i="3" s="1"/>
  <c r="X101" i="3"/>
  <c r="W101" i="3"/>
  <c r="U101" i="3"/>
  <c r="V101" i="3" s="1"/>
  <c r="S101" i="3"/>
  <c r="T101" i="3" s="1"/>
  <c r="X1463" i="3"/>
  <c r="W1463" i="3"/>
  <c r="U1463" i="3"/>
  <c r="V1463" i="3" s="1"/>
  <c r="S1463" i="3"/>
  <c r="T1463" i="3" s="1"/>
  <c r="X1144" i="3"/>
  <c r="W1144" i="3"/>
  <c r="U1144" i="3"/>
  <c r="V1144" i="3" s="1"/>
  <c r="S1144" i="3"/>
  <c r="T1144" i="3" s="1"/>
  <c r="X798" i="3"/>
  <c r="W798" i="3"/>
  <c r="U798" i="3"/>
  <c r="V798" i="3" s="1"/>
  <c r="S798" i="3"/>
  <c r="T798" i="3" s="1"/>
  <c r="X572" i="3"/>
  <c r="W572" i="3"/>
  <c r="U572" i="3"/>
  <c r="V572" i="3" s="1"/>
  <c r="S572" i="3"/>
  <c r="T572" i="3" s="1"/>
  <c r="X1462" i="3"/>
  <c r="W1462" i="3"/>
  <c r="U1462" i="3"/>
  <c r="V1462" i="3" s="1"/>
  <c r="S1462" i="3"/>
  <c r="T1462" i="3" s="1"/>
  <c r="X1143" i="3"/>
  <c r="W1143" i="3"/>
  <c r="U1143" i="3"/>
  <c r="V1143" i="3" s="1"/>
  <c r="S1143" i="3"/>
  <c r="T1143" i="3" s="1"/>
  <c r="X571" i="3"/>
  <c r="W571" i="3"/>
  <c r="U571" i="3"/>
  <c r="V571" i="3" s="1"/>
  <c r="S571" i="3"/>
  <c r="T571" i="3" s="1"/>
  <c r="X462" i="3"/>
  <c r="W462" i="3"/>
  <c r="U462" i="3"/>
  <c r="V462" i="3" s="1"/>
  <c r="S462" i="3"/>
  <c r="T462" i="3" s="1"/>
  <c r="X351" i="3"/>
  <c r="W351" i="3"/>
  <c r="U351" i="3"/>
  <c r="V351" i="3" s="1"/>
  <c r="S351" i="3"/>
  <c r="T351" i="3" s="1"/>
  <c r="X461" i="3"/>
  <c r="W461" i="3"/>
  <c r="U461" i="3"/>
  <c r="V461" i="3" s="1"/>
  <c r="S461" i="3"/>
  <c r="T461" i="3" s="1"/>
  <c r="X1142" i="3"/>
  <c r="W1142" i="3"/>
  <c r="U1142" i="3"/>
  <c r="V1142" i="3" s="1"/>
  <c r="S1142" i="3"/>
  <c r="T1142" i="3" s="1"/>
  <c r="X570" i="3"/>
  <c r="W570" i="3"/>
  <c r="U570" i="3"/>
  <c r="V570" i="3" s="1"/>
  <c r="S570" i="3"/>
  <c r="T570" i="3" s="1"/>
  <c r="X569" i="3"/>
  <c r="W569" i="3"/>
  <c r="U569" i="3"/>
  <c r="V569" i="3" s="1"/>
  <c r="S569" i="3"/>
  <c r="T569" i="3" s="1"/>
  <c r="X100" i="3"/>
  <c r="W100" i="3"/>
  <c r="U100" i="3"/>
  <c r="V100" i="3" s="1"/>
  <c r="S100" i="3"/>
  <c r="T100" i="3" s="1"/>
  <c r="X1070" i="3"/>
  <c r="W1070" i="3"/>
  <c r="U1070" i="3"/>
  <c r="V1070" i="3" s="1"/>
  <c r="S1070" i="3"/>
  <c r="T1070" i="3" s="1"/>
  <c r="X22" i="3"/>
  <c r="W22" i="3"/>
  <c r="U22" i="3"/>
  <c r="V22" i="3" s="1"/>
  <c r="S22" i="3"/>
  <c r="T22" i="3" s="1"/>
  <c r="X941" i="3"/>
  <c r="W941" i="3"/>
  <c r="U941" i="3"/>
  <c r="V941" i="3" s="1"/>
  <c r="S941" i="3"/>
  <c r="T941" i="3" s="1"/>
  <c r="X797" i="3"/>
  <c r="W797" i="3"/>
  <c r="U797" i="3"/>
  <c r="V797" i="3" s="1"/>
  <c r="S797" i="3"/>
  <c r="T797" i="3" s="1"/>
  <c r="X99" i="3"/>
  <c r="W99" i="3"/>
  <c r="U99" i="3"/>
  <c r="V99" i="3" s="1"/>
  <c r="S99" i="3"/>
  <c r="T99" i="3" s="1"/>
  <c r="X1141" i="3"/>
  <c r="W1141" i="3"/>
  <c r="U1141" i="3"/>
  <c r="V1141" i="3" s="1"/>
  <c r="S1141" i="3"/>
  <c r="T1141" i="3" s="1"/>
  <c r="X1140" i="3"/>
  <c r="W1140" i="3"/>
  <c r="U1140" i="3"/>
  <c r="V1140" i="3" s="1"/>
  <c r="S1140" i="3"/>
  <c r="T1140" i="3" s="1"/>
  <c r="X1139" i="3"/>
  <c r="W1139" i="3"/>
  <c r="U1139" i="3"/>
  <c r="V1139" i="3" s="1"/>
  <c r="S1139" i="3"/>
  <c r="T1139" i="3" s="1"/>
  <c r="X796" i="3"/>
  <c r="W796" i="3"/>
  <c r="U796" i="3"/>
  <c r="V796" i="3" s="1"/>
  <c r="S796" i="3"/>
  <c r="T796" i="3" s="1"/>
  <c r="X1138" i="3"/>
  <c r="W1138" i="3"/>
  <c r="U1138" i="3"/>
  <c r="V1138" i="3" s="1"/>
  <c r="S1138" i="3"/>
  <c r="T1138" i="3" s="1"/>
  <c r="X1137" i="3"/>
  <c r="W1137" i="3"/>
  <c r="U1137" i="3"/>
  <c r="V1137" i="3" s="1"/>
  <c r="S1137" i="3"/>
  <c r="T1137" i="3" s="1"/>
  <c r="X940" i="3"/>
  <c r="W940" i="3"/>
  <c r="U940" i="3"/>
  <c r="V940" i="3" s="1"/>
  <c r="S940" i="3"/>
  <c r="T940" i="3" s="1"/>
  <c r="X98" i="3"/>
  <c r="W98" i="3"/>
  <c r="U98" i="3"/>
  <c r="V98" i="3" s="1"/>
  <c r="S98" i="3"/>
  <c r="T98" i="3" s="1"/>
  <c r="X1136" i="3"/>
  <c r="W1136" i="3"/>
  <c r="U1136" i="3"/>
  <c r="V1136" i="3" s="1"/>
  <c r="S1136" i="3"/>
  <c r="T1136" i="3" s="1"/>
  <c r="X350" i="3"/>
  <c r="W350" i="3"/>
  <c r="U350" i="3"/>
  <c r="V350" i="3" s="1"/>
  <c r="S350" i="3"/>
  <c r="T350" i="3" s="1"/>
  <c r="X97" i="3"/>
  <c r="W97" i="3"/>
  <c r="U97" i="3"/>
  <c r="V97" i="3" s="1"/>
  <c r="S97" i="3"/>
  <c r="T97" i="3" s="1"/>
  <c r="X1135" i="3"/>
  <c r="W1135" i="3"/>
  <c r="U1135" i="3"/>
  <c r="V1135" i="3" s="1"/>
  <c r="S1135" i="3"/>
  <c r="T1135" i="3" s="1"/>
  <c r="X1069" i="3"/>
  <c r="W1069" i="3"/>
  <c r="U1069" i="3"/>
  <c r="V1069" i="3" s="1"/>
  <c r="S1069" i="3"/>
  <c r="T1069" i="3" s="1"/>
  <c r="X1461" i="3"/>
  <c r="W1461" i="3"/>
  <c r="U1461" i="3"/>
  <c r="V1461" i="3" s="1"/>
  <c r="S1461" i="3"/>
  <c r="T1461" i="3" s="1"/>
  <c r="X568" i="3"/>
  <c r="W568" i="3"/>
  <c r="U568" i="3"/>
  <c r="V568" i="3" s="1"/>
  <c r="S568" i="3"/>
  <c r="T568" i="3" s="1"/>
  <c r="X1134" i="3"/>
  <c r="W1134" i="3"/>
  <c r="U1134" i="3"/>
  <c r="V1134" i="3" s="1"/>
  <c r="S1134" i="3"/>
  <c r="T1134" i="3" s="1"/>
  <c r="X1133" i="3"/>
  <c r="W1133" i="3"/>
  <c r="U1133" i="3"/>
  <c r="V1133" i="3" s="1"/>
  <c r="S1133" i="3"/>
  <c r="T1133" i="3" s="1"/>
  <c r="X795" i="3"/>
  <c r="W795" i="3"/>
  <c r="U795" i="3"/>
  <c r="V795" i="3" s="1"/>
  <c r="S795" i="3"/>
  <c r="T795" i="3" s="1"/>
  <c r="X939" i="3"/>
  <c r="W939" i="3"/>
  <c r="U939" i="3"/>
  <c r="V939" i="3" s="1"/>
  <c r="S939" i="3"/>
  <c r="T939" i="3" s="1"/>
  <c r="X938" i="3"/>
  <c r="W938" i="3"/>
  <c r="U938" i="3"/>
  <c r="V938" i="3" s="1"/>
  <c r="S938" i="3"/>
  <c r="T938" i="3" s="1"/>
  <c r="X96" i="3"/>
  <c r="W96" i="3"/>
  <c r="U96" i="3"/>
  <c r="V96" i="3" s="1"/>
  <c r="S96" i="3"/>
  <c r="T96" i="3" s="1"/>
  <c r="X95" i="3"/>
  <c r="W95" i="3"/>
  <c r="U95" i="3"/>
  <c r="V95" i="3" s="1"/>
  <c r="S95" i="3"/>
  <c r="T95" i="3" s="1"/>
  <c r="X94" i="3"/>
  <c r="W94" i="3"/>
  <c r="U94" i="3"/>
  <c r="V94" i="3" s="1"/>
  <c r="S94" i="3"/>
  <c r="T94" i="3" s="1"/>
  <c r="X1460" i="3"/>
  <c r="W1460" i="3"/>
  <c r="U1460" i="3"/>
  <c r="V1460" i="3" s="1"/>
  <c r="S1460" i="3"/>
  <c r="T1460" i="3" s="1"/>
  <c r="X794" i="3"/>
  <c r="W794" i="3"/>
  <c r="U794" i="3"/>
  <c r="V794" i="3" s="1"/>
  <c r="S794" i="3"/>
  <c r="T794" i="3" s="1"/>
  <c r="X1132" i="3"/>
  <c r="W1132" i="3"/>
  <c r="U1132" i="3"/>
  <c r="V1132" i="3" s="1"/>
  <c r="S1132" i="3"/>
  <c r="T1132" i="3" s="1"/>
  <c r="X1459" i="3"/>
  <c r="W1459" i="3"/>
  <c r="U1459" i="3"/>
  <c r="V1459" i="3" s="1"/>
  <c r="S1459" i="3"/>
  <c r="T1459" i="3" s="1"/>
  <c r="X1458" i="3"/>
  <c r="W1458" i="3"/>
  <c r="U1458" i="3"/>
  <c r="V1458" i="3" s="1"/>
  <c r="S1458" i="3"/>
  <c r="T1458" i="3" s="1"/>
  <c r="X1457" i="3"/>
  <c r="W1457" i="3"/>
  <c r="U1457" i="3"/>
  <c r="V1457" i="3" s="1"/>
  <c r="S1457" i="3"/>
  <c r="T1457" i="3" s="1"/>
  <c r="X1456" i="3"/>
  <c r="W1456" i="3"/>
  <c r="U1456" i="3"/>
  <c r="V1456" i="3" s="1"/>
  <c r="S1456" i="3"/>
  <c r="T1456" i="3" s="1"/>
  <c r="X21" i="3"/>
  <c r="W21" i="3"/>
  <c r="U21" i="3"/>
  <c r="V21" i="3" s="1"/>
  <c r="S21" i="3"/>
  <c r="T21" i="3" s="1"/>
  <c r="X1131" i="3"/>
  <c r="W1131" i="3"/>
  <c r="U1131" i="3"/>
  <c r="V1131" i="3" s="1"/>
  <c r="S1131" i="3"/>
  <c r="T1131" i="3" s="1"/>
  <c r="X937" i="3"/>
  <c r="W937" i="3"/>
  <c r="U937" i="3"/>
  <c r="V937" i="3" s="1"/>
  <c r="S937" i="3"/>
  <c r="T937" i="3" s="1"/>
  <c r="X567" i="3"/>
  <c r="W567" i="3"/>
  <c r="U567" i="3"/>
  <c r="V567" i="3" s="1"/>
  <c r="S567" i="3"/>
  <c r="T567" i="3" s="1"/>
  <c r="X793" i="3"/>
  <c r="W793" i="3"/>
  <c r="U793" i="3"/>
  <c r="V793" i="3" s="1"/>
  <c r="S793" i="3"/>
  <c r="T793" i="3" s="1"/>
  <c r="X349" i="3"/>
  <c r="W349" i="3"/>
  <c r="U349" i="3"/>
  <c r="V349" i="3" s="1"/>
  <c r="S349" i="3"/>
  <c r="T349" i="3" s="1"/>
  <c r="X1455" i="3"/>
  <c r="W1455" i="3"/>
  <c r="U1455" i="3"/>
  <c r="V1455" i="3" s="1"/>
  <c r="S1455" i="3"/>
  <c r="T1455" i="3" s="1"/>
  <c r="X936" i="3"/>
  <c r="W936" i="3"/>
  <c r="U936" i="3"/>
  <c r="V936" i="3" s="1"/>
  <c r="S936" i="3"/>
  <c r="T936" i="3" s="1"/>
  <c r="X460" i="3"/>
  <c r="W460" i="3"/>
  <c r="U460" i="3"/>
  <c r="V460" i="3" s="1"/>
  <c r="S460" i="3"/>
  <c r="T460" i="3" s="1"/>
  <c r="X348" i="3"/>
  <c r="W348" i="3"/>
  <c r="U348" i="3"/>
  <c r="V348" i="3" s="1"/>
  <c r="S348" i="3"/>
  <c r="T348" i="3" s="1"/>
  <c r="X20" i="3"/>
  <c r="W20" i="3"/>
  <c r="U20" i="3"/>
  <c r="V20" i="3" s="1"/>
  <c r="S20" i="3"/>
  <c r="T20" i="3" s="1"/>
  <c r="X19" i="3"/>
  <c r="W19" i="3"/>
  <c r="U19" i="3"/>
  <c r="V19" i="3" s="1"/>
  <c r="S19" i="3"/>
  <c r="T19" i="3" s="1"/>
  <c r="X347" i="3"/>
  <c r="W347" i="3"/>
  <c r="U347" i="3"/>
  <c r="V347" i="3" s="1"/>
  <c r="S347" i="3"/>
  <c r="T347" i="3" s="1"/>
  <c r="X93" i="3"/>
  <c r="W93" i="3"/>
  <c r="U93" i="3"/>
  <c r="V93" i="3" s="1"/>
  <c r="S93" i="3"/>
  <c r="T93" i="3" s="1"/>
  <c r="X1454" i="3"/>
  <c r="W1454" i="3"/>
  <c r="U1454" i="3"/>
  <c r="V1454" i="3" s="1"/>
  <c r="S1454" i="3"/>
  <c r="T1454" i="3" s="1"/>
  <c r="X566" i="3"/>
  <c r="W566" i="3"/>
  <c r="U566" i="3"/>
  <c r="V566" i="3" s="1"/>
  <c r="S566" i="3"/>
  <c r="T566" i="3" s="1"/>
  <c r="X565" i="3"/>
  <c r="W565" i="3"/>
  <c r="U565" i="3"/>
  <c r="V565" i="3" s="1"/>
  <c r="S565" i="3"/>
  <c r="T565" i="3" s="1"/>
  <c r="X346" i="3"/>
  <c r="W346" i="3"/>
  <c r="U346" i="3"/>
  <c r="V346" i="3" s="1"/>
  <c r="S346" i="3"/>
  <c r="T346" i="3" s="1"/>
  <c r="X345" i="3"/>
  <c r="W345" i="3"/>
  <c r="U345" i="3"/>
  <c r="V345" i="3" s="1"/>
  <c r="S345" i="3"/>
  <c r="T345" i="3" s="1"/>
  <c r="X1130" i="3"/>
  <c r="W1130" i="3"/>
  <c r="U1130" i="3"/>
  <c r="V1130" i="3" s="1"/>
  <c r="S1130" i="3"/>
  <c r="T1130" i="3" s="1"/>
  <c r="X18" i="3"/>
  <c r="W18" i="3"/>
  <c r="U18" i="3"/>
  <c r="V18" i="3" s="1"/>
  <c r="S18" i="3"/>
  <c r="T18" i="3" s="1"/>
  <c r="X1129" i="3"/>
  <c r="W1129" i="3"/>
  <c r="U1129" i="3"/>
  <c r="V1129" i="3" s="1"/>
  <c r="S1129" i="3"/>
  <c r="T1129" i="3" s="1"/>
  <c r="X935" i="3"/>
  <c r="W935" i="3"/>
  <c r="U935" i="3"/>
  <c r="V935" i="3" s="1"/>
  <c r="S935" i="3"/>
  <c r="T935" i="3" s="1"/>
  <c r="X92" i="3"/>
  <c r="W92" i="3"/>
  <c r="U92" i="3"/>
  <c r="V92" i="3" s="1"/>
  <c r="S92" i="3"/>
  <c r="T92" i="3" s="1"/>
  <c r="X91" i="3"/>
  <c r="W91" i="3"/>
  <c r="U91" i="3"/>
  <c r="V91" i="3" s="1"/>
  <c r="S91" i="3"/>
  <c r="T91" i="3" s="1"/>
  <c r="X1453" i="3"/>
  <c r="W1453" i="3"/>
  <c r="U1453" i="3"/>
  <c r="V1453" i="3" s="1"/>
  <c r="S1453" i="3"/>
  <c r="T1453" i="3" s="1"/>
  <c r="X1452" i="3"/>
  <c r="W1452" i="3"/>
  <c r="U1452" i="3"/>
  <c r="V1452" i="3" s="1"/>
  <c r="S1452" i="3"/>
  <c r="T1452" i="3" s="1"/>
  <c r="X1068" i="3"/>
  <c r="W1068" i="3"/>
  <c r="U1068" i="3"/>
  <c r="V1068" i="3" s="1"/>
  <c r="S1068" i="3"/>
  <c r="T1068" i="3" s="1"/>
  <c r="X178" i="3"/>
  <c r="W178" i="3"/>
  <c r="U178" i="3"/>
  <c r="V178" i="3" s="1"/>
  <c r="S178" i="3"/>
  <c r="T178" i="3" s="1"/>
  <c r="X344" i="3"/>
  <c r="W344" i="3"/>
  <c r="U344" i="3"/>
  <c r="V344" i="3" s="1"/>
  <c r="S344" i="3"/>
  <c r="T344" i="3" s="1"/>
  <c r="X792" i="3"/>
  <c r="W792" i="3"/>
  <c r="U792" i="3"/>
  <c r="V792" i="3" s="1"/>
  <c r="S792" i="3"/>
  <c r="T792" i="3" s="1"/>
  <c r="X1451" i="3"/>
  <c r="W1451" i="3"/>
  <c r="U1451" i="3"/>
  <c r="V1451" i="3" s="1"/>
  <c r="S1451" i="3"/>
  <c r="T1451" i="3" s="1"/>
  <c r="X934" i="3"/>
  <c r="W934" i="3"/>
  <c r="U934" i="3"/>
  <c r="V934" i="3" s="1"/>
  <c r="S934" i="3"/>
  <c r="T934" i="3" s="1"/>
  <c r="X343" i="3"/>
  <c r="W343" i="3"/>
  <c r="U343" i="3"/>
  <c r="V343" i="3" s="1"/>
  <c r="S343" i="3"/>
  <c r="T343" i="3" s="1"/>
  <c r="X791" i="3"/>
  <c r="W791" i="3"/>
  <c r="U791" i="3"/>
  <c r="V791" i="3" s="1"/>
  <c r="S791" i="3"/>
  <c r="T791" i="3" s="1"/>
  <c r="X342" i="3"/>
  <c r="W342" i="3"/>
  <c r="U342" i="3"/>
  <c r="V342" i="3" s="1"/>
  <c r="S342" i="3"/>
  <c r="T342" i="3" s="1"/>
  <c r="X1450" i="3"/>
  <c r="W1450" i="3"/>
  <c r="U1450" i="3"/>
  <c r="V1450" i="3" s="1"/>
  <c r="S1450" i="3"/>
  <c r="T1450" i="3" s="1"/>
  <c r="X933" i="3"/>
  <c r="W933" i="3"/>
  <c r="U933" i="3"/>
  <c r="V933" i="3" s="1"/>
  <c r="S933" i="3"/>
  <c r="T933" i="3" s="1"/>
  <c r="X932" i="3"/>
  <c r="W932" i="3"/>
  <c r="U932" i="3"/>
  <c r="V932" i="3" s="1"/>
  <c r="S932" i="3"/>
  <c r="T932" i="3" s="1"/>
  <c r="X341" i="3"/>
  <c r="W341" i="3"/>
  <c r="U341" i="3"/>
  <c r="V341" i="3" s="1"/>
  <c r="S341" i="3"/>
  <c r="T341" i="3" s="1"/>
  <c r="X790" i="3"/>
  <c r="W790" i="3"/>
  <c r="U790" i="3"/>
  <c r="V790" i="3" s="1"/>
  <c r="S790" i="3"/>
  <c r="T790" i="3" s="1"/>
  <c r="X1128" i="3"/>
  <c r="W1128" i="3"/>
  <c r="U1128" i="3"/>
  <c r="V1128" i="3" s="1"/>
  <c r="S1128" i="3"/>
  <c r="T1128" i="3" s="1"/>
  <c r="X1449" i="3"/>
  <c r="W1449" i="3"/>
  <c r="U1449" i="3"/>
  <c r="V1449" i="3" s="1"/>
  <c r="S1449" i="3"/>
  <c r="T1449" i="3" s="1"/>
  <c r="X789" i="3"/>
  <c r="W789" i="3"/>
  <c r="U789" i="3"/>
  <c r="V789" i="3" s="1"/>
  <c r="S789" i="3"/>
  <c r="T789" i="3" s="1"/>
  <c r="X17" i="3"/>
  <c r="W17" i="3"/>
  <c r="U17" i="3"/>
  <c r="V17" i="3" s="1"/>
  <c r="S17" i="3"/>
  <c r="T17" i="3" s="1"/>
  <c r="X1442" i="3"/>
  <c r="W1442" i="3"/>
  <c r="U1442" i="3"/>
  <c r="V1442" i="3" s="1"/>
  <c r="S1442" i="3"/>
  <c r="T1442" i="3" s="1"/>
  <c r="X1448" i="3"/>
  <c r="W1448" i="3"/>
  <c r="U1448" i="3"/>
  <c r="V1448" i="3" s="1"/>
  <c r="S1448" i="3"/>
  <c r="T1448" i="3" s="1"/>
  <c r="X1127" i="3"/>
  <c r="W1127" i="3"/>
  <c r="U1127" i="3"/>
  <c r="V1127" i="3" s="1"/>
  <c r="S1127" i="3"/>
  <c r="T1127" i="3" s="1"/>
  <c r="X1447" i="3"/>
  <c r="W1447" i="3"/>
  <c r="U1447" i="3"/>
  <c r="V1447" i="3" s="1"/>
  <c r="S1447" i="3"/>
  <c r="T1447" i="3" s="1"/>
  <c r="X1446" i="3"/>
  <c r="W1446" i="3"/>
  <c r="U1446" i="3"/>
  <c r="V1446" i="3" s="1"/>
  <c r="S1446" i="3"/>
  <c r="T1446" i="3" s="1"/>
  <c r="X1067" i="3"/>
  <c r="W1067" i="3"/>
  <c r="U1067" i="3"/>
  <c r="V1067" i="3" s="1"/>
  <c r="S1067" i="3"/>
  <c r="T1067" i="3" s="1"/>
  <c r="X1445" i="3"/>
  <c r="W1445" i="3"/>
  <c r="U1445" i="3"/>
  <c r="V1445" i="3" s="1"/>
  <c r="S1445" i="3"/>
  <c r="T1445" i="3" s="1"/>
  <c r="X1126" i="3"/>
  <c r="W1126" i="3"/>
  <c r="U1126" i="3"/>
  <c r="V1126" i="3" s="1"/>
  <c r="S1126" i="3"/>
  <c r="T1126" i="3" s="1"/>
  <c r="X340" i="3"/>
  <c r="W340" i="3"/>
  <c r="U340" i="3"/>
  <c r="V340" i="3" s="1"/>
  <c r="S340" i="3"/>
  <c r="T340" i="3" s="1"/>
  <c r="X563" i="3"/>
  <c r="W563" i="3"/>
  <c r="U563" i="3"/>
  <c r="V563" i="3" s="1"/>
  <c r="S563" i="3"/>
  <c r="T563" i="3" s="1"/>
  <c r="X1444" i="3"/>
  <c r="W1444" i="3"/>
  <c r="U1444" i="3"/>
  <c r="V1444" i="3" s="1"/>
  <c r="S1444" i="3"/>
  <c r="T1444" i="3" s="1"/>
  <c r="X562" i="3"/>
  <c r="W562" i="3"/>
  <c r="U562" i="3"/>
  <c r="V562" i="3" s="1"/>
  <c r="S562" i="3"/>
  <c r="T562" i="3" s="1"/>
  <c r="X931" i="3"/>
  <c r="W931" i="3"/>
  <c r="U931" i="3"/>
  <c r="V931" i="3" s="1"/>
  <c r="S931" i="3"/>
  <c r="T931" i="3" s="1"/>
  <c r="X788" i="3"/>
  <c r="W788" i="3"/>
  <c r="U788" i="3"/>
  <c r="V788" i="3" s="1"/>
  <c r="S788" i="3"/>
  <c r="T788" i="3" s="1"/>
  <c r="X1125" i="3"/>
  <c r="W1125" i="3"/>
  <c r="U1125" i="3"/>
  <c r="V1125" i="3" s="1"/>
  <c r="S1125" i="3"/>
  <c r="T1125" i="3" s="1"/>
  <c r="X561" i="3"/>
  <c r="W561" i="3"/>
  <c r="U561" i="3"/>
  <c r="V561" i="3" s="1"/>
  <c r="S561" i="3"/>
  <c r="T561" i="3" s="1"/>
  <c r="X90" i="3"/>
  <c r="W90" i="3"/>
  <c r="U90" i="3"/>
  <c r="V90" i="3" s="1"/>
  <c r="S90" i="3"/>
  <c r="T90" i="3" s="1"/>
  <c r="X1443" i="3"/>
  <c r="W1443" i="3"/>
  <c r="U1443" i="3"/>
  <c r="V1443" i="3" s="1"/>
  <c r="S1443" i="3"/>
  <c r="T1443" i="3" s="1"/>
  <c r="X560" i="3"/>
  <c r="W560" i="3"/>
  <c r="U560" i="3"/>
  <c r="V560" i="3" s="1"/>
  <c r="S560" i="3"/>
  <c r="T560" i="3" s="1"/>
  <c r="X559" i="3"/>
  <c r="W559" i="3"/>
  <c r="U559" i="3"/>
  <c r="V559" i="3" s="1"/>
  <c r="S559" i="3"/>
  <c r="T559" i="3" s="1"/>
  <c r="X1124" i="3"/>
  <c r="W1124" i="3"/>
  <c r="U1124" i="3"/>
  <c r="V1124" i="3" s="1"/>
  <c r="S1124" i="3"/>
  <c r="T1124" i="3" s="1"/>
  <c r="X787" i="3"/>
  <c r="W787" i="3"/>
  <c r="U787" i="3"/>
  <c r="V787" i="3" s="1"/>
  <c r="S787" i="3"/>
  <c r="T787" i="3" s="1"/>
  <c r="X786" i="3"/>
  <c r="W786" i="3"/>
  <c r="U786" i="3"/>
  <c r="V786" i="3" s="1"/>
  <c r="S786" i="3"/>
  <c r="T786" i="3" s="1"/>
  <c r="X785" i="3"/>
  <c r="W785" i="3"/>
  <c r="U785" i="3"/>
  <c r="V785" i="3" s="1"/>
  <c r="S785" i="3"/>
  <c r="T785" i="3" s="1"/>
  <c r="X1066" i="3"/>
  <c r="W1066" i="3"/>
  <c r="U1066" i="3"/>
  <c r="V1066" i="3" s="1"/>
  <c r="S1066" i="3"/>
  <c r="T1066" i="3" s="1"/>
  <c r="X557" i="3"/>
  <c r="W557" i="3"/>
  <c r="U557" i="3"/>
  <c r="V557" i="3" s="1"/>
  <c r="S557" i="3"/>
  <c r="T557" i="3" s="1"/>
  <c r="X459" i="3"/>
  <c r="W459" i="3"/>
  <c r="U459" i="3"/>
  <c r="V459" i="3" s="1"/>
  <c r="S459" i="3"/>
  <c r="T459" i="3" s="1"/>
  <c r="X339" i="3"/>
  <c r="W339" i="3"/>
  <c r="U339" i="3"/>
  <c r="V339" i="3" s="1"/>
  <c r="S339" i="3"/>
  <c r="T339" i="3" s="1"/>
  <c r="X338" i="3"/>
  <c r="W338" i="3"/>
  <c r="U338" i="3"/>
  <c r="V338" i="3" s="1"/>
  <c r="S338" i="3"/>
  <c r="T338" i="3" s="1"/>
  <c r="X337" i="3"/>
  <c r="W337" i="3"/>
  <c r="U337" i="3"/>
  <c r="V337" i="3" s="1"/>
  <c r="S337" i="3"/>
  <c r="T337" i="3" s="1"/>
  <c r="X177" i="3"/>
  <c r="W177" i="3"/>
  <c r="U177" i="3"/>
  <c r="V177" i="3" s="1"/>
  <c r="S177" i="3"/>
  <c r="T177" i="3" s="1"/>
  <c r="X1441" i="3"/>
  <c r="W1441" i="3"/>
  <c r="U1441" i="3"/>
  <c r="V1441" i="3" s="1"/>
  <c r="S1441" i="3"/>
  <c r="T1441" i="3" s="1"/>
  <c r="X556" i="3"/>
  <c r="W556" i="3"/>
  <c r="U556" i="3"/>
  <c r="V556" i="3" s="1"/>
  <c r="S556" i="3"/>
  <c r="T556" i="3" s="1"/>
  <c r="X176" i="3"/>
  <c r="W176" i="3"/>
  <c r="U176" i="3"/>
  <c r="V176" i="3" s="1"/>
  <c r="S176" i="3"/>
  <c r="T176" i="3" s="1"/>
  <c r="X89" i="3"/>
  <c r="W89" i="3"/>
  <c r="U89" i="3"/>
  <c r="V89" i="3" s="1"/>
  <c r="S89" i="3"/>
  <c r="T89" i="3" s="1"/>
  <c r="X930" i="3"/>
  <c r="W930" i="3"/>
  <c r="U930" i="3"/>
  <c r="V930" i="3" s="1"/>
  <c r="S930" i="3"/>
  <c r="T930" i="3" s="1"/>
  <c r="X1440" i="3"/>
  <c r="W1440" i="3"/>
  <c r="U1440" i="3"/>
  <c r="V1440" i="3" s="1"/>
  <c r="S1440" i="3"/>
  <c r="T1440" i="3" s="1"/>
  <c r="X1439" i="3"/>
  <c r="W1439" i="3"/>
  <c r="U1439" i="3"/>
  <c r="V1439" i="3" s="1"/>
  <c r="S1439" i="3"/>
  <c r="T1439" i="3" s="1"/>
  <c r="X784" i="3"/>
  <c r="W784" i="3"/>
  <c r="U784" i="3"/>
  <c r="V784" i="3" s="1"/>
  <c r="S784" i="3"/>
  <c r="T784" i="3" s="1"/>
  <c r="X783" i="3"/>
  <c r="W783" i="3"/>
  <c r="U783" i="3"/>
  <c r="V783" i="3" s="1"/>
  <c r="S783" i="3"/>
  <c r="T783" i="3" s="1"/>
  <c r="X929" i="3"/>
  <c r="W929" i="3"/>
  <c r="U929" i="3"/>
  <c r="V929" i="3" s="1"/>
  <c r="S929" i="3"/>
  <c r="T929" i="3" s="1"/>
  <c r="X1438" i="3"/>
  <c r="W1438" i="3"/>
  <c r="U1438" i="3"/>
  <c r="V1438" i="3" s="1"/>
  <c r="S1438" i="3"/>
  <c r="T1438" i="3" s="1"/>
  <c r="X16" i="3"/>
  <c r="W16" i="3"/>
  <c r="U16" i="3"/>
  <c r="V16" i="3" s="1"/>
  <c r="S16" i="3"/>
  <c r="T16" i="3" s="1"/>
  <c r="X15" i="3"/>
  <c r="W15" i="3"/>
  <c r="U15" i="3"/>
  <c r="V15" i="3" s="1"/>
  <c r="S15" i="3"/>
  <c r="T15" i="3" s="1"/>
  <c r="X14" i="3"/>
  <c r="W14" i="3"/>
  <c r="U14" i="3"/>
  <c r="V14" i="3" s="1"/>
  <c r="S14" i="3"/>
  <c r="T14" i="3" s="1"/>
  <c r="X13" i="3"/>
  <c r="W13" i="3"/>
  <c r="U13" i="3"/>
  <c r="V13" i="3" s="1"/>
  <c r="S13" i="3"/>
  <c r="T13" i="3" s="1"/>
  <c r="X1437" i="3"/>
  <c r="W1437" i="3"/>
  <c r="U1437" i="3"/>
  <c r="V1437" i="3" s="1"/>
  <c r="S1437" i="3"/>
  <c r="T1437" i="3" s="1"/>
  <c r="X12" i="3"/>
  <c r="W12" i="3"/>
  <c r="U12" i="3"/>
  <c r="V12" i="3" s="1"/>
  <c r="S12" i="3"/>
  <c r="T12" i="3" s="1"/>
  <c r="X11" i="3"/>
  <c r="W11" i="3"/>
  <c r="U11" i="3"/>
  <c r="V11" i="3" s="1"/>
  <c r="S11" i="3"/>
  <c r="T11" i="3" s="1"/>
  <c r="X10" i="3"/>
  <c r="W10" i="3"/>
  <c r="U10" i="3"/>
  <c r="V10" i="3" s="1"/>
  <c r="S10" i="3"/>
  <c r="T10" i="3" s="1"/>
  <c r="X9" i="3"/>
  <c r="W9" i="3"/>
  <c r="U9" i="3"/>
  <c r="V9" i="3" s="1"/>
  <c r="S9" i="3"/>
  <c r="T9" i="3" s="1"/>
  <c r="X782" i="3"/>
  <c r="W782" i="3"/>
  <c r="U782" i="3"/>
  <c r="V782" i="3" s="1"/>
  <c r="S782" i="3"/>
  <c r="T782" i="3" s="1"/>
  <c r="X558" i="3"/>
  <c r="W558" i="3"/>
  <c r="U558" i="3"/>
  <c r="V558" i="3" s="1"/>
  <c r="S558" i="3"/>
  <c r="T558" i="3" s="1"/>
  <c r="X8" i="3"/>
  <c r="W8" i="3"/>
  <c r="U8" i="3"/>
  <c r="V8" i="3" s="1"/>
  <c r="S8" i="3"/>
  <c r="T8" i="3" s="1"/>
  <c r="X6" i="3"/>
  <c r="W6" i="3"/>
  <c r="U6" i="3"/>
  <c r="V6" i="3" s="1"/>
  <c r="S6" i="3"/>
  <c r="T6" i="3" s="1"/>
  <c r="X1123" i="3"/>
  <c r="W1123" i="3"/>
  <c r="U1123" i="3"/>
  <c r="V1123" i="3" s="1"/>
  <c r="S1123" i="3"/>
  <c r="T1123" i="3" s="1"/>
  <c r="X175" i="3"/>
  <c r="W175" i="3"/>
  <c r="U175" i="3"/>
  <c r="V175" i="3" s="1"/>
  <c r="S175" i="3"/>
  <c r="T175" i="3" s="1"/>
  <c r="X458" i="3"/>
  <c r="W458" i="3"/>
  <c r="U458" i="3"/>
  <c r="V458" i="3" s="1"/>
  <c r="S458" i="3"/>
  <c r="T458" i="3" s="1"/>
  <c r="X5" i="3"/>
  <c r="W5" i="3"/>
  <c r="U5" i="3"/>
  <c r="V5" i="3" s="1"/>
  <c r="S5" i="3"/>
  <c r="T5" i="3" s="1"/>
  <c r="X1122" i="3"/>
  <c r="W1122" i="3"/>
  <c r="U1122" i="3"/>
  <c r="V1122" i="3" s="1"/>
  <c r="S1122" i="3"/>
  <c r="T1122" i="3" s="1"/>
  <c r="X336" i="3"/>
  <c r="W336" i="3"/>
  <c r="U336" i="3"/>
  <c r="V336" i="3" s="1"/>
  <c r="S336" i="3"/>
  <c r="T336" i="3" s="1"/>
  <c r="X174" i="3"/>
  <c r="W174" i="3"/>
  <c r="U174" i="3"/>
  <c r="V174" i="3" s="1"/>
  <c r="S174" i="3"/>
  <c r="T174" i="3" s="1"/>
  <c r="X555" i="3"/>
  <c r="W555" i="3"/>
  <c r="U555" i="3"/>
  <c r="V555" i="3" s="1"/>
  <c r="S555" i="3"/>
  <c r="T555" i="3" s="1"/>
  <c r="X335" i="3"/>
  <c r="W335" i="3"/>
  <c r="U335" i="3"/>
  <c r="V335" i="3" s="1"/>
  <c r="S335" i="3"/>
  <c r="T335" i="3" s="1"/>
  <c r="X1121" i="3"/>
  <c r="W1121" i="3"/>
  <c r="U1121" i="3"/>
  <c r="V1121" i="3" s="1"/>
  <c r="S1121" i="3"/>
  <c r="T1121" i="3" s="1"/>
  <c r="X4" i="3"/>
  <c r="W4" i="3"/>
  <c r="U4" i="3"/>
  <c r="V4" i="3" s="1"/>
  <c r="S4" i="3"/>
  <c r="T4" i="3" s="1"/>
  <c r="X334" i="3"/>
  <c r="W334" i="3"/>
  <c r="U334" i="3"/>
  <c r="V334" i="3" s="1"/>
  <c r="S334" i="3"/>
  <c r="T334" i="3" s="1"/>
  <c r="X1120" i="3"/>
  <c r="W1120" i="3"/>
  <c r="U1120" i="3"/>
  <c r="V1120" i="3" s="1"/>
  <c r="S1120" i="3"/>
  <c r="T1120" i="3" s="1"/>
  <c r="X173" i="3"/>
  <c r="W173" i="3"/>
  <c r="U173" i="3"/>
  <c r="V173" i="3" s="1"/>
  <c r="S173" i="3"/>
  <c r="T173" i="3" s="1"/>
  <c r="X88" i="3"/>
  <c r="W88" i="3"/>
  <c r="U88" i="3"/>
  <c r="V88" i="3" s="1"/>
  <c r="S88" i="3"/>
  <c r="T88" i="3" s="1"/>
  <c r="X928" i="3"/>
  <c r="W928" i="3"/>
  <c r="U928" i="3"/>
  <c r="V928" i="3" s="1"/>
  <c r="S928" i="3"/>
  <c r="T928" i="3" s="1"/>
  <c r="X1119" i="3"/>
  <c r="W1119" i="3"/>
  <c r="U1119" i="3"/>
  <c r="V1119" i="3" s="1"/>
  <c r="S1119" i="3"/>
  <c r="T1119" i="3" s="1"/>
  <c r="X1436" i="3"/>
  <c r="W1436" i="3"/>
  <c r="U1436" i="3"/>
  <c r="V1436" i="3" s="1"/>
  <c r="S1436" i="3"/>
  <c r="T1436" i="3" s="1"/>
  <c r="X554" i="3"/>
  <c r="W554" i="3"/>
  <c r="U554" i="3"/>
  <c r="V554" i="3" s="1"/>
  <c r="S554" i="3"/>
  <c r="T554" i="3" s="1"/>
  <c r="X1118" i="3"/>
  <c r="W1118" i="3"/>
  <c r="U1118" i="3"/>
  <c r="V1118" i="3" s="1"/>
  <c r="S1118" i="3"/>
  <c r="T1118" i="3" s="1"/>
  <c r="X781" i="3"/>
  <c r="W781" i="3"/>
  <c r="U781" i="3"/>
  <c r="V781" i="3" s="1"/>
  <c r="S781" i="3"/>
  <c r="T781" i="3" s="1"/>
  <c r="X1435" i="3"/>
  <c r="W1435" i="3"/>
  <c r="U1435" i="3"/>
  <c r="V1435" i="3" s="1"/>
  <c r="S1435" i="3"/>
  <c r="T1435" i="3" s="1"/>
  <c r="X1117" i="3"/>
  <c r="W1117" i="3"/>
  <c r="U1117" i="3"/>
  <c r="V1117" i="3" s="1"/>
  <c r="S1117" i="3"/>
  <c r="T1117" i="3" s="1"/>
  <c r="X780" i="3"/>
  <c r="W780" i="3"/>
  <c r="U780" i="3"/>
  <c r="V780" i="3" s="1"/>
  <c r="S780" i="3"/>
  <c r="T780" i="3" s="1"/>
  <c r="X87" i="3"/>
  <c r="W87" i="3"/>
  <c r="U87" i="3"/>
  <c r="V87" i="3" s="1"/>
  <c r="S87" i="3"/>
  <c r="T87" i="3" s="1"/>
  <c r="X3" i="3"/>
  <c r="W3" i="3"/>
  <c r="U3" i="3"/>
  <c r="V3" i="3" s="1"/>
  <c r="S3" i="3"/>
  <c r="T3" i="3" s="1"/>
  <c r="X1116" i="3"/>
  <c r="W1116" i="3"/>
  <c r="U1116" i="3"/>
  <c r="V1116" i="3" s="1"/>
  <c r="S1116" i="3"/>
  <c r="T1116" i="3" s="1"/>
  <c r="X172" i="3"/>
  <c r="W172" i="3"/>
  <c r="U172" i="3"/>
  <c r="V172" i="3" s="1"/>
  <c r="S172" i="3"/>
  <c r="T172" i="3" s="1"/>
  <c r="X457" i="3"/>
  <c r="W457" i="3"/>
  <c r="U457" i="3"/>
  <c r="V457" i="3" s="1"/>
  <c r="S457" i="3"/>
  <c r="T457" i="3" s="1"/>
  <c r="X779" i="3"/>
  <c r="W779" i="3"/>
  <c r="U779" i="3"/>
  <c r="V779" i="3" s="1"/>
  <c r="S779" i="3"/>
  <c r="T779" i="3" s="1"/>
  <c r="X553" i="3"/>
  <c r="W553" i="3"/>
  <c r="U553" i="3"/>
  <c r="V553" i="3" s="1"/>
  <c r="S553" i="3"/>
  <c r="T553" i="3" s="1"/>
  <c r="X333" i="3"/>
  <c r="W333" i="3"/>
  <c r="U333" i="3"/>
  <c r="V333" i="3" s="1"/>
  <c r="S333" i="3"/>
  <c r="T333" i="3" s="1"/>
  <c r="X778" i="3"/>
  <c r="W778" i="3"/>
  <c r="U778" i="3"/>
  <c r="V778" i="3" s="1"/>
  <c r="S778" i="3"/>
  <c r="T778" i="3" s="1"/>
  <c r="X552" i="3"/>
  <c r="W552" i="3"/>
  <c r="U552" i="3"/>
  <c r="V552" i="3" s="1"/>
  <c r="S552" i="3"/>
  <c r="T552" i="3" s="1"/>
  <c r="X927" i="3"/>
  <c r="W927" i="3"/>
  <c r="U927" i="3"/>
  <c r="V927" i="3" s="1"/>
  <c r="S927" i="3"/>
  <c r="T927" i="3" s="1"/>
  <c r="X1434" i="3"/>
  <c r="W1434" i="3"/>
  <c r="U1434" i="3"/>
  <c r="V1434" i="3" s="1"/>
  <c r="S1434" i="3"/>
  <c r="T1434" i="3" s="1"/>
  <c r="X777" i="3"/>
  <c r="W777" i="3"/>
  <c r="U777" i="3"/>
  <c r="V777" i="3" s="1"/>
  <c r="S777" i="3"/>
  <c r="T777" i="3" s="1"/>
  <c r="X926" i="3"/>
  <c r="W926" i="3"/>
  <c r="U926" i="3"/>
  <c r="V926" i="3" s="1"/>
  <c r="S926" i="3"/>
  <c r="T926" i="3" s="1"/>
  <c r="X86" i="3"/>
  <c r="W86" i="3"/>
  <c r="U86" i="3"/>
  <c r="V86" i="3" s="1"/>
  <c r="S86" i="3"/>
  <c r="T86" i="3" s="1"/>
  <c r="X1433" i="3"/>
  <c r="W1433" i="3"/>
  <c r="U1433" i="3"/>
  <c r="V1433" i="3" s="1"/>
  <c r="S1433" i="3"/>
  <c r="T1433" i="3" s="1"/>
  <c r="X1432" i="3"/>
  <c r="W1432" i="3"/>
  <c r="U1432" i="3"/>
  <c r="V1432" i="3" s="1"/>
  <c r="S1432" i="3"/>
  <c r="T1432" i="3" s="1"/>
  <c r="X332" i="3"/>
  <c r="W332" i="3"/>
  <c r="U332" i="3"/>
  <c r="V332" i="3" s="1"/>
  <c r="S332" i="3"/>
  <c r="T332" i="3" s="1"/>
  <c r="X1431" i="3"/>
  <c r="W1431" i="3"/>
  <c r="U1431" i="3"/>
  <c r="V1431" i="3" s="1"/>
  <c r="S1431" i="3"/>
  <c r="T1431" i="3" s="1"/>
  <c r="X331" i="3"/>
  <c r="W331" i="3"/>
  <c r="U331" i="3"/>
  <c r="V331" i="3" s="1"/>
  <c r="S331" i="3"/>
  <c r="T331" i="3" s="1"/>
  <c r="X551" i="3"/>
  <c r="W551" i="3"/>
  <c r="U551" i="3"/>
  <c r="V551" i="3" s="1"/>
  <c r="S551" i="3"/>
  <c r="T551" i="3" s="1"/>
  <c r="X330" i="3"/>
  <c r="W330" i="3"/>
  <c r="U330" i="3"/>
  <c r="V330" i="3" s="1"/>
  <c r="S330" i="3"/>
  <c r="T330" i="3" s="1"/>
  <c r="X776" i="3"/>
  <c r="W776" i="3"/>
  <c r="U776" i="3"/>
  <c r="V776" i="3" s="1"/>
  <c r="S776" i="3"/>
  <c r="T776" i="3" s="1"/>
  <c r="X329" i="3"/>
  <c r="W329" i="3"/>
  <c r="U329" i="3"/>
  <c r="V329" i="3" s="1"/>
  <c r="S329" i="3"/>
  <c r="T329" i="3" s="1"/>
  <c r="X550" i="3"/>
  <c r="W550" i="3"/>
  <c r="U550" i="3"/>
  <c r="V550" i="3" s="1"/>
  <c r="S550" i="3"/>
  <c r="T550" i="3" s="1"/>
  <c r="X549" i="3"/>
  <c r="W549" i="3"/>
  <c r="U549" i="3"/>
  <c r="V549" i="3" s="1"/>
  <c r="S549" i="3"/>
  <c r="T549" i="3" s="1"/>
  <c r="X775" i="3"/>
  <c r="W775" i="3"/>
  <c r="U775" i="3"/>
  <c r="V775" i="3" s="1"/>
  <c r="S775" i="3"/>
  <c r="T775" i="3" s="1"/>
  <c r="X548" i="3"/>
  <c r="W548" i="3"/>
  <c r="U548" i="3"/>
  <c r="V548" i="3" s="1"/>
  <c r="S548" i="3"/>
  <c r="T548" i="3" s="1"/>
  <c r="X1115" i="3"/>
  <c r="W1115" i="3"/>
  <c r="U1115" i="3"/>
  <c r="V1115" i="3" s="1"/>
  <c r="S1115" i="3"/>
  <c r="T1115" i="3" s="1"/>
  <c r="X774" i="3"/>
  <c r="W774" i="3"/>
  <c r="U774" i="3"/>
  <c r="V774" i="3" s="1"/>
  <c r="S774" i="3"/>
  <c r="T774" i="3" s="1"/>
  <c r="X1430" i="3"/>
  <c r="W1430" i="3"/>
  <c r="U1430" i="3"/>
  <c r="V1430" i="3" s="1"/>
  <c r="S1430" i="3"/>
  <c r="T1430" i="3" s="1"/>
  <c r="X1114" i="3"/>
  <c r="W1114" i="3"/>
  <c r="U1114" i="3"/>
  <c r="V1114" i="3" s="1"/>
  <c r="S1114" i="3"/>
  <c r="T1114" i="3" s="1"/>
  <c r="X925" i="3"/>
  <c r="W925" i="3"/>
  <c r="U925" i="3"/>
  <c r="V925" i="3" s="1"/>
  <c r="S925" i="3"/>
  <c r="T925" i="3" s="1"/>
  <c r="X773" i="3"/>
  <c r="W773" i="3"/>
  <c r="U773" i="3"/>
  <c r="V773" i="3" s="1"/>
  <c r="S773" i="3"/>
  <c r="T773" i="3" s="1"/>
  <c r="X772" i="3"/>
  <c r="W772" i="3"/>
  <c r="U772" i="3"/>
  <c r="V772" i="3" s="1"/>
  <c r="S772" i="3"/>
  <c r="T772" i="3" s="1"/>
  <c r="X1113" i="3"/>
  <c r="W1113" i="3"/>
  <c r="U1113" i="3"/>
  <c r="V1113" i="3" s="1"/>
  <c r="S1113" i="3"/>
  <c r="T1113" i="3" s="1"/>
  <c r="X924" i="3"/>
  <c r="W924" i="3"/>
  <c r="U924" i="3"/>
  <c r="V924" i="3" s="1"/>
  <c r="S924" i="3"/>
  <c r="T924" i="3" s="1"/>
  <c r="X171" i="3"/>
  <c r="W171" i="3"/>
  <c r="U171" i="3"/>
  <c r="V171" i="3" s="1"/>
  <c r="S171" i="3"/>
  <c r="T171" i="3" s="1"/>
  <c r="X1112" i="3"/>
  <c r="W1112" i="3"/>
  <c r="U1112" i="3"/>
  <c r="V1112" i="3" s="1"/>
  <c r="S1112" i="3"/>
  <c r="T1112" i="3" s="1"/>
  <c r="X1429" i="3"/>
  <c r="W1429" i="3"/>
  <c r="U1429" i="3"/>
  <c r="V1429" i="3" s="1"/>
  <c r="S1429" i="3"/>
  <c r="T1429" i="3" s="1"/>
  <c r="X1111" i="3"/>
  <c r="W1111" i="3"/>
  <c r="U1111" i="3"/>
  <c r="V1111" i="3" s="1"/>
  <c r="S1111" i="3"/>
  <c r="T1111" i="3" s="1"/>
  <c r="X1428" i="3"/>
  <c r="W1428" i="3"/>
  <c r="U1428" i="3"/>
  <c r="V1428" i="3" s="1"/>
  <c r="S1428" i="3"/>
  <c r="T1428" i="3" s="1"/>
  <c r="X547" i="3"/>
  <c r="W547" i="3"/>
  <c r="U547" i="3"/>
  <c r="V547" i="3" s="1"/>
  <c r="S547" i="3"/>
  <c r="T547" i="3" s="1"/>
  <c r="X546" i="3"/>
  <c r="W546" i="3"/>
  <c r="U546" i="3"/>
  <c r="V546" i="3" s="1"/>
  <c r="S546" i="3"/>
  <c r="T546" i="3" s="1"/>
  <c r="X1427" i="3"/>
  <c r="W1427" i="3"/>
  <c r="U1427" i="3"/>
  <c r="V1427" i="3" s="1"/>
  <c r="S1427" i="3"/>
  <c r="T1427" i="3" s="1"/>
  <c r="X1426" i="3"/>
  <c r="W1426" i="3"/>
  <c r="U1426" i="3"/>
  <c r="V1426" i="3" s="1"/>
  <c r="S1426" i="3"/>
  <c r="T1426" i="3" s="1"/>
  <c r="X1425" i="3"/>
  <c r="W1425" i="3"/>
  <c r="U1425" i="3"/>
  <c r="V1425" i="3" s="1"/>
  <c r="S1425" i="3"/>
  <c r="T1425" i="3" s="1"/>
  <c r="X170" i="3"/>
  <c r="W170" i="3"/>
  <c r="U170" i="3"/>
  <c r="V170" i="3" s="1"/>
  <c r="S170" i="3"/>
  <c r="T170" i="3" s="1"/>
  <c r="X545" i="3"/>
  <c r="W545" i="3"/>
  <c r="U545" i="3"/>
  <c r="V545" i="3" s="1"/>
  <c r="S545" i="3"/>
  <c r="T545" i="3" s="1"/>
  <c r="X2" i="3"/>
  <c r="W2" i="3"/>
  <c r="U2" i="3"/>
  <c r="V2" i="3" s="1"/>
  <c r="S2" i="3"/>
  <c r="T2" i="3" s="1"/>
  <c r="X1424" i="3"/>
  <c r="W1424" i="3"/>
  <c r="U1424" i="3"/>
  <c r="V1424" i="3" s="1"/>
  <c r="S1424" i="3"/>
  <c r="T1424" i="3" s="1"/>
  <c r="X544" i="3"/>
  <c r="W544" i="3"/>
  <c r="U544" i="3"/>
  <c r="V544" i="3" s="1"/>
  <c r="S544" i="3"/>
  <c r="T544" i="3" s="1"/>
  <c r="X328" i="3"/>
  <c r="W328" i="3"/>
  <c r="U328" i="3"/>
  <c r="V328" i="3" s="1"/>
  <c r="S328" i="3"/>
  <c r="T328" i="3" s="1"/>
  <c r="X327" i="3"/>
  <c r="W327" i="3"/>
  <c r="U327" i="3"/>
  <c r="V327" i="3" s="1"/>
  <c r="S327" i="3"/>
  <c r="T327" i="3" s="1"/>
  <c r="X543" i="3"/>
  <c r="W543" i="3"/>
  <c r="U543" i="3"/>
  <c r="V543" i="3" s="1"/>
  <c r="S543" i="3"/>
  <c r="T543" i="3" s="1"/>
  <c r="X542" i="3"/>
  <c r="W542" i="3"/>
  <c r="U542" i="3"/>
  <c r="V542" i="3" s="1"/>
  <c r="S542" i="3"/>
  <c r="T542" i="3" s="1"/>
  <c r="X771" i="3"/>
  <c r="W771" i="3"/>
  <c r="U771" i="3"/>
  <c r="V771" i="3" s="1"/>
  <c r="S771" i="3"/>
  <c r="T771" i="3" s="1"/>
  <c r="X169" i="3"/>
  <c r="W169" i="3"/>
  <c r="U169" i="3"/>
  <c r="V169" i="3" s="1"/>
  <c r="S169" i="3"/>
  <c r="T169" i="3" s="1"/>
  <c r="X326" i="3"/>
  <c r="W326" i="3"/>
  <c r="U326" i="3"/>
  <c r="V326" i="3" s="1"/>
  <c r="S326" i="3"/>
  <c r="T326" i="3" s="1"/>
  <c r="X325" i="3"/>
  <c r="W325" i="3"/>
  <c r="U325" i="3"/>
  <c r="V325" i="3" s="1"/>
  <c r="S325" i="3"/>
  <c r="T325" i="3" s="1"/>
  <c r="X1110" i="3"/>
  <c r="W1110" i="3"/>
  <c r="U1110" i="3"/>
  <c r="V1110" i="3" s="1"/>
  <c r="S1110" i="3"/>
  <c r="T1110" i="3" s="1"/>
  <c r="X923" i="3"/>
  <c r="W923" i="3"/>
  <c r="U923" i="3"/>
  <c r="V923" i="3" s="1"/>
  <c r="S923" i="3"/>
  <c r="T923" i="3" s="1"/>
  <c r="X1423" i="3"/>
  <c r="W1423" i="3"/>
  <c r="U1423" i="3"/>
  <c r="V1423" i="3" s="1"/>
  <c r="S1423" i="3"/>
  <c r="T1423" i="3" s="1"/>
  <c r="X541" i="3"/>
  <c r="W541" i="3"/>
  <c r="U541" i="3"/>
  <c r="V541" i="3" s="1"/>
  <c r="S541" i="3"/>
  <c r="T541" i="3" s="1"/>
  <c r="X324" i="3"/>
  <c r="W324" i="3"/>
  <c r="U324" i="3"/>
  <c r="V324" i="3" s="1"/>
  <c r="S324" i="3"/>
  <c r="T324" i="3" s="1"/>
  <c r="X1109" i="3"/>
  <c r="W1109" i="3"/>
  <c r="U1109" i="3"/>
  <c r="V1109" i="3" s="1"/>
  <c r="S1109" i="3"/>
  <c r="T1109" i="3" s="1"/>
  <c r="X1422" i="3"/>
  <c r="W1422" i="3"/>
  <c r="U1422" i="3"/>
  <c r="V1422" i="3" s="1"/>
  <c r="S1422" i="3"/>
  <c r="T1422" i="3" s="1"/>
  <c r="X1421" i="3"/>
  <c r="W1421" i="3"/>
  <c r="U1421" i="3"/>
  <c r="V1421" i="3" s="1"/>
  <c r="S1421" i="3"/>
  <c r="T1421" i="3" s="1"/>
  <c r="X922" i="3"/>
  <c r="W922" i="3"/>
  <c r="U922" i="3"/>
  <c r="V922" i="3" s="1"/>
  <c r="S922" i="3"/>
  <c r="T922" i="3" s="1"/>
  <c r="X921" i="3"/>
  <c r="W921" i="3"/>
  <c r="U921" i="3"/>
  <c r="V921" i="3" s="1"/>
  <c r="S921" i="3"/>
  <c r="T921" i="3" s="1"/>
  <c r="X1420" i="3"/>
  <c r="W1420" i="3"/>
  <c r="U1420" i="3"/>
  <c r="V1420" i="3" s="1"/>
  <c r="S1420" i="3"/>
  <c r="T1420" i="3" s="1"/>
  <c r="X540" i="3"/>
  <c r="W540" i="3"/>
  <c r="U540" i="3"/>
  <c r="V540" i="3" s="1"/>
  <c r="S540" i="3"/>
  <c r="T540" i="3" s="1"/>
  <c r="X770" i="3"/>
  <c r="W770" i="3"/>
  <c r="U770" i="3"/>
  <c r="V770" i="3" s="1"/>
  <c r="S770" i="3"/>
  <c r="T770" i="3" s="1"/>
  <c r="X920" i="3"/>
  <c r="W920" i="3"/>
  <c r="U920" i="3"/>
  <c r="V920" i="3" s="1"/>
  <c r="S920" i="3"/>
  <c r="T920" i="3" s="1"/>
  <c r="X919" i="3"/>
  <c r="W919" i="3"/>
  <c r="U919" i="3"/>
  <c r="V919" i="3" s="1"/>
  <c r="S919" i="3"/>
  <c r="T919" i="3" s="1"/>
  <c r="X918" i="3"/>
  <c r="W918" i="3"/>
  <c r="U918" i="3"/>
  <c r="V918" i="3" s="1"/>
  <c r="S918" i="3"/>
  <c r="T918" i="3" s="1"/>
  <c r="X917" i="3"/>
  <c r="W917" i="3"/>
  <c r="U917" i="3"/>
  <c r="V917" i="3" s="1"/>
  <c r="S917" i="3"/>
  <c r="T917" i="3" s="1"/>
  <c r="X916" i="3"/>
  <c r="W916" i="3"/>
  <c r="U916" i="3"/>
  <c r="V916" i="3" s="1"/>
  <c r="S916" i="3"/>
  <c r="T916" i="3" s="1"/>
  <c r="X915" i="3"/>
  <c r="W915" i="3"/>
  <c r="U915" i="3"/>
  <c r="V915" i="3" s="1"/>
  <c r="S915" i="3"/>
  <c r="T915" i="3" s="1"/>
  <c r="X1108" i="3"/>
  <c r="W1108" i="3"/>
  <c r="U1108" i="3"/>
  <c r="V1108" i="3" s="1"/>
  <c r="S1108" i="3"/>
  <c r="T1108" i="3" s="1"/>
  <c r="X769" i="3"/>
  <c r="W769" i="3"/>
  <c r="U769" i="3"/>
  <c r="V769" i="3" s="1"/>
  <c r="S769" i="3"/>
  <c r="T769" i="3" s="1"/>
</calcChain>
</file>

<file path=xl/sharedStrings.xml><?xml version="1.0" encoding="utf-8"?>
<sst xmlns="http://schemas.openxmlformats.org/spreadsheetml/2006/main" count="62599" uniqueCount="6270">
  <si>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</si>
  <si>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</si>
  <si>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</si>
  <si>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</si>
  <si>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</si>
  <si>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</si>
  <si>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</si>
  <si>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</si>
  <si>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</si>
  <si>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</si>
  <si>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</si>
  <si>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</si>
  <si>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</si>
  <si>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</si>
  <si>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</si>
  <si>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</si>
  <si>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</si>
  <si>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</si>
  <si>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</si>
  <si>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</si>
  <si>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</si>
  <si>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</si>
  <si>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CONTRATO SERVICIO DE DISTRIBUCION COMERCIAL, ALMACENAJE Y CUSTODIA REMANENTES PUBLICACIONES COMERCIALES AYTO. VA 2018-21</t>
  </si>
  <si>
    <t>SISTEMA AUTOMATIZADO PRESTAMO BICICLETAS VALLABICI</t>
  </si>
  <si>
    <t>SOPORTE Y MANTENIMIENTO DE LA PLATAFORMA PROXIA</t>
  </si>
  <si>
    <t>PrNegSP - Procedimiento Negociado Sin Publicidad</t>
  </si>
  <si>
    <t>CONTRATO DE SERVICIOS DE GESTION DE LAS PANTALLAS DE GRAN FORMATO UBICADAS EN LA CIUDAD DE VALLADOLID</t>
  </si>
  <si>
    <t>MANTENIMIENTO DEL SISTEMA DE INFORMACIÓN DEL PADRÓN MUNICIPAL DE HABITANTES DEL AYUNTAMIENTO DE VALLADOLID</t>
  </si>
  <si>
    <t>CONSUMO BIOMASA 2018 A 2026.-</t>
  </si>
  <si>
    <t>ASISTENCIA TÉCNICA OPERACIÓN, CAU, Y MANTENIMIENTO  DEL SOFTWARE DE BASE Y COMUNICACIONES. LOTE 2</t>
  </si>
  <si>
    <t>ADJUDICACION PRESTACIONES PARA SERV CENTRO OCUPACIONAL PERSONAS CON DISCAPACIDAD INTELECTUAL 15/2/19 AL 14/2/21 A.MARCO</t>
  </si>
  <si>
    <t>Obras - De Obras</t>
  </si>
  <si>
    <t>ADO</t>
  </si>
  <si>
    <t>SERVICIO DE DIFUSIÓN DE INICIATIVAS JUVENILES A TRAVÉS DE LA GUÍA GO</t>
  </si>
  <si>
    <t>CONCEPTO</t>
  </si>
  <si>
    <t>Referencia</t>
  </si>
  <si>
    <t>Nombre Ter.</t>
  </si>
  <si>
    <t>UTE TELEFONICA DE ESPAÑA S.A. UNIPERSONAL Y TELEFONICA MOVILES ESPAÑA S.A.</t>
  </si>
  <si>
    <t>FUNDACION ALDABA-PROYECTO HOMBRE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</si>
  <si>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</si>
  <si>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</si>
  <si>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</si>
  <si>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</si>
  <si>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</si>
  <si>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</si>
  <si>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</si>
  <si>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</si>
  <si>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</si>
  <si>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</si>
  <si>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</si>
  <si>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</si>
  <si>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</si>
  <si>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</si>
  <si>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</si>
  <si>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THYSSENKRUPP ELEVADORES, S.L.U.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</si>
  <si>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</si>
  <si>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</si>
  <si>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</si>
  <si>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</si>
  <si>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</si>
  <si>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</si>
  <si>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</si>
  <si>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</si>
  <si>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</si>
  <si>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</si>
  <si>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</si>
  <si>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</si>
  <si>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</si>
  <si>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</si>
  <si>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</si>
  <si>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</si>
  <si>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MARIA ESTHER PEREZ  ARRIBAS</t>
  </si>
  <si>
    <t>RUBEN HERRANZ  VILLACE</t>
  </si>
  <si>
    <t>DISCOMTES ENERGÍA, S.L.</t>
  </si>
  <si>
    <t>SUMINISTROS SEHICA, S.L.</t>
  </si>
  <si>
    <t>CASTELLANA DE TELECOMUNICACIONES, S.L.</t>
  </si>
  <si>
    <t>EDEN SPRINGS ESPAÑA, S.A.U.</t>
  </si>
  <si>
    <t>SAFETY-KLEEN ESPAÑA, S.A.U.</t>
  </si>
  <si>
    <t>ASCENSORES ENOR S.L.</t>
  </si>
  <si>
    <t>MARIA LUISA RODRIGUEZ  ALZOLA</t>
  </si>
  <si>
    <t>JUAN CARLOS FERNÁNDEZ LÓPEZ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</si>
  <si>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</si>
  <si>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</si>
  <si>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</si>
  <si>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</si>
  <si>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</si>
  <si>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</si>
  <si>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</si>
  <si>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SERVICIOS DE MANTENIMIENTO INTEGRAL, S.L.</t>
  </si>
  <si>
    <t>BAYARD REVISTAS, S.A.U.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</si>
  <si>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</si>
  <si>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</si>
  <si>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</si>
  <si>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</si>
  <si>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</si>
  <si>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GUNNEBO ESPAÑA, S.A.</t>
  </si>
  <si>
    <t>FORMACAL, S.L.</t>
  </si>
  <si>
    <t>JOSE GARCIA GONZALEZ</t>
  </si>
  <si>
    <t>AGUAPURA AGUAVIVA, S.L.</t>
  </si>
  <si>
    <t>FRIHER S.A.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</si>
  <si>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</si>
  <si>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</si>
  <si>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</si>
  <si>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</si>
  <si>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</si>
  <si>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GASES Y SOLDADURA DE CASTILLA, S.L.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</si>
  <si>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</si>
  <si>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</si>
  <si>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</si>
  <si>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</si>
  <si>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</si>
  <si>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</si>
  <si>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</si>
  <si>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</si>
  <si>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</si>
  <si>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</si>
  <si>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</si>
  <si>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</si>
  <si>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</si>
  <si>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</si>
  <si>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</si>
  <si>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</si>
  <si>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</si>
  <si>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</si>
  <si>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</si>
  <si>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</si>
  <si>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</si>
  <si>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</si>
  <si>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</si>
  <si>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</si>
  <si>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</si>
  <si>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</si>
  <si>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</si>
  <si>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</si>
  <si>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</si>
  <si>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</si>
  <si>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</si>
  <si>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</si>
  <si>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</si>
  <si>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</si>
  <si>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</si>
  <si>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</si>
  <si>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</si>
  <si>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</si>
  <si>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</si>
  <si>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</si>
  <si>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</si>
  <si>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COMUNICACIONES Y OCIO INTERACTIVO S.L.</t>
  </si>
  <si>
    <t>BILBAO</t>
  </si>
  <si>
    <t>LA LETRA I ACTIVIDADES CULTURALES, S.L.</t>
  </si>
  <si>
    <t>GRUPO ELECTRO STOCKS, S.L.</t>
  </si>
  <si>
    <t>COMERCIAL HISPANOFIL, S.A.U.</t>
  </si>
  <si>
    <t>SCAFO EVENTOS, S.L.</t>
  </si>
  <si>
    <t>NORTHGATE ESPAÑA RENTING FLEXIBLE, S.A.U.</t>
  </si>
  <si>
    <t>CRONORENT, S.L.</t>
  </si>
  <si>
    <t>ALLENDE ACTIVIDADES DE OCIO Y TIEMPO LIBRE,  S.L.</t>
  </si>
  <si>
    <t>SERVICIOS COMIDAS Y ACTIVIDADES SOCIALES, S.L.</t>
  </si>
  <si>
    <t>PALENCIA</t>
  </si>
  <si>
    <t>VALLAOCIO, S.L.</t>
  </si>
  <si>
    <t>TECNOLOGIA PLEXUS S.L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</si>
  <si>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</si>
  <si>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</si>
  <si>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</si>
  <si>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</si>
  <si>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</si>
  <si>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</si>
  <si>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</si>
  <si>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</si>
  <si>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SETEX APARKI, S A</t>
  </si>
  <si>
    <t>SEGOVIA</t>
  </si>
  <si>
    <t>EMCO VIDEO INDUSTRIAL, S.L.U.</t>
  </si>
  <si>
    <t>CENTRO DE TRANSICIÓN AL EMPLEO ORDINARIO, S.L.</t>
  </si>
  <si>
    <t>SOCIEDAD ESTATAL CORREOS TELEGRAFOS, S.A</t>
  </si>
  <si>
    <t>LA FLECHA MOTOR, S.L.</t>
  </si>
  <si>
    <t>I G M, INGENIERIA Y GESTION MEDIOAMBIENTAL, S.L.</t>
  </si>
  <si>
    <t>SERVICIOS AUXILIARES DE MANTENIMIENTO Y LIMPIEZA, S.L.</t>
  </si>
  <si>
    <t>ANTON CENTRO ESPECIAL DE EMPLEO, S.L</t>
  </si>
  <si>
    <t>SERVICIOS OSGA, S.L.</t>
  </si>
  <si>
    <t>LA RIOJA</t>
  </si>
  <si>
    <t>INSERTA INNOVACION SOCIAL, S.L.</t>
  </si>
  <si>
    <t>BURGOS</t>
  </si>
  <si>
    <t>SERVICIOS INTEGRALES BERZOSAS XXI S.L.</t>
  </si>
  <si>
    <t>EIFFAGE ENERGIA S.L.U.</t>
  </si>
  <si>
    <t>UTE SIFU MADRID-BROCOLI CELADURIA VALLADOLID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</si>
  <si>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</si>
  <si>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</si>
  <si>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</si>
  <si>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</si>
  <si>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</si>
  <si>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</si>
  <si>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</si>
  <si>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</si>
  <si>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</si>
  <si>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</si>
  <si>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</si>
  <si>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</si>
  <si>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</si>
  <si>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</si>
  <si>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</si>
  <si>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</si>
  <si>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U.T.E. BROCOLI-SIFU MADRID CENTROS CIVICOS AYUNTAMIENTO DE VALLADOLID</t>
  </si>
  <si>
    <t>VIZCAYA</t>
  </si>
  <si>
    <t>UNICAJA BANCO S.A.U.</t>
  </si>
  <si>
    <t>MALAGA</t>
  </si>
  <si>
    <t>D</t>
  </si>
  <si>
    <t>300</t>
  </si>
  <si>
    <t>PROTEXVALL SOCIEDAD COOPERATIVA</t>
  </si>
  <si>
    <t>ASPAMA CONTROL DE PLAGAS,S.L.</t>
  </si>
  <si>
    <t>SISTEMAS TECNICOS INTERACTIVOS S.L.</t>
  </si>
  <si>
    <t>GUERRO PAPELERIAS, S.L.</t>
  </si>
  <si>
    <t>HUELLAS VET PET, S.L.</t>
  </si>
  <si>
    <t>LOCUS AVIS S.L.</t>
  </si>
  <si>
    <t>SUMINISTROS SUMATEM, S.L.L.</t>
  </si>
  <si>
    <t>IÑIGO GARCIA VILLAFRANCA</t>
  </si>
  <si>
    <t>CASA AMBROSIO RODRIGUEZ, S.L.</t>
  </si>
  <si>
    <t>NAVARRA</t>
  </si>
  <si>
    <t>230</t>
  </si>
  <si>
    <t>ISFRAMY SECURITY SL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</si>
  <si>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</si>
  <si>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</si>
  <si>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</si>
  <si>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</si>
  <si>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</si>
  <si>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</si>
  <si>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</si>
  <si>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</si>
  <si>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ELSAMEX,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</si>
  <si>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</si>
  <si>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</si>
  <si>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</si>
  <si>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</si>
  <si>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</si>
  <si>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</si>
  <si>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</si>
  <si>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</si>
  <si>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</si>
  <si>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FERROINDUSTRIAS YUSTOS S.L</t>
  </si>
  <si>
    <t>CERAMICAS SANCHEZ S.L.</t>
  </si>
  <si>
    <t>EXCLUSIVAS MAOR, S.L.</t>
  </si>
  <si>
    <t>CASTILLA VEHICULOS INDUSTRIALES S.A.</t>
  </si>
  <si>
    <t>GRUPO V, S.L.</t>
  </si>
  <si>
    <t>ZINET MEDIA GLOBAL S.L.</t>
  </si>
  <si>
    <t>EDITORIAL TORRE DE PAPEL, S.L.</t>
  </si>
  <si>
    <t>ARROYO, S.A.</t>
  </si>
  <si>
    <t>HERRERO Y NUÑEZ MOTOR, S.L.</t>
  </si>
  <si>
    <t>TRADESEGUR, S.A.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</si>
  <si>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</si>
  <si>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</si>
  <si>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</si>
  <si>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</si>
  <si>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</si>
  <si>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RUBICIN S.L.</t>
  </si>
  <si>
    <t>FICHERO DE CARGOS ESTIRADO, S.A.</t>
  </si>
  <si>
    <t>MACOGLASS, S.L.</t>
  </si>
  <si>
    <t>J.M.B.ALCAÑIZ, S.L.</t>
  </si>
  <si>
    <t>PINTURAS Y SUMINISTROS PINMAHER S.L.L.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</si>
  <si>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</si>
  <si>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</si>
  <si>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</si>
  <si>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</si>
  <si>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</si>
  <si>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</si>
  <si>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</si>
  <si>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</si>
  <si>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</si>
  <si>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</si>
  <si>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</si>
  <si>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</si>
  <si>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</si>
  <si>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</si>
  <si>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</si>
  <si>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</si>
  <si>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</si>
  <si>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</si>
  <si>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</si>
  <si>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</si>
  <si>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</si>
  <si>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</si>
  <si>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</si>
  <si>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</si>
  <si>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</si>
  <si>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OUTSIDE COMUNICACION INTEGRAL S,L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</si>
  <si>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</si>
  <si>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</si>
  <si>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</si>
  <si>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</si>
  <si>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</si>
  <si>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</si>
  <si>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CRISTALERIA ZARATAN,S.L</t>
  </si>
  <si>
    <t>RECAUCHUTADOS CASTILLA, S.A.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</si>
  <si>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</si>
  <si>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</si>
  <si>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</si>
  <si>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</si>
  <si>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</si>
  <si>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</si>
  <si>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</si>
  <si>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</si>
  <si>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</si>
  <si>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EQUIPOS Y SERVICIOS OFIMATICOS DE VALLADOLID, S.L.</t>
  </si>
  <si>
    <t>LUBRIDUERO, S.L.</t>
  </si>
  <si>
    <t>BLAPE,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</si>
  <si>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</si>
  <si>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</si>
  <si>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</si>
  <si>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</si>
  <si>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</si>
  <si>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</si>
  <si>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</si>
  <si>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AC CAMERFIRMA,S.A</t>
  </si>
  <si>
    <t>AVILA ASISTENCIA S.L.</t>
  </si>
  <si>
    <t>FOIMA S.A.</t>
  </si>
  <si>
    <t>BENADOOR, S.L.</t>
  </si>
  <si>
    <t>GRAÑEDA S.A.</t>
  </si>
  <si>
    <t>NAMEN COLOR, S.L.</t>
  </si>
  <si>
    <t>AUTO INYECCION VICENTE, S.A.</t>
  </si>
  <si>
    <t>CARROCERIAS Y GRUAS M. TORRE S.L.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</si>
  <si>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</si>
  <si>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</si>
  <si>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</si>
  <si>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</si>
  <si>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</si>
  <si>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</si>
  <si>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</si>
  <si>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</si>
  <si>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</si>
  <si>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</si>
  <si>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</si>
  <si>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</si>
  <si>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</si>
  <si>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</si>
  <si>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</si>
  <si>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</si>
  <si>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</si>
  <si>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</si>
  <si>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</si>
  <si>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</si>
  <si>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</si>
  <si>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</si>
  <si>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</si>
  <si>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</si>
  <si>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</si>
  <si>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</si>
  <si>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</si>
  <si>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</si>
  <si>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</si>
  <si>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</si>
  <si>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</si>
  <si>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</si>
  <si>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</si>
  <si>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</si>
  <si>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</si>
  <si>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</si>
  <si>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</si>
  <si>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</si>
  <si>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</si>
  <si>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</si>
  <si>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</si>
  <si>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</si>
  <si>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</si>
  <si>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</si>
  <si>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</si>
  <si>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</si>
  <si>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</si>
  <si>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</si>
  <si>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</si>
  <si>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</si>
  <si>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</si>
  <si>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</si>
  <si>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</si>
  <si>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</si>
  <si>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</si>
  <si>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</si>
  <si>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</si>
  <si>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</si>
  <si>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</si>
  <si>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</si>
  <si>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</si>
  <si>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</si>
  <si>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</si>
  <si>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</si>
  <si>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</si>
  <si>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</si>
  <si>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</si>
  <si>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</si>
  <si>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</si>
  <si>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</si>
  <si>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</si>
  <si>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</si>
  <si>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</si>
  <si>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</si>
  <si>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</si>
  <si>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</si>
  <si>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</si>
  <si>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</si>
  <si>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</si>
  <si>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</si>
  <si>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</si>
  <si>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</si>
  <si>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</si>
  <si>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</si>
  <si>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</si>
  <si>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</si>
  <si>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</si>
  <si>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</si>
  <si>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</si>
  <si>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</si>
  <si>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</si>
  <si>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</si>
  <si>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</si>
  <si>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</si>
  <si>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</si>
  <si>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</si>
  <si>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</si>
  <si>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</si>
  <si>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</si>
  <si>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</si>
  <si>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</si>
  <si>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</si>
  <si>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</si>
  <si>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</si>
  <si>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</si>
  <si>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</si>
  <si>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</si>
  <si>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</si>
  <si>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</si>
  <si>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</si>
  <si>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</si>
  <si>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</si>
  <si>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</si>
  <si>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</si>
  <si>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</si>
  <si>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</si>
  <si>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</si>
  <si>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</si>
  <si>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</si>
  <si>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</si>
  <si>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</si>
  <si>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</si>
  <si>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</si>
  <si>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</si>
  <si>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</si>
  <si>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</si>
  <si>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</si>
  <si>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</si>
  <si>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</si>
  <si>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</si>
  <si>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</si>
  <si>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</si>
  <si>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</si>
  <si>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</si>
  <si>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</si>
  <si>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</si>
  <si>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</si>
  <si>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</si>
  <si>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</si>
  <si>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</si>
  <si>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</si>
  <si>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</si>
  <si>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</si>
  <si>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</si>
  <si>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</si>
  <si>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</si>
  <si>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</si>
  <si>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</si>
  <si>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</si>
  <si>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</si>
  <si>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</si>
  <si>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</si>
  <si>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</si>
  <si>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</si>
  <si>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</si>
  <si>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</si>
  <si>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</si>
  <si>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</si>
  <si>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</si>
  <si>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</si>
  <si>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</si>
  <si>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</si>
  <si>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</si>
  <si>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</si>
  <si>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</si>
  <si>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</si>
  <si>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</si>
  <si>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</si>
  <si>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</si>
  <si>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</si>
  <si>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</si>
  <si>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</si>
  <si>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</si>
  <si>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</si>
  <si>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</si>
  <si>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</si>
  <si>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</si>
  <si>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</si>
  <si>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</si>
  <si>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</si>
  <si>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</si>
  <si>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</si>
  <si>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</si>
  <si>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</si>
  <si>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</si>
  <si>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</si>
  <si>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</si>
  <si>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</si>
  <si>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</si>
  <si>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</si>
  <si>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</si>
  <si>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</si>
  <si>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</si>
  <si>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</si>
  <si>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</si>
  <si>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U.T.E. PLANTA DE TRATAMIENTO DE VALLADOLID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</si>
  <si>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</si>
  <si>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</si>
  <si>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</si>
  <si>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</si>
  <si>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</si>
  <si>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FRAILE TELECOMUNICACIONES, S.L.</t>
  </si>
  <si>
    <t>ZAMORA</t>
  </si>
  <si>
    <t>BOBILLO Y ASOCIADOS ARQUITECTOS S.L.</t>
  </si>
  <si>
    <t>CRISTAL AUTO VALLADOLID S.L.</t>
  </si>
  <si>
    <t>ASPA CLOUD, S.L.</t>
  </si>
  <si>
    <t>ASOCIACION POETA BULULU</t>
  </si>
  <si>
    <t>MAPFRE ESPAÑA, COMPAÑIA DE SEGUROS Y REASEGUROS S.A.</t>
  </si>
  <si>
    <t>TINLOHI, S.L.</t>
  </si>
  <si>
    <t>RECICLAJE DE CONSUMIBLES OFIMÁTICOS IBAIZABAL, S. L.</t>
  </si>
  <si>
    <t>DISTRIBUIDORA MATERIAL OFICINA S.A.</t>
  </si>
  <si>
    <t>VALLADOLID AUTOMOVIL S.A.</t>
  </si>
  <si>
    <t>FUGOROBA INSTALACIONES Y SERVICIOS, S.L.</t>
  </si>
  <si>
    <t>MANTENIMIENTO DEL SISTEMA DE INFORMACIÓN PRESUPUESTARIA, CONTABLE Y FINANCIERA DEL AYUNTAMIENTO DE VALLADOLID (SICALWIN)</t>
  </si>
  <si>
    <t>FEDERACIONI TAURINA DE VALLADOLID</t>
  </si>
  <si>
    <t>SRCL CONSENUR, S.L.U.</t>
  </si>
  <si>
    <t>GLAXOSMITHKLINE, S.A.</t>
  </si>
  <si>
    <t>ARCOVET PRODUCTOS VETERINARIOS SL</t>
  </si>
  <si>
    <t>ELECTRO-INDUX, S.L.</t>
  </si>
  <si>
    <t>CESAR VEGAS HERRERA</t>
  </si>
  <si>
    <t>TRANSPORTES Y SERVICIOS A LA CONSTRUC.SL</t>
  </si>
  <si>
    <t>DIGIAMBLES, S.L.</t>
  </si>
  <si>
    <t>AVILA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</si>
  <si>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</si>
  <si>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</si>
  <si>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</si>
  <si>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</si>
  <si>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</si>
  <si>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EVENTO ORGANIZACION SERVICIOS PLENOS, S.L</t>
  </si>
  <si>
    <t>AGRUPACION DE QUIMICOS INDUSTRIALES, S.A.</t>
  </si>
  <si>
    <t>AL AIR LIQUIDE ESPAÑA,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</si>
  <si>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</si>
  <si>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</si>
  <si>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</si>
  <si>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</si>
  <si>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IMPÚLSAME, CONSULTORÍA Y ESTRATEGIA S.L.</t>
  </si>
  <si>
    <t>DAZA DISEÑO &amp; COMUNICACION, S.L.</t>
  </si>
  <si>
    <t>SUSTEC OUTSOURCING, S.L.</t>
  </si>
  <si>
    <t>Total General Servicios</t>
  </si>
  <si>
    <t>Total General Obras</t>
  </si>
  <si>
    <t>D-TODO INGENIERIA Y DESARROLLO, S.L.</t>
  </si>
  <si>
    <t>MUMECA S.A.</t>
  </si>
  <si>
    <t>OVIEDO</t>
  </si>
  <si>
    <t>GENERALI  ESPAÑA, S.A. DE SEGUROS Y REASEGUROS</t>
  </si>
  <si>
    <t>ARCO CONTEMPORANEO &amp; ASOCIADOS S.L.L.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</si>
  <si>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</si>
  <si>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</si>
  <si>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</si>
  <si>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</si>
  <si>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</si>
  <si>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</si>
  <si>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</si>
  <si>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SULO IBÉRICA ,S.A.</t>
  </si>
  <si>
    <t>TEC CUATRO S.A.</t>
  </si>
  <si>
    <t>REAJUSTE ANUALIDADES CONTRATO SEÑALIZACION VIAL LOTE 2</t>
  </si>
  <si>
    <t>TEVASEÑAL S.A.</t>
  </si>
  <si>
    <t>REAJUSTE ANUALIDADES CONTRATO SEÑALIZACION VIAL LOTE 1</t>
  </si>
  <si>
    <t>JESÚS GUTIÉRREZ  SIERRA</t>
  </si>
  <si>
    <t>CONSTRUCCIONES SANCHEZ ROMERA, S.L.</t>
  </si>
  <si>
    <t>BILBAO C.A. SEGUROS Y REASEGUROS</t>
  </si>
  <si>
    <t>T-SYSTEMS ITC IBERIA S.A.</t>
  </si>
  <si>
    <t>CONTRATO DEL SERVICIO DE MANTENIMIENTO DE LA COMUNICACIÓN 2.0 DEL ÁREA DE CULTURA Y TURISMO</t>
  </si>
  <si>
    <t>ALICANTE</t>
  </si>
  <si>
    <t>CENTRO DE OBSERVACION Y TELEDETECCION ESPACIAL, S.A.U.</t>
  </si>
  <si>
    <t>CVC DESINFECCION CASTILLA Y LEON, S.L</t>
  </si>
  <si>
    <t>DTS OABE, S.L.</t>
  </si>
  <si>
    <t>CLIMATIZACION ALONSO, S.L.</t>
  </si>
  <si>
    <t>JOSE RAMON FERNANDEZ  SUAREZ</t>
  </si>
  <si>
    <t>RECICLADOS PUCELANOS, S.L.U.</t>
  </si>
  <si>
    <t>CONSULTING DE INGENIERIA CIVIL, S.L.P.</t>
  </si>
  <si>
    <t>Confección proyecto de integración y mejora de las riberas del rio Pisuerga.Fase 4.3 Reelaborar proyecto previo.180 dias</t>
  </si>
  <si>
    <t>ENTREVECINOS SERVICIOS INTEGRALES S. COOP.</t>
  </si>
  <si>
    <t>MTO.  EXTRAORDINARIO DEL SISTEMA DE INFORMACIÓN PRESUPUESTARIA, CONTABLE Y FINANCIERA DEL AYTO.  DE VALLADOLID</t>
  </si>
  <si>
    <t>SOCIEDAD ESPAÑOLA DE RADIODIFUSION,S.L.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</si>
  <si>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</si>
  <si>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</si>
  <si>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</si>
  <si>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</si>
  <si>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</si>
  <si>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</si>
  <si>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</si>
  <si>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Redacción del proyecto y dirección facultativa Obras de Instalación de 3 ascensores en calles Oriol, estornino y Ánade.-</t>
  </si>
  <si>
    <t>CONTRATO CONSERVACIÓN Y MEJORA INFRAESTRUCTURAS VERDES ZONAS SUR Y ESTE DE LA CIUDAD, LOTE 1.</t>
  </si>
  <si>
    <t>MAJADAHONDA</t>
  </si>
  <si>
    <t>GOMSEGUR, S.L.</t>
  </si>
  <si>
    <t>IMPORTE CONTRATO DE VIGILANCIA, CONTROL Y PROTECCIÓN DE DIVERSAS DEPENDENCIAS MUNICIPALES DEL 1-1-2020 AL 31-12-2021.</t>
  </si>
  <si>
    <t>VALDEMORO</t>
  </si>
  <si>
    <t>CONTRATACION SERVICIO DE ESTANCIAS DIURNAS 2020,2021 Y ENE-NOV 2022- LOTE 1 ATENCION GENERAL SED</t>
  </si>
  <si>
    <t>NUEVO CONTRATO CENTRALIZADO DE SUMINISTRO DE GAS. COLEGIOS PÚBLICOS. AÑO 2020. 01 ENERO A 31 DE AGOSTO 2021.</t>
  </si>
  <si>
    <t>CONTRATO SERVICIO MANTENIMIENTO Y LAVADO CONTENEDORES Sº LIMPIEZA EJERCICIOS 2020 Y 2021</t>
  </si>
  <si>
    <t>CONTRATO CONSERVACION Y MEJORA DE INFRAESTRUCTURAS VERDES DE LAS ZONAS SUR Y ESTE DE LA CIUDAD, LOTE 1.</t>
  </si>
  <si>
    <t>ZURICH INSURANCE PLC SUCURSAL EN ESPAÑA</t>
  </si>
  <si>
    <t>VALLADOLID (POLIGONO SAN CRISTOBAL)</t>
  </si>
  <si>
    <t>LLANERA</t>
  </si>
  <si>
    <t>SUMINSTRO GAS CENTROS DE PARTICIPACIÓN CIUDADANA</t>
  </si>
  <si>
    <t>CONTRATO APRENDIZAJE A LO LARGO DE LA VIDA. AÑOS 2020 Y 2021. EXPEDIENTE SE-EIJI 1/2019</t>
  </si>
  <si>
    <t>LA CISTERNIGA</t>
  </si>
  <si>
    <t>AMPLIACIÓN ÁREA REGULADA ORA 2020 - 2026</t>
  </si>
  <si>
    <t>GUARROMAN</t>
  </si>
  <si>
    <t>JAEN</t>
  </si>
  <si>
    <t>VILLAMURIEL DE CERRATO</t>
  </si>
  <si>
    <t>SE 21/2017. PS. 1. PRÓRROGA GESTIÓN PUNTOS DE PRÉSTAMO BIBLIOTECARIO Y APOYO A BIBLIOTECAS MUNICIPALES. 2020-2021.</t>
  </si>
  <si>
    <t>SANTOVENIA DE PISUERGA</t>
  </si>
  <si>
    <t>CONTRATO CONSERVACIÓN Y MEJORA INFRAESTRUCTURAS VERDES,  ZONAS SUR Y ESTE DE LA CIUDAD, LOTE 2.</t>
  </si>
  <si>
    <t>REAJ. ANUALIDADES CONTRATO MANTENIMIENTO PLATAFORMAS RECOGIDA RESIDUOS EN CONTENEDORES SOTERRADOS 1-1-2020 AL 15-8-2021</t>
  </si>
  <si>
    <t>GESTION INTEGRAL ESPACIO JOVEN ZONA SUR.</t>
  </si>
  <si>
    <t>GETXO</t>
  </si>
  <si>
    <t>TIERRA INGENIERIA Y PAISAJISMO S.L.</t>
  </si>
  <si>
    <t>PRORROGA CONTRATO OCIO ALTERNATIVO, VALLANOCHE,VALLATARDE</t>
  </si>
  <si>
    <t>LOGROÑO</t>
  </si>
  <si>
    <t>OSSA DE MONTIEL</t>
  </si>
  <si>
    <t>ASISTENCIA TÉCNICA ESPECTÁCULOS Y MANTENIMIENTO EQUIPAMIENTO AUDIOVISUAL DE CENTROS CÍVICOS Y MUNICIPALES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</si>
  <si>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</si>
  <si>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</si>
  <si>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</si>
  <si>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</si>
  <si>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CABEZÓN DE PISUERGA</t>
  </si>
  <si>
    <t>MEDINA DEL CAMPO</t>
  </si>
  <si>
    <t>HERMANOS A.C. C.B.</t>
  </si>
  <si>
    <t>ADJUDICACION CONTRATO SUMINISTRO GAS NATURAL EDIFICIOS MUNICIPALES PARA EL AÑO 2020 Y ENERO A SEPTIEMBRE 2021(*MANT.)</t>
  </si>
  <si>
    <t>NUEVO CONTRATO CENTRALIZADO DE SUMINISTRO DE GAS. ESCUELAS INFANTILES MUNICIPALES. 2020. 01/01/2021 A 31/08/2021.</t>
  </si>
  <si>
    <t>CONSUMO GAS DEPENDENCIAS POLICÍA DEL 1 DE ENERO AL 31 DE DIC. 2020 Y DEL 1 DE ENERO AL 30 DE SEPTIEMBRE DE 2021.</t>
  </si>
  <si>
    <t>PRORROGA CONTRATO RENTING VEHÍCULOS. Lote nº 2, Expte 9/2017 del 30-enero al 31-diciembre 2020 y enero - 2021.-</t>
  </si>
  <si>
    <t>ERANDIO</t>
  </si>
  <si>
    <t>CONTRATO CONSERVACIÓN Y MEJORA INFRAESTRUCTURAS VERDES ZONAS SUR Y ESTE DE LA CIUDAD, LOTE 3.</t>
  </si>
  <si>
    <t>SANTIAGO DE COMPOSTELA</t>
  </si>
  <si>
    <t>SUMINISTRO GAS DE LOS CPM TRANSFERIDOS TODO EL AÑO 2020 Y DE ENERO A SEPTIEMBRE DE 2021</t>
  </si>
  <si>
    <t>CONSORCIO DE MANIPULADO Y SERVICIOS POSTALES SL</t>
  </si>
  <si>
    <t>TAMARES</t>
  </si>
  <si>
    <t>SUMINISTRO DE LICENCIAS Y SOPORTE TÉCNICO DE LOS PRODUCTOS ArcGIS</t>
  </si>
  <si>
    <t>DIRECCION FACULT. DE OBRAS.CPM PARQUESOL CON SED Y BIBLIOTECA MPAL.</t>
  </si>
  <si>
    <t>SUMINISTRO GAS DE LOS CPM NO TRANSFERIDOS TODO EL AÑO 2020 Y DE ENERO A SEPTIEMBRE DE 2021</t>
  </si>
  <si>
    <t>TARREGA</t>
  </si>
  <si>
    <t>ARROYO DE LA ENCOMIENDA</t>
  </si>
  <si>
    <t>SASEGUR, S.L.</t>
  </si>
  <si>
    <t>NAVALCARNERO</t>
  </si>
  <si>
    <t>LAURA GARCIA SERRANO</t>
  </si>
  <si>
    <t>HOSPITALET DE LLOBREGAT</t>
  </si>
  <si>
    <t>SUMINISTRO DE FUNGIBLES DE IMPRESIÓN ORIGINALES, LOTE 1</t>
  </si>
  <si>
    <t>BASAURI</t>
  </si>
  <si>
    <t>CONTRATO SUMINISTRO DE GAS NATURAL DESDE ENERO 2020 HASTA SEPTIEMBRE 2021. SERVICIO DE EXTINCIÓN DE INCENDIOS.</t>
  </si>
  <si>
    <t>MANTENIMIENTO DE LA TELEFONÍA Y DATOS, (PRÓRROGA)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</si>
  <si>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</si>
  <si>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</si>
  <si>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</si>
  <si>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</si>
  <si>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</si>
  <si>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</si>
  <si>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CONTROL CALIDAD OBRA CONNSTRUCCION LAVADERO VEHICULOS Y APARCAMIENTO SERVICIO LIMPIEZA</t>
  </si>
  <si>
    <t>AC MARCO EXP V36-2017: REPUESTOS REPARACIONES VEHICULOS Sº LIMPIEZA</t>
  </si>
  <si>
    <t>ADJUDICACIÓN CONTRATO SUMINSITRO GAS NATURAL (1-1-2020 AL 30-9-2021)</t>
  </si>
  <si>
    <t>CONTRATACIÓN PARA MIGRACIÓN DE DATOS, ALOJAMIENTO, SOPORTE Y MANTENIMIENTO DE LOS SITIOS WEB DE LA AGENCIA DE INNOVACIÓN</t>
  </si>
  <si>
    <t>ECIJA</t>
  </si>
  <si>
    <t>AMPLIACION CONTRATO TELEASISTENCIA POR MAYOR SERVICIO-PROGRAMA CUIDANDO-TE</t>
  </si>
  <si>
    <t>AGORA ESTUDIOS DE MERCADO, S.L.</t>
  </si>
  <si>
    <t>CONTRATACION SERVICIO DE ESTANCIAS DIURNAS DEL CPM RONDILLA 2020,2021 Y ENE-NOV 2022- LOTE 2</t>
  </si>
  <si>
    <t>PRÓRROGA CONTRATO MANTENIMIENTO ALARMAS. LOTE 7</t>
  </si>
  <si>
    <t>LAGUNA DE DUERO</t>
  </si>
  <si>
    <t>EL PINAR DE ANTEQUERA</t>
  </si>
  <si>
    <t>PRÓRROGA CONTRATO MANTENIMIENTO CALEFACCIÓN, CLIMATIZACIÓN. LOTE 1</t>
  </si>
  <si>
    <t>LA CISTÉRNIGA</t>
  </si>
  <si>
    <t>CONTRATO SERVICIO ASESORAMIENTO FISCAL AYUNTAMIENTO Y ENTIDADES DEPENDIENTES AÑOS 2020-21-22 Y 23</t>
  </si>
  <si>
    <t>ALQUILER Y MANTENIMIENTOS DE EQUIPOS IMPRESION Y FOTOCOP.CEAS Y SERVICIOS CENTRALES DE 8 FEB 20 A 7 FEB 21</t>
  </si>
  <si>
    <t>CONTRATO SUMINISTRO GAS NATURAL RESTO SERVICIOS DEPENDIENTES INTERVENCION SOCIAL 2020 Y HASTA SEPT 2021</t>
  </si>
  <si>
    <t>RIBARROJA DEL TURIA</t>
  </si>
  <si>
    <t>CONTROL DE CALIDAD OBRAS AMPLIACIÓN AGENCIA INNOVACIÓN</t>
  </si>
  <si>
    <t>CONTRATO SUMINISTRO GAS NATURAL CFE JACINTO BENAVENTE PARA EL AÑO 2020 Y HASTA SEPTIEMBRE DE 2021</t>
  </si>
  <si>
    <t>KEYCOES COMUNICACION S.L.</t>
  </si>
  <si>
    <t>CONTROL DE CALIDAD CONTRATO SEÑALIZACION VIAL LOTE 2. 2020 Y 2021</t>
  </si>
  <si>
    <t>CISTERNIGA</t>
  </si>
  <si>
    <t>PRORROGA SERVICIO ASESORAMIENTO PRESUPUESTOS PARTICIPATIVOS</t>
  </si>
  <si>
    <t>NUEVO CONTRATO CENTRALIZADO DE SUMINISTRO DE GAS. BIBLIOTECAS PÚBLICAS MUNICIPALES. AÑO 2020. 01/01/2021 A 31/08/2021.</t>
  </si>
  <si>
    <t>PRORROGA CONTRATO SERVICIOS PLANIFICACION, CAPTACION Y GESTION DE PATROCINIOS EN VALLADOLID. ENERO 2020 - OCTUBRE 2021</t>
  </si>
  <si>
    <t>MANTENIMIENTO DE LICENCIAS  (NEWFILE), LOTE 5</t>
  </si>
  <si>
    <t>PRADOSEGAR</t>
  </si>
  <si>
    <t>CONSUMO Y ALQUILER FOTOCOPIADORAS DE LOS CPM TRANSFERIDOS DEL 07/02 AL 31/12 DE 2020 Y DEL 01/01 AL 08/02 DE 2021</t>
  </si>
  <si>
    <t>CONTRATO DE OBRAS DE INFRAESTRUCTURA VERDE: TOLDOS VEGETALES EN LA CALLE SANTA MARÍA. PROYECTO URBAN GreenUP</t>
  </si>
  <si>
    <t>VIGO</t>
  </si>
  <si>
    <t>SUMINISTRO DE GASES DE REFª CONTAMINANTES ACREDITADOS (LOT.1) Y NO ACREDITADOS(LOT.2) RCCAVA 2020/21 (EXP. VS 17/18)</t>
  </si>
  <si>
    <t>CONTRATO SUMINISTRO GAS NATURAL COMEDOR SOCIAL AÑO 2020 Y HASTA SEPTIEMBRE 2021</t>
  </si>
  <si>
    <t>SUMINISTRO DE FUNGIBLES DE IMPRESIÓN COMPATIBLES, LOTE 2</t>
  </si>
  <si>
    <t>LEGANES</t>
  </si>
  <si>
    <t>NUEVO CONTRATO CENTRALIZADO SUMINISTRO DE GAS. CENTRO MUNICIPAL DE LA IGUALDAD. AÑO 2020. 01/01/2021 A 30/09/2021.</t>
  </si>
  <si>
    <t>LA FLECHA</t>
  </si>
  <si>
    <t>TALLERES OÑATE,S.L.</t>
  </si>
  <si>
    <t>COORDINACIÓN SEG. Y SALUD LABORAL CONTRATO OBRA CONSTRUCCIÓN LAVADERO VEHICULOS Y APARCAMIENTO PARA Sº LIMPIEZA</t>
  </si>
  <si>
    <t>CONTROL DE CALIDAD CONTRATO DE SEÑALIZACION VIAL LOTE 1. 2020 Y 2021</t>
  </si>
  <si>
    <t>ALQUILER Y COPIAS MÁQUINAS TESORERÍA Y RECAUDACIÓN</t>
  </si>
  <si>
    <t>MATARÓ</t>
  </si>
  <si>
    <t>FOTOCOPIADORAS SERVICIO INFORMACION Y ADMINISTRACION ELECTRONICA 2020-2021</t>
  </si>
  <si>
    <t>MANTENIMIENTO PREVENTIVO Y CORRECTIVO DE INSTALACIONES FOTOVOLTAICAS .- EXP. VS 19/18 .- LOTE 1 : CON INYECCION A RED</t>
  </si>
  <si>
    <t>CONTRATO MANTENIMIENTO ASCENSORES. LOTE 3</t>
  </si>
  <si>
    <t>ARROYO</t>
  </si>
  <si>
    <t>MANTENIMIENTO PREVENTIVO Y CORRECTIVO DE INSTALACIONES FOTOVOLTAICAS .- EXP. VS 19/18 .- LOTE 2 : DE AUTOCONSUMO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</si>
  <si>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</si>
  <si>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</si>
  <si>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</si>
  <si>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</si>
  <si>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CONSUMO Y ALQUILER DE LAS FOTOCOPIADORAS DE LOS CPM NO TRANSFERIDOS DEL 7 /02 AL  31 /12 DE2020 Y DEL 01/01 AL 8/02/2021</t>
  </si>
  <si>
    <t>COORDINACIÓN SEGURIDAD Y SALUD OBRAS AMPLIACIÓN AGENCIA DE INNOVACIÓN</t>
  </si>
  <si>
    <t>NUEVO CONTRATO DE IMPRESION Y FOTOCOPIADO. DOS MAQUINAS VINCULADAS AL SERVICIO DE EDUCACION. 08/02/2020 A 07/02/2021.</t>
  </si>
  <si>
    <t>MANTENIMIENTO Y ASISTENCIA TÉCNICA DEL SOFTWARE KNOSYS</t>
  </si>
  <si>
    <t>SAN SEBASTIAN DE LOS REYES</t>
  </si>
  <si>
    <t>SERVICIOS DE PRENSA COMUNICAPLUS, S.A.</t>
  </si>
  <si>
    <t>CONTRATO MANT.FOTOCOP-IMPRESION CONCEJALIA-DIREC.AREA Y SECRET.EJEC.AREA SERV.SOC.Y MEDIACION COMUN DEL 8/2/20 A 7/2/21</t>
  </si>
  <si>
    <t>REAJUSTE ANUALIDADES CONTRATO EXPLOTACIÓN PUNTO LIMPIO C/ VALLE DE ARAN  DE1 1-1-2020 AL 22-1-2021 (INCLUSIVE)</t>
  </si>
  <si>
    <t>SEGURIDAD Y SALUD CONTRATO SEÑALIZACION VIAL LOTE 2. 2020 Y 2021</t>
  </si>
  <si>
    <t>CONTRATO SUMINISTRO GAS NATURAL OMIC - ENERO A DICIEMBRE 2020 Y ENERO A 30 SEPTIEMBRE 2021 -EXPTE. SE 10/2019</t>
  </si>
  <si>
    <t>PRÓRROGA CONTRATO MANTENIMIENTO GRUPOS ELECTRÓGENOS. LOTE 2</t>
  </si>
  <si>
    <t>PRÓRROGA CONTRATO MANTENIMIENTO EXTINTORES Y SISTEMAS CONTRA INCENDIO. LOTE 4</t>
  </si>
  <si>
    <t>PRÓRROGA CONTRATO MANTENIMIENTO CONTROL DE PLAGAS. LOTE 6</t>
  </si>
  <si>
    <t>CONTRATO SISTEMAS IMPRESIÓN Y FOTOCOPIADO (SERVICIO DE LIMPIEZA)</t>
  </si>
  <si>
    <t>GETAFE</t>
  </si>
  <si>
    <t>SAN FERNANDO DE HENARES</t>
  </si>
  <si>
    <t>L'HOSPITALET DEL LLOBREGAT</t>
  </si>
  <si>
    <t>FUENSALDAÑA</t>
  </si>
  <si>
    <t>ALTERNATIVAS ECONÓMICAS, S.C.C.L.</t>
  </si>
  <si>
    <t>TRABAJOS EN VEHICULOS DE JARDINES.</t>
  </si>
  <si>
    <t>LAVADO DE VEHICULOS.</t>
  </si>
  <si>
    <t>CIGUÑUELA</t>
  </si>
  <si>
    <t>RECARGA Y REVISION DE EXTINTORES.</t>
  </si>
  <si>
    <t>ALQUILER Y MANTENIMIENTO DE EQUIPOS IMPRESION Y FOTOCOP.COMEDOR SOCIAL DE 8 FEB 20 A 7 FEB 21</t>
  </si>
  <si>
    <t>SEGURIDAD Y SALUD CONTRATO SEÑALIZACION VIAL LOTE 1</t>
  </si>
  <si>
    <t>LA VALCUEVA</t>
  </si>
  <si>
    <t>MATAPOZUELOS</t>
  </si>
  <si>
    <t>VALDELAFUENTE</t>
  </si>
  <si>
    <t>CONTRATO MANTENIMIENTO LIMPIEZA ZONAS VERDES, JARDINERÍA. LOTE 5</t>
  </si>
  <si>
    <t>FERNANDO MARTINEZ  BERMEJO</t>
  </si>
  <si>
    <t>CTTO DE ASESORAMIENTO DE DCHO DE FAMILIA Y LEY DE 2ª OPORTUNIDAD 2020-2021 HASTA ABRIL 2022</t>
  </si>
  <si>
    <t>FRANYAL, S.L.</t>
  </si>
  <si>
    <t>PEÑAFIEL</t>
  </si>
  <si>
    <t>ELENA TORIBIO  RODRIGUEZ</t>
  </si>
  <si>
    <t>TORDESILLAS</t>
  </si>
  <si>
    <t>SUMINISTRO DE TIERRA VEGETAL.</t>
  </si>
  <si>
    <t>POZUELO DE ALARCON</t>
  </si>
  <si>
    <t>VIANA DE CEGA</t>
  </si>
  <si>
    <t>SISTAC ILS, S.L.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</si>
  <si>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</si>
  <si>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</si>
  <si>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</si>
  <si>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</si>
  <si>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</si>
  <si>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</si>
  <si>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</si>
  <si>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INDUSTRIA 46</t>
  </si>
  <si>
    <t>Recarga periódica de las botellas de O2 y de Ar/CO2 para los equipos de oxicorte.-</t>
  </si>
  <si>
    <t>LA PARRILLA</t>
  </si>
  <si>
    <t>1A INGENIEROS,  S.L.P.</t>
  </si>
  <si>
    <t>ELECTROTECNIA CASTILLA Y LEON SL</t>
  </si>
  <si>
    <t>MANTENIMIENTO DEL SISTEMA DE SEGURIDAD DEL CENTRO MUNICIPAL DE ACÚSTICA.</t>
  </si>
  <si>
    <t>BIOTRAN GESTION DE RESIDUOS, S.L.</t>
  </si>
  <si>
    <t>OROZKO</t>
  </si>
  <si>
    <t>FIRST STOP SOUTHWEST, S.A.U.</t>
  </si>
  <si>
    <t>MERCK CHEMICALS AND LIFE SCIENCE, S.A.U.</t>
  </si>
  <si>
    <t>TELEFÓNICA MÓVILES ESPAÑA, S.A.</t>
  </si>
  <si>
    <t>VODAFONE ESPAÑA, S.A.U.</t>
  </si>
  <si>
    <t>SKYNET INFORMATICA SL</t>
  </si>
  <si>
    <t>TRULYESPAÑA, S.L.</t>
  </si>
  <si>
    <t>NUEVAS VENTAJAS, S.L.</t>
  </si>
  <si>
    <t>MIGUEL ÁNGEL PEROTE CID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</si>
  <si>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</si>
  <si>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</si>
  <si>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</si>
  <si>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</si>
  <si>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</si>
  <si>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REAJUSTE ANUALIDADES CONTRATO SERVICIO DE MANTENIMIENTO DE LA COMUNICACIÓN 2.0 DEL ÁREA DE CULTURA Y TURISMO. 2020 Y 21</t>
  </si>
  <si>
    <t>AGRUPACIÓN EMPRESARIAL INNOVADORA PARA LA CONSTRUCCIÓN EFICIENTE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</si>
  <si>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</si>
  <si>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</si>
  <si>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</si>
  <si>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</si>
  <si>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</si>
  <si>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</si>
  <si>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</si>
  <si>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</si>
  <si>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</si>
  <si>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</si>
  <si>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</si>
  <si>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</si>
  <si>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</si>
  <si>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</si>
  <si>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</si>
  <si>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</si>
  <si>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</si>
  <si>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</si>
  <si>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</si>
  <si>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</si>
  <si>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</si>
  <si>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</si>
  <si>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</si>
  <si>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</si>
  <si>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</si>
  <si>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</si>
  <si>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</si>
  <si>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</si>
  <si>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</si>
  <si>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</si>
  <si>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</si>
  <si>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</si>
  <si>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2021 06 3232 22706</t>
  </si>
  <si>
    <t>CONTRATO DE SERVICIOS DE COORDINACIÓN, DE SEGURIDAD Y SALUD EN OBRAS MUNICIPALES EN COLEGIOS PÚBLICOS. PLAZO 2 AÑOS</t>
  </si>
  <si>
    <t>2021 09 3341 22609</t>
  </si>
  <si>
    <t>A. SAORIN MONTAJE DE STAND, S.L.</t>
  </si>
  <si>
    <t>CONTRATO SUMINISTRO EN REGIMEN DE ALQUILER DE INFRAESTRUCTURAS Y EQUIPAMIENTO FERIA DEL LIBRO. LOTE 1. AÑO 2021</t>
  </si>
  <si>
    <t>LORQUI</t>
  </si>
  <si>
    <t>MURCIA</t>
  </si>
  <si>
    <t>2021 03 9241 22609</t>
  </si>
  <si>
    <t>A.C. TRADIBERICA MUSICAS TRADICIONALES</t>
  </si>
  <si>
    <t>CONCIERTO CC PILARICA DIA 30/12/2020</t>
  </si>
  <si>
    <t>MUCIENTES</t>
  </si>
  <si>
    <t>2021 04 9204 216</t>
  </si>
  <si>
    <t>A.T. MEDTRA, S.L.</t>
  </si>
  <si>
    <t>MANTENIMIENTO Y ASISTENCIA TÉCNICA DEL SOFTWARE WINMEDTRA Y  WINSEHTRA</t>
  </si>
  <si>
    <t>2021 01 9203 213</t>
  </si>
  <si>
    <t>MANTENIMIENTO APLICACIÓN INFORMÁTICA CONTROL HORARIO WCRONOS AÑO 2021</t>
  </si>
  <si>
    <t>2021 11 1321 22104</t>
  </si>
  <si>
    <t>ABMA1977, S.L.</t>
  </si>
  <si>
    <t>ADQUISICIÓN  DE FUNDAS DE CHALECO ANTIBALAS   PARA REPOSICIÓN DE LAS ANTERIORES POR DETERIORO.</t>
  </si>
  <si>
    <t>AVILES</t>
  </si>
  <si>
    <t>2021 05 4331 22699</t>
  </si>
  <si>
    <t>COMPRA DE DOS CERTIFICADOS DIGITALES PARA EL PROGRAMA S2City</t>
  </si>
  <si>
    <t>2021 07 1711 610</t>
  </si>
  <si>
    <t>CONTRATO CONSERVACION Y MEJORA INFRAESTRUCTURAS VERDES ZONAS SUR Y ESTE, LOTE 1.</t>
  </si>
  <si>
    <t>2021 07 1711 22799</t>
  </si>
  <si>
    <t>CONTRATO CONSERVACION Y MEJORA INFRAESTRUCTURAS VERDES ZONAS SUR Y ESTE DE LA CIUDAD, LOTE 1.</t>
  </si>
  <si>
    <t>2021 06 3261 22799</t>
  </si>
  <si>
    <t>SE 3/2018 P.S. 2. PRORROGA CONTRATO PROGRAMA ABSENTISMO ESCOLAR EN EL AYTO DE VALLADOLID. AÑO 2021 Y 01/01/22 A 31/08/22</t>
  </si>
  <si>
    <t>2021 10 2312 212</t>
  </si>
  <si>
    <t>ACOVALL ACOMETIDAS Y SANEAMIENTOS DE VALLADOLID S.L.</t>
  </si>
  <si>
    <t>REPARACION  ARQUETA Y COLOCAR TAPADERA ESTANCA  Y HERMETICA EN EL CPM PUENTE COLGANTE</t>
  </si>
  <si>
    <t>2021 11 3111 212</t>
  </si>
  <si>
    <t>REPARACION FUGA DE AGUA EN PASEO ARCO LADRILLO 31 -LOCAL SINGULAR KITCHEN-  EL 21 DE ENERO DE 2021</t>
  </si>
  <si>
    <t>2021 08 1301 22699</t>
  </si>
  <si>
    <t>Contrato con ACQUAJET: suministro de botellas de agua paraa la Dirección de Área de Movilidad y Espacio Urbano</t>
  </si>
  <si>
    <t>2021 01 9312 22699</t>
  </si>
  <si>
    <t>ALQUILER MAQUINA Y SUMISTRO AGUA A INTERVENCION , ENERO A DICIEMBRE 2021</t>
  </si>
  <si>
    <t>Contrato con ACQUAJET para el suministro de botellas de agua para la Dirección del Área de Movilidad y Espacio Urbano</t>
  </si>
  <si>
    <t>KIT MENSUAL 3 MESES (OCTUBRE- DICIEMBRE 2020)/ SANEAMIENTO COOLER , INTERVENCIÓN .</t>
  </si>
  <si>
    <t>ACTION SERVICE PLEITE VIEDMA S.L.</t>
  </si>
  <si>
    <t>CONTRATO SERVICIO ADAPTACION IMAGEN CORPORATIVA DE LA FERIA DEL LIBRO A DISTINTOS FORMATOS. LOTE 2 AÑO 2021</t>
  </si>
  <si>
    <t>CONTRATO SERVICIO DE MANTENIMIENTO DE UNA PLATAFORMA WEB Y GABINETE DE PRENSA, FERIA LIBRO. LOTE 3 AÑO 20201</t>
  </si>
  <si>
    <t>CORRECCIÓN ERROR IMPORTE ADJUDICACIÓN CONTRATO FERIA LIBRO LOTE 2</t>
  </si>
  <si>
    <t>2021 05 4331 22706</t>
  </si>
  <si>
    <t>ADD4U SOLUCIONES PARA GESTION Y DESAROLLO SL</t>
  </si>
  <si>
    <t>Consultoría de sistema basado en I.A. para automatizar solicitudes de subvenciones de transformación Digital de Empresas</t>
  </si>
  <si>
    <t>ALPEDRETE</t>
  </si>
  <si>
    <t>2021 01 9207 22799</t>
  </si>
  <si>
    <t>ACCESO, AÑO 2021, AL SERVICIO DE NOTICIAS Y FOTOS DE LA AGENCIA</t>
  </si>
  <si>
    <t>ACCESO AL SERVICIO DE NOTICIAS TEXTO CASTILLA Y LEÓN AÑO 2021 -GOBIERNO Y RELACIONES</t>
  </si>
  <si>
    <t>2021 07 1721 22199</t>
  </si>
  <si>
    <t>AGILENT TECHNOLOGIES SPAIN, S.L.</t>
  </si>
  <si>
    <t>MATERIAL FUNGIBLE ESPECIFICO DEL LABORATORIO DE MASAS PARA EL SERVICIO DE MEDIO AMBIENTE</t>
  </si>
  <si>
    <t>2021 07 1721 213</t>
  </si>
  <si>
    <t>MANTENIMIENTO ANUAL EQUIPO GASES MASAS GSM AGILENT PARA ANALIZAR BENZOPIRENO MAS MATERIAL FUNGIBLE PARA EL MISMO. S.M.A.</t>
  </si>
  <si>
    <t>2021 09 3301 22706</t>
  </si>
  <si>
    <t>ADJUDICACION CONTRATO SERV. MANTENIMIENTO OBSERVATORIO CULTURAL Y TURISTICO CIUDAD DE VALLADOLID. LOTE 2,  AÑOS 2020-23</t>
  </si>
  <si>
    <t>2021 10 2412 22199</t>
  </si>
  <si>
    <t>AGROSELECTA S.A.</t>
  </si>
  <si>
    <t>PLANTAS PARA EL CENTRO DE FORMACION PARA EL EMPLEO CURSO DE PARQUES Y JARDINES II- DURACION 1 DÍA</t>
  </si>
  <si>
    <t>2021 11 1631 22110</t>
  </si>
  <si>
    <t>SUMINISTRO PRODUCTOS DECAPANTES PARA LA ELIMINACIÓN DE PINTADAS POR EL S. DE LIMPIEZA VIARIA</t>
  </si>
  <si>
    <t>2021 05 4331 203</t>
  </si>
  <si>
    <t>MANTENIMIENTO DE LA FUENTE DE AGUA INSTALADA EN LA AGENCIA DE INNOVACION AÑO 2021</t>
  </si>
  <si>
    <t>ALQUILER MENSUAL DE FUENTE DE AGUA EN C/ VEGA SICILIA Nº 2 /// PERIODO: DEL 05-12-2020  A  04-01-2021// AGENCIA INNOVACI</t>
  </si>
  <si>
    <t>2021 05 4331 22799</t>
  </si>
  <si>
    <t>Contratación de servicios para desarrollo de la iniciativa piloto ""Apadrina un alcorque"", proyecto europeo URBAN GreenUP</t>
  </si>
  <si>
    <t>2021 11 1621 22700</t>
  </si>
  <si>
    <t>CONTRATO MANTENIMIENTO PALTAFORMAS RECOIGIDA RESIDUOS EN CONTENEDORES SOTERRADOS AÑO 2021</t>
  </si>
  <si>
    <t>LIMPIEZA Y MANTENIMIENTO DE PLATAFORMAS SOTERRADAS // MES DICIEMBRE 2020</t>
  </si>
  <si>
    <t>2021 10 2311 213</t>
  </si>
  <si>
    <t>COMPRA DE MATERIAL DE FONTANERIA PARA VIVIVENDA SITA EN C/COSTA DORADA 4, 1B</t>
  </si>
  <si>
    <t>2021 06 2315 22613</t>
  </si>
  <si>
    <t>Representación de dos pases de ""Cantacuentos Cantinela"" el 23 de diciembre de 2020 en el CMI / 1 día</t>
  </si>
  <si>
    <t>2021 11 1621 214</t>
  </si>
  <si>
    <t>AC MARCO EXP V36-2017: REPUESTOS REPARACIONES VEHICULOS DEL SERVICIO DE LIMPIEZA</t>
  </si>
  <si>
    <t>AC MARCO EXP V36-2017: REPUESTOS PARA VEHÍCULOS DEL SERVICIO DE LIMPIEZA</t>
  </si>
  <si>
    <t>AC MARCO EXP. V36-2017: RECAMBIOS PARA REPARACION VEHICULOS DEL SERV. DE LIMPIEZA</t>
  </si>
  <si>
    <t>AC MARCO EXP V36-2017: REPUESTOS PARA REPARACION VEHICULOS DEL SERVICIO DE LIMPIEZA</t>
  </si>
  <si>
    <t>2021 08 1532 22199</t>
  </si>
  <si>
    <t>Adquisición de agua mineral en garrafas para el Parque de Vías Públicas durante el 2021.-</t>
  </si>
  <si>
    <t>2021 08 1341 203</t>
  </si>
  <si>
    <t>ALQUILER FOTOCOPIADORA_CANON C55401 MODEL XMF04638_SERVICIO OCUPACIÓN VÍA PÚBLICA</t>
  </si>
  <si>
    <t>2021 08 1341 213</t>
  </si>
  <si>
    <t>COPIAS_FOTOCOPIADORA CANON C55401 MODEL XVD02575_CENTRO DE MOVILIDAD URBANA</t>
  </si>
  <si>
    <t>COPIAS_FOTOCOPIADORA CANON C55401 MODEL XMF04638_SERVICIO OCUPACIÓN VÍA PÚBLICA</t>
  </si>
  <si>
    <t>2021 01 9203 203</t>
  </si>
  <si>
    <t>CONTRATO CENTRALIZADO ALQUILER MAQ. FOTOCP. KYOCERA 4053, REPROGRAFIA ENERO 2021, R.I.</t>
  </si>
  <si>
    <t>2021 04 9202 203</t>
  </si>
  <si>
    <t>ALQUILER FOTOCOPIADORAS ALPA COPIADORAS SL, DPTO. RR. HH. Y FORMACIÓN DEL 1 DE ENERO AL 7 DE FEBRERO DE 2021</t>
  </si>
  <si>
    <t>2021 04 9202 213</t>
  </si>
  <si>
    <t>COPIAS BLANCO/NEGRO Y COLOR FOTOCOPIADORAS ALPA COPIADORAS SL, DPTO. RR.HH. Y FORMACIÓN DEL 1 DE ENERO AL 7 FEBRERO/2021</t>
  </si>
  <si>
    <t>1ª PRORROGA CONTRATO CENTRALIZADO COPIAS MAQ. FOTOCOP. KYOCERA 4053, REPROGRAFIA,  DE FEBRERO 2021 A DICIEMBRE 2021</t>
  </si>
  <si>
    <t>1º PRORROGA CONTRATO CENTRALIZADO ALQUILER MAQ. FOTOCOP. KYOCERA 4053 REPROGRAFIA, DE FEBRERO 2021 A DICIEMBRE 2021, R.I</t>
  </si>
  <si>
    <t>ALQUILER FOTOCOPIADORA ALPA COPIADORAS SL. DPTO. RR.HH. Y A.S. Y FORMACION DEL 8 DE FEBRERO AL 31 DE DIC. DE 2021</t>
  </si>
  <si>
    <t>COPIAS BLANCO, NEGRO Y COLOR FOTOCOPIADORAS ALPA COPIADORAS, SL DPTO. RR.HH. Y AS Y FORMACION DEL 8 DE FEBR AL 31 DIC/21</t>
  </si>
  <si>
    <t>ALQUILER MAQ. FOTOCOP. KYOCERA 4053 / RFC9Y20292 -FC011367 /DE 01-10-20  A  31-12-20 , R.I.</t>
  </si>
  <si>
    <t>ALQUILER 01/10/2020 - 31/12/2020 // N.SERIE: RFC9Y20759 - FC011338 // CASA CONSISTORIAL, GESTION DE PERSONAL, 3ª PTA</t>
  </si>
  <si>
    <t>ALQUILER 01/10/2020 - 31/12/2020 // N.SERIE: RFC9Y20757 - FC011386 // CASA CONSIST.,SEC.ACCION SOCIAL FORMACION, 1ºPLT</t>
  </si>
  <si>
    <t>COPIAS COLOR Y NEGRAS (1459+5140)/ RFC9Y20757- FC011386 / DE 01-10-20 A 31-12-20 / SEC.ACC. SOCIAL FORMACIÓN 1ª PLTA</t>
  </si>
  <si>
    <t>COPIAS 01/10/2020 - 31/12/2020 // N.SERIE: RFC9Y20759 - FC011338 // CASA CONSISTORIAL, GESTIÓN DE PERSONAL, 3º PLANTA</t>
  </si>
  <si>
    <t>2021 01 9201 213</t>
  </si>
  <si>
    <t>CORRESPONDE AL SALDO DEL AD 920200014568. COPIAS KYOCERA 4053 01-10-20 A 31-12-20 / ASESORIA JURÍDICA. TORREÓN</t>
  </si>
  <si>
    <t>CORRESPONDE AL SALDO DEL AD 920200014568. COPIAS KYOCERA 4053 N.  01/10/2020 - 31/12/2020 - ASESORÍA JURÍDICA, 3º PLANTA</t>
  </si>
  <si>
    <t>COPIAS COLOR Y NEGRAS (97+8455) / RFC9Y20292 -FC011367 / DE 01-10-20 A 31-12-20 / REGIMEN INTERIOR. SOTANO</t>
  </si>
  <si>
    <t>2021 04 9204 213</t>
  </si>
  <si>
    <t>ALQUILER FOTOCOPIADORA  CDIT, DEL 1/10 AL 31/12/2020</t>
  </si>
  <si>
    <t>SUMINISTRO DE IMPRESIÓN DEL 1/10 AL 31/12/2020</t>
  </si>
  <si>
    <t>2021 04 3121 213</t>
  </si>
  <si>
    <t>COPIAS COLOR Y NEGRO (277+9.272)/ R319Z00938 -FC011337 / DE 01-10-20 A 31-12-20/  PREVENCION Y SALUD LABORAL</t>
  </si>
  <si>
    <t>2021 08 1532 213</t>
  </si>
  <si>
    <t>COPIAS COLOR+NEGRAS (481+2856) / RFC9Y20878 -FC011425 / DE 01-10-20 A 31-12-20 / SAN BENITO 1ªPTA. SALA 14</t>
  </si>
  <si>
    <t>COPIAS KYOCERA 4012 (9.025) / R3T9Y27723 -FC011359 / DE 01-10-20 A 31-12-20 / SAN BENITO 1ªPTA. -PUERTA 13</t>
  </si>
  <si>
    <t>COPIAS 01/10/2020 - 31/12/2020 // N.SERIE: R3T9Z31013 - FC011360 // UBICACION: PARQUE VIAS PUBLICAS</t>
  </si>
  <si>
    <t>2021 08 1532 203</t>
  </si>
  <si>
    <t>ALQUILER 01/10/2020 - 31/12/2020 // N.SERIE: RFC9Y20878 - FC011425 // UBICACION: SAN BENITO, 1ªPTA, SALA 14</t>
  </si>
  <si>
    <t>Rect.92659 728/ RECT: F/453 //// ALQUILER / R3T9Y27723 -FC011359 / DE 01-10-20 A 31-12-20 / SAN BENITO 1º PLTA - PTA 13</t>
  </si>
  <si>
    <t>Rect. 92637 706 // ALQUILER 01/10/20 - 31/12/20 // N.SERIE: R3T9Z31013 - FC011360 // PARQUE VIAS PUBLICAS</t>
  </si>
  <si>
    <t>F-538. ALPA. ALQUILER KYOCERA 4053 /  RFC9Y20354 -FC011430 / DE 01-10-20 A 31-12-20 / CEAS PARQUESOL</t>
  </si>
  <si>
    <t>ALQUILER FOTOCOPIADORA_CANON C55401 MODEL XVD02575_CENTRO MOVILIDAD URBANA</t>
  </si>
  <si>
    <t>2021 10 2313 213</t>
  </si>
  <si>
    <t>2021 04 9231 213</t>
  </si>
  <si>
    <t>2021 04 9209 203</t>
  </si>
  <si>
    <t>2021 02 1501 203</t>
  </si>
  <si>
    <t>GASTOS  DERIVADOS DE LOS ALQUILERES Y CONSUMIBLES  DE FOTOCOPIADORAS ÁREA 02</t>
  </si>
  <si>
    <t>2021 06 3232 213</t>
  </si>
  <si>
    <t>2021 05 4315 203</t>
  </si>
  <si>
    <t>FOTOCOPIADORAS CONSUMO DEL 8 DE FEBRERO DE 2020 A 07 FEBRERO DE 2021</t>
  </si>
  <si>
    <t>2021 11 1621 213</t>
  </si>
  <si>
    <t>2021 04 9341 213</t>
  </si>
  <si>
    <t>Contrato Centralizado de alquiler y copias de fotocopiadoras, febrero/2020  a febrero/2021. 2 máquinas Agencia de Innova</t>
  </si>
  <si>
    <t>Contrato contralizado de alquiler de fotocopiadoras. Previsión de nuevas necesidades por ampliacion Agencia Innovación</t>
  </si>
  <si>
    <t>2021 04 9331 203</t>
  </si>
  <si>
    <t>ALQUILER FOTOCOPIADORA AÑO 2021 DEPARTAMENTO PATRIMONIO (EXP. SE53/2019)</t>
  </si>
  <si>
    <t>2021 11 1321 213</t>
  </si>
  <si>
    <t>NUEVO CONTRATO DE IMPRESIÓN CORPORATIVA PERIODO DEL 1-1-2021 AL 7-2-2021.</t>
  </si>
  <si>
    <t>2021 04 9331 213</t>
  </si>
  <si>
    <t>ESTIMACIÓN COPIAS FOTOCOPIADORA  AÑO 2021 DEPARTAMENTO DE PATRIMONIO (EXP. SE 3/2019)</t>
  </si>
  <si>
    <t>2021 03 9241 203</t>
  </si>
  <si>
    <t>ALQUILER Y MANTENIMIENTO FOTOCOPIADORAS PARTICIPACION CIUDADANA</t>
  </si>
  <si>
    <t>2021 01 9312 203</t>
  </si>
  <si>
    <t>ALQUILER KYOCERA 4053 SERIE RFC9Y20464,DPTO.CONTABILIDAD, ENERO 2021.</t>
  </si>
  <si>
    <t>ALQUILER MAQUINA KYOCERA 4053 SERIE RFC9Y20562, INTERVENCION GENERAL ENERO 2021.</t>
  </si>
  <si>
    <t>2021 01 9312 213</t>
  </si>
  <si>
    <t>ESTIMACION COPIAS KYOCERA 4053, SERIE RFC9Y20464, DPTO.CONTABILIDAD ENERO 2021.</t>
  </si>
  <si>
    <t>ESTIMACION COPIAS MAQUINA KYOCER 4053,SERIE RFC9Y20562 INTERVENCION GENERAL, ENERO 2021.</t>
  </si>
  <si>
    <t>2021 09 3301 213</t>
  </si>
  <si>
    <t>CONTRATO MANT. Y COPIAS FOTOCOPIADORASIMPRESORAS  AREA DE CULTURA Y TURISMO.CONCEJALIA Y SECRETARÍA EJEC 2020/2021</t>
  </si>
  <si>
    <t>2021 01 9207 203</t>
  </si>
  <si>
    <t>ADJUDICA EXPED --&gt; NUEVO CONTRATO IMPRESIÓN CORPORATIVA (fotocpiadoras) GOBIERNO Y RELACIONES 08/02/2020 a 07/02 de 2021</t>
  </si>
  <si>
    <t>2021 05 4301 203</t>
  </si>
  <si>
    <t>CONTRATO CENTRALIZADO ALQUILER Y COPIAS FOTOCOPIADORA FEBRERO 2020-FEBRERO 2021.  CONCEJALÍA DE INNOVACIÓN</t>
  </si>
  <si>
    <t>SUMINISTRO DE LA IMPRESIÓN CORPORATIVA, CDIT</t>
  </si>
  <si>
    <t>2021 06 2315 213</t>
  </si>
  <si>
    <t>NUEVO CONTRATO DE IMPRESIÓN Y FOTOCOPIADO. DOS MÁQUINAS VINCULADAS AL SERVICIO DE IGUALDAD, JUVENTUD E INFANCIA</t>
  </si>
  <si>
    <t>CONTRATO CENTRALIZADO COPIAS MAQ, FOTOCP. KYOCERA 4053, REPROGRAFIA, ENERO 2021, R.I.</t>
  </si>
  <si>
    <t>2021 01 9206 203</t>
  </si>
  <si>
    <t>ALQUILER DE 2 FOTOCOPIADORAS KYOCERA (TIPOS 5 Y 6) PARA EL ARCHIVO, DEL 1 ENERO AL 7 DE FEBRERO 2020.</t>
  </si>
  <si>
    <t>2021 01 9206 213</t>
  </si>
  <si>
    <t>COPIAS DE 2 FOTOCOPIADORAS KYOCERA (B&amp;N Y  COLOR) PARA EL ARCHIVO, DEL 1 DE ENERO AL 7 DE FEBRERO 2020.</t>
  </si>
  <si>
    <t>Mantenimiento ( 35 ) y gasto copias (115 ) Fotocopiadora Dpto Prevencion y Salud Laboral Enero a 7 Febrero 2021</t>
  </si>
  <si>
    <t>2021 04 9311 203</t>
  </si>
  <si>
    <t>ALQUILER FOTOCOPIADORA (TIPO 6) OFICINA PRESUPUESTARIA DEL 1 DE ENERO AL 7 FEBRERO DE 2021</t>
  </si>
  <si>
    <t>COPIAS FOTOCOPIADORA (TIPO 6) DE LA OFICINA PRESUPUESTARIA DEL 1 DE ENERO AL 7 DE FEBRERO DE 2021</t>
  </si>
  <si>
    <t>2021 11 1361 213</t>
  </si>
  <si>
    <t>COMPLEMENTARIO DE CONTRATO FORMALIZADO DE IMPRESIÓN CORPORATIVA DE 01/ENERO A 07/FEBRERO DE 2021.</t>
  </si>
  <si>
    <t>2021 10 2312 213</t>
  </si>
  <si>
    <t>2021 10 2412 213</t>
  </si>
  <si>
    <t>PROPUESTA GASTO FOTOCOPIADORA DEL 1 DE ENERO AL 7 DE FEBRERO 2021 SIN PROYECTO- CENTRO DE FORMACION PARA EL EMPLEO</t>
  </si>
  <si>
    <t>2021 10 2316 213</t>
  </si>
  <si>
    <t>ALQUILER Y MANT.EQUIP.IMPRESION Y FOTOCOP.CAI DE 1 ENE A 7 FEB 21.CAMBIO PROG. DE 231.1 A 231.6. MEDIACION COMUNITARIA</t>
  </si>
  <si>
    <t>2021 04 9321 203</t>
  </si>
  <si>
    <t>ALQUILER EQUIPO FC011304 SECCIÓN DE TASAS De 1/10 a 31/12/2020. Documenos contables: 920200007233 (A) y 920200007484(D)</t>
  </si>
  <si>
    <t>ALQUILER EQUIPO FC011305 SECCIÓN DE ATT. De 1/10 a 31/12/2020. Documenos contables: 920200007233 (A) y 920200007484(D)</t>
  </si>
  <si>
    <t>ALQUILER EQUIPO FC011306 Secc.  Impuestos: de 1/10 a 31/12/2020. Documentos contabbles: 920200007233 A y 920200007484 D</t>
  </si>
  <si>
    <t>ALQUILER EQUIPO 011372 Servicio GI:de 1/10 a 31/12/2020. Documentos contabbles: 920200007233 A y 920200007484 D</t>
  </si>
  <si>
    <t>ALQUILER 01/10/2020 - 31/12/2020  N.SERIE: RFC9Y20464 - FC011383 , DPT.CONTABILIDAD.</t>
  </si>
  <si>
    <t>ALQUILER 01/10/2020 - 31/12/2020  N.SERIE: RFC9Y20562 - FC011382 , INTERVENCIÓN GENERAL</t>
  </si>
  <si>
    <t>ALQUILER KYOCERA 4053 / RFC9Y20458 - FC011351 / de 01-10-20 a 31-12-20 //  OF.PRESUPUESTARIA 1ªPTA.</t>
  </si>
  <si>
    <t>ALQUILER KYOCERA 4053 / RFC9Y20443 - FC011389 /  STA ANA CONTROL INGRESOS PTA.BJA DCHA./ DE 01-10-20 A 31-12-20</t>
  </si>
  <si>
    <t>ALQUILER 01/10/2020 - 31/12/2020 // N.SERIE: RFC9Y20758 - FC011388 // STA ANA, SERV.GEST.RECAUDATORIA, 3ªPTA, DCHA.</t>
  </si>
  <si>
    <t>ALQUILER KYOCERA 4053 / RFC9Y20858 - FC011387 / STA ANA SERV.PROCEDIMIENTO 2ªPTA. DCHA./ DE 01-10-20 A 31-12-20</t>
  </si>
  <si>
    <t>ALQUILER KYOCERA 4053 / RFC9Y20353- FC011368 / DE 01-10-20 A 31-12-20 / TESORERIA 1ªPTA.</t>
  </si>
  <si>
    <t>COPIAS: de  01/10/2020 a 04/01/2021 FC011304  TASAS Documentos contables:920200007233 A y 920200007484 D</t>
  </si>
  <si>
    <t>COPIAS: FC011305 de 01-10-20  a  04-01-21 SECC..ATT.Documentos contables: 920200007233 A y 920200007484 D</t>
  </si>
  <si>
    <t>COPIAS: de  01-10 a  31-12/-2020 FC011306 (IMPUESTOS) Documentos contablres: 920200007233 (A) y 920200007484 (D)</t>
  </si>
  <si>
    <t>COPIAS 01/10/2020 - 31/12/2020 // N.SERIE: RFC9Y20458 - FC011351 // CASA CONSISTORIAL, OFICINA PRESUPUESTARIA, 1º PLTA</t>
  </si>
  <si>
    <t>ALQUILER KYOCERA 4053 / RFC9Y20865 -FC011398 / DE 01-10-20 A 31-12-20 / SAN BENITO 2ªPTA. SALA 49</t>
  </si>
  <si>
    <t>ALQUILER 01/10/2020 - 31/12/2020 // N.SERIE: RFC9Y20766 - FC011395 // UBICACION: SAN BENITO, 2ªPTA, SALA 49</t>
  </si>
  <si>
    <t>COPIAS 01/10/2020 - 31/12/2020  N.SERIE: RFC9Y20464 - FC011383 , DPTO.CONTABILIDAD.</t>
  </si>
  <si>
    <t>COPIAS COLOR Y NEGRAS (681+373) / RFC9Y20562- FC011382 / DE 01-10-20 A 31-12-20 / INTERVENCIÓN GRAL  1ª PLTA.</t>
  </si>
  <si>
    <t>COPIAS 01/10/2020 - 31/12/2020 // N.SERIE: FRC9Y20865 - FC011398 // UBICACION: SAN BENITO, 2ª PLTA, SALA 49</t>
  </si>
  <si>
    <t>COPIAS COLOR Y NEGRAS (895+13933)/ RFC9Y20766- FC011395 / DE 01-10-20 A 31-12-20 /  SAN BENITO 2ªPTA. SALA 49</t>
  </si>
  <si>
    <t>ALQUILER 01/10/2020 - 31/12/2020 // N.SERIE: RFC9Y20775 - FC011431 // UBICACION: CENTRO MUNICIPAL DE IGUALDAD</t>
  </si>
  <si>
    <t>ALQUILER 01/10/2020 - 31/12/2020 // N.SERIE: RFC9Y20862 - FC011421 // SAN BENITO, 3ªPTA, SALA 50</t>
  </si>
  <si>
    <t>COPIAS: de 1/10 a 31/12/2020 FC011372 (Servicio) Documentos contables: 920200007233 (A) y 920200007484 (D)</t>
  </si>
  <si>
    <t>COPIAS COLOR Y NEGRAS ( 1994+5746) / RFC9Y20353 -FC011368 / DE 01-10-20 A 31-12-20 / TESORERIA 1ª PLTA.</t>
  </si>
  <si>
    <t>COPIAS 01/10/2020 - 31/12/2020 // N.SERIE: RFC9Y20758 - FC011388 // SANTA ANA, SERV.GEST.RECAUDATORIA, 3º PLTA - DCHA</t>
  </si>
  <si>
    <t>COPIAS 01/10/2020 - 31/12/2020 // N.SERIE: RFC9Y20858 - FC011387 // SANTA ANA, SERV.PROCEDIMIENTO, 2º PLTA - DCHA</t>
  </si>
  <si>
    <t>COPIAS COLOR Y NEGRAS (551+946) / RFC9Y20443 -FC011389 / DE 01-10-20 A 31-12-20 / STA ANA CONTROL INGRESOS PTA BJA DCHA</t>
  </si>
  <si>
    <t>COPIAS 01/10/2020 - 04/01/2021 // N.SERIE: R4Q9Z32277 - FC011308 // CASA CONSISTORIAL, REGISTRO CENTRAL, 1º PLT</t>
  </si>
  <si>
    <t>COPIAS 01/10/2020 - 04/01/2021 // N.SERIE: R4Q9Z32110 - FC011309 // CASA CONSISTORIAL, ATT.AL CIUDADANO, PLT BAJA</t>
  </si>
  <si>
    <t>COPIAS M3655 / R4Q9Z32153 -FC011315 (1.577) / DE 01-10-20  A  04-01-21 / SAN BENITO PTA.BAJA REGISTRO</t>
  </si>
  <si>
    <t>COPIAS M3655 / R4Q9Z32171 -FC011310 (3.264) / DE 01-10-20  A  04-01-21 / CASA CONSISTORIAL ATTº AL CIUDADANO PTA BAJA</t>
  </si>
  <si>
    <t>COPIAS 01/10/2020 - 31/12/2020 // N.SERIE: R3T9Z31017 - FC011307 // CASA CONSISTORIAL, SERV.INFORMAC.Y REGISTRO, 1º PLT</t>
  </si>
  <si>
    <t>COPIAS 01/10/2020 - 31/12/2020 // N.SERIE: RFC9Y20775 - FC011431 // UBICACION: CENTRO MUNICIPAL DE IGUALDAD</t>
  </si>
  <si>
    <t>COPIAS 01/10/2020 - 31/12/2020 // N.SERIE: RFC9Y20862 - FC011421 // SAN BENITO, 3ª PLTA, SALA 50</t>
  </si>
  <si>
    <t>2021 11 3111 203</t>
  </si>
  <si>
    <t>PRORROGA CONTRATO IMPRESION CORPORATIVA SERVICIO SALUD DL 8 FEBRERO A 31 DICIEMBRE DE 2021</t>
  </si>
  <si>
    <t>PRÓRROGA CONTRATO IMPRESIÓN CORPORATIVA</t>
  </si>
  <si>
    <t>2021 08 1301 203</t>
  </si>
  <si>
    <t>Alquiler fotocopiadoras Área Mov. y Espacio Urbano (SEMEU-CONCEJ pta 38, LIC pta 19, SCIE pta 18 bis, INF. URB. pta 9)</t>
  </si>
  <si>
    <t>SISTEMAS IMPRESIÓN TESORERÍA Y RECAUDACIÓN</t>
  </si>
  <si>
    <t>2021 08 1301 213</t>
  </si>
  <si>
    <t>Consumos fotocopiadoras Área Mov. y Espacio Urbano (SEMEU-CONCEJ pta 38, LIC pta 19, SCIE pta 18 bis, INF. URB. pta 9)</t>
  </si>
  <si>
    <t>ESTIMACION COPIAS FOTOCOPIADORA (TIPO 6) DE LA OFICINA PRESUPUESTARIA DEL 8 DE FEBRERO DE 2021 A 31 DE DICIEMBRE DE 2021</t>
  </si>
  <si>
    <t>ALQUILER FOTOCOPIADORA (TIPO 6) DE LA OFICINA PRESUPUESTARIA DEL 8 DE FEBRERO DE 2021 AL 31 DE DICIEMBRE DE 2021</t>
  </si>
  <si>
    <t>2021 07 1721 203</t>
  </si>
  <si>
    <t>PRÓRROGA DEL CONTRATO DE IMPRESIÓN CORPORATIVA. EXPEDIENTE SE 53/2019. SERVICIO DE MEDIO AMBIENTE Y SECRETARÍA EJECUTIVA</t>
  </si>
  <si>
    <t>PRÓRROGA DEL SUMINISTRO DE LA IMPRESIÓN CORPORATIVA , CDIT</t>
  </si>
  <si>
    <t>PRORROGA CONTRATO SISTEMAS DE IMPRESIÓN Y FOTOCOPIADO AÑO 2021 (SERVICIO DE lIMPIEZA</t>
  </si>
  <si>
    <t>IMPORTE DEL SERVICIO DE IMPRESIÓN CORPORATIVA DEL 8 DE FEBRERO AL 31 DE DICIEMBRE DE 2021.</t>
  </si>
  <si>
    <t>Contrato Impresión Corporativa Expte.: SE 53_2019 del 8/Febrero/2021 al 31/Diciembre/2021;SEISYPC.</t>
  </si>
  <si>
    <t>PRORROGA CONTRATO DE IMPRESION CORPORATIVA. SERVICIO DE EDUCACION. 2 MAQUINAS. 08/02/2021 A 31/12/2021. EXPTE SE 74/2020</t>
  </si>
  <si>
    <t>ALQUILER Y MANTENIMIENTOS DE EQUIPOS IMPRESION Y FOTOCOP.CEAS Y SERVICIOS CENTRALES DE 8 FEB AL 31 DIC 2021</t>
  </si>
  <si>
    <t>ALQUILER Y MANTENIMIENTO DE EQUIPOS IMPRESION Y FOTOCOP.COMEDOR SOCIAL DE 8 FEB AL 31 DIC 2021</t>
  </si>
  <si>
    <t>PRÓRROGA Contrato ALQUILER DE FOTOCOPIADORAS DEL S.E.P.I. del 8-febrero al 31-Diciembre de 2021.-</t>
  </si>
  <si>
    <t>PRÓRROGA Contrato FOTOCOPIAS PARA EL S.E.P.I. del 8-febrero al 31-diciembre de 2021.-</t>
  </si>
  <si>
    <t>EQUIPOS:FC011372, FC011304, FC011305 y FC011306: GESTIÓN DE INGRESOS-INSPECCIÓN. De 1/1 a 7/2/2021</t>
  </si>
  <si>
    <t>EQUIPOS: FC011372, FC011304, FC011305 y FC011306. Servicios: GESTIÓN DE INGRESOS-INSPECCIÓN. De 8/2 a 31/12/2021</t>
  </si>
  <si>
    <t>Consumos fotocopiadoras Área Movilidad y Espacio Urbano (FC011118, FC011126, FC011044, FC011066 y FC011069)</t>
  </si>
  <si>
    <t>Alquiler fotocopiadoras Área Movilidad y Espacio Urbano (FC011118, FC011126, FC011044, FC011066 y FC011069)</t>
  </si>
  <si>
    <t>PRORROGA CONTRATO COPIAS MAQUINA KYOCERA 4053 SERIE RFC9Y20562, INTERVENCION. FEBRERO-DCBRE</t>
  </si>
  <si>
    <t>PRORROGA CONTRATO ALQUILER KYOCERA 4053 SERIE RFC9Y20464, DEPARTAMENTO DE CONTABILIDAD. FEBRERO - DICIEMBRE</t>
  </si>
  <si>
    <t>PRORROGA CONTRATO ALQUILER KYOCERA 4053 RFC9Y20567, INTERVENCION GENERAL. FEBRERO - DICIEMBRE</t>
  </si>
  <si>
    <t>PRORROGA CONTRATO COPIAS KYOCERA 4053 SERIE RFC9Y20464. DEPARTAMENTO DE CONTABILIDAD. FEBRERO - DICIEMBRE</t>
  </si>
  <si>
    <t>ALQUILER DE DOS FOTOCOPIADORAS KYOCERA (TIPOS 5 Y 6) PARA EL ARCHIVO, DEL 8 DE FEBRERO AL 31 DE DICIEMBRE DE 2021</t>
  </si>
  <si>
    <t>COPIAS 2 FOTOCOPIADORAS KYOCERA (B&amp;N Y COLOR) PARA EL ARCHIVO, DEL 8 DE FEBRERO AL 31 DE DICIEMBRE DE 2021</t>
  </si>
  <si>
    <t>PRORROGA CONTRATO CENTRALIZADO ALQUILER Y COPIAS FOTOCOPIADORAS AGENCIA INNOVACION (3 máquinas) .</t>
  </si>
  <si>
    <t>PRORROGA FOTOCOPIADORAS - SERVICIO DE INFORMACION Y ADMINISTRACION ELECTRONICA - 2021</t>
  </si>
  <si>
    <t>PRORROGA CONTRATO O IMPRESION CORPARATIVA (FOTOCOPIADORAS, SE 53-2019, DE 08/02/2021 A 31-12-2021</t>
  </si>
  <si>
    <t>PRORROGA DEL CONTRATO DE IMPRESIÓN CORPORATIVA DIRECCIÓN AREA INNOVAC DE 8 DE FEBRERO DE 2021 AL 31 DE DICIEMBRE DE 2021</t>
  </si>
  <si>
    <t>PRÓRROGA CONTRATO ALQUILER FOTOCOPIADORA DEPARTAMENTO PATRIMONIO AÑO 2021 (Febrero a Diciembre) Exp. SE 53/2019</t>
  </si>
  <si>
    <t>PRORROGA CONTRATO FOTOCOPIADORA DEPARTAMENTO PATRIMONIO ESTIMACIÓN COPIAS 2021 (Febrero a Diciembre) Exp. SE 53/2019</t>
  </si>
  <si>
    <t>PRORROGA CONTRATO DE IMPRESION CORPORATIVA SERVICIO DE IGUALDAD 2 MAQUINAS 8/02/2021 A 31/12/2021 SE74/2020</t>
  </si>
  <si>
    <t>2021 01 9201 203</t>
  </si>
  <si>
    <t>Alquiler fotocopiadoras Secretaría General 2021 ( 9 febrero a 31 diciembre)</t>
  </si>
  <si>
    <t>Gastos fotocopias Secretaría General, 1 enero a 8 febrero 2021.</t>
  </si>
  <si>
    <t>Gastos fotocopias Secretaría General 2021.</t>
  </si>
  <si>
    <t>PRÓRROGA CONTRATO FOTOCOPIADORA DEPARTAMENTO DE PREVENCIÓN Y SALUD LABORAL</t>
  </si>
  <si>
    <t>CONTRATO MANTENIMIENTO COPIADORAS E IMPRESION  CPMS TRANSFERIDOS DEL  08 FEBRERO A 31 DICIEMBRE  DE 2021</t>
  </si>
  <si>
    <t>CONTRATO MANTEN. COPIADORAS E IMPRESION  CPMS NO  TRANSFERIDOS Y SERV CENTRALES  DEL  08 FEBRERO A 31 DICIEMBRE  DE 2021</t>
  </si>
  <si>
    <t>PRÓRROGA CONTRATO IMPRESIÓN CENTRALIZADA MANTENIMIENTO Y COPIAS FOTOCOPIADORAS ÁREA DE CULTURA Y TURISMO</t>
  </si>
  <si>
    <t>CONTRATO MANT.FOTOCOP-IMPRESION CONCEJALIA-DIREC.AREA Y SECRET.EJEC.AREA SERV.SOC.Y MEDIACION COMUN DEL 8/2 A 31/12/21</t>
  </si>
  <si>
    <t>CONTRATO MANTENIMIENTO COPIADORA E IMPRESION DEL CENTRO DE ATENCIÓN AL INMIGRANTE DESDE 8 FEB 21 AL 31 DIC 2021</t>
  </si>
  <si>
    <t>PRORROGA CONTRATO IMPRESION CORPORATIVA OMIC 8 FEBRERO A 31 DICIEMBRE 2021</t>
  </si>
  <si>
    <t>ALQUILER TRIMESTRAL 01/10/2020 - 31/12/2020 // N.SERIE: R4Q9Z32389 - FC011321 // UBICACION: CPM DELICIAS ARCA REAL</t>
  </si>
  <si>
    <t>ALQUILER KYOCERA M3655 /  R4Q9Z32187-  FC011329 /  CPM ZONA NORTE // DEL 01-10-20  AL  31-12-20</t>
  </si>
  <si>
    <t>ALQUILER KYOCERA 4012 / R3T9Z31008 - FC011402 /  SAN BENITO PTA. BAJA PUERTA  3 /// DE 01-10-20  AL  31-12-20</t>
  </si>
  <si>
    <t>ALQUILER KYOCERA 4053/ RFC9712612 - FC011439 / DE 01-10-20 A 31-12-20 / SAN BENITO 1ªPTA. PUERTA 29</t>
  </si>
  <si>
    <t>ALQUILER 01/10/2020 - 31/12/2020 // N.SERIE: R3T9Z31139 - FC011322 // UBICACION: CPM HUERTA DEL REY</t>
  </si>
  <si>
    <t>COPIAS KYOCERA 401 (6.497) / R3T9Z31008-FC011402 / DE 01-10-20 A 31-12-20 / SAN BENITO PTA.BAJA -PUERTA 3</t>
  </si>
  <si>
    <t>COPIAS 01/10/2020 - 31/12/2020 // N.SERIE: R3T9Z31139 - FC011322 // UBICACION: CPM HUERTA DEL REY, PTA.BAJA</t>
  </si>
  <si>
    <t>COPIAS COLOR+NEGRAS (5465+4823) / RFC9712612 -FC011439 / DE 01-10-20 A 31-12-20 /SAN BENITO 1ªPTA.- PTA 29</t>
  </si>
  <si>
    <t>ALQUILER KYOCERA 4012 /  R3T9Z31139 -FC011322 / 01-07-20 A 30-09-20 /  CPM HUERTA DEL REY</t>
  </si>
  <si>
    <t>ALQUILER KYOCERA 358 /  R319Z01027 - FC011349 / SAN BENITO 2ªPTA. PUERTA 41 SECRET.EJECU/ DEL 01-10-2020  AL  31-12-2020</t>
  </si>
  <si>
    <t>ALQUILER KYOCERA 4053 /  RFC9Y20754 -FC011400 / DE 01-10-20 A 31-12-20 / SAN BENITO 2ªPTA. PUERTA 44 CONCEJALIA Y DIREC.</t>
  </si>
  <si>
    <t>COPIAS COLOR Y NEGRO (499+1.945)/ R319Z01027 -FC011349 / DE 01-10-20 A 31-12-20 /SAN BENITO 2ªPTA.- PTA 41-SECRET.EJEC.</t>
  </si>
  <si>
    <t>COPIAS B/N Y COLOR(462-2418) 01/10/2020 - 31/12/2020/ N.SERIE: RFC9Y20754-FC011400/SAN BENITO, PUERTA 44-CONCEJ-DIREC</t>
  </si>
  <si>
    <t>F-404. ALPA. ALQUILER KYOCERA 358 / R319Z00960-  FC011346. COMEDOR SOCIAL.  DEL 01-10-20  AL  31-12-20</t>
  </si>
  <si>
    <t>F-504. ALPA. ALQUILER KYOCERA 4053 / RFC9Y20767 - FC011426 / CEAS CENTRO DE 01-10-20  A  31-12-20</t>
  </si>
  <si>
    <t>F-682. ALPA. COPIAS M3655 / R4Q9Z31989 -FC011332. de 01-10-20 a 04-01-21 /CEAS DELICIAS ARGALES</t>
  </si>
  <si>
    <t>F-687. ALPA. COPIAS 01/10/2020 - 04/01/2021. N.SERIE: R4Q9Z32148 - FC011319. UBICACION: CEAS DELICIAS CANTERAC</t>
  </si>
  <si>
    <t>F-693. ALPA. COPIAS 01/10/2020 - 04/01/2021. N.SERIE: R4Q9Z32173 - FC011316. UBICACION: CEAS PAJARILLOS</t>
  </si>
  <si>
    <t>ALQUILER 01/10/2020 - 31/12/2020 // N.SERIE: R3T9Y27689 - FC011414 // POLICIA PARQUESOL</t>
  </si>
  <si>
    <t>ALQUILER KYOCERA 4053 /  RFC9Y20852 - FC011419 /  POLICIA MPAL EDIF. B MULTAS 1ª PTA // DE 01-10-20  A 31-12-20</t>
  </si>
  <si>
    <t>ALQUILER KYOCERA 4053 / RFC9Y20760-  FC011418 / POLICIA MPAL EDF.A JEFE SERVICIO 1ªPTA.// DE 01-10-20  A  31-12-20</t>
  </si>
  <si>
    <t>ALQUILER 01/10/2020 - 31/12/2020 // N.SERIE: RFC9813870 - FC011409 // UBICACION: POLICIA MPAL, EDF.A, ACADEMIA, 1ªPTA.</t>
  </si>
  <si>
    <t>ALQUILER KYOCERA 4053 / RFC9Y20846 - FC011405 / POLICIA MPAL EDF.A SERV.GRALES PTA. BAJA / DE 01-10-20  A  31-12-20</t>
  </si>
  <si>
    <t>ALQUILER 01/10/2020 - 31/12/2020 // N.SERIE: RFC9Y20861 - FC011417 // POLICIA MPAL, EDF.A, PLT BJ, INSP.CENTRAL GUARDIA</t>
  </si>
  <si>
    <t>COPIAS 01/10/2020 - 04/01/2021 // N.SERIE: R4Q9Z32387 - FC011397 // POLICIA MPAL, EDIFICIO A, REGISTRO, PLT BAJA</t>
  </si>
  <si>
    <t>COPIAS 01/10/2020 - 31/12/2020 // N.SERIE: R319Y00565 - FC011437 // UBICACION: POLICIA MUNICIPAL, DEPÓSITO, PTA.BAJA</t>
  </si>
  <si>
    <t>COPIAS 01/10/2020 - 31/12/2020 // N.SERIE: R3T9Y27689 - FC011414 // UBICACION: POLICIA MPAL - PARQUESOL</t>
  </si>
  <si>
    <t>COPIAS KYOCERA 4012 (14.274) / R3T9Z31018 -FC011413/ DE 01-10-20 A 31-12-20 / POLICIA ZONA SUR</t>
  </si>
  <si>
    <t>COPIAS KYOCERA 4012 (7.380) / R3T9Z31097- FC01141/ DE 01-10-20 A 31-12-20 / POLICIA MPAL EDF.A DIV. TERRITORIAL 2º PLTA.</t>
  </si>
  <si>
    <t>COPIAS 01/10/2020 - 31/12/2020 // N.SERIE: R3T9Z31111 - FC011415 // UBICACION: POLICIA MUNICIPAL, RONDILLA</t>
  </si>
  <si>
    <t>COPIAS KYOCERA 4012 (16.380) / R3T9Z31117- FC011411 / DE 01-10-20 A 31-12-20 / POLICIA MPAL EDF.A DISTRITO V- 2ª PLTA.</t>
  </si>
  <si>
    <t>COPIAS 01/10/2020 - 31/12/2020 // N.SERIE: R3T9Z31131 - FC011407 // UBICACION: POLICIA MUNICIPAL, EDF.A SAVV, 1º PLT</t>
  </si>
  <si>
    <t>COPIAS KYOCERA 4012 (2.107)/  R3T9Z31138- FC011401 / DE 01-10-20 A 31-12-20 / POLICIA MPAL EDF.B VIAL 2ª PLTA.</t>
  </si>
  <si>
    <t>COPIAS COLOR Y NEGRAS (317+2028) /RFC9813870 -FC011409/ DE 01-10-20 A 31-12-20 / POLICIA MPAL EDF.A ,ACADEMIA 1ª PLTA</t>
  </si>
  <si>
    <t>COPIAS COLOR Y NEGRAS (3644+14494) / RFC9Y20760 -FC011418 / DE 01-10-20 A 31-12-20 / POLICIA MPAL EDIF.A.JEFE SERV.1ªPLT</t>
  </si>
  <si>
    <t>COPIAS 01/10/2020 - 31/12/2020 // N.SERIE: RFC9Y20846 - FC011405 // POLIC.MUNICIPAL, EDIF.A, SERV.GENERALES, PLT BAJA</t>
  </si>
  <si>
    <t>COPIAS 01/10/2020 - 31/12/2020 // N.SERIE: RFC9Y20852 - FC011419 // POLIC. MUNICIPAL, EDF.B, MULTAS, 1º PLTA</t>
  </si>
  <si>
    <t>COPIAS COLOR+NEGRAS (3918+4390) / RFC9Y20861 -FC011417 / DE 01-10-20 A 31-12-20 /POL.MPAL EDF.A INSP.CENT. GUARD.PTA BJA</t>
  </si>
  <si>
    <t>ALQUILER 01/07/2020 - 30/09/2020 // N.SERIE: RFC9813870 - FC011409 // POLICIA MUNICIPAL, EDIFICIO A, ACADEMIA, 1ªPTA</t>
  </si>
  <si>
    <t>ALQUILER  Fotocopiadora KYOCERA M3655, FC011303, Gob y Actas, del 01-10-20 al 31-12-20. Corresponden al saldo de 2020</t>
  </si>
  <si>
    <t>COPIAS Fotocopiadora M3655, FC011303, de 01-10-20 a 04-01-21, Gob y Actas, corresponden al saldo 2020 AD920200017678</t>
  </si>
  <si>
    <t>ALQUILER KYOCERA M3655 /  R4Q9Z32154 / FC011314 / CM PUENTE DUERO  // DEL 01-10-20  AL  31-12-20</t>
  </si>
  <si>
    <t>ALQUILER 01/10/2020 - 31/12/2020 // N.SERIE: R319Z00937 - FC011312 // UBICACION: CC PILARICA</t>
  </si>
  <si>
    <t>ALQUILER KYOCERA 358 /  R319Z00986 - FC011313 /  CC RONDILLA /// DEL 01-10-20  AL  31-12-20</t>
  </si>
  <si>
    <t>ALQUILER KYOCERA 358 /  R319Y00567 - FC011311 /  CC VICENTE ESCUDERO/ DEL 01-10-20  AL  31-12-20</t>
  </si>
  <si>
    <t>ALQUILER KYOCERA 4053 /  RFC9X19376 -FC011300 /DE 01-10-20 A 31-12-20/  SAN BENITO 2ªPTA. PUERTA 39</t>
  </si>
  <si>
    <t>COPIAS COLOR Y NEGRO (54+2.789) / R319Y00567 -FC011311/ DE 01-10-20 A 31-12-20 / CC VICENTE ESCUDERO</t>
  </si>
  <si>
    <t>COPIAS COLOR Y NEGRO (487+4.436)/ R319Z00937 -FC011312/ DE 01-10-20 A 31-12-20/  CC PILARICA ALMACEN HALL</t>
  </si>
  <si>
    <t>COPIAS 01/10/2020 - 31/12/2020  N.SERIE: R319Z00986 - FC011313 // CC RONDILLA, ALMACEN A</t>
  </si>
  <si>
    <t>COPIAS 01/10/2021 - 31/12/2021 // N.SERIE: RFC9X19376 - FC011300 // UBICACION: SAN BENITO, 2ª PLTA. PUERTA 39</t>
  </si>
  <si>
    <t>COPIAS 01/10/2020 - 31/12/2020 // N.SERIE: RFC9Y20474 - FC011416 // SAN BENITO, 2ª PLANTA, PUERTA 46</t>
  </si>
  <si>
    <t>COPIAS 01/10/2020 - 31/12/2020 // N.SERIE: RFC9Y20741 - FC011343 // CC DELICIAS</t>
  </si>
  <si>
    <t>COPIAS COLOR Y NEGRAS (1114+3893) / RFC9Y20752 -FC011376 / DE 01-10-20 A 31-12-20 / CC CASA CUNA</t>
  </si>
  <si>
    <t>COPIAS 01/10/2020 - 31/12/2020 // N.SERIE: RFC9Y20761 - FC011377 // CC JOSE LUIS MOSQUERA</t>
  </si>
  <si>
    <t>COPIAS 01/10/2020 - 31/12/2020 // N.SERIE: RFC9Y20983 - FC011378 // UBICACION: SAN BENITO, 2ªPTA, PUERTA 40</t>
  </si>
  <si>
    <t>ALQUILER KYOCERA 4053 /  RFC9Y20744 - FC011404 /  PARQUE LAS ERAS BOMBEROS / DE 01-10-20  AL 31-12-20</t>
  </si>
  <si>
    <t>COPIAS 01/10/2020 - 31/12/2020 // N.SERIE: RFC9Y20744 - FC011404 // PARQUE LAS ERAS - BOMBEROS</t>
  </si>
  <si>
    <t>ALQUILER 01/10/2020 - 31/12/2020 // N.SERIE: RFCY20857 - FC011396 // UBICACION: PARQUE LAS ERAS BOMBEROS</t>
  </si>
  <si>
    <t>F-763. ALPA. COPIAS 01/10/2020 - 31/12/2020. N.SERIE: R319Z00960 - FC011346. COMEDOR SOCIAL, PTA.BAJA</t>
  </si>
  <si>
    <t>F-780. ALPA. COPIAS KYOCERA 4012 (4.052) / R3T9Z31014 -FC011428 / DE 01-10-20 A 31-12-20. CEAS CAMPO GRANDE</t>
  </si>
  <si>
    <t>F-784. ALPA. COPIAS KYOCERA 4012 (9.569) / R3T9Z31056- FC011390 / DE 01-10-20 A 31-12-20. CEAS JUAN DE AUSTRIA</t>
  </si>
  <si>
    <t>F-794. ALPA. COPIAS KYOCERA 4012 (5.849) / R3T9Z31146 -FC011391 / DE 01-10-20 A 31-12-20. CEAS CENTRO PTA</t>
  </si>
  <si>
    <t>F-827. ALPA. COPIAS 01/10/2020 - 31/12/2020 // N.SERIE: RFC9Y20345 - FC011429. CEAS LA VICTORIA</t>
  </si>
  <si>
    <t>F-829. ALPA. COPIAS 01/10/2020 - 31/12/2020 // N.SERIE: RFC9Y20354 - FC011430. CEAS PARQUESOL</t>
  </si>
  <si>
    <t>F-892. ALPA. COPIAS COLOR Y NEGRAS (233+4683) / RFC9Y20767 -FC011426 / DE 01-10-20 A 31-12-20. CEAS CENTRO</t>
  </si>
  <si>
    <t>F-407. ALPA. ALQUILER 01/10/2020 - 31/12/2020  N.SERIE: R319Z00680 - FC011345. CC JOSE LUIS MOSQUERA (CEAS)</t>
  </si>
  <si>
    <t>F-445. ALPA. ALQUILER 01/10/2020 - 31/12/2020 N.SERIE: R3T9Z31147 - FC011394  CC CAMPILLO (CEAS)</t>
  </si>
  <si>
    <t>F-495. ALPA. ALQUILER 01/10/2020 - 31/12/2020 N.SERIE RFC9X19374 - FC011392 CC JOSE MARIA LUELMO (CEAS)</t>
  </si>
  <si>
    <t>F-785. ALPA. COPIAS 01/10/2020 - 31/12/2020 // N.SERIE: R3T9Z31057 - FC011427. CEAS: JUAN DE AUSTRIA</t>
  </si>
  <si>
    <t>F-795. ALPA. COPIAS 01/10/2020 - 31/12/2020 // N.SERIE: R3T9Z31147 - FC011394 CC CAMPILLO</t>
  </si>
  <si>
    <t>F-820. ALPA.COPIAS COLOR Y NEGRAS (594+9027)/ RFC9X19374 - FC011392 / DE 01-10-20 A 31-12-20 CC JOSE MARIA LUELMO (CEAS)</t>
  </si>
  <si>
    <t>CORRECTA APLICACION PAGO FRA.2021/422, MAQUINA R319Z00938, PREV.SALUD, 01-10/31-12-2020, CON CARGO A SALDO AD 2020.</t>
  </si>
  <si>
    <t>COPIAS 01/10/2020 - 31/12/2020 // N.SERIE: RFC9Y20880 - FC011373 // CASA DEL BARCO, EDIF.NUEVO, 1º PLANTA</t>
  </si>
  <si>
    <t>ALQUILER 01/10/2020 - 31/12/2020 // N.SERIE: RFC9Y20880 - FC011373 // CASA DEL BARCO, ED.NUEVO, 1ªPTA.</t>
  </si>
  <si>
    <t>ALQUILER 01/10/2020 - 31/12/2020 // N.SERIE: RFC9Y20870 - FC011374 // CASA DEL BARCO, ED.ANTIGUO, PTA.BAJA DCHA</t>
  </si>
  <si>
    <t>COPIAS 01/10/2020 - 31/12/2020 // N.SERIE: RFC9Y20870 - FC011374 // UBICACION: CASA DEL BARCO, ED.ANTIGUO, PLTA BJ - DCH</t>
  </si>
  <si>
    <t>ALQUILER KYOCERA 358 / R319Z00984 - FC011336 / CENTRO PROTECCION ANIMAL PTA. BAJA/ DEL 01-10-20  AL 31-12-20</t>
  </si>
  <si>
    <t>ALQUILER 01/10/2020 - 31/12/2020 // N.SERIE: R319Z00678 - FC011339 // UBICACION: CASA DEL BARCO, EDF.NUEVO, PTA.BAJA</t>
  </si>
  <si>
    <t>ALQUILER KYOCERA 4012 /  R3T9Z30903 - FC011352  / CASA DEL BARCO  // DE 01-10-20  AL  31-12-20</t>
  </si>
  <si>
    <t>CONTRATO MANTENIMIENTO COPIADORA E IMPRESIÓN CFE DE 8 DE FEBRERO A 31 DICIEMBRE 2021.</t>
  </si>
  <si>
    <t>PROPUESTA GASTO FOTOCOPIADORA DEL 1 DE ENERO AL 7 DE FEBRERO DE 2021 DEL CFE JACINTO BENAVENTE.</t>
  </si>
  <si>
    <t>COPIAS KYOCERA 4012 (7.827) / R3T9Y27722 -FC011334 / DE 01-10-20 A 31-12-20 / S.BENITO 1ªPLTA.- PTA 18 BIS</t>
  </si>
  <si>
    <t>ALQUILER 01/10/2020 - 31/12/2020 // N.SERIE: R4Q9Z31991 -FC011302 // CASA CONSISTORIAL  2ªPLANTA, PASILLO</t>
  </si>
  <si>
    <t>ALQUILER KYOCERA M3655 / R4Q9Z32169 - FC011301 / GABINETE DE GOBIERNO Y RELACIONES 2ª PLTA/ DE 01-10-20 A 31-12-20</t>
  </si>
  <si>
    <t>ALQUILER KYOCERA 358 /  R319Z00958 - FC011423 /  SECRETARIA PARTICULAR ALCALDÍA 2ª PTA.// DEL 01-10-20  AL  31-12-20</t>
  </si>
  <si>
    <t>ALQUILER 01/10/2020 - 31/12/2020 // N.SERIE: RFC9Y20936 - FC011432 // CONSEJO ECONOMICO ADMINISTRATIVO, Santa Ana</t>
  </si>
  <si>
    <t>CUOTA ALQUILER TRIMESTRE 01/10/2020 - 31/12/2020 // MÁQUINA N.SERIE: RFC9Y20467 - FC011335 //  MEDIOS DE COMUNICACION</t>
  </si>
  <si>
    <t>EXPED SE 74/2020 PRÓRROGA CONTRATO IMPRESIÓN CORPORATIVA FEBRERO a DICIEMBRE 2021 - GOBIERNO Y RELACIONES</t>
  </si>
  <si>
    <t>2021 11 1321 204</t>
  </si>
  <si>
    <t>2021 11 1321 22103</t>
  </si>
  <si>
    <t>IMPORTE REPOSTAJE VEHÍCULO CEDIDO A POLICÍA EN SUSTITUCIÓN POR AVERÍA DEL UTILIZADO.</t>
  </si>
  <si>
    <t>2021 06 3321 22001</t>
  </si>
  <si>
    <t>SUSCRIPCIÓN DE 5 EJEMPLARES DE LA REVISTA ALTERNATIVAS ECONÓMICAS PARA LAS BIBLIOTECAS MUNICIPALES, AÑO 2021.</t>
  </si>
  <si>
    <t>MANTENIMIENTO PROGRAMA INFORMATICO DE GESTIÓN PROGRAMA DE CALIDAD DE LA POLICÍA 2021.</t>
  </si>
  <si>
    <t>2021 03 9241 22799</t>
  </si>
  <si>
    <t>2021 11 1321 214</t>
  </si>
  <si>
    <t>ALVIBESA MOTOR, S.L.</t>
  </si>
  <si>
    <t>REPARACIÓN DE VEHÍCULOS DE POLICÍA MUNICIPAL  (ACUERDO MARCO DE TALLERES EN TRAMITACIÓN).</t>
  </si>
  <si>
    <t>REPARACIÓN VEHÍCULOS DE POLICÍA MUNICIPAL (ACUERDO MARCO EN TRAMITACIÓN.</t>
  </si>
  <si>
    <t>Alquiler de maquinaria sin conductor (rodillos compactadores, carretillas elevadoras, barredoras, etc) a demanda .-</t>
  </si>
  <si>
    <t>2021 02 9332 632</t>
  </si>
  <si>
    <t>ALVAREZ Y MATEO ARQUITECTOS, SL</t>
  </si>
  <si>
    <t>ADJ.EXPTE.27/19 DIREC.FACULT.OBRAS DE CONSOLIDACION DE LA EDIFICACION DESTINADA A CELDAS DEL CONVENTO STA. CATALINA *</t>
  </si>
  <si>
    <t>2021 06 2314 22799</t>
  </si>
  <si>
    <t>Instalación de antenas Wi-Fi que den cobertura a los usuarios del Espacio Joven Zona Norte / 10 DÍAS</t>
  </si>
  <si>
    <t>2021 09 3341 22699</t>
  </si>
  <si>
    <t>ANA MOYANO CANO</t>
  </si>
  <si>
    <t>DISEÑO IDENTIDAD VISUAL, DOSSIER DEL PROYECTO E IMÁGENES-GALERÍAS VALLADOLID</t>
  </si>
  <si>
    <t>2021 08 1532 210</t>
  </si>
  <si>
    <t>ANGEL GUERRA,S.L.</t>
  </si>
  <si>
    <t>Suministro y colocación de 41,60 m.l. de barandilla continua en Pº Juan Carlos I c/ Estornino C/Anade y Pº San Isidro.-</t>
  </si>
  <si>
    <t>2021 11 1361 22199</t>
  </si>
  <si>
    <t>ANGEL JAVIER LINARES ARRANZ</t>
  </si>
  <si>
    <t>CAJA DE SIRENAS ELECTRICA Y AMPLIFICADOR PARA AUTOESCALA VA-42345-VE//SERVICIO DE EXTINCIÓN DE INCENDIOS</t>
  </si>
  <si>
    <t>REPARACIÓN DE ELEMENTOS ELECTRÓNICOS DEL EQUIPAMIENTO DE VEHÍCULOS POLICIALES..</t>
  </si>
  <si>
    <t>2021 06 2315 22611</t>
  </si>
  <si>
    <t>Talleres de desarrollo, fomento y concienciación de la igualdad en Centro Munic. Igualdad 2021 / HASTA DICIEMBRE 2021</t>
  </si>
  <si>
    <t>2021 10 2311 22700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</si>
  <si>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</si>
  <si>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</si>
  <si>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</si>
  <si>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</si>
  <si>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SUMINISTRO DE UREA PARA EL ESPARCIDO EN EPISODIOS DE HELADAS Y NEVADAS</t>
  </si>
  <si>
    <t>SILLA</t>
  </si>
  <si>
    <t>2021 08 1341 619</t>
  </si>
  <si>
    <t>2021 06 3231 22799</t>
  </si>
  <si>
    <t>ARASTI BARCA M.A., S.L.</t>
  </si>
  <si>
    <t>EXPTE. SE-EIJI 10/2020. CTTO GESTION EIM PLATERO LOTE 8. AÑO 2021. 01/01 A 31/08/2022</t>
  </si>
  <si>
    <t>ADJUDICAC.,EXPTE.27/2019  ""REDAC.PROY.CONSOLIDACION DE EDIFICACION DESTINADA A CELDAS DEL CONVENTO STA. CATALINA *</t>
  </si>
  <si>
    <t>2021 11 3111 22106</t>
  </si>
  <si>
    <t>CONTRATO DE SUMINISTRO DE MEDICAMENTOS Y PIENSOS PARA EL CENTRO MUNICIPAL DE PROTECCIÓN ANIMAL - LOTE 2</t>
  </si>
  <si>
    <t>2021 01 9203 22000</t>
  </si>
  <si>
    <t>ARGAVALLADOLID, S.L.L.</t>
  </si>
  <si>
    <t>CONTRATO SUMINISTRO MATERIAL DE OFICINA NO INVENTARIABLE AYTO. VALLADOLID, LOTE 6, R.I</t>
  </si>
  <si>
    <t>EXPTE. SE-EIJI 10/2020. CTTO GESTION EIM CAMPANILLA LOTE 1. AÑO 2021. 01/01 A 31/08/2022</t>
  </si>
  <si>
    <t>EXPTE. SE-EIJI 10/2020. CTTO GESTION EIM PRINCIPITO LOTE 3. AÑO 2021. 01/01 A 31/08/2022</t>
  </si>
  <si>
    <t>REPARACIÓN DE VEHÍCULO DE POLICÍA ( ACUERDO MARCO EN TRAMITACIÓN.</t>
  </si>
  <si>
    <t>ARTE-ROTULACION  TEAN, S.L.</t>
  </si>
  <si>
    <t>ROTULACIÓN VEHÍCULO DE POLICÍA 3946JTY POR DETERIORO DEBIDO A UN ACCIDENTE.</t>
  </si>
  <si>
    <t>ARROYO (VALLADOLID)</t>
  </si>
  <si>
    <t>CTTO MANTENIMIENTO ASCENSORES COLEGIOS MUNICIPALES 2021 Y 2022 LOTE 1</t>
  </si>
  <si>
    <t>2021 06 3261 213</t>
  </si>
  <si>
    <t>CTTO MANTENIMIENTO ASCENSORES EM MUSICA MARIANO DE LAS HERAS 2021 Y 2022 LOTE 1</t>
  </si>
  <si>
    <t>2021 06 2314 213</t>
  </si>
  <si>
    <t>CTTO MANTENIMIENTO ASCENSORES ESPACIO JOVEN NORTE 2021-2022 LOTE 1</t>
  </si>
  <si>
    <t>MANTENIMIENTO DE DOS ASCENSORES EDIFICIO JEFATURA DE POLICÍA. EJERCICIO 2021.</t>
  </si>
  <si>
    <t>2021 07 1701 213</t>
  </si>
  <si>
    <t>Mantenimiento del ascensor en el edificio anexo al de Casa del Barco durante el periodo 01/01/2021 al 31/12/2021</t>
  </si>
  <si>
    <t>2021 03 9241 213</t>
  </si>
  <si>
    <t>ASCENSORES TRESA, S.A.</t>
  </si>
  <si>
    <t>MANTENIMIENTO APARATO ELEVADOR SANTIAGO LOPEZ (ENE-ABRIL 2021)</t>
  </si>
  <si>
    <t>GIJON</t>
  </si>
  <si>
    <t>2021 04 9204 636</t>
  </si>
  <si>
    <t>PRÓRROGA MANTENIMIENTO Y GESTIÓN ÁREAS WIFI MUNICIPALES DEL 1/1 AL 18/6/2020</t>
  </si>
  <si>
    <t>2021 01 9206 22706</t>
  </si>
  <si>
    <t>AMPLIACIÓN PRÓRROGA CONTRATO SERVICIOS APOYO ARCHIVO MUNICIPAL HASTA FORMALIZACIÓN NUEVO CONTRATO</t>
  </si>
  <si>
    <t>2021 02 9332 214</t>
  </si>
  <si>
    <t>REVISION MATRICULA 0020LFY: SUSTITUIR FILTRO DEL HABITÁCULO (M.O)/ FILTRO/ LAVAPARABRISAS INVIERNO 2L (MATERIALES)</t>
  </si>
  <si>
    <t>REVISION-MTNO VEHICULO  MATRICULA 5901-LFX  /////  SUSTITUIR FILTRO (M.O.)/ FILTRO  (MATERIALES)</t>
  </si>
  <si>
    <t>CONTRATO DE MANTENIMIENTO DE ELEVADORES EN CENTRO INTEGRADO  (2 APARATOS) PARA EL AÑO 2021.</t>
  </si>
  <si>
    <t>CONTRATO DE MANTENIMIENTO DE ELEVADORES EN  COMEDOR SOCIAL (1 APARATO) PARA EL AÑO 2021.</t>
  </si>
  <si>
    <t>CONTRATO MANTENIMIENTO ELEVADOR CFE JACINTO BENAVENTE 2021 ASIGNACIÓN A PM PARQUES Y JARDINES (1/12/2020 A 31/5/2021)</t>
  </si>
  <si>
    <t>CONTRATO MANTENIMIENTO ELEVADOR CFE JACINTO BENAVENTE 2021 ASIGNACIÓN A PM VALLADOLID CUIDA IV (1/2 A 31/7/2021)</t>
  </si>
  <si>
    <t>CONTRATO MANTENIMIENTO ELEVADOR CFE JACINTO BENAVENTE 2021 ASIGNACION A PM PINTURA DECORATIVA (1/2 A 31/10/2021)</t>
  </si>
  <si>
    <t>CONTRATO MANTENIMIENTO ELEVADOR CFE JACINTO BENAVENTE 2021</t>
  </si>
  <si>
    <t>Interruptor Magnetotérmico y Diferencial Protección Circuito DEL ASCENSOR  C.P.M. DELICIAS- DURACION 1 DIA</t>
  </si>
  <si>
    <t>Suministro de 1 pulsador con llave en el aparato elevador de Padre Francisco Suárez, 14 - C.E.I.P. Ponce de León</t>
  </si>
  <si>
    <t>REPARACIÓN ASCENSOR CC ZONA ESTE</t>
  </si>
  <si>
    <t>REPARACIÓN ASCENSOR CC ZONA ESTE: SISTEMA DE SOCORRO EN FOSO</t>
  </si>
  <si>
    <t>MANTENIMIENTO DE LOS ACCENSORES DE LOS CPM TRANSFERIDOS PARA EL AÑO 2021</t>
  </si>
  <si>
    <t>MANTENIMIENTO DE LOS ASCENSORES DE LOS CPM NO TRANSFERIDOS PARA EL AÑO 2021</t>
  </si>
  <si>
    <t>Mantenimiento ascensor de Avda. Valle Esgueva, 8 - C. Formación Jacinto Benavente // 4º TRIMESTRE2020</t>
  </si>
  <si>
    <t>Mantenimiento del aparato elevador de los Centros CPM/ Centro Integrado // 4º TRIMESTRE DE 2020</t>
  </si>
  <si>
    <t>F-25. ASC. ZENER.Albergue (117,75¿AD920199001097) Comedor (119,78¿-920199001098) 4º TRIMESTRE DE 2020</t>
  </si>
  <si>
    <t>PRÓRROGA LOTE 3 (DEL 12/01/21 AL 30/04/21) CONTRATO MANTENIMIENTO ASCENSORES CENTROS SPC</t>
  </si>
  <si>
    <t>2021 10 2311 22799</t>
  </si>
  <si>
    <t>ASOC.COMISION CATOLICA ESPAÑOLA MIGRACIO</t>
  </si>
  <si>
    <t>PRORR.CONT. EMERGENCIA 35 PLAZAS CARAC. INTEG.AT.PSICOSOCIAL PARA PERSONAS SIN HOGAR: 35 PX40,5 E/P/D-ene a mar COVID-19</t>
  </si>
  <si>
    <t>SUSCRIPCION A LA REVISTA PEONZA PARA LAS BIBLIOTECAS MUNICIPALES DURANTE EL AÑO 2021</t>
  </si>
  <si>
    <t>2021 09 3301 22799</t>
  </si>
  <si>
    <t>ASOCIACION CULTURAL AMIGOS DEL PISUERGA</t>
  </si>
  <si>
    <t>CONTRATO DE SERVICIOS DE RECUPERACIÓN EN EL RÍO PISUERGA DE LAS BOLAS DE PIEDRA DEL ESPOLÓN VIEJO DE LOS AÑOS 1602-1605</t>
  </si>
  <si>
    <t>ASOCIACIÓN DE INDUSTRIALES DEL MERCADO DEL VAL</t>
  </si>
  <si>
    <t>1 CONVOCATORIA CONTRATO BASADO EN ACUERDO MARCO SERVICIOS CESIÓN DE DATOS DE USO DE VEHÍCULOS ELÉCTRICOS</t>
  </si>
  <si>
    <t>Asociacion Musical Cucu Band</t>
  </si>
  <si>
    <t>ACTUACIÓN MUSICAL CARNAVAL BARRIO LA PILARICA</t>
  </si>
  <si>
    <t>Medina del Campo</t>
  </si>
  <si>
    <t>REPRESENTACIÓN TEATRO DIA 15/01/2021 EN CC ZONA ESTE</t>
  </si>
  <si>
    <t>SERVICIO DE HOSTING PARA WEB Y SOFTWARE ASOCIADO, SOBRE TERMINO DE INNOVACION. CUOTA UNICA DE UN VPS CLOUD AÑO 2021.</t>
  </si>
  <si>
    <t>2021 03 9241 22700</t>
  </si>
  <si>
    <t>PRÓRROGA LOTE 6 (DEL 12/01/21 AL 30/04/21) CONTRATO MANTENIMIENTO CENTROS SPC: CONTROL DE PLAGAS</t>
  </si>
  <si>
    <t>2021 02 9332 213</t>
  </si>
  <si>
    <t>Mantenimiento del aparato elevador del Pº Hospital Militar, 24 - Servicio Médico Municipal // MES DICIEMBRE</t>
  </si>
  <si>
    <t>ASISTENCIA TÉCNICA OPERACIÓN, CAU, Y MANTENIMIENTO  DEL SOFTWARE DE BASE Y COMUNICACIONES LOTE 3, PRÓRROGA</t>
  </si>
  <si>
    <t>MANTENIMIENTO HARDWARE LOTE 1, SEGUNDA PRÓRROGA</t>
  </si>
  <si>
    <t>2021 03 9241 22602</t>
  </si>
  <si>
    <t>AURUM REGALOS PUBLICITARIOS,S.L.</t>
  </si>
  <si>
    <t>1350 UDS. DE MASCARILLAS DE TELA PUBLICITARIAS</t>
  </si>
  <si>
    <t>2021 11 1621 634</t>
  </si>
  <si>
    <t>REPARACION DE BOMBAS Y CIRCUITOS DE INYECCIÓN DE VEHICULOS DEL SERVICIO LIMPIEZA</t>
  </si>
  <si>
    <t>REPARACIÓN VEHÍCULO 8671JXF POLICÍA. ACUERDO MARCO EN TRAMITACIÓN.</t>
  </si>
  <si>
    <t>AUTOCHAPA PREMIUN, S.L.</t>
  </si>
  <si>
    <t>2021 11 1621 204</t>
  </si>
  <si>
    <t>SERVICIOS GRUAS PARA TRASLADO VEHICULOS AVERIADOS DEL Sº DE LIMPIEZA</t>
  </si>
  <si>
    <t>Mantenimiento ascensores: San Benito, 1 Izdo, 1 Dcho, 1 Sub.Sala Exp / Pza Sta Ana, Edif.Cira // MES DICIEMBRE</t>
  </si>
  <si>
    <t>Mantenimiento ascensores Pza. Mayor, 1 Izdo, 1 Dcho, 1 Interior // MES DICIEMBRE</t>
  </si>
  <si>
    <t>Honorarios inspección periódica O.C.A. con S.C.I. en el aparato elevador de Pza. Santa Ana, 6, según ppto de 28/12/2020</t>
  </si>
  <si>
    <t>2021 04 9231 22799</t>
  </si>
  <si>
    <t>Mantenimiento durante el mes de diciembre de 2020 del Observatorio Urbano (Información, registro, gestión padrón)</t>
  </si>
  <si>
    <t>2021 04 9311 22799</t>
  </si>
  <si>
    <t>ASTIBOT INGENIERIA INFORMATICA ROBOTICA Y DOMOTICA SL</t>
  </si>
  <si>
    <t>Mantenimiento de la aplicación de presupuestos visuales del Ayuntamiento de Valladolid ""Las Cuentas Claras""</t>
  </si>
  <si>
    <t>Mantenimiento durante el mes de diciembre de 2020 del Observatorio Urbano (Agencia de Innovación)</t>
  </si>
  <si>
    <t>PRORROGA CONTRATO PUBLICACIÓN DATOS OBSERVATORIO CULTURAL Y TURISTICO EN OBSERVATORIO URBANO HASTA 24/10/2021</t>
  </si>
  <si>
    <t>2021 04 9204 641</t>
  </si>
  <si>
    <t>Prorroga del contrato del Observatorio Urbano para los año 2020-2021. Agencia de Innovación.</t>
  </si>
  <si>
    <t>2021 04 3121 22106</t>
  </si>
  <si>
    <t>AYUDAS TÉCNICAS A LA COOPERACIÓN, S.L.</t>
  </si>
  <si>
    <t>Suministro material sanitario desechable, material curas, tiras reactivas e instrumental quirurgico a Servicio Prevencio</t>
  </si>
  <si>
    <t>REPARACIÓN BALLESTAS Y SUSPENSIONES DE VEHICULOS DEL SERVICIO DE LIMPIEZA</t>
  </si>
  <si>
    <t>SUSCRIPCIÓN A VARIAS REVISTAS DE LA EDITORIAL BAYARD PARA LAS BIBLIOTECAS MUNICIPALES DURANTE EL AÑO 2021</t>
  </si>
  <si>
    <t>2021 06 2314 22699</t>
  </si>
  <si>
    <t>MODIFICACION MESA DESPACHO, DESMONTAR CREDENZA SUSTITUCION RUEDAS, COLOCACION CABLES EN MESAS 1 DIA</t>
  </si>
  <si>
    <t>ACCIONES CORRECTIVAS EN PUERTAS MANUALES DEPENDENCIAS POLICIA .</t>
  </si>
  <si>
    <t>MANTENIMINETO DE PUERTAS AUTOMÁTICAS EN DEPENDENCIAS DE POLICÍA MUNICIPAL 2021.</t>
  </si>
  <si>
    <t>BETON CATALAN, S.A.</t>
  </si>
  <si>
    <t>Suministro de hormigones y morteros para uso directo por los equipos del S.E.P.I.</t>
  </si>
  <si>
    <t>DISEÑO GRÁFICO PROGRAMACIÓN NAVIDAD MFS</t>
  </si>
  <si>
    <t>2021 04 9331 224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</si>
  <si>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</si>
  <si>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</si>
  <si>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PRORROGA SERVICIO MANTENIMIENTO WEB OBSERVATORIO URBANO - 2021</t>
  </si>
  <si>
    <t>2021 07 1721 22799</t>
  </si>
  <si>
    <t>TRATAMIENTO DE LOS RESIDUOS GENERADOS EN EL LABORATORIO DE CONTAMINACION DE LA RCCVA. SERVICIO DE MEDIO AMBIENTE</t>
  </si>
  <si>
    <t>BJS AUTOMATISMOS,S.L.</t>
  </si>
  <si>
    <t>MANTENIMIENTO DE LOS CPM TRANSFERIDOS, CPM SAN JUAN, RONDILLA Y LA VICTORIA PARA ELAÑO 2021</t>
  </si>
  <si>
    <t>MANTENIMIENTO DE LAS PUERTAS AUTOMATICAS DEL CPM NO TRANSFERIDO CPM ZONA SUR</t>
  </si>
  <si>
    <t>Suministro de 1.500 m. de ""Banderola"" (cinta señalizadora de obra).-</t>
  </si>
  <si>
    <t>2021 11 3111 22199</t>
  </si>
  <si>
    <t>BRONCE 7 ARGALES, S.L.</t>
  </si>
  <si>
    <t>PRODUCTOS DE DESINFECCIÓN PARA CMPA</t>
  </si>
  <si>
    <t>REAJUSTE DE ANUALIDADES SERVICIO DE ACTUALIZACIÓN GUÍA RECURSOS CULTURALES BASE DE COMUNICACIONES ON-LINE</t>
  </si>
  <si>
    <t>2021 01 9206 22199</t>
  </si>
  <si>
    <t>Sustitución de varias lámparas LED y bombillas en diversas estancias del Archivo Municipal de Valladolid.</t>
  </si>
  <si>
    <t>Reparación Enchufe Centro Municipal de la Igualdad el día 17 de febrero de 2021 / 1 DIA</t>
  </si>
  <si>
    <t>SUMINISTRO DE MATERIAL DIVERSO DE ELECTRICIDAD PARA LOS C.C.: JOSE M.LUELMO- RONDILLA- JOSE L.MOSQ-  ZONA ESTE.</t>
  </si>
  <si>
    <t>CONMUTADOR NIESSEN MECANISMO (CC CAMPILLO) // CAJA ENRA.DAISALUX/ EMERGENCIA DAISALUX/ TASA ECORAEE (CC J.L.MOSQUERA)</t>
  </si>
  <si>
    <t>2021 10 2412 212</t>
  </si>
  <si>
    <t>MANTENIMIENTO, REPARACION DE CONMUTADOR LEGRAND / CAJA 2EL LEGRANDPARA EL CNTRO FORMAC.JACINTO BENAVENTE DURACION 1 DIA</t>
  </si>
  <si>
    <t>MANTENIMIENTO, REPARACIONES REGLETA  OBO  BL  (20 UNIDADES) /// DESTINO: PUENTE COLGANTE - DURACION 1 DIA</t>
  </si>
  <si>
    <t>INTERRUPT SE MGU3.161.18  16A 1 MOD. (CC JOSE LUIS MOSQUERA)</t>
  </si>
  <si>
    <t>SUMINISTROS DE MATERIAL ELECTRICO PARA EL CC JOSE LUIS MOSQUERA/ CC JOSE Mª LUELMO/ CC ZONA SUR</t>
  </si>
  <si>
    <t>2021 06 3321 212</t>
  </si>
  <si>
    <t>LAMPARA LED PH CORELEDBUL 12,5W (4 UNID) / TASA ECORAEE (4) //// DESTINO: BIBLIOTECA FCO JAVIER</t>
  </si>
  <si>
    <t>2021 08 1651 22199</t>
  </si>
  <si>
    <t>PORTALAMP. BJC 2003 E27  M10X1 (40 UNIDADES) //// DESTINO: ALUMBRADO PUBLICO</t>
  </si>
  <si>
    <t>2021 10 2311 212</t>
  </si>
  <si>
    <t>F-713. CADIESA. LAMPARA LED PH CORELEDBUL  (VIVIENDA C/ ORIOL) CONMUTADOR NIESSEN MECANISMO (CEAS DELICIAS). 2021</t>
  </si>
  <si>
    <t>F-729. CADIELSA VALLADOLID. BASE SCH NIESSEN 8288.2-BA Monoblock (VIVIENDA C/CENTRO 12, 1C) ENERO 2021</t>
  </si>
  <si>
    <t>CONMUTADOR/ ARMA SUP./ MAGNETO SE/ DIFERENCIAL/ CALEFACTOR/ TASA ECORAEE/ FLEX ZEROH (VIAS PÚBLICAS)</t>
  </si>
  <si>
    <t>F-1310. CADIELSA VALLADOLID S.L.U. SUMINISTRO DE MATERIAL DE ELECTRICIDAD PARA COMEDOR SOCIAL. 1 DIA</t>
  </si>
  <si>
    <t>MANTENIMIENTO, REPARACION DE LUMIN THORN ANNA LED 1200X300 4400 840 / TASA ECORAEE  DEL  CPM PTE COLGANTE-DURACION 1 DIA</t>
  </si>
  <si>
    <t>2021 07 1711 22199</t>
  </si>
  <si>
    <t>ACUERDO MARCO 2017/36, MATERIAL ELECTRICO.</t>
  </si>
  <si>
    <t>2021 02 9332 212</t>
  </si>
  <si>
    <t>PROYECTOR LEDVANCE LED 20W 4000K NG IP65 / TASA ECORAEE (MANTENIMIENTO)</t>
  </si>
  <si>
    <t>ACUERDO MARCO. SUMINISTRO DE LAMPARAS, CEBADORES, ETC. PARA POLICÍA MUNICIPAL.</t>
  </si>
  <si>
    <t>A.M. V.36/2017 LAMPARA PH INFRA. IR250W RJ  R125 57521025  (8) ///  DESTINO: SALUD Y CONSUMO</t>
  </si>
  <si>
    <t>2021 11 1621 22199</t>
  </si>
  <si>
    <t>AC MARCO EXP. V36-2017: SUMINISTRO MATERIAL ELECTRICO PARA EL Sº LIMPIEZA</t>
  </si>
  <si>
    <t>AC MARCO EXP V36-2017: SUMINISTRO MATERIAL ELECTRICO PARA EL Sº DE LIMPIEZA</t>
  </si>
  <si>
    <t>AC MARCO EXP V36-2017: BOTONERA REPARACION VEHICULO MATRÍCULA 0373-GTW</t>
  </si>
  <si>
    <t>2021 04 9341 22000</t>
  </si>
  <si>
    <t>2 UD - CD ROM+APLICATIVO (CIRCUITO CODIFICACION  ENTIDADES FINANCIERAS - MODALIDAD CD-ROM) // AÑO 2021</t>
  </si>
  <si>
    <t>CONTRATO DE MANTENIMIENTO DE LOS COLEGIOS PUBLICOS MUNICIPALES (LOTE 1). AÑOS: 2021-2022</t>
  </si>
  <si>
    <t>CONTRATO DE MANTENIMIENTO DE LA ESCUELA MUNICIPAL DE MUSICA (LOTE 1). AÑOS: 2021-2022</t>
  </si>
  <si>
    <t>2021 06 3321 213</t>
  </si>
  <si>
    <t>CONTRATO DE MANTENIMIENTO DE LAS BIBLIOTECAS PUBLICAS MUNICIPALES (LOTE 1). AÑOS: 2021-2022</t>
  </si>
  <si>
    <t>Contrato parcial de mantenimiento del centro integrado de personas sin hogar. Enero a marzo 2021. COVID-19</t>
  </si>
  <si>
    <t>Mantenimientto de la calefacción del CFE Jacinto Benavente durante el año 2021</t>
  </si>
  <si>
    <t>REPARACION ES VEHICULOS DEL SERVICIO DE LIMPIEZA</t>
  </si>
  <si>
    <t>2021 11 3111 22113</t>
  </si>
  <si>
    <t>CONTRATO DE SUMINISTRO DE MEDICAMENTOS Y PIENSOS PARA EL CENTRO MUNICIPAL DE PROTECCION ANIMAL - LOTE 1</t>
  </si>
  <si>
    <t>PUBLICACION DE DATOS DEL OBSERVATORIO CULTURAL Y TURISTICO EN OBSERVATORIO URBANO VALLADOLID. DICIEMBRE 2020</t>
  </si>
  <si>
    <t>2021 01 9206 22602</t>
  </si>
  <si>
    <t>CARGRAF  ARTES GRAFICAS, S.L.</t>
  </si>
  <si>
    <t>IMPRESIÓN DEL LIBRO ""EL CONVENTO DE SAN FRANCISCO DE VALLADOLID""</t>
  </si>
  <si>
    <t>CARLIBUR S.L.</t>
  </si>
  <si>
    <t>CONTRATO SUMINISTRO MATERIAL DE OFICINA NO INVENTARIABLE AYTO. VALLADOLID,  LOTE 1,  R.I</t>
  </si>
  <si>
    <t>CONTRATO SUMINISTRO MATERIAL DE OFICINA NO INVENTARIABLE AYTO.  VALLADOLID, LOTE 4,  R.I</t>
  </si>
  <si>
    <t>2021 03 9241 22104</t>
  </si>
  <si>
    <t>VESTUARIO LOTE 1 2021 P CIUDADANA</t>
  </si>
  <si>
    <t>2021 05 4315 22100</t>
  </si>
  <si>
    <t>VESTUARIO DE TRABAJO PARA EL PERSONAL DEL SERVICIO DE SALUD Y CONSUMO LOTE 1 - TEXTIL</t>
  </si>
  <si>
    <t>2021 10 2311 22104</t>
  </si>
  <si>
    <t>CONTRATO VESTUARIO AÑO 2021 (CONTRATO 20 Y 21) SERV.INTERVENCION SOCIAL. LOTE 1 TEXTIL</t>
  </si>
  <si>
    <t>2021 10 2312 22104</t>
  </si>
  <si>
    <t>VESTUARIO LOTE 1, TEXTIL  DE LOS CPM TRANSFERIDOS PARA EL AÑO2021</t>
  </si>
  <si>
    <t>MODF.CONTRATO SEGURO FLOTA VEHICULOS PRIMA 2020 AYUNTAMIENTO (REGULARIZ).EXP.101/2019 PS1) Corresponde a AD920200024938.</t>
  </si>
  <si>
    <t>2021 10 2312 622</t>
  </si>
  <si>
    <t>2021 07 1711 213</t>
  </si>
  <si>
    <t>REPARACION DE PLATAFORMA.</t>
  </si>
  <si>
    <t>REPARACION DE RECOLECTORES DE VEHICULOS DEL SERVICIO DE LIMPIEZA</t>
  </si>
  <si>
    <t>CONTRATO SUMINISTRO MATERIAL DE OFICINA NO INVENTARIABLE AYTO. VALLADOLID, LOTE 2,  R.I</t>
  </si>
  <si>
    <t>CONTRATO SUMINISTRO MATERIAL DE OFICINA NO INVENTARIABLE AYTO.  VALLADOLID, LOTE 3, R.I</t>
  </si>
  <si>
    <t>CONTRATO SUMINISTRO MATERIAL DE OFICINA NO INVENTARIABLE AYTO.  VALLADOLID, LOTE 5, R.I</t>
  </si>
  <si>
    <t>2021 01 9205 22199</t>
  </si>
  <si>
    <t>SUMINISTRO A IMPRENTA DE TÓNER DIVERSOS COLORES Y OTRO MATERIAL COMPLEMENTARIO - AÑO 2021</t>
  </si>
  <si>
    <t>2021 03 9241 22699</t>
  </si>
  <si>
    <t>DIETARIO 2/3</t>
  </si>
  <si>
    <t>2021 11 1631 214</t>
  </si>
  <si>
    <t>CASLI, S.A.</t>
  </si>
  <si>
    <t>REPUESTOS PARA REPARACIÓN EQUIPOS DE VEHICULOS DESTINADOS A LA VIALIDAD INVERNAL (CUCHILLAS QUITANIEVES, ESPARCIDORES)</t>
  </si>
  <si>
    <t>REPARACION EMISORAS VEHICULOS Sº DE LIMPIEZA</t>
  </si>
  <si>
    <t>2021 11 1631 213</t>
  </si>
  <si>
    <t>MANTENIMIENTO Y UBICACION REPETIDOR RED DE RADIOCOMUNICACIONES DEL SSERVICIO DE LIMPIEZA</t>
  </si>
  <si>
    <t>2021 11 1321 22199</t>
  </si>
  <si>
    <t>COMPONENTES AUDIOVISUALES PARA EL PERSONAL DEL CENTRO DE OPERACIONES DE LA POLICÍA MUNICIPAL.</t>
  </si>
  <si>
    <t>Reparación sistema de elevación de cabina en vehículo AEA 18, autoescala IVECO, matrícula 3513 GZF; SEISYPC.</t>
  </si>
  <si>
    <t>TESTEADO/DIAGNOSIS LOCALIZACIÓN FALLO ELECTRICO Y BORRADO DE MEMORIA DE AVERIA BUP-1 4894JLF///EXTINCION INCENDIOS</t>
  </si>
  <si>
    <t>2021 08 1532 214</t>
  </si>
  <si>
    <t>Reparación vehículo 6415-DNY Kms.116706 Cambio aceite motor, filtros aceite, gasoil,aire, revisar niveles, luces,correas</t>
  </si>
  <si>
    <t>Reparación vehículo 5667-CFT. Cambio tirantes y casquillos de barra estabilizadora. Tirante / soporte</t>
  </si>
  <si>
    <t>Montaje conexiones toma aire regulación muelles frenado (ITV) autobombas 4894JLF y 4914JLF BUPs 1-2;SEISYPC.</t>
  </si>
  <si>
    <t>REPARACIONES DE VEHICULOS DEL SERVICIO DE LIMPIEZA</t>
  </si>
  <si>
    <t>2021 11 1361 214</t>
  </si>
  <si>
    <t>Reparación avería grave_sustitución caja cambios vehículo nodriza pesada IVECO matrícula 7425FKM, vehículo BNP_8;SEISYPC</t>
  </si>
  <si>
    <t>VESTUARIO LOTE 1 , TEXTIL DE LOS CPM SIN TRANSFERIR PARA 2021</t>
  </si>
  <si>
    <t>2021 10 2311 22699</t>
  </si>
  <si>
    <t>2021 10 2312 22699</t>
  </si>
  <si>
    <t>ASISTENCIA TÉCNICA OPERACIÓN, CAU, Y MANTENIMIENTO DEL SOFTWARE DE BASE Y COMUNICACIONES. LOTE 1-REAJUSTE ANUALIDADES</t>
  </si>
  <si>
    <t>ASISTENCIA TÉCNICA OPERACIÓN, CAU, Y MANTENIMIENTO  DEL SOFTWARE DE BASE Y COMUNICACIONES LOTE 1 (PRIMERA PRÓRROGA)</t>
  </si>
  <si>
    <t>2021 05 9339 632</t>
  </si>
  <si>
    <t>DIRECCIÓN FACULTATIVA OBRAS AMPLIACIÓN AGENCIA DE LA INNOVACIÓN Y DESARROLLO ECONÓMICO DE VALLADOLID (Ac4-12-2019)</t>
  </si>
  <si>
    <t>Suministro conectores informáticos para dos puestos de trabajo. DEPARTAMENTO DE PREVENCION Y SALUD LABORAL</t>
  </si>
  <si>
    <t>CENTRO DE JARDINERIA VIVEROS GIMENO, S.L.</t>
  </si>
  <si>
    <t>PLANTAS DE DIVERSAS CLASES PARA EL CURSO DE PARQUES Y JARDINES DEL C. DE FORMACION PA EL EMPLEO-DURACION 1 DIA</t>
  </si>
  <si>
    <t>ADJUDICACION CONTRATO SERV. MANTENIMIENTO OBSERVATORIO CULTURAL Y TURISTICO CIUDAD DE VALLADOLID. LOTE 1,  AÑOS 2020-23</t>
  </si>
  <si>
    <t>2021 07 1711 214</t>
  </si>
  <si>
    <t>REPARACION DE VEHICULOS DEL SERVICIO DE PARQUES Y JARDINES.</t>
  </si>
  <si>
    <t>SERVICIO MANTENIMIENTO OBSERVATORIO CULTURAL Y TURISTICO LOTE 1- 51/2019 DE 26/6/2020 AL 18/12/2020</t>
  </si>
  <si>
    <t>RESOLUCION  CONTRATO SERV. MANTENIMIENTO OBSERVATORIO CULTURAL Y TURISTICO CIUDAD DE VALLADOLID. LOTE 1,  AÑO 2021</t>
  </si>
  <si>
    <t>CONTRATACIÓN DE UNA AUDITORÍA DE ACCESIBILIDAD Y USABILIDAD PARA LOS PORTALES WEB DEL AYUNTAMIENTO DE VALLADOLID</t>
  </si>
  <si>
    <t>2021 10 2312 22799</t>
  </si>
  <si>
    <t>SERVICIO DE CELADURIA DEL DIA 4 DE ENERO DEL CPM SAN JUAN,PTE. COLG,RONDILLA, HUERTA Y ARCA REAL</t>
  </si>
  <si>
    <t>ACUERDO MARCO 2017/36, SUMINISTRO DE PLANTAS.</t>
  </si>
  <si>
    <t>ACUERDO MARCO 2017/36, ADQUISICIÓN DE PLANTAS.</t>
  </si>
  <si>
    <t>CAREN SAU</t>
  </si>
  <si>
    <t>MANTENIMIENTO PREVENTIVO Y CORRECTIVO DE PUERTAS CORREDERAS Y SECCIONABLES. SERVICIO DE EXTINCION DE INCENDIOS</t>
  </si>
  <si>
    <t>2021 01 9203 22104</t>
  </si>
  <si>
    <t>ADJUDICACION CONTRATO SUMNISTRO VESTUARIO 2021 PERSONAL ADSCRITO UNIDAD DE REGIMEN INTERIOR</t>
  </si>
  <si>
    <t>TRABAJOS DIVERSOS EN ZONAS AJARDINADAS.</t>
  </si>
  <si>
    <t>CIENCIA E INGENIERIA ECONOMICA Y SOCIAL, S.L.</t>
  </si>
  <si>
    <t>CONTRATACIÓN DE UN SERVICIO DE ADECUACIÓN A LAS NORMATIVAS DE SEGURIDAD DEL ESQUEMA NACIONAL DE SEGURIDAD</t>
  </si>
  <si>
    <t>Asistencia Técnica a la implantación de RGPD y ENS en Agencia de Innovación y Desarrollo Económico y  proyecto S2CITY</t>
  </si>
  <si>
    <t>CIRCE PRODUCCIONES TEATRALES, S.L.</t>
  </si>
  <si>
    <t>REPRESENTACIÓN EN CC ESGUEVA DÍA 04/01/2021</t>
  </si>
  <si>
    <t>CLECE SA-ONET IBERIA SOLUCIONES SA</t>
  </si>
  <si>
    <t>contrato ayuda a domicilio -lote 1- años 2021, 2022 y enero a agosto 2023</t>
  </si>
  <si>
    <t>AMPLIACIÓN contrato ayuda a domicilio -lote 1- año 2021</t>
  </si>
  <si>
    <t>2021 10 2412 22104</t>
  </si>
  <si>
    <t>VESTUARIO DEL CURSO DE VALLADOLID CUIDAIV DEL C. DE FORMACION PARA EL EMPLEO DEL 15 DE FEBRERO AL 14 DE AGOSTO DE 2021</t>
  </si>
  <si>
    <t>REPARACION VEHICULOS DEL SERVICIO DE PARQUES Y JARDINES.</t>
  </si>
  <si>
    <t>REPARACION 3883-FMN /// CAMBIAR ACEITE MOTOR Y TODOS LOS FILTROS, CAMBIAR VALVULINAS C/G. REVISAR NIVELES</t>
  </si>
  <si>
    <t>CASTILLA Y LEON RADIO, S.A.</t>
  </si>
  <si>
    <t>PUBLICIDAD PRESUPUESTOS PARTICIPATIVOS SPC</t>
  </si>
  <si>
    <t>2021 01 9206 22001</t>
  </si>
  <si>
    <t>COLEGIO NACIONAL SECRETARIOS, INTERVENTORES Y TESOREROS ADMON. LOCAL</t>
  </si>
  <si>
    <t>3 SUSCRIPCIONES ANUALES A REVISTA CUNAL Y 2 SUSCRIPCIONES ANUALES A COSITAL NETWORK, AÑO 2021</t>
  </si>
  <si>
    <t>ADQUISICION MICROCHIP, CERTIFICADOS Y CARTILLAS (DOCUMENTACION OFICIAL) PARA LOS ANIMALES DEL CMPA</t>
  </si>
  <si>
    <t>ACUERDO MARCO. SUMINISTRO DE MATERIALES PARA MANTENIMIENTO EDIFICIOS DE POLICÍA mUNICIPAL.</t>
  </si>
  <si>
    <t>2021 11 1631 212</t>
  </si>
  <si>
    <t>AC MARCO EXP V36-2017: SUMINISTO MATERIAL (YESO9 VESTUARIO c/ JOSÉ CANTLAPIEDRA</t>
  </si>
  <si>
    <t>AC MARCO EXP V36-2007: REPUESTOS PARA REPARACIONES VEHICULOS Sº LIMPIEZA</t>
  </si>
  <si>
    <t>AC MARCO EXP V.36-2017: REPUESTOS REPARACIONES VEHICULOS Sº LIMPIEZA</t>
  </si>
  <si>
    <t>AC MARCO EXP V36-2017: REPUESTOS PARA REPARACIONES VEHICULOS Sº LIMPIEZA</t>
  </si>
  <si>
    <t>AC MARCO EXP V36-2017: REPUESTOSREPARACIONES VEHICULOS Sº LIMPIEZA</t>
  </si>
  <si>
    <t>AC MARCO EXP V36-2017: REPUESTOS PARA REPARACION VEHICULOS SERVICIO LIMPIEZA</t>
  </si>
  <si>
    <t>COMERCIAL CUATRO, S.L.</t>
  </si>
  <si>
    <t>SUMINISTRO DE TONER PARA IMPRESORAS ESPECIALES DE POLICÍA.</t>
  </si>
  <si>
    <t>2021 08 1651 213</t>
  </si>
  <si>
    <t>PRORROGA CONTRATO SUMINISTRO LAMPARAS (LOTE 2) del 01.01.2021 hasta finalización del contrato.-</t>
  </si>
  <si>
    <t>2021 07 1711 22104</t>
  </si>
  <si>
    <t>COMERCIAL RENOIL,S.A.</t>
  </si>
  <si>
    <t>CONTRATO PARA SUMINISTRO DE VESTUARIO AL PERSONAL DEL SERVICIO DE PARQUES Y JARDINES, LOTE 3</t>
  </si>
  <si>
    <t>2021 04 9321 22799</t>
  </si>
  <si>
    <t>Fabricación de placas de vado (permanente y horario)) destinadas a la renovación-sustitución por deteriorro.</t>
  </si>
  <si>
    <t>AC MARCO EXP V36-2017: SUMINISTRO CEPILLOS REPARACION Y MANTENIMIENTO BARREDORAS DE LIMPIEZA VIARIA</t>
  </si>
  <si>
    <t>AC MARCO EXP V36-2017:SUMINISTRO CEILLOS REPARACION BARREDORAS RAVO DE LIMPIEZA VIARIA</t>
  </si>
  <si>
    <t>ACUERDO MARCO 2017/36, MATERIAL DE FERRETERIA.</t>
  </si>
  <si>
    <t>ACUERDO MARCO. SUMINISTRO DE MATERIAL FERRETERIA Y OTROS PARA POLICÍA MUNICIPAL.</t>
  </si>
  <si>
    <t>2021 01 9205 203</t>
  </si>
  <si>
    <t>ARRENDAMIENTO/MANTENIMIENTO SISTEMA PRODUCCIÓN DIGITAL BIZHUB C-6500 EN IMPRENTA: ENERO y FEBRERO 2021</t>
  </si>
  <si>
    <t>CARTELES PUBLICITARIOS AÑO 2020: EXPOSICIONES Y MUESTRAS DE TEATRO Y CULTURA TRADICIONAL</t>
  </si>
  <si>
    <t>ARRENDAMIENTO Y MANTENIMIENTO EQUIPO PRODUCCIÓN DIGITAL BIZHUB C-6500 PARA LA IMPRENTA: DEL 01/03/2021 a 31/12/2021</t>
  </si>
  <si>
    <t>COPIAS DE COPIADORA SAMSUNG CLX 9201-NA (FC008590)  DE ENERO A ABRIL -2021.-</t>
  </si>
  <si>
    <t>ARRENDAMIENTO DE COPIADORAS SAMSUNG CLX 9201-NA (FC008590)  DE ENERO A ABRIL-2021.-</t>
  </si>
  <si>
    <t>2021 02 1511 22699</t>
  </si>
  <si>
    <t>MATERIAL FUNGIBLE FOTOCOPIADORA SS-CLX-9201NA SERV.CARTOGRAFÍA(PLZA. STA.ANA PLT.4,AÑO 2021</t>
  </si>
  <si>
    <t>2021 06 3232 212</t>
  </si>
  <si>
    <t>MATERIAL VARIO CONSTRUCCION PARA EL MANTENIMIENTO DEL COLEGIO CARDENAL MENDOZA</t>
  </si>
  <si>
    <t>MATERIAL CONSTRUCCION: ALBARANES DE ENERO DEL 2021 (CP ALONSO BERRUGUETE)</t>
  </si>
  <si>
    <t>2021 08 1651 619</t>
  </si>
  <si>
    <t>CERAMICAS SANCHEZ, S L</t>
  </si>
  <si>
    <t>MATERIAL VARIO CONSTRUCCION: CARTUCHO MASILL/ CEMENTO GRIS 25KG/ CEMENTO RAPIDO VICAT // C.P. PARQUE ALAMEDA</t>
  </si>
  <si>
    <t>SERVICIO DE SOPORTE AL DESARROLLO Y OFICINA DE CALIDAD DEL AYUNTAMIENTO DE VALLADOLID, LOTE 1</t>
  </si>
  <si>
    <t>2021 03 9241 212</t>
  </si>
  <si>
    <t>MATERIAL VARIO CONSTRUCCION: PLACA 600*600 CAPRI A DECOGIPS // MANTENIMIENTO EDIFICIO SEGUNDO MONTES</t>
  </si>
  <si>
    <t>SERVICIO DE IMPRESION, PLEGADO Y ENSOBRADO DE LOS ENVIOS POSTALES DEL AYTO/ EXPTE: 39/2019/ MES DICIEMBRE 2020</t>
  </si>
  <si>
    <t>CONSTRUCCIONES RAUL FERNANDEZ ALEGRE SL</t>
  </si>
  <si>
    <t>REPARACIÓN AVERÍA EN INSTALACIONES DE CALEFACCIÓN DEL EDIFICIO DE SAN BENITO</t>
  </si>
  <si>
    <t>2021 03 9241 632</t>
  </si>
  <si>
    <t>REPARACIÓN HUMEDADES DEL CENTRO CÍVICO RONDILLA</t>
  </si>
  <si>
    <t>CONSTRUCCIONES Y OBRAS VALBUENA S.A.</t>
  </si>
  <si>
    <t>LIMPIEZA DE TRONCOS Y VEGETACION ACUMULADOS EN EL PUENTE MAYOR.</t>
  </si>
  <si>
    <t>2021 08 1532 619</t>
  </si>
  <si>
    <t>Actualización del Proyecto ""MEJORA DEL FIRME,SEÑALIZACIÓN Y BALIZAMIENTO DE LA ANTIGUA N-620"".-</t>
  </si>
  <si>
    <t>ALQUILER Y RETIRADA DE CONTENEDORES DE OBRA, A DEMANDA SEGÚN NECESIDADES.-</t>
  </si>
  <si>
    <t>SUMINISTRO DE CONTENEDORES, ÁRIDOS Y RETIRADA DE ESCOMBROS PARA OBRAS DE LOS COLEGIOS PÚBLICOS DE VALLADOLID. PLAZO 1 AÑ</t>
  </si>
  <si>
    <t>2021 11 1621 219</t>
  </si>
  <si>
    <t>SUMINISTRO REPUESTOS PARA REPARACION CONTENEDORES CARGA LATERAL DEL Sº LIMPIEZA</t>
  </si>
  <si>
    <t>2021 11 1621 623</t>
  </si>
  <si>
    <t>ADQUISICION 50 CONTENEDORES PARA DEPÓSITO DE FUNDENTE EN LA VÍA PUBLICA PARA USO DEL PERSONAL DEL Sº LIMPIEZA</t>
  </si>
  <si>
    <t>PRORROGA CONTRATO TELEASISTENCIA HASTA 30 JUNIO DE 2021- PROYECTO TELEASISTENCIA (ACUERDO MARCO)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</si>
  <si>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</si>
  <si>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</si>
  <si>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SUSTITUCIÓN CENTRALES DE GESTIÓN CALDERAS CASA CONSISTORIAL</t>
  </si>
  <si>
    <t>2021 09 4321 22799</t>
  </si>
  <si>
    <t>MANTENIMIENTO CORRECTIVO Y TRABAJOS DE RECARGA DE EXTINTORES REALIZADOS EN LOS COLEGIOS PÚBLICOS. PLAZO 1 AÑO.</t>
  </si>
  <si>
    <t>2021 09 3341 22701</t>
  </si>
  <si>
    <t>CONTRATO MENOR MANTENIMIENTO SISTEMA CONTRA INCENDIOS DEL EDIFICIO DE LA CUPULA DEL MILENIO. AÑO 2021</t>
  </si>
  <si>
    <t>2021 05 4331 213</t>
  </si>
  <si>
    <t>CONTRATO DE MANTENIMIENTO DEL SISTEMA DE DETECCIÓN AUTOMÁTICA DE INCENDIOS, Y REVISIÓN DE EXTINTORES AÑO 2021.</t>
  </si>
  <si>
    <t>2021 06 3231 213</t>
  </si>
  <si>
    <t>MANTENIMIENTO CORRECTIVO Y RECARGA DE EXTINTORES, BIES Y CENTRAL DE ALARMA EN ESCUELAS INFANTILES. AÑO 2021.</t>
  </si>
  <si>
    <t>MONTAJE Y SUMINISTRO DE CRISTALES DE PARABRISAS Y PUERTAS PARA VEHICULOS S. LIMPIEZA VIARIA</t>
  </si>
  <si>
    <t>2021 10 2313 22799</t>
  </si>
  <si>
    <t>SERVICIO DE MANTENIMIENTO DE LA APLICACION INFORMATICA PRESTAVA, AÑOS 2021 Y 2022</t>
  </si>
  <si>
    <t>SERVICIO DE IMPRESION, PLEGADO Y ENSOBRADO DE ENVIOS POSTALES DEL AYTO. VALLADOLID - AÑOS 2021 Y 2022</t>
  </si>
  <si>
    <t>2021 11 1631 22700</t>
  </si>
  <si>
    <t>CONTRATO TRANSPORTE RESIDUOS LIMPIEZA VIARIA DESDE INSTALACIONES Sº LIMPIEZA A PLANTA DE TRATAMIENTO, 1-1-21 A 24-7-2022</t>
  </si>
  <si>
    <t>2021 06 3321 622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</si>
  <si>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</si>
  <si>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</si>
  <si>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</si>
  <si>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</si>
  <si>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2021 04 9331 22706</t>
  </si>
  <si>
    <t>CRISTINA MIGUELEZ SANZ</t>
  </si>
  <si>
    <t>CTO MENOR ASESO- GESTIÓN INMUEBLES MCPALES EDIFICIO CAJA DUERO (Mª Molina-13, Pl Zorrilla-3 y Santiago 28)  Exp.110/2020</t>
  </si>
  <si>
    <t>2021 08 1532 204</t>
  </si>
  <si>
    <t>Alquiler de 3 vehículos tipo turismo durante 8 meses.-</t>
  </si>
  <si>
    <t>CRUZ ROJA ESPAÑOLA</t>
  </si>
  <si>
    <t>CONTRATO EMERGENCIA: GESTION  ALBERGUE MUNICIPAL. PREVISION DE AUTORIZ. Y COMPROM.GASTO 3 MESES  ENERO A MARZO-COVID-19</t>
  </si>
  <si>
    <t>2021 04 3121 22706</t>
  </si>
  <si>
    <t>CUALTIS, S.L.U.</t>
  </si>
  <si>
    <t>RELACIONADO CON AD 920200010389. 169 RECONOCIMIENTOS MEDICOS. SERVICIO PREVENCIÓN Y SALUD LABORAL</t>
  </si>
  <si>
    <t>VIGILANCIA DE LA SALUD COLECTIVA DURANTE DOS MESES. Departamento de Prevención y Salud Laboral</t>
  </si>
  <si>
    <t>MANTENIMIENTO DE CONTENEDORES DE HIGIENE FEMENINA.</t>
  </si>
  <si>
    <t>REAJUSTE DE ANUALIDADES X REDUCCION DE PLAZO DE EJECUCION DE 20 A 16 MESES-OBRA CPM PARQUESOL Y SED- AÑO 2021</t>
  </si>
  <si>
    <t>2021 11 1621 622</t>
  </si>
  <si>
    <t>CONTRATO OBRA CONSTRUCCION CENTRO DE LAVADO PARA VEHICULOS DEL SERVICIO DE LIMPIEZA</t>
  </si>
  <si>
    <t>2021 10 2312 22615</t>
  </si>
  <si>
    <t>DAVID RODRIGO RODRIGUEZ</t>
  </si>
  <si>
    <t>Diseño,Programación-Adaptación de la nueva Web Valladolidsindrogras.net / DOMINIO-ALOJAMIENTO (DEL 31-12-20 AL 31-12-21)</t>
  </si>
  <si>
    <t>NAHARROS NUEVO PELAVABRO</t>
  </si>
  <si>
    <t>Contratación del diseño, maquetación y confección de la GUÍA DEL CONTRIBUIYENTE EJERCICIO 2021</t>
  </si>
  <si>
    <t>Suministro de pintura de todo tipo, disolventes, herramientas de pintos, etc. según necesidades.-</t>
  </si>
  <si>
    <t>REPARACIONES DE SEGADORA.</t>
  </si>
  <si>
    <t>EXPTE. 10S-SS-55/20. OBRA NUEVA. BIBLIOTECA EN PARCELA 143-F DE PARQUESOL. ANUALIDAD 2020-CTTO DE 2020 A 2022</t>
  </si>
  <si>
    <t>OBRA NUEVA PARA CENTRO DE PERSONAS MAYORES Y  ESTANCIAS DIURNAS EN PARQUESOL- ANUALIDAD 2020-CONTRATO DE 2020 A 2022</t>
  </si>
  <si>
    <t>2021 05 4331 609</t>
  </si>
  <si>
    <t>CONYTRAIR,S.L.</t>
  </si>
  <si>
    <t>CONTRATO DE OBRAS DE INFRAESTRUCTURA VERDE SINGULAR: JARDÍN BIO-FILTRO URBANO (URBAN GREENUP G.A.Nº 730426).</t>
  </si>
  <si>
    <t>DIALOGASEX</t>
  </si>
  <si>
    <t>Taller ""La educación de los sexos y los buenos amores"" en los centros educativos durante el año 2021 / 1 AÑO</t>
  </si>
  <si>
    <t>DIANA SANCHIS LOBATO</t>
  </si>
  <si>
    <t>Talleres prácticos de costura impartidos en el Centro Municipal de la Igualdad durante el año 2021 / 1 AÑO</t>
  </si>
  <si>
    <t>DIPLOMAS MUESTRAS DE TEATRO Y CULTURA TRADICIONAL</t>
  </si>
  <si>
    <t>2021 06 2315 22799</t>
  </si>
  <si>
    <t>Renovación hosting igualdadvalladolid.es hasta 13-01-2022 / 12 meses</t>
  </si>
  <si>
    <t>COTOVERDE OBRAS Y SERVICIOS S.A.</t>
  </si>
  <si>
    <t>ADJUDICACIÓN OBRA DE SUSTITUCIÓN DE LAS CARPINTERÍAS DEL CLAUSTRO DE SAN BENITO DE VALLADOLID (EXPTE. 26/2019)</t>
  </si>
  <si>
    <t>OURENSE</t>
  </si>
  <si>
    <t>ARREGLO PUERTAS TEMPLADAS -  C.C ZONA ESTE</t>
  </si>
  <si>
    <t>CLIMALIT PLANITHERM6/16/4 (1120 X 1030) / CLIMALIT 4/12/CARGLASS (505 X 350) - CENTRO SEGUNDO MONTES</t>
  </si>
  <si>
    <t>F-1388. CRISTALERIA ZARATAN. CRISTAL SEGURIDAD 3+3 (2065 X 810). CENTRO INTREGRADO(ALBERGUE). 1 DIA-COVID-19</t>
  </si>
  <si>
    <t>2021 06 3232 22103</t>
  </si>
  <si>
    <t>SUMINISTRO DE PELLETS PARA CALEFACCIÓN EN COLEGIO PÚBLICO NTRA. SRA. DEL DUERO. PLAZO DE EJECUCIÓN 1 AÑO.</t>
  </si>
  <si>
    <t>2021 03 9241 22103</t>
  </si>
  <si>
    <t>Suministro anual de pellets para el Centro Municipal de Puente Duero</t>
  </si>
  <si>
    <t>F-1578. CRISTALERIA ZARATAN,S.L. CRISTAL CARGLASS (1305X480) DESTINO: VIV. SOCIAL - C/ COSTA DORADA Nº 4 1º C. 1 DIA</t>
  </si>
  <si>
    <t>SUMINISTRO DE GASÓLEO LOCAL C/ CONDE ARTECHE, DEPENDIENTE DEL SERVICIO PARTICIPACIÓN CIUDADANA</t>
  </si>
  <si>
    <t>2021 08 1532 22103</t>
  </si>
  <si>
    <t>Suministro de 2.480 L.de gasóleo C para caldera del nuevo Parque de Conservación de Vias Públicas.-</t>
  </si>
  <si>
    <t>2021 11 3111 22102</t>
  </si>
  <si>
    <t>SUMINISTRO DE PELLET DE MADERA 3.700 KG PARA CALDERA BIOMASA CMPA</t>
  </si>
  <si>
    <t>SUMINISTRO DE GASÓLEO PARA LOCAL C/ CONDE ARTECHE DEPENDIENTE DEL SERVICIO DE PARTICIPACIÓN CIUDADANA</t>
  </si>
  <si>
    <t>2021 04 9204 22002</t>
  </si>
  <si>
    <t>SUMINISTRO DE FUNGIBLES DE IMPRESIÓN COMPATIBLES, LOTE 2 (REAJUSTE DE ANUALIDADES)</t>
  </si>
  <si>
    <t>SOPORTE Y MANTENIMIENTO DEL PORTAL Y SEDE ELECTRÓNICA DEL AYUNTAMIENTO DE VALLADOLID, BASADOS EN PROXIA SUITE</t>
  </si>
  <si>
    <t>SEGURIDAD 3+3 // PIO RIO HORTEGA (EL CORRO)</t>
  </si>
  <si>
    <t>ARMADO (1175 X 745 ) - C.P. PABLO PICASSO  ///////// SEGURIDAD 3+3 (805 X 558 ) - C.P. PARQUE  ALAMEDA</t>
  </si>
  <si>
    <t>2021 06 3231 212</t>
  </si>
  <si>
    <t>SEGURIDAD 3+3 (860 X 370) ////// E.I.M. MAFALDA Y GUILLE. ENERO</t>
  </si>
  <si>
    <t>DISTRIBUCION DE PAPEL CASTILLA Y LEON, S.A.</t>
  </si>
  <si>
    <t>SUMINISTRO EN 2021 PAPELES ESTUCADOS, BRILLO, MATE... CARTUNINAS GRÁFICAS YOFFSET PARA MÁQUINA DÍGITAL IMPRENTA</t>
  </si>
  <si>
    <t>2021 06 3231 22602</t>
  </si>
  <si>
    <t>SUMINISTRO DE PAPEL A LA IMPRENTA MUNICIPAL PARA LA ELABORACION DE CARTELES Y DÍPTICOS DE LAS E.I.M. Y EDUCACION ADULTOS</t>
  </si>
  <si>
    <t>PAPEL PARA IMPRESION DIPTICO ENVEJECER- INICIATIVAS SOCIALES,  CPMS . DURACION 1 DIA</t>
  </si>
  <si>
    <t>PAPEL, SUMINISTRADO EN IMPRENTA MUNICIPAL, PARA CARTELES Y FOLLETOS DEL SERVICIO DE PARTICIPACIÓN CIUDADANA</t>
  </si>
  <si>
    <t>PAPEL SERVIDO EN LA IMPRENTA MUNICIPAL PARA LA 2ª ED. FOLLETO CUADRILLAS</t>
  </si>
  <si>
    <t>PAPEL SOHO INDIGO 130 GR 32X46,4 (2) ABRIL 2021. ENTREGADO EN IMPRENTA MUNICIPAL</t>
  </si>
  <si>
    <t>2021 07 1701 22799</t>
  </si>
  <si>
    <t>DYNAMYCA SOSTENIBLE SL</t>
  </si>
  <si>
    <t>CONTRATO S. PARA DESARROLLO PROGRAMAS DE EDUCACION AMBIENTAL. LOTE 2. COORD. Y DES. RED DE HUERTOS ESCOLARES. V.25/2019.</t>
  </si>
  <si>
    <t>REPARACIONES DE VEHICULOS MARCA SCANIA DEL SERVICIO DE LIMPIEZA</t>
  </si>
  <si>
    <t>EXPTE. SE-EIJI 10/2020. CTTO GESTION EIM LA COMETA LOTE 5. AÑO 2021. 01/01 A 31/08/2022</t>
  </si>
  <si>
    <t>2021 08 1341 22799</t>
  </si>
  <si>
    <t>CLIMALIT SEG 3+3/14 / PLANITHERM 6 1595 X 715 / ESPEJO 5 MM /// DESTINO:  EDIFICIO SEGUNDO MONTES /</t>
  </si>
  <si>
    <t>SUMINISTRO: CLIMALIT- SEGURIDAD /// DESTINOS C.P.: FCO PINO-S.FERNANDO-PQ ALAMEDA- PONCE LEON-LEON FELIPE-N.ALONSO CORTE</t>
  </si>
  <si>
    <t>2021 11 1361 633</t>
  </si>
  <si>
    <t>MANTENIMIENTO CORRECTIVO DE EQUIPOS DE RESPIRACIÓN AUTÓNOMA Y ACCESORIOS.</t>
  </si>
  <si>
    <t>Revisión y mantenimiento de los detectores de gases; Servicio de Extinción de Incendios, Salvamento y Protección Civil.</t>
  </si>
  <si>
    <t>COMPRA DE BOTES DE HUMO A LA EMPRESA DREW MARINE SIGNAL. SERVICIO DE MEDIO AMBIENTE</t>
  </si>
  <si>
    <t>2021 11 1321 22699</t>
  </si>
  <si>
    <t>DS SMITH RECYCLING SPAIN S.A.</t>
  </si>
  <si>
    <t>RECOGIDA Y DESTRUCCIÓN  DOCUMENTACIÓN CONFIDENCIAL  DE POLICÍA AFECTADA POR LA LEY DE PROTECCIÓN DE DATOS (2021)</t>
  </si>
  <si>
    <t>2021 10 2412 223</t>
  </si>
  <si>
    <t>GESTIÓN DE RESIDUOS EN EL CENTRO DE FORMACIÓN JACINTO BENAVENTE DURANTE EL AÑO 2021</t>
  </si>
  <si>
    <t>CONTRATO MANTENIMIENTO INTALACION, SEMESTRE 1º 2021. LOTE 2: S. BENITO Y ARCHIVO MPAL</t>
  </si>
  <si>
    <t>CONTRATO MANT INSTALACIONES LOTE1: CC EDIF S. ANA Y SERV MEDICO MPAL, SEMESTRE 1 2021</t>
  </si>
  <si>
    <t>CONTRATO SUMINISTRO VESTUARIO AL PERSONAL DEL SERVICIO DE PARQUES Y JARDINES. L-1: 3.386,11; L-2: 5.037,93</t>
  </si>
  <si>
    <t>ALBARÁN AV21/00428 DE 27/01/21: ABRAZADERAS ASFA MIKALOR // ALBARÁN AV21/00246 DE 19/01/21: TACO FISHER (COLEGIOS)</t>
  </si>
  <si>
    <t>ALBARAN AV21/00247 DE 19/01/2021: CARTUCHO SILICONA TRANSPARENTE (CC JOSE  Mª LUELMO)</t>
  </si>
  <si>
    <t>ALBARAN: AV20/005488 de 18/12/20 /// CANDADO ABUS / LLAVE VASO 1/2 / CABLE INOX /ELECTRODOS/ BROCA/ HILO SOLD./RETEN ARB</t>
  </si>
  <si>
    <t>ALBARAN: AV21/00248 de 19/01/2021 ///// TACO FISCHER SX 6.(200) / DESTINO: BIBLIOTECA COSTANZA MARTIN</t>
  </si>
  <si>
    <t>ALBARAN AV20/005177: LLAVE VASO 8MM/ LLAVE VASO DM8/ ADAPTADORES HEXAGONALES (MANTENIMIENTO)</t>
  </si>
  <si>
    <t>MANTENIMIENTO, REPARACION : DOSIFICADOR JABON BLANCO AITANA (CENTRO DE FORMAC. JACINTO BENAVENTE)-DURACION 1 DIA</t>
  </si>
  <si>
    <t>MATERIAL DIVERSO  PARA EL  CURSO MIXTO Nº GJ/20/VA/0002 PARQUES Y JARDINES II DEL C. DE FORMACION  -.DURACION 1 DIA</t>
  </si>
  <si>
    <t>MANTENIMIENTO, REPARACIONES DEL CENTRO DE FORMACIÓN JACINTO BENAVENTE- DURACION 1 DIA</t>
  </si>
  <si>
    <t>A.M. V.36/2017 ALBARAN AV20/005408: TACO FISCHER/ HEMBRILLA ABIERTAS (VIVIENDA C/ EUSEBIO GONZÁLEZ SUÁREZ)</t>
  </si>
  <si>
    <t>2021 11 1631 22104</t>
  </si>
  <si>
    <t>AC MARCO EXP V36-2017: BOTA SUPER FORJA MF S3 NEGRO T-42 PERSONAL TALLER Sº LIMPIEZA</t>
  </si>
  <si>
    <t>COVID-19  ALBARAN AV21/00716 DEL 05/02/2021: MASCARILLA PROTECCION FFP2 COLOR MARINO (1000 UD) Y COLOR NEGRA (1000 UD)</t>
  </si>
  <si>
    <t>F-2874. CRISTALERIA ZARATAN,S.L. CLIMALIT 4/6CARGLASS (1040 X 350 ). CENTRO INTEGRADO. 1 DIA</t>
  </si>
  <si>
    <t>2021 05 4331 22602</t>
  </si>
  <si>
    <t>Publicación de una página los domingos en sección 'Innovación Valladolid' de El Norte de Castilla. 1/2/2021 a 14/2/2021</t>
  </si>
  <si>
    <t>CAMPAÑA DIFUSION CONVOCATORIA SUBVENCIONES REACTIVA DIGITAL - PRENSA ESCRITA.</t>
  </si>
  <si>
    <t>LUNA 6MM (360 X 360 ) (1 UNID) //// DESTINO: SAN BENITO</t>
  </si>
  <si>
    <t>2021 01 9207 22602</t>
  </si>
  <si>
    <t>PUBLICIDAD EN SUPLEMENTO ESPECIAL 'ASÍ FUE 2020 EN CASTILLA Y LEÓN' DE EL NORTE DE CASTILLA</t>
  </si>
  <si>
    <t>2021 01 9207 22001</t>
  </si>
  <si>
    <t>SUSCRIPCIONES ANUALES A EL NORTE DE CASTILLA PARA UNIDAD DE MEDIOS DE COMUNICACIÓN</t>
  </si>
  <si>
    <t>2021 05 4331 22001</t>
  </si>
  <si>
    <t>SUSCRIPCION A EL DIARIO ""EL NORTE DE CASTILLA"" PARA EL AÑO 2021. SUSCRIPTOR Nº: 30911</t>
  </si>
  <si>
    <t>2021 10 2311 22001</t>
  </si>
  <si>
    <t>Suscripciones del periódico ""El Norte de Castilla"" varios centros Intervención Social. Año 2021</t>
  </si>
  <si>
    <t>ESPEJO SEGURIDAD 3+3 C/P ( 1500 X 1300) ///   DESTINO:  E.I. M MAFALDA Y GUILLE. FEBRERO</t>
  </si>
  <si>
    <t>2021 02 9332 204</t>
  </si>
  <si>
    <t>ALQUILER VEHÍCULO HASTA LA ADQUISICIÓN DEL 01/01/2021 HASTA EL 15.01.2021</t>
  </si>
  <si>
    <t>DAITONA MOTOS, SL</t>
  </si>
  <si>
    <t>REPARACIÓN DE MOTOCICLETAS DE POLICÍA ( ACUERDO MARCO TALLERES EN TRAMITACIÓN).</t>
  </si>
  <si>
    <t>2021 08 1532 609</t>
  </si>
  <si>
    <t>Saldo Proyecto IFS-2019 no iniciado. Ejecución e Instalación de elevadores en calles Ánade, Estornino y Oriol.-</t>
  </si>
  <si>
    <t>PRÓRROGA LOTE 2 (DEL 12/01/21 AL 30/04/21) CONTRATO MANTENIMIENTO GRUPOS ELECTRÓGENOS CENTROS SPC</t>
  </si>
  <si>
    <t>BIOCIDAS PARA EL CONTROL DE PLAGAS DE LA CIUDAD DE VALLADOLID</t>
  </si>
  <si>
    <t>REPARACIÓN DE MOTOCICLETAS DE POLICÍA. (ACUEERDO MARCO EN TRAMITACIÓN)</t>
  </si>
  <si>
    <t>REPARACION MOTOCICLETAS DEL SERVICIO DE PARQUES Y JARDINES.</t>
  </si>
  <si>
    <t>SUSCRIPCIÓN REVISTA EL ECOLOGISTA PARA LAS BIBLIOTECAS MUNICIPALES DE VALLADOLID AÑO 2021</t>
  </si>
  <si>
    <t>MANTENIMIENTO HARDWARE LOTE 2, SEGUNDA PRÓRROGA</t>
  </si>
  <si>
    <t>SUSTITUCIÓN DE CUATRO SAIS Y DE UNA BATERÍA CON DESTINO AL DEPARTAMENTO DE TECNOLOGIAS DE LA INFORMACION</t>
  </si>
  <si>
    <t>ACUERDO MARCO. SUMINISTRO DE MATERIAL DE ELECTRÓNICA PARA POLICÍA.</t>
  </si>
  <si>
    <t>2021 11 1621 203</t>
  </si>
  <si>
    <t>MANTENIMIENTO EQUIPO POU (FUENTE AGUA) DEL SERVICIO DE LIMPIEZA</t>
  </si>
  <si>
    <t>EDICIONES CONDE NAST, S.A.</t>
  </si>
  <si>
    <t>SUSCRIPCIÓN A LA REVISTA CN TRAVEL PARA LAS BIBLIOTECAS MUNICIPALES DURANTE EL AÑO 2021</t>
  </si>
  <si>
    <t>2021 09 3341 22799</t>
  </si>
  <si>
    <t>EDICIONES DEUSTO, S.A</t>
  </si>
  <si>
    <t>SUMINISTRO AGENDA CORPORATIVA 2021, R.I.</t>
  </si>
  <si>
    <t>EDICIONES LA MESETA, S.L.</t>
  </si>
  <si>
    <t>Contratación de dos publicaciones y elaboracion articulo en la revista 'Castilla y León Económica"". Mes de abril de 2021</t>
  </si>
  <si>
    <t>EXPTE. SE-EIJI 10/2020. CTTO GESTION EIM CASCANUECES. LOTE 2.  AÑO 2021. 01/01 A 31/08/2022</t>
  </si>
  <si>
    <t>REAJUSTE ANUALIDAD CONTRATO SERVICIO MANTENIMIENTO COMUNICACION 2.0 AREA DE CULTURA Y TURISMO. AÑO 2021</t>
  </si>
  <si>
    <t>2021 08 1341 22706</t>
  </si>
  <si>
    <t>DESARROLLO, ORGANIZACIÓN Y MOVILIDAD S.A</t>
  </si>
  <si>
    <t>CONTRATO SERVICIOS DE CONSULTORÍA Y ASISTENCIA TÉCNICA PARA LA REDACCIÓN DEL PLAN DIRECTOR DE LA BICICLETA</t>
  </si>
  <si>
    <t>SUSCRIPICÓN DE 4 EJEMPLARES DE LA REVISTA CLIJ PARA LAS BIBLIOTECAS MUNICIPALES DURANTE EL AÑO 2021.</t>
  </si>
  <si>
    <t>Prórroga 2020-2021 del contrato centralizado de Atención Presonal y Telefonica. Lote Agencia de Innovación</t>
  </si>
  <si>
    <t>2021 04 9202 22607</t>
  </si>
  <si>
    <t>EDUARDO LAMARCA PINTO</t>
  </si>
  <si>
    <t>COBERTURA MÉDICA OPOSICIÓN 11 MECÁNICO - conductor (6 HORAS EL DÍA 22/10/2020)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</si>
  <si>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</si>
  <si>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</si>
  <si>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</si>
  <si>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</si>
  <si>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</si>
  <si>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EDUARDO PÉREZ MELÉNDEZ</t>
  </si>
  <si>
    <t>Servicio de desinsectación en CMI / Durante 2021</t>
  </si>
  <si>
    <t>Contrato servicio mantenimiento integral de instalaciones Cúpula del Milenio 2021</t>
  </si>
  <si>
    <t>2021 11 1621 22103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</si>
  <si>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</si>
  <si>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</si>
  <si>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</si>
  <si>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2021 11 1631 22103</t>
  </si>
  <si>
    <t>CONTRATO SUMINISTRO GASÓLEO PARA VEHÍCULOS DEL S. DE LIMPIEZA VIARIA PARA LOS AÑOS 2021 Y 2022</t>
  </si>
  <si>
    <t>SERVICIO DESMONTAJE ELEMENTOS CONEXION ELECTRICA DE CLIMZATIZADORES RETIRADOS DE LA CUPULA DEL MILENIO,  2020</t>
  </si>
  <si>
    <t>2021 09 3341 213</t>
  </si>
  <si>
    <t>REPARACION DE UNA BOMBA DE PRESION PCI EN LA CUPULA DEL MILENIO. DICIEMBRE 2020</t>
  </si>
  <si>
    <t>SERVICIO MANTENIMIENTO CLIMA, BT Y CT CUPULA DEL MILENIO - EXPTE: SECT 58/2020. DICIEMBRE 2020</t>
  </si>
  <si>
    <t>CONTRATO MENOR REPARACIÓN BOMBA CALOR CUPULA DEL MILENIO</t>
  </si>
  <si>
    <t>CONTRATO SERVICIOS AUXILIARES DURANTE LA FERIA DEL LIBRO DE VALLADOLID. LOTE 5 AÑO 2021</t>
  </si>
  <si>
    <t>2021 11 1361 22103</t>
  </si>
  <si>
    <t>Acuerdo de la Junra de Gobierno,aprobación expte. PR-SE 38_2020 contratación suministro gasóleo automoción;SEISYPC</t>
  </si>
  <si>
    <t>ADJUDICACIÓN SUMINISTRO DE GASOLEO TIPO A.-</t>
  </si>
  <si>
    <t>MANTENIMIENTO INSTALACIÓN VENTILACIÓN DEPÓSITOS DEL ARCHIVO MUNICIPAL</t>
  </si>
  <si>
    <t>REPARACION DEL SISTEMA DE EXTRACCION DE LA CUPULA DEL MILENIO. MARZO 2021</t>
  </si>
  <si>
    <t>NEW LANDER INDOOR (1) ////  SALUD PUBLICA Y SEG. CIUDADANA</t>
  </si>
  <si>
    <t>PRENDAS DE VESTIR PARA FUNCIONARIOS DE LA POLICÍA QUE PRESTAN SERVICIO SIN EL UNIFORME REGLAMENTARIO.</t>
  </si>
  <si>
    <t>ADQUISICIÓN DE CARTERAS PORTA PLACAS PARA NUEVOS AGENTES DE LA POLICÍA MUNICIPAL.</t>
  </si>
  <si>
    <t>2021 11 1321 22602</t>
  </si>
  <si>
    <t>EDIGRUP PRODUCCIONES TV, S.A.</t>
  </si>
  <si>
    <t>CONTRAT.  ESPACIOS EN TV LOCAL PARA INSERCIÓN  PUBLICIDAD DEL AYTO DE VALLADOLID DURANTE EL AÑO 2021 AL AMPARO DEL A.M.</t>
  </si>
  <si>
    <t>PUBLICACION EN EL MUNDO DE CYL // DIAS: 13,27 DE OCTUBRE-20 ; DÍAS: 10,24 DE NOVIEMBRE-20 ; DÍAS: 8,15 DE DICIEMBRE-20</t>
  </si>
  <si>
    <t>2021 04 9321 22602</t>
  </si>
  <si>
    <t>ANUNCIOS INFORMACIÓN TRIBUTARIA EJERCICIO 2021</t>
  </si>
  <si>
    <t>CTTO COORDINACION ANIMACION DINAMIZACION Y SEGUIMIENTO ESPACIO JOVEN ZONA SUR LOTE 2. DEL 15/1/21 AL 14/1/23</t>
  </si>
  <si>
    <t>RENOVACIÓN DE TRES SUSCRIPCIONES ANUALES AL PERIÓDICO EL MUNDO -DIARIO DE VALLADOLID - PRENSA Y GABINETE DE GOBIERNO</t>
  </si>
  <si>
    <t>Renovación de Suscripciones El MUNDO // Periodo: 03/01/2020 - 02/01/2021</t>
  </si>
  <si>
    <t>2021 07 1721 22112</t>
  </si>
  <si>
    <t>SUSTITUCIÓN DE ELEMENTOS POR AVERÍA EN LAS INSTALACIONES FOTOVOLTAICAS MUNICIPALES</t>
  </si>
  <si>
    <t>17 SUSCRIPCIONES ANUALES, PARA DISTINTAS ÁREAS DEL AYUNTAMIENTO DE VALLADOLID, AL DIARIO EL NORTE DE CASTILLA, AÑO 2021.</t>
  </si>
  <si>
    <t>Obras de remodelación de alumbrado público de la zona peatonal en C/ Miguel Angel Blanco.-</t>
  </si>
  <si>
    <t>CORRECCIÓN DEFECTOS EN INSTALACIONES DE 4 CENTROS DEL SPC, PARA OBTENER CERTIFICACIÓN FAVORABLE EN LA INSPECCIÓN DE BT</t>
  </si>
  <si>
    <t>2021 05 4315 22602</t>
  </si>
  <si>
    <t>FOMENTO VTA MERCADILLOS/VTA AMBULANTE  | El Norte de Castilla -  5x5 (10x5) 1/2 Página/ DÍAS26,27 Y 28 DE DIC-AM 30/2018</t>
  </si>
  <si>
    <t>ANUNCIO IVTM EJERCICIO 2021: aprobación del padrón y período de cobranza</t>
  </si>
  <si>
    <t>PRESTACIONES BÁSICAS MANTENIMIENTO INSTALACIONES TÉRMICAS POLICIA  DEL 1 DE ENERO AL 30 DE NOVIEMBRE DE 2021.</t>
  </si>
  <si>
    <t>PRESTACIONES COMPLEMENTARIAS MANTENIMIENTO INSTALACIONES TÉRMICAS POLICÍA DEL 1 DE ENERO AL 30 DE NOVIEMBRE DE 2021.</t>
  </si>
  <si>
    <t>Remodelación del alumbrado público de la zona del parque en la Plaza del Ejército de Valladolid.-</t>
  </si>
  <si>
    <t>INSATLACIÓN TORRES DE RECARGA PARA LOS EQUIPOS RECOLECTORES ELECTRICOS DE LOS VEHICULOS NUEVOS DEL Sº LIMPIEZA</t>
  </si>
  <si>
    <t>REVISIÓN Y REPARACIÓN DE LOS SAIS DEL EDIFICIO CDIT</t>
  </si>
  <si>
    <t>ACUERDO MARCO 2017/36, MATERIAL DE CERRAJERÍA.</t>
  </si>
  <si>
    <t>ACUERDO MARCO. MATERIAL DE FERRETERIA PARA POLICÍA MUNICIPAL.</t>
  </si>
  <si>
    <t>2021 11 1631 22199</t>
  </si>
  <si>
    <t>AC MARCO EXP V36-2017: MATERIALES CERRAJERIA Y SUMINISTROS PARA LIMPIEZA VIARIA</t>
  </si>
  <si>
    <t>12 UD - Pila alcalina Panasonic bronce LR03 AAA blister 4 (MANTENIMIENTO)</t>
  </si>
  <si>
    <t>CONTRATO MANTENIMIENTO CENTRO TRANSFORMACION RENEDO.</t>
  </si>
  <si>
    <t>REAJUSTE ANUALIDADES CONTRATO SUMINISTRO NEUMÁTICOS (LOTE 1) PARA VEHÍCULOS SERVICIO LIMPIEZA DEL 1-7-2020 AL 30-6-2022</t>
  </si>
  <si>
    <t>REAJUSTE ANUALIDADES CONTRATO SUMINISTRO NEUMÁTICOS (LOTE 2) VEHÍCULOS DE LIMPIEZA VIARIA DEL 1-7-2020 AL 30-6-2022</t>
  </si>
  <si>
    <t>Reparación de pequeña maquinaria (martillos eléctricos, cortadoras, tronzadoras, etc.)</t>
  </si>
  <si>
    <t>REPARACION DE DOS CORTACESPES DEL CENTRO DE FORMACION PARA EL EMPLEO, CURSO DE PARQUES Y JARDINES II- DURACION 1 DIA</t>
  </si>
  <si>
    <t>ALB: 21-202095 /// TUERCA - COLLARIN- VALVULAS- MACHÓN //// DESTINO: CC J MOSQUERA /// MES ENERO 2021</t>
  </si>
  <si>
    <t>2021 07 1711 619</t>
  </si>
  <si>
    <t>ACUERDO MARCO 2017/36, MATERIAL DE RIEGO.</t>
  </si>
  <si>
    <t>MATERIALES,  FILTRO MALLA- MICRO MAC.(30)-PROG.M. GJ/20/VA/0002 FOYEM PQ-JARDINES II JACINTO BENAVENTE-.DURACION 1 DIA</t>
  </si>
  <si>
    <t>MATERIAL, REDUC. PE - ENLACE ROSCA, DESTINO: P.MIXTO GJ/20/VA/0002 FOYEM-PQ. Y JARDINES II -CF JACINTO BENAVENTE-D 1 DIA</t>
  </si>
  <si>
    <t>MATERIALES, SUMINISTROS PARA EMPLEO: P. MIXTO GJ/20/VA/0002 PARQUES Y JARDINES II DEL C. DE FORMACION - DURACION 1 DIA</t>
  </si>
  <si>
    <t>ACUERDO MARCO. SUMINISTRO DE MATERIAL DE FONTANERÍA PARA POLICÍA MUNICIPAL.</t>
  </si>
  <si>
    <t>ACUERDO MARCO. SUMINISTRO MATERIAL DE FONTANERÍA PARA POLICÍA MUNICIPAL.</t>
  </si>
  <si>
    <t>SUMINISTRO DE DIFERENTES REPUESTO Y PIEZAS /// DESTINO: PARQUE</t>
  </si>
  <si>
    <t>AC MARCO EXP V36-2017 CINTA VULCANIZABLE TAPAFUGAS BLISTER (2 ud)</t>
  </si>
  <si>
    <t>AC MARCO EXP V36-2017: REPUESTOS REPARACIÓN MOTOR ESPARCIDOR SAL VEHÍCULO VA9018AB, LIMPIEZA VIARIA</t>
  </si>
  <si>
    <t>AC MARCO EXP V36-2017: REPUESTOS REPARACIÓN EQUIPO AUXILIAR VEHICULOS DE LIMPIEZA VIARIA</t>
  </si>
  <si>
    <t>AC MARCO EXP. V36-2017: SUMINISTRO MOTOR PARA ESPARCIDOR SAL VEHICULO VA9018AB, LIMPIEZA VIARIA</t>
  </si>
  <si>
    <t>SUBSANACIÓN DE DEFICIENCIAS DETECTADAS EN OCAS ELÉCTRICAS EN EDIFICIOS DE POLICÍA MUNICIPAL.</t>
  </si>
  <si>
    <t>1 UD - Térmometro clinico por infrarrojos Kaise formato para frente (POLICÍA MUNICIPAL)</t>
  </si>
  <si>
    <t>MANTENIMIENTO DE VITRINA DE GASES Y ARMARIO DE SEGURIDAD DEL LABORATORIO DE MASAS. SERVICIO MEDIO AMBIENTE</t>
  </si>
  <si>
    <t>Talleres de Igualdad a ejecutar en el Centro Municipal de la Igualdad / DURANTE 2021</t>
  </si>
  <si>
    <t>PRORROGA CONTRATO MANTENIMIENTO MOBILIARIO URBANO, HASTA 30/11/2021.</t>
  </si>
  <si>
    <t>REPARACION MICROCONO SOBREMESA INALAMBRICO, ADAPTADOR USB, WEBCAM AYUNTAMIENTO, R.I.</t>
  </si>
  <si>
    <t>2021 01 9201 22799</t>
  </si>
  <si>
    <t>Contrato Servicio realización,emisión,grabación sesiones Plenos y otros eventos por Internet y sistema de video-actas</t>
  </si>
  <si>
    <t>CERTIFICACION Y AUDITORIAS DE LA RED DE CONTROL DE CALIDAD DEL AIRE. SERVICIO DE MEDIO AMBIENTE</t>
  </si>
  <si>
    <t>SERVICIO DE MONITOR CUIDADOR EN EL CENTRO MUNICIPAL DE IGUALDAD (SERVICIO DE CANGURO) / 1 DÍA</t>
  </si>
  <si>
    <t>Gestión del servicio de monitor/cuidador en el Centro Municipal de la Igualdad - enero a diciembre 2021</t>
  </si>
  <si>
    <t>2021 07 1721 633</t>
  </si>
  <si>
    <t>MANTENIMIENTO INTEGRAL DE LA RED DE CONTROL DE LA CONTAMINACIÓN ATMOSFÉRICA DEL AYUNTAMIENTO DE VALLADOLID</t>
  </si>
  <si>
    <t>PRORROGA CTTO TALLERES PMD LOTE 1 (MONEOS) 7249,97 LOTE 2 (DEDALOS) 5800 DE ENERO AL 30 DE JUNIO DE 2021</t>
  </si>
  <si>
    <t>REVISIÓN DE PRECIOS CONTRATO RELATIVO A LOS SERVICIOS DE MANTENIMIENTO INTEGRAL DE LA RCCAVA. EXPEDIENTE VS 3/17</t>
  </si>
  <si>
    <t>2021 02 1511 203</t>
  </si>
  <si>
    <t>SUMINISTRO CARTUCHOS TINTA PLOTTER HP EN DISTINTOS COLORES</t>
  </si>
  <si>
    <t>ER.ASSESSMENT CENTER SL</t>
  </si>
  <si>
    <t>PRUEBAS PSICOTÉCNICAS PARA LA PROVISIÓN DE 14 OFICIALES DE LA P.M.</t>
  </si>
  <si>
    <t>FUNDACION ENTRETANTOS</t>
  </si>
  <si>
    <t>CONTRATO SERVICIOS PARA DESARROLLO PROGRAMAS DE EDUCACION AMBIENTAL.. LOTE 3. ACCIONES EDUCATIVAS, V.25/2019.</t>
  </si>
  <si>
    <t>PRUEBA PSICOTÉCNICAS PARA PROMOCIÓN INTERNA DE 2 INSPECTORES P.M.</t>
  </si>
  <si>
    <t>2021 06 3321 22199</t>
  </si>
  <si>
    <t>ESCID S.L.</t>
  </si>
  <si>
    <t>SUMINISTRO DE PRODUCTOS DE HIGIENE, PROTECCIÓN Y DESINFECCIÓN CONTRA LA COVID 19, PARA BIBLIOTECAS MUNICIPALES. 1 AÑO.</t>
  </si>
  <si>
    <t>2021 03 9241 22199</t>
  </si>
  <si>
    <t>PAPELERA PEDAL INOX (2 UDS.) PARA CENTRO SANTIAGO LÓPEZ</t>
  </si>
  <si>
    <t>2021 03 9241 22102</t>
  </si>
  <si>
    <t>2021 11 1621 22102</t>
  </si>
  <si>
    <t>2021 10 2312 22102</t>
  </si>
  <si>
    <t>2021 10 2412 22102</t>
  </si>
  <si>
    <t>2021 10 2311 22102</t>
  </si>
  <si>
    <t>2021 06 3231 22102</t>
  </si>
  <si>
    <t>2021 06 3232 22102</t>
  </si>
  <si>
    <t>2021 06 3321 22102</t>
  </si>
  <si>
    <t>2021 05 4315 22102</t>
  </si>
  <si>
    <t>2021 02 9332 22102</t>
  </si>
  <si>
    <t>2021 11 1321 22102</t>
  </si>
  <si>
    <t>2021 06 2315 22102</t>
  </si>
  <si>
    <t>2021 11 1361 22102</t>
  </si>
  <si>
    <t>CONTRATO SUMINISTRO GAS NATURAL CFE JACINTO BENAVENTE HASTA SEPTIEMBRE 2021</t>
  </si>
  <si>
    <t>2021 09 3341 22102</t>
  </si>
  <si>
    <t>SUMINISTRO GAS NATURAL DEL ANTIGUO COLEGIO ROSA CHACEL</t>
  </si>
  <si>
    <t>CONTARTO SUMINISTRO GAS NATURAL CFE JACINTO BENAVENTE HASTA SEPTIEMBRE 2021.</t>
  </si>
  <si>
    <t>TRABAJOS DE INSPECCIÓN PERIÓDICA DE IRC DE LA EMPRESA DISTRIBUIDORA DE GAS NATURAL EN LOS COLEGIOS PÚBLICOS. 1 AÑO.</t>
  </si>
  <si>
    <t>ESTELA LLORENTE DEL RIO</t>
  </si>
  <si>
    <t>PRUEBA PSICOTÉCNICA PARA PROVISIÓN 14 OFICIALES DE LA POLICÍA MUNICIPAL EN P.I.</t>
  </si>
  <si>
    <t>PRUEBA PSICOTÉCNICA PLAZAS DE INSPECTOR P.M. promoción interna.</t>
  </si>
  <si>
    <t>PRUEBA PSICOTÉCNICA PLAZAS DE INSPECTOR P.M. promoción interna. -ERROR EN NIF-</t>
  </si>
  <si>
    <t>PRUEBA PSICOTÉCNICA PARA PROVISIÓN 14 OFICIALES DE LA POLICÍA MUNICIPAL EN P.I. -ERROR EN NIF-</t>
  </si>
  <si>
    <t>Ampliación del contratto de atención presencial y telefónica- 010 -  Agencia Innovación</t>
  </si>
  <si>
    <t>GLOBALIA CORPORATE TRAVEL S.L.</t>
  </si>
  <si>
    <t>CONTRATO SERVICIO AGENCIA VIAJES DESPLAZAMIENTOS, ALOJAMIENTO Y RESTAURACION PARTICIPANTES FERIA LIBRO. LOTE 6 AÑO 2021</t>
  </si>
  <si>
    <t>AGEN.INNOVACION Y DESARROLLO ECONÓMICO - SERVICIO ATENCIÓN ""010"", CENTRALITAY ATENCIÓN PRESENCIAL // MES DICIEMBRE 2020</t>
  </si>
  <si>
    <t>CONTRATO MENOR SERVICIO MANTENIMIENTO INTEGRAL DE INSTALACIONES CENTRO GALERIAS VALLADOLID. DEL 01-04-2021 AL 31-03-2022</t>
  </si>
  <si>
    <t>CONTRATO MANTENIMIENTO JARDINES ZONA CENTRO. 1ª PRORROGA.</t>
  </si>
  <si>
    <t>PRORROGA SERVICIO ATENCION TELEFONICA 010, CENTRALITA Y ATENCION PRESENCIAL - 2021</t>
  </si>
  <si>
    <t>prórroga contrato de gestión del servicio de talleres ocupacionales de feb 21 a feb 22.</t>
  </si>
  <si>
    <t>EUROFINS MEGALAB SA</t>
  </si>
  <si>
    <t>LABORATORIO ANALISIS CLINICOS PERSONAL AYTO. TRES MESES (ENERO A MARZO). PREVENCION Y SALUD LABORAL</t>
  </si>
  <si>
    <t>PRORROGA CONTRATO SUMINISTRO LAMPARAS (LOTE 1) del 01.01.2021  hasta finalización de contrato.-</t>
  </si>
  <si>
    <t>ACCESO SERVICIO CONJUNTO DE NOTICIAS Y FOTOGRAFÍAS DE AGENCIA EUROPA PRESS // MES DICIEMBRE DE 2020</t>
  </si>
  <si>
    <t>ACCESO POR WEB AL SERVICIO CONJUNTO DE NOTICIAS DE LA AGENCIA DURANTE EL AÑO 2021</t>
  </si>
  <si>
    <t>2021 08 1341 214</t>
  </si>
  <si>
    <t>ACTUACIÓN CC DELICIAS DIA 04/01/2021</t>
  </si>
  <si>
    <t>SE 10/2020. LOTE 2. CONSERVACION Y MANTENIMIENTO ZONAS VERDES Y ARBOLADO.CMI.AÑO 2021 Y 01 DE ENERO A 22 DE SEPT DE 2022</t>
  </si>
  <si>
    <t>2021 06 3232 22799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</si>
  <si>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</si>
  <si>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</si>
  <si>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REAJUSTE ANUALIDADES CONTRATO DE ATENCIÓN Y COORDINACIÓN DE SERVICIOS AUXILIARES EN LA CÚPULA DEL MIELNIO DE VALLADOLID</t>
  </si>
  <si>
    <t>Prórroga  contrato de servicios de atención, coordinación de servicios auxiliares en la Cúpula del Milenio de Valladolid</t>
  </si>
  <si>
    <t>2021 11 1321 22700</t>
  </si>
  <si>
    <t>LIMPIEZA  POLIC. MUNICIPAL DEL 1 DE ENERO AL 31 DE DIC. 2021 Y DEL 1 DE ENERO AL 31 DIC. 2022 EX PR-SE. 31/20. LOTE 12</t>
  </si>
  <si>
    <t>2021 02 9332 22700</t>
  </si>
  <si>
    <t>ADJ.SERVICIO LIMPIEZA DE DEPENDENCIAS MUNICIPALES,(LOTE 1)C.CONSIST.SAN BENITO,STA. ANA,SOTO MED. AÑOS 2021 Y 2022</t>
  </si>
  <si>
    <t>REPARACION DE MAQUINARIA DE PARQUES Y JARDINES.</t>
  </si>
  <si>
    <t>ANTIP. TESA SOPORTE/ MANILLA CHAPARRO NEGRA/ PASADOR AMIG ALUMINIO/ PINTURA SPRAY VERDE (EDUCACIÓN)</t>
  </si>
  <si>
    <t>6 UD - TRINQUETE AUMON ALUM. PLATA / CERRADURA DORMA / CUERDA SISAL / CERRADURA TESA</t>
  </si>
  <si>
    <t>MANT.CERRADURA KEYA  CROMO CLICK 180 MECALUX (12) / CERRADURA AGA C-40 (6)PARA EL CFE JACINTO BENAVENTE- DURACION 1 DIA</t>
  </si>
  <si>
    <t>LLAVES MECANIZADAS ACERO (5) / LLAVES MECANIZADAS SEG. PUNTOS (5)</t>
  </si>
  <si>
    <t>F-1233. EXCLUSIVAS MAOR. 10 UD - LLAVES MECANIZADAS ACERO. CENTRO INTEGRADO. 1 DIA</t>
  </si>
  <si>
    <t>BURLETE AMIG 2-1000 (2)  / BOMBILLO (2)  / COPIA LLAVE (2)/ CERRADURA / RETENEDOR DE PIE (2)</t>
  </si>
  <si>
    <t>PRÓRROGA LOTE 5 (DEL 12/01/21 AL 30/04/21) CONTRATO MANTENIMIENTO ZONAS VERDES CENTROS SPC</t>
  </si>
  <si>
    <t>2021 10 2316 22799</t>
  </si>
  <si>
    <t>FACTORÍA, GESTIÓN Y CONSULTORÍA, S.L.</t>
  </si>
  <si>
    <t>SERVICIO MEDIACION Y CONVIVENCIA DE 1 FEB A 31 DIC DE 2021 (131103,5 med + 27500 act.plan convivencia)-contrato 1 año</t>
  </si>
  <si>
    <t>MANILLA SOAL CHAPARRO/ CIERRA. TELESCO/ BOMBILLO TESA/ LLAVES MECANIZADAS/ BROCA/ MANILLA AMIG.GAMMA/ CANDADO</t>
  </si>
  <si>
    <t>FALCON HIGH TECH</t>
  </si>
  <si>
    <t>CONTRATO DE TRABAJOS DE INVESTIGACIÓN GEOFÍSICA DEL SUBSUELO DEL LOCAL SITO EN CALLE CONSTITUCIÓN, 10 DURANTE 4 MESES</t>
  </si>
  <si>
    <t>FAUSTINO GONZALEZ E HIJOS, S.L.</t>
  </si>
  <si>
    <t>12 PANELES GALVANIZADOS CC JOSÉ Mª LUELMO</t>
  </si>
  <si>
    <t>CONTRATACIÓN PUBLICIDAD EN EL ANUARIO TAURINO DEL AÑO 2020, que se publica en abril de 2021</t>
  </si>
  <si>
    <t>FENIKS CLEANING &amp; SAFETY, S.L.</t>
  </si>
  <si>
    <t>SUMINISTRO REPUESTOS PARA REPARACION DE EQUIPOS HIDROLIMPIADORES DE VEHÍCULOS DE LIMPIEZA VIARIA</t>
  </si>
  <si>
    <t>ARAHAL</t>
  </si>
  <si>
    <t>SUMINISTTRO MATERIALES PARA LA GALERIA DE TIRO REAL DE LA POLICÍA MUNICIPAL.</t>
  </si>
  <si>
    <t>FERNANDO(VESTYPRO) RINCON CHICHES</t>
  </si>
  <si>
    <t>VESTUARIO DEL C. DE PINTURA DECORATIVAIII DEL C. F.PARA EL EMPLEO-DURAC DEL 15 DE FEBRERO AL 14 DE NOVIEMBRE 2021</t>
  </si>
  <si>
    <t>CASETA RESINA YARDM TF 5x 3   05325 (1)</t>
  </si>
  <si>
    <t>1 UD- CIERRA.TELESCO 33B50PL PLATA S/RETENC.. FEBRERO</t>
  </si>
  <si>
    <t>F-1816. EXC. MAOR. LLAVES MEC.ACERO (4)/ LLAVERO PORTAETIQUETAS(2)/BOMBILLO(2)/COPIAS LLAVES(2).COMEDOR SOCIAL. 1 DIA</t>
  </si>
  <si>
    <t>BOMBILLO MCM (4)/ COPIA LLAVE(5)/ LLAVERO PORTAET.(50)/ ENGANCHE (25)/ CARTUCHO RES.(5)/ TAMIZ (24)</t>
  </si>
  <si>
    <t>RENOVACIÓN SUSCRIPCIÓN ANUAL AL FICHERO DE CARGOS. AÑO 2021 - GOBIERNO Y RELACIONES</t>
  </si>
  <si>
    <t>FLORISTERIA YERBA, COMUNIDAD DE BIENES</t>
  </si>
  <si>
    <t>Centro de flores para entierro de compañero fallecido; Servicio de Extinción de Incendios y Protección Civil.</t>
  </si>
  <si>
    <t>SUSTITUCIÓN DE CARROS DETERIORADOS PARA LAS GRÚAS MUNICIPALES.</t>
  </si>
  <si>
    <t>FORAMEN S,L.</t>
  </si>
  <si>
    <t>ESTUDIO ARQUEOLÓGICO Y DOCUMENTAL PREVISTO EN NORMATIVA PGOU Y COMPLEM.AL PROYECTO CONVENT.STA.CATALINA</t>
  </si>
  <si>
    <t>HEREDEROS DE GAGO, S.L.</t>
  </si>
  <si>
    <t>SIJI 10-2020 CONTRATO TALLERES PARA CENTROS EDUCATIVOS EN MATERIA DE IGUALDAD Y PREVENCIÓN C V.G. CURSO 2021 ENE/MAY</t>
  </si>
  <si>
    <t>A.M. V.36/2017 BOBINA RAFIA 600 1C 700GRS BLANCO  ( 8 UNIDADES ) / GUANTE PIEL T/FLOR BLANCO T-8 ( 10 UNIDADES )</t>
  </si>
  <si>
    <t>CINTA AMERICANA/ GUANTE NYLON/ GUANTE NITRILO/ BOTA PRADO VERDE/ GUANTE PIEL/ PANTALÓN Y CAMISOLA PIJAMA/ BATA SEÑORA</t>
  </si>
  <si>
    <t>HIDRAULICA INDUSTRIAL S.A.</t>
  </si>
  <si>
    <t>SUMINISTRO DE REPUESTOS HIDRÁULICOS PARA REPARACION RECOLECTORES VEHICULOS Sº LIMPIEZA (FUERA AC MARCO)</t>
  </si>
  <si>
    <t>ANIM. SOCIOC.Y PROM.ENVEJECIMIENTO ACTIVOPARA PERSONAS MAYORES SIN TRANS..- de 1/1/21 a 31/8/22</t>
  </si>
  <si>
    <t>ANIM.SOCIOC.Y PROM. ENVEJECIMIENTO ACTIVO PARA CPM TRANSFERIDOS de 1/1/21 a 15/09/22</t>
  </si>
  <si>
    <t>2021 11 3111 22706</t>
  </si>
  <si>
    <t>MODIF. CONTR. RECOGIDA/ATENCION VETERINARIA ANIMALES DOMESTICOS (TARDES/NOCHES/FINESDE SEMANA/FESTIVOS)-LOTE 1</t>
  </si>
  <si>
    <t>COPIA LLAVE 54 F-11677 ( 6 UNIDADES ) CC PILARICA</t>
  </si>
  <si>
    <t>FORUM SPORT, S.A.</t>
  </si>
  <si>
    <t>SUMINISTRO DE 40 SACOS PARA INDOMICILIADOS - OLA DE FRÍO.</t>
  </si>
  <si>
    <t>Montaje de antena y tomas para TV en comedor Social y Traslado de dos televisiones</t>
  </si>
  <si>
    <t>FRANCISCO MIGUEL SANZ NORIEGA</t>
  </si>
  <si>
    <t>TRABAJO DE DISEÑO Y MAQUETACION ASOCIACION LAS FUENTES DE LA EDAD - INICIATIVAS SOCIALES CPM- DURACION 1 DÍA</t>
  </si>
  <si>
    <t>REPARACION VENTANA CAMBIO OSCILO NUEVO Y 100 UDS- LLAVERO PORTAETIQUETAS PARA EL CPM HUERTA DEL REY- DURACION  1DIA</t>
  </si>
  <si>
    <t>ARMARIO LLAVES/CINTA ADHESIVA/INSECTICIDA/AEROSOL/ESPÁRRAGO/PUNTAALLEN/ANTICAIDAS /ARNÉS/VITRINA/CIERRAPUERTAS VARIOS CC</t>
  </si>
  <si>
    <t>CERRADURA MCM / PERNIO SOLDAR / ADHESIVO MONTAJE /MANILLA / RUEDA CORRED./ TORNI./ ANTIP TESA/ DISCO/ PINTURA SPRAY/</t>
  </si>
  <si>
    <t>HILO SOLDAR K-66 0,8MM (ROLLO 15 KG.)</t>
  </si>
  <si>
    <t>MARTILLO GSH 388 - Nº 588000140 //// Cº DE ANILLOS,MANGUITO,VAINA,BLOQUEO,DEPOSITO,CABLE / -LIMPIEZA Y ENGRASE</t>
  </si>
  <si>
    <t>SUMINISTRO DE PIEZAS Y RECAMBIOS  //  LIMPIEZA Y ENGRASE //  M.O. // REVISIÓN GENERAL</t>
  </si>
  <si>
    <t>SUMINISTRO DE PIEZAS Y RECAMBIOS // HORMIGONERA ELECT. 74040 160L VERDE (1) / LIMPIEZA-ENGRASE / REVISION GRAL - M.O.</t>
  </si>
  <si>
    <t>DISCO C/METAL 115x2,5 (25) / AIXIA RACORD HEMBRA  1/4 (1) / BOSCH TRIPODE BT 150 (1)</t>
  </si>
  <si>
    <t>F-2933. EXCLUSIVAS MAOR, S.L. BOMBILLO MCM LATON(C.INTEGRADO)/ VITRINA BTV ANUNCIOS ALUM.BLANCO(COMEDOR).1 DIA</t>
  </si>
  <si>
    <t>SUMINISTRO DE MAMPARAS DE METACRILATO COMO MEDIDA DE PREVENCIÓN COVID-19 PUESTOS DE TRABAJO ESPACIO JOVEN NORTE / 1 DÍA</t>
  </si>
  <si>
    <t>MANTENIMIENTO ANUAL NISSAN VA9253V: COMPROBACION ESTADO DE FRENOS / REPUESTOS</t>
  </si>
  <si>
    <t>Mantenimiento preventivo equipos climatización edificio anexo a Casa del Barco. Año 2021</t>
  </si>
  <si>
    <t>MANTENIMIENTO DEL AIRE ACONDICIONADO DEL LABORATORIO. SERVICIO DE MEDIO AMBIENTE</t>
  </si>
  <si>
    <t>2021 11 3111 213</t>
  </si>
  <si>
    <t>MANTENIMIENTO PREVENTIVO DE LOS EQUIPOS DE CLIMATIZACIÓN DEL EDIFICIO CASA DEL BARCO Y DEL CMPA</t>
  </si>
  <si>
    <t>Cerradura armarios Centro Municipal de la Igualdad / 1 DÍA</t>
  </si>
  <si>
    <t>BURLETE BRINOX 8033 (2) / MOLL TESA BARRA ALUMINIO (4) ///// DESTINOS: C.P. LEON FELIPE - C.P. MIGUEL HDEZ.</t>
  </si>
  <si>
    <t>ESCALERA JINMAO MULTIUSO ALUMINIO (1) / JUEGO DESTORNILLADORES (1) ///// DESTINO: C.C. DELICIAS</t>
  </si>
  <si>
    <t>CERRADURA UCEM 5134 50 EMBUTIR CILIN HL (CC ESGUEVA)</t>
  </si>
  <si>
    <t>REPOSAPIES FELLOWES AJUSTABLE ERGO ALSEVA (1) //////// DESTINO: C.C. PILARICA</t>
  </si>
  <si>
    <t>CANDADO LINCE 300-30 LAT 30MM IBERDR INOX (CENTRO SEGUNDO MONTES C/ DURATON, S/N)</t>
  </si>
  <si>
    <t>MATERIAL DE FERRETERÍA PARA EL MANTENIMIENTO DE CARPINTERÍA/ STA ANA - CONSEJO ECONOM.ADM/ DESPACHO SR.TEÓFILO</t>
  </si>
  <si>
    <t>F-1601. FER.ORTIZ. CERRADURA FAC DORADA DCHA /CERRADURA BUZON STANDAR (VIVIENDA C/ HUELGAS, 30, 1º C) 1 DIA</t>
  </si>
  <si>
    <t>200 UD - TORNI. CELO TIC INVIOLAB. ZINC.NGO 7X60 (VIVIENDAS MONTES TOROZOS)</t>
  </si>
  <si>
    <t>2021 06 2314 212</t>
  </si>
  <si>
    <t>TACO FISCHER HM 4X32 S (50UD) (CNTRO DE PROGR.JUVENILES)</t>
  </si>
  <si>
    <t>REMATE DE CHAPA 0,6X160 LAC. VERDE (6 UNIDADES DE 3000mm) // PARQUE</t>
  </si>
  <si>
    <t>TUBO RECTANGULAR 35X25X1,5 DD11 (12)   / PLETINA (5)  ///// DESTINO: C.C. JOSÉ MARÍA LUELMO</t>
  </si>
  <si>
    <t>LEGALIZACIÓN DE LA REFORMA DE LA INSTALACIÓN ELÉCTRICA DE BT EN CC DELICIAS</t>
  </si>
  <si>
    <t>CONTRATACION CURSO DE MEDIADOR JUVENIL EN PREVENCION DE ADICCIONES Y ANIMACION SOCIOCOMUNITARIA-FEBRERO Y MARZO DE 2021</t>
  </si>
  <si>
    <t>SUSCRIPCIÓN A LA REVISTA ""MI BIBLIOTECA"" PARA LAS BIBLIOTECAS MUNICIPALES. AÑO 2021</t>
  </si>
  <si>
    <t>FUNDACION DEMOCRACIA Y GOBIERNO LOCAL</t>
  </si>
  <si>
    <t>SUSCRIPCIÓN ANUAL REVISTA CUADERNOS DE DERECHO LOCAL (3 Núms.) Y ANUARIO DEL GOBIERNO LOCAL, AÑO 2021.</t>
  </si>
  <si>
    <t>FUNDACION EME</t>
  </si>
  <si>
    <t>CONCIERTOS ""EL ÁRBOL DE LA MÚSICA"" EN CENTROS CÍVICOS (NAVIDAD 20/21)</t>
  </si>
  <si>
    <t>FUNDACIÓN EMPRESA-UNIVERSIDAD GALLEGA (FEUGA)</t>
  </si>
  <si>
    <t>PRUEBAS CONFIRMATORIAS DE DROGA EN LABORATORIO ACREDITADO.</t>
  </si>
  <si>
    <t>COREPRO R7S 118MM 6.5-60W 830 (1) / POWERFLEX RV-K (BOBINAS) 3G1,5(10)  / CAJA CONOS (5)/ ELEMT. CONTACTO(1)</t>
  </si>
  <si>
    <t>JUEGO TSTAK 100 PIEZAS P/TALADRAR Y ATORNILLAR C/8 BROCAS P/ / KIT IMPRESORA  / CEYS MONTACK / BRICOTINTA TRANSP.</t>
  </si>
  <si>
    <t>MARCO 2 ELEMNTO/ MARCO 1 ELEMNTO/ INTERRUPTOR/ BASE/ INTERRUPTOR/ ENCHUFE/ CLAVIJA/ CINTA/ BASE 5/ MOLDURAS</t>
  </si>
  <si>
    <t>AM V.26/2017 EXTRACTORES ASEOS SEÑORA CMPA :SILENT DUAL 200 (220-240V 50/60Hz) RE - 2 UDS</t>
  </si>
  <si>
    <t>F-2230. GRUPO ELECTRO STOCKS, S.L. SUMINISTRO DE DIFERENTES REPUESTOS. CEAS RONDILLA. 1 DIA</t>
  </si>
  <si>
    <t>DLPLUS-CANAL SUELO 75X18 (6)  / CEYS MONTACK (2) / LATIGUILLOS (3)</t>
  </si>
  <si>
    <t>FUNDACION EUSEBIO SACRISTAN</t>
  </si>
  <si>
    <t>Actividades infantiles de ocio/educativas al aire libre en barrio Delicias los sábados de febrero a junio 2021</t>
  </si>
  <si>
    <t>Contrato Gestión Servicio del Albergue personas sin hogar. (1 Abril de 2021 a 31 de diciembre de 2021). COVID-19</t>
  </si>
  <si>
    <t>Concertar plazas en Centro de Día para personas con disc. por enfermedad mental grave complem. a equipos de apoyo. 2021</t>
  </si>
  <si>
    <t>2021 06 3232 22700</t>
  </si>
  <si>
    <t>ILUNION LIMPIEZA Y MEDIO AMBIENTE, S.A.</t>
  </si>
  <si>
    <t>PR-SE 31/2020. CONTRATO CENTRALIZADO DE LIMPIEZA EDIFICIOS MUNICIPALES. AREA 06. COLEGIOS PUBLICOS. LOTE 6</t>
  </si>
  <si>
    <t>2021 10 2311 22706</t>
  </si>
  <si>
    <t>LA CASA POR EL TEJADO 2013</t>
  </si>
  <si>
    <t>OBRA REPARACIÓN CUBIERTA DE LA CASA CONSISTORIAL</t>
  </si>
  <si>
    <t>2021 11 1321 22701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</si>
  <si>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</si>
  <si>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</si>
  <si>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Control calidad para obra convenio con LEITAT(c.tecnologico). Ejecución de Electrowetland.Proyecto URBAN GreenUPG</t>
  </si>
  <si>
    <t>Control de Calidad CONTRATO OBRA RENATURALIZACION DEL POLIGONO DE ARGALES DE VALLADOLID-PROYEC.INDNATUR 2019/3/2411/2/1</t>
  </si>
  <si>
    <t>2021 06 3231 22706</t>
  </si>
  <si>
    <t>REDACCIÓN PROYECTO PARCIAL CÁLCULO ESTRUCTURA DE EDIFICIO PARA ALBERGAR NUEVA ESCUELA MUNICIPAL EN C.P. LEON FELIPE.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</si>
  <si>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</si>
  <si>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</si>
  <si>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ASISTENCIA TÉCNICA SEG. Y SALUD-OBRA CONTRATO INFRAESTRUCTURA VERDE SINGULAR JARDÍN BIO-FILTRO URBANO (URBAN GREEN UP)</t>
  </si>
  <si>
    <t>Control SySalud de obra bajo convenio con LEITAT (C. tecnológico) .Ejecución de Electrowetland. Proyecto URBAN GreenUP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</si>
  <si>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</si>
  <si>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</si>
  <si>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COORDINACION SEGURIDAD Y SALUD, ARREGLO PASEOS AVDA. SALAMANCA Y ESCALERAS ACCESO A PARQUESOL.</t>
  </si>
  <si>
    <t>COORDINACION SEGURIDAD Y SALUD, CORREDOR VERDE ENTRE COVARESA Y PINAR DE ANTEQUERA.</t>
  </si>
  <si>
    <t>COORDINACION SEGURIDAD Y SALUD, MEJORAS EN EL ENTORNO DEL LAVA.</t>
  </si>
  <si>
    <t>2021 11 1321 22706</t>
  </si>
  <si>
    <t>COORDINACIÓN DE SEGURIDAD Y SALUD ACTUACIÓN ENVOLVENTE DISTRITO 4º POLICÍA.</t>
  </si>
  <si>
    <t>Estudios Seguridad y Salud de 3 lotes del nuevo contrato mantenimiento, reparación y reforma instalaciones alumbrado ext</t>
  </si>
  <si>
    <t>2021 10 2412 22103</t>
  </si>
  <si>
    <t>SUMINISTRO DE GASÓLEO PARA VEHÍCULOS DEL CENTRO DE FORMACIÓN PARA EL EMPLEO ""JACINTO BENAVENTE"". AÑO 2021 Y 2022</t>
  </si>
  <si>
    <t>INDRA SOLUCIONES TECNOLOGICAS DE LA INFOMACION S.L.U.</t>
  </si>
  <si>
    <t>ACTUALIZACIÓN DE LICENCIAS Y NUEVOS MÓDULOS DE CRIPTOGRAFÍA PARA EL PRODUCTO EDItran (COMUNICACIONES BANCARIAS)</t>
  </si>
  <si>
    <t>2021 11 1361 632</t>
  </si>
  <si>
    <t>YOLANDA DOMINGUEZ MAGDALENO</t>
  </si>
  <si>
    <t>Estudio y modificación_actualización del proyecto de la segunda fase reforma del Parque de Bomberos de Canterac;SEISYPC.</t>
  </si>
  <si>
    <t>INVINET SISTEMAS 2003 SL</t>
  </si>
  <si>
    <t>Prueba de lengua (idioma inglés) para la selección de 1 tco. PE4TRANS. -ERROR EN NIF-</t>
  </si>
  <si>
    <t>PROYECTOS Y OBRAS EZGONSA S.L.</t>
  </si>
  <si>
    <t>ARREGLO DE HUMEDADES EN EL CC PARQUESOL</t>
  </si>
  <si>
    <t>MANGUITO ROSCADO REDUCIDO H.H. 11/2""-2"" ( 1 UNIDAD )</t>
  </si>
  <si>
    <t>2ª PRÓRROGA CONTRATO ""GESTIÓN INTEGRAL SISTEMA CENTRALIZADO DE CONTROL DE TRÁFICO DE VALLADOLID""_Enero-Agosto-2021</t>
  </si>
  <si>
    <t>HYBRID CAR,S.A.</t>
  </si>
  <si>
    <t>PILA MANDO VEHICULO 0634DHJ</t>
  </si>
  <si>
    <t>2021 11 3111 22700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</si>
  <si>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</si>
  <si>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</si>
  <si>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2021 05 4315 22700</t>
  </si>
  <si>
    <t>CONTRATO DE LIMPIEZA DE DEPENDENCIAS DE LA OFICINA MUNICIPAL DE INFORMACIÓN AL CONSUMIDOR AÑO 2021 Y 2022 - LOTE 9</t>
  </si>
  <si>
    <t>2021 07 1701 22700</t>
  </si>
  <si>
    <t>ADJUDICACION CONTRATO LIMPIEZA CASA DEL BARCO Y EDIFICIO ANEXO. 2021-2022. LOTE 9 . EXPTE. PR-S.E. 31/2020. CENTRALIZADO</t>
  </si>
  <si>
    <t>2021 10 2412 224</t>
  </si>
  <si>
    <t>WILLIS TOWERS WATSON AG SUSCRIPCION SL</t>
  </si>
  <si>
    <t>PRORROGA Póliza Acc 2020CH00090 - Periodo: 16/12/2020 - 01/01/2021 - Curso de Atención sociosanitaria</t>
  </si>
  <si>
    <t>Madrid</t>
  </si>
  <si>
    <t>PRÓRROGA Póliza Acc 2020CH00089 - Periodo: 16/12/2020 - 01/01/2021 - Curso de Atención sociosanitaria</t>
  </si>
  <si>
    <t>ANCLAJE MTA M12X100 (50 UNIDADES)</t>
  </si>
  <si>
    <t>KACHE DISEÑO GRAFICO, C.B</t>
  </si>
  <si>
    <t>6 VINILOSEXTERIORES  PARA EL C. DE FORMACION PARA EL EMPLEO, CURSO DE PINTIRA.V. CUIDA IV Y P. Y JARDINES- DURAC. 1 DIA</t>
  </si>
  <si>
    <t>PRÓRROGA CONTRATO MANTENIMIENTO SISTEMA SEGURIDAD LOTE 1 CÚPULA DEL MILENIO</t>
  </si>
  <si>
    <t>MANTENIMIENTO, SILICONA RAPIDA PLUS CRISTAL / CEYS ADHESIVO MONTACK PARA EL CPM ZONA SUR</t>
  </si>
  <si>
    <t>2021 04 9231 22200</t>
  </si>
  <si>
    <t>PRORROGA CONTRATO CORREOS DESDE 1-1-2021 HASTA 12-7-2021</t>
  </si>
  <si>
    <t>PINCHOS METALICOS Y CLAVOS PARA EL CENTRO DE FORMACION PARA EL EMPLEO-  CURSO DE PARQUES Y JARDINESII-DURACION 1 DIA</t>
  </si>
  <si>
    <t>2021 07 1721 223</t>
  </si>
  <si>
    <t>VAD MAD SEUR 24 ESTANDAR / DÍAS: 01 Y 02 DE DICIEMBRE 2020 /  CTRO NAC SANIDAD AMBIENT. /// TOTAL 2</t>
  </si>
  <si>
    <t>MATERIALES PARA TRABAJOS DE PINTURA EN CC JOSE M. LUELMO Y BAILARÍN VICENTE ESCUDERO</t>
  </si>
  <si>
    <t>MANGUITO P.E.LATON 50   (2) / ML.TUB.POLIETILENO 50/10 ATMS AD PE-100 (BARRA) (2)</t>
  </si>
  <si>
    <t>PLANTAS( AUCUBA, GAZANIA..), PARA EL CURSO DE PARQUES Y JARDINES II DEL C. DE FORMACION PARA EL EMPLEO- DURACION 1 DIA</t>
  </si>
  <si>
    <t>SERVICIOS DE CONTROL E INSPECCION S.A</t>
  </si>
  <si>
    <t>INSPECCIÓN PERIÓDICA DEL ASCENSOR DEL CC. CANAL DE CASTILLA</t>
  </si>
  <si>
    <t>PLANTAS PARA EL CENTRO DE FORMACION PARA EL EMPLEO, CURSO DE PARQUES Y JARDINESII- DURACION 1 DIA</t>
  </si>
  <si>
    <t>Alineación electrónica de eje delantero_dirección en vehículo VMC_13, matrícula 2958 JVV; SEISYPC.</t>
  </si>
  <si>
    <t>RICARDO ALONSO MUÑOZ</t>
  </si>
  <si>
    <t>Saco Cemento Blanco II 42.5R de 25kg ( 8 UNIDADES) / Saco de Yeso Tosco ( 5 UNIDADES )</t>
  </si>
  <si>
    <t>2021 06 2314 22700</t>
  </si>
  <si>
    <t>ESCOBILLERO COMPLETO ESPACIO JOVEN ZONA NORTE 1 DIA</t>
  </si>
  <si>
    <t>PROYECON GALICIA S.A.</t>
  </si>
  <si>
    <t>OBRAS DE AMPLIACIÓN DEL EDIFICIO AGENCIA DE LA INNOVACIÓN Y DESARROLLO ECONÓMICO DE VALLADOLID (Ac4-12-2019)</t>
  </si>
  <si>
    <t>PEREIRO DE AGUIAR</t>
  </si>
  <si>
    <t>CONTRATO MANTENIMIENTO JARDINES ZONA NORTE. 1ª PRORROGA.</t>
  </si>
  <si>
    <t>2021 11 1621 22799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</si>
  <si>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</si>
  <si>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</si>
  <si>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</si>
  <si>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2021 11 1321 22799</t>
  </si>
  <si>
    <t>1ª PRÓRROGA CONTRATO RETIRADA DE VEHÍCULOS DE LA VÍA PÚBLICA DEL 1 DE ENERO AL 24 DE SEPTIEMBRE DE 2021.</t>
  </si>
  <si>
    <t>2021 06 3321 22799</t>
  </si>
  <si>
    <t>2021 11 1321 632</t>
  </si>
  <si>
    <t>HARAL 12 SERVICIOS Y OBRAS, S.L.</t>
  </si>
  <si>
    <t>OBRAS DE ADAPTACION EDIFICIO JEFATURA DE POLICÍA MUNICIPAL. FASE 1ª. (ENVOLVENTE DE FACHADA Y CUBIERTAS).</t>
  </si>
  <si>
    <t>SERVICIO DE CELADURIA DE LOS CPM  SIN TRANSFERIDOS DEL 1 DE ENERO DE 2021 AL 31 DE JULIO DE 2022</t>
  </si>
  <si>
    <t>2021 10 2312 22700</t>
  </si>
  <si>
    <t>CONTRATO LIMPIEZA PARA LOS CPM NO TRANSFERIDOS  DURANTE EL AÑO 2021 Y 2022</t>
  </si>
  <si>
    <t>PRORROGA CONTRATO MANTENIMIENTO AREAS DE JUEGOS INFANTILES, HASTA 30/11/21.</t>
  </si>
  <si>
    <t>CONTRATO LIMPIEZA PARA LOS CPM TRANSFERIDOS DURANTE EL AÑO 2021 Y 2022</t>
  </si>
  <si>
    <t>ACUERDO MARCO. MATERIAL DE FERRETERIA, HERRAMIENTAS, ETC. PARA POLICÍA MUNICIPAL</t>
  </si>
  <si>
    <t>ACUERDO MARCO. SUMINISTRO MATERIAL DE FEBRETEERIA Y HERRAMIENTAS PARA POLICÍA MUNICIPAL.</t>
  </si>
  <si>
    <t>AC MARCO EXP V36-2017: SUMINISTROS PARA EL SERVICIO DE LIMPIEZA</t>
  </si>
  <si>
    <t>2021 11 1621 22104</t>
  </si>
  <si>
    <t>AC MARCO EXP V36-2017: GUANTE NITRILO MONO USO BIOD.SHOWA 100 PCS L/9 AZUL  PRESONAL Sº LIMPIEZA</t>
  </si>
  <si>
    <t>AS MARCO EXP V36-2017: SUMINISTROS INDUSTRIALES PARA LIMPIEZA VIARIA</t>
  </si>
  <si>
    <t>AC MARCO EXP. V36-2017: SUMINISTRO JABON Y DESENGRASNTE PARA USO EN LIMPIEZA VIARIA</t>
  </si>
  <si>
    <t>SUSCRIPCIÓN DE 4 EJEMPLARES DE LA REVISTA GADGET PARA LAS BIBLIOTECAS MUNICIPALES DURANTE EL AÑO 2021.</t>
  </si>
  <si>
    <t>SUMINISTRO E INSTALACIÓN DE BOCA DE RIEGO EN CC LA VICTORIA ROTA POR POSIBLE ACTO VANDÁLICO</t>
  </si>
  <si>
    <t>JORGE MUÑOZ REINOSO</t>
  </si>
  <si>
    <t>RIRECALMAR, S.L.</t>
  </si>
  <si>
    <t>SUMINISTRO FICHAS PARA RELOJ CMPA</t>
  </si>
  <si>
    <t>VEHICULOS CALLEJA, S.L.</t>
  </si>
  <si>
    <t>Reparación vehículo 0651-DND. Mano de obra. Anticongelante.</t>
  </si>
  <si>
    <t>REAJUSTE ANUALIDADES CONTRATO SUMINISTRO NEUMÁTICOS (LOTE 3) VEHÍCULOS DE LIMPIEZA VIARIA DEL 1/7/2020 AL 30-6-2022</t>
  </si>
  <si>
    <t>2021 11 1351 224</t>
  </si>
  <si>
    <t>EMBARCACIONES DEPORTIVAS - PÓLIZA:0631770012557 - RECIBO:8230508717 - MATRICULA/BASTIDOR: EMBARCACIÓN ZODIAC I</t>
  </si>
  <si>
    <t>EMBARCACIONES DEPORTIVAS| ""PÓLIZA"":0631770012601| ""RECIBO"":8230508719| ""MATR./BAST: "":chd2313| DEL 31-12-20 AL 31-12-21</t>
  </si>
  <si>
    <t>EMBARCACIONES DEPORTIVAS - PÓLIZA: 0631770004865 - RECIBO:8245356211 - MATRICULA/BASTIDOR: EMBARCACIÓN ZODIAC - AÑO 2021</t>
  </si>
  <si>
    <t>EMBARCACIONES DEPORTIVAS -PÓLIZA:0631770003062 - MATR./BAST.:CHD-9219 - TIPO VAGUARD 2 /01/01/2021 - 01/01/2022/P. CIVIL</t>
  </si>
  <si>
    <t>JUAN FELIPE CARRASCO  CUENCA</t>
  </si>
  <si>
    <t>SUMINISTRO EJES DE TAPAS PARA REPARACION CONTENEDORES 800 L. DEL Sº LIMPIEZA</t>
  </si>
  <si>
    <t>SUMINISTRO MATERIALES PARA EL MANTENIMIENTO DE INSTALACIONES DEL Sº DE LIMPIEZA</t>
  </si>
  <si>
    <t>TALLERES ASISTENCIA MECÁNICA BARCELONA, S.L.</t>
  </si>
  <si>
    <t>SUMINISTRO RODILLOS REPARACION CONTENEDORES C/ LATERAL MARCA OMB DEL Sº LIMPIEZA</t>
  </si>
  <si>
    <t>CORNELLÁ DE LLOBREGAT</t>
  </si>
  <si>
    <t>Reparación vehículo VA-2049-AH.  Escobillas-limpia, Limpia trasero. Sensor temperatura refrigerante.</t>
  </si>
  <si>
    <t>2021 10 2412 22799</t>
  </si>
  <si>
    <t>CELADURIA DEL DIA 4 DE ENERO DE 2021 DEL CENTRO DE FORMACION PARA EL EMPLEO, JACINTO BENAVENTE- DURACION 1 DIA</t>
  </si>
  <si>
    <t>2ª PRÓRROGA MODIFICACIONES O REFORMAS ""GESTIÓN INTEGRAL SISTEMA CENTRALIZADO CONTROL TRÁFICO VALLADOLID""_Ene-Agos-2021</t>
  </si>
  <si>
    <t>PRORROGA CONTRATO MANTENIMIENTO FUENTES PUBLICAS ORNAMENTALES, HASTA 30/11/2021.</t>
  </si>
  <si>
    <t>TORCONSA OBRAS Y SERVICIOS SL</t>
  </si>
  <si>
    <t>Obras de Urbanización de la CALLE COSTA RICA. Expte. 36/2019 SEMEU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</si>
  <si>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</si>
  <si>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</si>
  <si>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</si>
  <si>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2021 01 9205 22100</t>
  </si>
  <si>
    <t>EXP SE 45/2020 PRÓRROGA CONTRATO CENTRALIZADO SUMINISTRO ENERGIA ELÉCTRICA A IMPRENTA 01/01/2021 a 31/12/2021</t>
  </si>
  <si>
    <t>INST. DETECTOR DE INCENDIOS EN SALA CALDERAS EDIFICIO MUNICIPAL PLAZA STA. ANA</t>
  </si>
  <si>
    <t>PAPEL PARA LA IMPRESION DEL CUENTO DE LAS FUENTES- INICIATIVAS SOCIALES-  CPM</t>
  </si>
  <si>
    <t>TITANIA COMPAÑIA EDITORIAL, S.L.</t>
  </si>
  <si>
    <t>SUSCRIPCIÓN ANUAL AL PERIÓDICO DIGITAL 'EL CONFIDENCIAL.COM' - GOBIERNO Y RELACIONES</t>
  </si>
  <si>
    <t>CONTROL DE POBLACIONES DE PALOMA BRAVIA, PALOMA TORCAZ Y ESTORNINOS EN EL TERMINO MUNICIPAL DE VALLADOLID -LOTE 2-</t>
  </si>
  <si>
    <t>ACUERDO MARCO. SUMINISTRO MATERIAL PARA TALLER DE REPARACIONES DE VEHÍCULOS DE POLICÍA.</t>
  </si>
  <si>
    <t>ACUERDO MARCO. SUMINISTRO DE MATERIAL PARA TALLER DE REPARACIÓN DE VEHÍCULOS DE POLICÍA.</t>
  </si>
  <si>
    <t>ACUERDO MARCO SUMINISTRO DE MATERIAL PARA TALLER DE REPARACIÓN DE VEHÍCULOS DE POLICÍA.</t>
  </si>
  <si>
    <t>ACUERDO MARCO. SUMINISTRO DE MATERIAL PARA TALLER DE REPARACIÓN DE AUTOMÓVILES DE POLICÍA.</t>
  </si>
  <si>
    <t>AC MARCO EXP V36-2017: ADITIVOS GASOIL Y AD BLUE PARA VEHICULOS DEL Sº DE LIMPIEZA</t>
  </si>
  <si>
    <t>AC MARCO EXP. V36-2017: FILTROS HIDRAULICOS PARA VEHICULOS DEL SERVICIO DE LIMPIEZA</t>
  </si>
  <si>
    <t>AC MARCO EXP V36-2017: ADBLUE A GRANEL (1.670) PARA VEHICULOS SERVICIO DE LIMPIEZA</t>
  </si>
  <si>
    <t>2021 11 1621 22110</t>
  </si>
  <si>
    <t>AC MARCO EXP V36-2017: JABON DE MANOS 126 5 K ( 2 UNIDADES ) PERSONAL TALLER SERVICIO DE LIMPIEZA</t>
  </si>
  <si>
    <t>M.TERESA GARROTE VAZQUEZ</t>
  </si>
  <si>
    <t>ROTULACIÓN EQUIPAMIENTO DEPORTIVO EQUIPO DE ATLETISMO DE LA POLICIA MUNICIPAL.</t>
  </si>
  <si>
    <t>SUMINISTRO DE METACRILATOS Y OTROS MATERIALES PARA COLEGIOS PÚBLICOS. PLAZO DE EJCUCIÓN 1 AÑO.</t>
  </si>
  <si>
    <t>SUMINISTRO DE DIVERSO MATERIAL DE JARDINERIA.</t>
  </si>
  <si>
    <t>MATERIALES PARA EL C. DE FORMACION CURSO DE PARQUES Y JARDINES, MANTA TERMICA Y GEOTEXTIL PLANTEX- DURACION 1 DIA</t>
  </si>
  <si>
    <t>MANPER SUMINISTROS INDUSTRIALES, C.B.</t>
  </si>
  <si>
    <t>REPARACION DE CINTA TRANSPORTADORA.</t>
  </si>
  <si>
    <t>2021 07 1711 22110</t>
  </si>
  <si>
    <t>PRODUCTOS DE LIMPIEZA Y ASEO.</t>
  </si>
  <si>
    <t>2021 07 1701 22110</t>
  </si>
  <si>
    <t>Productos de limpieza, papel y jabón para el uso personal en baños edificio Casa del Barco y anexo. AÑO 2021</t>
  </si>
  <si>
    <t>Contrato prorrogado de Exámenes Ginecologicos para el Departamento de Prevención y Salud Laboral  Enero Febrero 2021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</si>
  <si>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</si>
  <si>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</si>
  <si>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</si>
  <si>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</si>
  <si>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SUMINISTRO DE FICHAS (VALES) BLANCAS/AZULES PARA EL COMEDOR SOCIAL.</t>
  </si>
  <si>
    <t>RECOGIDA Y DISTRIBUCIÓN A LOS CENTROS CÍVICOS DE CARTELES Y FOLLETOS</t>
  </si>
  <si>
    <t>ADQUISICIÓN DE 10 AURICULARES CON MICRÓFONO INTEGRADO MODELO NW3522, DESTINADOS AL ARCHIVO MUNICIPAL.</t>
  </si>
  <si>
    <t>Sustitución de adaptador Mini Displayport para proyectos en Centro Municipal de la Igualdad / 1 DIA</t>
  </si>
  <si>
    <t>COPIA LLAVES ESPACIO JOVEN ZONA NORTE 1 DIA</t>
  </si>
  <si>
    <t>2021 10 2412 22110</t>
  </si>
  <si>
    <t>SUMINISTRO MATERIAL DE LIMPIEZA PARA LOS CURSOS  DEL C. DE FORMACION PARA EL EMPLEO Y JACINTO BENAVENTE- DURACION 1DIA</t>
  </si>
  <si>
    <t>2021 09 3341 22100</t>
  </si>
  <si>
    <t>PRÓRROGA CONTRATO CENTRALIZADO SUMINISTRO ENERGÍA ELÉCTRICA CÚPULA DEL MILENIO</t>
  </si>
  <si>
    <t>2021 11 1321 22100</t>
  </si>
  <si>
    <t>IMPORTE PRÓRROGA CONTRATO SUMINISTRO ENERGÍA ELÉCTRICA POLICIA EJERCICIO 2021. EXPTE 45/2020. (P. Separada SE 13/2019).</t>
  </si>
  <si>
    <t>MODIFICADO CONTRATO DE OBRAS DE AMPLIACIÓN DEL EDIFICIO AGENCIA DE LA INNOVACIÓN Y DESARROLLO ECONÓMICO DE VALLADOLID</t>
  </si>
  <si>
    <t>2021 11 1321 223</t>
  </si>
  <si>
    <t>GASTOS ENVIOS CERTIFIDOS VERIFICACIÓN ANUAL Y OTROS.</t>
  </si>
  <si>
    <t>2021 07 1711 22100</t>
  </si>
  <si>
    <t>PRORROGA CONTRATO SUMINISTRO ENERGIA ELECTRICA, Sº DE PARQUES Y JARDINES.</t>
  </si>
  <si>
    <t>SUMINISTRO DE PAPEL PARA REALIZACION DE VALES DE COMPRA Y OTROS.</t>
  </si>
  <si>
    <t>ADQUISICIÓN ARCHIVO MUNICIPAL DE LÁMINA DE MELAMINA POROSA PARA INSTALARLA COMO FALDÓN DELANTERO DE MESA DESCRITORIO.</t>
  </si>
  <si>
    <t>MELAMINA/ TACÓN/ CANTO PVC (ASOC.EL REFUGIO) / TIRAFONDOS/ TACO (CC J.M.LUELMO) / MELAMINA/ AGLOMERADO (CC DELICIAS)</t>
  </si>
  <si>
    <t>BISAGRA PIANO (12) / TIRAFONDOS SPAX(1)/ BOCA DESTORNILLADOR (2) ///// DESTINO: GUARDERIA EL GLOBO. ENERO</t>
  </si>
  <si>
    <t>MANTENIM., REPARACIONES PLETINA PVC (CNTRO OCUPACIONAL MONTES Y BARÓ) / MELAMINA/ CANTO PVC (CPM Z. SUR)-DURACION 1 DIA</t>
  </si>
  <si>
    <t>ALB.DE ENTREGA VA21/105 DE 12-01-2021: MELAMINA PORO DISEÑO 19 MM (CEIP LEÓN FELIPE)</t>
  </si>
  <si>
    <t>F-1538. MARINO DE LA FUENTE. SUMINISTRO DE MATERIALES. CEAS DELICIAS/CEAS PILARICA/VIVIENDAS. MES ENERO 2021</t>
  </si>
  <si>
    <t>COLOCAR LOS DETECTORES DESMONTADOS EN CC JOSE Mª LUELMO PARA FACILITAR OBRAS DE INSONORIZACIÓN.</t>
  </si>
  <si>
    <t>2021 08 1651 214</t>
  </si>
  <si>
    <t>JORGE ESTEBAN, S.L.</t>
  </si>
  <si>
    <t>Vehículo 9992-FVL Sustituir taco motor inferior de la caja de velocidades (soporte inferior + mano de obra).</t>
  </si>
  <si>
    <t>MANTENIMIENTO SISTEMA SEGURIDAD DEL CMPA</t>
  </si>
  <si>
    <t>2021 02 1501 22699</t>
  </si>
  <si>
    <t>SUMINISTROS DE INFORMATICA CABALLERO S.L</t>
  </si>
  <si>
    <t>SUMINISTRO AURICULARES CENTRO DE CARTOGRAFÍA</t>
  </si>
  <si>
    <t>CONTRATO SUMINISTRO DE GASÓLEO DE AUTOMOCIÓN PARA VEHÍCULOS DE POLICÍA EJERCICIOS 2021 Y 2022.</t>
  </si>
  <si>
    <t>Servicio celaduría en CEAS de 1/1/2021 A 31/7/2022</t>
  </si>
  <si>
    <t>Reparación mando de puerta de pulsación en Centro Municipal de la Igualdad el día 04 de enero de 2021 / 1 DÍA</t>
  </si>
  <si>
    <t>Compra de material de pintura para vivienda en Calle CELTAS CORTOS, 20- 1º B.</t>
  </si>
  <si>
    <t>Programación y entrega de emisores de puerta en Centro Municipal de la Igualdad el día 15 de febrero de 2021 / 1 DIA</t>
  </si>
  <si>
    <t>2021 07 1711 22700</t>
  </si>
  <si>
    <t>LIMPIEZA Y DESINFECCION DE JUEGOS INFANTILES Y ELEMENTOS BIOSALUDABLES. COVID-19.</t>
  </si>
  <si>
    <t>2021 06 3232 22100</t>
  </si>
  <si>
    <t>S.E. 45/2020 (P.S. 2 EXPTE S.E. 13/2019). CONTRATO CENTRALIZADO SUMINISTRO ENERGÍA ELECTRICA. COLEGIOS PÚBLICOS. 2021</t>
  </si>
  <si>
    <t>PRÓRROGA LOTE 1 (DEL 12/01/21 AL 30/04/21) CONTRATO MANTENIMIENTO CALEFACCIÓN CENTROS SPC</t>
  </si>
  <si>
    <t>2021 06 3231 22100</t>
  </si>
  <si>
    <t>S.E. 45/2020 (P.S. 2 EXPTE S.E. 19/2019) CONTRATO CENTRALIZADO SUMINISTRO ENERGIA ELECTRICA. ESCUELAS INFANTILES. 2021</t>
  </si>
  <si>
    <t>ACUERDO MARCO V6/2020, ARREGLOS EN PLAZA DE MAYO.</t>
  </si>
  <si>
    <t>SUSCRIPCIÓN DE 5 EJEMPLARES DE LA REVISTA AIRE LIBRE, AÑO 2021. PARA LAS BIBLIOTECAS MUNICIPALES. PLAZO 1 AÑO.</t>
  </si>
  <si>
    <t>2021 10 2311 22200</t>
  </si>
  <si>
    <t>AMPLIACIÓN CONTRATO CONSUMO 16 LÍNEAS PARA MES ENERO Y 10 LÍNEAS PARA MES DE FEBRERO-TERMINALES ADQUIRIDOS POR COVID-19.</t>
  </si>
  <si>
    <t>MTO.  Y ASISTENCIA TÉCNICA DE LAS HERRAMIENTAS DE ADMON.ELECTRÓNICA DEL AYTO.VALL. BASADAS AMARA SUITE. (PRÓRROGA)</t>
  </si>
  <si>
    <t>Prueba de lengua (idioma inglés) para la selección de 1 tco. PE4TRANS.</t>
  </si>
  <si>
    <t>PRORROGA CONTRATO EXPLOTACIÓN PUNTO LIMPIO C/ VALLE DE ARAN (23-1 AL 31-12-2021)</t>
  </si>
  <si>
    <t>VAUGHAN SYSTEMS, S.L.U.</t>
  </si>
  <si>
    <t>PRUEBA DE LENGUA INGLESA, PROVISIÓN 1 TCO. SUP. PE4TRANS.</t>
  </si>
  <si>
    <t>2021 06 2315 22100</t>
  </si>
  <si>
    <t>S.E. 45/2020 (P.S. 2 EXPTE S.E. 13/2019) CONTRATO CENTRALIZADO SUMINISTRO ENERGIA ELECTRICA. C.M.I. AÑO 2021</t>
  </si>
  <si>
    <t>2021 11 1361 22700</t>
  </si>
  <si>
    <t>UTE LIMPIEZA DEPENDENCIAS AYUNTAMIENTO DE VALLADOLID</t>
  </si>
  <si>
    <t>CONTRATO SERVICIO LIMPIEZA DEPENDENCIAS PARQUES DE LAS ERAS Y CANTERAC DEL SEISYPC  AÑOS 2021_2022; EXPTE S.E. 31_2020.</t>
  </si>
  <si>
    <t>GESTION Y PROTECCION AMBIENTAL, S.L.</t>
  </si>
  <si>
    <t>RETIRADA DE FILTROS DE ACEITE DEL TALLER DE REPARACIÓN DE VEHÍCULOS DE LA POLICÍA MUNICIPAL.</t>
  </si>
  <si>
    <t>BURGOS (POL.IND. VILLALONQUEJAR)</t>
  </si>
  <si>
    <t>REPARACIÓN VEHÍCULOS 4117JKP Y  3998JKP DE POLICÍA MUNICIPAL.</t>
  </si>
  <si>
    <t>2021 10 2312 22100</t>
  </si>
  <si>
    <t>PRÓRROGA CONTRATO DE SUMINISTRO DE ENERGIA ELECTRICA EN CPMS MPALES DE 1-1 A 31-12-2021</t>
  </si>
  <si>
    <t>PRÓRROGA CONTRATO DE SUMINISTRO DE ENERGIA ELECTRICA EN CPMS TRANSFERIDOS DE 1-1 A 31-12-2021</t>
  </si>
  <si>
    <t>INETUM ESPAÑA S.A.</t>
  </si>
  <si>
    <t>SUMINISTRO DE LICENCIAS, MANTENIMIENTO Y ASISTENCIA TÉCNICA DEL GESTOR DOCUMENTAL ALFRESCO</t>
  </si>
  <si>
    <t>CARTAS CERTIFICADAS/ CARTAS/ AVISO RECIBO/ ENTREGA/ RETORNO/ NOTIFICACIÓN/ POSTAL/ PAQUETE ESTÁNDAR // MES DICIEMBRE</t>
  </si>
  <si>
    <t>SUMINISTRO DE MATERIAL PARA TRABAJOS DE PINTURA EN EL CENTRO SEGUNDO MONTES</t>
  </si>
  <si>
    <t>CONTRATO LIMPIEZA INSATALACIONES DEL S. LIMPIEZA VIARIA, AÑOS 2021 Y 2022</t>
  </si>
  <si>
    <t>CONTRATO SERV. ASISTENCIA TECNICA PROGRAMA VALLADOLID COMO INTEGRANTE DE LA RED CIUDADES CREATIVAS DE LA UNESCO. 2021-24</t>
  </si>
  <si>
    <t>2021 02 9332 634</t>
  </si>
  <si>
    <t>INDUSTRIAS TESEDO, S.L.</t>
  </si>
  <si>
    <t>ROTULAR IMAGEN CORPORATIVA EN VEHÍCULO ADQUIRIDO PARA EL CENTRO DE MANTENIMIENTO</t>
  </si>
  <si>
    <t>ASISTENCIA TÉCNICA OPERACIÓN, CAU, Y MANTENIMIENTO  DEL SOFTWARE DE BASE Y COMUNICACIONES. LOTE 2-REAJUSTE ANUALIDADES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</si>
  <si>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</si>
  <si>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</si>
  <si>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ASISTENCIA TÉCNICA OPERACIÓN, CAU, Y MANTENIMIENTO  DEL SOFTWARE DE BASE Y COMUNICACIONES LOTE 2, DICIEMBRE</t>
  </si>
  <si>
    <t>F-1989. SUMINISTROS INDUSTRIALES SYRESA, S.L. BOMBILLO BOTON 2030/40BX50 LN (2 UD)/ BROCA AVELLANADOR (ALBERGUE) 1 DIA</t>
  </si>
  <si>
    <t>2021 07 1711 22103</t>
  </si>
  <si>
    <t>CONTRATO PARA SUMINISTRO DE GASÓLEO, SERVICIO DE PARQUES Y JARDINES.</t>
  </si>
  <si>
    <t>2021 04 9204 22200</t>
  </si>
  <si>
    <t>CONEXIÓN REDUNDANTE A INTERNET, LOTE 2</t>
  </si>
  <si>
    <t>CONEXIÓN REDUNDANTE A INTERNET. LOTE 2 (REAJUSTE DE ANUALIDADES)</t>
  </si>
  <si>
    <t>2ª PRÓRROGA REPARACIÓN Y AVERÍAS Y DAÑOS ""GESTIÓN INTEGRAL SISTEMA CENTRALIZADO CONTROL TRÁFICO VALLADOLID""_Ene-Agos2021</t>
  </si>
  <si>
    <t>MATERIALES PARA TRABAJOS DE PINTURA EN CENTROS DEL SERVICIO DE PARTICIPACIÓN CIUDADANA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</si>
  <si>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</si>
  <si>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</si>
  <si>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</si>
  <si>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2021 11 1621 212</t>
  </si>
  <si>
    <t>REVISIONES Y REPARACIONES DE PUERTAS PRE-ELEVA ACCESOS TALLER Y  NAVE PARQUE VEHICULOS DEL Sº LIMPIEZA</t>
  </si>
  <si>
    <t>PAULEON AUTOMOCION, S.L.</t>
  </si>
  <si>
    <t>SUMINISTRO DE CONTADOR DE LITROS (ACCESORIO DE BOMBA DE AD BLUE) PARA EL Sº DE LIMPIEZA</t>
  </si>
  <si>
    <t>2021 11 3111 214</t>
  </si>
  <si>
    <t>REPARACION VEHÍCULO HIBRIDO 0634DHJ</t>
  </si>
  <si>
    <t>2021 11 1621 22699</t>
  </si>
  <si>
    <t>MONICA MARTIN  CAPELLAN</t>
  </si>
  <si>
    <t>GESTION DE DISTINTIVOS MEDIOAMBIENTALES PARA VEHICULOS DEL SERVICIO DE LIMPIEZA</t>
  </si>
  <si>
    <t>IRON MOUNTAIN</t>
  </si>
  <si>
    <t>SUSCRIPCIÓN ANUAL A ""EL LIBRO VERDE"", AÑO 2021</t>
  </si>
  <si>
    <t>Juntas de estanqueidad para racores storz, proporcionador de espumógeno emulgente; SEISYPC.</t>
  </si>
  <si>
    <t>GARDEN CENTER CAMPO GRANDE</t>
  </si>
  <si>
    <t>PRODUCTOS DE JARDINERIA PARA SANEAMIENTO ZONAS VERDES CC CANAL DE CASTILLA</t>
  </si>
  <si>
    <t>2021 10 2312 22199</t>
  </si>
  <si>
    <t>QUIMICOS LOPEZ ESCUDERO,S.L</t>
  </si>
  <si>
    <t>SUMINISTRO ARTICULOS DE HIGIENE -BOBINAS PAPEL SECAMANOS- PARA CPM, CONCEJALÍA Y SECRETARÍA EJECUTIVA. COVID-19.</t>
  </si>
  <si>
    <t>MATZ ERREKA SCL</t>
  </si>
  <si>
    <t>GASTO VISITA Y PRESUPUESTO PARA LA PUESTA EN MARCHA DE LA PUERTA AUTOMATICA DE GALERIAS VALLADOLID</t>
  </si>
  <si>
    <t>ANTZUOLA</t>
  </si>
  <si>
    <t>GUIPUZCOA</t>
  </si>
  <si>
    <t>OCA-DIDO, S.L.</t>
  </si>
  <si>
    <t>PIZARRA VERDE (2x1m, 2 UDS.) PARA CM SANTIAGO LÓPEZ</t>
  </si>
  <si>
    <t>2021 10 2412 22100</t>
  </si>
  <si>
    <t>PRÓRROGA CONTRATO DE SUMINISTRO DE ENERGIA ELECTRICA EN CENTRO FORMACION JACINTO BENAVENTE DE 1-1 A 31-12-2021</t>
  </si>
  <si>
    <t>2021 04 9231 22699</t>
  </si>
  <si>
    <t>WEB.VALLADOLIDENCIFRAS.ES - DOMINIO Y ALOJAMIENTO AÑO 2021 - SERV. INFORMACION Y ADMON. ELECTRONICA</t>
  </si>
  <si>
    <t>MANTENIMIENTO INTEGRAL DEL SISTEMA DE SEGURIDAD Y ALARMA. REVISIONES PERIÓDICAS. DURACIÓN 1 AÑO.</t>
  </si>
  <si>
    <t>PRÓRROGA LOTE 4 (DEL 12/01/21 AL 30/04/21) CONTRATO MANTENIMIENTO EXTINTORES CENTROS SPC</t>
  </si>
  <si>
    <t>PLATAFORMAS BER, S.L.</t>
  </si>
  <si>
    <t>ARTICULADA DIESEL 16m / TRANSP. ENTREGA-RECOGIDA / G.RESID/ CONSUMO A (6) ///  C.P. TERESA IÑIGO DE TORO (C/MORENA)</t>
  </si>
  <si>
    <t>CONTRATO CENTRALIZADO. ADJUDICACION CELADURIA COLEGIOS PÚBLICOS. AÑO 2021 Y DEL 01 DE ENERO A 31 DE JULIO DE 2022.</t>
  </si>
  <si>
    <t>INGENIERIA Y SERVICIOS DE EFICIENCIA ENERGÉTICA S.L.</t>
  </si>
  <si>
    <t>Expte. 38/2019  Adjudicacion Obras de renovación instalación de alumbrado por tecnología LED en Poligono San Cristóbal.-</t>
  </si>
  <si>
    <t>2021 05 4331 22700</t>
  </si>
  <si>
    <t>Contrato centralizado de limpieza dependencias municipales para 2021 y 2022. Edificio Agencia de Innovación.</t>
  </si>
  <si>
    <t>STRATEGIA INFINITA, S.L.</t>
  </si>
  <si>
    <t>ESCUELA DE PARTICIPACION CIUDADANA</t>
  </si>
  <si>
    <t>ACUERDO MARCO 2017/36, RECAMBIOS PARA VEHICULOS.</t>
  </si>
  <si>
    <t>ACUERDO MARCO 2017/36, RECAMBIOS DE VEHICULOS.</t>
  </si>
  <si>
    <t>ACUERDO MARCO.SUMINISTRO  DE MATERIAL PARA TALLER DE REPARACIÓN DE AUTOMÓVILES DE POLICÍA.</t>
  </si>
  <si>
    <t>RAC MARCO EXP V36-2017: RADIADOR RECONSTRUIDO REPARAR VEHICULO E8109BFB DEL SERV. LIMPIEZA</t>
  </si>
  <si>
    <t>ACUERDO MARCO EXP V36-2017: RADIADOR INTERCAMBIO - RENAULT REPARACION VEHICULO 6003FPZ DEL Sº LIMPIEZA</t>
  </si>
  <si>
    <t>2021 06 3321 22100</t>
  </si>
  <si>
    <t>S.E. 45/2020 (P.S. 2 EXPTE S.E. 13/2019) CONTRATO CENTRALIZADO SUMINISTRO ENERGIA ELECTRICA. BIBLIOTECAS PUBLICAS. 2021</t>
  </si>
  <si>
    <t>2021 10 2311 22100</t>
  </si>
  <si>
    <t>PRÓRROGA CONTRATO DE SUMINISTRO DE ENERGIA ELECTRICA EN CEAS DE 1-1 A 31-12-2021</t>
  </si>
  <si>
    <t>MANTENIMIENTO DE LA RED DE VOZ Y DATOS DEL AYUNTAMIENTO DE VALLADOLID</t>
  </si>
  <si>
    <t>2021 02 1511 619</t>
  </si>
  <si>
    <t>TRABAJOS OBRA CIVIL INGENIERIA S.L.L.</t>
  </si>
  <si>
    <t>ADJUDICAR EXPEDIENTE SERVICIOS REDAC.PROYECTO URBANIZACIÓN CALLE SALUD</t>
  </si>
  <si>
    <t>TOTAL CONTROL BIONIC SL</t>
  </si>
  <si>
    <t>PROYECTO IFS 2019: VARIAS ACTUACIONES EN VESTUARIOS, DUCHAS Y ASEOS EN CAMPO DE FORMACIÓN DE EL REBOLLAR. S.E.I.S. Y P.C</t>
  </si>
  <si>
    <t>SUMINISTRO DE FUNGIBLES DE IMPRESIÓN ORIGINALES, LOTE 1 (REAJUSTE DE ANUALIDADES)</t>
  </si>
  <si>
    <t>PRÓRROGA CONTRATO DE SUMINISTRO DE ENERGIA ELECTRICA EN COMEDOR SOCIAL  DE 1-1 A 31-12-2021</t>
  </si>
  <si>
    <t>2021 09 4321 22100</t>
  </si>
  <si>
    <t>PRORROGA CONTRATO SUMINISTRO ENERGIA ELECTRICA PARA ALBERGUE PEREGRINOS Y PANTALLA PLAZA ALBERTO FERNANDEZ. AÑO 2021</t>
  </si>
  <si>
    <t>2021 04 9204 22100</t>
  </si>
  <si>
    <t>SUMINISTRO ENERGÍA ELÉCTRICA EDIFICIO ENRIQUE IV, PRÓRROGA</t>
  </si>
  <si>
    <t>2021 07 1721 22100</t>
  </si>
  <si>
    <t>PRÓRROGA AÑO 2021 CONTRATO SUMINISTRO ENERGÍA ELÉCTRICA</t>
  </si>
  <si>
    <t>2021 11 1361 22100</t>
  </si>
  <si>
    <t>PRÓRROGA CONTRATO SUMINISTRO DE ENERGÍA ELÉCTRICA DE 1 ENERO A 31 DICIEMBRE 2021. S.E.I.S. Y P.C.- EXPTE: S.E.45/2020</t>
  </si>
  <si>
    <t>2021 07 1701 22100</t>
  </si>
  <si>
    <t>CONTRATO SUMINISTRO ENERGIA ELECTRICA 2021.</t>
  </si>
  <si>
    <t>CONTRATO SUMINISTRO ENERGIA ELECTRICA. ""XX AÑOS DE PAZ"" 2021</t>
  </si>
  <si>
    <t>2021 11 1621 22100</t>
  </si>
  <si>
    <t>PRORROGA CONTRATO SUMINISTRO ENERGIA ELECTRICA SERVICIO LIMPIEZA</t>
  </si>
  <si>
    <t>2021 11 1631 22100</t>
  </si>
  <si>
    <t>PRORROGA CONTRATO SUMINISTRO ENERGIA ELECTRICA Sº LIMPIEZA VIARIA</t>
  </si>
  <si>
    <t>2021 08 1651 22100</t>
  </si>
  <si>
    <t>Expte.SE-45/2020 (Pieza separada 2 del Expte. SE-13/2019) Prórroga del Contrato de Sumiistro de energía eléctrica.-</t>
  </si>
  <si>
    <t>2021 11 3111 22100</t>
  </si>
  <si>
    <t>PRORROGA CONTRATO SUMINISTRO ENERGIA ELECTRICA 2021 - SALUD PUBLICA. EXPTE. SE.13/2019</t>
  </si>
  <si>
    <t>AC MARCO EXP. V36-2017: SUMINISTROS INDUSTRIALES PARA EL SERVICIO DE LIMPIEZA</t>
  </si>
  <si>
    <t>AC MARCO EXP V36-2017: SUMINISTRO PALAS PARA USO EN LIMPIEZA VIARIA</t>
  </si>
  <si>
    <t>MANTENIMIENTO DE SISTEMA DE CCTV CÁMARAS EXTERIORES EN CPM HUERTA DEL REY PARA EL AÑO 2021.</t>
  </si>
  <si>
    <t>MANTENIMIENTO DEL SISTEMA CCTV CÁMARAS EXTERIORES EN CPM DELICIAS PARA EL AÑO 2021.</t>
  </si>
  <si>
    <t>SUMINISTRO ANUAL DE GAS PARA LAS PISTOLAS DE LA GALERIA DE TIRO VIRTUAL.</t>
  </si>
  <si>
    <t>MCV,S.A</t>
  </si>
  <si>
    <t>ADQUISICION DE BIDONES PARA CAPTADORES DEL LABORATORIO RED DE CONTROL ATMOSFERICO. SERVICIO DE MEDIO AMBIENTE.</t>
  </si>
  <si>
    <t>COLLBATO</t>
  </si>
  <si>
    <t>IMPRESION DEL LIBRO CUENTO LAS FUENTESIV, 150 UNIDADES- INICIATIVAS SOCIALES CPM- DURACION 1 DIA</t>
  </si>
  <si>
    <t>INSPECCIÓN PERIÓDICA ASCENSOR/ES EN C.C.:  PZA JUAN AUSTRIA - PTE LA REINA - PZA BIÓLOGO - DELICIAS - JUAN AUSTRIA</t>
  </si>
  <si>
    <t>MANUEL ELIN DEL ROSARIO DEL ROSARIO</t>
  </si>
  <si>
    <t>SERVICIOS MÉDICOS PARA LAS PRUEBAS FÍSICAS DE LA OPOSICIÓN MECÁNICO - CONDUCTOR BOMBEROS (7 HORAS EL DÍA 21/10/2020)</t>
  </si>
  <si>
    <t>TELE ONDAS, S.L.</t>
  </si>
  <si>
    <t>Repuesto de lámparas estroboscópicas para luminarias de emergencia; SEISYPC.</t>
  </si>
  <si>
    <t>MAPFRE VIDA S.A. DE SEGUROS Y REASEGUROS SOBRE LA VIDA HUMANA</t>
  </si>
  <si>
    <t>ACCIDENTES COLECTIVOS|""PÓLIZA"":0551780088803|""RECIBO"":8221299862|""RIESGO"": SUMAS GRUPOS/ DE 31-12-20 A 31-12-21</t>
  </si>
  <si>
    <t>PRORROGA CONTRATO SUMINISTRO DE GASOLINA AL SERVICIO DE PARQUES Y JARDINES.</t>
  </si>
  <si>
    <t>PRORROGA CONTRATO SUMINISTRO ENERGIA ELECTRICA 2021 - CONSUMO - OMIC EXPTE. SE. 13/2019</t>
  </si>
  <si>
    <t>2021 03 9241 22100</t>
  </si>
  <si>
    <t>ENERGIA ELECTRICA SERVICIO DE PARTICIPACION CIUDADANA</t>
  </si>
  <si>
    <t>Mantenimiento del sistema de vigilancia y alarma en instalaciones del Parque de Nave de Alumbrado. -</t>
  </si>
  <si>
    <t>Mantenimiento sistema vigilancia y alarma de instalaciones del Parque de Conservación de Vías Públicas, C/ Títulos 51.-</t>
  </si>
  <si>
    <t>10000 SOBRES VENTANILLA DERECHA SECCIÓN PROCEDIMIENTO</t>
  </si>
  <si>
    <t>WURTH ESPAÑA, S.A.</t>
  </si>
  <si>
    <t>ADQ.MATERIAL ELÉCTRICO PARA TALLER DE CERRAJERÍA</t>
  </si>
  <si>
    <t>PALAU-SOLITA I PLEGAMANS</t>
  </si>
  <si>
    <t>EXPTE. SE-EIJI 10/2020. CTTO GESTION EIM EL TOBOGAN LOTE 6. AÑO 2021. 01/01 A 31/08/2022</t>
  </si>
  <si>
    <t>2021 04 3121 22199</t>
  </si>
  <si>
    <t>MANUEL RAMOS MUÑIZ</t>
  </si>
  <si>
    <t>Suministro auriculares para reuniones On-Line (7 unidades). SERVICIO DE PREVENCION Y SALUD LABORAL</t>
  </si>
  <si>
    <t>VALDESTILLAS</t>
  </si>
  <si>
    <t>2021 01 9203 22110</t>
  </si>
  <si>
    <t>ADQUISICION MATERIAL DE LIMPIEZA, R.I.</t>
  </si>
  <si>
    <t>IPROGES CONSULTING, S.L.</t>
  </si>
  <si>
    <t>Estudio de Seguridad y Salud del proyecto de  Urbanización exterior en las instalaciones municipales del SEPI.</t>
  </si>
  <si>
    <t>REFUERZO EN SERVICIOS DE RETIRADA DE VEHÍCULOS DIA 9-1-2021 POR INCLEMENCIAS METEOROLÓGICAS.</t>
  </si>
  <si>
    <t>SUMINISTRO BOMBA PARA DEPÓSITO DE AD BLUE</t>
  </si>
  <si>
    <t>2021 11 3111 22799</t>
  </si>
  <si>
    <t>HIJOS DE AMBROSIO PELAZ, S.A.</t>
  </si>
  <si>
    <t>TRANSPORTE Y ELIMINACION DE EQUINO MUERTO, ENCONTRADO SIN PROPIETARIO IDENTIFICADO EN TERMINO MUNICIPAL VALLADOLID 1 MZ.</t>
  </si>
  <si>
    <t>CARTELES EXPOSICIONES EN CENTROS CÍVICOS. PERÍODO 16/01/21- 31/03/21</t>
  </si>
  <si>
    <t>2021 08 1341 22100</t>
  </si>
  <si>
    <t>ENERGÍA ELÉCTRICA 2021_CENTRO MOVILIDAD URBANA</t>
  </si>
  <si>
    <t>2021 06 2314 22100</t>
  </si>
  <si>
    <t>PRÓRROGA SUMINISTRO ENERGÍA ELÉCTRICA ESPACIOS JÓVENES Y PINAR DE ANTEQUERA</t>
  </si>
  <si>
    <t>RAINBOWWEAR, S.L.</t>
  </si>
  <si>
    <t>MASCARILLAS PUBLICITARIAS PRESUPUESTOS PARTICIPATIVOS</t>
  </si>
  <si>
    <t>2021 06 3261 22700</t>
  </si>
  <si>
    <t>PR-SE 31/2020. CONTRATO CENTRALIZADO DE LIMPIEZA EDIFICIOS MUNICIPALES. AREA 06.ESCUELA MUNICIPAL DE MUSICA. LOTE 7</t>
  </si>
  <si>
    <t>2021 06 3231 22700</t>
  </si>
  <si>
    <t>PR-SE 31/2020. CONTRATO CENTRALIZADO DE LIMPIEZA EDIFICIOS MUNICIPALES. AREA 06. ESCUELAS INFANTILES MUNICIPALES.LOTE 7</t>
  </si>
  <si>
    <t>2021 06 2315 22700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</si>
  <si>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</si>
  <si>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</si>
  <si>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2021 06 3321 22700</t>
  </si>
  <si>
    <t>PR-SE 31/2020. CONTRATO CENTRALIZADO DE LIMPIEZA EDIFICIOS MUNICIPALES. AREA 06.BIBLIOTECAS PUBLICAS MUNICIPALES.LOTE 7</t>
  </si>
  <si>
    <t>2021 05 4331 22100</t>
  </si>
  <si>
    <t>Contrato de suministro de energia eléctica - Tramitación Centralizada. Agencia de Innovación. Año 2021</t>
  </si>
  <si>
    <t>Ampliación de contrato de Suministro de Electricidad por ampliacion de edificio de Agencia de Innovación. Año 2021</t>
  </si>
  <si>
    <t>2021 02 9332 22100</t>
  </si>
  <si>
    <t>PRIMERA PRÓRROGA CONTRATO SUMINISTRO ENERGÍA ELÉCTRICA EDIFICIIOS ÁREA 02</t>
  </si>
  <si>
    <t>contrato ayuda a domicilio -lote 2 comidas SAD- años 2021, 2022 y enero a agosto 2023</t>
  </si>
  <si>
    <t>PRÓRROGA CONTRATO DE SUMINISTRO DE ENERGÍA ELÉCTRICA EN CFE JACINTO BENAVENTE DE 1-1 A 31-12-2021</t>
  </si>
  <si>
    <t>Mantenimiento y sustitución de teléfono en Espacio Joven Zona Sur / 1 DÍA</t>
  </si>
  <si>
    <t>Utilización de Instalaciones Deportivas Mpales para Pruebas Físicas de Oficiales de la Policia Mpal / DIA: 05-02-21 /</t>
  </si>
  <si>
    <t>REVISTA DE DERECHO URBANISTICO</t>
  </si>
  <si>
    <t>SUSCRIPCIÓN ANUAL ARCHIVO MUNICIPAL A REVISTA ""DERECHO URBANÍSTICO Y MEDIO AMBIENTE"", DE 01/01/2021 A 31/12/2021.</t>
  </si>
  <si>
    <t>LAVADO DE VEHICULOS DEL SERVICIO SALUD PUBLICA 2021</t>
  </si>
  <si>
    <t>JUAN PÉREZ CAPELLÁN</t>
  </si>
  <si>
    <t>2021 03 9241 22701</t>
  </si>
  <si>
    <t>CELADURIA OTROS CENTROS DEPENDIENTES DE P. CIUDADANA LOTE 4 2021 2022</t>
  </si>
  <si>
    <t>LIDIA ALONSO PRIETO</t>
  </si>
  <si>
    <t>Taller cuentacuentos ""¿Me cambias un cuento?""en  el Centro Municipal de la Igualdad en el mes de noviembre - 1 DÍA</t>
  </si>
  <si>
    <t>2021 05 4314 22100</t>
  </si>
  <si>
    <t>PRORROGA DEL CONTRATO DE SUMINISTRO DE ENERGIA ELECTRICA PARA DEPENDENCIAS MUNICIPALES Y OTRAS ENTIDADES</t>
  </si>
  <si>
    <t>ampliación contrato suministro energ.electrica Centro Integrado-año 2021-COVID-19</t>
  </si>
  <si>
    <t>ADJ. (LOTE 2) SERVICIO LIMPIEZA DE DEPENDENCIAS MUNICIPALES ARCHIVO, EDIF.SALUD LAB.C.MÉDICO FLORES,  AÑOS 2021 Y 2022</t>
  </si>
  <si>
    <t>2021 10 2412 22001</t>
  </si>
  <si>
    <t>LIBRERIA OLETUM, SOCIEDAD LIMITADA</t>
  </si>
  <si>
    <t>LIBROS PARA LOS CURSOS DE V. CUIDA IV Y PINTURA DECORATIVA III DEL C. DE FORMACION PARA EL EMPLEO- DURACION 1 DIA</t>
  </si>
  <si>
    <t>2021 10 2312 22617</t>
  </si>
  <si>
    <t>GRUPO SIFU CASTILLA Y LEON SL</t>
  </si>
  <si>
    <t>3 SEÑALES DE ACCESIBILIDAD, PARA SALA DE CONVIVENCIA,  SALA REUNIONES Y  EN SALA Nº 4 DEL CPM VICTORIA- DURACION 1 DIA</t>
  </si>
  <si>
    <t>SUMINISTRO 74 TARJETAS PVC - CARNET CONTROL POBLACIONES FELINAS-</t>
  </si>
  <si>
    <t>MANTENIMIENTO SISTEMA SEGURIDAD NAVES DE JARDINES.</t>
  </si>
  <si>
    <t>MEJORAS EN LA ACESIBILIDAD INTEGRAL DEL CPM VICTORIA,  SE HAN PUESTO  SEÑALES  CON MEDIDAS ESPECIALES- DURACION 1 DIA</t>
  </si>
  <si>
    <t>2021 01 9203 214</t>
  </si>
  <si>
    <t>REPARACION VEHICULO OFICIAL RENAULT LAGUNA 0908 GKZ, UNIDAD DE RÉGIMEN INTERIOR</t>
  </si>
  <si>
    <t>SUMINISTRO DE MATERIAL INFORMATICO.</t>
  </si>
  <si>
    <t>Ampliación contrato consumo para 10 terminales durante el 2021. COVID-19</t>
  </si>
  <si>
    <t>MIGUEL LOPEZ JEREZ</t>
  </si>
  <si>
    <t>Taller urbanismo con perspectiva de género en Centro Municipal de la Igualdad 2021 en abril y mayo / 2 MESES</t>
  </si>
  <si>
    <t>JULIAN FERNANDEZ PUEBLA</t>
  </si>
  <si>
    <t>Limpieza Local de calle Pato 3 para puesta a disp. de equipo de intervención familiar y de dos trabajadoras sociales.</t>
  </si>
  <si>
    <t>2021 07 1701 22706</t>
  </si>
  <si>
    <t>SM SISTEMAS MEDIOAMBIENTALES S.L.</t>
  </si>
  <si>
    <t>CONTRATO SERVICIOS DESARROLLO PROGRAMAS DE EDUCACION AMBIENTAL.. LOTE 1. COORD. Y DES. RED HUERTOS URBANOS. V.25/2019.</t>
  </si>
  <si>
    <t>GONZÁLEZ HIGUERA E HIJOS, S.L.</t>
  </si>
  <si>
    <t>Contenedor para retirada de material desuso; Servicio de Extinción de Incendios, Salvamento y Protección Civil.</t>
  </si>
  <si>
    <t>MARTINEZ CURIEL SL</t>
  </si>
  <si>
    <t>MANTENIMIENTO DE LA DESINFECTADORA DEL LABORATORIO DE LA RCCVA. SERVICIO MEDIO AMBIENTE</t>
  </si>
  <si>
    <t>UNIVERSIDAD DE VALLADOLID</t>
  </si>
  <si>
    <t>A.E. USO ESPACIOS F. ECONÓMICAS- AULARIO ESGUEVA // OPOSICIÓN AYTO // PERSONAL Y LIMPIEZA // DIA: 01-02-2021</t>
  </si>
  <si>
    <t>EMISION DISTINTIVOS DE VEHICULO ELECTRICO, CATEGORIA VELID, PARA EL AÑO 2021</t>
  </si>
  <si>
    <t>INSTALACIÓN PROTERO AUTOMÁTICO PUERTA TRASERA DEPENDENCIAS DISTRITO 4º.</t>
  </si>
  <si>
    <t>MARGARITA TORREMOCHA HERNÁNDEZ</t>
  </si>
  <si>
    <t>Asistencia a la mesa redonda ""Las Leonas de Castilla"" el día 12/03/2021 por día internacional de la mujer / 1 DÍA</t>
  </si>
  <si>
    <t>2021 11 1361 22104</t>
  </si>
  <si>
    <t>HISPAMAST, S.L.</t>
  </si>
  <si>
    <t>Casco específico para un bombero, por circunstancias especiales; SEISYPC.</t>
  </si>
  <si>
    <t>CAMPO REAL</t>
  </si>
  <si>
    <t>ACCIONES CORRECTIVAS EQUIPOS ELECTRÓNICOS SEGURIDAD Y VIGILANCIA DEPENDENCIAS POLICÍA.</t>
  </si>
  <si>
    <t>INSPECCIÓN PERIÓDICA DE BAJA TENSIÓN DE  CENTROS DEPENDIENTES DEL SPC (JL MOSQUERA, CASA CUNA, JM LUELMO Y PARQUESOL)</t>
  </si>
  <si>
    <t>1 CONVOCATORIA CONTRATO BASADO EN ACUERDO MARCO SERVICIOS CESIÓN DE DTOS DE USO DE VEHÍCULOS ELÉCRICOS</t>
  </si>
  <si>
    <t>CONTENEDORES HIGIÉNICOS DE LOS EDIFICIOS DE CASA DEL BARCO. 2021</t>
  </si>
  <si>
    <t>SOCIOGRAPH NEUROMARKETING S.L.</t>
  </si>
  <si>
    <t>LOTE 7: Contratación 2020 Serv. de formación y acompañamiento para el emprendimiento CREA y la empleabilidad REINNOVATE</t>
  </si>
  <si>
    <t>2021 11 3111 22103</t>
  </si>
  <si>
    <t>CONTRATO DE SUMINISTRO DE GASOLEO PARA LOS VEHÍCULOS DEL SERVICIO DE SALUD DURANTE LOS AÑOS 2021 Y 2022 - LOTE 4</t>
  </si>
  <si>
    <t>RESMA CARTULINA ""SUPRA AMARILLA"" CARPETAS HISTORIA SOCIAL"" DIVERSOS CEAS</t>
  </si>
  <si>
    <t>LAURA PEREZ BENITO</t>
  </si>
  <si>
    <t>ACTUACIÓN EN CC ZONA SUR ENERO 2021</t>
  </si>
  <si>
    <t>ACTUACIÓN EN CC PILARICA DÍA 04/01/2021. PROGRAMA MFS NAVIDAD</t>
  </si>
  <si>
    <t>MARIA RAQUEL ARRANZ VELEZ</t>
  </si>
  <si>
    <t>ACTUACIÓN EN CC JOSÉ MARÍA LUELMO EL DÍA 4 ENERO 2021</t>
  </si>
  <si>
    <t>MANZANILLO</t>
  </si>
  <si>
    <t>SUSCRIPCIÓN A VARIAS REVISTAS PARA LAS BIBLIOTECAS MUNICIPALES. AÑO 2021</t>
  </si>
  <si>
    <t>SOLUCIONES EMPRESARIALES Y AUDITORIA, S.L.</t>
  </si>
  <si>
    <t>CÓDIGO PROYECTO: 2018/3/2411/2/1. SERVICIO DE AUDITORÍA Y CONTROL EXTERNO DEL PROYECTO EUROPEO ""PGI05173, PE4TRANS""</t>
  </si>
  <si>
    <t>JESÚS RODRÍGUEZ  SÁNCHEZ</t>
  </si>
  <si>
    <t>PUBLICIDAD EN RADIO MARCA PRESUPUESTOS PARTICIPATIVOS SPC</t>
  </si>
  <si>
    <t>2018/3/2411/1/1 - Contratacion servicios auditoría y control externo de los proyectos europeos CIUDADES_CENCYL Y P4TRANS</t>
  </si>
  <si>
    <t>2018/2/2411/2/1 - Contratacion de servicios de auditoría y control externo de los proyectos europeos CENCYL+ y P4TRANS</t>
  </si>
  <si>
    <t>GABRIEL ALEJANDRO REYES GONZÁLEZ</t>
  </si>
  <si>
    <t>ACTUACIÓN DIA 03/01/2021 EN CIC CONDE ANSÚREZ</t>
  </si>
  <si>
    <t>JORGE NEIRA DEL CAMPO</t>
  </si>
  <si>
    <t>REVISIÓN ANUAL DE MAQUINARIA DEL TALLER DE REPARACIONES DE VEHÍCULOS DE POLICÍA MUNICIPAL.</t>
  </si>
  <si>
    <t>VILLAMARTIN DE CAMPOS</t>
  </si>
  <si>
    <t>SERIGRAFIA HERNANDEZ MURCIA, S.L.</t>
  </si>
  <si>
    <t>Carnets corporativos, números en vinilo personalizados, escudos, textos para termosellar; SEISYPC.</t>
  </si>
  <si>
    <t>Carnets corporativos, números en vinilo personalizados, escudos y textos para termosellar; SEISYPC.</t>
  </si>
  <si>
    <t>KISS PUBLICIDAD VALLADOLID 2005, S.L.U.</t>
  </si>
  <si>
    <t>SORIGUÉ  S.A.</t>
  </si>
  <si>
    <t>Suministro de 69 envases de aglomerado sintético de 25 kg.+2 garrafas de emulsión bituminosa estabilizada de 20 L.</t>
  </si>
  <si>
    <t>SAFETY METHS SEGURIDAD INDUSTRIAL S.L.</t>
  </si>
  <si>
    <t>REVISION Y EMISION DE CERTIFICADO DE LAS LINEAS DE VIDA UBICADAS EN EL COLEGIO DE EDUCACION ESPECIAL UBICADO EN COVARESA</t>
  </si>
  <si>
    <t>2021 07 1721 214</t>
  </si>
  <si>
    <t>SERVICIO DE LAVADO DE LOS COCHES DEL SERVICIO DE MEDIO AMBIENTE.</t>
  </si>
  <si>
    <t>SONEPAR IBERICA SPAIN S.A.U.</t>
  </si>
  <si>
    <t>Prórroga Contrato Suministro Lámparas (LOTE 2) del 01.01.2021 a 10.08.2021.Fusión por absorción de la empresa HISPANOFIL</t>
  </si>
  <si>
    <t>SUMINISTRO DE PINTURA AL CENTRO DE MANTENIMIENTO PARA LAS NECESIDADES QUE APAREZCAN EN LAS ESCUELAS INFANTILES. AÑO 2021</t>
  </si>
  <si>
    <t>MANTENIMIENTO PREVENTIVO Y CORRECTIVO PLACAS SOLARES Y CALDERA BIOMASA CMPA</t>
  </si>
  <si>
    <t>ADQUISICIÓN DE PAPEL PARA LA IMPRENTA DESTINADO A LA ELABORACIÓN DE FORMULARIOS PARA LA POLICÍA MUNICIPAL-</t>
  </si>
  <si>
    <t>2021 04 9341 22699</t>
  </si>
  <si>
    <t>Facturación Mes de Diciembre de 2020- Comisión s/las Vtas de 302.346,38 euros/ Facturados en Datafonos</t>
  </si>
  <si>
    <t>REPARACIÓN PUERTA ACCESO PLANTA SÓTANO CC JOSÉ LUIS MOSQUERA (SPC 88/2020)</t>
  </si>
  <si>
    <t>2021 10 2312 216</t>
  </si>
  <si>
    <t>SERVICIO DE MANTENIMIENTO  EQUIPOS INFORMATICOS (SESS 12/19)  MES DICIEMBRE2020 DEL CPM FRAY LUIS, ARCA, Z.ESTE Y HUERTA</t>
  </si>
  <si>
    <t>2021 09 3341 22199</t>
  </si>
  <si>
    <t>SUMINISTRO E INSTALACION DE MATERIAL PARA LOS ASEOS DEL CENTRO GALERIAS VALLADOLID</t>
  </si>
  <si>
    <t>Reparación de Mecanismo inodoro Centro Municipal de Igualdad / 1 día</t>
  </si>
  <si>
    <t>2021 09 4321 213</t>
  </si>
  <si>
    <t>REPARACION URGENTE DE UNA FUGA DE AGUA EN EL ALBERGUE DE PEREGRINOS DE PUENTE DUERO. ENERO 2021</t>
  </si>
  <si>
    <t>SUMINISTROS PARA EL MANTENIMIENTO DE LOS COLEGIOS PÚBLICOS</t>
  </si>
  <si>
    <t>CP IGNACIO MARTIN BARO ////FOMI-MECANISMO UNIVERS TYFON3G 10 /////CP PONCE DE LEON / VALVULA-ENLACE-DF SIFON-.....</t>
  </si>
  <si>
    <t>SUMINISTROS PARA EL CC BAILARÍN VICENTE ESCUDERO/ CC JOSE LUIS MOSQUERA</t>
  </si>
  <si>
    <t>FOMI-MECANISMO UNIVERS TYFON3G 10 /// DESTINO: C.C. ESGUEVA</t>
  </si>
  <si>
    <t>REPUESTOS Y PIEZAS: CP IGNACIO M.B./ CP MIGUEL ISCAR/ ALLUE MOER/ CP FCO QUEVEDO/ CP PABLO PICASSO/ CP FEDERICO Gª LORCA</t>
  </si>
  <si>
    <t>MANTENIMIENTO, SUMINISTROS PARA EL MANTENIMIENTO DEL CPM FRAY LUIS DE LEÓN/ CPM ZONA SUR- DURACION 1 DIA</t>
  </si>
  <si>
    <t>(MANTEN. REPARACION DE  MANGUITO, CODO 90º,GRIFO MANGUERA/LLAVE MINI, ABRAZADERA,TIRAFONDODEL CPM RONDILLA- DURACION1DIA</t>
  </si>
  <si>
    <t>GENEBRE-COLUMNA PRELAVADO 1819 04 (EIM LA COMETA). ENERO</t>
  </si>
  <si>
    <t>TERMO COINTRA TNC-50 PLUS SLIM / LATIGUILLO FLEX. HH 1/2 35 / LATIGUILLO FLEX (EDIFICIO SANTA ANA)</t>
  </si>
  <si>
    <t>REPUESTOS Y PIEZAS PARA C.P.: VICENTE ALEX.- IGNACION M.B.- MIGUEL D.- LEON F.- PQ ALAMEDA- MACIAS P.- JOSE ZOR.</t>
  </si>
  <si>
    <t>ACUERDO MARCO. SUMINISTRO DE MATERIALES DE FONTANERÍA PARA DEPENDENCIAS POLICÍA MUNICIPAL.</t>
  </si>
  <si>
    <t>A.M. V.36/2017 VALVULA ESF.GENEBRE 1/2 (DEPÓSITO CANINO)</t>
  </si>
  <si>
    <t>AC MARCO EXP. V36-2017: MATERIAL FONTANERIA PARA EL Sº DE LIMPIEZA</t>
  </si>
  <si>
    <t>AC MARCO EXP V36-2017: SUMINISTRO MATERIAL FONTANERIA PARA VESTUARIOS SERVICIO LIMPIEZA</t>
  </si>
  <si>
    <t>AC MARCO EXP V36-2017: SUMINISTROS PARA EL SERVICIO LIMPIEZA, C/ TOPACIO, JUAN DE AUSTRIA , C/ CADENAS DE SAN GREGORIO</t>
  </si>
  <si>
    <t>SUMINISTROS PARA CC JOSE LUIS MOSQUERA/ CC DELICIAS/ CIC CONDE ANSÚREZ/ CC JUAN DE AUSTRIA/ CNTRO INTEGRADO ZONA ESTE</t>
  </si>
  <si>
    <t>DOSIFICADOR JABON VISION 1,4LT //////    DESTINO:  / CIC CONDE ANSUREZ</t>
  </si>
  <si>
    <t>Mantenimiento del sistema de seguridad del Centro Municipal de la Igualdad en 2021 - 02/02/2021 a 31/01/2022</t>
  </si>
  <si>
    <t>AC MARCO EXP. V36-2017: SUMINISTRO BOLSAS PARA REPARTO DE FUNDENTES (SAL)</t>
  </si>
  <si>
    <t>AC MARCO EXP V36-2017: SUMINISTROS INDUSTRIALES PARA LIMPIEZA VIARIA</t>
  </si>
  <si>
    <t>AC MARCO EXP. V36-2017: CONJUNTO 6.800 BOLSAS VERDE 60X90 G-400 PARA REPARTO DE SAL DIVERSAS UBICACIONES</t>
  </si>
  <si>
    <t>AC MARCO EXP. V36-2017: SUMINISTROS NECESARIOS PARA LA LIMPIEZA VIARIA</t>
  </si>
  <si>
    <t>2021 10 2311 22199</t>
  </si>
  <si>
    <t>JESUS CARLOS ARRIBAS VILLAN</t>
  </si>
  <si>
    <t>PRORROGA CTTO SUMINISTRO DE PRODUCTOS DE APOYO A LAS PERSONAS USUARIAS DE SAD HASTA JUNIO 2021</t>
  </si>
  <si>
    <t>PRORROGA CONTRATO SUMINISTRO DE GASOLINA PARA MAQUINARIA DEL CENTRO DE FORMACION JACINTO BENAVENTE DE 1-1 A 31-12-2021</t>
  </si>
  <si>
    <t>Facturación Noviembre de 2020 // Comisión s/las Ventas de 326.825,11 euros /// Facturados en Datafonos</t>
  </si>
  <si>
    <t>REPARACIÓN DE VEHÍCULOS POLICÍA ( ACUERDO MARCO EN TRAMITACIÓN).</t>
  </si>
  <si>
    <t>ACUERDO MARCO_VA3249T: TAPA TERMOSTATO/ MANGUITO SUPERIOR RADIADOR7  ANTICONGELANTE/ COPELA AMORTIGUADOR/ PASTA JUNTAS</t>
  </si>
  <si>
    <t>SUMINISTRO DE MATERIAL DE PINTURA //// DESTINO: EDUCACIÓN</t>
  </si>
  <si>
    <t>REVISIÓN JUEGO COLUMNAS ELEVADORAS PARA VEHÍCULOS EN EL TALLER MECÁNICO DEL Sº LIMPIEZA</t>
  </si>
  <si>
    <t>JUEGO SOPORTES  EXTENSIBLESY TAPAS   PARA PARED O TECHO PARA PONER LOS STORES DEL CPM RONDILLA- DURACION 1 DIA</t>
  </si>
  <si>
    <t>CONTRATO MANTENIMIENTO INSTALACIONES L3: GRUPOS ELECTROGENOS, PRIMER SEMESTRE 2021</t>
  </si>
  <si>
    <t>OBDULIA RAMOS  BECERRIL</t>
  </si>
  <si>
    <t>Líquido para hacer humo para prácticas; Servicio de Extinción de Incendios, Salvamento y Protección Civil.</t>
  </si>
  <si>
    <t>Suministro anual de aditivo Ad_blue para vehículos diesel; SEISYPC.</t>
  </si>
  <si>
    <t>MATERIALES AUDIOVISUALES COMPLEMENTARIOS PARA LA ACADEMIA DE POLICÍA.</t>
  </si>
  <si>
    <t>SUMINISTRO DE REPUESTOS NEUMÁTICOS PARA REPARACION VEHICULOS LIMPIEZA VIARIA</t>
  </si>
  <si>
    <t>2021 04 9231 22199</t>
  </si>
  <si>
    <t>ADQUISICION DE MEDIDORES DE CO2 PARA EL SERV. DE INFORMACION Y ADMINISTRACION ELECTRONICA</t>
  </si>
  <si>
    <t>2 termómetros digitales y diverso material sanitario básico para la reposición de los botiquines ambos parques;SEISYPC.</t>
  </si>
  <si>
    <t>ROAN MONTAJES INDUSTRIALES</t>
  </si>
  <si>
    <t>Simuladores para prácticas de técnicas de apertura de cierres; SEISYPC.</t>
  </si>
  <si>
    <t>MANTENIMIENTO DE LAS INSTALACIONES DE FONTANERÍA, SANEAMIENTO E INSTALACIÓN SOLAR DEL CDIT</t>
  </si>
  <si>
    <t>Suministro de pinturas de todo tipo, disolventes, herramientas, cintas, señales, etc. según necesidades.-</t>
  </si>
  <si>
    <t>CONTRATO MANTENIMIENTO INSTALACIONES DE CLIMATIZACIÓN, CALEFACIÓN Y ACS DEL Sº DE LIMPIEZA EN C/ TOPACIO</t>
  </si>
  <si>
    <t>CONTRATO DE MANTENIMIENTO PREVENTIVO Y CORRECTIVO DE LAS INSTALACIONES DE CLIMATIZACIÓN Y DOMÓTICA PARA EL AÑO 2021.</t>
  </si>
  <si>
    <t>DESPLAZAMIENTO DEL TOTEM PARA ATENCIÓN AL CIUDADANO, DEL PROYECTO S2CITY, A CAUSA DE LAS OBRAS EN EN EDIFICIO AGENCIA.</t>
  </si>
  <si>
    <t>REPARACION VEHICULOS - 1672DMP y 0521BBH -</t>
  </si>
  <si>
    <t>Encuadernación revista ""La cuadrilla en la Valladolid comunera"", tamaño A5, 7.000 unidades</t>
  </si>
  <si>
    <t>RENTA GRUPO EDITORIAL, S.A.</t>
  </si>
  <si>
    <t>2 SUSCRIPCIONES ANUALES ARCHIVO MUNICIPAL A REVISTA ""TRIBUTOS LOCALES"", AÑO 2021.</t>
  </si>
  <si>
    <t>CONEXIÓN REDUNDANTE A INTERNET. LOTE 1, PRÓRROGA</t>
  </si>
  <si>
    <t>Facturación de Octubre de 2020 // Comisión s/las ventas de 364.883,80 euros facturados en datafonos</t>
  </si>
  <si>
    <t>REPARACION VEHÍCULOS UNIDAD DE RÉGIMEN INTERIOR</t>
  </si>
  <si>
    <t>SUMINISTRO DE GASOLEO PARA VEHICULOS DEL CFE JACINTO BENAVENTE AÑO 2021</t>
  </si>
  <si>
    <t>2021 05 4331 204</t>
  </si>
  <si>
    <t>ALQUILER DE BATERIA PARA EL RENAULT TWIZY TECHNIC, MATRICULA 2499HKJ, DURANTE EL AÑO 2021</t>
  </si>
  <si>
    <t>RADIO POPULAR S.A.-COPE</t>
  </si>
  <si>
    <t>CAMPAÑA DIFUSION CONVOCATORIA SUBVENCIONES REACTIVA DIGITAL. CONTRATACION INSERCIONES PUBLICITARIAS EN RADIO LOCAL.</t>
  </si>
  <si>
    <t>Fabricación de una pieza mecanizada para la cisterna de prácticas de MMPP; SEISYPC.</t>
  </si>
  <si>
    <t>COMPRA DE BOBINAS SECAMANOS PARA USUARIOS DE PROYECTOS SOCIOEDUCATIVOS. 2021. COVID-19</t>
  </si>
  <si>
    <t>CÓDIGO PROYECTO: 2019/3/2411/3/1. CONTRATO AUDITORÍA EXTERNA FINAL. EXPDTE. AI-26/2019. PROYECTO CIRCULAR LABS.</t>
  </si>
  <si>
    <t>CÓDIGO PROYECTO: 2019/3/2411/1/1. CONTRATO AUDITORÍA EXTERNA PROY. EUROPEOS. EXPDTE. AI-26/2019. CIUDADES VERDES CENCYL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</si>
  <si>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</si>
  <si>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</si>
  <si>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Dos cubiertas de las ruedas delanteras del vehículo FSV-5, por deterioro, desgaste y envejecimiento; SEISYPC.</t>
  </si>
  <si>
    <t>CONTRATO DE MANTENIMIENTO DE ZONAS VERDES EN COMEDOR SOCIAL-CAI PARA EL AÑO 2021.</t>
  </si>
  <si>
    <t>LIJADO Y BARNIZADO PARQUET DESPACHO PORTAVOZ GRUPO MUNICIPAL PSOE</t>
  </si>
  <si>
    <t>SERVICIO DE LIMPIEZA DE PEGAMENTO EN LA ENTRADA DEL CEIP SAN FERNANDO // REALIZADO EL DÍA 23/12/2020</t>
  </si>
  <si>
    <t>LIMPIEZA EXTERIOR: PODAS, PLANTACIÓN... EN CM CONDE ANSÚREZ, PINAR ANTEQUERA Y PUENTE DUERO</t>
  </si>
  <si>
    <t>2021 04 9321 641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</si>
  <si>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</si>
  <si>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</si>
  <si>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</si>
  <si>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</si>
  <si>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</si>
  <si>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</si>
  <si>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</si>
  <si>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AMPLIACIÓN CONTRATO CELADURIA LOTE 1</t>
  </si>
  <si>
    <t>AMPLIACIÓN CONTRATO CELADURIA LOTE 2</t>
  </si>
  <si>
    <t>NECLAPAL EQUIPAMIENTOS Y SERVICIOS, S.R.L.L.</t>
  </si>
  <si>
    <t>ADQUISICIÓN DE ROPA DEPORTIVA PARA EL EQUIPO DE ATLETISMO DE LA POLICÍA MUNICIPAL.</t>
  </si>
  <si>
    <t>U.T.E. SIFU MADRID BROCOLI AVA CENTROS CIVICOS Y MUNICIPALES</t>
  </si>
  <si>
    <t>CELADURIA CENTROS CIVICOS LOTE 3 2021 2022</t>
  </si>
  <si>
    <t>URALA SOLUTIONS, S.L.</t>
  </si>
  <si>
    <t>Bifurcaciones gama roja de 70/45/45 (6 unid) y 45/25/25 (3 unid); SEISYPC.</t>
  </si>
  <si>
    <t>VITORIA</t>
  </si>
  <si>
    <t>ALAVA</t>
  </si>
  <si>
    <t>MARIA PILAR  CARBAJO RODRIGUEZ</t>
  </si>
  <si>
    <t>Reparaciones de diversos materiales en el zapatero BROCHE DE ORO; SEISYPC.</t>
  </si>
  <si>
    <t>2021 11 1361 22200</t>
  </si>
  <si>
    <t>SEGUNDA PRÓRROGA DEL CONTRATO EXPEDIENTE SE-PC 40/2016 CORRESPONDIENTE AL SERVICIO TELECOMUNICACIONES. LOTE 1</t>
  </si>
  <si>
    <t>2021 11 1321 22200</t>
  </si>
  <si>
    <t>2ª  PRÓRROGA CONTRATO TELECOMUNICACIONES EXPTE P-26/2014. LOTE Nº 1. 1º SEMESTRE 2021 POLICÍA MUNICIPAL.</t>
  </si>
  <si>
    <t>DESRATIZACIÓN DE LAS INSTALACIONES DEL SERVICIO DE LIMPIEZA</t>
  </si>
  <si>
    <t>Seguridad y alarma de la Casa del Barco, Edificio Anexo. Periodo 01-01 a 31-12- 2021.</t>
  </si>
  <si>
    <t>Suministro de 91 cajas de mascarillas higiénicas infantiles para usuarios de los proyectos socioeducativos 2021 COVID-19</t>
  </si>
  <si>
    <t>Impresión y ensobrado de notificaciones Intervención Social 2021</t>
  </si>
  <si>
    <t>JOSE CARLOS CASTILLO GOMEZ</t>
  </si>
  <si>
    <t>SERVICIO DE RETRANSMISION EN STREAMING PRESUPUESTOS PARTICIPATIVOS</t>
  </si>
  <si>
    <t>PRÓRROGA CONTRA TELEFONÍA FIJA Y DATOS - LOTE 1 - DE ENERO A JUNIO DE 2021 - DTIC</t>
  </si>
  <si>
    <t>2021 04 9231 22000</t>
  </si>
  <si>
    <t>SISTEMAS COLOR S.A.</t>
  </si>
  <si>
    <t>PAPEL PARA AVISOS DE RECIBO DE NOTIFICACIONES ADMINISTRATIVAS</t>
  </si>
  <si>
    <t>Mantenimiento por un año del ascensor en edificio Calle Vega Sicilia, 2 . Julio 2020 a junio 2021</t>
  </si>
  <si>
    <t>GTS ELECTRONICA, S.L.</t>
  </si>
  <si>
    <t>REPARACIÓN DE MOTOR EN LA GALERIA DE TIRO VIRTUAL.</t>
  </si>
  <si>
    <t>RENTERIA</t>
  </si>
  <si>
    <t>NAVARRO APLIC.TERMICAS E HIDRAULICAS S.A</t>
  </si>
  <si>
    <t>REPARACIÓN SISTEMA CLIMATIZACIÓN IMPRENTA MUNICIPAL</t>
  </si>
  <si>
    <t>LIMPIEZA LOCAL AV EL PARQUE RONDILLA// LIMPIEZA GENERAL TRAS OBRA CM LA OVERUELA//RETIRADA RESIDUOS CM SANTIAGO LÓPEZ</t>
  </si>
  <si>
    <t>SUMINISTRO Y LLENADO DE BOMBONAS GAS  PARA FRAGUA CENTRO DE MANTENIMIENTO</t>
  </si>
  <si>
    <t>ALBARAN AV20/005466: MTS.CADENA GALVANIZADA DE 5.00mm (COLEGIOS)</t>
  </si>
  <si>
    <t>TRABAJOS DE SOLDADURA EN MAQUINARIA Y VEHICULOS.</t>
  </si>
  <si>
    <t>CONTRATO MENOR DEL SERVICIO DE INSTALACIÓN Y MANTENIMIENTO DEL SISTEMA DE SEGURIDAD DEL CENTRO GALERÍAS VALLADOLID</t>
  </si>
  <si>
    <t>MANTENIMIENTO EQUIPOS ELECTRÓNICOS DE SEGURIDAD Y VIGILANCIA DE LAS DEPENDENCIAS DE POLIC.IA 2021.</t>
  </si>
  <si>
    <t>MANTENIMIENTO SEGURIDAD EN LOS EDIFICIOS MUNICIPALES AÑO 2021</t>
  </si>
  <si>
    <t>2021 07 1711 22106</t>
  </si>
  <si>
    <t>SUMINISTRO DE PRODUCTOS FARMACEUTICOS.</t>
  </si>
  <si>
    <t>DOSICO-DISPENS PAPEL ESTANDA INOX (1) //////  DESTINO: BIBLIOTECA CC J.L MOSQUERA</t>
  </si>
  <si>
    <t>2021 05 4314 22602</t>
  </si>
  <si>
    <t>CAMPAÑA VALLADOLID CIUDAD PROXIMA EN EL DÍA DE VALLADOLID. ACUERDO MARCO DE INSERCIONES EN MEDIOS DE COMUNICACIÓN</t>
  </si>
  <si>
    <t>ADQUISICIÓN DE TODO TIPO DE PINTURA PARA EL MANTENIMIENTO DE EDIFICIOS ADSCRITOS AL ÁREA DE URBANISMO</t>
  </si>
  <si>
    <t>2021 05 4314 22104</t>
  </si>
  <si>
    <t>UNIFORMES COSTA DEL SOL SL</t>
  </si>
  <si>
    <t>SUMINISTRO DE VESTUARIO PARA VIGILANTES DE MERCADOS: ZAPATOS</t>
  </si>
  <si>
    <t>MATERIAL OFICINA, PAPELERIA PARA EL CENTRO DE FORMACION PARA EL EMPLEO DURANTE 2021</t>
  </si>
  <si>
    <t>2021 07 1721 22103</t>
  </si>
  <si>
    <t>PRORROGA AÑO 2021 CONTRATO SUMINISTRO GASOLINA 95º</t>
  </si>
  <si>
    <t>REPARACION DE MAQUINARIA DEL SERVICIO DE PARQUES Y JARDINES.</t>
  </si>
  <si>
    <t>MARÍA DEL CARMEN PORRAS  LUQUE</t>
  </si>
  <si>
    <t>IMPORTE 10 CERTIFICADOS MÉDICOS PARA MANEJO DE DRONES PARA  PERSONAL DE POLICÍA QUE HA REALIZADO EL CURSO CORRESPONDIENT</t>
  </si>
  <si>
    <t>CTTO MANTENIMIENTO SISTEMAS DE SEGURIDAD ESCUELAS INFANTILES, CASAS DE NIÑOS/AS, EDUCACIÓN DE ADULTOS 2021.</t>
  </si>
  <si>
    <t>TATO IMPERMEABILIZACIONES, S.L.</t>
  </si>
  <si>
    <t>LIMPIEZA CANALONES DEL CPM ZONA ESTE- DURACION 1 DIA</t>
  </si>
  <si>
    <t>2021 01 9206 22799</t>
  </si>
  <si>
    <t>CONTRATO DE RECOGIDA DE PAPEL PARA RECICLAR Y PARA DESTRUIR, CON CERTIFICADO MENSUAL, DE ENERO A DICIEMBRE DE 2021.</t>
  </si>
  <si>
    <t>2ª PRÓRROGA CONTRATO SERVICIO DE TELECOMUNICACIONES EXPTE. P-26/2014. LOTE Nº 2 . 1º SEMESTRE 2021 POLICIA MUNICIPAL.</t>
  </si>
  <si>
    <t>PRÓRROGA CONTRATO TELEFONÍA MÓVIL, LOTE 2, DE ENERO A JUNIO</t>
  </si>
  <si>
    <t>2021 01 9203 22103</t>
  </si>
  <si>
    <t>PREVISION GASTO SUMINISTRO GASOLINA AÑO 2021, R.I.</t>
  </si>
  <si>
    <t>VACODE, S.A.</t>
  </si>
  <si>
    <t>SIETE ESTUFAS HALOGENAS PARA LA OFICINA N 29 DE SAN BENITO- INICITIVAS SOCIALES- DURACION 1 DIA</t>
  </si>
  <si>
    <t>2021 10 2311 633</t>
  </si>
  <si>
    <t>Compra de lavadora para el Centro Integrado (actual albergue municipal) ENERO 2021</t>
  </si>
  <si>
    <t>VESTUARIO LOTE 2 2021 P CIUDADANA</t>
  </si>
  <si>
    <t>2021 10 2312 223</t>
  </si>
  <si>
    <t>PEDRO MONJE BARROS</t>
  </si>
  <si>
    <t>MOVILIZACION DE MOBILIARIO, ARCHIVOS, ETCC ENTRE LA PLANTA BAJA Y LA PRIMERA PLANTA DEL CPM RONDILLA</t>
  </si>
  <si>
    <t>Suministro de productos higiénicos para Centro Integrado. 2021 COVID-19</t>
  </si>
  <si>
    <t>2021 03 9241 22110</t>
  </si>
  <si>
    <t>COVID-19: SUMINISTRO DE DETERGENTE DESINFECTANTE PARA CENTROS SERVICIO PARTICIPACIÓN CIUDADANA</t>
  </si>
  <si>
    <t>2021 01 9205 213</t>
  </si>
  <si>
    <t>OPQ SYSTEMS MAQUINARIA GRAFICA, S.L.</t>
  </si>
  <si>
    <t>ADJUDICACIÓN REPARACIÓN MÁQUINA ALZADORA DE LA IMPRENTA MUNICIPAL</t>
  </si>
  <si>
    <t>SANT FELIU DE LLOBREGAT</t>
  </si>
  <si>
    <t>PABLO LUIS GARCÍA ZAMORA</t>
  </si>
  <si>
    <t>SUSCRIPCIÓN BASES DE DATOS INFORMACIÓN CONCURSAL: ""USUARIO PROFESIONAL"" E ""INFORME DIARIO"". DE AGOSTO 2021 A AGOSTO 2022</t>
  </si>
  <si>
    <t>REPARACIÓN VEHÍCULOS DE POLICÍA (ACUERDO MARCO EN TRAMITACIÓN.</t>
  </si>
  <si>
    <t>PAULA DOMINGO ALONSO</t>
  </si>
  <si>
    <t>Confecció de 150 ejemplares de libros de las ORDENANZAS FISCALES 2021</t>
  </si>
  <si>
    <t>2021 02 1511 22706</t>
  </si>
  <si>
    <t>PEDRO JOSÉ  MANZANO ORTEGA</t>
  </si>
  <si>
    <t>Infografías proyecto nuevo Parque Agroalimentario</t>
  </si>
  <si>
    <t>SILICON RADIO, S.L.</t>
  </si>
  <si>
    <t>ENTREVISTA PARA EXPLICAR LAS MEDIDAS DE PROMOCION Y APOYO AL DESARROLLO ECONOMICO, EN RADIO INTERECONOMIA, DIFUS. NACION</t>
  </si>
  <si>
    <t>ROYALJUEZ S.L.</t>
  </si>
  <si>
    <t>Contrato menor labores impermeabilización y sellado de chimenea de Galerías Valladolid</t>
  </si>
  <si>
    <t>2021 10 2311 215</t>
  </si>
  <si>
    <t>PRORROGA CTTO SERVICIO REPARACION DE PRODUCTOS DE APOYO A LAS PERSONAS USUARIAS DE SAD HASTA JUNIO 2021</t>
  </si>
  <si>
    <t>2021 10 2412 22699</t>
  </si>
  <si>
    <t>MATERIAL SANITARIO PARA EL CURSO DE V. CUIDA IV DEL C. DE FORMACION PARA EL EMPLEO DEL 15 DE FEBRERO AL 14 DE AGOSTO2021</t>
  </si>
  <si>
    <t>2021 06 3261 22103</t>
  </si>
  <si>
    <t>CONTRATO SUMINISTRO DE GASOLEO. SUMINISTRO CENTRALIZADO. AÑOS 2021 Y 2022. VEHICULO VINCULADO A LA CONCEJALIA EDUCACION</t>
  </si>
  <si>
    <t>TECNICAS DEL FUEL, S.L.</t>
  </si>
  <si>
    <t>CONTRATO DE MANTENIMIENTO DE HORNO INCINERADOR DEL CMPA AÑO 2021</t>
  </si>
  <si>
    <t>PRORROGA CONTRATO SUMINISTRO GASOLINA 95º VEHÍCULOS DEL SERVICIO DE SALUD Y CONSUMO AÑO 2021. EXPTE. SE 18/2018</t>
  </si>
  <si>
    <t>MANTENIMIENTO ASCENSOR ( ORONA) DEL CPM RONDILLA DE ENERO A NOVIEMBRE DE 2021</t>
  </si>
  <si>
    <t>STRATO, S.L.</t>
  </si>
  <si>
    <t>CONTROL ARQUEOLÓGICO ANEXO A EJECUCIÓN DE INTERVENCIONES DEL PROYECTO URBAN GREENUP INTEGRADAS EN EL CORREDOR VERDE</t>
  </si>
  <si>
    <t>Servicio de Celaduría en el Centro Municipal de la Igualdad del Ayuntamiento de Valladolid // MES DICIEMBRE 2020</t>
  </si>
  <si>
    <t>SUMINISTRO DE VARIAS REVISTAS PARA LAS BIBLIOTECAS MUNICIPALES. AÑO 2021</t>
  </si>
  <si>
    <t>ZARDOYA OTIS, S.A.</t>
  </si>
  <si>
    <t>ADJ.. EXPTE. MANTENIMIENTO ASCENSORES LOTE 3</t>
  </si>
  <si>
    <t>PRIMERA PRORROGA Contrato Conserv.Reparación y Reforma de Infraestructuras en el municipio de Valladolid. Lote 1.-</t>
  </si>
  <si>
    <t>MANTENMIENTO MÁQUINA LIMPIEZA PIEZAS TALLER  MECANICO DEL SERVICIO DE LIMPIEZA</t>
  </si>
  <si>
    <t>Suministro contenedores residuos biológicos (agujas y jeringas). AÑO 2021. SERVICIO DE PREVENCIÓN Y SALUD LABORAL</t>
  </si>
  <si>
    <t>MRBYTE TECH SOLUTIONS, S.L.</t>
  </si>
  <si>
    <t>CONTRATACIÓN DE 10 LICENCIAS DE LA APLICACIÓN FILEMAKER CON DESTINO EL SERVICIO DE EXTINCIÓN DE INCENDIOS</t>
  </si>
  <si>
    <t>CONTINUACIÓN EJEC. CONTR. SEGUROS VARIOS RAMOS AYTO VALL Y OTRAS ENTS SECTOR PÚB.-LOTE 1 Resp Civil  -Enero a Marzo 2021</t>
  </si>
  <si>
    <t>ACTUALIZACIÓN PRIMA AMPLIACIÓN SEGURO RESPONSABILIDAD CIVIL (LOTE 1) AYUNTAMIENTO-Enero a Marzo 2021 (Exp. 93/2016 PS 14</t>
  </si>
  <si>
    <t>WILLIS IBERIA CORREDURIA DE SEGUROS Y REASEGUROS, S.A.</t>
  </si>
  <si>
    <t>Póliza seguro ACC_PROTECCION CIVIL VOLUNTARIOS REN 2020-21</t>
  </si>
  <si>
    <t>TRABAJOS DE CONTROL DE CALIDAD EN CONTRATOS DE MOVILIDAD URBANA</t>
  </si>
  <si>
    <t>2021 03 9241 625</t>
  </si>
  <si>
    <t>COORDINACION SEGURIDAD Y SALUD REFORMA COCINA CC ZONA SUR JUAN DE AUSTRIA</t>
  </si>
  <si>
    <t>Coordinación Seguridad y Salud en Obras de remodelación del alumbrado público de la zona Plaza del Ejército.-</t>
  </si>
  <si>
    <t>2021 02 1511 609</t>
  </si>
  <si>
    <t>ESTUDIO GEOTÉCNICO INMEDIACIONES DE LAS ACEÑAS DEL PUENTE MAYOR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</si>
  <si>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</si>
  <si>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</si>
  <si>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</si>
  <si>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ADJUDICAR CONTRATO DE  REURBANIZACIÓN LOTE IV DEL  ARU 29 DE OCTUBRE FASE II (EXPTE. 5/19)</t>
  </si>
  <si>
    <t>ADJUDICAR CONTROL CALIDAD LOTE IV REURBANIZACIÓN  FASE II ARU 29 DE OCTUBRE(EXPTE.5/19)</t>
  </si>
  <si>
    <t>ADJUDICAR SEGURIDAD Y SALUD LOTE IV REURBANIZACIÓN  FASE II ARU 29 DE OCTUBRE (EXPTE.5/19)</t>
  </si>
  <si>
    <t>HUIDOBRO DE GASOLEOS, S.L.</t>
  </si>
  <si>
    <t>GASOLEO A ( 1.700  ) /// MES OCTUBRE DE 2020;SERVICIO DE EXTINCIÓN DE INCENDIOS, SALVAMENTO Y PROTECCIÓN CIVIL.</t>
  </si>
  <si>
    <t>RUBENA</t>
  </si>
  <si>
    <t>Contrato de conservación Vías Públicas. Lote 1. Actuaciones de Presupuestos Participativos 2020.-</t>
  </si>
  <si>
    <t>CONTROL DE CALIDAD. Contrato Conservación de Vías Públicas. Lote 1. Presupuestos Participativos de 2020.-</t>
  </si>
  <si>
    <t>COORDINACIÓN SEGURIDAD Y SALUD.Contrato conservación Vías Públicas.Lote 1. Ptos. Participativos 2020.-</t>
  </si>
  <si>
    <t>SUMINSITRO VEHÍCULO RECOLECTOR RECOGIDA CARGA TRASERA 13 M3 CAPACIDAD (LOTE 2)</t>
  </si>
  <si>
    <t>CONTROL DE CALIDAD DE LA OBRA: CONSTRUCCION NUEVA DEL CPM PARQUESOL CON U.ESTANCIAS DIURNAS-AÑO 2020-DURACION 2020-2022</t>
  </si>
  <si>
    <t>CONTROL CALIDAD REFORMA BAÑOS CIC EL EMPECINADO</t>
  </si>
  <si>
    <t>INSTITUTO DE SALUD CARLOS III</t>
  </si>
  <si>
    <t>CALIBRACION ANUAL DE PATRON DE OZONO DE LA RCCVA. SERVICIO DE MEDIO AMBIENTE</t>
  </si>
  <si>
    <t>2021 07 1701 224</t>
  </si>
  <si>
    <t>POLIZA SEGURO DE HUERTOS ECOLOGICOS PARA DESEMPLEADOS PERIODO 2021.</t>
  </si>
  <si>
    <t>2021 11 1621 22706</t>
  </si>
  <si>
    <t>SERVICIO COORDINACION SEGURIDAD Y SALUD OBRAS INSTALACION TORRES CARGA VEHICULOS ELECTRICOS Sº LIMPIEZA</t>
  </si>
  <si>
    <t>2021 09 3341 22200</t>
  </si>
  <si>
    <t>PRÓRROGA DEL CONTRATO DE SUMINISTRO DEL S. DE TELECOMUNICACIONES DEL AYUNTAMIENTO DE VALLADOLID-GASTO ÁREA CULTURA</t>
  </si>
  <si>
    <t>SUMINSITRO VEHICULOS: 3 VEHÍCULOS RECOGIDA CARGA LATERAL (LOTE 1) PARA EL SERVICIO DE LIMPIEZA</t>
  </si>
  <si>
    <t>Suministro de mascarillas publicitarias para su difusión en II Congreso Internac. de Territorios de la Memoria / 1 DIA</t>
  </si>
  <si>
    <t>TEKNOKROMA ANALITICA, S.A.</t>
  </si>
  <si>
    <t>FILTROS PARA ELIMINAR HIDROCARBUROS DE LAS BOTELLAS ALIMENTACION EQUIPOS DEL LABORATORIO DE LA RCCVA. SERVICIO MEDIO AMB</t>
  </si>
  <si>
    <t>SAN CUGAT DEL VALLES</t>
  </si>
  <si>
    <t>2021 11 1631 204</t>
  </si>
  <si>
    <t>SERVICIOS DE GRUAS PARA TRASLADO DE VEHÍCULOS AVERIADOS DEL SERVICIO DE LIMPIEZA VIARIA</t>
  </si>
  <si>
    <t>TRANSPORTE DE MATERIAL DE LA RED. SERVICIO MEDIO AMBIENTE</t>
  </si>
  <si>
    <t>2021 08 1532 622</t>
  </si>
  <si>
    <t>DYNAQUA MEDIO AMBIEBNTE, S.L.</t>
  </si>
  <si>
    <t>LOTE 1: EDIFICACION. Redacción Proyecto construcción FASE II de instalaciones municipales del SEPI. Expte. 19/2019 SEMEU</t>
  </si>
  <si>
    <t>LOTE 2: URBANIZACION. Redacción Proyecto construcción FASE II de instalaciones municipales del SEPI, Expte. 19/2019 SEME</t>
  </si>
  <si>
    <t>CONTROL CALIDAD OBRA INSONORIZACIÓN DOS SALAS CC JOSE MARIA LUELMO</t>
  </si>
  <si>
    <t>CONTROL CALIDAD OBRA INSONORIZACION SALA ASOCIACION FAMILIAR DELICIAS</t>
  </si>
  <si>
    <t>PRORROGA DE CONTRATO DE SUMINISTRO DE GASOLINA 95 DEL 1 DE ENERO AL 31 DE DICIEMBRE DE 2021 PARA SEIS  Y PC.</t>
  </si>
  <si>
    <t>Control de Calidad en  Obras de renovación de la instalación de alumbrado por tecnología LED en Poligono San Cristóbal.-</t>
  </si>
  <si>
    <t>SERVICIO DE COORDINACIÓN DE SEGURIDAD Y SALUD EN OBRAS DE  URBANIZACIÓN DE LA CALLE ARALIA.-</t>
  </si>
  <si>
    <t>GMM INGENIERIA Y ARQUITECTURA, S.L.</t>
  </si>
  <si>
    <t>GASTOS ARQUITECTO CONTRATO OBRA CONSTRUCCION LAVADERO VEHICULOS PARA EL SERVICIO DE LIMPIEZA</t>
  </si>
  <si>
    <t>GUTI DE GUTIERREZ S.L.U.</t>
  </si>
  <si>
    <t>GASTOS APAREJADOR CONTRATO OBRA CONSTRUCCION LAVADERO VEHICULOS ARA EL SERVICIO DE LIMPIEZA</t>
  </si>
  <si>
    <t>2021 07 1721 22706</t>
  </si>
  <si>
    <t>MANTENIMIENTO SERVICOR Y LICENCIA INFORMATICA APP VALLAAIRE. SERVICIO DE MEDIO AMBIENTE</t>
  </si>
  <si>
    <t>INGENIERIA INTEGRAL DE PROYECTOS ABCONSULTORES S.L.</t>
  </si>
  <si>
    <t>GASTOS DIRECCIÓN OBRA CONSTRUCCION LAVADERO VEHICULOS PARA EL SERVICIO DE LIMPIEZA</t>
  </si>
  <si>
    <t>REALIZACION DE LA AUDITORIA INTERNA DE LA RCCVA. SERVICIO MEDIO AMBIENTE.</t>
  </si>
  <si>
    <t>SUSCRIPCIÓN A VARIAS REVISTAS PARA LA BIBLIOTECAS MUNICIPALES. AÑO 2021</t>
  </si>
  <si>
    <t>Estudio y modificación actualización del proyecto de la segunda fase reforma del Parque de Bomberos de Canterac; SEISYPC</t>
  </si>
  <si>
    <t>2021 01 9203 22699</t>
  </si>
  <si>
    <t>LUIS SANTIAGO  PARDO</t>
  </si>
  <si>
    <t>PLACA CON PLANO Y TEXTO IGLESIA PENITENCIAL DE JESUS</t>
  </si>
  <si>
    <t>SERVICIO DE LIMPIEZA GENERAL EN EL CM SANTIAGO LÓPEZ</t>
  </si>
  <si>
    <t>2021 06 2314 22613</t>
  </si>
  <si>
    <t>DISEÑO, MAQUETACIÓN Y ARTE DEL IV PLAN DE JUVENTUD / 1 DÍA</t>
  </si>
  <si>
    <t>Servicio de CONTROL DE CALIDAD EN OBRAS DE  URBANIZACIÓN CALLE COSTA RICA.-</t>
  </si>
  <si>
    <t>Coordinación SEG y SALUD  Obras de renovación instalación de alumbrado por tecnología LED en Poligono San Cristóbal.-</t>
  </si>
  <si>
    <t>REDAC.PROYECTO CONSTRUCCIÓN DE ACERA Y CARRIL BICI EN CTRA. DE FUENSALDAÑA, INCLUIDO ESTUDIO GEOTÉCNICO (LOTE I)</t>
  </si>
  <si>
    <t>REDAC.PROYECTO URBANIZACIÓN CAMINO VIEJO DE SIMANCAS (LOTE II)</t>
  </si>
  <si>
    <t>REDAC. PROYECTO MEJORA SEGURIDAD VIAL CARRETERA DE MADRID (LOTE III)</t>
  </si>
  <si>
    <t>SUMINISTRO DIARIO DE PRENSA PARA ALCALDÍA, GABINETE DE GOBIERNO Y MEDIOS DE COMUNICACIÓN - AÑO 2021</t>
  </si>
  <si>
    <t>ADJ.LOTE 2 REDAC. PROYECTO  REURBANIZACIÓN CALLE DANIEL DEL OLMO Y PRIMER TRAMO AVDA. NORTE CASTILLA</t>
  </si>
  <si>
    <t>SUMINISTRO PRODUCTO HIGIENE-BOBINAS PAPEL SECAMANOS- PARA CEAS. COVID-19</t>
  </si>
  <si>
    <t>GRUPO RENDER INDUSTRIAL INGENIERIA Y MONTAJES, S.L.</t>
  </si>
  <si>
    <t>ADJ.REDAC.ESTUDIO TECNICO DE REV.,ACTUAC., Y REFORMA INSTALACIONES GENERALES EDIFICIO C. CONSISTORIAL (LOTE 1)</t>
  </si>
  <si>
    <t>NAVALMORAL DE LA MATA</t>
  </si>
  <si>
    <t>CACERES</t>
  </si>
  <si>
    <t>RUNITEK INGENIEROS, S.L.P.</t>
  </si>
  <si>
    <t>ADJ.REDAC.ESTUD.TÉCNICO DE REV., ACTUAL. Y REFORM. INSTALAC.GENERALES EDIFICIO MUNICIPAL SAN BENITO(LOTE 2)</t>
  </si>
  <si>
    <t>CORVERA</t>
  </si>
  <si>
    <t>REUQAV INGENIEROS S.L.</t>
  </si>
  <si>
    <t>ADJ. REDAC.ESTUD.TÉCNICO DE REVIS., ACTUAL. Y REFORMA INSTAL.GENERALES DEL  EDIFICIO ARCHIVO MUNICIPAL(LOTE 3)</t>
  </si>
  <si>
    <t>CONTROL DE CALIDAD.OBRA DE SUSTITUCIÓN DE LAS CARPINTERÍAS DEL CLAUSTRO DE SAN BENITO DE VALLADOLID (EXPTE. 26/2019)</t>
  </si>
  <si>
    <t>Servicio de SEGURIDAD Y SALUD EN OBRAS DE  URBANIZACIÓN CALLE COSTA RICA.-</t>
  </si>
  <si>
    <t>2021 10 2311 632</t>
  </si>
  <si>
    <t>REFORMA BAÑOS CENTRO INTEGRADO-ALBERGUE</t>
  </si>
  <si>
    <t>REFORMA BAÑOS CENTRO INTEGRADO - ALBERGUE</t>
  </si>
  <si>
    <t>VARIAS INTERVENCIONES ELECTRICAS EN LA RED DE CONTROL ATMOSFERICO. SERVICIO DE MEDIO AMBIENTE</t>
  </si>
  <si>
    <t>SEGURIDAD Y SALUD .OBRA DE SUSTITUCIÓN DE LAS CARPINTERÍAS DEL CLAUSTRO DE SAN BENITO DE VALLADOLID (EXPTE. 26/2019)</t>
  </si>
  <si>
    <t>INSPECCIÓN PERIÓDICA INSTALACIONES ELÉCTRICAS DE BAJA TENSIÓN DE POLICÍA MUNICIPAL EJERCICIO 2021.</t>
  </si>
  <si>
    <t>EXPTE. 10S-SS-55/20. CONTROL DE CALIDAD. OBRA NUEVA. BIBLIOTECA EN PARCELA 143-F DE PARQUESOL</t>
  </si>
  <si>
    <t>EXPTE. 10S-SS-55/20. ESTUDIO DE SEGURIDAD Y SALUD. OBRA NUEVA. BIBLIOTECA EN PARCELA 143-F DE PARQUESOL</t>
  </si>
  <si>
    <t>COORDINACION DE SEGURIDAD Y SALUD ACTUACIÓN EN ENVOLVENTE DEL EDIFICIO DISTRITO 4º POLICÍA MUNICIPAL . CTRA. RUEDA.</t>
  </si>
  <si>
    <t>STORES , 10 UNIDADES PARA LA ZONA DE LAS E. DIURNAS DEL CPM ARCA REAL-DURACION 1 DIA</t>
  </si>
  <si>
    <t>2021 07 1721 623</t>
  </si>
  <si>
    <t>SUMINISTRO BOMBA DE ALTA EFICIENCIA</t>
  </si>
  <si>
    <t>Alquier de un vehículo todo-camino durante 4 meses, hasta que se materialice la compra definitiva del citado vehículo.-</t>
  </si>
  <si>
    <t>LOTE 1.-LADERA NORTE:  IFS-2019 Redaccion de proyecto Instalación Elevadores Urbanos en Barrio de Parquesol.-</t>
  </si>
  <si>
    <t>LOTE 2.-LADERA ESTE: IFS-2019 Redacción de proyecto Instalación Elevadores Urbanos en Barrio de Parquesol.-</t>
  </si>
  <si>
    <t>SERV. TRANSP. ENTREGA-RECOGIDA DE MOBILIARIO /// EN AAVV. STOS PILARICA- Bº GIRON- PARQUE  RONDILLA //  AÑO 2020</t>
  </si>
  <si>
    <t>COORDINACIÓN DE SEGURIDAD Y SALUD REFORMA EDIFICIO JEFATURA DE POLICÍA MUNICIPAL. FASE 1ª.</t>
  </si>
  <si>
    <t>COORDINACION SEGURIDAD Y SALUD, ARREGLO PASEOS AVDA. SALAMANCA Y ESCALERAS ACCESO A PARQUE MEDIODIA.</t>
  </si>
  <si>
    <t>SERVICIO DE MANTENIMIENTO DE LOS SISTEMAS DE SEGURIDAD Y ALARMA DE LA CÚPULA DEL MILENIO (1 AÑO)</t>
  </si>
  <si>
    <t>Servicio de Celaduría prestado en el Centro Municipal de la Igualdad durante los meses de enero y febrero / 2 MESES</t>
  </si>
  <si>
    <t>SUSTITUCIÓN CARPINTERÍA EXTERIOR DE VENTANAS DE LA BIBLIOTECA DEL CC PILARICA</t>
  </si>
  <si>
    <t>Diseño de cartelería para Campaña de Igualdad 8M / 1 DÍA</t>
  </si>
  <si>
    <t>DISEÑO Y MAQUETACIÓN DIGITAL DE CARTELES Y CARPETAS DE LAS MUESTRAS DE TEATRO VECINAL Y CULTURA TRADICIONAL 2021</t>
  </si>
  <si>
    <t>2021 08 1651 22700</t>
  </si>
  <si>
    <t>Limpieza de las dependencias del Centro de Alumbrado Público. AÑOS 2021 y 2022.-</t>
  </si>
  <si>
    <t>REALIZACION CATALOGO LOCALIZACIONES COMO ESPACIOS DE RODAJE DISPONIBLES PARA PRODUCTORAS QUE RUEDEN EN VALLADOLID. 2021</t>
  </si>
  <si>
    <t>Contrato menor mantenimiento instalación control acceso edificios Archivo Mpal ejercicio 2021</t>
  </si>
  <si>
    <t>Adqusiicon vacunas GSK de Hepatitis B y Tétanos para revacunar a empleados del Ayto. Departamento de Preevención y Salud</t>
  </si>
  <si>
    <t>2021 06 3321 625</t>
  </si>
  <si>
    <t>BELLA PROPORZIONE, SL</t>
  </si>
  <si>
    <t>ADQUISICIÓN ESTANTERÍAS CON DESTINO A LOS PUNTOS DE LECTURA</t>
  </si>
  <si>
    <t>2021 01 9205 623</t>
  </si>
  <si>
    <t>DIMINSA SOCIEDAD LIMITADA</t>
  </si>
  <si>
    <t>ADJUDICACIÓN SUMINISTRO MÁQUINA TRASPALETA ELÉCTRICA CON ELEVACIÓN PARA LA IMPRENTA</t>
  </si>
  <si>
    <t>CONTROL DE CALIDAD ACTUACIÓN EN ENVOLVENTE DEL EDIFICIO DISTRITO 4º POLICÍA MUNICIPAL . CTRA. RUEDA.</t>
  </si>
  <si>
    <t>COORDINACION SEGURIDAD Y SALUD, EJECUCION CORREDOR VERDE ENTRE COVARESA Y PINAR DE ANTEQUERA.</t>
  </si>
  <si>
    <t>2021 04 3121 22799</t>
  </si>
  <si>
    <t>Calibraciones equipos médicos. Departamento de Prevención y Salud Laboral</t>
  </si>
  <si>
    <t>SERVICIOS DE LIMPIEZA DE FOSA SEPTICA DEL VESTUARIO DE ZONA DE ""PAQUE MORERAS"" AÑO 2021</t>
  </si>
  <si>
    <t>ADQUISICIÓN DE KITS DETECTORES DE DROGAS Y TUBOS DE ENSAYO PARA TRASLADO.</t>
  </si>
  <si>
    <t>2021 08 1341 22103</t>
  </si>
  <si>
    <t>Gasolina vehículos CMU AÑO 2021</t>
  </si>
  <si>
    <t>INGENIERÍA ROMÁNICA, S.L.</t>
  </si>
  <si>
    <t>OBRAS DE URBANIZACIÓN DE LA CALLE ARALIA.-</t>
  </si>
  <si>
    <t>1200 GUIAS, 1200 FOLLETOS, 1 ROLL-UP EN LONA, 60 CARTELES, 10 MASCARILLAS A COLOR. PRESENTACION PRESUPUESTOS PPTVOS.</t>
  </si>
  <si>
    <t>MANTENIMIENTO ASCENSOR EDIFICIO DISTRITO TERCERO DE POLICIA 2021.</t>
  </si>
  <si>
    <t>MANTENIMIENTO DE SISTEMA DE SEGURIDAD Y VIDEO VIGILANCIA EN CFE JACINTO BENAVENTE DURANTE EL AÑO 2021</t>
  </si>
  <si>
    <t>SEGUIMIENTO ARQUEOLOGICO TRABAJOS INVESTIGACIÓN GEOFÍSICA SUBSUELO DEL LOCAL SITO EN CALLE CONSTITUCIÓN, 10 - 4 MESES</t>
  </si>
  <si>
    <t>HIGINIO LÓPEZ BURGUEÑO</t>
  </si>
  <si>
    <t>INSTALACIÓN ELÉCTRICA EN PISTA DEPORTIVA CM LA OVERUELA</t>
  </si>
  <si>
    <t>CISTÉRNIGA</t>
  </si>
  <si>
    <t>SUMINISTRO DE PLATAFORMAS ELEVADORAS PARA PROCEDER A LAS REPARACIONES DE TEJADOS Y CANALONES EN CEIP PÚBLICOS. 10 MESES.</t>
  </si>
  <si>
    <t>2021 04 9209 625</t>
  </si>
  <si>
    <t>ADQUISICIÓN DE MOBILIARIO CON DESTINO AL DEPARTAMENTO DE PREVENCIÓN Y SALUD LABORAL (3 TABURETES ALTOS).</t>
  </si>
  <si>
    <t>HEWLETT-PACKARD INTERNATIONAL BANK PLC.</t>
  </si>
  <si>
    <t>ALQUILER PLOTTER ESCANER SERVICIO CARTOGRAFÍA</t>
  </si>
  <si>
    <t>TRIBUNA CONTENIDOS DIGITALES, S.L.</t>
  </si>
  <si>
    <t>COVID-19: INSERTAR PUBLICIDAD EN REVISTA MÁS TRIBUNA EFECTOS PANDEMIA EN CASTILLA Y LEÓN UN AÑO DESPUÉS</t>
  </si>
  <si>
    <t>INSTALACION TERMICA DE CLIMATIZACIÓN DEL ARCHIVO MUNICIPAL</t>
  </si>
  <si>
    <t>PRÓRROGA LOTE 7 (DEL 27/02/21 AL 30/04/21) CONTRATO MANTENIMIENTO ALARMAS CENTROS SPC</t>
  </si>
  <si>
    <t>SUMINISTRO DE MATERIALES DE OFICINA PARA LAS BIBLIOTECAS MUNICIPALES. PLAZO 1 AÑO.</t>
  </si>
  <si>
    <t>MERCEDES PEREDA  RUIZ</t>
  </si>
  <si>
    <t>SERV. TECN. REDACCIÓN PROYECTO EJECUCIÓN REFORMA Y AMPLIACIÓN VESTUARIOS EDIF. ANEXO DEPEND.  DISTRITO 4º POLICÍA.</t>
  </si>
  <si>
    <t>AC MARCO EXP. V36-2017: SUMINISTROS ELÉCTRICOS PARA LIMPIEZA VIARIA</t>
  </si>
  <si>
    <t>Mantenimiento Instalaciones Edificio Santa Ana - LOTE 4 (Nº EXPTE: 11/2020) // MES DICIEMBRE 2020</t>
  </si>
  <si>
    <t>Mantenimiento Equipos de aire acondicionado Archivo municipal - LOTE 3 (EXPTE: 11/2020) // MES DICIEMBRE</t>
  </si>
  <si>
    <t>AC MARCO EXP. V36-2017 MATERIAL ELELCTRICO PARA PUNTO LIMPIO SITO EN C/ VALLE DE ARN</t>
  </si>
  <si>
    <t>BALIZA LED ZEMPER VIGIA NP 5LM 3H LVA-0011 ALUMINIO ( 6 UNIDADES ) /// DESTINO: BIBLIOTECA ZONA ESTE</t>
  </si>
  <si>
    <t>A.M V.36/2017 OTRO SUMINISTROCONGE HORIZ EDESA EZH2014 / BASE GEW GW66208N 3P+T 16A 415V 6H VERT. IP67 (DEPÓSITO CANINO)</t>
  </si>
  <si>
    <t>AM V.36/2017 CERRADURA TESA 2030 60 RHN 1/2 (1 UNIDAD)   /  DESTINO: PISO EUSEBIO GONZALEZ, Nº 12</t>
  </si>
  <si>
    <t>SUMINISTRO REPUESTOS REPARACION EQUIPOS RECOLECTORES MODELO GEESINK VEHÍCULOS Sº LIMPIEZA</t>
  </si>
  <si>
    <t>2021 07 1711 22113</t>
  </si>
  <si>
    <t>PRODUCTOS DE ALIMENTACIÓN ANIMAL.</t>
  </si>
  <si>
    <t>2021 06 3232 22104</t>
  </si>
  <si>
    <t>CONTRATO CENTRALIZADO VESTUARIO. PORTEROS COLEGIOS PUBLICOS. AÑO 2021. LOTE 2. CALZADO</t>
  </si>
  <si>
    <t>VESTUARIO DE TRABAJO PARA EL PERSONAL DEL SERVICIO DE SALUD Y CONSUIMO - LOTE 2 CALZADO</t>
  </si>
  <si>
    <t>CONTRATO VESTUARIO AÑO 2021 (CONTRATO 20 Y 21) SERV.INTERVENCION SOCIAL. LOTE 2 CALZADO</t>
  </si>
  <si>
    <t>VESTUARIO LOTE 2 ZAPATOS DE LOS CPM TRANSFERIDOS PARA EL AÑO 2021</t>
  </si>
  <si>
    <t>VESTUARIO, LOTE2, ZAPATOS DE LOS CPM SIN TRANSFERIR PARA 2021</t>
  </si>
  <si>
    <t>SUMINISTRO REPUESTOS ELECTRONOCOS REPARACION RECOLECTORES VEHICULOS Sº LIMPIEZA</t>
  </si>
  <si>
    <t>2021 05 4331 22606</t>
  </si>
  <si>
    <t>CONTRATO DE ORGANIZACIÓN, GESTIÓN COORDINACIÓN Y EJECUCIÓN DE JORNADA ONLINE DE METABOLISMO URBANO Y DINAMIZACION EMPRES</t>
  </si>
  <si>
    <t>MANTENIMIENTO ASCENSOR INSTALACIONES SERVICIO DE LIMPIEZA C/ TOPACIO, 63 AÑO 2021</t>
  </si>
  <si>
    <t>REPARACIONES DE LOS EQUIPOS DE AGUA ULTRAPURA DEL LABORATORIO. SERVICIO DE MEDIO AMBIENTE</t>
  </si>
  <si>
    <t>PINTURAS BARRIENTOS, S.L.</t>
  </si>
  <si>
    <t>TRABAJOS DE PINTURA, MANO DE OBRA Y MATERIALES, EN CC RONDILLA (830 m2).</t>
  </si>
  <si>
    <t>SOLUCIONES EN PINTURA Y RESINAS,S.L.</t>
  </si>
  <si>
    <t>REPARACIÓN REVESTIMIENTO INFERIOR DEL FORJADO EXISTENTE SOBRE EL PÓRTICO ENTRADA CASA CONSISTORIAL</t>
  </si>
  <si>
    <t>DETECTAR AVERIA (FUGA DE AGUA) INSTALACIÓN CALEFACCIÓN EDIF.MUNICIPAL SAN BENITO (PUERTA 40).</t>
  </si>
  <si>
    <t>SANZ ROTULOS S.L.</t>
  </si>
  <si>
    <t>VINILADO LATERALES RECOLECTOR VEHICULOS SCANIA Y ROTULACIONES VEHCIULOS DEL SERVICIO DE LIMPIEZA</t>
  </si>
  <si>
    <t>VICTOR HUGO MARTIN CABALLERO</t>
  </si>
  <si>
    <t>CONTRATO REALIZACIÓN DE VIDEO Y BOOK FOTOGRAFÍAS</t>
  </si>
  <si>
    <t>MANTENIMIENTO DE INSTALACIONES CONTRA INCENDIOS DEL SERVICIO DE LIMPIEZA</t>
  </si>
  <si>
    <t>CONTRATO AYUDA A DOMICILIO-LOTE 2 COMIDAS SAD-COVID-19- AÑO 2021.</t>
  </si>
  <si>
    <t>DISEÑO Y MAQUETACIÓN DIGITAL DE CARTELES Y FLYERS DE LAS EXPOSICIONES PROGRAMADAS EN LOS 13 CENTROS CIVICOS AÑO 2021</t>
  </si>
  <si>
    <t>SE-EIJI 6/2020. P.S. 4- CONTRATO DINAMIZACIÓN ESPACIO JOVEN NORTE LOTE 1. REAJUSTE DE ANUALIDADES AÑO 2021</t>
  </si>
  <si>
    <t>F-766. ALPA. COPIAS COLOR Y NEGRO (460+4.384) / R319Z00988 -FC011347 / DE 01-10-120 A 31-12-20 / CEAS HOSPITAL PTA.BAJA</t>
  </si>
  <si>
    <t>Talleres de prev. de la intolerancia y los delitos de odio en Centros de Educación Sec. e Institutos. Enero a Mayo 2021</t>
  </si>
  <si>
    <t>F-688. ALPA. COPIAS M3655 / R4Q9Z32149 -FC011331 (3.671)  DE 01-10-20  A  04-01-21. CEAS BARRIO ESPAÑA</t>
  </si>
  <si>
    <t>F-694. ALPA. COPIAS M3655 / R4Q9Z32175 -FC011317 (9.273) / DE 01-10-20  A  04-01-21. CEAS HOSPITAL</t>
  </si>
  <si>
    <t>F-740. ALPA. COPIAS COLOR Y NEGRO/ R319Z00680 -FC011345 / DE 01-10-20 A 04-01-21/  CC JOSE LUIS MOSQUERA, PTA BJ (CEAS)</t>
  </si>
  <si>
    <t>ALQUILER KYOCERA 4053 /  RFC9X19495 - FC011379 /  CP JACINTO BENAVENTE // DE 01-10-20  A  31-12-20</t>
  </si>
  <si>
    <t>COPIAS M3655 / R4Q9Z32280 -FC011333 (10.510)/ DE 01-10-20 A 04-01-21/  CPM ZONA SUR PTA. BAJA</t>
  </si>
  <si>
    <t>CORRECTA APLICACION PAGO FRAS. POR ALQUILERES 4º TRIMESTRE,  FOTOCOPIADOS INTERVENCION  SOCIAL</t>
  </si>
  <si>
    <t>F-1843. SUMINISTROS GARCICHAO, S.L. 2 UD DISPENSADOR PAPEL ESTANDA INOX (CEAS SAN AGUSTÍN). 1 DIA</t>
  </si>
  <si>
    <t>MANTENIMIENTO, REPARACIONES ASIENTO MERIDIAN BLANCO DEL  CPM ZONA SUR Y  URINARIO DEL CPM DELICIAS-DURACION  1 DIA</t>
  </si>
  <si>
    <t>F-365. ALPA. ALQUILER TRIMESTRAL 01/10/2020 - 31/12/2020  N.SERIE: R4Q9Z32155 - FC011393. UBICACION: CAI</t>
  </si>
  <si>
    <t>Espumógeno Bio For N (620 l.) para extinción de incendios de clase A y B para intervenciones; SEISYPC.</t>
  </si>
  <si>
    <t>CORRECTA APLICACION PAGO FRAS, ALQUILER Y COPIAS CUARTO TRIMESTRE 2020, MAQUINAS INTERVENCION SOCIAL.</t>
  </si>
  <si>
    <t>EMERGEN LEGRAND / MARCO LEGRAND EMPOTRAR (CC PARQUESOL) / DETECTOR LEGRAND (CC J.LUIS MOSQUERA)</t>
  </si>
  <si>
    <t>GUANTE MONO USO SHOWA / GUANTE NITRILO BIODEG. / ZUECO UNISEX / BATA MUJER M/L /  MASCARILLA REUT ./ CLICK CARTUCHO. A.M</t>
  </si>
  <si>
    <t>CALEFACTOR SYP TL-39V VERTIC. IP21 (ACOPIOS)</t>
  </si>
  <si>
    <t>2021 10 2311 625</t>
  </si>
  <si>
    <t>PRORROGA CTTO INVERSION EN PRODUCTOS DE APOYO A LAS PERSONAS USUARIAS DE SAD-JUL A DIC</t>
  </si>
  <si>
    <t>REPARACION E INSTALACION DE NEUMATICOS, PARQUES Y JARDINES.</t>
  </si>
  <si>
    <t>SUMINISTRO MATERIAL PINTURA PARA EL SERVICIO DE LIMPIEZA</t>
  </si>
  <si>
    <t>MECANIZADO DE PIEZAS PARA RECOLECTORES Y BARREDORAS DEL SERVICIO DE LIMPIEZA</t>
  </si>
  <si>
    <t>REPARACIÓN DE VEHÍCULO DE POLICÍA MUNICIPAL (ACUERDO MARCO EN TRAMITACIÓN)</t>
  </si>
  <si>
    <t>REPARACIÓN VEHÍCULO 9447HMT DE POLICÍA MUNICIPAL (ACUERDO MARCO EN TRAMITACIÓN)</t>
  </si>
  <si>
    <t>REPARACIÓN VEHÍCULO 3999JKP (ACUERDO MARCO EN TRAMITACIÓN)</t>
  </si>
  <si>
    <t>SUMINISTRO REPUESTOS PARA REPARACION CAJAS DE CAMBIOS AUTOMATICAS MARCA ALLISON DE VEHICULOS DEL Sº LIMPIEZA</t>
  </si>
  <si>
    <t>MANTENIMIENTO E INSPECCIONES DE SEGURIDAD RADIOLÓGICA EN ESCANER DE PAQUETERÍA C. CONSISTORIAL 2021.</t>
  </si>
  <si>
    <t>HECTOR SIERRA  OCAÑA</t>
  </si>
  <si>
    <t>CONTRATO SERVICIO ADIESTRADOR/EDUCADOR CANINO EN CMPA</t>
  </si>
  <si>
    <t>TECOPY, S.A.</t>
  </si>
  <si>
    <t>CONTROL APLICACION DATLOGGER PARA SEGUIMIENTO INSTALACIONES AUTOCONSUMO CONTADORES DE 15 EDIFICIOS MUNICIPALES. SERV. MA</t>
  </si>
  <si>
    <t>PR-SE 100/2020. AMPLIACION CONTRATO LIMPIEZA, LOTE 6, COLEGIOS PUBLICOS. LIMPIEZAS EXTRAORDINARIAS COVID. 11/01 A 23/06</t>
  </si>
  <si>
    <t>ADJUDICACION CONTRATO GASÓLEO AÑO 2021 Y AÑO 2022 VEHICULOS UNIDAD DE REGIMEN INTERIOR</t>
  </si>
  <si>
    <t>Limpieza de batas, pijamas y sábanas de uso sanitario. Departamento de Prevención y Salud Laboral</t>
  </si>
  <si>
    <t>PRORROGA CTTO INVERSION EN PRODUCTOS DE APOYO A LAS PERSONAS USUARIAS DE SAD HASTA JUNIO 2021</t>
  </si>
  <si>
    <t>LIMPIEZA DEL HORMIGÓN DEL VALLADO EXTERIOR E HIDROFUGADO EN EDIFICIO DEL DISTRITO 4º.</t>
  </si>
  <si>
    <t>Alquiler maquinaria pesada (motoniveladora, retroexcavadora, pala, rodillo compactador) con conductor y camiones a deman</t>
  </si>
  <si>
    <t>2021 05 4314 22799</t>
  </si>
  <si>
    <t>ELABORACIÓN DE MASCARILLAS HIGIÉNICAS REUTILIZABLES. CAMPAÑA DE PROMOCIÓN DE LOS MERCADOS MUNICIPALES</t>
  </si>
  <si>
    <t>2021 06 2314 22602</t>
  </si>
  <si>
    <t>MULTICARTEL, C.B.</t>
  </si>
  <si>
    <t>Elaboración de diferentes soportes divulgativos de Juventud e Igualdad para Universidad de Valladolid / 1 AÑO</t>
  </si>
  <si>
    <t>2021 07 1711 203</t>
  </si>
  <si>
    <t>ALQUILER DE PLATAFORMAS Y OTROS ELEMENTOS.</t>
  </si>
  <si>
    <t>ADJUDICACIÓN SUMINISTRO DE PAPEL Y SOBRES DE DIVERSOS TIPOS Y FORMATOS AÑO 2021 PARA IMPRENTA</t>
  </si>
  <si>
    <t>COVID-19   SUMINISTROS PISTOLA VERS/ GORRO POLIP./ SERVILLETAS/ DESINFECTAN USOL-16/ BOTELLA/ ETIQUETA PEQUEÑA.</t>
  </si>
  <si>
    <t>CHIMENEA  INOX Y SOMBRERETE PARA LA CALEFACCION  DEL CPM DELICIAS- DURACION 1 DIA</t>
  </si>
  <si>
    <t>FUNDACION PARA EL FOMENTO DE LA INNOVACION INDUSTRIAL</t>
  </si>
  <si>
    <t>CALIBRACIONES SONÓMETROS MEDIO AMBIENTE. EXPEDIENTE VS 7/2020</t>
  </si>
  <si>
    <t>2021 01 9203 22799</t>
  </si>
  <si>
    <t>RECOGIDA DE PAPEL Y CARTON CASA CONSISTORIAL, SAN BENITO Y SANTA ANA, AÑO 2021</t>
  </si>
  <si>
    <t>2021 08 1301 22706</t>
  </si>
  <si>
    <t>Contrato servicio de asistencia técnica de un ingeniero técnico industrial para el Centro de Alumbrado (saldo 2021)</t>
  </si>
  <si>
    <t>Servicio de celaduría en COMEDOR SOCIAL de 1/1/2021 A 31/7/2022</t>
  </si>
  <si>
    <t>GRUPO MECANICA DEL VUELO SISTEMAS, S.A.</t>
  </si>
  <si>
    <t>SERVICIO ANUAL TRANSMISION DE DATOS DE 14 EQUIPOS GPS INSTALADOS EN VEHÍCULO DEL Sº DE LIMPIEZA AÑO 2020</t>
  </si>
  <si>
    <t>MANTENIMIENTO DE LOS SISTEMAS DE DETECCIÓN Y EXTINCIÓN DE INCENDIOS DEL CENTRO MUNICIPAL DE DIFUSIÓN TECNOLÓGICA</t>
  </si>
  <si>
    <t>MANTENIMIENTO DEL ASCENSOR Y PLATAFORMA ELEVADORA INDUSTRIAL DEL CENTRO MUNICIPAL DE DIFUSIÓN TECNOLÓGICA</t>
  </si>
  <si>
    <t>Suministro 2.500 litros gasóleo C para la caldera del nuevo Parque de Conservación de Vías Públicas, en C/ Títulos 51.-</t>
  </si>
  <si>
    <t>REPARACION CUBIERTA DEL CPM ZONA ESTE- DURACION 1 DIA</t>
  </si>
  <si>
    <t>2021 05 4331 214</t>
  </si>
  <si>
    <t>REPARACIÓN DEL VEHICULO RENAULT ZOE 6048JPN</t>
  </si>
  <si>
    <t>Traslado dominio retornoavalladolid.es / Traslado dominio innvid.es / Traslado dominio revalladolid.es</t>
  </si>
  <si>
    <t>COMPRA DE UNOS AURICULARES PARA TELEFONIA. SERVICIO DE MEDIO AMBIENTE</t>
  </si>
  <si>
    <t>2021 11 1361 203</t>
  </si>
  <si>
    <t>Alquiler de carretilla elevadora para descarga de material; SEISYPC.</t>
  </si>
  <si>
    <t>SCIENCE &amp; INNOVATION LINK OFFICE, S.L.</t>
  </si>
  <si>
    <t>CONTRATO DE SERVICIOS PARA REALIZACIÓN DE PROPUESTA DEL AYUNTAMIENTO DE VALLADOLID EN EL MARCO DEL PACTO VERDE EUROPEO</t>
  </si>
  <si>
    <t>TRATAMIENTOS DE DESINFECCIÓN DEPENDENCIAS Y VEHÍCULOS DE POLICÍA MUNICIPAL.</t>
  </si>
  <si>
    <t>REALIZACIÓN DE AUDITORÍA DE CALIDAD 9001 EN EL SERVICIO DE POLICÍA MUNICIPAL.</t>
  </si>
  <si>
    <t>2021 10 2412 22700</t>
  </si>
  <si>
    <t>CONTRATO DE LIMPIEZA PARA EL AÑO 2021 Y 2022 DEL CENTRO DE FORMACION PARA EL EMPLEO- JACINTO BENAVENTE</t>
  </si>
  <si>
    <t>REPARACIÓN DE VARIOS VEHÍCULOS DE POLICÍA ( ACUERDO MARCO EN TRAMITACIÓN).</t>
  </si>
  <si>
    <t>Suministro de áridos (arena lavada,  arena mina,  piñón, gravas...) según necesidades.-</t>
  </si>
  <si>
    <t>MATERIAL AUDIOVISUAL PARA EL CENTRO DE OPERACIONES DE POLICÍA MUNICIPAL.</t>
  </si>
  <si>
    <t>SERVICIO CELADURIA DEL CENTRO DE FORMACION PARA EL EMPLEO DEL 1 DE ENERO DE 2021 AL 31 DE JULIO DE 2022</t>
  </si>
  <si>
    <t>Suministro de mascarillas publicitarias para su difusión en campaña de inauguración del Espacio joven Norte / 1 DÍA</t>
  </si>
  <si>
    <t>COM-PACTO SOLUCIONES Y PROYECTOS, S.L.</t>
  </si>
  <si>
    <t>DOS SUSCRIPCIONES ANUALES A BASE DE DATOS ""PROYECTO CSP1"", del 01/01/2021 al 31/12/2021.</t>
  </si>
  <si>
    <t>SAJA CONSTRUCCIÓN Y DESARROLLO DE SERVICIOS, S.L.</t>
  </si>
  <si>
    <t>Reparación de desperfectos en Área Recreativa del Pinar de Antequera / 1 MES</t>
  </si>
  <si>
    <t>LIJA RTHL ANCHO 120 GRANO DE 60 A180 (50) /// RETIRA EL TÉCNICO.</t>
  </si>
  <si>
    <t>CONTRATO TALLER DE CINE EN EL MARCO DEL PROYECTO PAJARILLOS EDUCA (5 MESES)</t>
  </si>
  <si>
    <t>CONTRATACIÓN DEL SERVICIO DE ACCESO A INTERNET SIMÉTRICO PARA SISTEMA DE VIDEOCONFERENCIA DEL AYTO DE VALLADOLID</t>
  </si>
  <si>
    <t>ALQUILER DE VALLAS PROTECCIÓN ENTORNO CC CAMPILLO DESDE 22- FEB A 22- MAYO 2021 (TRES MESES)</t>
  </si>
  <si>
    <t>2021 03 9200 22602</t>
  </si>
  <si>
    <t>MASCARILLAS TOTALMENTE PERSONALIZADAS</t>
  </si>
  <si>
    <t>Suministro de áridos reciclados (especialmente zahorras) y recepción de escombro a granel, con retirada según necesidade</t>
  </si>
  <si>
    <t>TALLERES F. FERNANDEZ, SOCIEDAD LIMITADA</t>
  </si>
  <si>
    <t>REVISIONES Y REPARACIONES DE TACÓGRAFOS DE VEHICULOS DEL SERVICIO DE LIMPIEZA</t>
  </si>
  <si>
    <t>CTO DE LIMPIEZA PARA 2021 Y 2022 DEL CFE- JACINTO BENAVENTE ASIGNACIÓN A PM VALALDOLID CUIDA IV (1/2 A 31/07/2020)</t>
  </si>
  <si>
    <t>CONTRATO DE LIMPIEZA PARA EL AÑO 2021 Y 2022 DEL CFE- J. BENAVENTE ASIGNACIÓN A PM PARQUES Y JARDINES (1/2 A 31/10/2021)</t>
  </si>
  <si>
    <t>SERVICIO CELADURIA DEL CFE DEL 1/1/ 2021 AL 31/7/ 2022 ASIGNACIÓN A PM VALLADOLID CUIDA IV (1/2 A 31/7/2021)</t>
  </si>
  <si>
    <t>SERVICIO DE CELADURÍA DEL CFE DEL 1/1/2021 AL 31/7/2022 ASIGNACIÓN A PM PARQUES Y JARDINES (1/2/2021 A 31/5/2021)</t>
  </si>
  <si>
    <t>TRABAJOS EN MATERIAL FERRICO PARA LA REPARACION DE VEHICULOS DEL SERVICIO DE LIMPIEZA</t>
  </si>
  <si>
    <t>SANTANDER ESPAÑA MERCHANT SERVICES ENTIDAD DE PAGO</t>
  </si>
  <si>
    <t>Contratacion TPV con destino a recargas para tarjeta ciudadana para cumplir con los requerimientos del proyecto S2CITY</t>
  </si>
  <si>
    <t>San Sebastian de los Reyes</t>
  </si>
  <si>
    <t>SUMINISTRO E INSTALACION DE BOMBA DE CALEFACCION DEL CPM ZONA SUR- DURACION 1 DIA</t>
  </si>
  <si>
    <t>ADECCO FORMACION SA</t>
  </si>
  <si>
    <t>LOTE 1 PRORROGA DEL CONTRATO DE SERVICIOS GENERALES DE FORMACIÓN Y ACOMPAÑAMIENTO CREA 2021</t>
  </si>
  <si>
    <t>LOTE 2 PRORROGA DEL CONTRATO DE SERVICIOS GENERALES DE FORMACIÓN Y ACOMPAÑAMIENTO CREA 2021</t>
  </si>
  <si>
    <t>PROYECTA GESTION INTEGRAL DE PROYECTOS, S.L.</t>
  </si>
  <si>
    <t>LOTE 3 PRORROGA DEL CONTRATO DE SERVICIOS GENERALES DE FORMACIÓN Y ACOMPAÑAMIENTO CREA 2021</t>
  </si>
  <si>
    <t>LOTE 4 PRORROGA DEL CONTRATO DE SERVICIOS GENERALES DE FORMACIÓN Y ACOMPAÑAMIENTO CREA 2021</t>
  </si>
  <si>
    <t>EXCELLENCE INNOVA CONSULTORIA Y FORMACION, S.L</t>
  </si>
  <si>
    <t>LOTE 5 PRORROGA DEL CONTRATO DE SERVICIOS GENERALES DE FORMACIÓN Y ACOMPAÑAMIENTO CREA 2021</t>
  </si>
  <si>
    <t>LOTE 6 PRORROGA DEL CONTRATO DE SERVICIOS GENERALES DE FORMACIÓN Y ACOMPAÑAMIENTO CREA 2021</t>
  </si>
  <si>
    <t>LOTE 7 PRORROGA DEL CONTRATO DE SERVICIOS GENERALES DE FORMACIÓN Y ACOMPAÑAMIENTO CREA 2021</t>
  </si>
  <si>
    <t>ampliación contrato suministro gas Centro Integrado-año 2021-COVID-19</t>
  </si>
  <si>
    <t>SUMINISTRO DE MATERIAL PARA EL LABORATORIO DE LA RED A LA EMPRESA SCHARLAB, S.L. SERVICIO DE MEDIO AMBIENTE</t>
  </si>
  <si>
    <t>ZENIT INGENIERIA Y CONSULTORIA SLP</t>
  </si>
  <si>
    <t>CONTRATO DE SERVICIOS DE REDACCIÓN DE PROYECTO Y DIRECCIÓN DE OBRA """"CORREDOR VERDE"""" PROYECTO URBAN GREEN UP</t>
  </si>
  <si>
    <t>Reparación de sistema de climatización de la Agencia de Innovación.</t>
  </si>
  <si>
    <t>LOTE 7:Reajust Contratación 2020 Serv. de formación y acompañamiento para emprendimiento CREA y empleabilidad REINNOVATE</t>
  </si>
  <si>
    <t>ACUERDO MARCO V. 36/2017; LOTE 1; ALBARAN AV20/005211: BLISTER SIERRA DE CALAR T111 BASIC WOOD (NAVE PC); SEISYPC.</t>
  </si>
  <si>
    <t>ACUERDO MARCO V.36/2017; LOTE 10; RELÉ INVERSOR/MINIFUS SERIE 45, ENCHUF. 7.5A/lampara Festoon C5W Standard ;SEISYPC</t>
  </si>
  <si>
    <t>ACUERDO MARCO; EXPTE. V.36/2017; LOTE 6; Equipo Motorola DP3441E 5W VHF 32 canales cuerpo; SEISYPC.</t>
  </si>
  <si>
    <t>ACUERDO MARCO EXPTE  V.36/2017; LOTE 8 ;ANGULOS 60X60X6 A 6M/CORTES ANGULOS CHAPA LAMIN/CIRCUITOS CHAPA (2);SEISYPC</t>
  </si>
  <si>
    <t>ACUERDO MARCO EXP.: V36/2017; LOTE 1; EXTRAC OREJUELAS VASO LARGO HEXAG/AMOLAD PROF/ABRAZ/ENCHUFE/AMOLAD/ RUED;SEISYPC</t>
  </si>
  <si>
    <t>LUMINARIA SIMON 684 NW 60X60 UGR&lt;19 39W  ( 2 UNIDADES)/ TASA ECORAEE (2) /// DESTINO: CASA DEL BARCO  (ACUERDO MARCO)</t>
  </si>
  <si>
    <t>ACUERDO MARCO; EXPTE.: V.36/2017;LOTE8; 2 PINZA MASA SOLTER 400A CHAPA/5 CRC LUBRICANTE GRAFITO P/CERRADURAS15ML;SEISYPC</t>
  </si>
  <si>
    <t>ACUERDO MARCO EXPTE.: V36/2017; LOTE 6LAMP  PH PLUSLN LARG/ CLAVIJA FENOPL GOMA NEG/TERMINAL CEMBRE/ZerolH FLEX; SEISYPC</t>
  </si>
  <si>
    <t>ACUERDO MARCO; EXPTE V.36/2017; LOTE 1; SUMINISTROS; SEISYPC.</t>
  </si>
  <si>
    <t>ACUERDO MARCO; EXPTE. V.36/2017; LOTE 1; FINISH LAVAVAJILLAS POWERBALL (PEDIDO DE 22/01/2021); SEISYPC.</t>
  </si>
  <si>
    <t>ACUERDO MARCO; EXPTE. V.36/2017; LOTE 6; Equipo Motorola DP3441E VHF 32 Canales Cuerpo (2)/ Sensor CO2 (4);SEISYPC.</t>
  </si>
  <si>
    <t>ACUERDO MARCO; EXP.:V.36/2017; LOTE 10; 60 SEPIOLITA 20 KG/10 Lampara 24v R10W Standard BA15s/BATERIA 180AH (2); SEISYPC</t>
  </si>
  <si>
    <t>ACUERDO MARCO; EXPTE::V.36/2017; LOTE 1ALB: AV21/00755 -572-420/SAB  FUNDA ALMOH MANTA/DESENCOF.LAVA/DISCO CORTE;SEISYPC</t>
  </si>
  <si>
    <t>ACUERDO MARCO EXPTE.: V.36/2017; LOTE 1; SOPORTE DUCHA ARITCULADO/ FLEXO DUCHA EXTENSIBLE/TELEDUCHA CROMETTA;SEISYPC.</t>
  </si>
  <si>
    <t>ACUERDO MARCO;  EXPTE. V.36/2017; LOTE 1; SUMINISTRO DE MATERIALES;SEISYPC.</t>
  </si>
  <si>
    <t>ACUERDO MARCO; EXPTE.: V.36/2017; LOTE 1;SIERRA S1157CHM VEHICLE RESCUE - 10 UDS;SEISYPC</t>
  </si>
  <si>
    <t>ACUERDO MARCO; EXPTE.: V.36/2017;LOTE 1; BLISTER PILA CR2032 ( 3 UNIDADES );SEISYPC</t>
  </si>
  <si>
    <t>ACUERDO MARCO; EXPTE. : V.36/2017; LOTE 1; ESCALERA MULTIUSO SINEX 4X4 ALUMINIO - 1 UD;SEISYPC</t>
  </si>
  <si>
    <t>ACUERDO MARCO; EXPTE.: V.36/2017; LOTE 1; CAJA HERRAMIENTAS PLASTICO N34 ( 1 UNIDAD );SEISYPC.</t>
  </si>
  <si>
    <t>ACUERDO MARCO; EXPTE. V.36/2017; LOTE 1; ZAPATO DELFIN S3 CI HI HRO WR SRC MF (9);SEISYPC</t>
  </si>
  <si>
    <t>ACUERDO MARCO; EXPTE. : V.36/2017; LOTE 1;11 UD - PULVERIZADOR 600ML;SEISYPC</t>
  </si>
  <si>
    <t>ACUERDO MARCO; EXPTE.: V.36/2017; LOTE 1; CAJA HERRAMIENTAS 450 E ( 1 UNIDAD); SEISYPC</t>
  </si>
  <si>
    <t>AC MARCO EXP V36-2017: REPUESTOS REPARACIÓN VEHICULOS DEL SERVICIO DE LIMPIEZA</t>
  </si>
  <si>
    <t>AC MARCO EXP V36-2017: BOMBA PARA REPARACIÓN LINEA DE AEROTERMOS DEL TALLER DEL Sº LIMPIEZA</t>
  </si>
  <si>
    <t>COPIAS 4012 (4.356)/  R3T9Z31007 -FC011424 / DE 01-10-20 A 31-12-20 /  ARCIVO MPAL SECC.ATTº PPUBLICO PTA BJA- CAPILLA</t>
  </si>
  <si>
    <t>COPIAS 01/10/2020 - 31/12/2020 // N.SERIE: RFC9Y20437 - FC011384 // ARCHIVO MUNICIPAL, REPROGRAFÍA, PLTA BAJA</t>
  </si>
  <si>
    <t>ACUERDO MARCO EXPTE V36/2017; LOTE 6; 2 UD - ENROLLADOR COMA 270.37.512; SEISYPC.</t>
  </si>
  <si>
    <t>ACUERDO MARCO 2017/36, PINTURA PARA OFICINAS CASA DEL BARCO.</t>
  </si>
  <si>
    <t>ABONOS EMUPA, S.L.2020</t>
  </si>
  <si>
    <t>ACUERDO MARCO 2017/36, TIERRA VEGETAL.</t>
  </si>
  <si>
    <t>SANTIAGO DEL ARROYO</t>
  </si>
  <si>
    <t>ACUERDO MARCO; EXPTE.: V.36/2017; LOTE 6; ARMARIO IDE METAL / BASE 4TO LEGRAND C/Cable 1,5M ; SEISYPC.</t>
  </si>
  <si>
    <t>CONTROL DE CALIDAD DE LA CERTIFICACION Nº 12, MANTENIMIENTO JARDINES ZONAS SUR Y ESTE, DICIEMBRE.</t>
  </si>
  <si>
    <t>ACUERDO MARCO. SUMINISTRO REPUESTOS PARA EL TALLER DE REPARACIÓN DE VEHÍCULOS DE LA POLICÍA MUNICIPAL</t>
  </si>
  <si>
    <t>2021 08 1341 22699</t>
  </si>
  <si>
    <t>ACUERDO MARCO_ORTIZ_ RUEDA 1-0214 30D (18) / PLACA UNION (8)/ PROTC.PATAS(50)</t>
  </si>
  <si>
    <t>ACUERDO MARCO_COMERCIAL ULSA_CAZADORA TRAFIC M/DESM. AMARILLO T-L - 1 UD / ZAPATO CIPRES S1 NO METAL - 1 UD</t>
  </si>
  <si>
    <t>ACUERDO MARCO_2543HTB: ACEITE, ECOTASA, ARANDELA,FILTRO ACEITE, ESCOBILLAS RUEDAS TRAS,LAVADO EXTERIOR E INTERIOR</t>
  </si>
  <si>
    <t>ACUERDO MARCO_7614-GSB: ACEITE 5W30-FILTROS: ACEITE-AIRE-LIQUIDO DE FRENOS-ESCOBILLAS DELANTERAS,LAVADO EXTER.-INTER.</t>
  </si>
  <si>
    <t>ACUERDO MARCO_7576GSB: CAMBIO ACEITE MOTOR/ FILTRO/ ARANDELA/ LIQUIDO DE FRENOS/ LAVADO/ ESCOBILLAS/ RUEDAS</t>
  </si>
  <si>
    <t>ACUERDO MARCO_7614GSB: SUSTITUIR LIMPIAPARABRISAS TRASERO</t>
  </si>
  <si>
    <t>ASTRONOMICO THEBEN+TASA ECORAEE ////  DESTINO: ESCUELA DE MUSICA ( EDUCACIÓN ) /// (F/2020/12038)</t>
  </si>
  <si>
    <t>Reparto y buzoneo de 150.000 trípticos de la ""GUÍA DEL CONTRIBUYENTE 2021""</t>
  </si>
  <si>
    <t>BEATRIZ CALVO GONZÁLEZ</t>
  </si>
  <si>
    <t>DISEÑO DE MATERIALES GRÁFICOS PARA LA DIFUSIÓN DE LOS CURSOS CELEBRADOS DENTRO DEL PROGRAMA CREA</t>
  </si>
  <si>
    <t>REIN</t>
  </si>
  <si>
    <t>ALQUILER KYOCERA 358 /  R319Z00938 - FC011337 / PREVENCION Y SALUD // DEL 01-10-20  AL  31-12-20</t>
  </si>
  <si>
    <t>891</t>
  </si>
  <si>
    <t>F-427. ALPA. ALQUILER 01/10/2020 - 31/12/2020. N.SERIE: R3T9Z31014 - FC011428. CEAS CAMPO GRANDE</t>
  </si>
  <si>
    <t>F-428. ALPA. ALQUILER R3T9Z31056 - FC011390. CEAS JUAN DE AUSTRIA. DEL 01-10-20  AL  31-12-20</t>
  </si>
  <si>
    <t>F-430. ALPA. ALQUILER R3T9Z31057 - FC011427. CEAS JUAN DE AUSTRIA . DE 01-10-20 A 31-12-20</t>
  </si>
  <si>
    <t>F-440. ALPA. ALQUILER R3T9Z31146 - FC011391. CEAS CENTRO. DE 01-10-20  AL  31-12-20</t>
  </si>
  <si>
    <t>F-447. ALPA. ALQUILER 01/10/2020 - 31/12/2020. N.SERIE: R3T9Y27413 - FC011361. SAN BENITO, PUERTA 1</t>
  </si>
  <si>
    <t>F-457. ALPA. ALQUILER 01/10/2020 - 31/12/2020. N.SERIE: RFC9Y20435 - FC011429. UBICACION: CEAS LA VICTORIA</t>
  </si>
  <si>
    <t>F-683. ALPA. COPIAS 01/10/2020 - 04/01/2021. N.SERIE: R4Q9Z32182 - FC011330. CEAS BELEN PILARICA</t>
  </si>
  <si>
    <t>F-762. ALPA. COPIAS COLOR Y NEGRO R319Z00982 -FC011422. DE 01-10-20 A 31-12-20. SAN BENITO PTA 1</t>
  </si>
  <si>
    <t>F-769. ALPA. COPIAS 01/10/2020 - 31/12/2020 N.SERIE: R319Z01005 - FC011348. SAN BENITO PUERTA 2</t>
  </si>
  <si>
    <t>F-ALPA. COPIAS 01/10/2020 - 31/12/2020 N.SERIE: R4Q9Z32181 - FC011318. CEAS PAJARILLOS ALTOS</t>
  </si>
  <si>
    <t>F-772. ALPA. COPIAS R3T9Y27413 -FC011361 DE 01-10-20 A 31-12-20 SAN BENITO PUERTA 1</t>
  </si>
  <si>
    <t>MANTENIMIENTO INSTALACIONES CLIMATIZACIÓN EDIFIC.SAN BENITO</t>
  </si>
  <si>
    <t>2ª PRÓRROGA CONTRATO SERV. MANTEN. Y CONSERV INSTALAC TÉRMICAS EDIFICIOS S.E.I.S. PRESTACIONE BÁSICAS 01/01 A 30/11/2021</t>
  </si>
  <si>
    <t>SERVICIOS DE CONEXIÓN REMOTA A LA RED PRIVADA DEL AYUNTAMIENTO DE VALLADOLID (COVID-19)</t>
  </si>
  <si>
    <t>PROYECTO IFS 2019/COORDINACION SEGURIDAD Y SALUD OBRA VESTUARIOS, DUCHAS Y ASEOS CAMPO FORMACIÓN EL REBOLLAR/SEISPC</t>
  </si>
  <si>
    <t>DESCONEXIÓN Y DESMONTAJE CONEXIONES ELÉCTRICAS Y DE INTERNET, CON MOTIVO DE LAS OBRAS EN LA AGENCIA DE INNOVACIÓN.</t>
  </si>
  <si>
    <t>ADJUDICACIÓN SUMINISTRO TINTAS OFFSET Y OTROS MATERIALES PARA TRABAJOS DE IMPRENTA - AÑO 2021</t>
  </si>
  <si>
    <t>2021 02 1511 22799</t>
  </si>
  <si>
    <t>DISEÑO PROGRAMA FOMENTO ALQUILER LOCALES COMERCIALES,CREAC.BASE DATOS, BÚSQUEDA REFERENTES.</t>
  </si>
  <si>
    <t>CONTROL DE CALIDAD OBRAS DE ADAPTACIÓN  EDIFICIO JEFATURA DE POLICÍA MUNICIPAL. FASE 1ª.</t>
  </si>
  <si>
    <t>2021 04 9202 16205</t>
  </si>
  <si>
    <t>CONTRATACIÓN LOTE 6, SUSCRIPCIÓN PÓLIZA SEGURO VIDA Y ACCIDENTES EMPLEADOS Y MIEMBROS CORPORACIÓN. AÑO 2021.</t>
  </si>
  <si>
    <t>AD REAJUSTE ANUALIDADES CONTRATO MATERIAL ORDINARIO NO INVENTARIABLE LOTE 1</t>
  </si>
  <si>
    <t>AD REAJUSTE ANUALIDADES CONTRATO MATERIAL ORDINARIO NO INVENTARIABLE LOTE 4</t>
  </si>
  <si>
    <t>AD REAJUSTE ANUALIDADES CONTRATO MATERIAL ORDINARIO NO INVENTARIBLE LOTE 2</t>
  </si>
  <si>
    <t>AD REAJUSTE ANUALIDADES CONTRATO MATERIAL ORDINARIO NO INVENTARIBALE LOTE 3</t>
  </si>
  <si>
    <t>AD REAJUSTE ANUALIDADES CONTRATO MATERIAL ORDINARIO NO INVENTARIABLE, LOTE 5</t>
  </si>
  <si>
    <t>AD REAJUSTE ANUALIDADES CONTRATO MATERIAL ORDINARIO NO INVENTARIABLE LOTE 6</t>
  </si>
  <si>
    <t>2021 11 1321 212</t>
  </si>
  <si>
    <t>PINTURA EN CERRAJERÍA Y RAMPA DE ACCESO A GARAJE DEPENDENCIAS DISTRITO 4º.</t>
  </si>
  <si>
    <t>VIVES Y HERRERO S.L.</t>
  </si>
  <si>
    <t>MANTENIMIENTO RELOJ TORREON CASA CONSISTORIAL AÑO 2021</t>
  </si>
  <si>
    <t>2021 08 1341 609</t>
  </si>
  <si>
    <t>MAP CIVITATIS, S.L.</t>
  </si>
  <si>
    <t>CONTRATO MENOR ADJUDICACIÓN SERVICIOS TÉCNICOS PROYECTO TRAMOS CICLABLES PASEO ISABEL LA CATÓLICA_PARTIP'2020</t>
  </si>
  <si>
    <t>MANTENIMIENTO EXTINTORES EDIFICIOS MUNICIPALES</t>
  </si>
  <si>
    <t>COMPLEMENTARIO A LA OBRA DE  URBANIZACIÓN CALLE COSTA RICA.- Expte. 36/2019 SEMEU</t>
  </si>
  <si>
    <t>MASCARILLAS HIGIÉNICAS  PUBLICITARIAS PRESUPUESTOS PARTICIPATIVOS (2250 Uds.)</t>
  </si>
  <si>
    <t>PROYECTO IFS 2019: CONTROL DE CALIDAD DE OBRA VESTUARIOS, DUCHAS Y ASEOS CAMPO DE FORMACIÓN DE EL REBOLLAR/SEISPC</t>
  </si>
  <si>
    <t>2ª PRÓRROGA CONTRATO SERV MANTEN Y CONSERVAC INSTALAC TÉRMICAS EDIFICIOS S.E.I.S. PRESTAC. COMPLEMENT.01/01 A 30/11/2021</t>
  </si>
  <si>
    <t>SUMINISTRO REPUESTOS REPARACION EQUIPOS MODELO ROS ROCA DE VEHÍCULOS DEL Sº DE LIMPIEZA</t>
  </si>
  <si>
    <t>C.D. ATLETISMO CUATRO CANTONES</t>
  </si>
  <si>
    <t>CRONÓMETRADORES PARA PRUEBAS PARA PROVISION DE 14 OFICIALES P.M.</t>
  </si>
  <si>
    <t>SUMINISTRO REPUESTOS PARA REPARACION BARREDORAS RAVO, ELGI, MATHIEU  (DISTIBUIDOR EN ESPAÑA DE LA MARCA)</t>
  </si>
  <si>
    <t>Publicación de dos páginas en el suplemento mensual INNOVA+ de El Norte de Castilla en 2021</t>
  </si>
  <si>
    <t>CONTRATO SERVICIO MANTENIM. Y CONSERVACIÓN INSTALAC. TÉRMICAS Y EDIFICIOS DEL 01/01 AL 30/11/2021. PRESTACIONES BÁSICAS</t>
  </si>
  <si>
    <t>2021 02 9332 22103</t>
  </si>
  <si>
    <t>PRÓRROGA CONTRATO SUMINISTRO GASOLINA 95º. EXPTE. SE.18/2018 DESDE 1.01/ AL 31.12.2021</t>
  </si>
  <si>
    <t>SUMINISTRO DE GASOLINA PARA EL AÑO 2021</t>
  </si>
  <si>
    <t>Rect. FV 2001210011 / kentia 1,50/1,75 / antirium M17 / ANSEVIERA m17 / aucuba japonica M15 para CC José Luis Mosquera</t>
  </si>
  <si>
    <t>ACUERDO MARCO; EXPTE. V. 36/2017; LOTE 4; COLLAK-DESATASCADOR 1 LT ACIDO ( 4 UNID); SEISYPC.</t>
  </si>
  <si>
    <t>ALB. AV21/01082 DE 22/02/2021: BLISTER HOJA SIERRAS DE SABLE 5 UD (C.P. JOSE ZORRILLA)</t>
  </si>
  <si>
    <t>CONTRATO SERV. MANTEN. Y CONSERVACIÓN INSTALAC. TÉRMICAS Y EDIFICIOS DE 01/01 A 30/11/2021. PRESTACIONES COMPLEMENTARIAS</t>
  </si>
  <si>
    <t>PORTALAMP. BJC 2003 E27  M10X1 (ALUMBRADO PÚBLICO)</t>
  </si>
  <si>
    <t>ACUERDO MARCO. SUMINISTRO DE MATERIAL ELECTRICO PARA DEPENDENCIAS DE POLICÍA.</t>
  </si>
  <si>
    <t>CONMUTADOR NIESSEN 8102 MECANISMO (2)  /  BASTIDOR 1E NIESSEN (1) / MARCO NIESSEN (1)/// DESTINO: C.C.DELICIAS</t>
  </si>
  <si>
    <t>SUMINISTRO DE MATERIAL ELÉCTRICO PARA CC PARQUESOL/ CC AV.PALENCIA/ C.MPAL LAS FLORES</t>
  </si>
  <si>
    <t>ALB. AV21/01169 DE 26/02/2021: BUZON CASTILLO NEGRO (EDIFICIO SEGUNDO MONTES)</t>
  </si>
  <si>
    <t>MANTENIMIENTO CALEFACCION DE LOS CPM NO TRANSFERIDOS PARA EL AÑO 2021</t>
  </si>
  <si>
    <t>SUMINISTRO MATERIAL ELECTRICIDAD /// DESTINOS: C.C.BAILARIN V.ESCUDERO- C.C.CASA CUNA // (F/2020/10552)</t>
  </si>
  <si>
    <t>SUMINISTROS PARA LOS CP TERESA ÍÑIGO DE TORO/ CP TIERNO GALVÁN/ CP IGNACIO MARTÍN BARÓ/ CP CONSTANZA MARTÍN</t>
  </si>
  <si>
    <t>CONTRATO DE MANTENIMIENTO DE CALEFACCIÓN, CLIMAT. Y ACS EN CEAS  PARA EL  AÑO 2021.</t>
  </si>
  <si>
    <t>I-CATALIST, S.L.</t>
  </si>
  <si>
    <t>CONTRATO DE REDACCIÓN, COORD. Y GESTIÓN DE PROPUESTA DEL AYUNTAMIENTO DE VALLADOLID A ""REGIONES DE UE RESILENTES ""</t>
  </si>
  <si>
    <t>ROZAS DE MADRID (LAS)</t>
  </si>
  <si>
    <t>2021 05 4314 22706</t>
  </si>
  <si>
    <t>VALORACIÓN CANON UTILIZACIÓN PRIVATIVA ESPACIO BAJO RASANTE PARA SUP. COMERCIAL. MERCADO VAL Y PUESTOS 4, 5, 12, 13 Y 15</t>
  </si>
  <si>
    <t>PROVISIÓN DE CONTENIDOS PARA EL SISTEMA DE PANTALLAS INFORMATIVAS (PICC) INSTALADAS EN LOS CENTROS CÍVICOS</t>
  </si>
  <si>
    <t>2ª PRÓRROGA CONTRATO ""GESTIÓN INTEGRAL SISTEMA CENTRALIZADO DE CONTROL DE TRÁFICO DE VALLADOLID""_Sept-Dic'2020</t>
  </si>
  <si>
    <t>2021 08 1532 22700</t>
  </si>
  <si>
    <t>Limpieza de las  dependencias del Parque de Vías Públicas. AÑOS 2021 y 2022.-</t>
  </si>
  <si>
    <t>MANTENIMIENTO Y REPARACION DE EQUIPOS  INFORMATICOS DE CPMS ARCA R,Z.ES.HTA,FRAY L. AÑO 2021 (533,20 E/M)EXPTE.SESS12/19</t>
  </si>
  <si>
    <t>CELIA MARÍA CURIESES ANDRÉS</t>
  </si>
  <si>
    <t>COBERTURA MÉDICA OPOSICIÓN 11 MECÁNICO - BOMBERO (6 HORAS EL DÍA 20/10/2020)</t>
  </si>
  <si>
    <t>MANTENIMIENTO DEL SISTEMA DE SEGURIDAD DE LOS CPM TRANSFERIDOS EN 2021</t>
  </si>
  <si>
    <t>ASTRONÓMICO THEBEN SELEKTA Y TASA ECORAEE PARA CM PUENTE DUERO (DESCONTADO ABONO)</t>
  </si>
  <si>
    <t>ACUERDO MARCO EXPTE. V.36_2017; LOTE 10; HELLA PLAFON LUZ (1 UD); SEISYPC.</t>
  </si>
  <si>
    <t>F-2129. SUMINISTROS GARCICHAO, S.L. VIVIENDA C/ SOTO, 58, 1ªA. ASIENTO VICTORIA ACERO BLANCO. DURACION 1 DIA</t>
  </si>
  <si>
    <t>AC MARCO EXP V36-2017: MATERIAL ELECTRICO PARA PUNTO LIMPIO DE C/ VALLE DE ARAN</t>
  </si>
  <si>
    <t>BASE SCH NIESSEN/ LÁMPARA/ TASA ECORAEE/ LUMINARIA SIMON/ LATIGUILLO OPENETICS (CC PARQUESOL,CC PILARICA,CC N.A.CHACÓN)</t>
  </si>
  <si>
    <t>AC MARCO EXP V36-2017: SUMINISTROS VARIOS PARA EL SERVICIO DE LIMPIEZA</t>
  </si>
  <si>
    <t>AC MARCO EXP V36-2017:  CEPILLOS, ESCOBIJOS Y PALAS ALUMINIO PARA LIMPIEZA VIARIA</t>
  </si>
  <si>
    <t>ACUERDO MARCO EXPTE, V.36_2017; LOTE 6; ARMARIO IDE GN302520 METAL 300X250 IP66  (1 UNIDAD )/ SEISYPC.</t>
  </si>
  <si>
    <t>AC MARCO EXP V36-2017: SUMINISTROS INDUSTRIALES PARA EL S. DE LIMPIEZA VIARIA</t>
  </si>
  <si>
    <t>TOYR S.A</t>
  </si>
  <si>
    <t>ACUERDO MARCO V6/2020, MEJORA DE INSTALACIONES DE JUEGOS INFANTILES EN DIVERSAS ZONAS DE LA CIUDAD.</t>
  </si>
  <si>
    <t>ACUERDO MARCO V6/2020, MEJORAS EN EL ENTORNO DEL LAVA.</t>
  </si>
  <si>
    <t>ACUERDO MARCO. SUMINISTRO DE MATERIAL DE MANTENIMIENTO Y FERRETERIA PARA POLICÍA.</t>
  </si>
  <si>
    <t>ACUERDO MARCO. SUMINISTRO DE MATERIAL ELECTRÓNICA PARA POLICÍA MUNICIPAL</t>
  </si>
  <si>
    <t>ACUERDO MARCO; EXPTE.:V.36_2017; LOTE 1;CINTA AISL/DESTORN/ROLLO ALAMBRE/JGO LLAVES/TENAZAS/ALICATES/DESENCOFR;SEISYPC.</t>
  </si>
  <si>
    <t>ACUERDO MARCO EXPTE. V.36_2017;LOTE 1; SIERRA S1157CHM VEHICLE RESCUE (10 UDS); SEISYPC.</t>
  </si>
  <si>
    <t>ACUERDO MARCO V6/2020, ARREGLOS EN PLAZA ELIPTICA.</t>
  </si>
  <si>
    <t>AC MARCO EXP V36-2017: MATERIAL FONTANERIA PARA VESTUARIO JARDOIN BOTANICO</t>
  </si>
  <si>
    <t>ACUERDO MARCO EXP V36-2017. MATERAIL ELECTRICO, DESTINO:  SERVICIO DE LIMPIEZA</t>
  </si>
  <si>
    <t>ACUERDO MARCO V6/2020, ARREGLO PASEOS AVDA. SALAMANCA Y ESCALERAS ACCESO A PARQUE MEDIODIA.</t>
  </si>
  <si>
    <t>DOSIFICADOR JABON VISION 1,4LT (SAN BENITO)</t>
  </si>
  <si>
    <t>AC MARCO EXP V36-2017: LA´MPARA PARA VESTUARIOS LIMPIEZA (JARDIN BOTÁNICO)</t>
  </si>
  <si>
    <t>Actividades de mediación cultural y lecturas compartidas a desarrollar durante el año 2021 / Hasta diciembre de 2021</t>
  </si>
  <si>
    <t>PINTURAS ANTRUEJO, S.A.</t>
  </si>
  <si>
    <t>TRABAJOS DE PINTURA EN CENTRO SEGUNDO MONTES</t>
  </si>
  <si>
    <t>LIBERACIÓN DE CREDITO A LA PARTIDA  11 / 1621 / 22103</t>
  </si>
  <si>
    <t>REPARACIÓN DE MOTORES Y ELECTROFRENO DE LA MÁQUINA DE TIRO DE  LA GALERÍA DE TIRO DE POLICIA.</t>
  </si>
  <si>
    <t>PALOMA  TENORIO RUIZ</t>
  </si>
  <si>
    <t>ASISTENCIA TECNICA MODELADO CON TECNOLOGÍA BIM(BUILDING INFORMATION MODELING) EN CRTA.FUENSALDAÑA</t>
  </si>
  <si>
    <t>CONTROL DE CRONOMETRADORES PROVISIÓN DE 2 INSPECTORES P.M. EN PROMOCIÓN INTERNA. -mjsi.</t>
  </si>
  <si>
    <t>2021 06 2314 22701</t>
  </si>
  <si>
    <t>REVISION DE SISTEMAS DE LAS INSTALACIONES DE SEGURIDAD  PINAR DE ANTEQUERA PARA PREVENCION DEL VANDALISMO 1 MES</t>
  </si>
  <si>
    <t>SUMINISTRO TÓNER, TINTAS Y MATERIAL TÉCNICO PARA TRABAJOS IMPRESIÓN EN LA IMPRENTA - AÑO 2021</t>
  </si>
  <si>
    <t>Lámpara MASTER PL-C 18W/840/2P para sustitución en el Archivo Municipal.</t>
  </si>
  <si>
    <t>2021 01 9206 623</t>
  </si>
  <si>
    <t>Adquisición de 3 carros porta documentos de acero y con ruedas de goma, para el Archivo Municipal.</t>
  </si>
  <si>
    <t>SUMINISTRO DE MATERIAL A LA EMPRESA VIDRA FOC PARA EL LABORATORIO. SERVICIO DE MEDIO AMBIENTE</t>
  </si>
  <si>
    <t>MANTENIMIENTO INSTALACIÓN CALEFACCIÓN EDIFICO SAN BENITO (PEQUEÑAS AVERIAS)</t>
  </si>
  <si>
    <t>CONTRATO DE MANTENIMIENTO SISTEMA SEGURIDAD CEAS BEL., DEL-ARG, CENTRO, EIF Y JEF.ZON., C.INTEGRADO - AÑO 2021</t>
  </si>
  <si>
    <t>MEJORAS, ILUMINACION Y SKATE PLAZA EN LAS MORERAS.</t>
  </si>
  <si>
    <t>TEMA INGENIERIA, S.L.</t>
  </si>
  <si>
    <t>ASISTENCIA TÉCNICA ACTUALIZACIÓN-COMPOSICIÓN DEL DOCUMENTO ESTRATÉGICO  PIMUSSVA PARA TRAMITACIÓN DE APROBACIÓN INICIAL</t>
  </si>
  <si>
    <t>MARIA CRISTINA GOMEZ  GONZALO</t>
  </si>
  <si>
    <t>DESCRIPCIÓN DEL FONDO DOCUMENTAL ""ARCHIVO GASPAR NÚÑEZ DE ARCE"", DEPOSITADO EN EL ARCHIVO MUNICIPAL EL AÑO 2019.</t>
  </si>
  <si>
    <t>CERTIFICACIÓN DE VERIFICACIÓN  PERIÓDICA DE ETILÓMETRO DE POLICÍA MUNICIPAL.</t>
  </si>
  <si>
    <t>RENOVACIÓN SUSCRIPCIÓN ANUAL PERIÓDICO EL DÍA DE VALLADOLID - UNIDAD DE MEDIOS DE COMUNICACIÓN</t>
  </si>
  <si>
    <t>REPOSTAJE FE VEHÍCULO DE REPOSICIÓN ENVIADO POR LA EMPRESA DE RENTING A POLICÍA MUNICIPAL.</t>
  </si>
  <si>
    <t>MANTENIMIENTO DEL AÑO 2021 DEL SISTEMA DE SEGURIDAD DE LOS CPM NO TRANSFERIDOS</t>
  </si>
  <si>
    <t>MEJORAS, IL.UMINACION Y SKATE PLAZA EN LAS MORERAS.</t>
  </si>
  <si>
    <t>EXTRACTO SYP EDM-100 S (SAN BENITO)</t>
  </si>
  <si>
    <t>SUMINISTRO MATERIAL DE CARTONAJE Y REALIZACIÓN TRABAJOS MANIPULACIÓN Y ENCUADERNACIÓN ARTES GRÁFICAS 2021</t>
  </si>
  <si>
    <t>ALB. AV21/01133 DE 24/02/2021 - AV21/01081 DE 22/02/2021 - AV21/00763 DE 08/02/2021 (MANTENIMIENTO)</t>
  </si>
  <si>
    <t>SUMINISTRO DE REPUESTOS ////  DESTINOS:  CASA CONSISTORIAL  Y EDIFICIO SANTA ANA.</t>
  </si>
  <si>
    <t>AGLOMERADO / COLA / ROLLO CORCHO //////// C. C. DELICIAS / C.C. CANAL DE CASTILLA / CIC EMPECINADO</t>
  </si>
  <si>
    <t>ACUERDO MARCO_FLEXOMETRO SINEX / BAYETA MICROFIBRA 4 UDS MARUJAS / GUANTE TKE04 BLANCO T-9 (2 UDS)</t>
  </si>
  <si>
    <t>INDRA SISTEMAS, S.A.</t>
  </si>
  <si>
    <t>MANTENIMIENTO PREVENTIVO DE LA GALERÍA DE TIRO VIRTUAL DE LA POLICÍA MUNICIPAL.</t>
  </si>
  <si>
    <t>DAVID BLANCO VALMASEDA</t>
  </si>
  <si>
    <t>LA JUNGLA RADIO. EMISIÓN 6 CUÑAS DIARIAS+INFORMACIÓN EN REDES SOCIALES (DEL 20/01/21 AL 02/02/21) CAMPAÑA PPTOS PARTICIP</t>
  </si>
  <si>
    <t>GUADALTEL, S.A.</t>
  </si>
  <si>
    <t>ASISTENCIA TÉC  PARA LA INSTALACIÓN DE LA PLATAFORMA DE ADMINISTRACIÓN ELECTRÓNICA MOAD EN EL AYUNTAMIENTO DE VALLADOLID</t>
  </si>
  <si>
    <t>SERVICIO DE APOYO BIBLIOTECARIO A AL BIBLIOTECA DEL ARCHIVO MUNICIPAL, AÑO 2021</t>
  </si>
  <si>
    <t>MANTENIMIENTO DE LAS ZONAS VERDES DEL CPM DELICIAS Y RONDILLA DEL 01/01/2021 AL 30/06/2021</t>
  </si>
  <si>
    <t>REPARACIÓN AVERIAS  CLIMATIZACIÓN EN LOS EDIFICIOS MUNICIPALES</t>
  </si>
  <si>
    <t>SERVICIO REPARTO E INTERCAMBIO DE DOCUMENTACION ENTRE SERV.CENTRALES INT.SOCIAL Y CENTROS DEPENDIENTES 2021</t>
  </si>
  <si>
    <t>MARIGE PARQUES Y SERVICIOS, S.L.</t>
  </si>
  <si>
    <t>SUMINISTRO DE ELEMENTOS DE SEGURIDAD Y SEÑALIZACION PARA DIVERSOS PARQUES DE LA CIUDAD.</t>
  </si>
  <si>
    <t>ELDA</t>
  </si>
  <si>
    <t>2021 02 1501 619</t>
  </si>
  <si>
    <t>ADJUDICAR CONTRATO SEGURIDAD Y SALUD  LOTE 1 ""EDIFICACIONES""</t>
  </si>
  <si>
    <t>MANTENIMIENTO DE ROBOT POR PARTE DE GILSON INTERNACIONAL. SERVICIO MEDIO AMBIENTE</t>
  </si>
  <si>
    <t>Contratación de instalaciones de toma eléctrica temporal para dar servicio a distintos eventos programados durante 2021.</t>
  </si>
  <si>
    <t>MARÍA VANESA CALZADA RODRIGUEZ</t>
  </si>
  <si>
    <t>Varios talleres de Igualdad a ejecutar en el Centro Municipal de la Igualdad durante 2021 / HASTA DICIEMBRE DE 2021</t>
  </si>
  <si>
    <t>Diseño e impresión de materiales para Campaña de Igualdad en 2021 / 1 AÑO</t>
  </si>
  <si>
    <t>Diseño e impresión de materiales para Plan de Juventud en 2021 / 1 DIA</t>
  </si>
  <si>
    <t>CAMPAÑA DIFUSION CONVOCATORIA SUBVENCIONES REACTIVA DIGITAL - PRENSA DIGITAL</t>
  </si>
  <si>
    <t>AM V. 26/2017FRIGORIF TEKA FTM327 245Lt 159x55x55 2PTA / LAMPARA *PH + TASA ECORAEE (10+10) /// DESTINO: PROT. SALUD PUB</t>
  </si>
  <si>
    <t>F-2238. CADIELSA. LAMPARA LED/ CONMUTADOR/ ADAPTADO/TECLA Y MARCO (2 C/UNO) ALBERGUE Y VIVIENDA C/ VICTORIA 1. 1 DIA</t>
  </si>
  <si>
    <t>MANTENENTO, MPLAFON LED+TASA / DOWNLIGHT+TASA (6+6) / DIFERENCIAL (2) / MAGNETOT (2)/ CPM PTE COLGANTE DURACION 1 DIA</t>
  </si>
  <si>
    <t>AC MARCO EXP.. V36-2017: SUMINISTROS VARIOS //// SERVICIO DE LIMPIEZA</t>
  </si>
  <si>
    <t>ACUERDO MARCO EXP V36-2017: NTICONGELANTE 3000 50% 185 K  ( 2 UNIDADES ) PARA VEHICULOS Sº LIMPIEZA</t>
  </si>
  <si>
    <t>AC MARCO EXP V36-2017: FILTRO HIDRAULICO CR-330/03  ( 3 UNIDADES ) PARA VEHIUCLOS Sº LIMPIEZA</t>
  </si>
  <si>
    <t>ACUERDO MARCO EXP V36-2017: ADBLUE A GRANEL  (1.500), ADITIVO GASOIL VEHICULOS Sº LIMPIEZA</t>
  </si>
  <si>
    <t>AC MARCO EXP V36-2017: LUBRICANTES PARA MOTORES Y CIRCUITOS HIDRÁULICOS DE VEHICULOS Sº LIMPIEZA</t>
  </si>
  <si>
    <t>AC MARCO EXP V36-2017: REPUESTOS PARA REPARACIONES EN VEHICULOS DEL Sº LIMPIEZA</t>
  </si>
  <si>
    <t>AC MARCO EXP V36-2017: DESENGRASNTES PARA LIMPIEZADE VIALES, MOBILIARIO URBANO Y VEHICULOS DEL Sº LIMPIEZA</t>
  </si>
  <si>
    <t>AC MARCO EXP V36-2017: RECOGEDORES PLEGLABES PARA LIMPIEZA VIARIA</t>
  </si>
  <si>
    <t>INSERCION PUBLICITARIA TRIBUNAVALLADOLID.COM-Campaña: Dif. Mercadillos Mpales-Banner -Del 22 al 30 diciembre AM30/2018</t>
  </si>
  <si>
    <t>CONTRATACION INSERCIONES PUBLICITARIAS EN TRIBUNA DIGITAL. CAMPAÑA  NAVIDAD DIFUSIÓN MERCADOS</t>
  </si>
  <si>
    <t>MATERIAL PARA EL CENTRO DE FORMACION PARA EL EMPLEO, PARA EL CURSO DE  PARQUES  Y JARDINES II</t>
  </si>
  <si>
    <t>MATERIAL PARA EL C.DE FORMACION PARA EL EMPLEO PARA EL CURSO,: 47/0014/2020 / CURSO: PINTURA DECORATIVA III- DURAC-1 DIA</t>
  </si>
  <si>
    <t>MANTEN. MATERIAL : 5 UDS - BOTE ESPUMA POLIURETANO 750MLPARA EL (CENTRO J.BENAVENTE- DURACION 1 DIA</t>
  </si>
  <si>
    <t>ALB.21-202328: PEGAMENTO PVC/ LIQUIDO LIMPIADOR/ MANGUITO/ CODOS/ TE/ MANGUITO EVACUAC./ SACO RAFIA (CC JOSE Mª LUELMO)</t>
  </si>
  <si>
    <t>ACUERDO MARCO. SUMINISTRO 12,50 UDS - TABLERO CONTR.PINO II/III 15MM</t>
  </si>
  <si>
    <t>FITOSANITARIA REGIONAL CASTELLANO-LEONESA, S.L</t>
  </si>
  <si>
    <t>ACUERDO MARCO 2017/36, PRODUCTOS FITOSANITARIOS.</t>
  </si>
  <si>
    <t>ACUERDO MARCO 2017/36, ADQUISICION DE ARBUSTOS.</t>
  </si>
  <si>
    <t>PANDORA MIRABILLA GÉNERO Y COMUNICACIÓN S.COOP.MAD</t>
  </si>
  <si>
    <t>Talleres prácticos de igualdad en Centro Municipal de la Igualdad en 2021 / Hasta diciembre 2021</t>
  </si>
  <si>
    <t>ACUERDO MARCO_8346KZY_VA9917Y_8367JKB_0701DKW_VA2712U (MANTENIMIENTO)</t>
  </si>
  <si>
    <t>MATERIAL, MACHÓN, ENLACE HEMBRA, PUNZÓN,FILTRO, DEL C FORMACIÓN  CURSO DE    PARQUES  Y JARDINES II-DURACION 1 DIA</t>
  </si>
  <si>
    <t>LAMPARA *PH SON-T PLUS + TASA/ LAMPARA PH TORNAD + TASA ECORAEE (5+5) /// DESTINO: CPM DELICIAS-DURACION  1 DIA</t>
  </si>
  <si>
    <t>MATERIAL DE PINTURA PATA ATENDER LAS NECESIDADES DE REPARACIONES EN COLEGIOS PÚBLICOS. PLAZO DE EJECUCIÓN 1 AÑO.</t>
  </si>
  <si>
    <t>GENEBRE-DOSIFICADOR DESINFE AUTOM ( 1 UNIDAD ) CC JOSÉ MARÍA LUELMO      /   DESTINO: CC JOSE MARIA LUELMO</t>
  </si>
  <si>
    <t>EZOS S.L.</t>
  </si>
  <si>
    <t>ADJUDICACION TALLER SENSIBILIZACION LOTE 1 ACCESIBILIDAD-32 E/H-DESDE FORMALIZACION A DIC 2021</t>
  </si>
  <si>
    <t>ADJUDICACION lote 2 TALLER EDUCATIVO SOBRE COMERCIO JUSTO-PLAN COOP.-29,50 E/H-DESDE FORMALIZACION A DIC 2021</t>
  </si>
  <si>
    <t>ADJUDICACION lote 3 TALLER EDUCATIVO PREVENCION USO INADECUADO TIC.-29,50 E/H-DESDE FORMALIZACION A DIC 2021</t>
  </si>
  <si>
    <t>ALB: 21-201268 ////// GRIFO DE BOLA MANGUERA 1/2"" (3) // MES ENERO 2021</t>
  </si>
  <si>
    <t>Servicio transitorio de Seguridad Zona Recreativa Pinar de Antequera para prevención del vandalismo / 15 días</t>
  </si>
  <si>
    <t>PLANTAS INTERIOR PARA SAN BENITO Y CPM RONDILLA PARA LOS ALUMNOS DEL CURSODE PARQUES Y JARDINES- DURAC 1 DÍA</t>
  </si>
  <si>
    <t>2021 10 2412 203</t>
  </si>
  <si>
    <t>ALQUILER BRAZO ARTICULADO  PARA EL C. DE FORMACION PARA EL EMPLEO, CURSO DE PARQUES Y JARDINES DEL 22/02 AL 24/02/2021</t>
  </si>
  <si>
    <t>INSPECCION PERIODICA OCA CON S.C.I. DEL APARATO ELEVADOR DEL CPM RONDILLA- DURACION 1 DIA</t>
  </si>
  <si>
    <t>CONTRATO DE MANTENIMIENTO DE CALEFACCIÓN, CLIMAT. Y ACS EN COMEDOR SOCIAL  PARA AÑO 2021.</t>
  </si>
  <si>
    <t>SUMINISTRO DE PINTURA Y DIVERSOS MATERIALES PARA PINTAR EN COLEGIOS PÚBLICOS. PLAZO DE EJECUCIÓN 1 AÑO.</t>
  </si>
  <si>
    <t>MANTENIMIENTO Y SUSTITUCIÓN DE ELEMENTOS DE JARDINERÍA EN COLEGIOS.P. DE VALLADOLID FUERA DE CONTRATO. 1 AÑO.</t>
  </si>
  <si>
    <t>DESARROLLO DE UN VISUALIZADOR WEB KNOSYS PARA INCLUIR EN LA APLICACIÓN WEB DE CONSULTA ACTUAL</t>
  </si>
  <si>
    <t>2021 04 9204 22700</t>
  </si>
  <si>
    <t>LIMPIEZA DEL CENTRO DE DIFUSIÓN TECNOLÓGICA, (CDIT)</t>
  </si>
  <si>
    <t>10 UDS - CONMUTADOR NIESSEN 1502 BL (SAN BENITO)</t>
  </si>
  <si>
    <t>BROCA/ TUERCA/ ARANDELA/ LLAVE PLANA/ LLAVE PARA CAMBINA DE CONTROL/ LLAVE L/ LLAVE PLANA/ JUEGO LLAVES ALLEN</t>
  </si>
  <si>
    <t>ALB: 21-202354 /////  MANGUITO EVACUACION DN 110 (4 UNIDADES) /// DESTINO: C.C. JOSE M. LUELMO</t>
  </si>
  <si>
    <t>MANTENIMIENTO, REPARACIONES, DOWL.MINI NORMALIT EHM14B LED 11W 4000K BL (CPM SAN JUAN)</t>
  </si>
  <si>
    <t>2021 09 3341 22700</t>
  </si>
  <si>
    <t>Contrato de limpieza de la Cúpula del Milenio dentro del contrato ""Centralizado de limpieza de dependencias municipales""</t>
  </si>
  <si>
    <t>2021 01 9312 22706</t>
  </si>
  <si>
    <t>CONTRATACION SERVICIO DE AUDITORIAS DE SUBVENCIONES</t>
  </si>
  <si>
    <t>PUERTA DE ACCESO PRINCIPAL C.C. PARQUESOL</t>
  </si>
  <si>
    <t>APERTURA Y CIERRE DE ROZA EN PARED EXTERIOR CON INTRODUCCIÓN DE TUBO ELÉCTRICO EN LOCAL C/ CONDE ARTECHE</t>
  </si>
  <si>
    <t>CERTIFICADO SERVIDOR SEGURO (SSL) PARA  LA WEB VALLANOCHE.ES</t>
  </si>
  <si>
    <t>Cambio de ubicación de los puntos de luz existentes en la Calle Resina.</t>
  </si>
  <si>
    <t>REPARACIÓN EN MOTOR DE VEHÍCULO 1520 DZM DEL SERVICIO DE LIMPIEZA</t>
  </si>
  <si>
    <t>Prórroga del contrato del servicio de mantenimiento de los portales web de Cultura y Turismo</t>
  </si>
  <si>
    <t>GASÓLEO A (11.000 L) // GASÓLEO DEL AÑO 2020; SEISYPC.</t>
  </si>
  <si>
    <t>CLIMATIZACION MARTIN S.L.</t>
  </si>
  <si>
    <t>MANTENIMIENTO DE LOS SISTEMAS DE CLIMATIZACIÓN DEL CENTRO MUNICIPAL DE DIFUSIÓN TECNOLÓGICA</t>
  </si>
  <si>
    <t>2021 06 3232 22200</t>
  </si>
  <si>
    <t>2ª PRORROGA CONTRATO CENTRALIZADO SERVICIOS TELEFONIA FIJA Y MOVIL. SERVICIO DE EDUCACION. ENERO A JUNIO(INCLUSIVE) 2021</t>
  </si>
  <si>
    <t>Compra de un certificado de sello electrónico para actuaciones automatizadas para el proyecto S2City</t>
  </si>
  <si>
    <t>2021 05 4331 22200</t>
  </si>
  <si>
    <t>Segunda Prorroga de Contrato de Telecomunicasiones (SE PC-40/2016) - Primer semestre de 2021 - Agencia de Innovación</t>
  </si>
  <si>
    <t>ACUERDO MARCO 2017/36, PIEZAS DE HIERRO PARA JARDINES.</t>
  </si>
  <si>
    <t>AC MARCO EXP V36-2017: SUMINISTRO DE REPUESTOS VEHICULOS DEL Sº DE LIMPIEZA</t>
  </si>
  <si>
    <t>AC MARCO EXP V36-2017: INTERCOOLER IIVECO REPARACION VEHIUCLO 2453 FZB DEL SERVICIO DE LIMPIEZA</t>
  </si>
  <si>
    <t>AC MARCO EXP V36-2017: CEPILLOS PARA REPARACION BARREDORAS MARCA RAVO DE LIMPIEZA VIARIA (36 UNIDADES)</t>
  </si>
  <si>
    <t>AC MARCO EXP. V36-2017: SUMINITROS PARA LIMPIEZA VIARIA</t>
  </si>
  <si>
    <t>ACUERDO MARCO 2017/36, MATERIAL DE CONSTRUCCION.</t>
  </si>
  <si>
    <t>PRORROGA CTTO TELECOMUNICACIONES HASTA JUNIO DE 2021. COMEDOR SOCIAL</t>
  </si>
  <si>
    <t>PRORROGA CTTO TELECOMUNCACIONES HASTA JUNIO 2021. RESTO CENTROS DEPENDIENTES S.INTERVENCIÓN SOCIAL.</t>
  </si>
  <si>
    <t>GRIFO DUCHA PRELAVADO GENEBRE (E.I.M. EL PRINCIPITO). Febrero</t>
  </si>
  <si>
    <t>SUMISTROS PARA MNTO DE COLEGIOS (CP I. MARTIN BARO/ CP EL PERAL/ CP VTE ALEXANDER/ CP N.ALONSO CORTÉS/ CP G. DE BERCEO)</t>
  </si>
  <si>
    <t>2021 10 2312 22200</t>
  </si>
  <si>
    <t>PRORROGA CONTRATO TELECOMUNICACIONES  HASTA JUNIO  2021- CPM TRANSFERIDOS</t>
  </si>
  <si>
    <t>PRORROGA CONTRATO TELECOMUNICACIONES HASTA JUNIO DE 2021- CPM SIN TRANFERIR</t>
  </si>
  <si>
    <t>ALB. 21-202422: ANDAMIO MILLENIUM/ ALB. 21-202769: ANDAMIO MODULAR MILLENIUM/ JUEGO 4 NIVELADORES/ SERVICIOS LOGÍSTICOS</t>
  </si>
  <si>
    <t>ALB.AV21/00348 DE 22/01/21: CAJA CARTÓN/ PILA/ CLAVIJA/ BASE GOMA NGRA/ GRAPAS/ GRAPADORA/ INDUCIDO VENTILADOR/ CARTUCHO</t>
  </si>
  <si>
    <t>PRORROGA CONTRATO SUMINISTRO GASOLINA PARA VEHICULOS Y MAQUINARIA SERVICIO DE LIMPIEZA VIARIA, EJERCICIO 2021</t>
  </si>
  <si>
    <t>2021 10 2312 632</t>
  </si>
  <si>
    <t>GRUPO 2T AZALEA, S.L. (TOLDOS VAY)</t>
  </si>
  <si>
    <t>TEJIDOS Y TOLDOS: REPOSICIÓN DE TEJIDO/ PUNTO RECTO (PLANTA BAJA Y 1º PLANTA - CPM RONDILLA)</t>
  </si>
  <si>
    <t>TOLDOS PÀRA EL CPM RONDILLA- DURACION DICEMBRE 2020</t>
  </si>
  <si>
    <t>ARREGLO DE HUMEDADES EN CC PARQUESOL</t>
  </si>
  <si>
    <t>CTO DE LIMPIEZA PARA 2021 Y 2022 DEL CFE JACINTO BENAVENTE ASIGNACIÓN A PM PINTURA DECORATIVA III (1/2 A 31/10/2020)</t>
  </si>
  <si>
    <t>SERVICIO CELADURIA DEL CFE DEL 1 /1/2021 AL 31/7/2022 ASIGNACIÓN A PM PINTURA DECORATIVA III (1/2 A 31/10/2021)</t>
  </si>
  <si>
    <t>2021 05 4315 22606</t>
  </si>
  <si>
    <t>Contrataciòn de la impresión y presentación en Correos de los recibos de padrón del IVTM y del IBI EJERCICIO 2021</t>
  </si>
  <si>
    <t>Diseño y maquetación de carteles anuales (2021) del Centro Municipal de la Igualdad / 1 año</t>
  </si>
  <si>
    <t>OPEN ENERGY 2012 SL</t>
  </si>
  <si>
    <t>HERRAMIENTA DE GESTION ENERGETICA GEMWEB</t>
  </si>
  <si>
    <t>SUMINISTRO KIT PATIN REPARACION CUCHILLA QUITANIEVES VEHICULO VA9018AB PARA LIMPIEZA VIARIA</t>
  </si>
  <si>
    <t>SUMINISTRO REPUESTOS PARA REPARACION EQUIPOS VEHÍCULOS Sº LIMPIEZA, FABRICADOS POR ROS ROCA</t>
  </si>
  <si>
    <t>SUMINISTRO GASOLEO VEHÍCULOS MANTENIMIENTO AÑO 2021</t>
  </si>
  <si>
    <t>CASTELLANA DE AFILADOS, SOCIEDAD LIMITADA</t>
  </si>
  <si>
    <t>AFILADO MÁQUINAS CENTRO MANTENIMIENTO</t>
  </si>
  <si>
    <t>2021 10 2412 22200</t>
  </si>
  <si>
    <t>PRORROGA CONTRATO TELECOMUNICACIONES HASTA JUNIO DE 2021  DEL  JACINTO BENAVENTE</t>
  </si>
  <si>
    <t>2021 03 9241 22200</t>
  </si>
  <si>
    <t>PRORROGA SERVICIOS DE TELEFONIA FIJA Y MOVIL DEL CENTRO DE PARTICIPACION CIUDADANA</t>
  </si>
  <si>
    <t>ACUERDO MARCO; EXPTE.:V.36_2017; LOTE 8; CHAPA 2 MM A MEDIDA/ ÁNG 60X60X6/ ANG 20X20X3/ PLETINA/ EXT COR MEDIDA; SEISYPC</t>
  </si>
  <si>
    <t>ACUERDO MARCO; EXPTE.: V.36_2017; LOTE 6; INTERRUP NIESSEN / MARCO 1E NIESSEN N2271.1-BL / BASTIDOR; SEISYPC.</t>
  </si>
  <si>
    <t>ACUERDO MARCO; EXPTE.: V.36_2017;LOTE 10; TB440 TUDOR TECHNICA / PILOTO POST DCHO / PIEZA RINDER /LAMP/ FUS/ BAT;SEISYPC</t>
  </si>
  <si>
    <t>ACUERDO MARCO; EXPTE.: V.36_2017; LOTE 8; CERRADURA AGA REF.135  C-40 (10 UDS) / QUEMADOR GAS B-530 / 2; SEISYPC</t>
  </si>
  <si>
    <t>AC MARCO EXP V36-2017: RADIADOR REPARACION VEHIUCLO 2453FZB DEL Sº LIMPIEZA</t>
  </si>
  <si>
    <t>AC MARCO EXP. V36-2017: REPUESTOS PARA REPARACIONES DE VEHICULOS DEL SERVICIO DE LIMPIEZA</t>
  </si>
  <si>
    <t>ESCOBILLERO COMPLETO BIG BL  CJ/2 ( 25 UNIDADES ) ////  DESTINO: CC JOSE LUIS MOSQUERA</t>
  </si>
  <si>
    <t>AC MARCO EXP V36-2017: SUMINISTRO REPUESTOS REPARACION BARREDORA E4762BFT DEL S. DE LIMPIEZA VIARIA</t>
  </si>
  <si>
    <t>AC MARCO EXP V36-2017: SUMINISTROS VARIOS PARA EL SERVICIO DE LIMPIEZA VIARIA</t>
  </si>
  <si>
    <t>AC MARCO EXP V36-2017: SUMINISTRO ADBLUE A GRANEL (1.400 L) PARA VEHICULOS Sº LIMPIEZA</t>
  </si>
  <si>
    <t>CONTRATO MENOR DE SERVICIOS DE ELABORACIÓN INFORMES Y TRABAJOS TOPOGRAFIA SERVICIO CARTOGRAFÍA</t>
  </si>
  <si>
    <t>Dominio igualdadvalladolid.es hasta 26 de febrero de 2022 / 1 AÑO</t>
  </si>
  <si>
    <t>TECNICAS DE CONTROL, PREVENCION Y GESTION AMBIENTAL, S.L (GEPRECON, S.L.)</t>
  </si>
  <si>
    <t>ASISTENCIA TECNICA PARA ESTRATEGIA DE PREVENCION Y GESTION DE RESIDUOS AYUNTAMIENTO DE VALLADOLID</t>
  </si>
  <si>
    <t>BRAVO INDIA SL</t>
  </si>
  <si>
    <t>Diseño, montaje y desmontaje de lonas en las fachadas de San Benito y Ayuntamiento eventos / Durante 2021</t>
  </si>
  <si>
    <t>Foco Portalámparas de Carril Trifásico para Bombil  ( 4 UNIDADES ) /// DESTINO: CENTRO MANTENIMIENTO</t>
  </si>
  <si>
    <t>AVENET IT SL</t>
  </si>
  <si>
    <t>CONTRATO MENOR SERVICIO INSTALACION Y MANTENIMIENTO SISTEMA CONEXION INTERNET POR WIFI CENTRO GALERIAS VA. 1 AÑO (21-22)</t>
  </si>
  <si>
    <t>GPI  CARPAS Y SERVICIOS S.L.</t>
  </si>
  <si>
    <t>MONTAJE BAZAR NAVIDEÑO EN ACERA RECOLETOS. CAMPAÑA NAVIDAD 2020-2021</t>
  </si>
  <si>
    <t>cONTRATO MENOR REPARACIONES DEL SISTEMA CONTRA INCENDIOS CÚPULA DEL MILENIO</t>
  </si>
  <si>
    <t>HERMANOS GUTIERREZ MARCOS 1988, S.L.</t>
  </si>
  <si>
    <t>ADECUACIÓN DEL ACCESO AL TEATRO CANTERAC EN EL CC DELICIAS</t>
  </si>
  <si>
    <t>SOLIMEF IBERICA S.L.</t>
  </si>
  <si>
    <t>OBRA REPARACIÓN PAVIMENTO CC CAMPILLO</t>
  </si>
  <si>
    <t>REPARACIÓN DE MOTOCICLETAS DE POLICÍA (ACUERDO MARCO EN TRAMITACIÓN).</t>
  </si>
  <si>
    <t>POR ERROR EN EL CÁLCULO DEL PRESUPUESTO CONTRATO MANTENIMIENTO EXTINTORES EDIF. DEL ÁREA</t>
  </si>
  <si>
    <t>SUMINISTRO DE GAS DEL CENTRO DE FORMACION PARA EL EMPLEO HASTA SEPTIEMBRE DE 2021</t>
  </si>
  <si>
    <t>2021 02 9332 624</t>
  </si>
  <si>
    <t>ADQUISICIÓN VEHÍCULO CENTRO MANTENIMIENTO DACIA DOKKER FURGON N1 ESSENTIAL 1.6 80 KW</t>
  </si>
  <si>
    <t>PRÓRROGA CONTRATO TELECOMUNICACIONES HASTA JUNIO DE 2021 DEL CFE JACINTO BENAVENTE</t>
  </si>
  <si>
    <t>ZAPATOS PARA LOS PORTEROS DE LOS CPM, 665,5 PARA LOS CENTROS TRANSF Y 410,19 PARA NO TRAN DEL AÑO 2020</t>
  </si>
  <si>
    <t>GUIA PAS ANGUILA NYLON 4x15m Natural/ EMERGENCIA LEGRAND/ CAJA EST LEGRAND/ BRIDA UNEX NEGRO (MANTENIMIENTO)</t>
  </si>
  <si>
    <t>TERMOSTA ORBIS ""CLIMA ML"" ANALOG/ LECCO BATERÍA/ TASA ECORAEE (MANTENIMIENTO - CERRAJERÍA)</t>
  </si>
  <si>
    <t>ACUERDO MARCO 2017/36, MATERIAL ELECTRICO PARA JARDINES.</t>
  </si>
  <si>
    <t>CONTRATO MENOR PUENTE PARA EL MANTENIMIENTO DE LOS PORTALES WEB DE CULTURA Y TURISMO</t>
  </si>
  <si>
    <t>COVID-19 : MASCARILLAS FFP2 60.000 UNIDADES. - MATERIAL EPI DISTINTOS SERVICIOS MUNICIPALES ESPECIAL RIESGO.</t>
  </si>
  <si>
    <t>2021 08 1532 624</t>
  </si>
  <si>
    <t>ADQUISICIÓN DE VEHÍCULO  RENAULT KADJAR 7091-KDY.-</t>
  </si>
  <si>
    <t>Suministro medicamentos para asistencia sanitaria prestada en el Departamento de Prevención y Salud Laboral</t>
  </si>
  <si>
    <t>ISABEL REVILLA  RODRIGUEZ</t>
  </si>
  <si>
    <t>PROROGA CONTRATO TALLERES DE CONSUMO EN CENTROS ESCOLARES CURSOS ESCOLARES 2020-2021 Y 2021-2022</t>
  </si>
  <si>
    <t>REPARACIÓN DE VEHÍCULO 3357 GHK DE POLICÍA MUNICIPAL ( ACUERDO MARCO EN TRAMITACIÓN)</t>
  </si>
  <si>
    <t>ESTUDIO DE LA IMPLANTACION DE UNA OFICINA DE DATOS EN EL AYUNTAMIENTO DE VALLADOLID</t>
  </si>
  <si>
    <t>TECHFRIENDLY SL</t>
  </si>
  <si>
    <t>Contrato de asistencia técnica para participación de la ciudad de Valladolid, en el marco de ""Horizonte Europa""2021/2027</t>
  </si>
  <si>
    <t>BARACALDO</t>
  </si>
  <si>
    <t>EXPTE SE 72/2017. P.S. 1. PRORROGA CONTRATO PRESTACION DE ACTIVIDADES ESCUELA MUNICIPAL DE MUSICA. CURSOS 20/21 Y 21/22.</t>
  </si>
  <si>
    <t>SUMINISTRO CALZADO AÑO 2020 PERSONAL UNIDAD REGIMEN INTERIOR</t>
  </si>
  <si>
    <t>TALLERES HERMANOS MORRONDO, S.L.</t>
  </si>
  <si>
    <t>ACABADO DE UN MURO DE AMBAS CARAS PARA REPRESALIADOS GUERRA CIVIL CEMENTERIO DEL CARMEN</t>
  </si>
  <si>
    <t>ADJUDICACION CONTRATO SUMINISTRO CALZADO 2021 PERSONAL ADSCRITO UNIDAD REGIMEN INTERIOR</t>
  </si>
  <si>
    <t>IBERICA DE SALES S.A.</t>
  </si>
  <si>
    <t>SUMINISTRO DE SAL DE MINA A GRANEL PARA EPISODIOS DE NEVADAS O HELADAS</t>
  </si>
  <si>
    <t>REMOLINOS</t>
  </si>
  <si>
    <t>ZARAGOZA</t>
  </si>
  <si>
    <t>SUMINISTRO Y COLOCACION  DE TRES PULGADORES PARA LA SALA DE CALDERA DEL CPM DELICIAS- DURACION 1 DIA</t>
  </si>
  <si>
    <t>DATAMARS IBÉRICA, S.L.U.</t>
  </si>
  <si>
    <t>ADQUISICION DE MICROCHIPS PARA LA IDENTIFICACION DE LOS GATOS FERALES</t>
  </si>
  <si>
    <t>CONTRATO LIMPIEZA DE VESTUARIOS DEL SERVICIO DE PARQUES Y JARDINES.</t>
  </si>
  <si>
    <t>SERVICIO TRANSITORIO DE SEGURIDAD ZONA RECREATIVA PINAR DE ANTEQUERA</t>
  </si>
  <si>
    <t>UNIPREX,S.A.U.</t>
  </si>
  <si>
    <t>PUBLICIDAD EN ONDA CEROPRESUPUESTOS PARTICIPATIVOS SPC</t>
  </si>
  <si>
    <t>S.S.DE LOS REYES</t>
  </si>
  <si>
    <t>Servicio de seguridad para el Centro Integrado (actual albergue). 2021. COVID-19</t>
  </si>
  <si>
    <t>LIMPIEZA DEPENDENCIAS DEL SERVICIO DE LIMPIEZA, ENERO - MARZO 2021</t>
  </si>
  <si>
    <t>ACTUACIÓN EN ENVOLVENTE DEL EDIFICIO DISTRITO 4º POLICÍA MUNICIPAL . CTRA. RUEDA.</t>
  </si>
  <si>
    <t>CONTRATO DE GESTIÓN DE LA ESCUELA DE FORMACIÓN Y ANIMACIÓN JUVENIL. FORMALIZACION A FIN DE AÑO</t>
  </si>
  <si>
    <t>AC MARCO EXP V36-2017: INTERRUPTOR PARA VESTUARIO LIMPIEZA ROSALEDA</t>
  </si>
  <si>
    <t>AC MARCO EXP V36-2017: SUMINISTROS ELECTRICOS PARA EL Sº DE LIMPIEZA</t>
  </si>
  <si>
    <t>AC MARCO EXP V36-2017. COLOCAR PURGADOR EN FANCOIL SISTEMA CLIMATIZACIÓN EDIFICIO Sº LIMPIEZA C/ TOPACIO</t>
  </si>
  <si>
    <t>2021 07 1701 22102</t>
  </si>
  <si>
    <t>OBRA REFORMA BAÑOS CIC EL EMPECINADO</t>
  </si>
  <si>
    <t>CONTRATO CENTRALIZADO. ADJUDICACIÓN CELADURÍA CENTRO MUNICIPAL DE LA IGUALDAD. AÑO 2021 Y DEL 01/01 AL 31/07 DE 2022</t>
  </si>
  <si>
    <t>F-3050. CADIELSA VALLADOLID, S.L.U. BASE SCH NIESSEN 8288.2-BA Monoblock (1 UNIDAD ) DESTINO: VIVIENDA G.CETINA 2. 1 DIA</t>
  </si>
  <si>
    <t>CONTRATO EMERG.DESAYUNOS, MERIENDAS Y TEC. INTERV. PARA PERSONAS SIN HOGAR-DURACION 3 M:ENE A MARZO-COVID-19</t>
  </si>
  <si>
    <t>CONTRATO LIMPIEZA INSTALACIONES DEL SERVICIO DE LIMPIEZA, AÑOS 2021 Y 2022</t>
  </si>
  <si>
    <t>RECOGIDA DE RESIDUOS VEGETALES.</t>
  </si>
  <si>
    <t>SERVICIO DE RESTAURACION DEL CENTRO DE DÍA HUERTA DEL REY DE ENERO A DICIEMBRE DE 2021</t>
  </si>
  <si>
    <t>ACUERDO MARCO SUMINISTRO DE ACEITES PARA TALLER DE REPARACIÓN DE AUTOMÓVILES DE POLICÍA.</t>
  </si>
  <si>
    <t>PRIMERA PRORROGA AL CONTRATO APLICACION DE CALCULO COSTES DEL AYUNTAMIENTO Y ORGANISMOS AUTONOMOS DEL PRESUPUESTO 2020</t>
  </si>
  <si>
    <t>AC MARCO EXP.- V36-2017: SUMINISTRO MATERIAL FONTANERIA REPARACION EN INSTALACIONES Sº LIMPIEZA C/ TOPACIO</t>
  </si>
  <si>
    <t>HIDROBOMBA, S.L.</t>
  </si>
  <si>
    <t>ACUERDO MARCO 2017/36, MATERIAL DE JARDINERIA.</t>
  </si>
  <si>
    <t>ACUERDO MARCO 2017/36, SUMINISTRO DE TIERRA VEGETAL.</t>
  </si>
  <si>
    <t>ACUERDO MARCO 2017/36, SUMINISTRO DE ARBUSTOS.</t>
  </si>
  <si>
    <t>ACUERDO MARCO 2017/36, REPUESTOS PARA VEHICULOS.</t>
  </si>
  <si>
    <t>AM-V.36/2017 - PALETA STOP-PASO (2 UD)/ GUANTE NITRILO LIGERO 2002 (12 UD)/ GUANTE HYCRON 27-602 T-8 (12 UD)</t>
  </si>
  <si>
    <t>BEATRIZ MAJO TOME</t>
  </si>
  <si>
    <t>Asistencia a la mesa redonda ""Las Leonas de Castilla"" el día 12/03/2021 por día internacional de la mujer / 1 DIA</t>
  </si>
  <si>
    <t>PONFERRADA</t>
  </si>
  <si>
    <t>ALBERTO CORADA ALONSO</t>
  </si>
  <si>
    <t>AGUILAR DE CAMPOO</t>
  </si>
  <si>
    <t>OBRA REHABILITACION PISO DOS SALAS PLANTA SÓTANO CC DELICIAS</t>
  </si>
  <si>
    <t>PRORROGA RECOGIDA/ATENCION VETERINARIA ANIMALES DOMESTICOS ABANDONADOS/PERDIDOS /TARDES/NOCHES/FINES SEMANA/FESTIVOS L-1</t>
  </si>
  <si>
    <t>WOLTERS KLUWER ESPAÑA, S.A.</t>
  </si>
  <si>
    <t>LICENCIAS Y SUSCRIPCIONES AÑO 2021 A ""LA LEY DIGITAL"", ""EL CONSULTOR"" Y ""PORTAL DE REVISTAS"".</t>
  </si>
  <si>
    <t>OBRA INSONORIZACION SALA ASOCIACION FAMILIAR DELICIAS</t>
  </si>
  <si>
    <t>SHS  CONSULTORES S L</t>
  </si>
  <si>
    <t>MTO. Y ASIST. TÉC. DEL SISTEMA DE GESTIÓN DE PERSONAL Y NÓMINA, BASADO EN META4 E-MIND (REAJUSTE DE ANUALIDADES)</t>
  </si>
  <si>
    <t>ACCIONES CORRECTIVAS EN PUERTAS MANUALES Y AUTOMÁTICAS DE LAS DEPENDENCIAS DE POLICÍA MUNICIPAL.</t>
  </si>
  <si>
    <t>MEDIDAS CORRECTIVAS DOS ASCENSORES DEPENDENCIAS DE LA POLICÍA MUNICIPAL EN AVDA. BURGOS.</t>
  </si>
  <si>
    <t>REPARACIÓN DE VEHÍCULOS DE POLICÍA MUNICIPAL (3999JKT Y 0672HHG). ACUERDO MARCO EN TRAMITACIÓN,</t>
  </si>
  <si>
    <t>2021 09 3341 22602</t>
  </si>
  <si>
    <t>ASOC. CULTURAL CINEMATOGRAFICA""LA FILA""</t>
  </si>
  <si>
    <t>CONTRATO MENOR PATROCINIO FESTIVAS DE CORTOMETRAJES ""LA FILA""</t>
  </si>
  <si>
    <t>MTO. Y ASIST. TÉCNICA DEL SISTEMA DE GESTIÓN DE PERSONAL Y NÓMINA, BASADO EN META4 E-MIND PARA EL AYTO. DE  VALLADOLID</t>
  </si>
  <si>
    <t>SUMINISTRO DE GASOLINA ESTACIÓN DE SERVICIO DEL 1 DE ENERO AL 31 DE DIC. DE 2021. 1ª PRÓRROGA DEL CONTRATO.</t>
  </si>
  <si>
    <t>2021 02 9332 203</t>
  </si>
  <si>
    <t>ALQUILER DE CONTENEDORES SEGÚN NECESIDADES DEL CENTRO DE MANTENIMIENTO</t>
  </si>
  <si>
    <t>SERESCO S.A.</t>
  </si>
  <si>
    <t>ADJ.CONTRATO SERVICIOS PARA ACTUALIZACIÓN DE DATOS CATASTRALES</t>
  </si>
  <si>
    <t>ADJUDICA SUMINISTRO AÑO 2021 RESMAS PAPELES ESTUCADOS DISTINTOS GRAMAJES Y TIPOS - IMPRENTA</t>
  </si>
  <si>
    <t>AC MARCO EXP V36-2017: BOLSAS PARA EL SERVICIO DE LIMPIEZA VIARIA</t>
  </si>
  <si>
    <t>AC MARCO EXP V36-2017: SUMINISTRO HERRAMIENTA PARA EL PERSONAL DEL TALLER MECÁNICO DEL Sº DE LIMPIEZA</t>
  </si>
  <si>
    <t>2 UD - PRESTO MANETA FLUXOMETRO / 2 UD - PRESTO PISTON (EIM CAMPANILLA). FEBRERO</t>
  </si>
  <si>
    <t>BATERIA (1 UNIDAD) / MANO DE OBRA  (0,20) ////// VEHICULO MATRÍCULA: 9688-DTP</t>
  </si>
  <si>
    <t>contrato ayuda a domicilio -lote 2 comidas SAD- ajuste posible fondo COVID-19</t>
  </si>
  <si>
    <t>VIGILANCIA SIN ARMAS EN DIAS LABORABLES DEL CENTRO SANTIAGO LOPEZ.</t>
  </si>
  <si>
    <t>VIGILANCIA SIN ARMAS EN DIAS LABORABLES CENTRO SEGUNDO MONTES</t>
  </si>
  <si>
    <t>CONTARTO SUMINISTRO GAS NATURAL CFE JACINTO BENAVENTE HASTA SEPTIEMBRE 2021.AD BARRADO</t>
  </si>
  <si>
    <t>2021 04 9204 22701</t>
  </si>
  <si>
    <t>SERVICIOS DE CONSERJERIA DEL CENTRO DE DIFUSIÓN TECNOLÓGICA (CDIT) DEL AYUNTAMIENTO DE VALLADOLID)</t>
  </si>
  <si>
    <t>SE-EIJI 9/2020. PRORROGA CONTRATO DE ACTIVIDADES PARA POBLACION INFANTIL Y ADOLESTENTE. PERIODO VACACIONAL.01/01 A 20/06</t>
  </si>
  <si>
    <t>Adjudicación directa</t>
  </si>
  <si>
    <t>2021 06 3232 632</t>
  </si>
  <si>
    <t>2021 06 3261 632</t>
  </si>
  <si>
    <t>2021 06 3231 632</t>
  </si>
  <si>
    <t>2021 08 1513 83100</t>
  </si>
  <si>
    <t>2021 01 9207 213</t>
  </si>
  <si>
    <t>2021 06 3232 633</t>
  </si>
  <si>
    <t>2021 07 1701 623</t>
  </si>
  <si>
    <t>2021 07 1701 633</t>
  </si>
  <si>
    <t>2021 02 1501 224</t>
  </si>
  <si>
    <t>2021 03 9241 22706</t>
  </si>
  <si>
    <t>2021 03 9241 223</t>
  </si>
  <si>
    <t>2021 11 1321 623</t>
  </si>
  <si>
    <t>2021 07 1711 623</t>
  </si>
  <si>
    <t>2021 02 9332 22799</t>
  </si>
  <si>
    <t>2021 06 3261 624</t>
  </si>
  <si>
    <t>2021 02 1501 22706</t>
  </si>
  <si>
    <t>2021 08 1651 22706</t>
  </si>
  <si>
    <t>2021 08 1532 22104</t>
  </si>
  <si>
    <t>2021 02 9332 22104</t>
  </si>
  <si>
    <t>2021 08 1532 22706</t>
  </si>
  <si>
    <t>2021 04 9204 626</t>
  </si>
  <si>
    <t>2021 10 2312 626</t>
  </si>
  <si>
    <t>2021 06 2315 22619</t>
  </si>
  <si>
    <t>2021 11 1321 626</t>
  </si>
  <si>
    <t>2021 03 9241 635</t>
  </si>
  <si>
    <t>2021 10 2316 22616</t>
  </si>
  <si>
    <t>2021 11 3111 632</t>
  </si>
  <si>
    <t>2021 06 2315 22706</t>
  </si>
  <si>
    <t>D/</t>
  </si>
  <si>
    <t>2021 10 2311 635</t>
  </si>
  <si>
    <t>2021 06 2315 626</t>
  </si>
  <si>
    <t>2021 04 9202 16204</t>
  </si>
  <si>
    <t>2021 09 3341 22706</t>
  </si>
  <si>
    <t>2021 10 2412 633</t>
  </si>
  <si>
    <t>2021 07 1623 22700</t>
  </si>
  <si>
    <t>2021 10 2312 22706</t>
  </si>
  <si>
    <t>2021 07 1721 22602</t>
  </si>
  <si>
    <t>2021 03 9241 633</t>
  </si>
  <si>
    <t>2021 07 1701 22602</t>
  </si>
  <si>
    <t>2021 06 2315 22614</t>
  </si>
  <si>
    <t>2021 11 1621 624</t>
  </si>
  <si>
    <t>2021 11 1321 624</t>
  </si>
  <si>
    <t>2021 11 1361 624</t>
  </si>
  <si>
    <t>2021 08 1651 204</t>
  </si>
  <si>
    <t>2021 06 2315 212</t>
  </si>
  <si>
    <t>2021 09 4321 22706</t>
  </si>
  <si>
    <t>2021 06 2314 22706</t>
  </si>
  <si>
    <t>2021 06 2315 623</t>
  </si>
  <si>
    <t>2021 08 1532 22699</t>
  </si>
  <si>
    <t>2021 02 1501 22104</t>
  </si>
  <si>
    <t>2021 02 9332 633</t>
  </si>
  <si>
    <t>2021 01 9206 223</t>
  </si>
  <si>
    <t>2021 06 3321 223</t>
  </si>
  <si>
    <t>2021 02 1511 641</t>
  </si>
  <si>
    <t>2021 06 3321 629</t>
  </si>
  <si>
    <t>2021 02 1511 212</t>
  </si>
  <si>
    <t>2021 01 9203 22602</t>
  </si>
  <si>
    <t>2021 01 9205 22104</t>
  </si>
  <si>
    <t>2021 04 3121 22000</t>
  </si>
  <si>
    <t>2021 10 2412 22706</t>
  </si>
  <si>
    <t>2021 01 9207 22699</t>
  </si>
  <si>
    <t>2021 06 3321 22699</t>
  </si>
  <si>
    <t>2021 02 9332 623</t>
  </si>
  <si>
    <t>2021 10 2313 22699</t>
  </si>
  <si>
    <t>2021 04 3121 22104</t>
  </si>
  <si>
    <t>2021 11 1631 219</t>
  </si>
  <si>
    <t>2021 11 1361 22799</t>
  </si>
  <si>
    <t>2021 06 2315 22699</t>
  </si>
  <si>
    <t>2021 06 3261 22699</t>
  </si>
  <si>
    <t>2021 07 1701 22699</t>
  </si>
  <si>
    <t>2021 09 3301 22699</t>
  </si>
  <si>
    <t>2021 02 1501 22602</t>
  </si>
  <si>
    <t>2021 06 3261 22602</t>
  </si>
  <si>
    <t>2021 02 1511 22602</t>
  </si>
  <si>
    <t>2021 01 9206 22000</t>
  </si>
  <si>
    <t>2021 05 4315 22199</t>
  </si>
  <si>
    <t>2021 06 3232 215</t>
  </si>
  <si>
    <t>2021 07 1721 22104</t>
  </si>
  <si>
    <t>2021 11 1321 224</t>
  </si>
  <si>
    <t>2021 05 4315 22799</t>
  </si>
  <si>
    <t>2021 05 4314 22199</t>
  </si>
  <si>
    <t>2021 11 1302 22602</t>
  </si>
  <si>
    <t>2021 10 2312 22612</t>
  </si>
  <si>
    <t>ADJ. CONTRATO S.SALUD EXPTE.LOTE 3 DE LA FASE II DE LA ACTUACION EN ARU 29 OCTUBRE EN C/VILLABAÑEZ</t>
  </si>
  <si>
    <t>Segundo</t>
  </si>
  <si>
    <t>servicio de coordinación de seguridad y salud de la obra: CUBIERTA CPM LA VICTORIA</t>
  </si>
  <si>
    <t>COORDINACION DE SEGURIDAD Y SALUD OBRAS DE SUSTITUCIÓN SOLADOS PVC VARIOS CENTROS ESCOLARES.</t>
  </si>
  <si>
    <t>SEGURIDAD Y SALUD EN LA OBRA DE MEJORA DE VARIAS AULAS EN EL COLEGIO PÚBLICO MARIA DE MOLINA.</t>
  </si>
  <si>
    <t>COORDINACION DE SEGURIDAD Y SALUD POR LA REFORMA DE SOLERAS EN LOS PATIOS DEL CEIP VICENTE ALEIXANDRE Y PONCE DE LEÓN</t>
  </si>
  <si>
    <t>COORDINACION DE SEGURIDAD Y SALUD POR LAS OBRAS DE REFORMA ASEOS CASA DE NIÑOS Y NIÑAS EN PAJARILLOS.</t>
  </si>
  <si>
    <t>Estudio de Seguridad y Salud - C/ Caño Argales, 3 (Partida presupuestaria 08.153.2.619) Orden Ejecución 113/2013</t>
  </si>
  <si>
    <t>LIBERACION CREDITO MODIFICACION DISMINUCION CONTRATO LOTE 1 FERIA LIBRO</t>
  </si>
  <si>
    <t>AIG EUROPE SA SUCURSAL EN ESPAÑA</t>
  </si>
  <si>
    <t>AMPLIACION PRIMA 1/4 AL30/9 DE 2021 RESPONSABILIDAD CIVIL DE AUTORIDADES Y PERSONAL</t>
  </si>
  <si>
    <t>ACTUALIZACIÓN PRIMA AMPLIACIÓN DEL SEGURO DE RESPONSABILIDAD CIVIL AUTORIDADES Y PERSONAL PERIODO (01-01-21/31-03-21)</t>
  </si>
  <si>
    <t>ALBA PRIETO VILLARRAGUT</t>
  </si>
  <si>
    <t>CONTRATO DE SERVICIOS DE MANTENIMIENTO DE LOS PORTALES WEB DE CULTURA Y TURISMO</t>
  </si>
  <si>
    <t>ALQUILER Y MANTENIMIENTOS DE NUEVOS EQUIPOS IMPRESION Y FOTOCOP. VARIOS CEAS DE 1 DE ABRIL A 31 DICIEMBRE 2021</t>
  </si>
  <si>
    <t>COPIAS MÁQUINAS MULTIFUNCIÓN (CONTRATO CENTRALIZADO) DE ALCALDÍA, GOBIERNO Y RELACIONES, Y CONSEJO ECONÓMICO ADMON.</t>
  </si>
  <si>
    <t>F-371. ALPA. ALQUILER TRIMESTRAL 01/10/2020 - 31/12/2020. N.SERIE: R4Q9Z32148 - FC011319. CEAS DELICIAS CANTERAC</t>
  </si>
  <si>
    <t>F-384. ALPA. ALQUILER TRIMESTRAL R4Q9Z31989 -FC011332. CEAS DELICIAS ARGALES. DEL 01-10-20  AL 31-12-20</t>
  </si>
  <si>
    <t>F-386. ALPA. ALQUILER TRIMESTRAL. R4Q9Z32173 - FC011316. CEAS PAJARILLOS. DE 01-10-20  AL 31-12-20</t>
  </si>
  <si>
    <t>F-387. ALPA. ALQUILER TRIMESTRAL 01/10/2020 - 31/12/2020. N.SERIE: R4Q9Z32175 - FC011317. CEAS HOSPITAL</t>
  </si>
  <si>
    <t>F-388. ALPA. ALQUILER TRIEMSTRAL. R4Q9Z32181 - FC011318. CEAS PAJARILLOS ALTOS. DEL 01-10-20  AL 31-12-20</t>
  </si>
  <si>
    <t>F-389. ALPA. ALQUILER TRIMESTRAL 01/10/2020 - 31/12/2020. N.SERIE: R4Q9Z32182 - FC011330 UBICACION: CEAS BELEN PILARICA</t>
  </si>
  <si>
    <t>F-392. ALPA. ALQUILER TRIMESTRAL. R4Q9Z32149 - FC011331. CEAS BARRIO ESPAÑA DEL 01-10-20  AL  31-12-20</t>
  </si>
  <si>
    <t>F-406. ALPA. ALQUILER TRIEMSTRAL  R319Z00988 - FC011347. CEAS HOSPITAL. DEL 01-10-20  AL 31-12-20</t>
  </si>
  <si>
    <t>F-423. ALPA. ALQUILER 01/10/2020 - 31/12/2020. N.SERIE: R319Z00982 - FC011422. SAN BENITO PUERTA 1</t>
  </si>
  <si>
    <t>F-425. ALPA. ALQUILER 01/10/2020 - 31/12/2020. N.SERIE: R319Z01005 - FC011348. UBICACION: SAN BENITOPUERTA 2</t>
  </si>
  <si>
    <t>F-5513. ALPA. ALQUILER 01/04/2020 - 30/06/2020. N.SERIE: R319Z01005 - FC011348. UBICACION: SAN BENITO PUERTA 2</t>
  </si>
  <si>
    <t>ARAMARK SERVICIOS DE CATERING S.L.</t>
  </si>
  <si>
    <t>EXPTE SE 4/2021. ADJUDICACIÓN DEL PROGRAMA ""COMPARTIENDO EN VERANO 2021"" Julio y agosto.</t>
  </si>
  <si>
    <t>CONTRATO DE SUMINISTRO DE PIEZAS DE REPUESTO ASCENSORES LOTE 1 EXPT. 58/2020 (MANT. 12 COLEGIOS Y E.M.M) 1 AÑO.</t>
  </si>
  <si>
    <t>LOTE 3: MANTENIMIENTO ASCENSORES EDIFICIOS DEPENDIENTES DEL SERVICIO DE PARTICIPACIÓN CIUDADANA</t>
  </si>
  <si>
    <t>MANTENIMIENTO DE EQUIPOS - COLEGIOS // PERIODO: 01/11/2020 - 10/11/2020</t>
  </si>
  <si>
    <t>SUMINISTRO DE PATIN PUERTAS AUTOMATICAS DEL ELEVADOR DEL CPM VICTORIA- DURACION 1 DIA</t>
  </si>
  <si>
    <t>SUBSANACION DE DEFECTOS ENCONTRADOS AL REALIZAR LA INSPECCION  DEL ASCENSOR DEL CPM FRAY LUIS Y PTE. COLGANTE- DUR 1 DIA</t>
  </si>
  <si>
    <t>AJUSTE PRESUPUESTARIO DEL MATENIMIENTO DEL ASCENSOR DEL JACINTO BENVENTE PARA 2021-CF PARA EL  EMPLEO</t>
  </si>
  <si>
    <t>SUMINISTRO, INSTALACIÓN, CONFIGURACIÓN Y PUESTA EN MARCHA DE DOS CORTAFUEGOS, LOTE 5, JUNIO A AGOSTO 2021</t>
  </si>
  <si>
    <t>MTO. DEL SISTEMA DE INFORMACIÓN DEL PADRÓN MUNICIPAL DE HABITANTES DEL AYUNTAMIENTO DE VALLADOLID, PRIMERA PRÓRROGA</t>
  </si>
  <si>
    <t>ACTUALIZACIÓN PRIMAS DE SEGUROS FLOTA DE VEHÍCULOS (LOTE 3). PERIODO DEL 05/02/2021 al 05/02/2022. Expte.15/2020 PS 1.</t>
  </si>
  <si>
    <t>Patrim - Patrimoniales</t>
  </si>
  <si>
    <t>ACTUALIZACIÓN DE PRIMAS DE SEGUROS DE DAÑOS MATERIALES (LOTE 2). PERIODO 05/02/2021 AL 05/02/2022. Expte.15/2020. PS 1.</t>
  </si>
  <si>
    <t>CALEFACCION AUTOMATICA S.L.</t>
  </si>
  <si>
    <t>EXPEDIENTE SE 3/2021. SUSTITUCION CALDERAS DE GAS EN CEIP A. GARCIA QUINTANA, LOTE 1</t>
  </si>
  <si>
    <t>AJUSTE PRESUPUESTO MANTENIMIENTO CALEFACCION PARA EL AÑO 2021 DEL CENTRO DE FORMACION PARA EL EMPLEO- JACINTO BENAVENTE</t>
  </si>
  <si>
    <t>CONSTRUCCIONES Y OBRAS LLORENTE, S.A.</t>
  </si>
  <si>
    <t>CONTRATO DE CONSERVACIÓN DE VIAS PÚBLICAS. LOTE 2, AGLOMERADO.-</t>
  </si>
  <si>
    <t>ELSAMEX GESTIÓN DE INFRAESTRUCTURAS, S.L.</t>
  </si>
  <si>
    <t>PRORROGA HASTA 30/11/21, CONTRATO DE MANTENIMIENTO DEL MOBILIARIO URBANO.</t>
  </si>
  <si>
    <t>PRORROGA CONTRATO MANTENIMIENTO MOBILIARIO URBANO, HASTA 30/11/2021, MODIFICACION EN TERCERO.</t>
  </si>
  <si>
    <t>ENCLAVE FORMACIÓN, S.L.U.</t>
  </si>
  <si>
    <t>EXPTE SIJI 1/2020 PS 1. REAJUSTE CONTRATACION DE SERVICIOS PARA EL IV PLAN DE INSERCION LABORAL. LOTE 1. HASTA MAYO 2021</t>
  </si>
  <si>
    <t>CALIBRACIONES  APARATOS/INSTRUMENTOS DEL SERVICIO MEDIO AMBIENTE (EXP. VS 18/18)</t>
  </si>
  <si>
    <t>REVISIÓN DE PRECIOS NEGATIVA AÑO  2021 MANTENIMIENTO INTEGRAL DE LA RCCAVA. PIEZA SEPARADA 3  VS 3/17</t>
  </si>
  <si>
    <t>CONTRATO MANTENIMIENTO JARDINES ZONA CENTRO, HASTA 31/12/2021.</t>
  </si>
  <si>
    <t>LOTE 4: MANTENIMIENTO EXTINTORES Y SISTEMAS CONTRA INCENDIOS EDIFICIOS DEPENDIENTES SERVICIO DE PARTICIPACIÓN CIUDADANA</t>
  </si>
  <si>
    <t>FCC MEDIO AMBIENTE SA</t>
  </si>
  <si>
    <t>CONTRATO RECOGIDA CONTENEDORES AMARILLOS ""ENVASES"", PERIODO JULIO 2021 A JUNIO 2023</t>
  </si>
  <si>
    <t>SIJI 1/2020 PS 1. REAJUSTE CONTRATACION DE SERVICIOS PARA EL IV PLAN DE INSERCION LABORAL. LOTE 2. HASTA MAYO 2021.</t>
  </si>
  <si>
    <t>PR-SE 10/2021.(PS 3 EXPTE SE 10/2019). PRORROGA SUMINISTRO DE GAS EN COLEGIOS PUBLICOS. 01/10/2021 A 31/12/2021.</t>
  </si>
  <si>
    <t>PRÓRROGA CONTRATO SUMINISTRO DE GAS (DEL 01/10 AL 31/12 DE 2021) SERVICIO DE PARTICIPACIÓN CIUDADANA</t>
  </si>
  <si>
    <t>SUMINISTRO GAS EN CENTROS DE PERSONAS MAYORES DEL  1/10  A  31/12/2021</t>
  </si>
  <si>
    <t>PRÓRROGA CONTRATO GAS NATURAL EDIFICIOS MUNICIPALES DESDE  UNO DE OCTUBRE  A 31 DE DICIEMBRE DEL 2021</t>
  </si>
  <si>
    <t>IMPORTE SUMINISTRO DE GAS A POLICÍA MUNICIPAL DEL 1 DE OCTUBRE AL 31 DE DICIEMBRE DE 2021.</t>
  </si>
  <si>
    <t>2º AMPLIACIÓN CONTRATO SUMINISTRO GAS CENTRO INTEGRADO 2021. COVID-19</t>
  </si>
  <si>
    <t>PR-SE 10/2021.(PS 3 EXPTE SE 10/2019). PRORROGA SUMINISTRO DE GAS EN ESCUELAS INFANTILES. 01/10/2021 A 31/12/2021.</t>
  </si>
  <si>
    <t>Suministro de gas en CEAS, Comedor Social y Centro Integrado de 1/10 a 31/12/2021</t>
  </si>
  <si>
    <t>Contrato de suministro de gas natural desde el 01/10/2021 al 31/12/2021; Expte.: PR_SE 10_2021; SEISYPC.</t>
  </si>
  <si>
    <t>PRORROGA CONTRATO SUMINISTRO GAS NATURAL SERVICIO LIMPIEZA  1-10 AL 31-12-2021</t>
  </si>
  <si>
    <t>SISTEMA DE INFORMACIÓN PRESUPUESTARIA, CONTABLE Y FINANCIERA (SICALWIN) PRIMERA PRÓRROGA</t>
  </si>
  <si>
    <t>ANGEL RODRIGUEZ  SAN JOSÉ</t>
  </si>
  <si>
    <t>OBRAS PINTURA EN CEIP VICENTE ALEIXANDRE,S.FERNANDO,FRANCISCO DE QUEVEDO,MIGUEL DE CERVANTES Y PONCE DE LEON. PLZ:45D</t>
  </si>
  <si>
    <t>CONTRATO DE OBRAS PARA LA MEJORA DE VARIAS AULAS EN EL COLEGIO PUBLICO MARIA DE MOLINA. Plazo de ejecución: 40 días.</t>
  </si>
  <si>
    <t>DUERO TERCER MILENIO S.L.</t>
  </si>
  <si>
    <t>OBRAS DE REPARACIÓN DE SUELOS DE MADERA EN EL CEIP ISABEL LA CATÓLICA Y SAN FERNANDO. PLAZ EJEC: 2 MESES</t>
  </si>
  <si>
    <t>OBRAS REPARACION GOTERAS EN LOS COLEGIOS PUBLICOS ANTONIO MACHADO, CARDENAL MENDOZA Y GONZALO DE CORDOBA. PLZ EJ: 2 M</t>
  </si>
  <si>
    <t>prorroga contrato suministro de gas en Centro Formación Jacinto Benavente  de 1/10 a 31/12/2021</t>
  </si>
  <si>
    <t>TOMAS CABEZAS S.L.</t>
  </si>
  <si>
    <t>ACTUACIONES PREVIAS TEATRO LOPE DE VEGA VALLADOLID</t>
  </si>
  <si>
    <t>FERNANDO DEL POZO RAPOSO</t>
  </si>
  <si>
    <t>SE 13/2013. CONTRATO MENOR DE OBRAS PINTURAS EN DIVERSOS COLEGIOS PUBLICOS. PLAZO EJECUCION 1 MES</t>
  </si>
  <si>
    <t>ESGUEVA REFORMAS PINTURA Y CONSTRUCCION, S.L.</t>
  </si>
  <si>
    <t>OBRAS SUSTITUCIÓN SOLADOS PVC EN CP PABLO PICASSO-GONZALO DE CORDOBA-CARDENAL MENDOZA-FRAY LUIS DE LEON.PLZ EJ:40D</t>
  </si>
  <si>
    <t>MACOSARFER S.L.</t>
  </si>
  <si>
    <t>Eliminación de bajantes de fibrocemento en centros educativos de Valladolid. Duración 2 meses. 2021</t>
  </si>
  <si>
    <t>MARUQUESA CONSTRUCCIONES Y SERVICIOS,S.L</t>
  </si>
  <si>
    <t>Actuaciones de mejora de accesibilidad y energéticas en el local de Andrés de Laorden, 8 bajo del Ayuntamiento de VA.</t>
  </si>
  <si>
    <t>TRABAJOS EN HORMIGÓN CASTILLA, S.L.</t>
  </si>
  <si>
    <t>SUSTITUCION CUBIERTAS DE FIBROCEMENTO EN CENTROS EDUCATIVOS. PLAZO DE EJECUCIÓN 2 MESES DESDE EL 1 DE JULIO</t>
  </si>
  <si>
    <t>VALLADOLIS</t>
  </si>
  <si>
    <t>PR-SE 10/2021.(PS 3 EXPTE SE 10/2019). PRORROGA SUMINISTRO DE GAS EN BIBLIOTECAS PUBLICAS. 01/10/2021 A 31/12/2021.</t>
  </si>
  <si>
    <t>PR-SE 10/2021. (PS 3 EXPTE SE 10/2019). PRORROGA SUMINISTRO DE GAS CENTRO MUNICIPAL DE LA IGUALDAD. 01/10 A 31/12/2021</t>
  </si>
  <si>
    <t>GAS NATURAL OMIC 1-10-2021 AL 31-12-2021</t>
  </si>
  <si>
    <t>CONTROL CALIDAD OBRAS REHABILITACIÓN CUATRO BLOQUES EN CALLE VILLABAÑEZ,12,14,16 Y 18(29 OCTUBRE FASE II).</t>
  </si>
  <si>
    <t>CABERO EDIFICACIONES, S.A.</t>
  </si>
  <si>
    <t>MANTENIMIENTO ELIMINACIÓN RIESGOS EN AZUCARERA STA.VICTORIA (PARQUE LAS NORIAS) PARA MANTENER CONDICIONES DE SEGURIDAD.</t>
  </si>
  <si>
    <t>W.R.BERKLEY EUROPE AG, SUCURSAL EN ESPAÑA</t>
  </si>
  <si>
    <t>ADJ. EXPTE.CONTRATO DE SEGUROS RESPONSABILIDAD CIVIL DE LOS TEC. DEL AREA DEL 01-05 A 31-10-2021 Y 1.11.21 A 30.04.22</t>
  </si>
  <si>
    <t>2ª PRÓRROGA SERVICIO DE ASESORAMIENTO PRESUPUESTOS PARTICIPATIVOS</t>
  </si>
  <si>
    <t>AJUSTE PRESUPUESTARIO CONTRATO LIMPIEZA DEL CENTRO DE FORMACION PARA EL EMPLEO AÑO 2021</t>
  </si>
  <si>
    <t>LOTE 5: MANTENIMIENTO ZONAS VERDES DE EDIFICIOS DEPENDIENTES DEL SERVICIO DE PARTICIPACIÓN CIUDADANA</t>
  </si>
  <si>
    <t>PRORROGA DEL CONTRATO DE SERVICIO DE DISTRIBUCION, ALMACENAJE Y CUSTODIA DE PUBLICACIONES DEL AYUNTAMIENTO DE VALLADOLID</t>
  </si>
  <si>
    <t>JUAN ANTONIO HUIDOBRO PIRIZ</t>
  </si>
  <si>
    <t>TRABAJOS DE REDACCIÓN DE PROYECTOS PARA EL ÁREA DE PARTICIPACIÓN CIUDADANA Y DEPORTES</t>
  </si>
  <si>
    <t>TRANSPORTE E INSTALACIÓN DE ESCENARIOS, SILLAS Y MESAS PARA EVENTOS DE PARTICIPACIÓN CIUDADANA</t>
  </si>
  <si>
    <t>4 SINGULAR ESTRATEGIA &amp; INNOVACION, S.L.</t>
  </si>
  <si>
    <t>Contratación de asistencia técnica de diseño y organización de tres ciclos de seminarios web (webinars)</t>
  </si>
  <si>
    <t>EBOGA SOLUCIONES Y SERVICIOS DE SEGURIDAD INTEGRAL, S.L.</t>
  </si>
  <si>
    <t>CONTRATACIÓN DE SISTEMA DE ESCANEO DE MATRÍCULAS DE VEHÍCULOS PARA POLICÍA MUNICIPAL.</t>
  </si>
  <si>
    <t>LAS ROZAS DE MADRID</t>
  </si>
  <si>
    <t>FRANCISCO JAVIER RODRIGUEZ CONDE</t>
  </si>
  <si>
    <t>Organización, gestión, coordinación, funcionamiento y formación de encuentros y talleres en el marco del LUC</t>
  </si>
  <si>
    <t>ADQUISICION Y RESTAURACION DE CONTENEDORES PARA PODA.</t>
  </si>
  <si>
    <t>Estudio geotécnico en Estadio Zorrilla. Proyecto Urban Waterbuffer (UWB) (Expt. 05 IDEEC_AI-21/2021)</t>
  </si>
  <si>
    <t>NETTIUM THE E BISINESS COMPANY SL</t>
  </si>
  <si>
    <t>Contrato de asistencia técnica de asesoramiento especializado para el comercio minotrista para impulsar la T. D.en negoc</t>
  </si>
  <si>
    <t>EL ESPINAR</t>
  </si>
  <si>
    <t>REAJUSTE  ANUNALIDADES DEL CONTRATO DE SERVICIO DE DISTRIBUCIÓN, ALMACENAJE Y CUSTODIA DE PUBLICACIONES DEL AYTO. VALLAD</t>
  </si>
  <si>
    <t>VACIADO Y PUESTA EN SERVICIO  INSTALACIÓN DE BOMBEO EN APARCAMIENTO MUNICIPAL SITO EN PZA.SOLIDARIDAD</t>
  </si>
  <si>
    <t>SABARIA ESTUDIOS Y GEOTECNIA, S.L.L.</t>
  </si>
  <si>
    <t>ESTUDIO GEOTÉCNICO PARA LA REDACCIÓN DEL PROYECTO DE URBANIZACIÓN EN AVDA. DE MADRID</t>
  </si>
  <si>
    <t>SERVICIOS DE ALTA, GESTIÓN Y MANTENIMIENTO DE LOS ACCESOS PÚBLICOS A INTERNET DE LOS EDIFICIOS MUNICIPALES DEL  AYTO.</t>
  </si>
  <si>
    <t>SUMINISTRO VEHICULO FURGON 2 PLAZAS PARA EL SERVICIO DE EDUCACIÓN</t>
  </si>
  <si>
    <t>CENTRO MATERIAL SANITARIO, S.A.</t>
  </si>
  <si>
    <t>ADQUISICIÓN DE DESFIBRILADORES EXTERNOS SEMIAUTOMÁTICOS (DESA)) PARA POLICÍA MUNICIPAL.</t>
  </si>
  <si>
    <t>CULTURA &amp; COMUNICACION SERVICIOS ESPECIALIZADOS DE COMUNICACION, S.L.</t>
  </si>
  <si>
    <t>Contrato de consultoría, asistencia técnica de estudio y propuesta de valor, espacio municipal en nave de Valle Arán,1</t>
  </si>
  <si>
    <t>ELECTROCASTILLA 2000 S.L.</t>
  </si>
  <si>
    <t>OBRAS REFORMQ INSTALACIÓN ELÉCTRICA ARCHIVO MUNICIPAL</t>
  </si>
  <si>
    <t>CONTEXTOS DE ARQUITECTURA Y URBANISMO SLU</t>
  </si>
  <si>
    <t>ESTUDIOS PARA LA IMPLANTACIÓN DE UN PARQUE AGROALIMENTARIO Y LOGÍSTICO DEL NUEVO COMPLEJO FERROVIARIO</t>
  </si>
  <si>
    <t>LIMPIEZA PLAYA MORERAS CON MAQUINARIA ESPECIFICA DEL 24/06 AL 20/09 DEL 2021.</t>
  </si>
  <si>
    <t>VERSATIL SERVIZOS EDITORIAIS S.L.U.</t>
  </si>
  <si>
    <t>Tercera semana escolar de sensibilización sobre Igualdad de Género en Centros Escolares / 1 SEMANA</t>
  </si>
  <si>
    <t>A.T. de Ingeniero Técnico Industrial para el Centro de Alumbrado Público derl S.E.P.I.</t>
  </si>
  <si>
    <t>ACLAD, ASOCIACION DE AYUDA</t>
  </si>
  <si>
    <t>PROGRAMA DE PREVENCION DE CONSUMO DE ALCOHOL,TABACO Y CANNABIS EN LAS SONAS DE OCIO DE VALLADOLID DURANTE 2021</t>
  </si>
  <si>
    <t>TOLTEN CONSULTORIA DE NEGOCIO, SL</t>
  </si>
  <si>
    <t>ASISTENCIA TECNICA : ANÁLISIS, POTENCIACIÓN Y DESARROLLO DE RECURSOS RESULTANTES DEL MAPA DE RECURSOS -PROMOC.SALUD-</t>
  </si>
  <si>
    <t>Suministro Equipos de Protección Individual (ropa de trabajo y abrigo) y uniformidad para personal brigadas del SEPI.-</t>
  </si>
  <si>
    <t>Adjudicación mant.jardines de mayo a diciembre-cpm rondilla 3.476,65 y cpm delicias 6.456,64</t>
  </si>
  <si>
    <t>CONTRATO DE SERVICIOS DE APOYO TAREAS DE COMUNICACIÓN Y PROMOCIÓN DE ACTIVIDADES Y PROYECTOS DE LA AGENCIA DE INNOVACION</t>
  </si>
  <si>
    <t>CONTRATO REPARTO E INTERCAMBIO DOCUMENTACION ENTRE SERV.CENTRALES Y CEAS,CPMS Y CFE JB-ABRIL A DIC-114,16 IVA INC</t>
  </si>
  <si>
    <t>ADJUDICACION Contrato mantenimiento jardines comedor social-mayo a diciembre 2021</t>
  </si>
  <si>
    <t>MERCADOS CENTRALES DE ABASTECIMIENTO SA</t>
  </si>
  <si>
    <t>APOYO AL AYTO EN EL PROCESO  DE REFORMA DE LAS INSTALACIONES DE LA GALERIAS RONDILLA. EN EL AÑO 21-22</t>
  </si>
  <si>
    <t>CONTROL TRASLADO MATERIAL ACOPIADO EN PARC.URBANAS 97607-03 Y 97607-4 AVDA. SANTANDER (SUELO REPARACIÓN FR-4</t>
  </si>
  <si>
    <t>AJUSTE MATERIAL DE OFICINA, PAPELERIA DEL CENTRO DE FORMACION PARA EL EMPLEO DURANTE 2021</t>
  </si>
  <si>
    <t>EULEN SEGURIDAD S.A.</t>
  </si>
  <si>
    <t>Contrato menor de vigilancia de las instalaciones y del normal desarrollo de la Feria del Libro 2021</t>
  </si>
  <si>
    <t>CIVIL 4, S.L.</t>
  </si>
  <si>
    <t>CONTRATO DE SERVICIOS DE REDACCIÓN DE PROYECTO ""URBAN WATERBUFER VALLADOLID (UWB)</t>
  </si>
  <si>
    <t>ADJUDICAR EXPTE.LOTE 3 DE LA FASE II DE LA ACTUACION EN ARU 29 OCTUBRE EN C/VILLABAÑEZ</t>
  </si>
  <si>
    <t>CENTRO INVESTIGACION ENERGETICO MEDIO AMBIENTE Y TECNOLOGICO</t>
  </si>
  <si>
    <t>NECESIDAD DE ASESORAMIENTO TECNICO SOBRE MEDIDA DE BLACK CARBON EN AIRE AMBIENTE. SERVICIO DE MEDIO AMBIENTE</t>
  </si>
  <si>
    <t>Modificación alumbrado lateral números pares de Calle Fuente el Sol, entre C/ Tierra y Paseo Jardín Botánico.-</t>
  </si>
  <si>
    <t>CONTRATO MANTENIMIENTO JARDINES ZONA NORTE, HASTA 31/12/2021.</t>
  </si>
  <si>
    <t>IBECON 2003, S.L.</t>
  </si>
  <si>
    <t>adjudicación LOTE 1- curso at.sociosanit.en instit.soc 15.120 y en domicilio 20.160-IBECON</t>
  </si>
  <si>
    <t>ABASTSPI S.A.</t>
  </si>
  <si>
    <t>SUMINISTRO DE LICENCIAS DE MICROSOFT SQL SERVER CON DESTINO AL DEPARTAMENTO DE TECNOLOGÍAS DE LA INFORMACIÓN</t>
  </si>
  <si>
    <t>Control Calidad. Saldo IFS-2019 no iniciado. Ejecución e Instalación de elevadores en calles Ánade, Estornino y Oriol.-</t>
  </si>
  <si>
    <t>servicio de control de calidad de las obras: CUBIERTA CPM LA VICTORIA.</t>
  </si>
  <si>
    <t>SUMINISTRO VESTUARIO Y EQUIPOS DE PROTECCIÓN INDIVIDUAL EPIs PARA EL PERSONAL DEL CENTRO DE MANTENIMIENTO</t>
  </si>
  <si>
    <t>Seguridad y Salud.  IFS-2019 no iniciado. Ejecución e Instalación de elevadores en calles Ánade, Estornino y Oriol.-</t>
  </si>
  <si>
    <t>ADQUISICIÓN DE 14 LICENCIAS CONCURRENTES PARA KNOSYS MANAGER ENTERPRISE</t>
  </si>
  <si>
    <t>Coord Seguridad y Salud en Construcción carril bici C/ Páramo S. Isidro cruce con Pº Juan Carlos I- C/ Milagros.</t>
  </si>
  <si>
    <t>Coord.Seguridad y Salud Construcción carril bici en Parque Central de Parquesol, 1ª Fase.-</t>
  </si>
  <si>
    <t>FUNDACION ALDABA</t>
  </si>
  <si>
    <t>CONTRATO MENOR DEL PROGRAMA RESISTENCIA NO VIOLENCIA Y OTRAS ACTUACIONES EN EL ÁMBITO INTRAFAMILIAR</t>
  </si>
  <si>
    <t>Coord.Seguridad y Salud Construcción primer tramo acera y carril bici a Fuente Berrocal - Ctra. Fuensaldaña.-</t>
  </si>
  <si>
    <t>MATERIAL DE PINTURA PARA EL C. DE FORMACION PARA EL EMPLEO , CURSO DE P. DECORATIVA II DEL FEBRERO A NOVIEMBRE DE 2021</t>
  </si>
  <si>
    <t>Estudios de Seguridad y Salud de 2 lotes del Proyecto de  Remodelación Alumbrado Públizo en Barrio Pajarillos. -</t>
  </si>
  <si>
    <t>EZSA SANIDAD AMBIENTAL, S.L.</t>
  </si>
  <si>
    <t>CONTRATO MENOR CONTROL BIOLOGICO DE MOSQUITOS EN EL TERMINO MUNICIPAL DE VALLADOLID EN 2021</t>
  </si>
  <si>
    <t>REDACCIÓN DEL PROYECTO DE INSTALACIONES: OBRA DE REHABILITACIÓN DEL ANTIGUO FRONTÓN DE LAS FLORES PARA CENTRO DOTACIONAL</t>
  </si>
  <si>
    <t>INGERNOVA SOLUCIONES DE INGENIERÍA, S.L.</t>
  </si>
  <si>
    <t>CERTIFICACION Nº 3 Y FINAL - ENERO-21 - RENOVACIÓN DE ALUMBRADO DEL PSO DE RENACIMIENTO -LOTE 1 - EXPTE: 27/2019</t>
  </si>
  <si>
    <t>INSTALACION Y MANTENIMIENTO DE FRIO Y CALOR, S.L.</t>
  </si>
  <si>
    <t>EXPEDIENTE SE 3/2021. SUSTITUCION CALDERAS DE GAS EN CEIP MACIAS PICAVEA. LOTE 2</t>
  </si>
  <si>
    <t>ADQUISICIÓN DE LIBRERÍA SOFTWARE COMPATIBLE CON EL ENTORNO DE PROGRAMACIÓN .NET</t>
  </si>
  <si>
    <t>LOTE 7: MANTENIMIENTO  ALARMAS ANTI-INTRUSIÓN CON ASISTENCIA 24H EDIFICIOS DEPENDIENTES DE PARTICIPACIÓN CIUDADANA</t>
  </si>
  <si>
    <t>REPARACIONES DE LOS SISTEMAS DE SEGURIDAD EDIF.MUNICIPALES</t>
  </si>
  <si>
    <t>LOTE 2. Contrato de Servicios Coordinación de Seguridad y Salud en Obras y Proyecto del Ayto.Valladolid (Expte.12/2018)</t>
  </si>
  <si>
    <t>SEGURIDAD EDIFICIOS CONVENTO CATALINAS Y TEATRO LOPE DE VEGA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</si>
  <si>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</si>
  <si>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</si>
  <si>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</si>
  <si>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</si>
  <si>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</si>
  <si>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MANT. NUEVO ASCENSOR PABLO PICASSO 2020 Y COMPRA Y SUSTITUCIÓN DE PIEZAS ASCENSORES AÑO 2021. PLAZO 1 AÑO.</t>
  </si>
  <si>
    <t>ARQUITECTURA E INGENIERIA IMAE, S.L.</t>
  </si>
  <si>
    <t>REDACCIÓN DE PROYECTOS (SELECCIONADOS EN PESUPUESTOS PARTICIPATIVOS 2021-2022)</t>
  </si>
  <si>
    <t>ASOCIACIÓN OTRO TIEMPO</t>
  </si>
  <si>
    <t>Talleres de Igualdad a ejecutar en el Centro Municipal de la Igualdad  / DURANTE 2021</t>
  </si>
  <si>
    <t>CODISOIL, S.A.</t>
  </si>
  <si>
    <t>SUMINISTRO GASOLEO B PARA EL HORNO INCINERADOR CMPA - AÑO 2021</t>
  </si>
  <si>
    <t>Servicio de Asesoría sexológica en Espacios Jóvenes | DURANTE 2021</t>
  </si>
  <si>
    <t>EDUARDO DAROCA BELLO</t>
  </si>
  <si>
    <t>Asistencia Técnica en trabajos de delineación de Arquitectura e Ingenieria.-</t>
  </si>
  <si>
    <t>CAYUELA</t>
  </si>
  <si>
    <t>JUEGOS KOMPAN, S.A.</t>
  </si>
  <si>
    <t>SUMINISTRO E INSTALACIÓN DE JUJEGOS INFANTILES EN PLAZA DE LA CEBADA. P.S.-9, SISTEMA DINAMICO.</t>
  </si>
  <si>
    <t>MATARO</t>
  </si>
  <si>
    <t>LINEAS Y CABLES S.A.</t>
  </si>
  <si>
    <t>SUMINISTRO Y MAQUETACIÓN DE ORDENADORES PORTÁTILES LOTE 2 , DE JUNIO A DICIEMBRE 2021</t>
  </si>
  <si>
    <t>POZUELO DE ALARCÓN</t>
  </si>
  <si>
    <t>PILAR SOLA  PIZARRO</t>
  </si>
  <si>
    <t>Impresión de cartelería para diferentes Campañas de Igualdad hasta el 31/12/2021 / 9 MESES</t>
  </si>
  <si>
    <t>INSTALACION DE INFRAESTRUCTURA  WIFI EN EL CPM ARCA REAL- DURACION 1 DIA.</t>
  </si>
  <si>
    <t>CARTELERÍA DE SEÑALIZACIÓN PARA PARQUES CANINOS.</t>
  </si>
  <si>
    <t>GESTION INTEGRAL DE PROYECTOS Y CONSTRUCCIONES DDR S.L.</t>
  </si>
  <si>
    <t>REPARACION FILTRACIONES Y CANALÓN CUBIERTA ESCUELA INFANTIL EL PRINCIPITO. PLAZO DE EJECUCIÓN: 2 MESES</t>
  </si>
  <si>
    <t>FUNDACION GENERAL DE LA UNIVERSIDAD VALLADOLID</t>
  </si>
  <si>
    <t>CONTRATO MANTENIMIENTO DEL SERVICIO DE ANÁLISIS Y CONTROL DEL OBSERVATORIO CULTURAL Y TURÍSTICO DEL AYTO VALLADOLID</t>
  </si>
  <si>
    <t>REPARACION SOLADO COLUMPIOS COLEGIOS IÑIGO DE TORO Y MACIAS PICAVEA Y REPARACIÓN DE PELDAÑOS IÑIGO DE TORO. 1 MES.</t>
  </si>
  <si>
    <t>IVAN PEREZ  TOMILLO</t>
  </si>
  <si>
    <t>REDACCIÓN DEL PROYECTO DE ADAPTACIÓN Y ADECUACIÓN EN ANEXOS DEL DISTRITO 2º.</t>
  </si>
  <si>
    <t>INGENIERÍA DE OBRAS Y SERVICIOS, S.A.</t>
  </si>
  <si>
    <t>SISTEMATIZACIÓN DE LA DOCUMENTACIÓN DEL EXPTE 40/2016 Pieza Separada 4.</t>
  </si>
  <si>
    <t>RED ARQUITECTURA E INTERIORISMO S.L.</t>
  </si>
  <si>
    <t>SUSTITUCIÓN DE ESCALERA DE ACCESO AL EDIFICIO DE INFANTIL DEL COELGIO PABLO PICASSO. PLAZO 1 MES.</t>
  </si>
  <si>
    <t>CONTRATO DE SERVICIOS DE GESTION Y DESARROLLO DE LAS ACTIVIDADES INFANTILES EN EPOCAS DE VACACIONES ESCOLARES 2021</t>
  </si>
  <si>
    <t>IGNACIO BARCELÓ BLANCO-STEGER</t>
  </si>
  <si>
    <t>CONTRATO DE SERVICIO DE CONSERVACIÓN PREVENTIVA Y DE RESTAURACIÓN DE DOCUMENTOS  Y DE OBRAS PICTÓRICAS, AÑO 2021.</t>
  </si>
  <si>
    <t>MANTENIMIENTO DE SISTEMAS CONTRA INCENDIOS EN EDIFICIOS Y VEHÍCULOS DE POLICÍA MUNICIPAL.</t>
  </si>
  <si>
    <t>MARSDIGITAL, S.L.</t>
  </si>
  <si>
    <t>ADJUDICACION LOTE 2 CURSO COMPETENCIAS CLAVE NIVEL 2 CERTIF.SIN PROF.SIN IDIOMAS-MARSDIG.</t>
  </si>
  <si>
    <t>ASISTENCIA TÉCNICA PARA CONTROL DE LA EJECUCIÓN DE LOS SERVICIOS DE MANTENIMIENTO DE LOS EDIFICIOS DEPENDIENTES DEL SPC</t>
  </si>
  <si>
    <t>12 SUSCRIPCIONES ANUALES AL DIARIO ""EL MUNDO"" PARA LAS DISTINTAS ÁREAS DEL AYUNTAMIENTO DE VALLADOLID, AÑO 2021.</t>
  </si>
  <si>
    <t>SUMINISTRO REPUESTOS REPARACION BARREDORAS RAVO (DISTRIBUIDOR DE LA MARCA EN ESPAÑA: SVAT) PARA LIMPIEZA VIARIA</t>
  </si>
  <si>
    <t>Importe del IVA del contrato de asistencia de un ingeniero industrial para el Centro de Alumbrado del SEPI</t>
  </si>
  <si>
    <t>FORMATO DIGITAL ACTIVIDADES PUBLICITARIAS, S.L.</t>
  </si>
  <si>
    <t>ADQUISICIÓN DE ALCOHOLÍMETRO PARA POLICÍA MUNICIPAL (INCLUYE EQUIPO, FUNDA PROTEC., MALETÍN Y 100 BOQUILLAS)</t>
  </si>
  <si>
    <t>JUMILLA</t>
  </si>
  <si>
    <t>VALTECSA</t>
  </si>
  <si>
    <t>VALORACIÓN PARCELAS CON OBJETO DE SU POSTERIOR CESIÓN</t>
  </si>
  <si>
    <t>LOTE 1: MANTENIMIENTO CALEFACCIÓN Y CLIMATIZACIÓN EDIFICIOS DEPENDIENTES DEL SERVICIO DE PARTICIPACIÓN CIUDADANA</t>
  </si>
  <si>
    <t>LOTE 1: MOBILIARIO GENERAL CENTROS CÍVICOS</t>
  </si>
  <si>
    <t>OBRAS HERZACO, S.L.</t>
  </si>
  <si>
    <t>Construcción Primer Tramo de acera y carril bici a Fuente Berrocal entre PK 1-1990 y PK 2-280 de Ctra. Fuensaldaña.-</t>
  </si>
  <si>
    <t>CASTRONUEVO DE ESGÜEVA</t>
  </si>
  <si>
    <t>VALLALDOLID</t>
  </si>
  <si>
    <t>SUMINISTRO E INSTALACIÓN DE MATERIALES PARA REPARACIONES NECESARIAS EN CALEFACCIÓN DE DISTINTOS CENTROS DEL SPC</t>
  </si>
  <si>
    <t>ITURRI S.A.</t>
  </si>
  <si>
    <t>Mangueras contraincendios (calidad 4K y sup HP), de 25 y 45 mm. de diámetro para bajas,medias y alltas presiones;SEISYPC</t>
  </si>
  <si>
    <t>OMEGA PERIPHERALS, S.L.</t>
  </si>
  <si>
    <t>SUMINISTRO, INSTALACIÓN, CONFIGURACIÓN Y PUESTA EN MARCHA DE ESTACIONES DE TRABAJO, LOTE 3 DE JUNIO A DICIEMBRE 2021</t>
  </si>
  <si>
    <t>PROMOCION Y GESTION EDUCATIVO SOCIAL,SL.</t>
  </si>
  <si>
    <t>IMPARTICIÓN DE ACCIONES FORMATIVAS MIXTAS Y PRESENCIALES PARA PERSONAS INMIGRANTES Y OTROS COLECTIVOS.2021</t>
  </si>
  <si>
    <t>Adquisición, inst., puesta en serv y legalización de 3 ptos de recarga para vehículos eléctr SEISYPC</t>
  </si>
  <si>
    <t>Mixto-Mixto</t>
  </si>
  <si>
    <t>INGENIERIA, ESTUDIOS Y PROYECTOS EUROPEOS S.L.</t>
  </si>
  <si>
    <t>Contrato de A.T. de Modificación del proyecto de remodelación de la Avda. Reyes Católicos.-</t>
  </si>
  <si>
    <t>FUENLABRADA</t>
  </si>
  <si>
    <t>ARIAS GARRIDO ARQUITECTOS, S L P</t>
  </si>
  <si>
    <t>REDACCION DEL PROYECTO Y LA DIRECCION FACULTATIVA DE LA OBRA DE MEJORA DE LAS INSTALACIONES DEL CMPA</t>
  </si>
  <si>
    <t>PROTEC SOLANA,S.L.</t>
  </si>
  <si>
    <t>SUMINISTRO DE 150 SUDADERAS - POLAR RESCATE (SPSC 8/2020 - LOTE 2); SEISYPC.</t>
  </si>
  <si>
    <t>ARNEDO</t>
  </si>
  <si>
    <t>CARLOS ANDRÉS DEL RÍO  INGELMO</t>
  </si>
  <si>
    <t>REDACCIÓN DE PROYECTO BÁSICO Y DE EJECUCCIÓN DE PABELLÓN MULTIUSOS PARA EL CENTRO MUNICIPAL DE LA IGUALDAD / 1 DIA</t>
  </si>
  <si>
    <t>DISEÑO Y PUESTA EN MARCHA DE LA WEB DE LA AGENDA URBANA 2030. SERVICIO DE MEDIO AMBIENTE</t>
  </si>
  <si>
    <t>CONTRATACIÓN DEL MANTENIMIENTO DEL SERVICIO DE TELECOMUNICACIONES DE  POLICÍA Y SEISPC EJERCICIO 2021.</t>
  </si>
  <si>
    <t>DIFUSION ACTIVIDADES IGUALDAD Y VIOLENCIA DE GENERO EN CENTRO MUNICIPAL DE LA IGUALDAD | 1 DIA</t>
  </si>
  <si>
    <t>Recon. médicos empleados nuevo ingreso durante los meses de enero a marzo. Departamento de Prevencion y Salud Laboral</t>
  </si>
  <si>
    <t>REAJUSTE DE ANUALIDADES  CONTRATO MANTENIMIENTO TELECOMUNICACIONES ( ENTRADA EN VIGOR EN FECHA POSTERIOR)</t>
  </si>
  <si>
    <t>LUIS ARIAS SASTRE</t>
  </si>
  <si>
    <t>ADJUDICA ADQUISICIÓN RECUBRIMIENTO BATERIAS TINTA Y AGUA MÁQUINA OFFSET IMPRENTA MUNICIPAL</t>
  </si>
  <si>
    <t>REALIZACIÓN PRUEBAS FÍSICAS OPOSICIÓN 68 PEONES DE LIMPIEZA. -MJSI-</t>
  </si>
  <si>
    <t>FACTURACIÓN COMISIÓN S/VENTAS FACTURADAS EN DATÁFONOS 2021</t>
  </si>
  <si>
    <t>DISELTI S.L.</t>
  </si>
  <si>
    <t>Suministro e instalación de revestimiento cubierta de TEMPLETE en Plaza Diego Criado del Rey</t>
  </si>
  <si>
    <t>GRAÑEDA, S.A.</t>
  </si>
  <si>
    <t>MASCARILLAS PERSONALIZADAS PROGRAMA ACTUVA (2.000 UDS)</t>
  </si>
  <si>
    <t>Adquisición de mobiliario para dependencias CEAS y centros de Intervención Social 2021</t>
  </si>
  <si>
    <t>SEIDOR S.A.</t>
  </si>
  <si>
    <t>SUMINISTRO DE LICENCIAS DE OFIMÁTICA, LOTE 4 , DE JUNIO A DICIEMBRE 2021</t>
  </si>
  <si>
    <t>RAYUELA PRODUCCIONES TEATRALES, S.L.</t>
  </si>
  <si>
    <t>CONTRATO ASISTENCIA PARA ELABORACIÓN PLIEGOS SUMINISTRO E INSTALACIÓN DE MEDIOS AUDIOVISUALES AGENCIA DE INNOVACIÓN.</t>
  </si>
  <si>
    <t>GESTION Y EXPLOTACION DEL PUNTO LIMPIO DEL PUESTO 29 DELO MERCADO DE LAS DELICIAS</t>
  </si>
  <si>
    <t>RENOVACIÓN DE 10 SUSCRIPCIONES ANUALES A LA PUBLICACIÓN EL MUNDO, DEL 03/01/2020 AL 02/01/2021</t>
  </si>
  <si>
    <t>SUMINISTRO DE DOS LICENCIAS DE WINDOWS 2019 DATACENTER Y UNA LICENCIA DE WINDOWS SERVER2019 ,LOTE 6, JUNIO A AGOSTO 2021</t>
  </si>
  <si>
    <t>EQUIPAMIENTO INFORMATICO CENTRO MUNICIPAL DE LA IGUALDAD / 1 DIA</t>
  </si>
  <si>
    <t>SERINZA SOLUTIONS S.L.</t>
  </si>
  <si>
    <t>SETEX APARKI, S.A.</t>
  </si>
  <si>
    <t>2ª  PRÓRROGA  CONTRATO RETIRADA  VEHÍCULOS DE LA VÍA PÚBLICA  DEL 25 DE SEP. AL 31 DE DIC. DE 2021.</t>
  </si>
  <si>
    <t>Cambio farolas instalando placas de led  y modificar linstalación de alumbrado en Calle Pasión. Plazo ejecución: 2 meses</t>
  </si>
  <si>
    <t>CONTRATO CONSERVACION Y RESTAURACION DE DIVERSOS DOCUMENTOS Y OBRAS PICTORICAS DEL AYUNTAMIENTO DE VALLADOLID</t>
  </si>
  <si>
    <t>LAND ART STUDIO 2002, S.L.</t>
  </si>
  <si>
    <t>Contrato de servicios de direccion de Obras de Renaturalización del Polígono Industrial de Argales(Indnatur_0599)</t>
  </si>
  <si>
    <t>RBA REVISTAS, S.L.</t>
  </si>
  <si>
    <t>SUSCRIPCIÓN A REVISTAS DE LA EMPRESA RBA, PARA BIBLIOTECAS MUNICIPALES AÑO 2021.</t>
  </si>
  <si>
    <t>MTO. Y ASIST. TÉCNICA DEL SISTEMA DE GESTIÓN DE PERSONAL Y NÓMINA, BASADO EN META4 E-MIND, PRIMERA PRÓRROGA</t>
  </si>
  <si>
    <t>CONTROL DE CALIDAD, REMODELACION PARQUE ALAMEDA COMO ESPACIO VERDE MULTIFUNCIONAL.</t>
  </si>
  <si>
    <t>SPACIO VALLADOLID, S.A.</t>
  </si>
  <si>
    <t>LOTE 2: MOBILIARIO CENTRO SEGUNDO MONTES</t>
  </si>
  <si>
    <t>ACUERO MARCO V.36/2017; LOTE 1; RECAMBIOS SANITARIOS CALLEJÓN DE LA ALCOHOLERA;SEISYPC.</t>
  </si>
  <si>
    <t>JOYERÍA MARTÍNEZ, C.B.</t>
  </si>
  <si>
    <t>100 RELOJES.  HOMENAJE A JUBILADOS Y FALLECIDOS STA. RITA 2021. -mjsi-</t>
  </si>
  <si>
    <t>ASOCIACIÓN CULTURAL LA LUZ DE LAS DELICIAS</t>
  </si>
  <si>
    <t>ACTIVIDADES DE CIRCO PARA NIÑOS EN EL CENTRO SANTIAGO LÓPEZ (ENERO-MARZO 2021)</t>
  </si>
  <si>
    <t>HERMANOS SALGADO DE LA HERA CB</t>
  </si>
  <si>
    <t>ADQUISICIÓN MATERIAL Y MONTEJE ALUMINIO PARA NAVE MULTIUSOS DEL RECINTO PINGÜINOS</t>
  </si>
  <si>
    <t>SYNLAB DIAGNÓSTICOS GLOBALES, S.A.</t>
  </si>
  <si>
    <t>PRESTACION SERVICIOS LABORATORIO ANALISIS CLINICOS PARA EL DEPARTAMENTO DE PREVENCION Y SALUD LABORAL</t>
  </si>
  <si>
    <t>ESPLUGUES DE LLOBREGAT</t>
  </si>
  <si>
    <t>Maquetación de la Agenda Urbana de Valladolid 2030 (AUVA 2030).</t>
  </si>
  <si>
    <t>Subsanación  de los defectos detectados en el CC Delicias  provocados por los desprendimientos del falso techo.</t>
  </si>
  <si>
    <t>SUMINISTRO E INSTALACIÓN DE CALDERA EN EL EDIFICIO DE JEFATURA DE LA POLICÍA MUNICIPAL.</t>
  </si>
  <si>
    <t>SOMHAIRLE WATSON</t>
  </si>
  <si>
    <t>TRADUCCIÓN PROFESIONAL DEL INGLÉS AL CASTELLANO DEL DOCUMENTO ""LA ECONOMÍA CIRCULAR EN VALLADOLID, DE LA OCDE"".</t>
  </si>
  <si>
    <t>REPARACION FILTRACIONES EN LA CUBIERTA DE LA ESCUELA INFANTIL MUNICIPAL EL PRINCIPITO.</t>
  </si>
  <si>
    <t>CONGENIA CYL, S.L.</t>
  </si>
  <si>
    <t>Preparación y entrega de propuesta de Cooperación Triangular al Programa europeo Adelante UE, en sus dos fases</t>
  </si>
  <si>
    <t>REPARACIÓN MÁQUINAS ROOF TOP Y SUELO RADIANTE CC PARQUESOL Y TEATRO PARQUESOL</t>
  </si>
  <si>
    <t>EXPEDIENTE SE 3/2021. SUSTITUCION CALDERAS DE GAS EN COLEGIO CONSTANZA MARTIN. LOTE 3</t>
  </si>
  <si>
    <t>ADQUISICION MESAS Y SILLAS CANAL CASTILLA POR REQUERIMIENTO CUMPL.GARANTIA ESTABL EN ADJUDICACION LOTE2 EXP SEPC 27-2017</t>
  </si>
  <si>
    <t>SERVICIOS TECNICOS LIM.MIGUEL ARIAS S.L.</t>
  </si>
  <si>
    <t>REPARACIÓN RAMAL ENTERRADO COLECTOR SANEAMIENTO EDIFICIO MUNICIPAL EN PLAZA STA.ANA</t>
  </si>
  <si>
    <t>GALAPAGAR</t>
  </si>
  <si>
    <t>VDS SUMINISTROS GRÁFICOS Y DIGITALES, S.L.</t>
  </si>
  <si>
    <t>ADJUDICA REPARACIÓN MÁQUINA PLEGADORA - IMPRENTA</t>
  </si>
  <si>
    <t>ILLESCAS</t>
  </si>
  <si>
    <t>Prensa y Servicios de la Lengua SLU</t>
  </si>
  <si>
    <t>Publicidad en monografico con motivo del Centenario Miguel Delibes</t>
  </si>
  <si>
    <t>CONFEC.DOCUM.TÉC.DEL PROYECTO ADAPT.LOCAL PARA CENTRO SALUD LABORAL Y DIREC.FACULTAT.EN LAS FRANCESAS</t>
  </si>
  <si>
    <t>SUMINISTRO E INSTALACIÓN BATERIA CALOR EN CC J.L. MOSQUERA</t>
  </si>
  <si>
    <t>SERVICIO CONEXIÓN REDUNDANTE A INTERNET. LOTE 1 DICIEMBRE</t>
  </si>
  <si>
    <t>TELEFONICA SOLUCIONES DE INFORMATICA Y COMUNICACIONES DE ESPAÑA S.A.U</t>
  </si>
  <si>
    <t>SUMINISTRO, INST., CONF. Y PUESTA EN MARCHA DE ORDENADORES PERSONALES Y MONITORES, LOTE 1 (DE JUNIO A DICIEMBRE 2021)</t>
  </si>
  <si>
    <t>ANA ISABEL CAÑEDO  LAZARO</t>
  </si>
  <si>
    <t>ACTIVIDADES EXTRAESCOLARES RECREATIVAS EN CENTROS ESCOLARES PARA NIÑOS/AS INFANT Y PRIMAR EN LAS TARDES DEL MES DE MAYO</t>
  </si>
  <si>
    <t>MECANIZADO DE PIEZAS PARA REPARACIONES DE VEHÍCULOS DEL SERVICIO DE LIMPIEZA</t>
  </si>
  <si>
    <t>CORAL HERRERA GOMEZ</t>
  </si>
  <si>
    <t>Modificado CONTRATO DE OBRAS DE INFRAESTRUCTURA VERDE: TOLDOS VEGETALES EN LA CALLE SANTA MARÍA. PROYECTO URBAN GreenUP</t>
  </si>
  <si>
    <t>INEDET CASTILLA Y LEON SL</t>
  </si>
  <si>
    <t>ESTUDIO MANTENIMIENTO, CONSERVACION Y MEJORA DE LA CUPULA DEL MILENIO</t>
  </si>
  <si>
    <t>CERTIFICACIÓN FINAL DE LA  URBANIZACIÓN CALLE COSTA RICA.-</t>
  </si>
  <si>
    <t>ACCESO VPNIP 600/600 Mbps PARA SERVICIOS DE CONEXIÓN REMOTA DEL AYUNTAMIENTO DE VALLADOLID</t>
  </si>
  <si>
    <t>Construcción carril bici en C/ Páramo de San Isidro desde cruce con Pº Juan Carlos I hasta cruce con C/ Milagros.-</t>
  </si>
  <si>
    <t>Construcción carril bici en Parque Central de Parquesol, 1ª Fase.-</t>
  </si>
  <si>
    <t>TRACTOR CORTACÉSPED PARA EL CENTRO DE FORMACION PARA EL EMPLEO PARA EL   CURSO DE PARQUES Y JARDINES-DURACION 1 DÍA.</t>
  </si>
  <si>
    <t>IMPLASER 99 S.L.L.</t>
  </si>
  <si>
    <t>MEJORA DE ACCESIBILIDAD INTEGRAL EN EL CENTRO DE PERSONAS RONDILLA-</t>
  </si>
  <si>
    <t>ALFAJARÍN</t>
  </si>
  <si>
    <t>CERTIFICACION Nº 4 Y FINAL, ACONDICIONAMIENTO DE PASEOS EN AVDA. SALAMANCA Y ESCALERAS PARQUESOL. P.S.-7</t>
  </si>
  <si>
    <t>LOTE 6: CONTROL DE PLAGAS, DESINSECTACIÓN DE EDIFICIOS DEPENDIENTES DEL SERVICIO DE PARTICIPACIÓN CIUDADANA</t>
  </si>
  <si>
    <t>SERVICIO DE CELADURÍA EN C.MPALES Y CIC (TOTAL 6 CENTROS) // MES DE DICIEMBRE DE 2020</t>
  </si>
  <si>
    <t>Servicio de Celaduría en los Centros Cívicos y CIC Santiago López // MES DICIEMBRE DE 2020</t>
  </si>
  <si>
    <t>GASTO PLANTA DE TRATAMIENTO, RECUPERACIÓN Y COMPOSTAJE DE RESIDUOS SÓLIDOS URBANOS. ENERO-MAYO 2021</t>
  </si>
  <si>
    <t>ConcsOP - De concesion de obra publica</t>
  </si>
  <si>
    <t>SERVICIOS DE TELECOMUNICACIONES, LOTE 1</t>
  </si>
  <si>
    <t>PRÓRROGA SERVICIO DE TELEFONÍA FIJA Y MÓVIL DEL CENTRO DE PARTICIPACIÓN CIUDADANA</t>
  </si>
  <si>
    <t>PRORROGA CONTRATO COMUNICACIONES SERV.INTERVENCION SOCIAL DESDE JULIO HASTA ADJUDIC NUEVO CONTRATO. RESTO CEAS</t>
  </si>
  <si>
    <t>PRORROGA CONTRATO TELECOMUNICACIONES DE JULIO HASTA ADJUDICACION NUEVO  CONTRATO- CPM TRANSFERIDOS</t>
  </si>
  <si>
    <t>CONTRATO DE TELECOMUNICACIONES LOTE Nº  1  P. 26/2014. P/ TRANSITORIO.</t>
  </si>
  <si>
    <t>PRORROGA CONTRATO TELECOMUNICACIONES  DE JULIO HASTA ADJUDICACION NUEVO CONTRATO- CPM SIN TRANFERIR</t>
  </si>
  <si>
    <t>Prorroga de Contrato de Telecomunicasiones (SE PC-40/2016) - Segundo semestre de 2021 - Agencia de Innovación</t>
  </si>
  <si>
    <t>Suministro y colocación de canalización realizada en tubo libre de halógenos en Agencia de Innovación</t>
  </si>
  <si>
    <t>SERVICIOS ADIESTRADOR CANINO DE 1 JUNIO A 30 SEPTIEMBRE 2021 POR UN TOTAL DE 261 HORAS</t>
  </si>
  <si>
    <t>ASOCIACIÓN PARA EL PROGRESO DE LA DIRECCIÓN</t>
  </si>
  <si>
    <t>Patrocinio del encuentro ""El sector agroindustrial y logístico en la recuperación económica de Castilla y León""</t>
  </si>
  <si>
    <t>REALIZACION PLANES EMERGENCIA DE LOS CPM DELIC-PTE.COL-ROND-VICT-FRAY L-PARQ-ARCA R-Z.SUR-Z.ESTE-RIO ESG- DURACION 1 DIA</t>
  </si>
  <si>
    <t>EXTPE P 26/2014. CONTINUIDAD SERVICIOS VINCULADOS CON CONTRATACION SERVICIO DE TELECOMUNICACIONES. PERIODO TRANSFERENCIA</t>
  </si>
  <si>
    <t>PRORROGA CONTRATO COMUNICACIONES SERV.INTERVENCION SOCIAL DESDE JULIO HASTA ADJUDICACION NUEVO CONTRATO.COMEDOR SOCIAL</t>
  </si>
  <si>
    <t>Ampliación Expte. 26_2014 Lote 1 Contrato de Telecomunicaciones, SEISYPC.</t>
  </si>
  <si>
    <t>PRORROGA CONTRATO TELECOMUNICACIONES DESDE JULIO HASTA ADJUDICACION NUEVO CONTRATO DEL C. DE FORMACION PARA EL EMPLEO-.</t>
  </si>
  <si>
    <t>AJUSTE CONTRATO TELECOMUNICACIONES HASTA JUNIO DE 2021 DEL CFF JACINTO BENAVENTE</t>
  </si>
  <si>
    <t>INFORME S/ ALEGS UNIFICACIÓN PLAZO DE EXPLOTACIÓN DE LAS DOS PLANTAS APARCAMIENTO SUBTERRÁNEO PLAZA MAYOR</t>
  </si>
  <si>
    <t>LEÓN</t>
  </si>
  <si>
    <t>REPROGRAFICAS OFTECO S.A.</t>
  </si>
  <si>
    <t>IMPRESION DE MATERIALES DE DIFUSION PARA CAMPAÑA DE IGUALDAD E INFANCIA 2021</t>
  </si>
  <si>
    <t>GREGORIO HERNANDEZ  MARTIN</t>
  </si>
  <si>
    <t>SUMIINISTRO DE CORTINAS ENROLLABLES EN PVC PARA VARIOS COLEGIOS. PLAZO DE EJECUCIÓN 1 MES.</t>
  </si>
  <si>
    <t>REVISIONES DE LOS FILTROS DE CAMPANA DEL LABORATORIO Y MATERIAL PARA LA MISMA. SERVICIO DE MEDIO AMBIENTE</t>
  </si>
  <si>
    <t>CONTROL CALIDAD DESPRENDIMIENTO QUE SUSTENTA TERRAZA PÓRTICO ENTRADA CASA CONSISTORIAL</t>
  </si>
  <si>
    <t>Suministro de calzado de seguridad con destino al personal de las brigadas del S.E.P.I.-</t>
  </si>
  <si>
    <t>TICTAC SOLUCIONES INFORMATICAS, SL</t>
  </si>
  <si>
    <t>DISEÑO, DESARROLLO Y CONFIGURACIÓN PAGINA WEB GUIA MUNICIPAL DE RECURSOS Y ACTIVIDADES EDUCATIVAS.PLZ EJ: 3 M</t>
  </si>
  <si>
    <t>CONFEC.DOCUMENTACIÓN TÉCNICA INSTAL.PROYECTO ADAPTACIÓN LOCAL LAS FRANCESAS PARA C.SALUD LABORAL</t>
  </si>
  <si>
    <t>HARDTRONIC, S.L.</t>
  </si>
  <si>
    <t>PIZARRA INTERACTIVA LCD TACTIL DE ILUMINACIÓN DIRECTA PARA TALLERES CENTRO MUNICIPAL DE IGUALDAD / 1 DIA</t>
  </si>
  <si>
    <t>SERVICIO DE DESINFECCIÓN PARA LA FERIA DEL LIBRO 2021</t>
  </si>
  <si>
    <t>INDUSTRIAS TECNIPOL RENEDO, S.L.</t>
  </si>
  <si>
    <t>Reparación cisterna_aljibe en BFP_15, matrícula 0095 DWZ, conforme informe adjunto; SEISYPC.</t>
  </si>
  <si>
    <t>TRAMA COMUNICACION Y DISEÑO S.L.</t>
  </si>
  <si>
    <t>MAQUETACIÓN DEL PLAN DE MEJORA DE CALIDAD DEL AIRE. SERVICIO DE MEDIO AMBIENTE</t>
  </si>
  <si>
    <t>SUMINISTRO E INSTALACIÓN DE SISTEMA DE SEGURIDAD EN ANTIGUO COLEGIO FRAY LUIS DE GRANADA (C/ CALVERAS SN LA OVERUELA)</t>
  </si>
  <si>
    <t>ESTUDIO DE 30 PUNTOS DONDE SE HAN DEPOSITADO ESCOMBROS Y OTROS RESIDUOS OCUPANDO ESPACIOS PÚBLICOS Y PRIVADOS</t>
  </si>
  <si>
    <t>REALIZACION DE VARIOS TALLERES EN EL CENTRO MUNICIPAL DE IGUALDAD DURANTE AÑO 2021</t>
  </si>
  <si>
    <t>OBRA REMODELACION DEL PARQUE ALAMEDA COMO ESPACIO VERDE MULTIFUNCIONAL.</t>
  </si>
  <si>
    <t>CERTIFICACION Nº 4 Y FINAL, ACONDICIONAMIENTO DE DIFERENTES BOMBEOS DE LA CIUDAD. P.S.-5.</t>
  </si>
  <si>
    <t>CERTIFICACION Nº 5 Y FINAL, ACONDICIONAMIENTO PLAZA DE MAYO. P.S.-6</t>
  </si>
  <si>
    <t>CYDIMA, S.L.</t>
  </si>
  <si>
    <t>REPARACIÓN RETROEXCAVADORA  JCB 2 CX MATRÍCULA VA-37930-VE CENTRO DE MANTENIMIENTO</t>
  </si>
  <si>
    <t>REPORTAJE DIVULGATIVO ""VALLADOLID, DESARROLLO SOSTENIBLE"" .</t>
  </si>
  <si>
    <t>Contrato de Consultoría técnica para aplicacion de RGPD, correccion del importe por error en  AD realizado inicialmente</t>
  </si>
  <si>
    <t>REPARACIONES DE VEHICULOS IVECO DE SERVICIO DE LIMPIEZA VIARIA</t>
  </si>
  <si>
    <t>IMPRESION DE SOPORTES PUBLICITARIOS A TRAVÉS DE IMPRENTA MUNICIPAL / DURANTE 2021</t>
  </si>
  <si>
    <t>PROGRAMA FORTE: TALLERES DE FORMACIÓN Y DEPORTE EN DELICIAS PARA JÓVENES DE 13 A 18 AÑOS. MESES MAYO Y JUNIO.</t>
  </si>
  <si>
    <t>Desarrollo de las Comisiones del Consejo de la Infancia / Gestión y asist. Técnica Videoconferencias / 1 DIA</t>
  </si>
  <si>
    <t>SERVICIOS DE TELECOMUNICACIONES: TELEFONÍA MÓVIL, LOTE 2</t>
  </si>
  <si>
    <t>CONTINUIDAD DE LOS SERVICIOS VINCULADOS CON LA CONTRATACIÓN DEL SERVICIO DE TELECOMUNICACIONES DEL AYTO. DE VALLADOLID</t>
  </si>
  <si>
    <t>CONTRATO TELECOMUNICACIONES . LOTE Nº 2 P 26/2014. P. TRANSITORIO.</t>
  </si>
  <si>
    <t>SUMINISTRO 2 FURGONES ELECTRICOS (LOTE 1) Y UN VEHICULO TURISMO HIBRIDO ENCHUFABLE (LOTE 4) PARA EL Sº LIMPIEZA</t>
  </si>
  <si>
    <t>CONTRATO ADQUISICIÓN DE VEHÍCULOS ELÉCTRICOS. EXPTE. SESPSC 24/2020. LOTE 2 P.M. Y LOTE 4 P.M.</t>
  </si>
  <si>
    <t>VOLVO GROUP ESPAÑA S.A.</t>
  </si>
  <si>
    <t>Suministro de un  CAMIÓN de 8.500 A 14.000 KG. de M.M.A. con destino al S.E.P.I.</t>
  </si>
  <si>
    <t>DISEÑO, DESARROLLO Y DESPLIEGUE SITIO WEB GUIA MUNICIPAL DE ACTIVIDADES EDUCATIVAS. PLAZO EJECUCIÓN HASTA 30-6-21</t>
  </si>
  <si>
    <t>CUADERNO A5 PERSONALIZADO (1000 UD.) Y BOLIGRAFO GRABADO (1000 UD.) ACTUVA ESCUELA DE PARTICIPACIÓN CIUDADANA</t>
  </si>
  <si>
    <t>TOLDOLID S.L.U.</t>
  </si>
  <si>
    <t>REPARACION TOLDO EN LA ESCUELA INFANTIL MUNICIPAL CASCANUECES. PLAZO EJECUCIÓN 2 MESES</t>
  </si>
  <si>
    <t>CONEXIÓN, INSTALACIONES Y MANTENIMIENTO DE CÁMARAS DE VIDEOVIGILANCIA ASCENSORES EN EL BARRIO DE PAJARILLOS</t>
  </si>
  <si>
    <t>REPARACIÓN HUMEDADES: IMPERMEABILIZACIÓN DE RAMPA EN CC RONDILLA</t>
  </si>
  <si>
    <t>GRUPO B2 SPORT EQUIPAMIENTOS DEPORTIVOS, S.A.</t>
  </si>
  <si>
    <t>REPARACIÓN DE COLUMPIOS EN EL CEIP PONCE DE LEÓN. PLAZO 1 MES.</t>
  </si>
  <si>
    <t>ADJ.EXPTE.SEGUROS RESPONSAB.TEC.ÁREA PLANEAMIENTO URBANISTICO FECHA 1.05. A 31.10.2021 Y 1.11.21 A 30.04.22.</t>
  </si>
  <si>
    <t>WAGEN GROUP RETAIL ESPAÑA S.A.U.</t>
  </si>
  <si>
    <t>Contrato de suministro para adquisición de vehículos ecológicos etiqueta cero o eléctricos SEISYPC; EXPTE. Nº: V.24/2020</t>
  </si>
  <si>
    <t>Obras de Urbanización de la calle NUEVA DEL CARMEN.</t>
  </si>
  <si>
    <t>CRONOMETRADORES PARA REALIZACIÒN PRUEBAS FÍSICAS PARA PROVISIÓN 20 PLAZAS DE AGENTE P.M.</t>
  </si>
  <si>
    <t>AGC AUTORENTING, S.L.</t>
  </si>
  <si>
    <t>Alquiler de un vehículo tipo furgoneta con baca durante 6 meses, con destino al Centro de Alumbrado.</t>
  </si>
  <si>
    <t>MATERIAL E INSTALACIÓN ELÉCTRICA NAVE MULTIUSOS RECINTO PINGÜINOS</t>
  </si>
  <si>
    <t>USO DE ESPACIOS/ PERSONAL DE LA UNIVERSIDAD/ LIMPIEZA AULAS - EXAMEN DE CONDUCTOR - DÍA 05/06/2021-mjsi-</t>
  </si>
  <si>
    <t>LABORES DE REPARACION Y REFORMA-7 S.L.</t>
  </si>
  <si>
    <t>REFORMA ASEO EN PLANTA BAJA DEL CENTRO MUNICIPAL DE LA IGUALDAD |  1 MES</t>
  </si>
  <si>
    <t>CONTROL LEGIONELLA EN CIRCUITOS DE AGUA DE CC BAILARÍN VICENTE ESCUDERO, J.M. LUELMO, J.L. MOSQUERA Y RONDILLA</t>
  </si>
  <si>
    <t>Segunda ampliación Seguro Responsabilidad Civil Ayuntamiento Valladolid (01-04/2021 al 30/09/2021) Exp. 93/2016 PS 16</t>
  </si>
  <si>
    <t>REAJUSTE DE ANUALIDADES CONTRATO SERVICIO BANCARIO TERMINALES PUNTOS DE VENTA DEPENDENCIAS AYUNAMIENTO DE VALLADOLID</t>
  </si>
  <si>
    <t>DEANTE CERRAJERIA, S.L.</t>
  </si>
  <si>
    <t>REPARACIÓN DE CERRADURAS Y AMAESTRAMIENTO DE LLAVES DEPENDENCIAS POLICÍA MUNICIPAL.</t>
  </si>
  <si>
    <t>CLINIMARK, S.L.</t>
  </si>
  <si>
    <t>SUMINISTRO DE MATERIAL FUNGIBLE PARA LA CLINICA VETERINARIA DEL CMPA - AÑO 2021</t>
  </si>
  <si>
    <t>PLACAS Y ROTULOS INDUSTRIALES, SOCIEDAD LIMITADA</t>
  </si>
  <si>
    <t>PLACAS ROTULADORAS DE VIAS PUBLICAS PARA LA CIUDAD DE VALLADOLID - AÑO 2021</t>
  </si>
  <si>
    <t>REALIZACION DE DIVERSOS TRABAJOS EN TERRENOS.</t>
  </si>
  <si>
    <t>ACUERDO MARCO 2017/36, SUMINISTRO DE SUBSTRATO.</t>
  </si>
  <si>
    <t>SUMINISTRO DE 50 DISCOS SSD CON SU CORRESPONDIENTE ADAPTADOR INTERNO</t>
  </si>
  <si>
    <t>INGEOLID PROYECTOS S.L.</t>
  </si>
  <si>
    <t>REALIZACION ESTUDIO SOBRE LAS NECESIDADES PARA DELIMITAR Y CERRAR COMPLETAMENTE EL ESPACIO DE LA ANTIGUA HIPICA MILITAR</t>
  </si>
  <si>
    <t>ACUERDO MARCO 2017/36, SUMINISTRO TIERRA VEGETAL.</t>
  </si>
  <si>
    <t>CONTRATO MENOR DE SERVICIO DE ELABORACIÓN INFORMES Y TRABAJOS TOPOGRÁFICOS SERVICIO CARTOGRAFÍA</t>
  </si>
  <si>
    <t>FUNCIONES Y GESTIONES MULTIPLES GENERALES, S.L.</t>
  </si>
  <si>
    <t>REDACCIÓN DE PROTOCOLO ANTI-COVID PARA LOS EDIFICIOS DEL ÁREA- CUPULA DEL MILENIO Y GALERIAS VALLADOLID</t>
  </si>
  <si>
    <t>MOJADOS</t>
  </si>
  <si>
    <t>INTEGRAL DE AUTOMOCION 2000, S.A.</t>
  </si>
  <si>
    <t>Reparación sistema de frenado en vehículo camión MERCEDES-Atego, BUP-11, matr. VA-5361-AK;SEISYPC</t>
  </si>
  <si>
    <t>GESTION DE SERVICIOS INTEGRALES, S.A.</t>
  </si>
  <si>
    <t>CONTRATO MENOR SERVICIO LIMPIEZA INSTALACIONES GALERIAS VALLADOLID</t>
  </si>
  <si>
    <t>ACUERDO MARCO V.36/2017; LOTE 10; TERMINAL BATERIA REFORZADO + (2 UNID) / TERMINAL BATERIA REFORZADO - (2 UNID);SEISYPC</t>
  </si>
  <si>
    <t>JUAN FRANCISCO CONTRERAS  SANZ</t>
  </si>
  <si>
    <t>PINES Y PINCHOS PLATA.  HOMENAJE A JUBILADOS Y FALLECIDOS STA. RITA 2021. -mjsi-</t>
  </si>
  <si>
    <t>MANTENIMIENTO DE GRUPOS ELECTRÓGENOS EN EDIFICIOS DEPENDIENTES DEL SPC (DEL 01/05/2021 AL 31/12/2021) EXP SPC 42/2021</t>
  </si>
  <si>
    <t>ACUERDO MARCO EXPTE.: V.36_2017; LOTE 10; PILA ALCALINA 6V 15AH ( 10 UNIDADES) / CAJA  FUSIBLES 96 PZ (1 );SEISYPC</t>
  </si>
  <si>
    <t>SUMINISTRO DE TABLET CONVERTIBLE PARA CINEMÓMETRO TRUCAN. ( EQUIPO DE RADAR DE POLICÍA).</t>
  </si>
  <si>
    <t>ACUERDO MARCO V.36/2017; LOTE 10; FILTRO AIRE MANN (1 UD) // SERVICIO SEIS Y PC</t>
  </si>
  <si>
    <t>21 ROLL UP, 4 LONAS CON HERRETES METÁLICOS, ETIQUETAS ADHESIVAS. PRESENTACIÓN ACTUVA (ESCUELA DE PARTICIPACIÓN CIUDADANA</t>
  </si>
  <si>
    <t>REFORMAS Y ASISTENCIAS RAUL FERNANDEZ Y OTRAS S.L.</t>
  </si>
  <si>
    <t>REPARACION  Y SUSTITUCION DE UN TRAMO DE  TUBERIAS DEL CPM RONDILLA-</t>
  </si>
  <si>
    <t>ACUERDO MARCO SUMINISTROS: BASE 12V  Y ADAPTADOR/CALZO+SOPORTE PLÁSTICO / PILOTOS TRASEROS 4F/LÁMPARA//SEISPC</t>
  </si>
  <si>
    <t>Mantenimiento anual autoescala AEA_10 oper de revisión y mantenimiento de superestr y componentes de la misma;SEISYPC.</t>
  </si>
  <si>
    <t>REACONDICIONAR CAMINO ACCESO A CONTENDORES DE MATERIA ORGANICA EN NAVE LAVADO VEHICULOS DEL POLIGONO SAN CRISTOBAL</t>
  </si>
  <si>
    <t>ACUERDO MARCO LOTE 2.MATERIAL NECESARIO PARA REALIZAR TRABAJOS DESDE EL CENTRO DE MANTENIMIENTO.</t>
  </si>
  <si>
    <t>ACUERDO MARCO.  SUMINISTRO DE MATERIAL ELÉCTRICO (POLICÍA MPAL, DISTRITO II Y DEPÓSITO DE  EL PERAL)</t>
  </si>
  <si>
    <t>JESUS LORENZO ASENSIO  VALENCIA</t>
  </si>
  <si>
    <t>DIRECCION DE OBRA ESPACIO RECREATIVO PINAR DE ANTEQUERA</t>
  </si>
  <si>
    <t>ROSARIO RUIZ  GONZALEZ</t>
  </si>
  <si>
    <t>COMPLEMENTARIO PARA REPARACION DE NEUMATICOS.</t>
  </si>
  <si>
    <t>DISEÑO CONTENEDOR PUNTO LIMPIO FIJO, PARA DEPOSITAR RESIDUOS ESPECIALES DE USO DOMESTICO.</t>
  </si>
  <si>
    <t>JUAN GONZALEZ ROMERA</t>
  </si>
  <si>
    <t>TALLERES PRÁCTICOS DE SEXUALIDAD E IGUALDAD EN CENTRO MUNICIPAL DE LA IGUALDAD / DURANTE 2021</t>
  </si>
  <si>
    <t>MUSICAL TAMAYO, S.L.</t>
  </si>
  <si>
    <t>EQUIPAMIENTO TÉCNICO PARA EL CENTRO MUNICIPAL DE IGUALDAD 1 DÍA</t>
  </si>
  <si>
    <t>Mantenimiento instalaciones agua caliente sanitaria y calefacción del Parque del Cabildo, C/ Títulos 51 durante 10 meses</t>
  </si>
  <si>
    <t>ACUERDO MARCO V.36_2017; LOTE 6; EXTRACTR SYP SILENT-100CZ 230V 50Hz (PROTECCIÓN CIVIL);SEISYPC</t>
  </si>
  <si>
    <t>ACUERDO MARCO Diferencia //// EMERGEN LEGRAND 661606PL 200LM  / REGLETA  OBO 79CE BL  /// POLICIA MPAL</t>
  </si>
  <si>
    <t>DELINEACIÓN DEL ESTADO ACTUAL DEL TEATRO LOPE DE VEGA</t>
  </si>
  <si>
    <t>SUMINISTRO DE 100 WEBCAM</t>
  </si>
  <si>
    <t>VESTUARIO OBLIGATORIO EPI´s PARA NUEVO PERSONAL EN LAS BRIGADAS DE MANTENIMIENTO</t>
  </si>
  <si>
    <t>A.M.30/2018 Publicación dos inserciones mensuales dentro del SUPLEMENTO INNOVADORES, a nivel regional de ELMUNDO DIARIO</t>
  </si>
  <si>
    <t>CONTRATACION SERVICIO WIFI PARA LA FERIA DEL LIBRO 2021</t>
  </si>
  <si>
    <t>CONTROL DE CALIDAD EN OBRA CONTRATO OBRA DE INFRAESTRUCTURA VERDE SINGULAR: JARDÍN BIO-FILTRO URBANO (URBAN GREENUP</t>
  </si>
  <si>
    <t>ACUERDO MARCO V.36_2017; LOTE 6; LUMIN.TRILUX 60X60 M73 UGR&lt;19 36/29 840ET  LED/TASA ECORAEE (BOMBEROS CANTERAC);SEISYPC</t>
  </si>
  <si>
    <t>A.E. USO DE ESPACIOS F. ECONÓMICAS - AULARIO CAMPUS ESGUEVA/ DIA:17-04-2021 /20 agentes P.M. -mjsi-.</t>
  </si>
  <si>
    <t>REALIZACIÓN DE PRUEBAS CONFIRMATORIAS DE DROGAS EN LABORATORIO ACREDITADO.</t>
  </si>
  <si>
    <t>EXTREMO BIKE SL</t>
  </si>
  <si>
    <t>IMPORTE REVISIÓN 12 MOTOCICLETAS DE POLICÍA MUNICIPAL EN PERIODO DE GARANTÍA.</t>
  </si>
  <si>
    <t>ACUERDO MARCO V.36/2017; LOTE 6; LUMINARIA PH RC065B LED (2) / TASA ECORAEE (2) // PARQUE DE BOMBEROS CENTRO</t>
  </si>
  <si>
    <t>Talleres educativos de música en familia a cargo de Escucha y Siente para el ciclo Música en Femenino / DURANTE 2021</t>
  </si>
  <si>
    <t>MARIA ISABEL SAN MIGUEL MUÑOZ</t>
  </si>
  <si>
    <t>Talleres educativos de música en Centro Municipal de Igualdad / durante 2021</t>
  </si>
  <si>
    <t>ACUERDO MARCO V.36/2017; LOTE 6; INTERRUP GAVE A-5511000 16A CAL.0 // PARQUE DE BOMBEROS</t>
  </si>
  <si>
    <t>ADJUDICA INSERCIÓN PUBLICITARIA EN EL ANUARIO TAURINO RELATIVO AL AÑO 2020</t>
  </si>
  <si>
    <t>ACUERDO MARCO SUMINISTROS: CAJA EST OBO T-40 90X90 IP55 2007045 (BOMBEROS CANTERAC)</t>
  </si>
  <si>
    <t>EJECUCION IFS OCAS - SUMINISTRO 171 LUMINARIAS ARCHIVO MUNICIPAL</t>
  </si>
  <si>
    <t>DAVID ANDRÉS MORO</t>
  </si>
  <si>
    <t>PROYECTO BÁSICO Y DE EJECUCIÓN REHABILITACIÓN INTEGRAL FACHADA EDIFICIO C/ ESTACIÓN Nº 9 (OE 47/2018)</t>
  </si>
  <si>
    <t>Suministro y colocación 11 barandillas de 1,50x0,85 m con montantes de pletina y barrotes soldados y mano de imprimación</t>
  </si>
  <si>
    <t>CENTRO DE ESTUDIOS DE MATERIALES Y CONTROL DE OBRAS, S.A.</t>
  </si>
  <si>
    <t>LOTE 1 ACUERDO MARCO CONTROL DE CALIDAD. EXP: 8/2021</t>
  </si>
  <si>
    <t>Auditoria de estado y operatividad de canalizaciones municipales para posterior tendido de fibra óptica para PQ Vias Púb</t>
  </si>
  <si>
    <t>Transporte de fondo documental desde Urbanización Fuente del Fresno (S. S. de los Reyes) hasta el Archivo Municipal.</t>
  </si>
  <si>
    <t>ADJUDICA ADQUISICIÓN MÁQUINA EMBOLSADORA RETRACTILADORA PARA IMPRENTA MUNICIPAL</t>
  </si>
  <si>
    <t>Suministro de 2.500 litros de gasóleo C para la caldera del nuevo Parque de Conservación Vías Públicas, C/ Títulos,51.</t>
  </si>
  <si>
    <t>DISTRIBUCIONES INDUSTRIALES Y CIENTÍFICAS, S.L.</t>
  </si>
  <si>
    <t>REPARACIONES EQUIPO MANIFOLD DE LA RED CONTROL CONTAMINACIÓN ATMOSFÉRICA. SERVICIO DE MEDIO AMBIENTE</t>
  </si>
  <si>
    <t>ALMERÍA</t>
  </si>
  <si>
    <t>ACUERDO MARCO 2017/36, SUMINISTRO DE ARBOLADO Y ARBUSTOS.</t>
  </si>
  <si>
    <t>ACUERDO MARCO V.36_2017; LOTE 7; ALB.2101805 040321:SILICONA TRAS/ESPUMA POLIU/ALB.2101820 040321:WEBERFLEX DUO;SEISYPC</t>
  </si>
  <si>
    <t>UNGRIA PATENTES Y MARCAS, S.A.</t>
  </si>
  <si>
    <t>Gestión y renovación de la marca número 2.959.840 VALLADOLI+D ADELANTE (con gráfico), en clases 36, 41 y 42</t>
  </si>
  <si>
    <t>COMERCIAL DE FUNDICION VALLISOLETANA,S.L</t>
  </si>
  <si>
    <t>ERNESTO DOMENECH  CENTELLES</t>
  </si>
  <si>
    <t>PRUEBAS FÍSICAS, VIDEO FINISH PARA PROVISIÓN DE 20 PLAZAS DE AGENTES DE LA POLICÍA MUNICIPAL.</t>
  </si>
  <si>
    <t>CASTELLÓN</t>
  </si>
  <si>
    <t>Publicación de una página los domingos en la sección 'Innovación Valladolid' de El Norte de Castilla</t>
  </si>
  <si>
    <t>TRABAJOS DE DISEÑO Y MAQUETACIÓN PARA LAS BIBLIOTECAS MUNICIPALES. PLAZO AÑO 2021</t>
  </si>
  <si>
    <t>ACUERDO MARCO V.36_2017; LOTE 1;MEDIDOR CO2 ( 4 UNID)  / Codigos:  1049652 - 1049655 - 1049726 -  1049727; SEISYPC.</t>
  </si>
  <si>
    <t>EMMA GOMEZ  GOMEZ</t>
  </si>
  <si>
    <t>VARIOS TALLERES EN EL CENTRO MUNICIPAL DE IGUALDAD DURANTE EL AÑO 2021</t>
  </si>
  <si>
    <t>Suministro medicamentos del Centro de Protección Animal durante 2021.</t>
  </si>
  <si>
    <t>SARA FERNANDEZ LABAJO</t>
  </si>
  <si>
    <t>REALIZACION DE VARIOS TALLERES EN EL CENTRO MUNICIPAL DE IGUALDAD DURANTE EL AÑO 2021</t>
  </si>
  <si>
    <t>SERVICIO DE REPARTO DE LIBROS A LAS BIBLIOTECAS MUNICIPALES AÑO 2021.</t>
  </si>
  <si>
    <t>SUBSANACION  DE DEFECTOS ENCONTARADOS AL REALIZAR LA INSPECCION OBLIGATORIA DE ASCENSORES DEL CPM RONDILLA- DURACION 1 D</t>
  </si>
  <si>
    <t>ACUERDO MARCO V.36_2017; LOTE 1;ESCALERA MULTIUSO SINEX 4X4 ALUMINIO (1)  / CAJA HERRAMIENTAS 450 E (1);SEISYPC.</t>
  </si>
  <si>
    <t>ACUERDO MARCO V.36/2017; LOTE 1;JUEGO LLAVES ALLEN/TIJ ELECTR/JGO LLAVES TORX/ OREJERA PELTOR/BRIDAS/RUEDA ALEX; SEISYPC</t>
  </si>
  <si>
    <t>Servicio de limpieza de tres aulas/aseos en CEIP León Felipe desde el 24 junio al 30 de julio 2021. Programa Cibercaixa</t>
  </si>
  <si>
    <t>SOLIBRI OY</t>
  </si>
  <si>
    <t>ACTUALIZACIÓN Y MANTENIMIENTO SOLIBRI OFFICE AÑO 2021</t>
  </si>
  <si>
    <t>HELSINKI</t>
  </si>
  <si>
    <t>FINLANDIA</t>
  </si>
  <si>
    <t>Dowlight Luceco CARBON/ Panel LED/ DETECTOR PIR/ Tubo led CorePro/ Luminaria Led/ Emergencia/ Caja (SEGUNDO MONTES)</t>
  </si>
  <si>
    <t>REVISIÓN INSTALACIÓN CLIMATIZACIÓN CC ZONA SUR</t>
  </si>
  <si>
    <t>ACUERDO MARCO. SUMINISTRO GUANTE DY008B - T 7 (50) / GUANTE DY008B - T 8 (120) / GUANTE DY008B - T 9 (30). ANTICORTE.</t>
  </si>
  <si>
    <t>PERSIANA GALVANIZADA PARA LA PUERTA DE ENTRADA DE LA BIBLIOTECA DE PLAZA DE LAS NIEVES. 1 MES.</t>
  </si>
  <si>
    <t>MARCO ANTONIO BLANCO  LOBATO</t>
  </si>
  <si>
    <t>SUMINISTRO DE DIFERENTES TÍTULOS PARA BIBLIOTECAS PUBLICAS MUNICIPALES.</t>
  </si>
  <si>
    <t>BATERIA CIRCUTOR OPTIM3 (8 UNID.)  / TRANSFOR CIRCUTOR (9 UNID.) /// DESTINO: PROTEC. MEDIO AMBIENTE</t>
  </si>
  <si>
    <t>CONTROL CALIDAD REPARACIÓN CUBIERTA CASA CONSISTORIAL</t>
  </si>
  <si>
    <t>AC MARCO EXP V36-2017: REPUESTOS PARA REPARACIONES VEHICULOS DEL SERVICIO DE LIMPIEZA</t>
  </si>
  <si>
    <t>LUISA DE LAS MORAS ALAMO</t>
  </si>
  <si>
    <t>SUMINISTRO DE DIFERENTES TÍTULOS PARA BIBLIOTECAS PUBLICAS MPALES</t>
  </si>
  <si>
    <t>ACUERDO MARCO V.36_2017; LOTE 1; MOSQUETON BOMBERO 60MM (20); SEISYPC</t>
  </si>
  <si>
    <t>ACUERDO MARCO V.36_2017; LOTE 1;CUTTER/JGO ALLEN/ROLLO ALAMBRE GALV/PUNTERO OCTOG/TENAZA/CINTA AISL/LLAVE CABINA;SEISYPC</t>
  </si>
  <si>
    <t>A.E. USO DE ESPACIOS F. ECONÓMICAS - AULARIO ESGUEVA /DÍA: 27-3-2021-2 PSICÓLGOS. -mjsi.</t>
  </si>
  <si>
    <t>ACUERDO MARCO: V.36/2017; LOTE 1; CAJA HERRAMIENTAS DE PLASTICO N34 (1 UNIDAD) ///  PREVENCIÓN Y EXT. DE INCENDIOS</t>
  </si>
  <si>
    <t>ACUERDO MARCO SUMINISTROS: ESCALERA MULTIUSO SINEX 4X4 ALUMINIO (2 UNIDADES) // SERVICIO DE EXTINCION DE INCENDIOS</t>
  </si>
  <si>
    <t>ESPASA CALPE, S.A.</t>
  </si>
  <si>
    <t>SUMINISTRO DE DIFERENTES LIBROS // PARA BIBLIOTECAS PUBLICAS MUNICIPALES</t>
  </si>
  <si>
    <t>ACUERDO MARCO. SUMINISTRO DE MATERIAL DE FERRETERIA PARA DEPENDENCIAS DE POLICÍA MUNICIPAL.</t>
  </si>
  <si>
    <t>REPARACIÓN DE VIERTEAGUAS SUELO BALCÓN, DEPENDENCIAS DISTRITO 4º.</t>
  </si>
  <si>
    <t>MARIA LOBATO DE LAS MORAS</t>
  </si>
  <si>
    <t>LIBROS PARA LAS BIBLIOTECAS MUNICIPALES (263 EJEMPLARES) // LIBRERÍA LA VICTORIA</t>
  </si>
  <si>
    <t>MARIA FELISA ALONSO ACUÑA</t>
  </si>
  <si>
    <t>REALIZACION DE TALLERES PINTORAS EN LA NIEBLA EN EL CENTRO MUNICIPAL DE IGUALDAD DURANTE EL AÑO 2021</t>
  </si>
  <si>
    <t>ACUERDO MARCO: ALBARANES: 02757- 02594- 01937//CUBRECOLCHONES 200*90 (20) - TORNILLOS (230) - CINTA AISLANTE (3)/SEISPC</t>
  </si>
  <si>
    <t>MEJORA EN LA SEGURIDAD DE LAS PUERTAS DE ACCESO AL CENTRO INTEGRADO AMPLIACIÓN ELECTROVENTOSAS EN PUERTA DE ENTRADA</t>
  </si>
  <si>
    <t>ACUERDO MARCO V.36/2017; LOTE 6; Placa metacrilato transparente 2000x1500x2 mm.  (1 );SEISYPC.</t>
  </si>
  <si>
    <t>ACUERDO MARCO. SUMINISTRO MATERIAL ELECTRICIDAD  /////  POLICIA MUNICIPAL</t>
  </si>
  <si>
    <t>CONTRATACIÓN DE UN ACCESO FTTH VPNIP 600/600</t>
  </si>
  <si>
    <t>DIVACEL,S.L.</t>
  </si>
  <si>
    <t>Productos detergentes para lavadora industrial; SEISYPC.</t>
  </si>
  <si>
    <t>EUROBOOK LIBRERIA DE IDIOMAS SL</t>
  </si>
  <si>
    <t>SUMINISTRO DE DIFERENTES TÍTULOS // ALBARANES: Nº 32129 (19-04-21)- Nºs 32127- 32128 (16-04-21) - Nº 32133 (26-04-21)</t>
  </si>
  <si>
    <t>COMPRA DE MATERIAL DE CARPINTERIA METALICA</t>
  </si>
  <si>
    <t>AC MARCO EXP V36-2017: CEPILLOS REPARACION Y MANTENIMIENTO BARREDORAS RAVO, ELGIN, CITY CAT DE LIMPIEZA VIARIA</t>
  </si>
  <si>
    <t>AC MARCO EXP V36-2017: SUMINISTRO CEPILLOS REPARACION BARREDORAS MARCAS RAVO Y CITY CAT DE LIMPIEZA VIARIA</t>
  </si>
  <si>
    <t>PROYECTO BÁSICO Y DE EJECUCIÓN REHABILITACIÓN INTEGRAL FACHADA EDIFICIO C/ CAÑO ARGALES Nº 3 (OE 113/2013)</t>
  </si>
  <si>
    <t>HIJO DE CIRIACO SANCHEZ S.L.</t>
  </si>
  <si>
    <t>COMPRA MATERIAL CERRAJERÍA DESTINADO A REALIZAR ENREJADO EN PUERTA Y VENTANA NAVE PINGÜINOS</t>
  </si>
  <si>
    <t>SUMINISTRO DE AUDIOVISUALES: 232 UNIDADES DE DVD (DETALLE EN ADJUNTO NÚMERO 5783)</t>
  </si>
  <si>
    <t>MATERIAL PARA EL CENTRO DE MANTENIMIENTO</t>
  </si>
  <si>
    <t>SERVICIO DE AUDITORIA DE FIBRA OPTICA PARA LA INTERCONEXION ENTRE EL CM IGUALDAD CON LA CUPULA DEL MILENIO</t>
  </si>
  <si>
    <t>SUMINISTRO MATERIAL Y PEQUEÑAS HERRAMIENTAS CENTRO DE MANTENIMIENTO</t>
  </si>
  <si>
    <t>AC MARCO EXP V36-2017: CEPILLOS REPARACION BARREDORAS RAVO, CITY CAT, MATHIEU DEL S. DE LIMPIEZA VIARIA</t>
  </si>
  <si>
    <t>MATERIAL PUBLICITARIO CAMPAÑA LGTBI MOCHILA POLIESTER BLANCA GRABADA / 1 DÍA</t>
  </si>
  <si>
    <t>ADQUISICION DE BOLÍGRAFOS PARA ACTOS REPRESENTATIVOS Y PROTOCOLARIOS</t>
  </si>
  <si>
    <t>TECNOLOGIA INFORMATICA 2000</t>
  </si>
  <si>
    <t>CONTRATO  MANTENIMIENTO SISTEMA GESTIÓN DE ESPERA  QSYSTEM Santa Ana, 6 bj Servicios de Gestión de Ingresos y Gestión Re</t>
  </si>
  <si>
    <t>REVISION TOMA TIERRA E INTALACIÓN ELÉCTRICA ESTACIONES MEDICIÓN CONTAMINACIÓN DE LA RCCVA. SERVICIO DE MEDIO AMBIENTE</t>
  </si>
  <si>
    <t>ACUERDO MARCO SUMINISTROS: Proyector Guardian Pro 245W 4000K 28000 Lm IP65 (2 uds) //SERVICIO DE EXTINCION DE INCENDIOS</t>
  </si>
  <si>
    <t>PINTURAS BROCH S.L.</t>
  </si>
  <si>
    <t>TRABAJOS DE PINTURA EN EL APARCAMIENTO EMPLEADOS DEL SERVICIO DE LIMPIEZA.</t>
  </si>
  <si>
    <t>BANDERAS PUERTA DE HIERRO</t>
  </si>
  <si>
    <t>OTROS GASTOS DIVERSOS BANDERAS PLAZA HISPANIDAD, DEPENDENCIAS MUNICIPALES Y ACTOS OFICIALES, R.I.</t>
  </si>
  <si>
    <t>MALIAÑO</t>
  </si>
  <si>
    <t>ACUERDO MARCO SUMINISTROS: Pila Alcalina Duracell-Procell AAA LR03 1,5V ( 20 UNIDADES ) /// DESTINO: SEIS Y PC</t>
  </si>
  <si>
    <t>SILPA LA FAROLA, S.L.</t>
  </si>
  <si>
    <t>Adquisición de destructoras de papel (3 Uds), encuadernadoras (4 Uds) y guillotinas(4 Uds) para varios CEAS 2021</t>
  </si>
  <si>
    <t>ACUERDO MARCO. SUMINISTRO DE MATERIAL ELECTRÓNICA PARA DEPENDENCIAS POLICÍA.</t>
  </si>
  <si>
    <t>ACUERDO MARCO 2017/36, MATERIAL DE CERRAJERIA.</t>
  </si>
  <si>
    <t>ADJUDICACIÓN SUMINISTRO DE VESTUARIO PARA EL PERSONAL DE LA IMPRENTA - AÑO 2021</t>
  </si>
  <si>
    <t>ACUERDO MARCO V.36/2017; LOTE 8; TEFLON MIARCO HILO SELL/BROCA SDS-PLUS BOSCH PLUS-7X/CEP JAZ LIMPIABUJIAS LATON;SEISYPC</t>
  </si>
  <si>
    <t>USO AULAS UNIVERSIDAD/ LIMPIEZA DE AULAS - 2º PRUEBA PROVISIÓN 20 POLICÍA MUNICIPAL - DÍA 31/05/2021-mjsi-</t>
  </si>
  <si>
    <t>AC MARCO EXP V36-2017: REPUESTOS PARA REPARACIONES DE VEHICULOS DEL Sº LIMPIEZA</t>
  </si>
  <si>
    <t>REPARACIÓN PLACA Y ADAPTACIÓN DE ELEMENTOS DECORATIVOS</t>
  </si>
  <si>
    <t>WOENE STUDIO SOCIEDAD LIMITADA</t>
  </si>
  <si>
    <t>Creación de imagen e impresión de elementos publicitarios del día contra el racismo. PLAN INMIGRACION 2021</t>
  </si>
  <si>
    <t>JOSE MANUEL  PEREZ MEDINA</t>
  </si>
  <si>
    <t>DIFERENTES LIBROS PARA BIBLIOTECAS PUBLICAS DEL AYUNTAMIENTO DE VALLADOLID</t>
  </si>
  <si>
    <t>AC MARCO EXP V36-2017: REPUESTOS PARA REPARACIONES VEHICULOS SERVICIO DE LIMPIEZA.</t>
  </si>
  <si>
    <t>A.M. 30/2018 Inserción publicitaria en Mas Tribuna ""Internet y Comunicación""  sobre ayudas Reactiva Digital</t>
  </si>
  <si>
    <t>ACUEDO MARCO. SUMINISTRO DE MATERIAL ELÉCTRICO PARA DEPENDENCIAS POLICÍA.</t>
  </si>
  <si>
    <t>Publi-Reportaje de dos páginas a color en el suplemento de Desarrollo Sostenible del EL DIA DE VALLADOLID- URBAN GreenUP</t>
  </si>
  <si>
    <t>AC MARCO EXP V36-2017: SUMINISTRO BIDON LUBRICANTE, ADITIVO GASOIL Y F. HIDRAULICOS VEHICULOS SERVICIO DE LIMPIEZA</t>
  </si>
  <si>
    <t>RENOVACIÓN DEL CONTRATO DE SOPORTE Y SUSCRIPCIÓN DE LAS LICENCIAS VMware</t>
  </si>
  <si>
    <t>AC MARCO EXP V36-2017: SUMINISTRO ESCALERAS PARA TALLER MECANICO DEL SERVICIO DE LIMPIEZA</t>
  </si>
  <si>
    <t>BOLSAS PAPEL KRAFT REFORZADO PARA ARCHIVAR HISTORIA CLÍNICAS. SERVICIO DE PREVENCIÓN Y SALUD LABORAL</t>
  </si>
  <si>
    <t>ALVARO SANCHA CARMONA</t>
  </si>
  <si>
    <t>TALLER-CURSO ""PENSAR CON EL CUERPO: ARTES VISUALES Y MOVIMIENTO"" / 8 SESIONES</t>
  </si>
  <si>
    <t>VALLADOLIDA</t>
  </si>
  <si>
    <t>ANA  HERNANGOMEZ DE PEDRO</t>
  </si>
  <si>
    <t>TALLER-CURSO ""PENSAR CON EL CUERPO: ARTES VISUALES Y MOVIMIENTO"" 1º PONENTE / 8 SESIONES DURANTE MAYO Y JUNIO</t>
  </si>
  <si>
    <t>FOMEYCA, S.A.</t>
  </si>
  <si>
    <t>Reparación sist aspiración en vacío de bombas contraincendios de BUP 11 y BUP 17, instalación trokomats nuevos; SEISYPC.</t>
  </si>
  <si>
    <t>SIMON MORETON AUDITORES SL</t>
  </si>
  <si>
    <t>SERVICIO DE REALIZACION DE INFORMES DE LAS SUBVEN. DEL C.F. DE EMPLEO, CURSOS DE V. CUIDA IV Y P. DECORATIVAIII DEL 2021</t>
  </si>
  <si>
    <t>MARGEN LIBROS, S.L.</t>
  </si>
  <si>
    <t>SUMINISTRO DE DIFERENTES TÍTULOS //  DESTINO: BIBLIOTECAS PUBLICAS MUNICIPALES</t>
  </si>
  <si>
    <t>INFORMATICA IMAZ &amp; MATE S.L.</t>
  </si>
  <si>
    <t>MATERIAL ELECTRÓNICO PARA LA RED DE CONTROL DE LA CONTAMINACIÓN. SERVICIO DE MEDIO AMBIENTE</t>
  </si>
  <si>
    <t>LIMPIEZAS EXTRAORDINARIAS DE EDIFICIOS DEL SERVICIO DE PARQUES Y JARDINES.</t>
  </si>
  <si>
    <t>ADJUDICACIÓN TRABAJOS PARA EDICIÓN REVISTA ALELUYA</t>
  </si>
  <si>
    <t>SUMINISTRO DE TAPAS Y EJES SUJECIÓN PARA REPARACION CONTENEDORES 800 L.</t>
  </si>
  <si>
    <t>AC MARCO EXP V36-2017: SUMINISTRO RECAMBIOS PARA REPARACIONES VEHICULOS Sº LIMPIEZA</t>
  </si>
  <si>
    <t>AC MARCO EXP V37-2016: REPUESTOS PARA REPARACION VEHICULOS DEL Sº LIMPIEZA</t>
  </si>
  <si>
    <t>ACUERDO MARCO V.36_2017; LOTE 8; LIJA METAL DEBRAY (8); BOLSA CELO SURTIDO TORNILLERIA PEQUEÑA (1);SEISYPC</t>
  </si>
  <si>
    <t>DETERGENTE DESINFECTANTE USOL-16 CAJA 7 BOTELLAS C/3 PULVERIZADOR</t>
  </si>
  <si>
    <t>REDACCIÓN DEL PROYECTO DE ESTRUCTURAS: OBRA DE REHABILITACIÓN DEL ANTIGUO FRONTÓN DE LAS FLORES PARA CENTRO DOTACIONAL</t>
  </si>
  <si>
    <t>8 EQUIPOS DE SONIDO PORTATILES PARA LOS CPM FRAY LUIS, S.JUAN,DELIC,VICTO, A.REAL,PTE.COLG, PARQ Y Z.SUR- DURACION 1 DIA</t>
  </si>
  <si>
    <t>ACUERDO MARCO PILA BOTON (1 UNID.) / CINTA AMERICANA NEGRA-PLATA ( 6 UNIDADES) / PLANCHA GOMA (1,50 )/SEISPC</t>
  </si>
  <si>
    <t>AC MARCO EXP V36-2017: SUMINISTRO REPUESTOS REPRACION VEHICULOS Sº DE LIMPIEZA</t>
  </si>
  <si>
    <t>AC MARCO EXP V36-2017: CEPILLOS REPARACION BARREDORAS MARCA RAVO DE LIMPIEZA VIARIA</t>
  </si>
  <si>
    <t>SOLUCIONES METALICAS  CERRINOX, S.L.</t>
  </si>
  <si>
    <t>REPARACIONES EN LOCAL DE POLICÍA MUNICIPAL UBICADO EN C/ MADRE DE DIOS, 4.</t>
  </si>
  <si>
    <t>ACUERDO MARCO V.36/2017; LOTE 8; REPARACION, LIMPIEZA Y REVISION DE  MOTOSIERRA MS 261C-182549399 MANO DE OBRA; SEISYPC</t>
  </si>
  <si>
    <t>CLINICA RADIOLOGICA DR.CALABIA S.L.</t>
  </si>
  <si>
    <t>Servicio de Radiología para 2021. Departamento de Prevención y Salud Laboral</t>
  </si>
  <si>
    <t>Hosting y Dominio de planjuventudva.es, demoexpress.es y espaciojovenvalladolid.es / 1 AÑO</t>
  </si>
  <si>
    <t>AC MARCO EXP. V36-2017: REPUESTOS PARA REPARACION  DE VEHICULOS DE LIMPIEZA VIARIA</t>
  </si>
  <si>
    <t>AC MARCO EXP V36-2017: BOLSAS NEGRAS 90X95 Y 115X150 PARA LIMPIEZA VIARIA</t>
  </si>
  <si>
    <t>GRAFICAS 81 S.L.</t>
  </si>
  <si>
    <t>TRABAJOS DE IMPRENTA MAQUETACIÓN Y  PUBLICIDAD PARA DIFERENTES EVENTOS DE LAS BIBLIOTECAS MUNICIPALES. AÑO 2021.</t>
  </si>
  <si>
    <t>TRABAJOS DE MANTENIMIENTO Y SUSTITUCION DE PIEZAS FUERA DE CONTRATO. EJERCICIO 2021.</t>
  </si>
  <si>
    <t>IMPRESIÓN DE SOPORTES PUBLICITARIOS A TRAVÉS DE IMPRENTA MUNICIPAL (PROGRAMAS, DÍPTICOS) / DURANTE 2021</t>
  </si>
  <si>
    <t>CONSUMIBLES PARA IMPRESORAS DE INVESTIGACION DE ACCIDENTES Y UNIDAD DE TRANSPORTE.</t>
  </si>
  <si>
    <t>ADQUISICIÓN DE PAPEL PARA ELABORACIÓN DE FORMULARIOS UTILIZADOS POR LA POLICÍA MUNICIPAL.</t>
  </si>
  <si>
    <t>SUM E INST. DISTINTAS PIEZAS REPUESTO REPARACIÓN AVERÍAS CALEFACCIÓN EN CENTROS CÍVICOS</t>
  </si>
  <si>
    <t>ACUERDO MARCO SUMINISTROS: ADHESIVO MONTAJE SOUDAL T-REX BLANCO / REMACHE BRALO / BROCA HSS RECT. COBALTO (SEIS Y PC)</t>
  </si>
  <si>
    <t>ACUERDO MARCO.SUMIN. MATERIAL FERRETERIA/ COPIAS LLAVE/ DESATASCADOR/ GRAPADORA NEUMÁTICA/ GRAPAS/ ETC.. POLICÍA.</t>
  </si>
  <si>
    <t>AC MARCO EXP V36-2017: RECAMBIOS PARA REPARCIONES VEHICULOS DEL Sº DE LIMPIEZA</t>
  </si>
  <si>
    <t>IVAN SAN MARTIN GONZALEZ</t>
  </si>
  <si>
    <t>CARTEL FERIA LIBRO 54 EDICION</t>
  </si>
  <si>
    <t>AC MARCO EXP V36-2017: REPUESTOS PARA REPARACION VEHICULOS Sº DE LIMPIEZA</t>
  </si>
  <si>
    <t>ACUERDO MRCO 2017/36, MATERIAL ELECTRICO.</t>
  </si>
  <si>
    <t>ALB: AV21/01080 de 22/02/21 /// SETA PROTECT./ BOBINA / TORNILLO SPAX / DISCO/ CINCEL/ ESTUCHE/ BALIZA/ BATERIA TFNO....</t>
  </si>
  <si>
    <t>VARIEDAD DE LIBROS PARA LAS BIBLIOTECAS MUNICIPALES</t>
  </si>
  <si>
    <t>SEÑALÉTICA CC PARQUESOL Y CC JOSÉ LUIS MOSQUERA (CARTELES Y ROTULACIÓN CRISTALES)</t>
  </si>
  <si>
    <t>SUMINISTRO DE PIEZAS Y REPARACIONES DE DIVERSOS VEHICULOS DEL SERVICIO DE LIMPIEZA.</t>
  </si>
  <si>
    <t>ACUERDO MARCO V.36_2017; LOTE 8; CONTERA CUADR PLASTICO/MANGUERA BUTANO 1,5 M  2 ABRAZADERAS/ ABRAZADERA MIKALOR;SEISYPC</t>
  </si>
  <si>
    <t>SERVICIOS ADIESTRADOR CANINO DEL 1 AL 30 DE JUNIO DE 2021 POR UN TOTAL DE 66 HORAS.</t>
  </si>
  <si>
    <t>AC MARCO EXP V36-2017: RECAMBIOS PARA VEHICULOS DEL SERVICIO DE LIMPIEZA.</t>
  </si>
  <si>
    <t>ACUERDO MARCO SUMINISTROS: QUEMADOR PAELLERO B-530 GAS/ SERVICIO DE EXTINCIÓN DE INCENDIOS</t>
  </si>
  <si>
    <t>CERCAOLID, S.L.</t>
  </si>
  <si>
    <t>VALLADO (POSTES DE HORMIGÓN Y MALLA) CC LA VICTORIA</t>
  </si>
  <si>
    <t>ACUERDO MARCO. MATERIAL DE FERRETERÍA PARA EL TALLER DE LA POLICÍA MUNICIPAL</t>
  </si>
  <si>
    <t>ADJUDICA DISEÑO MAQUETACIÓN PROGRAMA XI SIMPOSIO IBEROAMERICANO DE MEDIO AMBIENTE Y MUNICIPIO</t>
  </si>
  <si>
    <t>REVISIÓN DEL TACÓGRAFO DIGITAL DE CINCO GRUAS (5310BVH, 8671 JXF, 5343 BVH , 8831 JXF Y 9447 HHT)</t>
  </si>
  <si>
    <t>SUMINISTRO DE PINTURAS Y OTROS ARTÍCULOS PARA EL CENTRO DE MANTENIMIENTO</t>
  </si>
  <si>
    <t>SUMINISTRO DE MATERIALES  //// DESTINOS:  BIBLIOTECA PARQUE ALAMEDA  Y  FCO JAVIER MATÍN ABRIL.</t>
  </si>
  <si>
    <t>ACUERDO MARCO SUMINISTROS: ESCUDO TESA PROT.ANTIT.E700L 26 CM (1 UNIDAD )///SERVICIO DE EXTINCION DE INCENDIOS</t>
  </si>
  <si>
    <t>JESUS PUEBLA  SANZ</t>
  </si>
  <si>
    <t>Representaciones en CC Canal de Castilla y CC Pilarica, días 11 y 17 de abril 2021. MFS</t>
  </si>
  <si>
    <t>ALDEA DE SAN MIGUEL</t>
  </si>
  <si>
    <t>RECOGIDA, PLEGADO Y ENTREGA DE CARPETAS(1865 uds.). RECOGIDA Y ENTREGA DE CARTELES. MUESTRAS TV Y CT</t>
  </si>
  <si>
    <t>Estructura Roll-up lona impresa. Carteles y folletos-EVENTO NOMVEMBER</t>
  </si>
  <si>
    <t>SUMINISTRO DE 1500 CINTAS DE VISUALIZACIÓN PARA CONTENEDORES DE CARGA LATERAL</t>
  </si>
  <si>
    <t>AC MARCO EXP V36-2017: REPUESTOS PARA REPARACION DE VEHICULOS SERVICIO DE LIMPIEZA.</t>
  </si>
  <si>
    <t>AC MARCO EXP V36-2017: BIDONES LUBRICANTTE HIDRAULICO SASH-HIDROL-M 46 B-200 PARA VEHICULOS DEL SERVICIO DE LIMPIEZA</t>
  </si>
  <si>
    <t>AC MARCO EXP V36-2017: BIDONES ACEITE HIDRÁULIOC SASH-HIDROL-M 46 B-200  /// DESTINO:  VEHICULOS SERV. LIMPIEZA</t>
  </si>
  <si>
    <t>Amplificador_caja sirenas vehículo autoescala VA42345VE y caja sirenas tritono BUP_17, VA5263V; SEISYPC.</t>
  </si>
  <si>
    <t>AC MARCO EXP V36-2017: HERRAMIENTAS TALLER Y SUMINISTRO DE MATERIAL NECESARIO PARA EL SERVICIO DE LIMPIEZA</t>
  </si>
  <si>
    <t>AC MARCO EXP V36-2017: SUMINISTRO REPUESTOS PARA REPARACION DE VEHICULOS DEL Sº DE LIMPIEZA</t>
  </si>
  <si>
    <t>AC MARCO EXP V36-2017: BIDONES ACEITE MOTOR MOTUL-TEKMA FUTURA +10W40 VEHICULOS Sº LIMPIEZA, MES MARZO</t>
  </si>
  <si>
    <t>ADQUISICIÓN MÁQUINA PARA CONGELAR TUBERIAS DE AGUA HASTA 2"" DE DIÁMETRO</t>
  </si>
  <si>
    <t>AC MARCO EXP V36-2017: RECAMBIOS PARA REPARACION VEHÍCULOS DEL Sº DE LIMPIEZA</t>
  </si>
  <si>
    <t>SUMINISTRO E INSTALACIÓN CUATRO DISPOSITIVOS GPS EN VEHICULOS DEL Sº DE LIMPIEZA</t>
  </si>
  <si>
    <t>COMPRA MATERIAL DE CERRAJERÍA (PLETINAS, CHAPA ESTRIADA, OTROS..)</t>
  </si>
  <si>
    <t>AC MARCO EXP V36-2017: CEPILLOS, ESCOBIJOS Y RASTRILLOS PARA LIMPIEZA VIARIA</t>
  </si>
  <si>
    <t>SERVICIOS DE LIMPIEZA Y SERVICIOS DE ASISTENCIA, S.L.U.</t>
  </si>
  <si>
    <t>RECOGIDA Y LIMPIEZA DE PATIO/TEJADO EN CENTRO INTEGRADO. MAYO 2021. COVID-19</t>
  </si>
  <si>
    <t>AC MARCO EXP V36-2017: SUMINISTROS INDUSTRIALES PARA EL SERVICIO DE LIMPIEZA</t>
  </si>
  <si>
    <t>JOSE ISIDRO TORRES, S.L.</t>
  </si>
  <si>
    <t>144 uds- BALDOSAS COLEGIATA 40X20X6 BLAN // 16 uds- PALETS 1,05 X 1,05</t>
  </si>
  <si>
    <t>TORO</t>
  </si>
  <si>
    <t>REPARACIÓN/SUSTITUCION CENTRALITA DE CONTROL DEL VEHÍCULO IVECO MAGIRUS BUP-2 MATR. 4914JLF///SERV. EXTINCION INCENDIOS</t>
  </si>
  <si>
    <t>DAITONA MOTOS, S.L.</t>
  </si>
  <si>
    <t>REPARACIÓN VEHÍCULOS DEL SERVICIO DE POLICÍA MUNICIPAL ( A.M. EN TRAMITACIÓN )</t>
  </si>
  <si>
    <t>METAFORA DE COMUNICACION SLL</t>
  </si>
  <si>
    <t>Diseño y maquetación Memoria 2020 Área de Servicios Sociales y Mediación Comunitaria</t>
  </si>
  <si>
    <t>ACUERDO MARCO V.36_207;LOTE 8; CHAPA NEGRA DE 2 MM A MEDIDA/PLETINAS/TUBOS CUADR/CHAPA GALVANIZADA;SEISYPC</t>
  </si>
  <si>
    <t>SUMINISTRO DE MATERIAL DE ELECTRICIDAD /// DESTINOS: C.C. PARQUESOL- C.C. JOSE L. MOSQUERA- SEGUNDO MONTES</t>
  </si>
  <si>
    <t>ACUERDO MARCO: CIRCULOS EN CHAPA NEGRA DE 2 MM (  6 CIRCULOS DIAMETRO 170 MM ) ///  DESTINO: PARQUE DE BOMBEROS</t>
  </si>
  <si>
    <t>AC MARCO EXP V36-2017: SUMINISTRO PIEZAS REPARACION BARREDORAS E3812BDK Y E3814BDK DE S. LIMPIEZA VIARIA</t>
  </si>
  <si>
    <t>LIBROS PARA LAS BIBLIOTECAS MUNICIPALES (89 EJEMPLARES) // LIBRERIA ETIAM // ALBARANES DE 26 Y 27 DE MAYO Y 10 DE JUNIO</t>
  </si>
  <si>
    <t>ASMAIN, S.L.</t>
  </si>
  <si>
    <t>MANTENIMIENTO Y REPARACIÓN AVERÍAS INSTALACIONES TERMOVENTILADORES QUE PROPORCIONAN CALEFAC.C.MANTENI- MIENTO EN ERAS</t>
  </si>
  <si>
    <t>ALBARÁN AV21/02009 DE 16/04/2021: ACCESORIOS PARA SERVICIOS URBANÍSTICOS</t>
  </si>
  <si>
    <t>JOSE JAVIER VAZQUEZ  MINGUELA</t>
  </si>
  <si>
    <t>CALZADO SANITARIO, BATAS Y PIJAMAS. SERVICIO DE PREVENCION Y SALUD LABORAL</t>
  </si>
  <si>
    <t>5 PLETINAS DE: 60X10 - 60X8 - 60X6 - 50X10 / CORRUGADO / TUBO NORMA NE / TUBO CUADRADO ///// PAVIM. V. PUBLICAS</t>
  </si>
  <si>
    <t>AC MARCO EXP V36-2017: SUMINISTRO DE HERRAMIENTAS TALLER MECANICO DESTINO: SERVICIO DE LIMPIEZA</t>
  </si>
  <si>
    <t>MANTENIMIENTO, REPARACIONES, TORNILLOS,TACO/ BROCAS, JUEGOS BROCAS DEL  CPM DELICIASY  CPM RONDILLA-DURACION 1 DIA</t>
  </si>
  <si>
    <t>ACUERDO MARCO 2017/36, SEMILLA DE CÉSPED.</t>
  </si>
  <si>
    <t>Retirada de enseres y limpieza básica de la vivienda sita en la C/ Vinos de Rueda nº 22, 1º M. junio 2021</t>
  </si>
  <si>
    <t>AC MARCO EXP V36-2017: SUMINISTRO RECAMBIOS PARA REPARACIONES VEHICULOS Sº DE LIMPIEZA</t>
  </si>
  <si>
    <t>AC MARCO EXP V36-2017: SUMINISTRO RUEDAS PARA CARROS DE BARRIDO DE LIMPIEZA VIARIA</t>
  </si>
  <si>
    <t>CONTROL DE CALIDAD EN LA OBRA DE REPARACIÓN DE HUMEDADES EN CC PARQUESOL. MARZO 2021</t>
  </si>
  <si>
    <t>Reparación y sustitución de piezas en ascensores del Centro Integrado 2021. COVID-19</t>
  </si>
  <si>
    <t>TRABAJOS DE INSPECCIÓN PERIÓDICA EN LAS INSTALACIONES RECEPTORAS INDIVIDUALES DE GAS NATURAL EN LAS EIM. AÑO 2021</t>
  </si>
  <si>
    <t>AC. M. EXP V36-2017 VARIOS ELEMENTOS Y UTILES DE TALLER. SERVICIO DE LIMPIEZA.</t>
  </si>
  <si>
    <t>MATERIALES PARA EL MANTENIMIENTO DEL CIC SEGUNDO MONTES/ CC PARQUESOL/ CC JOSE LUIS MOSQUERA</t>
  </si>
  <si>
    <t>SUMINISTRO CUERPOS 50 L. COLOR GRIS REPARACION PAPELERAS PARA LIMPIEZA VIARIA</t>
  </si>
  <si>
    <t>SUMINISTRO MOTOR HIDRÁULICO REPARACION PLATAFORMA VEHICULO 2941 CBL DE S. LIMPIEZA VIARIA</t>
  </si>
  <si>
    <t>ACUERDO MARCO 2017/36, PRODUCTOS FITOSANITARIOS.Ç</t>
  </si>
  <si>
    <t>MATERIAL DE CARPINTERIA //  DESTINOS: NAVE PC- BUCEO- SEIS Y PC- BOMBEROS DE PARQUE CENTRAL Y PARQUE DE CANTERAC</t>
  </si>
  <si>
    <t>EJECUCION IFS OCAS - DIRECCIÓN OBRA INSTALAC ELÉCTRICAS ARCHIVO</t>
  </si>
  <si>
    <t>REANTEL,S.L.</t>
  </si>
  <si>
    <t>Instalación de un nuevo portero automático en el Centro Integrado (actual albergue municipal) 2021.COVID-19</t>
  </si>
  <si>
    <t>ELABORACIÓN DE ESTUDIO SOBRE NORMATIVA Y CONDICIONES DEL DEPÓSITO MUNICIPAL DE "" EL PERAL"".</t>
  </si>
  <si>
    <t>AC MARCO EXP. V36-2017: SUMINISTROS INDUSTRIALES PARA EL S. DE LIMPIEZA VIARIA</t>
  </si>
  <si>
    <t>IVAN ROMON JUAN</t>
  </si>
  <si>
    <t>TALLERES SOBRE ESTEREOTIPOS DE CARÁCTER SEXISTA / 4 SESIONES DURANTE 2021</t>
  </si>
  <si>
    <t>LUMINARIA IRELUZ/ ÁNGULO IRELUZ/ TAPA IRELUZ/ SUSPENSIÓN IRELUZ/ KIT ALIMENTACIÓN IRELUZ/ UNIÓN (CENTRO DE FORMACIÓN)</t>
  </si>
  <si>
    <t>AC MARCO EXP V36-2017: SUMINISTROS INDUSTRIALES VARIOS  MES DE MAYO DE 2021 PARA EL Sº DE LIMPIEZA</t>
  </si>
  <si>
    <t>SUMINISTRO DE MATERIAL DIVERSO /// DESTINO: COLEGIOS</t>
  </si>
  <si>
    <t>378 uds - Sacos cemento gris 25kg 32.5R.</t>
  </si>
  <si>
    <t>378 uds- Saco cemento gris 25kg 32.5R</t>
  </si>
  <si>
    <t>COMPLEMENTARIO, REPARACION DE VEHICULOS DEL SERVICIO DE PARQUES Y JARDINES.</t>
  </si>
  <si>
    <t>ACUERDO MARCO V.36_2017; LOTE 2; ALB 21-206902: REPUESTO P-01389 FILTRO AIRE / SERVICIOS LOGISTICOS INTEGRADOS; SEISYPC</t>
  </si>
  <si>
    <t>M³ TIERRA VEGETAL (10) /////</t>
  </si>
  <si>
    <t>CAJA CLAVED 150X61 ( 100 UNID. ) / BRIDA UNEX NEGRO (1.100 UNID.) / CINTA AI NUÑEZ ROJA (10 UNID.) /// ALUMBRADO PUBLICO</t>
  </si>
  <si>
    <t>REPARACIÓN BOMBAS EN LA INSTALACIÓN DE FRIO DEL EDIFICIO MUNICIPAL SAN BENITO</t>
  </si>
  <si>
    <t>UNIVERSAL PARTNER, S.L.U.</t>
  </si>
  <si>
    <t>Tres trajes de uniforme para la categoría de suboficiales; SEISYPC.</t>
  </si>
  <si>
    <t>ALVAROMAN REGALOS PUBLICITARIOS, S.L.</t>
  </si>
  <si>
    <t>COMPRA DE DESINFECTANTE VIRICIDA ALCOLAC PLUS 5L CAJA DE 2 UNDSPARA BIBLIOTECAS MUNICIPALES. COVID 19. PLAZO UN MES.</t>
  </si>
  <si>
    <t>Uso de instalaciones mpales para pruebas físicas de agentes Polic. Mpal: Pista atletismo/ Piscina // 29,30 y 31 de marzo</t>
  </si>
  <si>
    <t>AC MARCO EXP V36-2017: MONITORES PARA REPARACION EQUIPO RECOLECTOR FARID VEHICULO 1520DZM DEL Sº DE LIMPIEZA</t>
  </si>
  <si>
    <t>Dirección facultativa de las obras de actuación en vestuarios duchas y aseos en campo de prácticas ""El Rebollar"";SEISYPC</t>
  </si>
  <si>
    <t>SUMINISTRO MATERIAL AMPLIACIÓN ILUMINACION EXISTENTE DESPACHO ARCHIVO MUNICIPAL</t>
  </si>
  <si>
    <t>TALLERES MALGON, S.L.</t>
  </si>
  <si>
    <t>Kit cableado, junta, aforador / bomba combustible y lo necesario para el cambio, mano de obra: diagnosis y comprobacione</t>
  </si>
  <si>
    <t>CABLEADO Y REVISIÓN EN VEHÍCULO MATRÍCULA 9992-FVL</t>
  </si>
  <si>
    <t>SUMINISTRO DE MANUALES Y TOMOS DE DIFERENTES TÍTULOS // DESTINO: ARCHIVO MUNICIPAL</t>
  </si>
  <si>
    <t>REPRESENTACIÓN DE ""QUITAMIEDOS"" EN EL CENTRO MUNICIPAL DE LA IGUALDAD / DURANTE JUNIO 2021</t>
  </si>
  <si>
    <t>DIARIO ABC, S.L.</t>
  </si>
  <si>
    <t>UNA SUSCRIPCIÓN ANUAL AL PERIÓDICO ABC - UNIDAD DE MEDIOS DE COMUNICACIÓN</t>
  </si>
  <si>
    <t>AC MARCO EXP V36-2017: SUMINISTRO DESENGRASANTE PARA LIMPIEZA VIARIA Y  VEHICULOS DEL Sº LIMPIEZA</t>
  </si>
  <si>
    <t>ACUERDO MARCO. SUMINISTRO MATERIAL MANTENIMIENTO DEPENDENCIAS POLICÍA.</t>
  </si>
  <si>
    <t>Carril Electrif. Trifasico 2mts / Conector Alim./ Tapa Final/ Grapa/ Foco Carril //// DESTINO: JOSE LUIS MOSQUERA</t>
  </si>
  <si>
    <t>ACUERDO MARCO. SUMINISTRO MATERIAL ELÉCTRICO PARA MANTENIMIENTO DEPENDENCIAS POLICÍA.</t>
  </si>
  <si>
    <t>14,40 M2 DE LOSA DE 60x40x4 (VÍAS PÚBLICAS)</t>
  </si>
  <si>
    <t>MATERIALES DE ELECTRICIDAD PARA MANTENIMIENTO CC DELICIAS/ CC J.M. LUELMO/ CC RONDILLA/ CC J.L. MOSQUERA/ C.M. PTE DUERO</t>
  </si>
  <si>
    <t>ADQUISICIÓN DE FUENTE DE AGUA PARA INSTALAR EN EL CENTRO DE MANTENIMIENTO</t>
  </si>
  <si>
    <t>AC MARCO EXP. V36-2017: BOLSAS NEGRA 90X95 G-140 PARA CUBOS DE CARROS DE BARRIDO DE LIMPIEZA VIARIA</t>
  </si>
  <si>
    <t>Estudios de Seguridad y Salud de los 3 lotes Contrato de mantenimiento de ALUMBRADO.-</t>
  </si>
  <si>
    <t>AC MARCO EXP V36-2017. BOLSAS NEGRAS 90X95 G-140 PARA CARROS DE BARRIDO DE LIMPIEZA VIARIA</t>
  </si>
  <si>
    <t>SUMINISTRO SEIS FORROS POLARES PARA UNIFORMIDAD DEL PERSONAL DE POLICÍA POR DETERIORO DE LOS ANTERIORES.</t>
  </si>
  <si>
    <t>A.E. USO DE ESPACIOS F. ECONÓMICAS - AULARIO ESGUEVA // DIA:10-4-2021 // 3 TCO. AUX. ARQUI. E INGENIERIA. MJSI</t>
  </si>
  <si>
    <t>ENCUADERNACIÓN 7000 UDS. REVISTA ""LAS CUADRILLAS EN LA VALLADOLID COMUNERA"" (2ª IMPRESIÓN)</t>
  </si>
  <si>
    <t>AUTOBUSES URBANOS VALLADOLID</t>
  </si>
  <si>
    <t>RECARGA DE 30 TARJETAS SIN CONTACTO USUARIAS IV PIL / 1 DIA</t>
  </si>
  <si>
    <t>SUMINISTRO DE CONTENEDORES, ÁRIDOS Y RETIRADA DE ESCOMBROS POR LAS OBRAS EN LAS ESCUELAS INFANTILES MUNICIPALES. 2021</t>
  </si>
  <si>
    <t>INGESER IBERICA 2010, S.L.</t>
  </si>
  <si>
    <t>REPARACION DE BOQUERELES EN EQUIPO EXPENDEDOR DE GASOIL DEL SERVICIO DE LIMPIEZA</t>
  </si>
  <si>
    <t>MATERIAL DE PINTURA PARA EL AÑO 2021 DE LOS CPM TRANFERIDOS 600 EUROS  Y SIN TRANSFERIR 600 EUROS.</t>
  </si>
  <si>
    <t>ENMARCACIONES Y CONSUMIBLES PARA EL SERVICIO DE POLICÍA MUNICIPAL.</t>
  </si>
  <si>
    <t>AD COMPLEMENTARIO DE LA GESTION DE RESIDUOS DEL C. DE FORMACION PARA EL EMPLEO PARA 2021</t>
  </si>
  <si>
    <t>AMPLIACIÓN DEL SERVICIO DE REPARACIÓN DEL TOLDO EN ESCUELA INFANTIL CASCANUECES</t>
  </si>
  <si>
    <t>AC MARCO EXP V36-2017: SUMINISTROS INDUSTRIALES PARA EL Sº DE LIMPIEZA</t>
  </si>
  <si>
    <t>IMAGINA FUTURA ARTE VISUAL, S.L.</t>
  </si>
  <si>
    <t>ROTULACION VIDRIERAS DE   LA 1 PLANTA DEL CPM RONDILLA- DURACION 1 DIA</t>
  </si>
  <si>
    <t>ACUERDO MARCO 2017/36, ARBOLADO Y ARBUSTOS.</t>
  </si>
  <si>
    <t>REPARACIÓN ALTAVOCES CC PILARICA</t>
  </si>
  <si>
    <t>SUMINISTRO A LA IMPRENTA MUNICIPAL DE MATERIAL PARA LA ELABORACIÓN DE PORTA-MASCARILLAS. CAMPAÑA CON FECOSVA.</t>
  </si>
  <si>
    <t>AC MARCO EXP V36-2017: SUMINISTRO BIDON ACEITE MOTOR 5W30 208 L VEHICULOS DEL SERVICIO DE LIMPIEZA</t>
  </si>
  <si>
    <t>ISABEL MARTIN DE LA CRUZ</t>
  </si>
  <si>
    <t>TALLER EN EL CENTRO MUNICIPAL DE IGUALDAD 1 DIA</t>
  </si>
  <si>
    <t>TRAMITACIÓN Y GESTIÓN DOCUMENTAL PARA SUM. ELÉCTRICO DEFINITIVO EN LOCAL C/ CONDE ARTECHE (MARQUÉS SUANCES)</t>
  </si>
  <si>
    <t>ACTUACIÓN EN CIC CONDE ANSÚREZ EL DIA 05/06/2021</t>
  </si>
  <si>
    <t>ACTUACIÓN DEL GRUPO MARGARITO Y CÍA. EN CIC NATIVIDAD ÁLVAREZ CHACÓN DÍA 22/05/2021. MFS</t>
  </si>
  <si>
    <t>FIRMAPROFESIONAL,S.A.</t>
  </si>
  <si>
    <t>Compra de certificados digitales SSL Wildcar para actuaciones relacionadas con el proyecto S2City</t>
  </si>
  <si>
    <t>JUAN MANUEL PEREZ PEREZ</t>
  </si>
  <si>
    <t>ACTUACIÓN BOLOLO TEATRO EN CIC EMPECINADO EL DÍA 29/05/2021. MFS</t>
  </si>
  <si>
    <t>NURIA MARTIN  SANZ</t>
  </si>
  <si>
    <t>ACTUACIÓN ZOLOPOTROKO TEATRO DIA 10/04/2021 EN CC RONDILLA, PROGRAMACIÓN MENUDO FIN DE SEMANA</t>
  </si>
  <si>
    <t>CABEZON DE PISUERGA</t>
  </si>
  <si>
    <t>ACUERDO MARCO 2017/36, PIEDRA CALIZA.</t>
  </si>
  <si>
    <t>ACUERDO MARCO 2017/36, CUBETAS PARA PLANTAS.</t>
  </si>
  <si>
    <t>PATRICIA  GARCIA  BERRUGUETE</t>
  </si>
  <si>
    <t>CURSO DE HIGIENE ALIMENTARIA PARA EL CENTRO DE FORMACION PARA EL EMPLEO, CURSO DE V. CUIDA IV- DURACION 1 DIA</t>
  </si>
  <si>
    <t>ACUERDO MARCO 2017/36, SUMINISTRO PLANTA DE FLOR.</t>
  </si>
  <si>
    <t>ALBARANES DE MARZO: 2102444 -2102505 -2102737 -2102848 -2102850 // CC BAILARÍN VICENTE ESCUDERO</t>
  </si>
  <si>
    <t>PROSPECCIONES GEOFÍSICAS POL.IND.ARGALES CON EL FIN DE REALIZAR EL PROYECTO</t>
  </si>
  <si>
    <t>ENGRANAJES CASTILLA S.L.</t>
  </si>
  <si>
    <t>Fabricación de corona dentada especial, en bronce, componente de bomba contraincendios ZIEGLER; BUP_17;SEISYPC.</t>
  </si>
  <si>
    <t>BUREAU VERITAS INSPECCION Y TESTING, S.L.UNIPERSONAL</t>
  </si>
  <si>
    <t>ASISTENCIA TECNICA EN EL CONTRO DE CALIDAD. LOTE 2. PARA LAS OBRAS DE MEJORA DE VARIAS AULAS EN EL CEIP MARIA DE MOLINA</t>
  </si>
  <si>
    <t>SANT CUGAT DEL VALLES</t>
  </si>
  <si>
    <t>ACUERDO MARCO. SUMINISTRO MATERIAL ELECTRÓNICO PARA DEPENDENCIAS POLICIA.</t>
  </si>
  <si>
    <t>compra de un mando de control calefaccion y aire acondicionado en Galerías VA</t>
  </si>
  <si>
    <t>MARIA BEGOÑA DIEZ  NIETO</t>
  </si>
  <si>
    <t>PRUEBA PSICOTÉCNICA PARA LA PROVISION DE 4 PLAZAS DE SUBINSPECTOR DE POLICÍA MUNICIPAL</t>
  </si>
  <si>
    <t>ADQUISICIÓN DE MOBILIARIO CON DESTINO A LA INTERVENCIÓN GENERAL (1 SILLÓN DE TRABAJO).</t>
  </si>
  <si>
    <t>AJUSTE MANTENIMIENTO SISTEMA SEGURIDAD DE 2021 DEL C.F. EMPLEO- JACINTO BENAVENTE</t>
  </si>
  <si>
    <t>BEATRIZ SANZ OLANDÍA</t>
  </si>
  <si>
    <t>REALIZACION DE TALLERES SOBRE LA PERSPECTIVA DE GENERO Y MEDIOS DE COMUNICACION DURANTE EL AÑO 2021</t>
  </si>
  <si>
    <t>PERSONAL CRONOMETRADOR REALIZACIÓN PRUEBAS FÍSICAS OPOSICÓN SUBINSPECTOR POLICÍA MUNICIPAL. PER 131/2021.</t>
  </si>
  <si>
    <t>ADQUISICIÓN LAMINAS DE PLÁSTICO PROTEC.DEL PARQUET</t>
  </si>
  <si>
    <t>SUMINISTRO REPUESTOS PARA  REPARACIÓN VEHÍCULOS MARCA MERCEDES DEL SERVICIO DE LIMPIEZA</t>
  </si>
  <si>
    <t>SUMINISTRO REPUESTOS NEUMÁTICOS PARA REPARACION VEHICULOS DE LIMPIEZA VIARIA</t>
  </si>
  <si>
    <t>SUMINISTRO DE PAPEL A LA IMPRENTA MUNICIPAL. PARA ELABORACION DE PROGRAMAS, DIPTICOS, ..., VINCULADOS A EDUCACION. 2021</t>
  </si>
  <si>
    <t>TRESBOLILLO TEATRO &amp; MAPPING</t>
  </si>
  <si>
    <t>ACTUACIÓN EN CC DELICIAS DÍA 18/04/2021. MFS</t>
  </si>
  <si>
    <t>INSTALACIÓN DE RIEGO EN COLEGIO ALLUE MORER</t>
  </si>
  <si>
    <t>INSTALACIÓN SISTEMA COMUNICACIÓN AUDIOVISUAL Y LÍNEA TELEFÓNICA EN ASCENSOR DE CASA DEL BARCO. 01/06/2021 AL 31/12/2021</t>
  </si>
  <si>
    <t>REPARACION E INSTALACION DE  LUMINARIAS DEL ESPACIO JOVEN ZONA SUR / 1 DIA</t>
  </si>
  <si>
    <t>REPARACION Y RECAMBIOS VEHICULO: 3816-GKW ///  METER EN FRENOMETRO, Cº RETEN Y ZAPATAS, REVIS. TACOGRAFO</t>
  </si>
  <si>
    <t>REPARACION VEHICULO OFICIAL 3161 GFG, R.I.</t>
  </si>
  <si>
    <t>AC MARCO EXP V36-2017: SUMINISTROS PARA LOS TRABAJOS DE LIMPIEZA VIARIA</t>
  </si>
  <si>
    <t>ACTUACIÓN EN CC ZONA ESTE EL DÍA 08/05/2021 MFS</t>
  </si>
  <si>
    <t>CONTRATACIÓN DEL RECICLADO DE PAPEL EN CASA DEL BARCO Y EDIFICIO ANEXO. AÑO 2021</t>
  </si>
  <si>
    <t>LA QUIMERA DE PLASTICO, SOCIEDAD LIMITADA</t>
  </si>
  <si>
    <t>ESPECTÁCULO ""ESTO SABE A GLORIA"" (LAS CHAMANAS) EN CC BAILARÍN VICENTE ESCUDERO, DÍA 25/04/2021. MFS</t>
  </si>
  <si>
    <t>STEFANIA LILIANA CIRLAN</t>
  </si>
  <si>
    <t>ACTUACIÓN TRÍO CANTABILE EN CC DELICIAS EL DÍA 22/05/2021</t>
  </si>
  <si>
    <t>SUM E INST. DE DOS PLACAS IDENTIFICATIVAS ALUMINIO 500x500 mm (PARA CIC SANTIAGO LÓPEZ Y CIC SEGUNDO MONTES)</t>
  </si>
  <si>
    <t>FIATC MUTUA SEGUROS</t>
  </si>
  <si>
    <t>SEGURO DE RESPON CIVIL Y ACCIDENTES DEL CURSO DE ATENCION SOCIOSANITARIA A PERSONAS DEPEND EN DOMIC- DE01/07 AL15/12/ 21</t>
  </si>
  <si>
    <t>ACUERDO MARCO. 64TI/35 CADADO ABUS LLAVES IGUALES N 6356 ( 24 UNIDADES ) /// POLICIA MUNICIPAL</t>
  </si>
  <si>
    <t>REVISION GRUA FASSI F 110A.23 Nº 5765 AÑO 2004-CONSERVACION DE INFRAESTRUCTURASACEITE HIDRAULICO HM 46 ISO 9001 FILTRO</t>
  </si>
  <si>
    <t>Encuadernacion libro ""Los Cazadores de Alcántara""</t>
  </si>
  <si>
    <t>PROCOMAR VALLADOLID ACOGE PROMOC.COLECT.</t>
  </si>
  <si>
    <t>CICLO DE 3 ACTIV.FORMATIVAS DIRIGIDAS A EMPRESAS. DIA CONTRA LA DISCRIMINACIÓN RACIAL 2021</t>
  </si>
  <si>
    <t>ACUERDO MARCO V.36_2017; LOTE 1;MATERIALES DE FERRETERÍA NECESARIOS PARA LAS TAREAS DEL SERVICIO SEIS Y PC</t>
  </si>
  <si>
    <t>ADJUDICACIÓN SUMINISTRO DE CALZADO SEGURIDAD PARA PERSONAL IMPRENTA - AÑO 2021</t>
  </si>
  <si>
    <t>ACUERDO MARCO  SUMINISTRO ALFOMBRA CITI 10mm GRIS 100X200 CON BORDES 11mm ANTRACITA MONTADA DEPENDENCIAS POLICÍA.</t>
  </si>
  <si>
    <t>SUMINISTRO E INSTALACIÓN DE BATERÍA STANDARD GRUPO ELECTRÓGENO CC J. M. LUELMO</t>
  </si>
  <si>
    <t>MATERIAL DE ELECTRICIDAD PARA EL MANTENIMIENTO DE CENTRO SEGUNDO MONTES/ CC J.L.MOSQUERA/ CC DELICIAS</t>
  </si>
  <si>
    <t>ACUERDO MARCO. SUMINISTRO DE MATERIAL MANTENIMIENTO DEPENDENCIAS POLICÍA.</t>
  </si>
  <si>
    <t>SUMINISTRO CARTUCHO VÁLVULA TERMOSTATICA REPARACION EN VESTUARIOS DEL SERVICIO DE LIMPIEZA C/ TOPACIO</t>
  </si>
  <si>
    <t>SEGURO DE ACCT. Y RESPONS. CIVIL DEL CURSO ATENC. SOCIOSANITARIA A PERSONAS DEPENDIENTES EN IINST.DEL 02/08 AL 17/12/21</t>
  </si>
  <si>
    <t>MANTENIMIENTO, SUMINISTRO DE EMERGEN LEGRAND 661608PL 200LM  (20 UNIDADES)  C.P.M. DELICIAS- DURACION 1 DIA</t>
  </si>
  <si>
    <t>AC MARCO EXP V36-2017: TRAJES DE AGUA PARA PERSONAL DE LIMPIEZA VIARIA</t>
  </si>
  <si>
    <t>CURSO DE 6 H. ONLINE EN MATERIA DE TRATA DE SERES HUMANOS DIRIDIGO AL PERSONAL DE SERV. SOC. DEL AYTO Y ENT. SOC.</t>
  </si>
  <si>
    <t>CONTRATO SERVICIO LINEA TELEFONICA PARA ASCENSOR OFICINAS SERVICIO LIMPIEZA (C/ TOPACIO)</t>
  </si>
  <si>
    <t>SUMINISTRO DE MATERIALES DE PINTURA PARA CENTROS: SEGUNDO MONTES, MOSQUERA Y RONDILLA Y LOCAL SCOUT PARQUE MEDIODIA</t>
  </si>
  <si>
    <t>AC MARCO EXP V36-2017: REPUESTOS PARA REPARACIONES VEHICULO DEL Sº DE LIMPIEZA</t>
  </si>
  <si>
    <t>ALFONSO CORRAL  BERMEJO</t>
  </si>
  <si>
    <t>CONCIERTO DELIBREANDO EN CC PARQUESOL 29/04/2021 (EN JUNIO LA ESGUEVA)</t>
  </si>
  <si>
    <t>Espectáculo en CC Esgueva día 22/04/2021. MFS</t>
  </si>
  <si>
    <t>OKARINO TRAPISONDA TEATRO TITERES, S.L.</t>
  </si>
  <si>
    <t>REPRESENTACIÓN TÍTERES EN CM PUENTE DUERO DÍA 01/05/2021. MFS</t>
  </si>
  <si>
    <t>PLACAS ROTULADORAS DE VIAS DE CALLE</t>
  </si>
  <si>
    <t>ACUERDO MARCO V.36/2017; LOTE1;JUNTA TORICA ROLLO CINTA BOLSA HERRAM TACO FISCHER TORNILLOS BROCA PARED QUADRING;SEISYPC</t>
  </si>
  <si>
    <t>MATERIALES DE PINTURA PARA CC ESGUEVA (131,16 ¿) Y LOCAL AV BUENOS AIRES (RESTO)</t>
  </si>
  <si>
    <t>ACUERDO MARCO. SUMINISTRO DE MATERIAL DE FERRETERIA PARA POLICIA MUNICIPAL.</t>
  </si>
  <si>
    <t>Revisión del sistema de frenado y sustitución de pastillas de freno en BUP:1; matrícula 4894 JLF; SEISYPC</t>
  </si>
  <si>
    <t>ACUERDO MARCO SUMINISTROS: MUELLE DH 32GS  OPTIMUN/ VISOR DH 32GS  OPTIMUN  SPRAY SEGOPI ADHESIVO/ CINTA SEÑALIZ.../SEIS</t>
  </si>
  <si>
    <t>SUMINISTRO DE NÚMEROS PROFESIONALES Y PANTALONES UNIFORME POR NECESIDAD URGENTE (CONTRATO VESTUARIO EN TRAMITACIÓN.</t>
  </si>
  <si>
    <t>DIKINSON S.L.</t>
  </si>
  <si>
    <t>SUMINISTRO DE DIFERENTES LIBROS ////  DESTINO: ARCHIVO MPAL</t>
  </si>
  <si>
    <t>SISTEMAS MATÁLICOS Y CURVADOS, S.L.</t>
  </si>
  <si>
    <t>ADQUISICION SOPORTE PARA INAUGURACION PLAZA, ALCALDIA</t>
  </si>
  <si>
    <t>MARCO ARTESO (2)/ ZOCALO UNEX (10)/ ADAPTADOR (20)/ BASE (20)/ CARGADOR (10)/ PARA BIBLIOT. BAILARIN V. ESCUDERO. junio</t>
  </si>
  <si>
    <t>LIBRERIA MAXTOR, SOCIEDAD LIMITADA</t>
  </si>
  <si>
    <t>8 TÍTULOS PARA LAS BIBLIOTECAS MUNICIPALES (LIBRERÍA MAXTOR)</t>
  </si>
  <si>
    <t>ACONDICIONAMIENTO CUBIERTA PARA PLACAS SOLARES CC PARQUESOL</t>
  </si>
  <si>
    <t>CONCIERTO EL DIA 02/05/2021 EN CC J .L. MOSQUERA. MFS</t>
  </si>
  <si>
    <t>ASOCIACION CULTURAL KINUNA TEATRO Y TERAPIAS ALTERNATIVAS</t>
  </si>
  <si>
    <t>ACTUACIÓN EN CC PARQUESOL EL DÍA 22/05/2021. MFS</t>
  </si>
  <si>
    <t>COMPAÑIA MONICA DE LA FUENTE S.L.</t>
  </si>
  <si>
    <t>CONTRATACIÓN DEL ESPECTÁCULO DE POESÍA, MÚSICA Y DANZA ""LA ESCUELA DE RABINDRANATH TAGORE"" CON MOTIVO  DE LA FERIA LIBRO</t>
  </si>
  <si>
    <t>DEHESA DE PEÑALBA-VILLABAÑEZ</t>
  </si>
  <si>
    <t>GRUPO DE TEATRO MUTIS</t>
  </si>
  <si>
    <t>ACTUACIÓN EN CC CASA CUNA EL DÍA 15/05/2021. MFS</t>
  </si>
  <si>
    <t>COMPLEMENTARIO MANTENIMIENTO SISTEMAS DE SEGURIDAD, JARDINES.</t>
  </si>
  <si>
    <t>CARTELERÍA PARA LOS EVENTOS DE LAS BIBLIOTECAS MUNICIPALES DURANTE EL AÑO 2021.</t>
  </si>
  <si>
    <t>BUJIA/BATERIA EXIDE/MAXICER PREMIUM/CANON GESTIÓN ACEITE (RD679/2006)/ SEPIOLITA 20 KG /LIMP. INYECCIÓN DIESEL///SEISPC</t>
  </si>
  <si>
    <t>MANTENIMIENTO, REPARACION LUMINARIA THORN ,TASA ECORAEE,CAJA EST LEGRANDDEL C. . FORMAC. JACINTO BENAVENTE- DURACION 1 D</t>
  </si>
  <si>
    <t>CONTENEDORES RESIDUOS SANITARIOS DURANTE 2021</t>
  </si>
  <si>
    <t>REPARACIÓN ALERO CUBIERTA POR ACCIDENTE EN CIC NATIVIDAD ÁLVAREZ CHACÓN</t>
  </si>
  <si>
    <t>REVISIÓN EXTINTORES CASA DEL BARCO Y CENTRO MUNICIPAL DE PROTECCION ANIMAL EN 2021</t>
  </si>
  <si>
    <t>PUERTAS Y AUTOMATISMOS ROPER S.L.</t>
  </si>
  <si>
    <t>Revisión obligatoria en periodo de garantía de 7 puertas mecanizadas en el Parque de  Vías Públicas del S.E.P.I.</t>
  </si>
  <si>
    <t>REVILLA DE CAMARGO</t>
  </si>
  <si>
    <t>CANTABRIA</t>
  </si>
  <si>
    <t>SUMINISTRO DE MATERIAL DE FONTANERÍA PARA C.P.: CRIST.COLÓN- NARCISO A.C.- ALONSO B.- PONCE LEON- MIGUEL HDEZ</t>
  </si>
  <si>
    <t>ESTUDIOS Y CONTROLES BIOLOGICOS, S.L. (BIECON)</t>
  </si>
  <si>
    <t>TRATAMIENTO DE DESRATIZACIÓN EN LAS INSTALACIONES DEL ARCHIVO MUNICIPAL.</t>
  </si>
  <si>
    <t>VILLANUBLA</t>
  </si>
  <si>
    <t>Modificado CONTRATO DE OBRAS DE INFRAESTRUCTURA: TOLDOS VEGETALES EN LA CALLE SANTA MARÍA. PROYECTO URBAN GreenUP</t>
  </si>
  <si>
    <t>SUMINISTRO DE GASÓLEO PARA LOCAL C/ CONDE ARTECHE</t>
  </si>
  <si>
    <t>MIL TRESCIENTOS GRAMOS, S.L.</t>
  </si>
  <si>
    <t>MASCARILLAS LOGO ACTUVA (60 UD.)</t>
  </si>
  <si>
    <t>AC MARCO EXP. V36-2017: REPUESTOS PARA REPARACIONES VEHICULOS Sº LIMPIEZA</t>
  </si>
  <si>
    <t>MANTENIMIENTO, SUMINISTRO REPUESTOS VARIOS ,DESTINOS: C.P.M RONDILLA 648.38 Y CENTRO OCUPACIONAL8.02- DURACION 1 DIA</t>
  </si>
  <si>
    <t>CLAIRE MARTINE STEWART</t>
  </si>
  <si>
    <t>SUSCRIPCIÓN A LA REVISTA PRIMICIAS NEWS AÑO 2021 PARA LAS BIBLIOTECAS MUNICIPALES.</t>
  </si>
  <si>
    <t>REGLETA LEGRAND NEGRA Ø25/ REGLETA LEGRAND NEGRA Ø16/ REGLETA LEGRAND NEGRA Ø10 (ALUMBRADO PÚBLICO)</t>
  </si>
  <si>
    <t>ANUNCIO PRENSA PROYECTO ADAPTACIÓN LOCAL CALLE SANTIAGO,22 PARA CENTRO SALUD LABORAL AYUNTAM.VALLAD.</t>
  </si>
  <si>
    <t>Instalación eléctrica temporal en Plaza Mayor, con motivo del Día Internacional de la Mujer 2021 / 1 DÍA</t>
  </si>
  <si>
    <t>MIxto-Mixto</t>
  </si>
  <si>
    <t>ASOCIACIÓN TODO CUENTA</t>
  </si>
  <si>
    <t>CUENTACUENTOS DIDACTICO ""LEONOR BUSCA EL AMOR"" EN CMI EL DIA 19/03/2021 / 1 DIA</t>
  </si>
  <si>
    <t>ARRAYA DE OCA</t>
  </si>
  <si>
    <t>AC MARCO EXP V36-2017: SUMINISTROS INDUSTRIALES/// MES DE MARZO // SERVICIO DE LIMPIEZA</t>
  </si>
  <si>
    <t>Suministro de papel para publicación libro ""Los Cazadores de Alcántara""</t>
  </si>
  <si>
    <t>VITRINA ANUNCIOS CM LAS FLORES(324,28¿) / BOMBILLOS Y COPIA LLAVE AV LA ISLA (293,79¿)/ PERNIO SOLDAR CC LUELMO (10.06¿)</t>
  </si>
  <si>
    <t>OLMO MORALES ALBARRÁN</t>
  </si>
  <si>
    <t>Taller formativo GRUPO DE REFLEXIÓN EN GENERO / 3, 11 y 18 DE MAYO DE 2021</t>
  </si>
  <si>
    <t>RECAMBIOS PARA MANTENIMIENTO DE CIC C.ANSÚREZ/ CIC EMPECINADO/ CC RONDILLA/ CC DELICIAS/ CC Z.SUR/ CC ESGUEVA/ S.BENITO</t>
  </si>
  <si>
    <t>REDAC.EBSS DEL PROYECTO URBANIZACION DE LA PLAZA DE LA COMUNICACIÓN</t>
  </si>
  <si>
    <t>AC MARCO EXP V36-2017: SUMINISTRO INDUSTRIALES PARA LIMPIEZA VIARIA</t>
  </si>
  <si>
    <t>SUMINISTRO DE  MATERIAL DE ELECTRICIDAD PARA EL MANTENIMIENTO DEL CPM DELICIAS / CPM RONDILLA- DURACION 1 DIA</t>
  </si>
  <si>
    <t>REPARACION 1672 DMP /SUSTITUCION BOMBINES Y LUMINOSO ROTATIVO/</t>
  </si>
  <si>
    <t>40 UDS CONSTITUCIÓN ESPAÑOLA PARA ALUMNADO DE ACCIONES FORMATIVAS. PLAN INMIGRACIÓN 2021</t>
  </si>
  <si>
    <t>Complemento de vestuario para el personal de nueva incorporación PREPLAN.</t>
  </si>
  <si>
    <t>REPARACION ELECTRICA URGENTE  DEL CPM PUENTE COLGANTE , EL SERVICIO DE MANTENIMIENTO NO PUEDE REALIZARLA-DURACION 1 DIA</t>
  </si>
  <si>
    <t>CAMARA OFICIAL DE COMERCIO, INDUSTRIA Y SERVICIOS DE VALLADOLID</t>
  </si>
  <si>
    <t>CONTRATO SERVICIOS PARA LA INSCRIPCION DE PATENTES Y MARCAS MeVa,MARCA, LOGO TIPOG. Y DISEÑO DE LOS MERCADOS MUNICIPALES</t>
  </si>
  <si>
    <t>SUMINISTRO MATERIAL,SACA CORTEZA DECORATIVA,SACO MARMOL  PARA EL C.F. DE EMPLEO JACINTO BENAVENTE-CURSO P. Y J  -D 1 DIA</t>
  </si>
  <si>
    <t>CINTA BALIZA BL/ROJA 100x200/ BISAGRA SOLDAR BL / MANILLA GAMMA NE / TACO/ CERRADURA/ BROCA/ CADENA/ BOMBILLO</t>
  </si>
  <si>
    <t>Contrato mayo a diciembre (8 meses) de 2021 de recogida y destruccion de papel. Depto. de Prevención y Salud Laboral</t>
  </si>
  <si>
    <t>MANILLA/ SILICONA/ CERRADURA/ BOMBILLO/ LLAVES/ ELECTRODO/ PUERTA C/ AMORTIGUADOR/ BROCA/ TORNILLO/ TUERCA</t>
  </si>
  <si>
    <t>ACUERDOS MARCO - VEHÍCULOS DE MANTENIMIENTO: VA3249T / VA9917Y / 8282DFF / VA9253V / 8796HWW</t>
  </si>
  <si>
    <t>AC MARCO EXP V36-2017:  ANTICONGELANTE 3000 50% 185 K ( 2 UNIDADES) PARA VEHICULOS DEL Sº DE LIMPIEZA</t>
  </si>
  <si>
    <t>ACUERDO MARCO. SUMINISTRO DE MATERIAL ELÉCTRICO MANTENIMIENTO DEPENDENCIAS.</t>
  </si>
  <si>
    <t>INSPECCIONES OBLIGATORIAS DE ASCENSORES DEL CPM VICTORIA, PTE. COLG, Z.ESTE Y FRAY LUIS- DURACION 1 DIA</t>
  </si>
  <si>
    <t>AC MARCO EXP V36-2017: ADBLUE A GRANEL (1.400) PARA VEHICULOS DEL Sº LIMPIEZA // MES MARZO</t>
  </si>
  <si>
    <t>ADQUISICIÓN SILLÓN ERGONÓMICO CON REPOSA CABEZAS PARA CC CANAL DE CASTILLA</t>
  </si>
  <si>
    <t>GRAFICAS CELARAYN S.A.</t>
  </si>
  <si>
    <t>DESPEGABLES DE 5 CUERPOS CON FORMA DE ACORDEON CON INFORMACION SOBRE EL PROGRAMA DE DROGAS- SERVICIO I. SOCIAL-DUR 1 DIA</t>
  </si>
  <si>
    <t>MOSQUITERAS PARA REPARACION EN ALBERGUE DE PEREGRINOS</t>
  </si>
  <si>
    <t>AC MARCO EXP V36-2017: ADBLUE A GRANEL ( 1.400 LITROS ) PARA VEHICULOS DEL Sº LIMPIEZA</t>
  </si>
  <si>
    <t>MATERIALES PARA EL C.MPAL N. ALVAREZ CHACÓN/ C.INTEGRADO ZONA ESTE/ CC PILARICA/ CC RONDILLA/ CC ESGUEVA/ CC ZONA SUR</t>
  </si>
  <si>
    <t>ENSAYOS DE CONTROL DE CALIDAD. LOTE 1.  PARA LA OBRA DE MEJORA DE VARIAS AULAS EN EL CEIP MARIA DE MOLINA</t>
  </si>
  <si>
    <t>DAIKIN AC SPAIN, S.A.</t>
  </si>
  <si>
    <t>REVISIÓN Y PUESTA EN SERVICIO CIRCUITO CLIMATIZACIÓN (CIRCULO D) ARCHIVO MUNICIPAL</t>
  </si>
  <si>
    <t>AC MARCO EXP V36-2017: SUMINISTROS VARIOS // DESTINO: SERVICIO DE LIMPIEZA /// MES DE ABRIL DE 2021</t>
  </si>
  <si>
    <t>CONTRATACION SERVICIO RDSI PARA LA FERIA DEL LIBRO</t>
  </si>
  <si>
    <t>GASTO COMPLEMENTARIO CONTRATACION RDSI FERIA DEL LIBRO VALLADOLID 2021</t>
  </si>
  <si>
    <t>MTR.³ TIERRA VEGETAL (5)</t>
  </si>
  <si>
    <t>DISEÑO IMAGEN Y LOGOS MFS PRIMAVERA 2021</t>
  </si>
  <si>
    <t>DESGUACES Y GRUAS CANO, S.L.</t>
  </si>
  <si>
    <t>ADQUISICION DE VEHICULOS DE DESGUACE PARA REALIZAR PRACTICAS DE RESCATE VIAL//SERV. EXTINCION INCENDIOS, SALVAMENTO Y PC</t>
  </si>
  <si>
    <t>AC MARCO EXP V36-2017: SUMINISTRO EPIS PARA PERSONAL DEDICADO AL DESBROCE EN LA VÍA PÚBLICA</t>
  </si>
  <si>
    <t>SUMINISTRO MATERIALES PARA EL  CURSO PINTURA DECORATIVA II-47/0014/2020-DEL C.F. EMPLEO  -DURACION 1 DIA</t>
  </si>
  <si>
    <t>SUMINISTRO DE DIFERENTE MATERIAL ///// DESTINO: C.P. MIGUEL DE CERVANTES //  MES DE MAYO 2021</t>
  </si>
  <si>
    <t>TRABAJOS DE IMPRENTA, MAQUETACIÓN Y PLASTIFICADO PARA PRODUCTOS PUBLICITARIOS DE LAS BIBLIOTECAS MUNICIPALES. AÑO 2021</t>
  </si>
  <si>
    <t>SUMINISTRO RESMAS PAPEL PARA REALIZACION TALONARIOS ""PARTES DIARIOS DE CONDUCTOR"" PARA EL Sº LIMPIEZA</t>
  </si>
  <si>
    <t>PAPEL DE IMPRENTA PARA LA DIFUSIÓN DE ACTIVIDADES DE LAS BIBLIOTECAS MUNICIPALES.. AÑO 2021</t>
  </si>
  <si>
    <t>MAS10 MOTORSPORT, S.L.</t>
  </si>
  <si>
    <t>Revisión_cambio de filtros y mantenimientos diversos en motor fueraborda YAMAHA 25 CV, embarcación RBS-52; SEISYPC</t>
  </si>
  <si>
    <t>AC MARCO EXP. V36-2017: SUMINISTROS PARA EL S. DE LIMPIEZA VIARIA</t>
  </si>
  <si>
    <t>CONTRATACIÓN DE UN ACCESO FTTH VPNIP 600/600 (SALDO 2020)</t>
  </si>
  <si>
    <t>AC MARCO EXP V36-2017: Proyector Guardian Pro 245W 4000K 28000 Lm 2 UNIDADES Sº LIMPIEZA.</t>
  </si>
  <si>
    <t>JOHNSON CONTROLS ESPAÑA, S.L.</t>
  </si>
  <si>
    <t>REVISIÓN Y PUESTA EN SERVICIO REGULACIÓN CIRCUITO CLIMATIZ.(CIRCUITO D) EN EL ARCHIVO MUNICIPAL</t>
  </si>
  <si>
    <t>DISEÑO DE CARTELERÍA PARA CAMPAÑA LGTBI 2021 / 1 DIA</t>
  </si>
  <si>
    <t>SUMINISTRO MAT. DE CARPINTERIA /// DESTINOS: C. SEGUNDO MONTES- CC ESGUEVA- C.SANTIAGO- C.EMPECINADO</t>
  </si>
  <si>
    <t>MATERIALES DE HIERRO GALVANIZADO SOLDADOS ELECTR. PARA COLEGIO FRANCISCO PINO. PLAZO 1 MES</t>
  </si>
  <si>
    <t>AC MARCO EXP V36-2017: ADBLUE A GRANEL (1.200 L) / / VEHICULOS SERVICIO DE LIMPIEZA</t>
  </si>
  <si>
    <t>AC. M. EXP. V36-2017 ADBLUE A GRANEL (1.200 LITROS). SERVICIO DE LIMPIEZA.</t>
  </si>
  <si>
    <t>ACUERDO MARCO Programador Horario Analogico Enchufable KOBAMATI  ///// DESTINO: POLICIA MUNICIPAL</t>
  </si>
  <si>
    <t>PAPEL SUMINISTRADO EN IMPRENTA MUNICIPAL PARA CARTELES Y CARPETAS MTV/MCT</t>
  </si>
  <si>
    <t>Carril Electrif. Trif. 2mts / Conector Alim./ Tapa Final Carril / Grapa Fij./ Foco Carril ////  ESPACIO JOVEN- ZONA SUR</t>
  </si>
  <si>
    <t>Estudio de Seguridad y Salud Proyecto de Edificación en instalaciones municipales del S.E.P.I.</t>
  </si>
  <si>
    <t>MATERIALES PARA EL MANTENIMIENTO DE CENTRO SEGUNDO MONTES/ CC BAILARIN VTE ESCUDERO/ CIC EMPECINADO/ CIC NATIVIDAD A.C.</t>
  </si>
  <si>
    <t>F-2646.MARINO DE LA FUENTE. MELAMINA 19 MM-10 MM/CANTO PVC/TAPON /BISAGRA/SOPORTE. CEAS BELEN-PILARICA- CEAS PAJ. ALTOS</t>
  </si>
  <si>
    <t>Instalación de un nuevo portero autómatico en el albergue municipal-COVID-19</t>
  </si>
  <si>
    <t>CONTENEDOR ARENA CIRCULO CAMPESTRE PINAR DE ANTEQUERA | 1 DIA</t>
  </si>
  <si>
    <t>Desinsectación dos colchones (chinches) y posterior retirada a reciclaje. Centro Integrado. COVID-19</t>
  </si>
  <si>
    <t>MANTENIMIENTO REPARACION VEHICULO OFICIAL 0669-DHJ, R.I.</t>
  </si>
  <si>
    <t>CRISTALERIA ZARATAN, S.L.</t>
  </si>
  <si>
    <t>F-5617. C.ZARATAN.CRISTALES:(VIV.PRADO 27,82- CENTRO INTEGRADO 250,95-COMEDOR 422,62- COVID19</t>
  </si>
  <si>
    <t>4 M² TIERRA CON MANTILLO</t>
  </si>
  <si>
    <t>ROTULOS TESEDO, SOCIEDAD LIMITADA</t>
  </si>
  <si>
    <t>ROTULACIÓN EN METACRILATO CC JOSÉ Mª LUELMO</t>
  </si>
  <si>
    <t>PAPELERIA DE LA OFICINA, S.L.</t>
  </si>
  <si>
    <t>DESTRUCTORA FELLOWES 75 CS PARA CONCEJALIA Y DIRECCION DE AREA SERVICIOS SOCIALES Y MEDIACION COMUNITARIA-1 DIA</t>
  </si>
  <si>
    <t>REVISIÓN LÍNEAS DE VIDA EN CC CAMPILLO</t>
  </si>
  <si>
    <t>4 M3 DE TIERRA VEGETAL</t>
  </si>
  <si>
    <t>PROTECTOR LATERAL/ PROTECTOR CANTONERA/ SEÑAL EBER/ PROTECTOR CANTONERA (CENTRO SANTIAGO LOPEZ C/ PAVO REAL)</t>
  </si>
  <si>
    <t>MATERIAL ELECTRICO PARA VARIOS CENTROS DE PARTICIPACIÓN CIUDADANA</t>
  </si>
  <si>
    <t>PARASOL ALUM. / TENAZA PRECINTAR -GRABADO PERSONALIZADO / PRECINTO PLOMO / ALAMBRE</t>
  </si>
  <si>
    <t>PLETINA INOX.12MTS (33) / LLAVES MECANIZADAS ACERO (4) / LLAVERO PORTAETI. (4) / TOPE BRINOX (43)  / CINTA (1) varios CC</t>
  </si>
  <si>
    <t>AC MARCO EXP V36-2017: MATERIAL CERRAJERIA PARA EL SERVICIO DE LIMPIEZA VIARIA</t>
  </si>
  <si>
    <t>AC MARCO EXP V36-2017: SUMINISTROS VARIOS PARA EL S. DE LIMPIEZA VIARIA</t>
  </si>
  <si>
    <t>SUMINISTROS PARA COLEGIOS: C.P. GARCIA QUINTANA / C.P. NARCISO A. CORTES / CENTRO AUTISTA EL CORRO</t>
  </si>
  <si>
    <t>SUMINISTRO DE: ESCOBILLERO COMPLETO / SECAMANOS / REP. PALANCA /// DESTINOS: SEGUNDO MONTES- CIC EMPECINADO- CC ZONA SUR</t>
  </si>
  <si>
    <t>BOMBA FISCHER MANUAL AIRE  / LEVA MCM  / DISCO C/METAL / CAJA DISCOS / PUNTAL URKO PROF.</t>
  </si>
  <si>
    <t>TOPE RETENEDOR/ TIRAFONDO/ CERRADURA MCM/ ENGANCHE/ TACO/ CERRADURA TESA/ MANILLA PLATA/ MANILLA NEGRA</t>
  </si>
  <si>
    <t>SUMINISTROS DE MNTO PARA CP J. ZORRILLA/ CP M. DELIBES/ CP A. BERRUGUETE/ CP G. QUINTANA/ CP EL PERAL/ CP M. PICAVEA</t>
  </si>
  <si>
    <t>30 UDS CONSTITUCIÓN ESPAÑOLA PARA ALUMNADO DE ACCIONES FORMATIVAS. PLAN INMIGRACIÓN 2021</t>
  </si>
  <si>
    <t>SUMINISTRO DE: ZAPATOS CROSS / BOTAS BEKINA / GUANTES / CHALECOS / PANTALONES / SPRAY . PERSONAL NUEVO GRUAS.</t>
  </si>
  <si>
    <t>AC MARCO EXP V36-2017: BONDERITE C-MC 3000 D2 JC20KG DESENGRASANTE PARA LIMPIEZA VIARIA</t>
  </si>
  <si>
    <t>MUNDO INFORMÁTICO VALLADOLID, S.L.</t>
  </si>
  <si>
    <t>ALTAVOCES Y CAMARAS ( DOS UNIDADES POR CENTRO) PARA LOS CPM ARCAREAL, FRAY LUIS, VICTORIA Y RONDILLA- DURACION 1 DIA</t>
  </si>
  <si>
    <t>AC MARCO EXP V36-2017: SUMINISTRO DESENGRASANTE PARA LIMPIEZA VIARIA</t>
  </si>
  <si>
    <t>CARGLASS ( A.A. V.V. LOS COMUNEROS )  /// ESPEJO 5MM C/P (EDIF. SEGUNDO MONTES)  / CLIMALIT  (C.C.ESGUEVA)</t>
  </si>
  <si>
    <t>MELAMINA PORO DISEÑO/ CANTO PVC/ CERRADURA/ VARILLA ACERO NIQUEL/ BISAGRA RECTA/ TIRADOR (PTO DE LECTURA LA OVERUELA)</t>
  </si>
  <si>
    <t>SUMINISTRO DE CIZALLA DE PALANCA. SPC SAN BENITO OF. 40</t>
  </si>
  <si>
    <t>DECORACION ALONSO,S.L</t>
  </si>
  <si>
    <t>ADQUISICIÓN DE ESTOR PARA DESPACHO PSOE</t>
  </si>
  <si>
    <t>RQR IMAGEN DE EMPRESA, S.L.</t>
  </si>
  <si>
    <t>Modificaciones realizadas en banners, de  REACTIVA 2020 y REACTIVA DIGITAL</t>
  </si>
  <si>
    <t>SUMINISTRO DE MAT. ELÉCTRICO PARA CM PTE DUERO/ CIC EMPECINADO/ CC RONDILLA/ CC ZONA E/ CC J.L.MOSQUERA/ CC VTE ESCUDERO</t>
  </si>
  <si>
    <t>TRABAJOS REPARACIÓN REPETIDOR FUENTE EL SOL Y GENERADOR DISTRITO PRIMERO.</t>
  </si>
  <si>
    <t>SUMINISTRO MATERIAL DIVERSO // DESTINOS C.P.: ISABEL CATOLICA- PONCE LEON- ENRIQUE T.G.- FCO PINO- EL PERAL</t>
  </si>
  <si>
    <t>AC MARCO EXP V36-2017: FILTROS HIDRAULICOS PARA VEHICULOS SERVICIO DE LIMPIEZA</t>
  </si>
  <si>
    <t>SUMINSTRO PLANT.P. AUREA, EVONIMUS POTINIA,ETC...PARA EL CURSO DE P. Y JARDINES II DEL C.F. DE EMPLEO-  DURACION 1 DIA</t>
  </si>
  <si>
    <t>ENERGIA ELECTRICA FERIA DEL LIBRO DE VALLADOLID JUNIO 2021</t>
  </si>
  <si>
    <t>SUMINISTRO DE MATERIAL DE CONSTRUCCION /// DESTINO: C.P. MARTÍN BARO /// MES MARZO 2021</t>
  </si>
  <si>
    <t>ARMADOS (COLEGIOS P.LEÓN/ SAN FRNANDO)/ LUNAS (COLEGIOS Mª MOLINA/ MARTÍN BARÓ)/ SEGURIDAD 3+3 (P.PICASSO)</t>
  </si>
  <si>
    <t>AC MARCO EXP V36-2017: SUMINISTRO MATERIAL ELECTRICO (VESTUARIOS ANTIGUO MATADERO/ VEST. ESPANTA)</t>
  </si>
  <si>
    <t>SUMINISTRO DE: 15 CORRUGADO B-400-SD /  TUBO CUADRADO 30X30X1,5 (24 UNIDADES) ////// DESTINO: COLEGIOS</t>
  </si>
  <si>
    <t>AC MARCO EXP. V36-2017: SUMINISTROS INDUSTRIALES PARA EL Sº DE LIMPIEZA</t>
  </si>
  <si>
    <t>Renovación hosting y dominio vallanoche.es hasta 08/04/2022</t>
  </si>
  <si>
    <t>MATERIAL ELÉCTRICO PARA CIC SEGUNDO MONTES (ALBARANES 019_831005 Y 831013 DE FECHA 03/05/2021)</t>
  </si>
  <si>
    <t>DISEÑO E IMPRESIÓN DE 80 CARTELES 480*680 mm PARA EL PROGRAMA COMPARTIENDO EN VERANO 2021. Plazo: 1 mes</t>
  </si>
  <si>
    <t>Lámparas estroboscópicas para luminarias de emergencia; Servicio de Extinción de Incendios,Salvamento y Protección Civil</t>
  </si>
  <si>
    <t>ALB 21-211744: MLK TIJERAS CURVAS/ SELLADOR+PEGAMENTO GRIS/ PASADOR BETA/ PASADOR ANILLA/ CABLE FLEXIBLE NEGRO</t>
  </si>
  <si>
    <t>SUMINISTRO DE DIEZ MANILLAS, INTERRUPTORES PLANTA BAJA</t>
  </si>
  <si>
    <t>LUIS MIGUEL AVILA  MARTIN</t>
  </si>
  <si>
    <t>ANUNCIO EXPROPIACIÓN  PROY.PASO PEATONAL Y BICICLET.ENTRE CALLE ESTACIÓN Y GUIPÚZCOA Y P.PEATONAL S.ISIDRO</t>
  </si>
  <si>
    <t>VISADO PBE REHABILITACIÓN INTEGRAL FACHADA EDIF. C/ ESTACIÓN, Nº 9 (OE 47/20189)</t>
  </si>
  <si>
    <t>CARTELES PUBLICIDAD DE EXPOSICIONES EN CENTROS CÍVICOS (DESDE 1 ABRIL A 31 MAYO)</t>
  </si>
  <si>
    <t>NURIA MONTERO MARCOS</t>
  </si>
  <si>
    <t>TALLERES DE YOGA INFANTIL EN CENTRO MUNICIPAL DE LA IGUALDAD / MAYO 2021</t>
  </si>
  <si>
    <t>AC MARCO EXP V36-2017: SUMINISTRO DE MATERIALES PARA EL SERVICIO DE LIMPIEZA</t>
  </si>
  <si>
    <t>LUIS FERNANDO REGUERA</t>
  </si>
  <si>
    <t>Sustitución de pantalla rota en móvil Jefe de Grupo de SSGG; SEISYPC.</t>
  </si>
  <si>
    <t>COORDINACION SEGURIDAD Y SALUD, OBRA REMODELACION PARQUE ALAMEDA COMO ESPACIO VERDE MULTIFUNCIONAL.</t>
  </si>
  <si>
    <t>OLI-SERVICE CASTILLA, S.L.</t>
  </si>
  <si>
    <t>PROYECTOR PARA EL CENTRO DE FORMACION PARA ELEMPLEO- DURACION 1 DIA.</t>
  </si>
  <si>
    <t>F-4596. FRANCISCO SALVADOR. SUSTITUCIÓN DE RADIADOR EN DESPACHO Nº 2 + M.O.DÍA: 15-04-2021 DESTINO: CEAS BELÉN</t>
  </si>
  <si>
    <t>MATERIAL DE FERRETERÍA PARA EL MANTENIMIENTO DEL CIC SEGÚNDO MONTES</t>
  </si>
  <si>
    <t>ACUERDO MARCO. SUMINISTRO MATERIALES PARA TALLER DE REPARACIÓN DE VEHÍCULOS DE POLICÍA.</t>
  </si>
  <si>
    <t>SERVICIOS INFORMATICOS POLIEDRO, S.L.</t>
  </si>
  <si>
    <t>Servicios de Hosting  para el dominio INNVID. Cuota año 2021</t>
  </si>
  <si>
    <t>MATERIALES, SUMINISTRO DE RAMPAS DE ALUMINIO PLEGABLES (2 UN.) /// P. MIXTO GJ/20/VA/0002 FOYEM --PARQUES Y JARDINES II</t>
  </si>
  <si>
    <t>ACUERDO MARCO. SUMINISTRO DE REPUESTOS PARA VEHÍCULOS DEL SERVICIO DE POLICÍA MUNICIPAL</t>
  </si>
  <si>
    <t>IMPRENTA BENLIS, S.L.</t>
  </si>
  <si>
    <t>COMPRA DE 4.000 PEGATINAS OPACAS PARA ARCHIVADORES 85x120 mm, ADHESIVAS EN LA PARTE TRASERA, PARA CAJAS DE ARCHIVO.</t>
  </si>
  <si>
    <t>RECAMBIOS POMAUTO, S L</t>
  </si>
  <si>
    <t>PULPO GOMA/ ESCOBILLAS LIMPIA/ LAVAPARABRISAS 5 L/ LAMPARA DE INCANDESCENCIA/ LLAVE MANDO RENAULT COMPLETO</t>
  </si>
  <si>
    <t>Asistencia técnica: susutitución de fleje roto con apertura y cierre de registro en local Asoc. Familiar Delicias</t>
  </si>
  <si>
    <t>CINTA BALIZA BLAN/ROJ 70MM X 200MT (22)  / CINTA SEÑALIZ. ROJO-BLAN (30) ////  DESTINO: C.C. JOSE LUIS MOSQUERA</t>
  </si>
  <si>
    <t>MATERIAL VARIO CONSTRUCCION: ALBARANES DEL MES DE MAYO // OBRA EN CASA CONSISTORIAL, PLTA BAJA</t>
  </si>
  <si>
    <t>SUMINISTRO MATERIAL CONSTRUC: PANEL ARENA/ PASTA JUNTAS/ CINTA JUNTAS</t>
  </si>
  <si>
    <t>ACUERDO MARCO. SUMINISTRO DE MATERIAL PARA EL TALLER DE REPARACION DE VEHÍCULOS DE LA POLICÍA MUNICIPAL.</t>
  </si>
  <si>
    <t>COMPAS MEDITERRANEO, S.L.</t>
  </si>
  <si>
    <t>SUSCRIPCIÓN A REVISTA ""Y AHORA QUÉ"" PARA LAS BIBLIIOTECAS MUNICIPALES. AÑO 2021</t>
  </si>
  <si>
    <t>ACUERDO MARCO 2017/36, POLICARBONATO INCOLORO.</t>
  </si>
  <si>
    <t>ACUERDO MARCO. SUMINISTRO MATERIAL TALLER REP. VEH. POLICÍA. BATERIA VARTA SILVER AGM  // FAS-DESCONECTADOR BATERIA.</t>
  </si>
  <si>
    <t>SUMINISTRO DE CABALLETE DE CONVENCION Y PIZARRA PARA CENTRO MUNICIPAL DE IGUALDAD / 1 DIA</t>
  </si>
  <si>
    <t>ACUERDO MARCO 2017/36, POSTES TRATADOS PARA JARDINES.</t>
  </si>
  <si>
    <t>ADQUISICIÓN DE MATERIAL DE FONTANERÍA PARA CENTRO DE MANTENIMIENTO</t>
  </si>
  <si>
    <t>COPIAS DE LLAVES DE LOS SISTEMAS DE SEGURIDAD DE LOS COLEGIOS PÚBLICOS DURANTE EL AÑO 2021</t>
  </si>
  <si>
    <t>TALLER, RATAMIENTO PERIODISTICO DE DROGAS Y ADICCIONES EN  LA JORNADA DEL PERIODISMO SOCIAL CON LA UNIVERDIDAD- DUR 1DIA</t>
  </si>
  <si>
    <t>TUBO RECTANGULAR 40X20X1,5 DD11 / 4 CHAPA L. FRIO 2000X1000X1,5 DC01 (CC RONDILLA)</t>
  </si>
  <si>
    <t>SANTACATA, S.L.</t>
  </si>
  <si>
    <t>Reserva patio-jardín/consumiciones para clausura dos cursos de ref. culturales y constitucionales. PLAN INMIGRACION 2021</t>
  </si>
  <si>
    <t>ACUERDO MARCO. SUMINISTRO DE MATERIAL PARA MANTENIMIENTO DEPENDENCIAS POLICÍA MUNICIPAL</t>
  </si>
  <si>
    <t>ACUERDO MARCO 2017/36, PIEZAS MADERA PARA JARDINES.</t>
  </si>
  <si>
    <t>ACUERDO MARCO V.36/2017; LOTE 2; SUMINISTRO DE MATERIAL DEVOLUCIONES  NAVES PROTEC. CIVIL CALLEJON ALCOHOLERA;SEISYPC</t>
  </si>
  <si>
    <t>ACUERDO MARCO 2017/36, SUMINISTRO POSTES TRATADOS.</t>
  </si>
  <si>
    <t>NUTRIPLANT Y FARMACAMP, S.L.</t>
  </si>
  <si>
    <t>FUNDACION JUAN SOÑADOR</t>
  </si>
  <si>
    <t>ORGANIZACIÓN DE CATERING IV PLAN DE INSERCIÓN LABORAL PARA VICTIMAS DE VIOLENCIA MACHISTA / 1 DIA</t>
  </si>
  <si>
    <t>Batería Hawker Powerbloc 12V 110Ah C5 140 C20 345x (1 UNIDAD ) /  DESTINO: MANTENIMIENTO</t>
  </si>
  <si>
    <t>TATARANA, S.L.</t>
  </si>
  <si>
    <t>SEIS TÍTULOS PARA LAS BIBLIOTECAS MUNICIPALES (TATARANA)</t>
  </si>
  <si>
    <t>AC MARCO EXP V36-2017: SECAMANOS Y TERMOSTATO VESTUARIO SERVICIO DE LIMPIEZA, C/ TOPACIO</t>
  </si>
  <si>
    <t>Guantes de trabajo, prenda de vestuario ; Servicio de Extinción de Incendios, Salvamento y Protección Civil</t>
  </si>
  <si>
    <t>SUMINISTRO MATERIAL , TALADRO PERCUTOR,: FLEXÓMETROS 8 MTS Y 5 MTSPARA EL  CURSO PARQUES Y JARDINES II -DURACION 1 DIA</t>
  </si>
  <si>
    <t>MANTENIMIENTOS, REPARACIONES SUMINISTRO DE RECAMBIOS Y PIEZAS /// DESTINO: CPM RONDILLA- DURACION 1 DIA</t>
  </si>
  <si>
    <t>REPARACIÓN DEL TELEVISOR DE LA ENTRADA DEL CC JOSÉ Mª LUELMO</t>
  </si>
  <si>
    <t>ACUEERDO MARCO. SUMINISTRO DE MATERIAL PARA EL TALLER DE REPARACIONES DE LA POLICÍA MUNICIPAL.</t>
  </si>
  <si>
    <t>ADQUISICIÓN DE MOBILIARIO CON DESTINO AL SERVICIO DE SALUD PÚBLICA: UN SILLÓN DE TRABAJO.</t>
  </si>
  <si>
    <t>Reparación sistema de elevalunas dro. izq. en autoescala AEA_10, matrícula 3513GZF; SEISYPC.</t>
  </si>
  <si>
    <t>MIXto-Mixto</t>
  </si>
  <si>
    <t>MANDO A DISTANCIA BFT 4 CANALES (EDUCACIÓN ESPECIAL Nº1) // MANDO A DISTANCIA JMA M-BT UNIVERSAL (COLEGIO EL PERAL)</t>
  </si>
  <si>
    <t>REVISTA EMPRENDEDORES S.L.</t>
  </si>
  <si>
    <t>SUSCRIPCIÓN A LA REVISTA EMPRENDEDORES PARA LAS BIBLIOTECAS MUNICIPALES, AÑO 2021</t>
  </si>
  <si>
    <t>ACUERDO MARCO. SUMINISTRO DE MATERIAL PARA TALLER DE REPARACIÓN DE VEHÍCULOS.</t>
  </si>
  <si>
    <t>REPARTO DE LIBROS A LAS  BIBLIOTECAS MUNICIPALES DE VALLADOLID. PLAZO 1 AÑO.</t>
  </si>
  <si>
    <t>AC MARCO EXP V36-2017: RADIADOR REPARACION VEHICULO 4224JCV.</t>
  </si>
  <si>
    <t>ACUERDO MARCO. SUMINISTRO DE MATERIAL PARA TALLER REPARACION VEHÍCULOS POLICÍA MUNICIPAL ( MES MARZO)</t>
  </si>
  <si>
    <t>ACUERDO MARCO V.36_2017; LOTE 10; CEPILLO/ BATERIAS/ CARGADOR/ TUBOS/ FILTRO ACEIT/ GESTIÓN ACEITE/ FILTRO AIRE; SEISYPC</t>
  </si>
  <si>
    <t>AC MARCO EXP V36-2017: SUMINISTRO LLAVES LLAVEROS RECAMBIOS MANILLA CERRADURA CANDADO Sº DE LIMPIEZA</t>
  </si>
  <si>
    <t>PINO NORTE V 19-25 (0,371) / TIRAFONDOS SPAX EXPOSITOR (2) // E.I.M. EL TOBOGÁN. MAYO</t>
  </si>
  <si>
    <t>AC MARCO EXP V36-2017: SUMINISTRO MATERIAL CERRAJERIA PARA EL SERVICIO DE LIMPIEZA</t>
  </si>
  <si>
    <t>AC MARCO EXP V36-2017:REPUESTOS REPARACION SOPLADORES Y DESBROZADORAS DEL Sº DE LIMPIEZA</t>
  </si>
  <si>
    <t>TERMORET.CELLP / TIMBRE/ DETECTOR/ LUMINARIA + TASA/ EXTRACT./ CONEXION // DESTINOS: MNTO-CASA CONSIT. Y 1 MUESTRA</t>
  </si>
  <si>
    <t>ACUERO MARCO V.36/2017;LOTE 10;BATERIA TUDOR-AGER/DESTOR.MULTIUSOS 500ML/UNIÓN MACHO/LOCTITE/SUPER BLUE3/GRASD;SEISYPC</t>
  </si>
  <si>
    <t>FLUORESCENTE PH + TASA ECORAEE (15+15) ///// LAMPARA  PH PL-L 36W/840 + TASA ECORAEE (25+25) // BIBLIOTECA FCO PINO.</t>
  </si>
  <si>
    <t>PINO NORTE CC 50 / DESTINO: C.C.JOSE LUIS MOSQUERA ///////// RECHAPADO ROBLE 16MM / DESTINO: C.C. RONDILLA</t>
  </si>
  <si>
    <t>Guía ANMI sistema click+cordón/ GANCHO INGLET COLGADOR/ INGLET CABLE NYLON+TWISTER (ASOC. VECINOS DELICIAS)</t>
  </si>
  <si>
    <t>VISADO COLEGIO OFICIAL ARQUITECTOS PBE REHABILITACIÓN INTEGRAL FACHADA EDIF. C/ CAÑO ARGALES, 3 (OE 113/2013)</t>
  </si>
  <si>
    <t>2 M³ TIERRA VEGETAL</t>
  </si>
  <si>
    <t>ALBARANES: 2103117-2103298-2103930 (MES ABRIL-21) ///  SUMINISTRO MATERIAL ///  DESTINO: COLEGIOS</t>
  </si>
  <si>
    <t>MANT. UMINISTRO DE  DETEC.DE MOVIMIENTO SUPERFICIE 180º IP6 PORTALÁMPARAS CERÁMICO PARA EL CPM ZONA ESTE-DURACION  1 DIA</t>
  </si>
  <si>
    <t>DOWNLIGHT/ TASA ECORAEE/ DOWN.EMP IRELUZ IRD/ PLACA LEGRAND BRONCE (CC RONDILLA/ CC J.L. MOSQUERA/ CC PARQUESOL)</t>
  </si>
  <si>
    <t>PLACAS -25 X 19- GRABADO COLOR. HOMENAJE A JUBILADOS Y FALLECIDOS STA. RITA 2021. -mjsi-</t>
  </si>
  <si>
    <t>ADJUDICA TRADUCCIÓN TEXTOS ENCUENTRO CIUDADES EUROPEAS</t>
  </si>
  <si>
    <t>Reparación Termo en las dependencias de la C/ Hostieros( OMIC), proveedor que pertenece al suministro A. Marco V 36/2017</t>
  </si>
  <si>
    <t>RENOVACIÓN DEL CERTIFICADO SSL PARA LA WEB DE VALLADOLID CITY OF FILM</t>
  </si>
  <si>
    <t>DOORCATS S.L.</t>
  </si>
  <si>
    <t>COMPRA DEMATERIAL PARA ARREGLO DE PUERTAS EN VIVIENDA SITA EN C/SALUD 15 2º DCHA.(PROG.ALOJ.PROV.)</t>
  </si>
  <si>
    <t>ISCAR</t>
  </si>
  <si>
    <t>SECAMANOS PARA VESTUARIO DE ZONA""PARQUE LOS ALMENDROS"" DEL SERVICIO DE LIMPIEZA</t>
  </si>
  <si>
    <t>REPARACION DE HOJA DE VENTANA DE ALUMINIO: DESMONTAR ACCESORIO OSCILOBATIENTE Y COLOCAR UNO NUEVO (E.M. DE MÚSICA)</t>
  </si>
  <si>
    <t>AC MARCO EXP V36-2017: SEPIOLITA 20KG. 15-30 (20 UNIDADES) PARA LIMPIEZA DE DERRAMES EN LA VIA PUBLICA</t>
  </si>
  <si>
    <t>MANTENIMIENTO, CAJA SUP , BASE DOB SE,PLACA SE, MT CANAL UNEX, FLEX ZEROH, CONECTR., C.P.M. DELICIAS- DURACION 1 DIA</t>
  </si>
  <si>
    <t>MANT. SUMINISTRO DE  MELAMINA LISA BLANCA 19 MM Y  AGLOMERADO DM 2440*1220  PARA EL  CPM RONDILLA- DURACION 1 DIA</t>
  </si>
  <si>
    <t>HOSTING, DOMINIO Y ALQUILER DE ESPACIO PARA PAGINA WEB IGUALDADVALLADOLID.ES / DURANTE 2021</t>
  </si>
  <si>
    <t>ALBARANES VARIOS (MES ABRIL-21) /// SACO RAFIA/ ARENA LAV./ PORCELANA GRIS/ SILICONA.../// DESTINO: C.C.BAILARIN V. E.</t>
  </si>
  <si>
    <t>Compra de 12 AURICULARES con destino al personal de la Agencia de Innovación .</t>
  </si>
  <si>
    <t>MANT. REPARACIONES, TERMO,LATIGUILLO, RACORD MANGUITO, VÁLVULA GENEBRE/ MACHÓN LATÓN-CPM PTE COLGATE-DURACION 1 DIA</t>
  </si>
  <si>
    <t>AC MARCO EXP V36-2017: GUANTES AZUL DESECHABLES DE NITRILO 6MIL TALLA XL PERSONAL TALLER Sº LIMPIEZA</t>
  </si>
  <si>
    <t>VERSYS EDICIONES TECNICAS, S.L.</t>
  </si>
  <si>
    <t>SUSCRIPCIÓN ANUAL A LA REVISTA METALES Y METALURGIA, AÑO 2021.</t>
  </si>
  <si>
    <t>MATERIALES DE FERRETERÍA (SAN BENITO/ C.CONSIST.- GRUPO MPAL SOCIALISTA, CAJAS ATRILES AYTO/ SANTA ANA)</t>
  </si>
  <si>
    <t>SUMINISTRO DE DIFERENTE MATERIAL ////  DESTINO: RECINTO FERIAL</t>
  </si>
  <si>
    <t>TAMBOR ASEIN 50 MTS (2) / GEL HIDROALCOHOLICO (5) /////  DESTINO: SEGUNDO MONTES</t>
  </si>
  <si>
    <t>ALB 21-215480: PRESTO CABEZAL REPUESTO GRIFOS/ ENLACE ROSCA (CP FEDERICO GARCIA LORCA)</t>
  </si>
  <si>
    <t>AC MARCO EXP V36-2017: FILTRO HUDRAULICO SH-67469 (4) // VEHICULOS SERVICIO DE LIMPIEZA</t>
  </si>
  <si>
    <t>FRANCISCO MENDEZ HERMIDA</t>
  </si>
  <si>
    <t>Revisión y puesta en marcha de caldera Herman en vivienda municipal sita en C/ Moradas nº 11 Bajo B. Abril 2021</t>
  </si>
  <si>
    <t>CALIBRACION DEL TERMOMETRO DIGITAL DE LA RED CONTAMINACION ATMOSFERICA. SERVICIO MEDIO AMBIENTE</t>
  </si>
  <si>
    <t>REPARACION VEHÍCULO FLOTA SALUD PUBLICA 0634 DHJ (DOS CUBIERTAS NUEVAS Y ALINEACION CORRESPONDIENTE)</t>
  </si>
  <si>
    <t>5 reposapies ajustables. Servicio de Prevencion y Salud Laboral</t>
  </si>
  <si>
    <t>AC MARCO EXP V36-2017: SUMINISTRO TUBO Y SEPIOLITA PARA EL SERVICIO DE LIMPIEZA</t>
  </si>
  <si>
    <t>ACUERDO MARCO V.36/2017; LOTE 10; ALB: 185772 ////  TALADINA BLANCA TR-TL-200 ( 1 UNIDAD) /// PIDE EL TECNICO; SEISYPC</t>
  </si>
  <si>
    <t>Adquisición de placas PC. Compacto incoloro protegido UV. para pantallas protectoras CEAS BELEN PILARICA. COVID-19. 2021</t>
  </si>
  <si>
    <t>SOCIEDAD MIXTA PARA PROMOCIÓN TURISMO S.L.</t>
  </si>
  <si>
    <t>Ruta cultural por el casco histórico de Valladolid destinada a personas inmigrantes.PLAN MPAL CONVIVENCIA INTERCULT 2021</t>
  </si>
  <si>
    <t>BERZAL BRICOMADERAS, SOCIEDAD LIMITADA</t>
  </si>
  <si>
    <t>M2 DE CONTRACHAPADO DE ABEDUL REC. HPL BLANCO FORMICA (TABLEROS ENTEROS) // ESCUELAS INFANTILES. MAYO</t>
  </si>
  <si>
    <t>JUEGO DE PUERTAS BATIENTES PARA ARMARIO CENTRO SANTIAGO LÓPEZ</t>
  </si>
  <si>
    <t>COLLAK-DESATASCADOR 1L ACIDO/HIDROTUBO 50mm (40.61¿ C.C.PTE DUERO) //ENLACE RECTO M./ CODO-TUBO (120.62¿ C.C.ZONA ESTE)</t>
  </si>
  <si>
    <t>COORDINACIÓN DE SEGURIDAD Y SALUD PARA LA OBRA DE REPARACIÓN DE GOTERAS EN VARIOS COLEGIOS PÚBLICOS</t>
  </si>
  <si>
    <t>ACUERDO MARCO 2017/36, MATERIAL DE FERRETERÍA.</t>
  </si>
  <si>
    <t>ACUERDO MARCO. SUMINISTRO MATERIAL FONTANERIA DEPENDENCIAS POLICIA MUNICIPAL</t>
  </si>
  <si>
    <t>AC MARCO EXP. V36-2017: MATERIAL CERRAJERIA PARA EL S. DE LIMPIEZA VIARIA</t>
  </si>
  <si>
    <t>ALBARANES:01686 -01651- 01643- 01212 (MES MARZO) // SUMINISTRO DIFERENTES MATERIALES // DESTINO: MANTENIMIENTO</t>
  </si>
  <si>
    <t>AM. V. 36/2017- AV21/00320 de 21/01/2021 ///// CUERDA ANTIPALOMA 8MM (1)/  TACO FISCHER SX 8 (200). EJEC. SUBSID.</t>
  </si>
  <si>
    <t>MATERIAL DE PAPELERÍA PARA LAS BIBLIOTECAS MUNICIPALES. PLAZO 1 MES</t>
  </si>
  <si>
    <t>IMPRENTA,  REVISTAS PARA EL CPM  ZONA ESTE POR SU 10 ANIVERSARIO, 300 UNIDADES- DURACION 1 DIA</t>
  </si>
  <si>
    <t>ACUERDO MARCO V36_2017;LOTE 4;GALA-TANQUE ELIA E/INF BLANCO;ASIENTO VICTORIA ; CALLEJÓN DE LA ALCOHOLERA;SEISYPC</t>
  </si>
  <si>
    <t>MATERIALES PARA PINTAR SALA DE RECUENTO Y HALL DE PARQUE DE BOMBEROS CENTRAL</t>
  </si>
  <si>
    <t>REPARACIÓN AVERIA EN VEHICULO 0120 GJY DEL SERVICIO DE LIMPIEZA</t>
  </si>
  <si>
    <t>MINI PRAGMA SUPERFICIE  / CONTACTOR MODULAR / INTERRUPTOR C/PILOTO /DIYUNTOR / CAJA DERIV./ HORQUILLA. MAYO</t>
  </si>
  <si>
    <t>Reparación retenedor_tensor puerta del conductor de AEA_7, matr. VA 42345 VE; SEISYPC.</t>
  </si>
  <si>
    <t>PORTALAMP. SOLERA AD40-27 SOLERA (100 UDS) // ALUMBRADO PÚBLICO</t>
  </si>
  <si>
    <t>ASOCIACION ESPAÑOLA DE AMIGOS DEL LIBRO</t>
  </si>
  <si>
    <t>SUSCRIPCIÓN REVISTA LAZARILLO AÑO 2021.PARA LAS BIBLIOTECAS MUNICIPALES.</t>
  </si>
  <si>
    <t>SUMINISTRO DE GAS VEHICULO HÍBRIDO 0634 DHJ EN 2021</t>
  </si>
  <si>
    <t>ac marco exp v36-2017: suministros para el servicio de limpieza</t>
  </si>
  <si>
    <t>MATERIAL OFICINA CIC CONDE ANSÚREZ</t>
  </si>
  <si>
    <t>ADQUISICION PLACA DE CALLE SEÑALIZACION PLAZA COSTA RICA</t>
  </si>
  <si>
    <t>ESPEJO 5MM C/P (1000 X 1000)  PARA LA CUPULA DEL MILENIO. MAYO 2021</t>
  </si>
  <si>
    <t>MASCARILLAS 3M  PARA LOS ALUMNOS DEL  CURSO PINTURA DECORATIVA II DEL JACINTO BENAVENTE, SON PARA PINTORES( NO COVID)</t>
  </si>
  <si>
    <t>AC MARCO EXP. V36-2017: MATERIALES REPARACION DESBROZADORAS DEL Sº DE LIMPIEZA</t>
  </si>
  <si>
    <t>ALBARANES: Nº 908.170 (07-04-2021) - Nº 908.169 (06-04-2021) ///  SUMINISTRO DE VARIOS TITULOS / CORRESPONDE A A/P 9 /</t>
  </si>
  <si>
    <t>MANTENIMIENTO, SUMINISTRO DE LUMINARIAS (3 ud.) // CPM DELICIAS- DURACION 1 DIA</t>
  </si>
  <si>
    <t>AC MARCO EXP V36-2017: 10 UDS - GUANTE EMERG DESECH LATEX S/POLVO T.L PERSONAL TALLER MECANICO</t>
  </si>
  <si>
    <t>ADAPTACION DEL CARTEL GENERAL ESCUELAS INFANTILES MUNICIPALES INCLUYENDO ""HUERTAS INFANTILES""</t>
  </si>
  <si>
    <t>7 UNIDADES DEL LIBRO ""UNA SOLA ROSA"" PARA REPARTIR EN LAS BIBLIOTECAS MUNICIPALES</t>
  </si>
  <si>
    <t>SILICONA SOUDAL NEUTRA TRANSPARENTE / BURLETE ALUMINIO PLATA. / BISAGRA P.ESTANDAR TEYCO // CIC SEGUNDO MONTES</t>
  </si>
  <si>
    <t>COMERCIAL DANIEL SASTRE, S.L.</t>
  </si>
  <si>
    <t>RESISTENCIA TERMO SAN BENITO</t>
  </si>
  <si>
    <t>PVC SANITARIO/ TAPÓN/ INJERTO/ MANGUITO/ CODO/ TE/ PEGAMENTO/ LÍQUIDO LIMPIADOR/ BLISTER/ SÚPER EGO (CC ZONA SUR)</t>
  </si>
  <si>
    <t>MANTENIMIENTO, SUMINISTRO DE CLIMALIT 4/12/SEGURIDAD 3+3 (1204 X 880 )  C.P.M HUERTA DEL REY  -DURACION 1 DIA</t>
  </si>
  <si>
    <t>Reparación en Renault ZOE matrícula 6048JPN</t>
  </si>
  <si>
    <t>MANTENIMIENTO, REPARACIONES LLAVERO PORTAETIQUETAS ,CERRADURA DEL CPM DELICIAS Y Z. SUR -DURACION 1 DIA</t>
  </si>
  <si>
    <t>AC MARCO EXP V36-2017:  REPARAR INTERCOOLER PREMIUN  DE VEHICULO 6644 CYY DEL Sº DE LIMPIEZA</t>
  </si>
  <si>
    <t>ESMALTE BLANCO/ PINCEL/ BROCHA/ RODILLO/ CINTA/ PAPEL CON CINTA/ CUBRE-TODO // MANTENIMIENTO DE COLEGIOS</t>
  </si>
  <si>
    <t>MANTENIMIENTO, SUMINISTRO DE 1000 UDS- PLACA GRABADA 25x15 ADHESIVA  PARA TODOS LOS CPM- DURACION 1 DIA</t>
  </si>
  <si>
    <t>DISPENSADOR AUTOMÁTICO DE DESINFECTANTE PARA MANOS (4 uds.)</t>
  </si>
  <si>
    <t>BOMBILLO MCM EAN: 30-40 E-24315 / BOMBILLO MCM EAN: 30-40 E-24331 / COPIA LLAVE MCM 54 E-24677-- CC J.M. LUELMO</t>
  </si>
  <si>
    <t>NIVEL TORPEDO MAGNET / BARB. ESCOBA S/MANGO / BARB. MANGO METALICO / CAJA METALICA // DESTINO:  CIC SANTIAGO LOPEZ</t>
  </si>
  <si>
    <t>AC MARCO EXP V36-2017: SUMINISTRO MATERIAL FONTANERIA REPARACIONES EN SERVICIOS DE PARQUE DE LA PAZ - RECINTO FERIAL</t>
  </si>
  <si>
    <t>CINTA ANTIDES.NEGRA/ RUEDA GIRAT./ TOR.C/ ALLEN/ TUERCA AUTOBLOCANTE/ ARANDELA STAND</t>
  </si>
  <si>
    <t>Servicio de limpieza puntual de dos aulas en CEIP León Felipe los días 26,29,30, 31 de marzo y 5 de abril de 2021.</t>
  </si>
  <si>
    <t>ACUERDO MARCO. TERMO ELECTRICO Y MATERIAL DE FONTANERIA PARA DEPENDENCIAS DE POLICÍA MUNICIPAL.</t>
  </si>
  <si>
    <t>ACUERDO MARCO SUMINISTROS: MUELLE ABIERTO 8X1 / MUELLE ABIERTO 10X1,2 (SERVICIO DE EXTINCIÓN DE INCENDIOS)</t>
  </si>
  <si>
    <t>AC MARCO EXP V36-2017: FILTRO HIDRAULICO P-550148 (4 UDS) PARA VEHICULOS DEL Sº DE LIMPIEZA</t>
  </si>
  <si>
    <t>CINTA BALIZA BLAN/ROJ 70MM X 200MT MIARCO (23) / CINTA SEÑALIZ. ROJO-BLAN (5) // CC JOSE LUIS MOSQUERA</t>
  </si>
  <si>
    <t>Contenedor MINI escombros para reparación solado en CC Bailarín Vicente Escudero</t>
  </si>
  <si>
    <t>Termostato de Bulbo y Capilar 1mt rango 0-90ºC  /  Lámpara Tecnolux Led ( 4 unidades ) /// DESTINO. CENTRO PROG.JUVENILE</t>
  </si>
  <si>
    <t>REGLETA OBO 76CE BL (BIBLIO S.PEDRO)/ TAPA FIN LEGRAND (CONSTANZA MTNEZ)/ MAGNETOT SE IDPN+VIG (J.L. MOSQUERA)</t>
  </si>
  <si>
    <t>SUMINISTRO DE MATERIAL DE ELECTRICIDAD /// DESTINOS: CASA CONSISTORIAL - MANTENIMIENTO</t>
  </si>
  <si>
    <t>ALLIANZ COMPANÍA DE SEGUROS Y REASEGUROS, S.A.</t>
  </si>
  <si>
    <t>SEGURO MUJERES PARTICIPANTES EN EL MARCO DEL PLAN DE INSERCIÓN LABORAL / DURANTE 2021</t>
  </si>
  <si>
    <t>Revisión, reparación y mantenimiento de vehículo matrícula 1039 - BGD, perteneciente al S.E.P.I.-</t>
  </si>
  <si>
    <t>PULVERIZADOR MATABI SPRAY (3) (Mnto) /// CERRADURAS (3)- MANILLA (1) -(REAL FERIA) /// BOMBILLO TESA (1)- (PQ LAS ERAS)</t>
  </si>
  <si>
    <t>EL CASO DEL MARQUÉS DESAPARECIDO / INFIERNO EN EL PARAÍSO / EL CUADERNO ROJO (5)/ CANTO YO Y LA MONTAÑA BAILA</t>
  </si>
  <si>
    <t>BALASTO ELT BE436-2 (T8/TCL) 220-240V (5) // BIBLIOTECA FRANCISCO PINO</t>
  </si>
  <si>
    <t>USO INSTALACIONES MPALES PARA PRUEBAS FÍSICAS DE OFICIALES DE POLICIA MPAL: PISTAS ATLETISMO-PISCINA / DIA: 20-02-2021</t>
  </si>
  <si>
    <t>MANTENIMIENTO,  SUMINISTRO DE MATERIAL PARA REPARACIONES  ELECTRICASDEL CPM DELICIAS, HUERTA Y Z. ESTE- DURACION  1 DIA</t>
  </si>
  <si>
    <t>CONSUELO ESCRIBANO VELASCO</t>
  </si>
  <si>
    <t>TALLER ON LINE MUJERES Y PATRIMONIO CULTURAL EL DIA 25 DE MAYO DE 2021</t>
  </si>
  <si>
    <t>MARGARITA SANCHEZ ROMERO</t>
  </si>
  <si>
    <t>GRANADA</t>
  </si>
  <si>
    <t>MARIA OLIVA CACHAFEIRO  BERNAL</t>
  </si>
  <si>
    <t>TALLER ON LINE MUJERES Y  PATRIMONIO CULTURAL EL DIA 25 DE MAYO DE 2021</t>
  </si>
  <si>
    <t>DISPENS PAPEL/ ESCOBILLERO/ VÁLVULA DE MARIPOSA/ TAPÓN LATÓN/ MACHON LATÓN (RECINTO FERIAL)</t>
  </si>
  <si>
    <t>Gestión residuos Pinar de Antequera (Circulo Campestre) / 1 DIA</t>
  </si>
  <si>
    <t>BURLETE AMIG (11) / TORNILLO CHAPA (200)  ///// DESTINO: CEIP ANTONIO MACHADO /// RETIRA EL TECNICO</t>
  </si>
  <si>
    <t>EMERGEN LEGRAND/ LAMPARA MZD LED/ TASA ECORAEE (BIBLIO PZA NIEVES) // FLUORESCENTE/ TASA ECORAEE (BIBLIO FCO PINO)</t>
  </si>
  <si>
    <t>AC MARCO EXP V36-2017: SUMINISTRO SEÑALES PARA EL Sº DE LIMPIEZA</t>
  </si>
  <si>
    <t>SUMINISTROS PARA EL MANTENIMIENTO (ALBARÁN 21-213052) // CP MIGUEL DE CERVANTES</t>
  </si>
  <si>
    <t>REPARACIÓN VEHÍCULO 3711KGD DE POLICÍA MUNICIPAL. (ACUERDO MARCO EN TRAMITACIÓN).</t>
  </si>
  <si>
    <t>REPARACIÓN DE VEHÍCULOS DE POLICIA (ACUERDO MARCO EN TRAMITACIÑON.</t>
  </si>
  <si>
    <t>MANTENIMIENTO, REPARACIONES,CAJA SUP CIMA, BASE CIMA, PLACA CIMA,CONECTOR, MT CANAL LEGRAND,CPM RONDILLA-DURACION 1 DIA</t>
  </si>
  <si>
    <t>REPARACIÓN VEHÍCULO 8782DHV DE POLICÍA MUNICIPAL (ACUERDO MARCO EN TRAMITACIÓN).</t>
  </si>
  <si>
    <t>ADAPTACION A LA NORMATIVA VIGENTE DE DEFECTOS EN ASCENSORES ESPACIO JOVEN / 1 DIA</t>
  </si>
  <si>
    <t>REPARACION AVERIA SISTEMA ELECTRICO SERVICIO DE LIMPIEZA.</t>
  </si>
  <si>
    <t>CUBRETODO/ TORNI.DIN/ PERNIO/ SELLADOR/ BROCA/ CERRADURA/ TOPE/ UMBRAL (CNTRO FORMACIÓN / C.CONSIST / SAN BENITO, PTA 1)</t>
  </si>
  <si>
    <t>ALB: 2104419 de 10-05-21 /// ARO INFANTIL BL. (3) /// DESTINO: EIM EL PRINCIPITO - GUARDERÍA VICTORIA. MAYO</t>
  </si>
  <si>
    <t>Nº Albaran A21/5855 de 16/04/2021 //// BOSCH DISCO C/INOX (TOTAL 8 UNID) /// DESTINO: COLEGIOS</t>
  </si>
  <si>
    <t>CIERRA PUERTAS TELESCO 33 (CEIP IGNACIO MARTÍN BARÓ)</t>
  </si>
  <si>
    <t>MATERIAL PINTURA MANTENIMIENTO CENTROS SANTIAGO LÓPEZ, SEGUNDO MONTES, RONDILLA Y BAILARÍN V. ESCUDERO</t>
  </si>
  <si>
    <t>RESORTE TELESCO 33 (DEPOSITO CANINO)</t>
  </si>
  <si>
    <t>SUMINISTRO , TRINQUETE,RATCHETS,,LLAVERO PARA EL CFE,CURSO DE P Y JARD II,PINTURA DECORATIVA III Y V.CUIDA IV- DUR 1 DIA</t>
  </si>
  <si>
    <t>Redacción EBSS proyecto ""Aparcamiento vehículos pesados en Calle Topacio"".-</t>
  </si>
  <si>
    <t>CHIQUIOCIO CULTURAL, S L</t>
  </si>
  <si>
    <t>Anuncio 1/2 página en revista digital abril 2021</t>
  </si>
  <si>
    <t>ANUNCIO DE MEDIA PÁGINA EN REVISTA DIGITAL. MES DE MAYO 2021</t>
  </si>
  <si>
    <t>IMAN CIRCULAR MONTURA/ CEPILLO / MANGO METALICO PINTADO/ RATCHET PONSA/ ESCOBA/ RACHET RATIO (ALUMBRADO PÚBLICO)</t>
  </si>
  <si>
    <t>MATERIAL PARA EL C.F. DE EMPLEO, ADAPTADOR MACHO, CHALECO ALTA VISIBILIDAD  CURSO  - P Y JARDINES II - DURACION 1 DIA</t>
  </si>
  <si>
    <t>0,186 uds - PINO NORTE CC 50</t>
  </si>
  <si>
    <t>MANT. PLETINAS, PERFIL ACERO,JUEGO ACCESO, EMPALME PERFIL (CPM HUERTA), PERNO INOXIDABLE (CPM DELICIAS)- DURACION 1 DIA</t>
  </si>
  <si>
    <t>A.M. V.36/2017 -GRIFO MANGUERA  3/4 / CODO CONEX SAMBRA 15 / CODO COBRE 90 / TAPÓN COBRE (PERRERA MUNICIPAL)</t>
  </si>
  <si>
    <t>RAFAEL  HERAS  CURIEL</t>
  </si>
  <si>
    <t>TAPIZADO DE SILLON DE TRABAJO DE STEELCASE DEL MOD: PLEASE. PLAZO 1 MES.</t>
  </si>
  <si>
    <t>SUREVA, S.A.</t>
  </si>
  <si>
    <t>SUMINISTRO DE TINTA BROTHER PARA FAX C.M. PUENTE DUERO</t>
  </si>
  <si>
    <t>REPARACIÓN GRÚA MUNICIPAL 5343BVH ACUERDO MARCO EN TRAMITACIÓN)</t>
  </si>
  <si>
    <t>VASO CON PURGA AUTOMATICA PARA COMPRESOR DE AIRE DE FSV-5 MATR. 8108-GDJ//SERVICIO DE EXTINCIÓN DE INCENDIOS</t>
  </si>
  <si>
    <t>AC MARCO EXP V36-2017: GARRAS Y MANGIOS CEPILLOS BARRENERDO PARA LIMPIEZA VIARIA</t>
  </si>
  <si>
    <t>ZAPATO MONTI S3 SRC Nº38 ( 1 UNID. ) / ZAPATO MONTI S3 SRC Nº41 (1 UNID. ) // PROTEC. MEDIO AMBIENTE</t>
  </si>
  <si>
    <t>REPARACIÓN DE VEHÍCULOS DE POLICÍA MUNICIPAL. (ACUERDO MARCO EN TRAMITACIÓN)</t>
  </si>
  <si>
    <t>MANTENIMIENTO, REPARACIONES, CILINDRO CERRADURA CQ12 ( 2 UNIDADES )  ////  DESTINO: C.P.M. LA VICTORIA -DURACION 1 DIA</t>
  </si>
  <si>
    <t>REPOSAPIES FELLOWES AJUSTABLE ERGO (3 UNIDADES) //// DESTINO: DPTO RECURSOS HUMANOS</t>
  </si>
  <si>
    <t>AC. M. EXP. V36-2017 BOTAS FRAGUA VELCRO PLUS. SERV. LIMPIEZA</t>
  </si>
  <si>
    <t>ACUERDO MARCO V.36_2017; LOTE 1; LAVAVAJILLAS MANUAL CIDASOL AMARILLO (100 UNID) /RUEDA REF 2-0799 (8 UNID);SEISYPC.</t>
  </si>
  <si>
    <t>ACUERDO MARCO_0701-DKW //  CALENTADORES,TORNILLOS CULATA,JGO JUNTAS CULATA Y TAQUES. REPARACION CULATA- M.O.</t>
  </si>
  <si>
    <t>ACUERDO MARCO_VA2712U: MONTAJE 2 RUEDAS DELANTERAS 155/80 R13 INFINITY/ SUSTITUIR ALTERNADOR Y CONECTOR</t>
  </si>
  <si>
    <t>BOTA MAYA TREKKING 02+CI+HRO (1 UNID.) / ZUECO EVA NEGRO Nº42 (1 UNID.) / BOTA FOCA BLANCA ALTA Nº42  PARA VETERINARIO</t>
  </si>
  <si>
    <t>TAMBOR ASEIN 50 MTS 3X1.5 UNIV OFERTA / GARZA LED FOCO 30W 2700LM 4000K //  DESTINO: C.C. CONDE ANSUREZ</t>
  </si>
  <si>
    <t>Recarga de botella de oxígeno medicinal; Servicio de Extinción de Incendios, Salvamento y Protección Civil.</t>
  </si>
  <si>
    <t>ALB 21-210164: BROCA/ CAJA TACOS/ TORNILLOS/ MANGUITOS/ ABRAZADERAS/ CODOS/ TAPONES/ TE (CC JUAN DE AUSTRIA)</t>
  </si>
  <si>
    <t>FLEXTEL (BOBINAS) (27) / CLAVIJA 10/16A 250V (4) / BASE 4 TOMAS 16A 250V  POT (4) / KENTAU 9 W BLANCO (2)</t>
  </si>
  <si>
    <t>TABLERO CONTR.PINO II/III 18MM (6,23 M) // COLEGIO JOSE DE ZORRILLA</t>
  </si>
  <si>
    <t>MATERIAL PARA EL CURSO DE PARQUES Y JARDINES DELC. F. PARA EL EMPLEO- 7 PLANTAS DE CACTUS -DURACION 1 DIA</t>
  </si>
  <si>
    <t>BODYTONE INTERNATIONAL SPORT, S.L.</t>
  </si>
  <si>
    <t>Material de repuesto de gimnasio_palancas de freno bici_ciclo MT1; SEISYPC.</t>
  </si>
  <si>
    <t>MOLINA DE SEGURA</t>
  </si>
  <si>
    <t>Webcam y auriculares con micrófono para videoconferencia; SEISYPC.</t>
  </si>
  <si>
    <t>DOSIFICADOR JABON VISION 1,4LT (3 UDS) - CIC EL EMPECINADO // DOSIFICADOR JABÓN VISIÓN 1,4LT - CIC NATIVIDAD A.CHACÓN</t>
  </si>
  <si>
    <t>DOSIFICADOR JABON VISION 1,4LT (4 UDS) // ESPACIO JOVEN NORTE, C/ OLMO</t>
  </si>
  <si>
    <t>SUMINISTRO DE 3 MANILLAS PVC PARA CC DELICIAS</t>
  </si>
  <si>
    <t>COPIA LLAVE/ TACO INDEX NYLON/ GANCHO ESE GALVANIZADO/ CADENA GENOVESA ZINC/ TACO FISCHER</t>
  </si>
  <si>
    <t>CABLEADO UTILIZADO PARA CONEXIONES DE EQUIPOS</t>
  </si>
  <si>
    <t>GUIAS CAJON AMIG DE 40 A 50 MM (3 UNID.) / FRESA (2 UNIDADES) / CARPINTERIA /// DESTINO: MANTENIMIENTO</t>
  </si>
  <si>
    <t>REVISION DE EXTINTORES Y PLACAS INDICATIVAS DE LOS MISMOS EN CABINAS MEDICION DE LA CONTAMINACION. SERVICIO MEDIO AMBIEN</t>
  </si>
  <si>
    <t>ALQUILER VALLAS CAMPILLO . DEL 23 AL 31 DE MAYO 2021</t>
  </si>
  <si>
    <t>ADJUDICA SUMINISTRO TARJETAS ALMACENAMIENTO GRÁFICO - GOBIERNO Y RELACIONES</t>
  </si>
  <si>
    <t>Downlight PHILIPS 11W 220V LED10/840 (10 UNIDADES) // CC RONDILLA</t>
  </si>
  <si>
    <t>EL LEÓN DE EL ESPAÑOL PUBLICACIONES, S.A.</t>
  </si>
  <si>
    <t>ADJUDICA SUSCRIPCIÓN ANUAL PERIÓDICO DIGITAL EL ESPAÑOL .COM</t>
  </si>
  <si>
    <t>F-2947. SUM GARCICHAO. TANQUE VICTORIA BL. LATERAL/LOCTITE. CENTRO INTEGRADO-ALBERGUE-COVID-19-1 DIA</t>
  </si>
  <si>
    <t>1 PAR DE ZAPATOS( TALLA 44)  PARA COMPLEMENTO UNIFORME SUBOFICIAL OPERATIVO DEL SERVICIO DE EXTINCION DE INCENDIOS</t>
  </si>
  <si>
    <t>CEYS MONTACK/ PUESTO 2 COLUMNAS/ SCHUKO DOBLE/ DLPLUS/ CAJA 2 MECANISMOS/ SCHUKO POLAR/ MARCO 2 ELEM./ BASTIDOR UNIVERSL</t>
  </si>
  <si>
    <t>TURBA 70 LITROS (5 UDS)</t>
  </si>
  <si>
    <t>REPARAR FALCOILS DEL GIMNASIO CON CAMBIO DE LATIGUILLOS DEL CPM ZONA SUR- DURACION 1 DIA</t>
  </si>
  <si>
    <t>H05V-K 500V RIGIDO 1X0,5 UNE.210 -BLANCO (200) -AZUL (200)  - MARRON (200) ///// DESTINO: MANTENIMIENTO</t>
  </si>
  <si>
    <t>SUMINISTRO DE 2 MANDOS A DISTANCIA PARA LAS BIBLIOTECAS MUNICIPALES. PLAZO 1 MES.</t>
  </si>
  <si>
    <t>SUSTITUCIÓN BOCA RIEGO EN CC LA VICTORIA</t>
  </si>
  <si>
    <t>MATERIAL PARA LA IMPRENTA MUNICIPAL PARA IMPRIMIR LA REVISTA DEL CPM ZONA ESTE POR SU 10 ANIVERSARIO- DURACION 1 DIA</t>
  </si>
  <si>
    <t>REPARACION ATORNILLADOR GSB 12V-15: CAMBIO DE PORTABROCAS / M.O. / REVISION GENERAL</t>
  </si>
  <si>
    <t>Reparación de fuga de aire comprimido en sistema de frenado de BUP_1; matrícula 4894JLF; SEISYPC.</t>
  </si>
  <si>
    <t>F-4254. SUMINISTROS GARCICHAO, S.L. TANQUE VICTORIA BL. LATERAL (1) DESTINO: CENTRO INTEGRADO. COVID-19</t>
  </si>
  <si>
    <t>1 ud - Batería moto Varta 12V 25Ah 220EN 186x130x171 Esq.</t>
  </si>
  <si>
    <t>PANEL BTV MOD-11 670X460  NEGRO OFERTA / PILA DURACELL IND AA LR06 (10UDS) // DESTINO: FCO JAVIER MARTÍN ABRIL</t>
  </si>
  <si>
    <t>Desactivación de un punto de detección de incendios debido a las obras de ampliacion en Edificio de la Agencia Innovacio</t>
  </si>
  <si>
    <t>Contrato de Control Calidad para obras de Carriles Bici en diferentes partes de la ciudad.-</t>
  </si>
  <si>
    <t>BONO MENSUAL AGUA 4G // PERIODO NOVIEMBRE - DICIEMBRE DE 2020 // CENTRO DE CONSERVACIÓN C/ SEMENTERA</t>
  </si>
  <si>
    <t>PAPEL SERVIDO EN IMPRENTA MUNICIPAL PARA CARTELES CENTROS CÍVICOS, MAYO</t>
  </si>
  <si>
    <t>SUMINISTRO DE PAPEL (SE SIRVE EN IMPRENTA MUNICIPAL) PARA CARTELES PROGRAMAS MES JUNIO</t>
  </si>
  <si>
    <t>FOLLETOS -PROGRAMA MONEO- PLAN DE DROGRAS DEL SERVICIO DE INICIATIVAS SOCIALES- DURACION 1 DIA</t>
  </si>
  <si>
    <t>CARPETA DE GOMA AZUL 37x50, 12 UDS., SERVICIO PARTICIPACIÓN CIUDADANA SAN BENITO, OF. 40</t>
  </si>
  <si>
    <t>SUMINISTRO VARIEDAD DE PLANTAS  PARA EL CENTRO DE FORMAC. JACINTO BENAVENTE, CURSO P. Y JARDINESII- DURACION 1 DIA</t>
  </si>
  <si>
    <t>AC. M. EXP. V36-2017 TELEDUCHA, FLEXO DUCHA 1.60M, FLEXO DUCHA EXTENSIBLE.</t>
  </si>
  <si>
    <t>SUMINISTRO MATERIAL, JGO. BOTADORES CONICOS... CURSO: PARQ.-JARDINES II- DEL C. DE FORM PARA EL EMPLEO-DURACION  1 DIA</t>
  </si>
  <si>
    <t>Impresión diplomas del curso ""Hablemos de trata"" dirigido a personal tec. mpal. y profesionales. PLAN INMIGRACION 2021</t>
  </si>
  <si>
    <t>SUMINISTRO DE MATERIALES PARA LA INSTALACION DE PLACAS DE CALLE</t>
  </si>
  <si>
    <t>MAPFRE ESPAÑA, COMPAÑIA DE SEGUROS Y REASEGUROS, S.A.</t>
  </si>
  <si>
    <t>ANIMALES  COMPAÑIA /""PÓLIZA"":9041880120775 /""RECIBO"":8283899584 /""RIESGO"":DELTA : DEL 13-06-21 AL 13-06-22. DTº 1º.</t>
  </si>
  <si>
    <t>PLETINA PVC ADHE.MADERAS / ESQUINERO PVC (12) // CALLEJON DE LA ALCOHOLERA//SERVICIO DE EXTINCION DE INCENDIOS</t>
  </si>
  <si>
    <t>SUMINISTRO MATERIAL GUANTE NYLON C/PALMA NEGRO, TALLAS 6,7,8,9 Y 10 // CURSO PARQUES Y JARDINES II- DURACION 1 DIA</t>
  </si>
  <si>
    <t>Uso de pistas de atletismo y piscina para las pruebas físicas de subinspector Policía Municipal el 4 de junio de 2021. -</t>
  </si>
  <si>
    <t>MANTENIMIENTO, SUMINISTRO DE  BASIC CROMO FREGADERO MONOMANDO PARA EL  CPM DELICIAS- DURACION 1 DIA</t>
  </si>
  <si>
    <t>DOSICO-DISPENS PAPEL ARES PURE BL. ( 4 UNIDADES ) /// DESTINO: ESPACIO JOVEN -  NORTE - C/ OLMO</t>
  </si>
  <si>
    <t>SUSTITUCION DE LAS UNIDADES HIGIENICAS AZULES, EN C/ HOSTIEROS, S/N</t>
  </si>
  <si>
    <t>AC MARCO EXP V36-2017: SUMINISTROS VARIOS PARA LIMPIEZA VIIARIA</t>
  </si>
  <si>
    <t>7 UDS - BURLETE AMIG MODL2-100 PLATA (C.P.JOSE ZORRILLA)</t>
  </si>
  <si>
    <t>RUEDA MICEL COSTADO S/F RUM2 19MM NGO (24 UDS) // CC ESGUEVA</t>
  </si>
  <si>
    <t>RUEDA SIRVEX 2-2470 GIR. FRENO (4 UDS) // CC ESGUEVA</t>
  </si>
  <si>
    <t>SERVICIOS Y LOGISTICA DE RESCATE</t>
  </si>
  <si>
    <t>REPARACIÓN DE 1 CHALECO DE RESCATE ACUATICO. SERVICIO DE EXTINCION DE INCENDIOS</t>
  </si>
  <si>
    <t>ZUMAIA</t>
  </si>
  <si>
    <t>REPOSAPIES FELLOWES AJUSTABLE ERGO // CASA DEL BARCO, CENTRO CANINO</t>
  </si>
  <si>
    <t>ADQUISICIÓN DE DOS REPOSAPIES</t>
  </si>
  <si>
    <t>MANT, SUMINISTRO MATERIAL REPARACIONES, BOQUILLA, REPARADOR MANGUERA, EMPALME, MOSQUE...DEL J. BENAVENTE- DURACION 1 DIA</t>
  </si>
  <si>
    <t>AC MARCO EXP V36-2017: MANGOS PARA CEPILLOS Y ESCOBAS PARA EL S. DE LIMPIEZA VIARIA</t>
  </si>
  <si>
    <t>BLISTER PILAS  PANASONIC ( TOTAL 20 UNIDADES )</t>
  </si>
  <si>
    <t>SUMINISTRO DE PANELES ELECTRICOS GALVANIZADOS PARA ILUMINACIÓN CELEGIO TIERNO GALVAN. PLAZO 1 MES.</t>
  </si>
  <si>
    <t>BURLETE BRINOX/ JUEGO LLAVES ALLEN/ LLAVE ALLEN ACOD.(CEIP IGNACIO M.BARÓ)/ PASADOR NIQUEL (CEIP GONZALO DE CÓRDOBA)</t>
  </si>
  <si>
    <t>REPARACIÓN DE VEHÍCULO 5310BVH DE POLICÍA. (ACUERDO MARCO EN TRAMITACIÓN)</t>
  </si>
  <si>
    <t>Revisión equipo de GLP.-</t>
  </si>
  <si>
    <t>REPARACIÓN MOTOCICLETAS DE POLICÍA MUNICIPAL. (ACUERDO MARCO EN TRAMITACIÓN.</t>
  </si>
  <si>
    <t>MANTENIMIENTO, GEBERIT  LATERAL IMPULS (CPM RIO ESGUEVA)  PRESTO REPUESTO PALANCA (CPM PTE COLGANTE)-DURACION 1I DIA</t>
  </si>
  <si>
    <t>LOGO CASCO VINILO ADHESIVO AEMVA/ LOGO PECHO VINILO TEXTIL AEMVA/ CHALECOS AMARILLOS T-L Y T-XS/ CASCOS BLANCOS</t>
  </si>
  <si>
    <t>CERRADURA FALLEBA (1) / AGLOMERADO 2440*1220 /8,93) // DESTINO: C.MPAL LA OVERUELA (RETIRA EL TECNICO)</t>
  </si>
  <si>
    <t>BURLETE ALUMINIO PLATA. / CERRADURA AGA / BROCA HSS RECT. / TACO FISCHER / TORN. INDEX / DESTINO: COLEGIOS JUNIO</t>
  </si>
  <si>
    <t>ALBARAN: 2103833 de 26-04-2021 /// CESTO GOMA 45 LITROS (2) ///  DESTINO: MANTENIMIENTO</t>
  </si>
  <si>
    <t>MATERIAL,  ROLLO MICROTUBO/ BOLSA INSERTADOR CONEXIÓN/ BOLSA TAPÓN PARA TUBERÍA (P.MIXTO GJ/20/VA/0002 PQUES Y J II)</t>
  </si>
  <si>
    <t>AC MARCO EXP. V.36-2017:  ZAPATO T.SERRAJE AZUL MARINO BRUSONI S1 P T-42 (SERV. LIMPIEZA)</t>
  </si>
  <si>
    <t>F-3247. F.ORTIZ. BISAGRA NIQUEL(CEAS LAS FLORES)/ REPOSAPIES (CEAS HOSPITAL)/ CERRADURA/RESBALÓN(C/ SOTO, 58, 1º A)</t>
  </si>
  <si>
    <t>ALBARANES: AV21/02789- 02700- 02414 (MES DE MAYO-21) /// SUMINISTRO DE ACCESORIOS ////  DESTINO: MANTENIMIENTO</t>
  </si>
  <si>
    <t>REPARACIÓN DE MOTOCICLETAS DE POLICÍA MUNICIPAL ( ACUERDO MARCO EN TRAMITACIÓN)</t>
  </si>
  <si>
    <t>DESAGUE PILA (1)  / DOBLE PULSADOR LIBERTY ROCA (2) //// DESTINO: CC DELICIAS</t>
  </si>
  <si>
    <t>AC MARCO EXP V36-2017: ZAPATO BAJO GRIS-NEGRO S1P NOBUCK SUELA EVA T-41, PERSONAL DE LIMPIEZA VIARIA</t>
  </si>
  <si>
    <t>ALB 21-205122: GRIFO DE BOLA/ VÁLVULA/ ENCHUFE HEMBRA/ RACOR HEMBRA/ ALARGADERA (CP PABLO PICASSO)</t>
  </si>
  <si>
    <t>SILICONA NEUTRA OLIVE GRIS (1) / TESA 2036 (1) / MANECILLA (2) /// DESTINO: C.C. RONDILLA (RETIRA EL TECNICO)</t>
  </si>
  <si>
    <t>ALQUILER DE 1 FUENTE DE AGUA // PERIODO: 05/07/2020 A 04/08/2020</t>
  </si>
  <si>
    <t>AC MARCO EXP V36-2017: MATERIAL SANEAMIENTO DESTINO: SERVICIO DE LIMPIEZA - CALLE TOPACIO</t>
  </si>
  <si>
    <t>F-3789. CERAMICAS SANCHEZ, S L. ALBARÁN Nº 2102437 A/TAPA  INODORO BELLAVISTA. C.INTEGRADO-ALBERGUE-COVID-19-1 DIA</t>
  </si>
  <si>
    <t>BURLETE AMIG MOD.2-100 PLATA ( 5 UNIDADES ) ///  DESTINO: C.P. MIGUEL DE CERVANTES // RETIRA EL TECNICO</t>
  </si>
  <si>
    <t>MANT. SUMINISTRO DE TIMBRE CAMPANA GRISs 230V CA Rodman  PARA EL   CPM RONDILLA- DURACION 1 DIA</t>
  </si>
  <si>
    <t>2 UDS. DE CIERRES DE CORREDERA NEGROS (ISABEL LA CATÓLICA)</t>
  </si>
  <si>
    <t>ANGULO AMIG 3 BICR.  50X50X20  (100) - DESTINO: TOBOGAN // PALOMILLA (3) - TACO (1) - DESTINO: MAFALDA Y GUILLE. Junio</t>
  </si>
  <si>
    <t>SILICONA NEUTRA OLIVE NEGRA (C.E.I.P. IÑIGO DE TORO)</t>
  </si>
  <si>
    <t>AC MARCO EXP V36-2017: JABON DESENGRASANTE PERSONAL TALLER  //// DESTINO: SERVICIO DE LIMPIEZA VIARIA</t>
  </si>
  <si>
    <t>F-4830. GRUPO ELECTRO STOCKS, S.L. MATERIAL DE FERRETERIA. VARIOS CEAS. 1 DIA</t>
  </si>
  <si>
    <t>AC MARCO EXP V36-2017: SUMINISTROS PARA LIMPIEZA VIARIA</t>
  </si>
  <si>
    <t>REPARACIÓN DE MOTOCICLETAS DE POLICÍA MUNICIPAL (ACUERDO MARCO EN TRAMITACIÓN.</t>
  </si>
  <si>
    <t>ASIENTO INODORO THE GAP COMPACT. BLANCO // CP FRAY LUIS DE LEÓN</t>
  </si>
  <si>
    <t>DANIEL GUTIERREZ  SANZ</t>
  </si>
  <si>
    <t>Reparación de 2 balsas_contenedores de líquidos GLP; Servicio de Extinción de Incendios, Salvamento y Protección Civil.</t>
  </si>
  <si>
    <t>Estudio Básico Seguridad y Salud para Proyecto construcción de Urbanización entorno del Centro Municipal Segundo Montes.</t>
  </si>
  <si>
    <t>MANTENIMIENTO, DETECTOR LEGRAND 48941  EMP. 360º  IP41PARA EL CPM  HUERTA DEL REY - DURACION 1 DIA</t>
  </si>
  <si>
    <t>ALB.AV21/01859 DE 09/04/2021: MAZA DE GOMA P/SOLADOR // ALB.AV21/01758 DE 05/04/2021: TORNILLO HEXAGONAL</t>
  </si>
  <si>
    <t>BASE SCH NIESSEN MECANISMO  P.INFAN/ LATIGUILLO GTLAN UTP6 2M EKO / LATIGUILLO GTLAN UTP6 3M EKO (MANTENIMIENTO)</t>
  </si>
  <si>
    <t>CERRADURA ARMARIO (6.29¿ CM OVERUELA)/ AFLOJATODO (3.10¿ MOSQUERA)/ BOMBILLO (28.02¿ ZONA ESTE)/ LLAVERO (6.10¿ TODOS)</t>
  </si>
  <si>
    <t>BASCULAN OBO Recto ( 33 UNIDADES) / REGLETA  OBO 76CE BL  (10 UNIDADES) / DESTINO: C.MPAL PTE DUERO</t>
  </si>
  <si>
    <t>SUMINISTRO CAPAZOS GOMA  (9 UNIDADES) PARA EVITAR DETERIOROS LLUVIA EN DEPENDENCIAS  ///  POLICIA MUNICIPAL</t>
  </si>
  <si>
    <t>SUMINISTRO MATERIAL ,  EPIS PARA CURSO PINTURA DECORATIVA II DEL C. F. PARA EL EMPLEO- DURACION 1 DIA</t>
  </si>
  <si>
    <t>CUERDA TENDER (COLEGIOS)/ CADENA GALVANIZADA (CP JOSE ZORRILLA)/ CADENA GALVANIZADA/ TACO (CP ISABEL LA CATOLICA)</t>
  </si>
  <si>
    <t>REPARACIÓN INTERRUPTOR VEHÍCULO 8782 DHV DE POLICÍA MUNICIPAL.</t>
  </si>
  <si>
    <t>BURLETE AMIG MOD.2-100 ( 4 UNIDADES ) //  DESTINO: C.E.P. PROFESOR TIERNO /// RETIRA EL TECNICO</t>
  </si>
  <si>
    <t>A.M. V. 26/2017: 6 ELECTR. PANELES GALVA 2000x1000 (50x50x4) // DESTINO: CENTRO CANINO</t>
  </si>
  <si>
    <t>AC MARCO EXP V36-2017: BOTAS DE AGUA PARA PERSONAL DE LIMPIEZA VIARIA</t>
  </si>
  <si>
    <t>BASE MULT C/INT 4T TT CABLE/ ALARGA.CABLE 10 MT/ CERRADURA CAJON CROMADA/ GOLPETE</t>
  </si>
  <si>
    <t>CUERDA POLIAM.TRENZ BL 4MMX200M EHS (1) / DESTINO: C.P. IGNACIO MARTÍN BARO //  RETIRA EL TECNICO</t>
  </si>
  <si>
    <t>CERRADURA MCM / MANETA REGULABLE NEGRA (CIC EL EMPECINADO)</t>
  </si>
  <si>
    <t>CONDENSADOR LIFASA / LUMINARIA PH RC065B LED  / TASA ECORAEE //  DESTINO: MANTENIMIENTO EDIFICIOS MPALES</t>
  </si>
  <si>
    <t>SUMINISTRO, MANGUERA TRANSP (10) / ROLLO POLIETILENO (1) /- PARQUES Y JARDINES II DEL C.F. DE EMPLEO- DURACION 1 DIA</t>
  </si>
  <si>
    <t>REPARACIÓN DE MOTOCICLETAS DE POLICIA. (ACUERDO MARCO EN TRAMITACIÓN)</t>
  </si>
  <si>
    <t>MANTENIMIENTO, SUMINISTRO DE 2 UDS- MANILLA  DEL  CPM ZONA SUR- DURACION 1 DIA</t>
  </si>
  <si>
    <t>A.M V.36/2017 BRIDA NYLON NEGRO (300 UNID) / ENCHUFE RAPIDO C/AQUASTOP 1/2.5/8.3 (2 UNID.)/ CAMISOLA PIJAMA VERDE</t>
  </si>
  <si>
    <t>MANT. SUMINISTRO DE CILINDRO TESA 5200-40X40 ( 1 UNIDAD )PARA EL  CPM SAN JUAN -DURACION 1 DIA</t>
  </si>
  <si>
    <t>A.M. V.36/2017: CALZA TYVEK CORTA MOD. POSO (60 UNIDADES). CMPA.</t>
  </si>
  <si>
    <t>MANT. SUMINISTRO DE MATERIAL DE FONTANERÍA PARA EL C.F. DE EMPLEO, JACINTO BENAVENTE- DURACION 1 DIA</t>
  </si>
  <si>
    <t>Estudio de Seguridad y Salud ////  C/  Estación 9 ///  Partida Presupuestaria 08.153.2.619  Orden Ejecución 47/2018</t>
  </si>
  <si>
    <t>SUMINISTRO DE SEIS CONMUTADORES, (DETECTOR DE PRESENCIA)</t>
  </si>
  <si>
    <t>MANTEN., MATERIAL PARA REPARACIONES ,FOCO HALOGENO 2000W,BLISTER PILA   PARA C. DE FORMACION PARA EL EMPLEO-DURAC 1 DIA</t>
  </si>
  <si>
    <t>COPIA LLAVE ELECTRONICA SEGURIDAD CENTRO LA OVERUELA (CALVERAS, COL. FRAY LUIS DE GRANADA)</t>
  </si>
  <si>
    <t>TUBO RILSAN INYECTOR S-600 ( 1 UNIDAD ) /// DESTINO: CP FRANCISCO PINO</t>
  </si>
  <si>
    <t>ASIENTO VICTORIA ACERO BLANCO (CENTRO DE MANTENIMIENTO)</t>
  </si>
  <si>
    <t>PLASTIFICACIÓN DE 47 CARNETS ACREDITATIVOS DE USUARIOS DE MERCADILLO</t>
  </si>
  <si>
    <t>ASIENTO VICTORIA ACERO BLANCO // CIC CONDE ANSÚREZ</t>
  </si>
  <si>
    <t>AC MARCO EXP V36-2017: SUMINISTRO MATERIAL ELECTRICO PARA VESTURIOS DEL Sº DE LIMPIEZA</t>
  </si>
  <si>
    <t>FOTOCOPIAS COLOR LASER 23, PARA TALLER DE ESCRITURA EN BIBLIOTECA FRANCISCO PINO. PLAZO 1 MES.</t>
  </si>
  <si>
    <t>CARTELES DEL CAMPILLO //  ROLLO VINILO ADHESIVO BLANCO 0.50X2 (1) /////  DESTINO: EL CAMPILLO</t>
  </si>
  <si>
    <t>CERRADURA EMBUTIR 2501-2-35 (CHALET Nº 4, MONTES TOROZOS)</t>
  </si>
  <si>
    <t>6 UNIDADES- SPRAY CRC ECOMARK BLANCO</t>
  </si>
  <si>
    <t>AC MARCO EXP V36-2017: SUMINISTROS MATERAILES PARA S. LIMPIEZA VIARIA</t>
  </si>
  <si>
    <t>AC MARCO EXP V36-2017: CIERRES CUADROS ELECTRICOS  SE NSYCDBPLM    (2 UNIDADES)  /// SERVICIO DE LIMPIEZA</t>
  </si>
  <si>
    <t>F-5140. CADIELSA. LAMPARA PH LEDSPOTMV ND 8-100W 827 R80 36º (6). CEAS CENTRO. 1 DIA</t>
  </si>
  <si>
    <t>F-6549. MARINO DE LA FUENTE, S.A. AGLOMERADO DM 2440*1220*4 (11,91).CENTRO CALLE PATO. 1 DIA</t>
  </si>
  <si>
    <t>REPARACION MOTOSIERRA MS180: Desmontaje y limpieza de carburador/ Sustitucion de filtro de aire (M.O.)/ SEISPC</t>
  </si>
  <si>
    <t>CERRADURA CVL 1990V-025 SIN CILINDRO ( RETIRA. EL TECNICO) ///  MANTENIMIENTO</t>
  </si>
  <si>
    <t>Contrato basado en A.M. Control de Callidad para la obra del Corredo Verde- Proyecto URBAN GreenUP G.A. nº 730426</t>
  </si>
  <si>
    <t>ALB.AV21/02569 DE 17/05/21: CARTUCHO SILICONA (C.P. T. GALVAN) // ALB.AV21/02473 DE 11/05/21: TACO/ TORNILLO (COLEGIOS)</t>
  </si>
  <si>
    <t>ALB: 21-216177 /// CU SAMBRA H COBRE/INOX 1/4"" (1 unid.) // MACHON RED. LATON (1 unid.) /// DESTINO: C.P. GARCIA QUINTAN</t>
  </si>
  <si>
    <t>CENTRO DE ESTUDIOS CONSTITUCIONALES</t>
  </si>
  <si>
    <t>SUSCRIPCIÓN ANUAL A REVISTA DERECHO PRIVADO Y CONSTITUCIÓN, AÑO 2021.</t>
  </si>
  <si>
    <t>F-5249. SYRESA S.L. CERRADURA MCM 1301. CENTRO INTEGRADO. 1 DIA. COVID-19</t>
  </si>
  <si>
    <t>TALONARIO VALES. Resma fórmula1ª Blanco Laser.Trazo NE y Resma fórmula 3ª Rosa Extra.Trazo NE.</t>
  </si>
  <si>
    <t>GEBERIT LLENADO LATERAL IMPULS / MANGUITO UNION PVC HH A-9  40 / FOMI-MECANISMO /// DESTINO: CASA DEL BARCO</t>
  </si>
  <si>
    <t>I-DE REDES ELECTRICAS INTELIGENTES S.A.</t>
  </si>
  <si>
    <t>PAGO DE LOS PEAJES DE LAS INSTALACIONES FOTOVOLTAICAS. SERVICIO DE MEDIO AMBIENTE</t>
  </si>
  <si>
    <t>BIZKAIA</t>
  </si>
  <si>
    <t>EJEMPLARES: YO SOY MARIA CALLAS (NOVELA GRÁFICA) (1 UD) / PEPITO CEBOLLA (1 UD)</t>
  </si>
  <si>
    <t>BISAGRA K6200 (1)  / DESTINO: C.C. ARTURO EYRIES</t>
  </si>
  <si>
    <t>D2P CON TIRANTE PULSADOR ENRASADO // CC RONDILLA</t>
  </si>
  <si>
    <t>ALB.02720 DE 25/05/21: CINTA BALIZA (CC J.M.LUELMO) // ALB.02568 DE 17/05/21: TACO/ TORNILLO/ ARANDELA (SDO MONTES)</t>
  </si>
  <si>
    <t>REPARACIÓN DE MOTOCICLETAS DE POLICÍA  (ACUERDO MARCO EN TRAMITACIÓN).</t>
  </si>
  <si>
    <t>CONTRAT. DE ESPACIOS EN TV LOCAL PARA INSERCIÓN DE PUBICIDAD DEL AYTO. DE VALLADOLID AL AMPARO DEL ACUERDO MARCO</t>
  </si>
  <si>
    <t>REPARACIÓN DE VARIOS VEHÍCULOS DE POLICIA. (ACUERDO MARCO EN TRAMITACIÓN.</t>
  </si>
  <si>
    <t>REPARACIÓN DE VEHÍCULOS 2168HCN, 3551FZR Y 8693DHV DE POLICÍA (ACUERDO MARCO EN TRAMITACIÓN).</t>
  </si>
  <si>
    <t>TACO FISCHER DUOPOWER (100 UDS) / TOR.INDEX INV INVIOLABLE 6x 50 ZINC</t>
  </si>
  <si>
    <t>REPARACION VEHÍCULOS DE POLICIA 3709KGD, 3712KGD, 6230JKP Y 8693DHV ( ACUERDO MARCO EN TRAMITACIÓN)</t>
  </si>
  <si>
    <t>BASE MULT C/INT 4T TT CABLE 1,5M BLAN (1)  / COPIA LLAVE NORMAL (6) / PILA LITIO (2) / SIFON (1)</t>
  </si>
  <si>
    <t>CERRADURA LINCE 5811-50 (REAL DE LA FERIA)</t>
  </si>
  <si>
    <t>A.M. V.36/2017 MATERIAL ELECTRICO PARA CENTRO MUNICIPAL DE PROTECCION ANIMAL</t>
  </si>
  <si>
    <t>AC MARCO EXP V36-2017: MANGUERA Y ABRAZADERAS PARA LIMPIEZA VIARIA</t>
  </si>
  <si>
    <t>CONTACTCEYS SPRAY CONTROL 400ML / CERRADURA TESA EMBUTIR 2004 50 HL</t>
  </si>
  <si>
    <t>AC MARCO EXP V36-2017: AZULEJOS REAPRACION EN VESTUARIOS SERV. LIMPIEZA C/TOPACIO</t>
  </si>
  <si>
    <t>COLLAK-DESATASCADOR 1 LT ACIDO / WIRQUIN-SIFON EXTENSIBLE 11/2 40 / ENLACE TUBO // DESTINO: E.I. CAMPANILLA</t>
  </si>
  <si>
    <t>MANTENMIENTO,REPARACIONES HIDROTUBO, MANGUITO, ENLACE TUBOS LISOS, VALV.PLATO DUCHA, GRIFO DEL  J. BENAVENTE-DUR.1 DIA</t>
  </si>
  <si>
    <t>F-3403. GRUPO ELECTRO STOCKS, S.L. CEAS RONDILLA. MATERIAL ELECTRICIDAD. 1 DIA</t>
  </si>
  <si>
    <t>2 UDS- PALOMILLA AMIG PLEGABLE 3-400X400 BLANCO (E.I.M. MAFALDA Y GUILLE). MARZO</t>
  </si>
  <si>
    <t>F-6180. EXCLUSIVAS MAOR, S.L. BOMBILLO TESA 5030 30x30 LT (1) COMEDOR SOCIAL. COVID-19. 1 DIA</t>
  </si>
  <si>
    <t>RODAMIENTO REGULABLE ALUPRON 21 (4 UDS) // COLEGIOS</t>
  </si>
  <si>
    <t>SUMINISTRO DE MATERIAL TERRINA GRANDE  ,PLATO BARRO  PARA EL CURSO DE P. Y JARDINES DEL C. F. DE EMPLEO-DURACION 1DIA</t>
  </si>
  <si>
    <t>ACUERDO MARCO SUMINISTROS:  COLLAK-DESATASCADOR 1 LT ACIDO (10 UDS) // SERVICIO EXTINCION INCENDIOS</t>
  </si>
  <si>
    <t>ACUERDO MARCO_7614-GSB:  SUSTITUIR Y PROGRAMAR COLUMNA DE DIRECCION</t>
  </si>
  <si>
    <t>MANTENIMIENTO, REPARACIONES, ANGULO 2-400*300 BLANCO (1) / BISAGRA PARA   C.P.M. DELICIAS- DURACION 1 DIA</t>
  </si>
  <si>
    <t>BURLETE AMIG MOD.2-100 PLATA (2 UNIDADES) // DESTINO: CEIP LEON FELIPE</t>
  </si>
  <si>
    <t>BURLETE AMIG 2-100 PLATA (2 UDS) // CENTRO SEGUNDO MONTES</t>
  </si>
  <si>
    <t>PERNIO PALA 16X100X3 CAJA ROJA (24) // DESTINO: COLEGIOS // RETIRA EL TECNICO</t>
  </si>
  <si>
    <t>24 UDS- PERNIO PALA 16X100X3 CAJA ROJA (COLEGIOS)</t>
  </si>
  <si>
    <t>CINTA DOBLE CARA 5 UDS. SEÑALIZACION CENTROS CÍVICOS</t>
  </si>
  <si>
    <t>MANTENIMIENTO, SUMIN. DE PASADOR ALUMINIO (1) / TAPA JUNTA CERAMICA (1)  DEL  CENTRO OCUPACIONAL -DURACION 1 DIA</t>
  </si>
  <si>
    <t>COMPRA DE MATERIAL DE PINTURA PARA CENTRO INTEGRADO. COVID-19</t>
  </si>
  <si>
    <t>AURICULARES, TRES UNIDADES PARA LOS CURSOS DEL CENTRO DE FORMACION PARA EL EMPLEO- DURACION 1 DIA.</t>
  </si>
  <si>
    <t>BASE NIESSEN (2 UNID)  / MARCO NIESSEN (1 UNID)  / CARATULA NIESSEN (2 UNID) / ZOCALO (1) /// PARA: DELICIAS BLAS PAJ.</t>
  </si>
  <si>
    <t>Condensador de arranque 30MF 450V // CARPINTERÍA (MANTENIMIENTO)</t>
  </si>
  <si>
    <t>SUMINIS. MATERIAL , BLISTER PILAS , BOTE ESP POLIURETANO,COPIAS LLAVE DEA LOS CURSOS DE FORM. PARA EL EMPLEO- DUR1 DIA</t>
  </si>
  <si>
    <t>ENVÍO FIRMA MANUSCRITA CONTRATO/NEGOCIO JURIDICO COMODATO MUSEO PATIO HERRERIANO A MADRID EL 13/3/2021</t>
  </si>
  <si>
    <t>MANTENIMIENTO, REPARACIONES, BURLETE AMIG 2-1000 ALUMINIO PLATA. (2 UNIDADES ) DEL CPM DELICIAS- DURACION 1 DIA</t>
  </si>
  <si>
    <t>RUEDA ALEX 2-2572 ( 4 UNIDADES ) ////  DESTINO: MANTENIMIENTO</t>
  </si>
  <si>
    <t>Suministro de 18 L.de gasóleo C para caldera del nuevo Parque Conserv.Vías Públicas.Complementario de 2.500 litros anter</t>
  </si>
  <si>
    <t>PEAJES DE PRODUCCIÓN INSTALACIÓN FOTOVOLTAICA EN C/ EUSEBIO GONZÁLEZ SUÁREZ, 71</t>
  </si>
  <si>
    <t>MATERIAL PARA LA IMPRENTA MUNICIPAL PARA IMPRIMIR CARTELES DE COMERCIO JUSTO DEL S. DE INICIATIVAS SOCIALES- DURACION 1</t>
  </si>
  <si>
    <t>SUMINISTRO DE MATERIAL , FLEXOMETRO FLEXIBLE  (4 UNIDADES)  CURSO: PINTURA DECORATIVA III (47/0014/2020)- DURACION 1 DIA</t>
  </si>
  <si>
    <t>AC MARCO EXP. V36-2017: SUMINISTRO MATERIAL ELECTRICO PARA EL Sº DE LIMPIEZA</t>
  </si>
  <si>
    <t>5 UDS- CERRADURA KEYA 20.13.42 CROMO CLICK 180 // MANTENIMIENTO</t>
  </si>
  <si>
    <t>AGUA DESTILADA 5L. AD ( 1 UNIDAD ) //  LAMPARA DE INCANDESCENCIA ( 4 UNIDADES )</t>
  </si>
  <si>
    <t>MANO DE OBRA (0,50)  / CUERDA ARRANQUE 5,0MM 100MT. (1)</t>
  </si>
  <si>
    <t>CERRADURA AGA REF.135  C-40 (3 UNIDADES) ///// Destino: Mercado Las Delicas</t>
  </si>
  <si>
    <t>AC MARCO EXP. V36-2017: SUMINISTROS PARA EL Sº DE LIMPIEZA</t>
  </si>
  <si>
    <t>AM. V.36/2017 - BASE 6TO  LEGRAND 695017 c/Cable 3,0M // SALUD</t>
  </si>
  <si>
    <t>A.M. V. 36/2017: VARILLA ROSCADA  M  (TOTAL 12 UNIDADES)</t>
  </si>
  <si>
    <t>SUMINISTRO TERMOTATO PARA REPARACION EN VESTURIO DE  ZONA SITO EN C/ CADENAS DE SAN GREGORIO</t>
  </si>
  <si>
    <t>SILICONA NEUTRA OLIVE TRANSPARENTE / BURLETE AMIG MOD.2-100 PLATA (C.C. RONDILLA)</t>
  </si>
  <si>
    <t>BASE 2PT TICINO N4141 SCHUKO 16A LIVING/LI (3 UNIDADES) /// DESTINO: C.C. PARQUESOL</t>
  </si>
  <si>
    <t>CERRADURA AGA 135C40 ( 2 UNIDADES ) ///  RECARGO IGUALAMIENTO (2) ///  CIC SANTIAGO LÓPEZ</t>
  </si>
  <si>
    <t>MANILLA ALMA 6085 NEGRO (1 UNIDAD) ///  DESTINO:  C.E.I.P. ALLUE MOER</t>
  </si>
  <si>
    <t>CONEXION SLV ESQ 143051 BLANCO (MUESTRA) 1 UNIDAD.</t>
  </si>
  <si>
    <t>MINI LINTERNA RECARG.USB ORIENT.5V 1.5W 150LM 6500K USB IMAN (MANTENIMIENTO)</t>
  </si>
  <si>
    <t>AC MARCO EXP V36-2017: 40 M. CABLE PARA REPARACION VEHICULO: E-8108-BFB  /// DESTINO: LIMPIEZA</t>
  </si>
  <si>
    <t>TACO DUOPOWER 6*30 (100 U.) 555006 / TACO SX5 (100 U.) 70005 /////// DESTINO: E I M CASCANUECES. marzo</t>
  </si>
  <si>
    <t>SIFON BIDE 11/4 S-84 / ALARGADERA ROSCA TUBO LISO A-15 // CP FRAY LUIS DE LEÓN</t>
  </si>
  <si>
    <t>MANILLA ALMA 6085 NGRO ( 1 UNIDAD ) //// DESTINO:  C.C.RONDILLA --- RETIRA EL TECNICO</t>
  </si>
  <si>
    <t>MANECILLA ALMA NEGRO // CEIP GARCÍA GALÁN. JUNIO</t>
  </si>
  <si>
    <t>BURLETE AMIG 2-100 BLANCO ( 1 UNIDAD ) //  DESTINO: CEIP JOSE ZORRILLA</t>
  </si>
  <si>
    <t>BURLETE AMIG MOD.2-100 PLATA (COLEGIO PROFESOR TIERNO GALVAN)</t>
  </si>
  <si>
    <t>DF-SIFON EXTENSIBLE 11/4 32-40 BL / VALVULA LAVABO BIDET S-35 11/4 / ENLACE TUBOS // DESTINO: SAN BENITO</t>
  </si>
  <si>
    <t>SILICONA NEUTRA OLIVE TRANSPARENTE (2 UDS) // CEIP NUESTRA SEÑORA DEL DUERO</t>
  </si>
  <si>
    <t>AM. V. 36/2017 CONMUTADOR NIESSEN 8102 MECANISMO (2) //  DESTINO: CASA DEL BARCO EDIF.A</t>
  </si>
  <si>
    <t>AC MARCO EXP V36-2017: MATERIALES REPARACION ELECTRICA EN VESTUARIO ZONA C/ TREPADOR, LIMPIEZA VIARIA</t>
  </si>
  <si>
    <t>A.M. V.36/2017 INTERRUP NIESSEN 8101 MECANISMO ( 2 UNIDADES )</t>
  </si>
  <si>
    <t>ALB 21-210165: ML PVC SANITARIO (6) // CC JUAN DE AUSTRIA</t>
  </si>
  <si>
    <t>F-4705. FLUME S.L. CODO 87º SANITARIO/ DESATASCADOR LÍQUIDO PROFESIONAL BOTELLA 1L VIVIENDA PLAZA CHURRERÍA</t>
  </si>
  <si>
    <t>2 UDS - SILICONA NEUTRA MARRON 8003 (CC JOSE LUIS MOSQUERA)</t>
  </si>
  <si>
    <t>F-6030. GRUPO ELECTRO STOCKS. LAMP. LED A60/PA 12W 4000K 230V NO DIM SIN FILAMENTO( 3 UNIDADES)CEAS C/PATO. 1 DIA</t>
  </si>
  <si>
    <t>SUMINISTRODE ARQUETA POLYPRO NE. RED.(1) PARA CURSO: P. MIXTO GJ/20/VA/0002 FOYEM PARQUES Y JARDINES II -DURACION 1 DIA</t>
  </si>
  <si>
    <t>ALB. AV21/00009 DE 04/01/2021: PORTAETIQUETAS VENTANILLA AZUL (50 UDS) // MANTENIMIENTO</t>
  </si>
  <si>
    <t>REPARACIÓN DE TRES VEHÍCULOS DE POLICÍA ( ACUERDO MARCO EN TRAMITACIÓN).</t>
  </si>
  <si>
    <t>REPARACIÓN VEHÍCULOS 6230 JKP Y 3712KGD DE POLICÍA MUNICIPAL (ACUERDO MARCO EN TRAMITACIÓN).</t>
  </si>
  <si>
    <t>PILA DURACELL IND AA LR06 (10UDS) - OFERTA (MERCADOS)</t>
  </si>
  <si>
    <t>4 UDS- ESCOBILLERO COMPLETO BIG BL  CJ/2 (SANTA ANA)</t>
  </si>
  <si>
    <t>REPARACIÓN DE DOS VEHÍCULOS DE POLICIA ( 2098HCN Y 3998JKP). ACUERDO MARCO EN TRAMITACIÓN.</t>
  </si>
  <si>
    <t>REPARACION DE VEHÍCULO 7227 DLS DE POLICÍA MUNICIPAL.. ( ACUERDO MARCO EN TRAMITACIÓN).</t>
  </si>
  <si>
    <t>MTNA.BARNIZ ACRILICO SATIN 400ML. (C.E.I.P. TIERNO GALVAN)</t>
  </si>
  <si>
    <t>AC MARCO EXP V36-2017: : ABRAZADERA ASFA 30-45L MIKALOR (10 uds) PARA EL Sº LIMPIEZA</t>
  </si>
  <si>
    <t>SUMINISTRO DE 3 TITULOS DIFERENTES Y 2 DEVUELTOS // BIBLIOTECAS PUBLICAS</t>
  </si>
  <si>
    <t>SOPORTE TICINO LN4719 LL RECT 2M CENT (3 UNIDADES) /// DESTINO: C.C. PARQUESOL</t>
  </si>
  <si>
    <t>RENUNCIA CTTO DISEÑO, DESARROLLO-DESPLIEGUE SITIO WEB GUIA MUNICIPAL DE ACTIVIDADES EDUCATIVAS.PLZ EJEC HASTA 30-6-21</t>
  </si>
  <si>
    <t>ALB 21-210170 PED: VARILLA ROSCADA CINCADA M-8 (2MTS) // CC JUAN DE AUSTRIA</t>
  </si>
  <si>
    <t>AUMON MANILLA NEGRA 50-60 ( 1 UNIDAD )</t>
  </si>
  <si>
    <t>F-6793. CADIELSA VALLADOLID, S.L.U. PORTALAMP. SOLERA 6618 BLANCO (2) VIVIENDA SOCIAL EN C/ SOTO 58,1ºA. 1 DIA</t>
  </si>
  <si>
    <t>AC MARCO EXP V36-2017: MATERIAL ELECTRICO SERVICIO DE LIMPIEZA</t>
  </si>
  <si>
    <t>ANUL REPARACION FILTRACIONES EN LA CUBIERTA DE LA ESCUELA INFANTIL MUNICIPAL EL PRINCIPITO.</t>
  </si>
  <si>
    <t>AC MARCO EXP V326-2017: MATERIAL ELECTRICO /// DESTINO: SERV. LIMPIEZA VIARIA</t>
  </si>
  <si>
    <t>RESTO DEL IMPORTE  PARA PAGAR FACTURA 1788, DE RESVISTAS PARA BIBLIOTECAS MUNICIPALES. PLAZO 1 MES</t>
  </si>
  <si>
    <t>ANULACION CONTRATO DE OBRAS DE INFRAESTRUCTURA VERDE SINGULAR: JARDÍN BIO-FILTRO URBANO . Decreto 3290/2021</t>
  </si>
  <si>
    <t>COORDINACION DE LAS OBRAS DE REFORMA DE VIVIENDAS PROG.ALOJ.PROV.C/OSA MENOR,4: 12,24 ¿ Y C/GUARDERIA,6:23,18</t>
  </si>
  <si>
    <t>Tercero</t>
  </si>
  <si>
    <t>2021 09 3341 632</t>
  </si>
  <si>
    <t>COORDINACION DE SEGURIDAD Y SALUD OBRA VALLADO EDIFICIOS PARCELA ANTIGUA HIPICA MILITAR. CONTRATO CENTRALIZADO</t>
  </si>
  <si>
    <t>COORDINACION Y SEGURIDAD SALUD OBRAS DE REFORMA DEL CENTRO MUNICIPAL DE PROTECCION ANIMAL</t>
  </si>
  <si>
    <t>2021 05 4314 632</t>
  </si>
  <si>
    <t>contrato de servicio coordinación seguridad y salud obra mercado Delicias 8</t>
  </si>
  <si>
    <t>CONTRO SEGURIDAD Y SALUD REPARACION SOLERA DUCHAS VESTUARIO PERSONAL MASCULINO EN C/ TOPACIO 63. SERVICIO DE LIMPIEZA.</t>
  </si>
  <si>
    <t>2021 11 1631 632</t>
  </si>
  <si>
    <t>CONTROL DE SEGURIDAD EN OBRAS OFICINA TALLER SERVICIO DE LIMPIEZA</t>
  </si>
  <si>
    <t>UTE CTR VALLLADOLID</t>
  </si>
  <si>
    <t>CONTRATO CENTRO DE TRATAMIENTO Y ELIMINACIÓN DE RESIDUOS AYTO. DE VALLADOLID.JUNIO - DICIEMBRE 2021.</t>
  </si>
  <si>
    <t>Contrato de Conservación Vías Públicas. LOTE 1. Actuaciones de Presupuestos Participativos 2021.-</t>
  </si>
  <si>
    <t>LOTE 1 CONSERVACIÓN, REPARACIÓN Y REFORMA DE ALUMBRADO PÚBLICO. EXP: SEMEU 8/2021</t>
  </si>
  <si>
    <t>2021 06 3231 622</t>
  </si>
  <si>
    <t>OBRAS PAVIMENTOS E INSTALACIONES INDUSTRIALES</t>
  </si>
  <si>
    <t>SE-EIJI 21/2021. CONTRATO DE OBRAS EJECUCIÓN DE ESCUELA INFANTIL EN C/SEMINARIO C/V  A C/TIRSO DE MOLINA. 15/08 A 31/12</t>
  </si>
  <si>
    <t>CONTRATO DE OBRAS - RENATURALIZACION DEL POLIGONO DE ARGALES DE VALLADOLID (PROYECTO INDNATUR 2019/3/2411-1-1</t>
  </si>
  <si>
    <t>LOTE 1 CONSERVACIÓN, REPARACIÓN Y REFORMA INSTALACIONES ALUMBRADO EXTERIOR. PRES. PARTICIP. EXP: SEMEU 8/2021</t>
  </si>
  <si>
    <t>CERTIFICACIÓN Nº 9 Y FINAL OBRA CONSTRUCCIÓN NAVE LAVADO VEHÍCULOS DEL Sº DE LIMPIEZA EXP 2.6.0.4.002/2019</t>
  </si>
  <si>
    <t>PRÓRROGA LOTE 1 SEÑALIZACIÓN VERTICAL ""CONTRATO SEÑALIZACIÓN VIAL DE VALLADOLID""_ EXP 11/2018 (P.S Nº 1)_Agosto-Dic'2021</t>
  </si>
  <si>
    <t>IMESAPI, S.A.</t>
  </si>
  <si>
    <t>LOTE 3 CONSERVACIÓN, REPARACIÓN Y REFORMA DE ALUMBRADO PÚBLICO. EXP: SEMEU 8/2021</t>
  </si>
  <si>
    <t>MANTENIMIENTO SOFTWARE PARA EL CONTROL DE SALUD LABORAL : WinMedtra/WinSehtra, LOTE 8</t>
  </si>
  <si>
    <t>ACUERDO MARCO 2017/36, SUMINISTRO DE FILLER.</t>
  </si>
  <si>
    <t>ACUERDO MARCO 2017/36, MANTILLO PARA JARDINES.</t>
  </si>
  <si>
    <t>ACCIONA CONSTRUCCION S.A.</t>
  </si>
  <si>
    <t>SOLUCIONAR PROBLEMAS DE HUMEDADES EN EL ENTORNO DEL ASCENSOR PARKING DE LA PLAZA MAYOR</t>
  </si>
  <si>
    <t>AFG MICROBIO COMUNICACION, S.L.</t>
  </si>
  <si>
    <t>Mantenimiento de la página web Valladolid Recicla y comunicación en redes sociales.</t>
  </si>
  <si>
    <t>PRORROGA CONTRATO SERVICIO MANTENIMIENTO PLATAFORMAS SOTERRADAS AYUNTAMIENTO VALLADOLID, 1-9 AL 31-12-2021</t>
  </si>
  <si>
    <t>ALMA GARCIA REPISO</t>
  </si>
  <si>
    <t>TALLER NETFLIXIONANDO CELEBRADO EN EL CENTRO MUNICIPAL DE IGUALDAD JUNIO 2021</t>
  </si>
  <si>
    <t>AC MARCO EXP V36-2017: SUMINISTRO RECAMBIOS PARA REPARACION VEHÍCULOS /// SERVICIO DE LIMPIEZA</t>
  </si>
  <si>
    <t>AC MARCO EXP V36-2017: SUMINISTRO RECAMBIOS PARA REPARACION VEHICULOS Sº LIMPIEZA</t>
  </si>
  <si>
    <t>SUMINISTRO DE RECAMBIOS PARA REPARACION DE VEHICULOS DEL SERVICIO DE LIMPIEZA</t>
  </si>
  <si>
    <t>AC MARCO EXP V36-2017: REPUESTOS PARA REPARACIONES DE VEHICULOS (SERVIC. DE LIMPIEZA)</t>
  </si>
  <si>
    <t>AC MARCO EXP V36-2017: RECAMBIOS PARA VEHÍCULOS DEL Sº DE LIMPIEZA</t>
  </si>
  <si>
    <t>ALMACENES GONZALEZ BOMBIN, SOCIEDAD LIMITADA</t>
  </si>
  <si>
    <t>ADQUISICIÓN PERSIANAS VENECIANAS, ESTORES Y OTRO MATERIAL ACCESORIO PARA DEPENDENCIAS MUNICIPALES</t>
  </si>
  <si>
    <t>Suministro de 16 unidades de PERSIANAS VENECIANAS para la Sala de Reuniones y anexos nuevo Parque Vias Públicas.-</t>
  </si>
  <si>
    <t>CC PILARICA: ARREGLO INTEGRAL DEL TEJADO. LOTE 1</t>
  </si>
  <si>
    <t>SUSTITUCION :IMPRESORA TIPO 4 POR TIPO 6-  Dº AREA SALUD PUBLICA Y SEGURIDAD CIUDADANA 1 JUNIO A 31 DICIEMBRE 2022</t>
  </si>
  <si>
    <t>MANTENIMIENTO COPIADORAS E IMPRESION DEL 8 DE FEBRERO AL 31 DE DICIEMBRE DE 2021 DEL   CFE JACINTO BENAVENTE</t>
  </si>
  <si>
    <t>REPARACIÓN DE VEHÍCULOS 0672HHG, 8641KHL Y 1216KHB DEW POLICÍA MUNICIPAL.</t>
  </si>
  <si>
    <t>REPARACIÓN VEHÍCULO 545,81 DE POLICÍA MUNICIPAL.</t>
  </si>
  <si>
    <t>AMALIA TORRES  SALGADO</t>
  </si>
  <si>
    <t>ACTUACIÓN JAIME LAFUENTE ""CANCIONES ANIMADAS"" EN LAS MORERAS EL DÍA 30/07/2021. MFS</t>
  </si>
  <si>
    <t>CONTRATO SUMINISTRO FUNDENTES VIALIDAD INVERNAL EN VIAS PUBLICAS LOTES 1 Y 2, Sº LIMPIEZA AYUNTAMIENTO DE VALLADOLID</t>
  </si>
  <si>
    <t>PRÓRROGA LOTE 2 SEÑALIZACIÓN HORIZONTAL ""CONTRATO SEÑALIZACIÓN VIAL EN VALLADOLID"" EXP 11/2018 (P.S.-1) Agosto-Dic'2021</t>
  </si>
  <si>
    <t>DIVERSOS SERVICIOS PRESTADOS POR ARCAL GESTIÓN DOCUMENTAL AL ARCHIVO MUNICIPAL, DURANTE EL AÑO 2021.</t>
  </si>
  <si>
    <t>LOTE 2 CONSERVACIÓN, REPARACIÓN Y REFORMA DE ALUMBRADO PÚBLICO. EXP: SEMEU 8/2021</t>
  </si>
  <si>
    <t>PRÓRROGA CONTRATO SUMINISTRO MATERIAL ORDINARIO NO INVENTARIABLE AYTO VALLADOLID, LOTE 6</t>
  </si>
  <si>
    <t>CC PARQUESOL: ARREGLO INTEGRAL DEL TEJADO DEL ANFITEATRO. LOTE 2</t>
  </si>
  <si>
    <t>CUBIERTAS Y MONTAJES P. FERRERAS, SL</t>
  </si>
  <si>
    <t>S.E. 32/2021. CONTRATO OBRAS REPARACIÓN CONDENSACIÓN CUBIERTA PABELLÓN POLIDEPORTIVO CEIP TIERNO GALVAN. PLAZO: 15 DIAS</t>
  </si>
  <si>
    <t>Redacción del Proyecto de Carril Bici tramo norte  en Paseo Juan Carlos I junto con Pasarela Esgueva.- SEMEU 26/2021</t>
  </si>
  <si>
    <t>INSTITUTO CONSTRUCCION DE CASTILLA-LEON</t>
  </si>
  <si>
    <t>IMPLEMENT. MARCO SEGUIMIENTO DE INDICADORES MEDIOAMBIEN. Y ECONÓMICOS DEL IMPACTO DE LA REHAB.DE EDIF. PARA EL AYUNT.VAL</t>
  </si>
  <si>
    <t>Inspección periódica obligatoria del ascensor ubicado en el Comedor Social. 2021</t>
  </si>
  <si>
    <t>PINTURA DE LOS PUESTOS EN LOS  MERCADILLOS DEL TÉRMINO MUNICIPAL</t>
  </si>
  <si>
    <t>ASOCIACIÓN  ALALUMBRE DE CASTILLA Y LEÓN</t>
  </si>
  <si>
    <t>CONCIERTO MUSICAL LOS VELAGATOS EN CC CAMPILLO EL DÍA 09/05/2021. MFS</t>
  </si>
  <si>
    <t>AMPLIACION CON SERV.CELADURIA EL CONT.GESTION CENTRO INTEGRADO PARA PERS.SIN HOGAR DESD 1 SEP (FS)- OCT (A DIARIO)-COVID</t>
  </si>
  <si>
    <t>ACTIVIDAD DE CIRCO EN CIC SANTIAGO LÓPEZ DE ABRIL A JUNIO 2021</t>
  </si>
  <si>
    <t>2021 02 9332 22706</t>
  </si>
  <si>
    <t>CODICE CARTOGRAFIA Y DISEÑO, S.L.</t>
  </si>
  <si>
    <t>ASISTENCIA TÉCNICA TRABAJOS DE REGULACIÓN DE LAS VÍAS PECUARIAS QUE ATRAVIESAN EL TÉRMINO MUNICIPAL DE VALLADOLID.</t>
  </si>
  <si>
    <t>ADQUISICIÓN DE MOBILIARIO CON DESTINO AL DEPARTAMENTO DE PATRIMONIO.</t>
  </si>
  <si>
    <t>DATAINFO CONSULTORES Y ASESORES SL</t>
  </si>
  <si>
    <t>CONTRATO DE SERVICIOS PARA GESTIÓN Y DES. DE TALLERES EDUCATIVOS EN MATERIA DE IGUALDAD Y CONTRA LA VIOLENCIA. AÑO 2021</t>
  </si>
  <si>
    <t>ASISTENCIA TÉCNICA ELABORACIÓN DOCUMENTACIÓN CONVOCATORIA FUNDACIÓN BIODIVERSIDAD. PLAZO: 1,5 MESES DESDE  CONVOCATORIA.</t>
  </si>
  <si>
    <t>ASOCIACIÓN LUCIÉRNAGAS TEATRO</t>
  </si>
  <si>
    <t>ACTUACIONES EN CIC SANTIAGO LOPEZ Y EN LAS MORERAS, LOS DIAS 06/06//2021 Y 09/07/2021 RESPECTIVAMENTE. MFS</t>
  </si>
  <si>
    <t>ASOCIACION MUSICAL YAMPARAMPAN</t>
  </si>
  <si>
    <t>CONCIERTO DEL DUO ""LUGARES COMUNES"" 15/06/2021 COLABORACIÓN PROGRAMA ""EN JUNIO LA ESGUEVA""</t>
  </si>
  <si>
    <t>Dos talleres de percusión intercultural dirigido a personas jóvenes. XVIII SEMANA INTERCULTURAL 2021</t>
  </si>
  <si>
    <t>ASOCIACION PARA ORGANIZACION DE FERIAS Y CERTAMENES DISCOGRAFIC0S</t>
  </si>
  <si>
    <t>COLABORACIÓN Y STAND EN EL XV SALON DEL COMIC Y MANGA DE CASTILLA Y LEON DIAS 25, 26 Y 27 DE JUNIO DE 2021</t>
  </si>
  <si>
    <t>COLABORACIÓN EN XV SALÓN DEL COMIC Y MANGA DE CYL. ACERA RECOLETOS 25,26 Y 27 DE JUNIO 2021</t>
  </si>
  <si>
    <t>SUMINISTRO DE DOS LICENCIAS DEL PRODUCTO BMC REMEDY HELP DESK</t>
  </si>
  <si>
    <t>ASISTENCIA TÉCNICA OPERACIÓN, CAU, Y MANTENIMIENTO  DEL SOFTWARE DE BASE Y COMUNICACIONES LOTE 3,  31/10 AL 31/12/21</t>
  </si>
  <si>
    <t>AUDIOVISUAL EXPERIENCE S.L.</t>
  </si>
  <si>
    <t>Serv. técnico de imagen y sonido jornada técn. inmigración y convivencia.  XVIII Semana Intercultural</t>
  </si>
  <si>
    <t>COMPROBACION Y REVISIÓN INYECTORES PARA REPARACION VEHICULO 0373 GTW DEL Sº DE LIMPIEZA</t>
  </si>
  <si>
    <t>ACUERDO MARCO. REVISION- ACEITE- FILTROS- GESTION DE RESIDUOS + M.O.MATRÍCULA 8831-JXF /// POLICIA MPAL</t>
  </si>
  <si>
    <t>AVC DIGITAL MEDIA IBERIA, S.L.</t>
  </si>
  <si>
    <t>SISTEMA DE CITA PREVIA, LOTE 13</t>
  </si>
  <si>
    <t>TRABAJOS URGENTES FIJACIÓN TEJAS EN TEJADO PATIO S. BENITO POR SEGURIDAD DE ASISTENTES Y PERSONAL QUE ACCEDE AL PATIO</t>
  </si>
  <si>
    <t>PRORROGA MANTENIMIENTO WEB OBSERVATORIO URBANO 2021-2022. SERVICIO INFORMACION</t>
  </si>
  <si>
    <t>Prorroga del contrato del Observatorio Urbano para los años 2021-2022. Agencia de Innovación</t>
  </si>
  <si>
    <t>PRORROGA CONTRATO  PUBLICACIÓN DATOS DEL OBSERVATORIO CULTURAL Y TURISTICO EN OBSERVATORIO URBANO  25/10  AL 31/12/2021</t>
  </si>
  <si>
    <t>MANTENIMIENTO Y ASISTENCIA TECNICA DE LA APLICACION DE CONTABILIDAD ANALITICA (ANUALIDAD 2021)</t>
  </si>
  <si>
    <t>BABEL AG DIGITAL SLU</t>
  </si>
  <si>
    <t>SISTEMA DE INFORMACIÓN AL CIUDADANO Y GESTION DE SUGERENCIAS Y QUEJAS, DOGMA, LOTE 14</t>
  </si>
  <si>
    <t>BARATZ SERVICIOS DE TELEDOCUMENTACION, S.A.</t>
  </si>
  <si>
    <t>GESTIÓN DE BIBLIOTECAS DEL ARCHIVO MUNICIPAL AbsyNET, LOTE 1</t>
  </si>
  <si>
    <t>REPARACION PUERTA AUTOMATICA PEATONAL DCPULA DEL MILENIO: SUSTITUCION DE HOJAS DE VIDRIO LAMINADO Y CERRADURA. MAYO 2021</t>
  </si>
  <si>
    <t>ALQUILER VALLAS CC CAMPILLO (JUNIO-DICIEMBRE 2021)</t>
  </si>
  <si>
    <t>ARQUITECTOS RODRÍGUEZ MARTÍN S.L.</t>
  </si>
  <si>
    <t>CT SERVICIO DE DIAGNÓSTICO TÉCNICO DE LOS EDIFICIOS E INSTALACIONES DE LOS MERCADOS MUNICIPALES DEL,CAMP, VALY MARQUESI</t>
  </si>
  <si>
    <t>CONTROL DE CALIDAD OBRAS REPARACIÓN VIV. CALLE GUARDERIA Y VIV. CALLE OSA MAYOR. 2021</t>
  </si>
  <si>
    <t>AT.y seguimiento mensual del Control Calidad de Obras municipales y ensayos de laboratorio para obras del SEPI.</t>
  </si>
  <si>
    <t>CONTROL DE CALIDAD MEJORA INSTALACIONES EN PARQUE DE LAS NORIAS.</t>
  </si>
  <si>
    <t>A.M. Control de Calidad Obras municipales EJECUCION DE CONTRATO DE OBRAS CORREDOR VERDE-(URBAN GreenUP G.A. nº 730426)</t>
  </si>
  <si>
    <t>A.T. Control Calidad  en obras de Expte. 5/2021  ""Contrato de obras de actuaciones y reformas en varias plazas""</t>
  </si>
  <si>
    <t>CONTROL DE CALIDAD ACONDICIONAMIENTO PARQUE LAS LAVANDERAS, LA OVERUELA.</t>
  </si>
  <si>
    <t>A.T. CONTROL DALIDAD LOTE 2. ACERA Y CARRIL BICI EN CARRETERA DE RUEDA.-</t>
  </si>
  <si>
    <t>CONTROL DE CALIDAD, REMODELACION FUENTE EN CALLE ALCAPARRA.</t>
  </si>
  <si>
    <t>CONTROL DE CALIDAD, ADECUACION PASARELA PARQUE DE LOS ALMENDROS.</t>
  </si>
  <si>
    <t>A.M. 009/2020 CONTRATO LOTE 2 : ASISTENCIA TECNICA CONTROL CALIDAD  DE OBRAS REFORMA CMPA</t>
  </si>
  <si>
    <t>CONTROL DE CALIDAD CAMINO PAVIMENTADO JUNTO A PARQUE PATRICIA.</t>
  </si>
  <si>
    <t>CONTRATO  ASISTENC. TÉCNICA DEL CONTROL DE CALIDAD  (LOTE 2)  OBRA DE REPARACIÓN DE LAS ESCALERAS DE ACCESO  M. DELICIAS</t>
  </si>
  <si>
    <t>LOTE 2 ASISTENCIA TECNICA CONTROL CALIDAD OBRAS REPARACION SUELOS DE MADERA EN CEIP ISABEL LA CATOLICA Y SAN FERNANDO</t>
  </si>
  <si>
    <t>contorl calidad obra adaptación puesto 29 mercado delicias punto limpio proximidad Delicias 8</t>
  </si>
  <si>
    <t>LOTE 2 ASISTENCIA TECNICA CONTROL DE CALIDAD OBRA REPARACIÓN CUBIERTAS VARIOS CEIP</t>
  </si>
  <si>
    <t>CONTROL DE CALIDAD LOTE 2. OBRA VALLADO EDIFICIOS PARCELA ANTIGUA HIPICA MILITAR. (ACUERDO MARCO)</t>
  </si>
  <si>
    <t>ASISTENCIA TECNICA EN EL CONTROL DE CALIDAD PARA LA SUSTITUCIÓN DE SOLADOS DE PVC EN VARIOS COLEGIOS PUBLICOS</t>
  </si>
  <si>
    <t>LOTE 2 ASISTENCIA TECNICA EN CONTROL DE CALIDAD PARA LA REFORMA DE SOLERAS EN LOS PATIOS VICENTE ALEIXANDRE-PONCE LEON</t>
  </si>
  <si>
    <t>LOTE 2 ASISTENCIA TECNICA EN EL CONTROL DE CALIDAD PARA LA REFORMA ASEOS CASA NIÑOS/NIÑAS PAJARILLOS</t>
  </si>
  <si>
    <t>Estudio Control Calidad Contrato Obras infraestructura verde: Barreras Acústicas Vegetales(URBAN GreenUP G.A. nº 730426)</t>
  </si>
  <si>
    <t>SE-EIJI 21/2021. PS 1. ASISTENCIA TÉCNICA EN CONTROL DE CALIDAD CONSTRUCCIÓN NUEVA E.I.M. SEPT A DIC DE 2021.</t>
  </si>
  <si>
    <t>CONTROL DE CALIDAD EJECUCIÓN DE FIRME DE LOS CAMINOS DEL NUEVO BOSQUE URBANO DE SANTA ANA.    V.6/2020   LOTE 1 PS22.</t>
  </si>
  <si>
    <t>2021 07 1711 632</t>
  </si>
  <si>
    <t>CONTROL DE CALIDAD  ADECUACIÓN  CASETA DE LOS JARDINEROS EN  PARQUE DE LOS JERÓNIMOS. V.6-2020 LOTE1 PS20.</t>
  </si>
  <si>
    <t>2021 05 4331 622</t>
  </si>
  <si>
    <t>A.M. Control de calidad de las obras de adecuación de la Nave ubicada en la calle Valle de Arán nº 1 para Hub de Innovac</t>
  </si>
  <si>
    <t>CONTROL CALIDAD OBRA ARREGLO INTEGRAL DEL TEJADO CC PILARICA</t>
  </si>
  <si>
    <t>CONTROL CALIDAD OBRA ARREGLO DE GOTERAS Y HUMEDADES TEJADO DEL CIC CONDE ANSÚREZ. LOTE 3</t>
  </si>
  <si>
    <t>CONTROL CALIDAD CONSTRUCCIÓN MÓDULO OFICINAS Y LAVANDERIA PARA TALLER DEL SERVICIO DE LIMPIEZA</t>
  </si>
  <si>
    <t>asist.tec. control calidad obras reparación e impermeab.aseos Centro Integrado para pers.sin hogar. COVID-19</t>
  </si>
  <si>
    <t>ASISTENCIA TECNICA EN EL CONTROL DE CALIDAD PARA LA OBRA DE REFORMA SOLERA Y ZONA DE LA CUBIERTA EN LA EIM CAMPANILLA</t>
  </si>
  <si>
    <t>CONTROL CALIDAD OBRA RECONSTRUCCIÓN DEL ACCESO AL CEAS DEL CC DELICIAS. LOTE 4</t>
  </si>
  <si>
    <t>CONTROL CALIDAD OBRA ARREGLO INTEGRAL DEL TEJADO DEL ANFITEATRO DEL CC PARQUESOL. LOTE 2</t>
  </si>
  <si>
    <t>DIEGO SANCHEZ MARISCAL RODRIGUEZ</t>
  </si>
  <si>
    <t>Redacción proyecto ""Nueva intersección de acceso al polígono industrial EL BERROCAL desde antigua N-620"".-</t>
  </si>
  <si>
    <t>2021 06 3321 632</t>
  </si>
  <si>
    <t>SUMINISTRO LUMINARIAS PARA REPOSICIÓN (CAMBIO A LED) EN LA BIBLIOTECA DE SAN JUAN</t>
  </si>
  <si>
    <t>SUMINISTRO BOMBILLAS LEDSGO DLT180 15W 4000K 100º BL PARA LA CUPULA DEL MILENIO. JUNIO 2021</t>
  </si>
  <si>
    <t>MATERIALES PARA EL MANTENIMIENTO DE C. SEGUNDO MONTES/ CC RONDILLA/ CIC EMPECINADO/ AA.VV. UNIÓN ESGUEVA</t>
  </si>
  <si>
    <t>MATERIAL ELECTRICIDAD CENTRO MANTENIMIENTO</t>
  </si>
  <si>
    <t>RV-K  1KV FLEX   3G2,5   UNE.21123 ( 600 UNIDADES ) //// DESTINO: ALUMBRADO PUBLICO</t>
  </si>
  <si>
    <t>AC MARCO EXP V36-2017: SUMINISTRO DE MATERIAL DE ELECTRICIDAD //// DESTINOS: ALMACEN-TALLER - SERVICIO DE LIMPIEZA</t>
  </si>
  <si>
    <t>LAMPARA +  TASA ECORAEE / FLUORESCENTE PH + TASA /  DESTINO: BIBLIOTECA PAJARILLOS</t>
  </si>
  <si>
    <t>MANT. SUMINISTROS DE MATERIAL ELÉCTRICO PARA LOS CENTROS CPM ARCA REAL Y  DELICIAS- DURACION 1 DIA</t>
  </si>
  <si>
    <t>SUMINISTRO DE DIFERENTE MATERIAL /// DESTINOS: CC DELICIAS-CC JOSE Mª LUELM.-CC BAILARIN V.E.- CIC EMPECINADO</t>
  </si>
  <si>
    <t>ACCES BATERIA / DETECTOR EMP. TECHO / MT CANAL LEGRAND / ANGUL./ TECLA/ INT/// DESTINOS: MNTO - CASA CONSIT.- SAN BENITO</t>
  </si>
  <si>
    <t>AC MARCO EXP V36-2017: SUMINISTRO MATERIAL ELECTRICO SERV. LIMPIEZA VIARIA</t>
  </si>
  <si>
    <t>F-7436. CADIELSA. CAMPANA TEKA TL6420 BLANCO (1 UNIDAD)  VIVIENDA EN VINOS DE RUEDA. 1 DIA</t>
  </si>
  <si>
    <t>DETECTOR LEGRAND 48941  EMP. 360º  IP41 (1 UD) // MANTENIMIENTO</t>
  </si>
  <si>
    <t>ACUERDO MARCO. SUMINISTRO LUMINARIA SIMON 72660033-684 NW 60X60 UGR&lt;19 39W / TASA ECORAEE // POLICÍA MUNICIPAL, VICTORIA</t>
  </si>
  <si>
    <t>AC MARCO EXP V36/217: SUMINISTROS ELECTRICOS REPARACION INSTALACIONES Sº DE LIMPIEZA</t>
  </si>
  <si>
    <t>AC MARCO EXP V36-2017: SUMINISTRO DE DIFERENTE MATERIAL ELECTRICO // DESTINO:. LIMPIEZA V. JUAN DE AUSTRIA</t>
  </si>
  <si>
    <t>AC MARCO EXP V36-2017: SUMINISTRO ELECTRICO PARA VESTUAIO DE ZONA ""JUAN DE AUSTRIA"", LIMPIEZA VIARIA</t>
  </si>
  <si>
    <t>AC MARCO EXP V36-2017: SUMISNITROS ELECTRICOS PARA EL Sº DE LIMPIEZA</t>
  </si>
  <si>
    <t>EMERG. DAISALUX LYRA R/A (4) // CC JOSE Mª LUELMO</t>
  </si>
  <si>
    <t>MANT. SUMINISTRO  DE ZOCALO / MT CANAL LEGRAND / BASTIDOR / MARCO / BASE  /// DESTINO: CPM LA VICTORIA- DURACION 1 DIA</t>
  </si>
  <si>
    <t>SUMINISTRO DE REPUESTOS VARIOS /// DESTINO: C.P. MIGUEL DELIBES. JULIO</t>
  </si>
  <si>
    <t>PLACA FOT VICTRON  175W-12V Monocris (11 UDS) // CEIP PARQUE ALAMEDA</t>
  </si>
  <si>
    <t>GRAPA / LAMPARA PH TORNAD / TASA ECORAEE / LAMPARA PH TORNAD 20 // DESTINOS: CASA CONST.- S.BENITO- MUESTRAS</t>
  </si>
  <si>
    <t>DIVERSO MATERIAL DE ELECTRICIDAD PARA TAREAS DE MANENIMIENTO Y MEJORA DE LAS INSTALACIONES DEL ARCHIVO MUNICIPAL.</t>
  </si>
  <si>
    <t>AC MARCO EXP V36-2017: REPUESTOS PARA REPARACIONES ELECTRICAS VEHICULOS Sº LIMPIEZA</t>
  </si>
  <si>
    <t>AC MARCO EXP V36-2017: REPUESTOS PARA REPARACIONES EQUIPOS RECOLECTORES VEHICULOS Sº LIMPIEZA</t>
  </si>
  <si>
    <t>ACUERDO MARCO. SUMINISTRO MATERIAL ELÉCTRICO DEPENDENCIAS POLICÍA MUNICIPAL</t>
  </si>
  <si>
    <t>F-9219. CADIELSA. SUMINISTRO DE MATERIAL DE ELECTRICIDAD. DESTINO: VIVIENDA EN C/ SALUD. 1 DIA</t>
  </si>
  <si>
    <t>MATERIAL DE FERRETERÍA ARCHIVO MUNICIPAL, LAMPARA PH CDM-T 150W/942 G12 (4) Y PRENSA INTERFLEX CAPTOP2000 PG11 (25).</t>
  </si>
  <si>
    <t>ASIENTO GALA MARINA 51420 ANTER. 2007 // MANTENIMIENTO</t>
  </si>
  <si>
    <t>ASIENTO  GALA 51423 FIJO  INODORO MARINA /// DESTINO: MANTENIMIENTO- EDIF. PZA MAYOR 1</t>
  </si>
  <si>
    <t>F-8565. CADIELSA.PULSADOR NIESSEN/MARCO/ PORTALAMP. (VIVIENDA VINOS DE RUEDA). DOWNLIGHT PH/TASA ECORAEE (CEAS DELICIAS)</t>
  </si>
  <si>
    <t>AC MARCO EXP V36-2017: CONMUTADOR LEGRAND 69711 MONOBL.10A (1 UNID)////  DESTINO: VESTUARIO SERVICIO DE LIMPIEZA</t>
  </si>
  <si>
    <t>TUBO LED PH CORE HO 1200MM HO 18W 840 T8  2000LM (1) +  TASA ECORAEE (1) ////   DESTINO: CASA DEL BARCO</t>
  </si>
  <si>
    <t>Direccion de Obras de "" Corredor Verde "" URBAN GreenUP (G.A. 730426 )</t>
  </si>
  <si>
    <t>CTTO SUSTITUCIÓN Y SUMINISTRO DE PIEZAS MANTENIMIENTO POR DETERIORO O FIN VIDA UTIL EN COLEGIOS HASTA 31/12</t>
  </si>
  <si>
    <t>SERVIOLID 2001, S.L.</t>
  </si>
  <si>
    <t>DESBROCE Y LIMPIEZA DE LA PARCELA DEL CENTRO ROSA CHACEL</t>
  </si>
  <si>
    <t>BSJ MARKETING Y COMUNICACION S.L.</t>
  </si>
  <si>
    <t>Diseño, producción e instalación de carteles informativos de las intervenciones del proyecto europeo URBAN GreenUP</t>
  </si>
  <si>
    <t>OSCAR PEREZ  MEDINA</t>
  </si>
  <si>
    <t>PROGRAMACION PATIOS VERANO 2021 / ESPEC. DE BAILE EN ESCUELAS DE VALLADOLID PARA PUB. INFANTIL Y FAMILIAR/JULIO Y AGOSTO</t>
  </si>
  <si>
    <t>SUMINISTRO DE ABANICOS PARA LA CELEBRACION DE FERIAS Y FIESTAS DE SAN LORENZO 2021</t>
  </si>
  <si>
    <t>ACUERDO MARCO 3/2020, REPARACION VEHICULO 0589-GMF.</t>
  </si>
  <si>
    <t>A.M. SPSC 23-2020: REPARACION DIRECCION VEHÍCULO  5280FZF DEL SERVICIO DE LIMPIEZA</t>
  </si>
  <si>
    <t>AC MARCO EXP SPSC 23/2020: REPARACIONES VEHICULOS 4042 KXH Y 1496DZM DEL SERVICIO DE LIMPIEZA</t>
  </si>
  <si>
    <t>A.M. SPSC 23-2020: REPARACIÓN VEHÍCULO 4224 JCV DEL Sº DE LIMPIEZA</t>
  </si>
  <si>
    <t>A.M. SPSC 23-2020: REPARACIONES VEHICULOS 4042KXH Y 6003FPZ DEL Sº DE LIMPIEZA</t>
  </si>
  <si>
    <t>ACUERDO MARCO 3/2020, REPARACION VEHICULO 3856-DDD.</t>
  </si>
  <si>
    <t>PRÓRROGA CONTRATO SUMINISTRO MATERIAL ORDINARIO NO INVENTARIABLE AYTO. VALLADOLID, LOTE 1</t>
  </si>
  <si>
    <t>PRÓRROGA CONTRATO SUMINISTRO MATERIAL ORDINARIO NO INVENTARIABLE AYTO. VALLADOLID, LOTE 4</t>
  </si>
  <si>
    <t>CARLOS  GUTIERREZ MARTIN</t>
  </si>
  <si>
    <t>50% precio de publicación Libro ""Geomorfologia urbana de Valladolid y su entorno. Mapa geomorfológico escala 1:25.000""</t>
  </si>
  <si>
    <t>PRORROGA CONTRATO VESTUARIO LIMPIEZA VIARIA EXP V28/2016 LOTES 9 Y10: PANTALON, CAMISA, JERSEY, BUF Y GORRA</t>
  </si>
  <si>
    <t>PRORROGA CONTRATO VESTUARIO Sº LIMPIEZA EXP V28/2016 LOTES 9 Y 10: PNATALON, CAMISA, JERSEY, BUF Y GORRA</t>
  </si>
  <si>
    <t>2021 11 3111 22104</t>
  </si>
  <si>
    <t>SUMINISTRO DE ROPA DE TRABAJO PARA PERSONAL DE SALUD</t>
  </si>
  <si>
    <t>CAROLINA NIETO RODRIGUEZ</t>
  </si>
  <si>
    <t>Contrato de Asesoría técnica para redacción de Proyecto de equipamiento de la Ampliacion de la Agencia de Innovación</t>
  </si>
  <si>
    <t>CARPAS ZARAGOZA S L</t>
  </si>
  <si>
    <t>Expte. 5/2021  ""Contrato de obras de actuaciones y reformas en varias plazas""</t>
  </si>
  <si>
    <t>LA MUELA</t>
  </si>
  <si>
    <t>2021 11 1631 203</t>
  </si>
  <si>
    <t>ALQUILER BRAZO ARTICULADO CON PLATAFORMA PARA INSTALAR LUCES EN NAVE PARQKING C/ TOPACIO, 63</t>
  </si>
  <si>
    <t>BRAZO ARTICULADO PARA TRABAJOS EN ALTURA CC ESGUEVA. DIA 15/06/2021</t>
  </si>
  <si>
    <t>AMILCAR CUBIERTAS Y PIZARRAS S.A.</t>
  </si>
  <si>
    <t>SUMINISTRO CHAPAS REMATE CUBIERTA ARCHIVO MUNICIPAL</t>
  </si>
  <si>
    <t>Reparación y sustitución de piezas en ascensor C.Integrado 2021. COVID-19</t>
  </si>
  <si>
    <t>PRÓRROGA CONTRATO SUMINISTRO MATERIAL ORDINARIO NO INVENTARIABLE AYTO. VALLADOLID, LOTE 5</t>
  </si>
  <si>
    <t>PRÓRROGA CONTRATO SUMINISTRO MATERIAL ORDINARIO NO INVENTARIABLE AYTO. VALLADOLID, LOTE 2</t>
  </si>
  <si>
    <t>PRÓRROGA CONTRATO SUMINISTRO MATERIAL ORDINARIO NO INVENTARIABLE AYTO VALLADOLID, LOTE 3</t>
  </si>
  <si>
    <t>REPARACIÓN CIRCUITO REFRIGERACION BUP MATR. 4918-JLF Y ANTICONGELANTE///SERVICIO DE EXTINCION DE INCENDIOS</t>
  </si>
  <si>
    <t>ACUERDO MARCO 3/2020, REPARACION VEHICULO 5833-BZK.</t>
  </si>
  <si>
    <t>ACUERDO MARCO REPARACIÓN VEHICULO: 8671-JXF / MOTOR HIDRA. - Cº LATIGUILLOS Y BOTONERAS + MATERIALES. POLICIA</t>
  </si>
  <si>
    <t>ACUERDO MARCO 3/2020, REPARACION VEHICULO VA-9532-X.</t>
  </si>
  <si>
    <t>ACUERDO MARCO. REPARACION VEHICULO: 9447-HMT //  ALINEAC. DIRECCION FURGÓN -AGILIS+TL MICHELIN</t>
  </si>
  <si>
    <t>ACUERDO MARCO.REPARACIONVEHÍCULO  8831-JXF: REVISAR Y CAMBIAR CONTACTOS DE GRUA (M.O.+MATERIALES). POLICÍA.</t>
  </si>
  <si>
    <t>CONTRATACIÓN DE ESPACIOS EN RADIO PARA DIFUSIÓN DEL PROCESO PRESUPUESTOS PARTICIPATIVOS 21-22 ( CUÑAS)</t>
  </si>
  <si>
    <t>APRUEBA GASTO Y ADJUDICA PATROCINIO GALA VALLADOLID EsDeporte (ESRADIO)</t>
  </si>
  <si>
    <t>CASTILLA Y LEON SERVICIOS INTEGRALES DE COMUNICACION, S.L.</t>
  </si>
  <si>
    <t>ESPACIOS EN PRENSA DIGITAL PARA DIFUSIÓN WEB DEL PROCESO DE VOTACIÓN DE LOS PRESUPUESTOS PARTICIPATIVOS</t>
  </si>
  <si>
    <t>LOTE A: Ensayos de laboratorio (materiales y unidades de obra) para control calidad en la ejecución del Lote 1 Conservac</t>
  </si>
  <si>
    <t>A.M. Servicio de Control de Calidad obras municipales CONTRATO DE OBRAS -CORREDOR VERDE (URBAN GreenUP G.A. nº 730426)</t>
  </si>
  <si>
    <t>A.T. CONTROL DE CALIDAD. LOTE 1. ACERA Y CARRIL BICI EN CARRETERA DE RUEDA.-</t>
  </si>
  <si>
    <t>Ensayos de Control Calidad en obras de Expte. 5/2021  ""Contrato de obras de actuaciones y reformas en varias plazas""</t>
  </si>
  <si>
    <t>A.M. 009/2020 CONTRATO LOTE 1 : ENSAYO CONTROL CALIDAD  DE OBRAS REFORMA CMPA</t>
  </si>
  <si>
    <t>LOTE 1 ENSAYOS DE CONTROL DE CALIDAD POR LAS OBRAS DE REFORMA DE SOLERAS EN PATIOS VICENTE ALEIXANDRE Y PONCE DE LEÓN</t>
  </si>
  <si>
    <t>ENSAYOS DE CONTROL DE CALIDAD PARA LA SUSTITUCION DE SOLADOS DE PVC EN VARIOS COLEGIOS PÚBLICOS</t>
  </si>
  <si>
    <t>LOTE 1 ENSAYOS CONTROL DE CALIDAD OBRA REPARACIÓN CUBIERTAS VARIOS CEIP</t>
  </si>
  <si>
    <t>CONTROL DE CALIDAD LOTE 1. OBRA VALLADO EDIFICIOS PARCELA ANTIGUA HIPICA MILITAR. (ACUERDO MARCO)</t>
  </si>
  <si>
    <t>LOTE 1 ENSAYOS DE CONTROL DE CALIDAD EN LA REFORMA ASEOS CASA NIÑOS/NIÑAS PAJARILLOS</t>
  </si>
  <si>
    <t>SE-EIJI 21/2021. PS 1. ENSAYOS CONTROL DE CALIDAD CONSTRUCCION NUEVA E.I.M. SEPTIEMBRE A DICIEMBRE DE 2021.</t>
  </si>
  <si>
    <t>ENSAYOS DE CONTROL DE CALIDAD PARA LA OBRA REFORMA SOLERA Y ZONA DE LA CUBIERTA EN EIM CAMPANILLA (LOTE 1)</t>
  </si>
  <si>
    <t>CONTROL DE CALIDAD OBRA CONSTRUCCIÓN MÓDULO OFICINAS Y LAVANDERIA PARA TALLER DEL SERVICIO DE LIMPIEZA</t>
  </si>
  <si>
    <t>ensayos control calidad obras reparación e impermeab. aseos Centro Integrado para pers.sin hogar. COVID-19</t>
  </si>
  <si>
    <t>ASIST. TÉCNICA OPERACIÓN, CAU, Y MTO.  DEL SOFTWARE DE BASE Y COMUNICACIONES LOTE 1(MODIF.  CONTRATO 1/9 AL  31/12/21)</t>
  </si>
  <si>
    <t>ACUERDO MARCO 2017/36, ARTICULOS DE JARDINERIA.</t>
  </si>
  <si>
    <t>ACUERDO MARCO 2017/36, SUMINISTRO DEPLANTAS.</t>
  </si>
  <si>
    <t>2021 06 2314 623</t>
  </si>
  <si>
    <t>CENTRO ORTOPEDICO PEREZ GALDOS, S R L</t>
  </si>
  <si>
    <t>PLATAFORMA ELEVACIÓN VERTICAL ACCESIBILIDAD A PERSONAS CON DISCAPACIDAD ESPACIO JOVEN / 1 DIA</t>
  </si>
  <si>
    <t>ACUERDO MARCO . 23-06-2021 /// CEMENTO GRIS SACO 25 KG. (15 UNIDADES) /// DESTINO: POLICIA MPAL- Bº LA VICTORIA</t>
  </si>
  <si>
    <t>MATERIAL CONSTRUCCION: ALBARANES DE JUNIO 2105279 / 2105422 / 2105678 / 2105793 / 2105795 / 2106506 // COLEGIOS. junio</t>
  </si>
  <si>
    <t>2021 10 2412 632</t>
  </si>
  <si>
    <t>REPOSICION DE CANALETA, REJILLA Y TAPA  PARA EL JACINTO BENAVENTE- DURACION 1 DIA</t>
  </si>
  <si>
    <t>MATERIAL VARIO CONSTRUCCION: ALBARANES DE AGOSTO // COLEGIOS - C.P PABLO PICASSO. AGOSTO</t>
  </si>
  <si>
    <t>SUMINISTRO DE DIFERENTE MATERIAL ///  MES DE JULIO 2021 ////  DESTINO: COLEGIOS</t>
  </si>
  <si>
    <t>ACUERDO MARCO. SUMINISTRO DE MATERIAL PARA REPARACIONES DEPENDENCIAS DE POLICÍA MUNICIPAL (DISTRITO 2º).</t>
  </si>
  <si>
    <t>ALBARAN: 2106857 DE 09-07-2021 ///  FINO TERRAZO 40X40 (4 UNID.)  ///// DESTINO: C.C. CONDE ANSUREZ</t>
  </si>
  <si>
    <t>F-9242. CERAMICAS SANCHEZ, S L. PELDAÑO MONTS BEIG BISELADO + PLUS 27X31 (16 UNID.) VIV. PLAZA CHURRERÍA 7. 1 DIA</t>
  </si>
  <si>
    <t>ANUNCIO DE PAGINA COMPLETA EN REVISTA DIGITAL. MES DE JULIO 2021</t>
  </si>
  <si>
    <t>CIA. DE ASFALTOS DE MAESTU S.A.</t>
  </si>
  <si>
    <t>SUMINISTRO DE 25.080 KG. DE POLVO ASFÁLTICO.-</t>
  </si>
  <si>
    <t>ATAURI</t>
  </si>
  <si>
    <t>CICLOS CUERVAS, C.B.</t>
  </si>
  <si>
    <t>ADQUISICIÓN DE VESTUARIO DEPORTIVO PARA NUEVO AGENTE DESTINADO A LA UNIDAD CICLISTA DE POLICÍA MUNICIPAL.</t>
  </si>
  <si>
    <t>CLECE SA-ONET IBERIA SOLUCIONES SA (UTE SAD AYUNTAMIENTO DE VALLADOLID. LOTE 1)</t>
  </si>
  <si>
    <t>2ª AMPLIACION SERVICIO AYUDA A DOMICILIO LOTE 1-POR MAYOR DEMANDA E INCREMENTO FINANCIACION-ANUALIDAD 2021.</t>
  </si>
  <si>
    <t>2º INCREMENTO CONTRATO SERVICIO DE AYUDA A DOMICILIO-COVID-19-MAYOR DEMANDA E INCREMENTO FINANCIACION-ANUALIDAD 2021.</t>
  </si>
  <si>
    <t>2021 01 9203 623</t>
  </si>
  <si>
    <t>ADQUISICION EQUIPO AUDIOVISUAL PARA SALA DE COMUNICACIONES</t>
  </si>
  <si>
    <t>COLECTIVO FRESAS CON NATA, S.L.</t>
  </si>
  <si>
    <t>A.T. para Replanteo con plantilla de trazado siluetas de renovación acabado decorativo con pintura en C/Claudio Moyano.</t>
  </si>
  <si>
    <t>Independización del sistema de alarma en las Naves 4, 6 7 y 9 de Soto de Medinilla</t>
  </si>
  <si>
    <t>ACUERDO MARCO 3/2020, REPARACION DE MAQUINARIA.</t>
  </si>
  <si>
    <t>AC MARCO EXP. V36-2017: CEPILLOS REPARACION Y MANTENIMIENTO BARREDORAS DE LIMPIEZA VIRIA</t>
  </si>
  <si>
    <t>AC MARCO EXP V36-2017: SUMINISTRO DE RECAMBIOS PARA REPARACIONES VEHICULOS DEL Sº LIMPIEZA</t>
  </si>
  <si>
    <t>AC MARCOI EXP V36-2017: REPUESTOS PARA REPARACIONES VEHICULOS DEL SERVICIO DE LIMPIEZA</t>
  </si>
  <si>
    <t>AC MARCO EXP V36-2017: REPUESTOS PARA REPARACION VEHICULOS Sº LIMPIEZA</t>
  </si>
  <si>
    <t>AC MARCO EXP V36-2017:  CEPILLOS PARA REPARACION Y MANTENIMIENTO DE BARREDORAS PARA LIMPIEZA VIARIA</t>
  </si>
  <si>
    <t>AC MARCO EXP V36-2017:  RECOGEDOR PLEGABLE (12 UDS) // LIMPIEZA VIARIA</t>
  </si>
  <si>
    <t>AC MARCO EXP V36-2017: RECAMBIOS PARA REPARACION VEHICULOS Sº DE LIMPIEZA</t>
  </si>
  <si>
    <t>AC MARCO EXP V36-2017: REPUESTOS PARA REPARACION VEHÍCULOS DEL Sº LIMPIEZA</t>
  </si>
  <si>
    <t>AC MARCO EXP V36-2017: RECAMBIOS PARA VEHÍCULOS DEL SERVICIO DE LIMPIEZA</t>
  </si>
  <si>
    <t>AC MARCO EXP V36-2017: RECAMBIOS PARA REPARACIONES VEHÍCULOS DEL SERVICIO DE LIMPIEZA</t>
  </si>
  <si>
    <t>PRORROGA CONTRATO VESTUARIO Sº LIMPIEZA EXP V28.216 LOTE 1: GUANTES</t>
  </si>
  <si>
    <t>PRORROGA CONTRATO VESTUARIO LIMPIEZA VIARIA EXP V28/2016 LOTE 1: GUANTES</t>
  </si>
  <si>
    <t>SPRAY CRC ECOMARK BLANCO (6)/ SPRAY CRC ECOMARK NEGRO (3) // MOVILIDAD</t>
  </si>
  <si>
    <t>ACUERDO MARCO. SUMINISTRO CALZADO DE SEGURIDAD PARA OPERARIOS DE GRUA.</t>
  </si>
  <si>
    <t>ACUERDO MARCO. SUMINISTRO ROPA DEPORTIVA EQUIPO DE ATLETISMO DE POLICÍA MUNICIPAL.</t>
  </si>
  <si>
    <t>ACUERDO MARCO SUMINISTROS: DISCO CORTE EH 230-3.2 SG STEEL (6 UDS) // SERVICIO DE EXTINCION DE INCENDIOS</t>
  </si>
  <si>
    <t>ACUERDO MARCO SUMINISTROS: SILICONA SINEX 300ML (24 UD)/ESPUMA POLIURETANO SINEX PISTOLA (5 UD)/EXTINCION INCENDIOS</t>
  </si>
  <si>
    <t>GUANTE PIEL T/FLOR BLANCO (23) / ROLLO CINTA EMBALAJE (2) / GUANTE NITRILO (10) / TRINCAJE SIN FIN (1)</t>
  </si>
  <si>
    <t>A.M. V. 36/2017 - CINTA AISLANTE/ CINTA DE ENMASCARAR/ PISTOLA SILICONA (2)/ GORRA PROMOTION (12)/ BOBINA RAFIA (12)</t>
  </si>
  <si>
    <t>ACUERDO MARCO SUMINISTROS: ELECTRODO OK-46.00   (256) ////   PREVENCION Y EXTINCION DE INCENDIOS</t>
  </si>
  <si>
    <t>ACUERDO MARCO SUMINISTROS: SISTEMA TRINCAJE BAGAGESET  (2 UNIDADES) //// EXTINCION DE INCENDIOS</t>
  </si>
  <si>
    <t>ADQUISICIÓN DE DOS TAQUILLAS</t>
  </si>
  <si>
    <t>SPRAY CRC ECOMARK BLANCO (4 UDS) / SPRAY CRC ECOMARK NEGRO (2 UDS)</t>
  </si>
  <si>
    <t>Asistencia técnica elaboración pliegos de aplicaciones de gestion de la información y accesibilidad a Serv. Sociales</t>
  </si>
  <si>
    <t>CONSTRUCCIÓN, ARTE Y RESTAURACIÓN GARSAN, S.L.</t>
  </si>
  <si>
    <t>contratación obra: cubierta CPM LA VICTORIA- GARSAN</t>
  </si>
  <si>
    <t>MANTENIMIENTO Y REPARACIÓN ASCENSOR PARKING PLZA.MAYOR, ACTUALMENTE SIN SERVICIO</t>
  </si>
  <si>
    <t>OBRAS REFORMA ASEOS CASA NIÑOS Y NIÑAS PAJARILLOS. PLAZO DE EJECUCIÓN: 40 DÍAS DESDE EL INICIO</t>
  </si>
  <si>
    <t>REFORMA VIVIENDAS PROG.DE ALOJAMIENTOS PROVISIONALES -C/GUARDERIA, 6 BAJO D: 6.746,68 Y C/OSA MENOR, 4: 3.501,97</t>
  </si>
  <si>
    <t>ALQUILER Y RETIRADA DE CONTENEDOR ESCOBROS REPARACIÓN FUGA DE AGUA DEPENDENCIAS POLICÍA MUNICIPAL.</t>
  </si>
  <si>
    <t>COLOCACION Y RETIRADA CONTENEDOR 5 M3 EN INSTALACIONES DEL SERVICIO LIMPIEZA EN C/ TOPACIO</t>
  </si>
  <si>
    <t>ASOCIACIÓN DE PROFESIONALES DE LA DANZA, CYL</t>
  </si>
  <si>
    <t>Programación Patios en Verano en centros educativos durante los meses de julio y agosto / 2 meses</t>
  </si>
  <si>
    <t>MONTAJES LEONESES SL</t>
  </si>
  <si>
    <t>ALQUILER ANDAMIO PARA PINTAR DESPACHOS CASA CONSISTORIAL</t>
  </si>
  <si>
    <t>SUMINISTRO DE REPUESTOS PARA LA REPARACION DE CONTENEDORES DE CARGA LATERAL DEL SERVICIO DE LIMPIEZA</t>
  </si>
  <si>
    <t>REPARACIÓN PUERTA ACCESO CABINA EN NAVE DE LAVADO DE VEHÍCULOS DEL SERVICIO DE LIMPIEZA</t>
  </si>
  <si>
    <t>CERTIFICACION Nº 6 B - MARZO 2021.- BIBLIOTECA CPM PARQUESOL, EXPTE 55/20</t>
  </si>
  <si>
    <t>TRABAJOS DE MANTENIMIENTO CORRECTIVO EN INSTALACIONES DEL SISTEMA CONTRA INCENDIOS DEL SERVICIO DE LIMPIEZA</t>
  </si>
  <si>
    <t>REVISIÓN DE LAS BOTELLAS DE GAS A PRESIÓN, Y PRUEBA DE RETIMBRADO DE LOS SISTEMAS DE DETECCIÓN Y EXTINCIÓN DE INCENDIOS</t>
  </si>
  <si>
    <t>EL HENAR SERVICIOS EXTERNOS S.L.</t>
  </si>
  <si>
    <t>DESMONTAJE, DESPLAZAMIETNO Y MONTAJE ESTRUCTURA RETRUILUMINADA DE AGENCIA DE INNOVACION</t>
  </si>
  <si>
    <t>SAN MIGUEL DEL ARROYO</t>
  </si>
  <si>
    <t>REPARACIÓN DE CISTERNA-ALJIBE EN BOMBA FORESTAL PESADA (BFP-18) MATR. 0130-DWZ///SERVICIO DE EXTINCION DE INCENDIOS</t>
  </si>
  <si>
    <t>AC MARCO EXP V36-2017: SUMINISTRO CEPILLOS REPARACION Y MANTENIMIENTO BARREDORAS DEL S. DE LIMPIEZA VIARA</t>
  </si>
  <si>
    <t>SUMINISTRO DE RECAMBIOS // AC. MARC. EXP V36-2017 // SERVICIO DE LIMPIEZA.</t>
  </si>
  <si>
    <t>SUMINISTRO DE REPUESTOS VARIOS VEHICULOS// AM EXP. V36-2017. SERVICIO LIMPIEZA</t>
  </si>
  <si>
    <t>CEGUI/210600013 - RECOGEDOR PLEGABLE (12 UNIDADES) ///  SERV. DE LIMPIEZA VIARIA</t>
  </si>
  <si>
    <t>6 CRISTALES 4 MM CORTADOS A MEDIDA CON LOS CANTOS PULIDOS, PARA USO POR PARTE DEL DIGITALIZADOR EN EL ARCHIVO MUNICIPAL</t>
  </si>
  <si>
    <t>SEGURIDAD 4+4 / LUNA 4MM / SEGURIDAD 3+3 / CLIMALIT / ARMADO (COLEGIOS PÚBLICOS). junio</t>
  </si>
  <si>
    <t>CLIMALIT 5+5/12/6 600X425 (2 UNID.) CIC SANTIAGO LOPEZ  + ESPEJO 5 MM (2 UNID.) CC DELICIAS</t>
  </si>
  <si>
    <t>TRABAJO REHABILITACIÓN TARIMAS DIVERSOS DESPACHOS CASA CONSISTORIAL</t>
  </si>
  <si>
    <t>CRIST-MAR DECORACION, S.L.</t>
  </si>
  <si>
    <t>CTTO DE OBRAS DE REFORMA SOLERA Y ZONA DE LA CUBIERTA EN LA ESCUELA INFANTIL CAMPANILLA. PLAZO DE EJECUCIÓN: 30-SEPTIEMB</t>
  </si>
  <si>
    <t>SERVICIO DE AMBULANCIA PARA PRUEBAS FÍSICAS OPOSICIÓN DE 68 PEONES LIMPIEZA. -mjsi-</t>
  </si>
  <si>
    <t>Dirección facultativa de obras de adecuación en nave sita en la calle Valle de Arán nº 1 para Hub Innonación-LUC</t>
  </si>
  <si>
    <t>CUMULUS CITY, S.L.</t>
  </si>
  <si>
    <t>SERVICIO DE ACCESIBILIDAD WEB AUMENTADA INCLUSITE, LOTE 12</t>
  </si>
  <si>
    <t>VILA-REAL</t>
  </si>
  <si>
    <t>REPARACIÓN DE MOTOCICLETAS: 9086 JPW, 9096 JPW, 8717 KHL Y 1376 LJD. (ACUERDO MARCO EN TRAMITACIÓN).</t>
  </si>
  <si>
    <t>2021 07 1711 624</t>
  </si>
  <si>
    <t>SUMINISTRO DE 3 MOTOCICLETAS PARA EL SERVICIO DE PARQUES Y JARDINES.</t>
  </si>
  <si>
    <t>ACUERDO MARCO. REPARACIÓN MOTOCICLETA DE POLICÍA.</t>
  </si>
  <si>
    <t>ACUERDO MARCO. REPAR. MOTOC. 8616KHL Chequeo  Máquina Diagnósitico / Disco de Freno (2) / Juego de Pastillas Freno (5)</t>
  </si>
  <si>
    <t>MOVICODERS, S.L.</t>
  </si>
  <si>
    <t>ACTUALIZACIÓN, SOPORTE DE VERSIONES DE LAS HERRAMIENTAS, REVISIÓN DE LOGS Y MANIMIENTO DE LA INFRAES.AWS.</t>
  </si>
  <si>
    <t>HUESCA</t>
  </si>
  <si>
    <t>Mantenimiento instalaciones agua caliente sanitaria y calefacción del Parque del Cabildo en C/ Título, 51 (12 meses).-</t>
  </si>
  <si>
    <t>DAVID BELTRÁN PEROTE</t>
  </si>
  <si>
    <t>Montaje, transporte y desmontaje de la exposición sobre la estrategia alimentaria en 3 ocasiones durante el año 2021</t>
  </si>
  <si>
    <t>DAVID GALAN APARICIO</t>
  </si>
  <si>
    <t>Intervención en lectura de poemas interculturales-XVIII Semana Intercultural</t>
  </si>
  <si>
    <t>Suministro de pinturas de todo tipo, disolventes, herramientas de pintor, etc. según necesidades.-</t>
  </si>
  <si>
    <t>MATERIAL PINTURA INTERIOR NAVE PINGÜINOS,TAPANDO GRAFITIS,GOLPES Y DESCONCHADOS POR VANDALISMO</t>
  </si>
  <si>
    <t>TRABAJOS EN MATERIAL FERRICO PARA REPARACIONES DE VEHICULOS DEL Sº DE LIMPIEZA</t>
  </si>
  <si>
    <t>DEIMOS SPACE S.L.U.</t>
  </si>
  <si>
    <t>MANTENIMIENTO DEL SISTEMA GPS DE LOS VEHICULOS DE LA BRIGADA DE ZOONOSIS</t>
  </si>
  <si>
    <t>PRORROGA CONTRATO PRESTACION SERVICIO MANTENIMIENTO COMUNICACION 2.0 AREA DE CULTURA Y TURISMO.29-08-21 AL 31-12-21</t>
  </si>
  <si>
    <t>DIARIO AS, S.L.</t>
  </si>
  <si>
    <t>SUMINISTRO DE DIARIOS PARA LAS BIBLIOTECAS MUNICIPALES. 1 AÑO.</t>
  </si>
  <si>
    <t>DIARIO CINCO DIAS SA</t>
  </si>
  <si>
    <t>Publicación de página de contenido y anuncio en Cinco Días, el día 25 de junio,  ""Especial Recuperación Económica""</t>
  </si>
  <si>
    <t>REVISADA LA INSTALACION ELÉCTRICA DE LAS ESTACIONES DE MEDICION CONTAMINACION DE LA RCCVA, HAY DEFICIENCIAS PARA REPARAR</t>
  </si>
  <si>
    <t>SUMINISTROS DE DIFERENTES EJEMPLARES PARA USO DEL ARCHIVO MPAL</t>
  </si>
  <si>
    <t>DISPAL ASTUR SA (SOCIEDAD UNIPERSONAL)</t>
  </si>
  <si>
    <t>SOFTWARE DE PRESUPUESTOS, MEDICIONES Y CONTROL DE COSTES PARA EDIFICACIÓN Y OBRA CIVIL- PRESTO, LOTE 6</t>
  </si>
  <si>
    <t>DISTRIASVY SOCIEDAD LIMITADA</t>
  </si>
  <si>
    <t>VARIEDAD DE DVDs PARA LAS BIBLIOTECAS MUNICIPALES (EXPTE SE-EIJI 19/2020).JUNIO 2021</t>
  </si>
  <si>
    <t>SUMINISTRO DE DIFERENTES TÍTULOS EN DVD PARA BIBLIOTECAS PUBL. MPALES (10)</t>
  </si>
  <si>
    <t>SUMINISTRO DE PAPEL PARA CARTELERÍA CENTROS CÍVICOS</t>
  </si>
  <si>
    <t>Papel para impresión de carteles y folletos dentro del proyecto de la Estrategia Alimentaria de Valladolid</t>
  </si>
  <si>
    <t>TAPON DEPOSITO LIMPIAPARABRISAS PARA AUTOESCALA SCANIA MAGIRUS AEA-9 , MATRICULA 6263LCL /SERV. EXTINCION DE INCENDIOS</t>
  </si>
  <si>
    <t>A.M. SPSC 23-2020: REPARACION VEHICULO 0370LDD (C.ACEITE, FILTROS, BUJIAS) DEL Sº DE LIMPIEZA</t>
  </si>
  <si>
    <t>DISTRIBUCIONES PROFESIONALES PUERTO, S.L.</t>
  </si>
  <si>
    <t>SUMINISTRO PRODUCTOS DESINFECTANTES PARA LA LIMPIEZA CON MOTIVO DE LA CONVID-19 EN LAS BIBLIOTECAS PUBLICAS-1 DÍA</t>
  </si>
  <si>
    <t>GESTIÓN DE ESCOMBROS DE HORMIGÓN EN PLANTA DE RECICLAJE Y DEMOLICIÓN</t>
  </si>
  <si>
    <t>TRABAJOS DE PINTURA ESPACIO JOVEN SUR Y PINAR / 1 DIA</t>
  </si>
  <si>
    <t>contrato obra puesto 29 mercado delicias para destinarlo a depósito piloto de punto limpio de proximidad merc Delicias</t>
  </si>
  <si>
    <t>SERVICIO DE SEGURIDAD Y SALUD CONTRATO MANTENIMIENTO DE ALUMBRADO. EXP: 8/2021</t>
  </si>
  <si>
    <t>2021 06 3231 633</t>
  </si>
  <si>
    <t>E. DE HOSTELERÍA Y CLIMATIZACIÓN VALLADOLID, S.L.</t>
  </si>
  <si>
    <t>REPOSICIÓN ARMARIO REFRIGERADO PARA LA ESCUELA INFANTIL MUNICIPAL LA COMETA.</t>
  </si>
  <si>
    <t>EDICIONES EL PAIS, S.L.</t>
  </si>
  <si>
    <t>ADJUDICACIÓN DOS SUSCRIPCIONES ANUALES AL PERIÓDICO EL PAÍS - GABINETE DE GOBIERNO Y RELACIONES</t>
  </si>
  <si>
    <t>EDICIONES PRENSA LIBRE, S.L. (INFOLIBRE)</t>
  </si>
  <si>
    <t>ADJUDICA SUSCRIPCIÓN ANUAL AL PERIÓDICO DIGITAL INFOLIBRE.ES - GABINETE DE GOBIERNO Y RELACIONES</t>
  </si>
  <si>
    <t>ACTUACIONES DE PUBLICIDAD EN DIVERSOS MEDIOS</t>
  </si>
  <si>
    <t>2021 08 1341 22602</t>
  </si>
  <si>
    <t>PUBLICACIÓN EN PRENSA EXPROPIACIÓN LOCAL LAS FRANCESAS</t>
  </si>
  <si>
    <t>VESTUARIO PARA EL PERSONAL TEMPORAL DEL SERVICIO DE PARQUES Y JARDINES.</t>
  </si>
  <si>
    <t>MATERIAL PARA EL CURSO DE PINTURA DECORATIVA III DEL CENTRO DE FORMACION PARA EL EMPLEO- DURACION 1 DIA</t>
  </si>
  <si>
    <t>MANTENIMENTO, SUMINISTRO DE MATERIAL PARA REPARACIONES DEL  CENTRO. F. JACINTO BENAVENTE- DURACION 1 DIA</t>
  </si>
  <si>
    <t>AC MARCO EXP. V36-2017: SUMINISTRO CALZADO PARA EL PERSONAL DEL S. DE LIMPIEZA VIARIA</t>
  </si>
  <si>
    <t>ACUERDO MARCO SUMINISTROS / ALBARANES: 03410 - 02883 (JUNIO-21)//// DISCO CORTE- DISCO METAL - PISTOLA SELLANTE/ SEISPC</t>
  </si>
  <si>
    <t>ALBARAN AV21/02999 DE 07/06/2021: CUBRE TODO ESPECIAL 2*50 UND (BIBLIOTECAS). JUNIO</t>
  </si>
  <si>
    <t>ALBARAN AV21/02964 DE 04/06/2021: TORNILLOS AUTOTALADRANTES (BIBLIOTECAS). JUNIO</t>
  </si>
  <si>
    <t>AC MARCO EXP V36-2017: SUMINISTROS VARIOS PARA EL SERVICIOO DE LIMPIEZA</t>
  </si>
  <si>
    <t>AC MARCO EXP. V36-2017: SUMINISTRO DE CALZADO PARA PERSONAL DE LIMPIEZA VIARIA</t>
  </si>
  <si>
    <t>ALB: 03433 de 28/06/21 - CEPILLO MBCP (COLEGIOS) ///// ALB: 03118 de 11-06-21- REJILLA ALUM. (C.P.GONZALO CORDOBA)</t>
  </si>
  <si>
    <t>ALBARAN AV21/03534 DE 01/07/2021: TACO FISCHER SX 6 (300 UNIDADES) // CIC EMPECINADO</t>
  </si>
  <si>
    <t>MANT.SUMINISTRO DECARTUCHO SIKAFLEX , BOTE ESPUMA (CPM A. REAL)/ SELLANTE ADHESIVO CRISTAL (CPM PTE. COLGANTE)- DUR 1DIA</t>
  </si>
  <si>
    <t>MANT.SUMINISTRO DEFELPUDO / ESCALERA ALUMINIO 5 PELDAÑOS/ EXTENSIBLE ELECTRICO 10 M/ C. F. JACINTO BENAVENTE-DUR- 1 DIA</t>
  </si>
  <si>
    <t>SUMINISTRO DE  PUNTAL TELESCOPICO (2) / CURSO PINTURA DECORATIVA III DEL C. FORMACION PARA EL EMPLEO- DURACION 1 DIA</t>
  </si>
  <si>
    <t>TACO FISHER (CP EMPECINADO)/ CARTUCHO SIKAFLEX (CP F.G. LORCA)/ ALAMBRE (CP I.LA CATÓLICA)/ REJILLA/ TORNILLO (COLEGIOS)</t>
  </si>
  <si>
    <t>Suministro de guantes y equipos de protección individual:  rodilleras, protectores auditivos, fajas lumbares, gorras....</t>
  </si>
  <si>
    <t>ALBARAN: AV21/02903 de 02/06/2021 ///// SUMINISTRO DE DIFERENTES ACCESORIOS</t>
  </si>
  <si>
    <t>ALB. DE 30/08/21/ ALB. DE 02/08/21. AM EXP. V36-2017. SERVICIO DE LIMPIEZA VIARIA.</t>
  </si>
  <si>
    <t>SUMINISTRO ACCESORIOS /// ALBARANES:  AV21/04246 - 04245- 03695 ///  DESTINOS: COLEGIO - CP PABLO PICASSO. AGOSTO</t>
  </si>
  <si>
    <t>ALBARAN AV21/03917: CUCHILLA/ ALBARÁN AV21/03533: ESPIRAL MANGUERA/ LLANA BELLOTA // MANTENIMIENTO</t>
  </si>
  <si>
    <t>VENTILADOR MESA  PARA EL JACINTO BENAVENTE- CENTRO DE FORMACION PARA EL EMPLEO.DUR 1 DÍA</t>
  </si>
  <si>
    <t>ALBARAN AV21/03914 F DE 22/07/21: TACO FISCHER SX 8 (100 UDS) // CENTRO SANTIAGO LOPEZ</t>
  </si>
  <si>
    <t>ASOCIACIÓN CULTURAL LA CORTE EN VALLADOLID</t>
  </si>
  <si>
    <t>TRABAJOS PARA EXPOSICION EL HECHO COMUNERO EN EL LIBRO ESCOLAR CON MOTIVO DE 5º CENTENRIO GUERRA DE LOS COMUNEROS</t>
  </si>
  <si>
    <t>PATROCINIO DEL ENCUENTRO ""ECOMOBILITY: Encuentro de movilidad sostenible: encuentro digital y exposición de VE"" 2-3 Jul.</t>
  </si>
  <si>
    <t>COLABORACION EN LA 4º MARCHA Y CARRERA DE LAS MUJERES ORGANIZADA POR EL NORTE DE CASTILLA 1 DIA</t>
  </si>
  <si>
    <t>PATROCINIO JORNADAS DE COMERCIO 'CONSTRUYENDO FUTURO, SUMANDO ESFUERZOS' DE EL NORTE DE CASTILLA</t>
  </si>
  <si>
    <t>2021 10 2312 22602</t>
  </si>
  <si>
    <t>PUBLICACION EN EL NORTE DE CASTILLA DURANTE 5 DIAS DE ACTIVIDADES EN LOS CENTROS DE PERSONAS MAYORES DE VALLADOLID</t>
  </si>
  <si>
    <t>ESPACIOS EN PRENSA DIGITAL PARA PUBLICIDAD WEB DEL PROCESO VOTACIÓN PRESUPUESTOS PARTICIPATIVOS</t>
  </si>
  <si>
    <t>PATROCINIO DEL TERCER DÍA DE LA BICI</t>
  </si>
  <si>
    <t>2021 08 1532 623</t>
  </si>
  <si>
    <t>Instalación de 5 puntos de recarga para vehículos eléct5ricos en instalaciones del Parque Vías Públicas, C/ Títulos 51.-</t>
  </si>
  <si>
    <t>2021 11 3111 22110</t>
  </si>
  <si>
    <t>ADQUISICION DE PRODUCTOS DE LIMPIEZA Y ASEO PARA CASA DEL BARCO Y CENTRO MUNICIPAL DE PROTECCION ANIMAL PARA EL AÑO 2021</t>
  </si>
  <si>
    <t>Trabajos de Coordinación de Seguridad y Salud para la obra ""Urbanización de la Calle Nueva del Carmen"".-</t>
  </si>
  <si>
    <t>MANTENIMIENTO DE LOS SISTEMAS DE GESTIÓN DE INVENTARIO Y DE CARTOGRAFÍA - INVEN Y E-MAP</t>
  </si>
  <si>
    <t>SUMINISTRO DE KITS DETECTORES DE DROGA Y TUBOS DE ENSAYO PARA CONTROLES POLICÍA.</t>
  </si>
  <si>
    <t>TIMBRADO DE MANGERAS BIE DE LOS EQUIPOS DE EXTINCION EN COLEGIOS PUBLICOS</t>
  </si>
  <si>
    <t>ELECTROFRIO FERNANDEZ ARRANZ, S.L.</t>
  </si>
  <si>
    <t>AC. MARCO EXP SPSC 23/2020: REPARACION EQUIPO AIRE ACONDICIONADO VEHÍCULO 4459KLP DEL Sº LIMPIEZA</t>
  </si>
  <si>
    <t>SUMINISTRO Y MONTAJE MODULO GRUPO ELECTRÓGENO, BATERÍA Y PROGRAMACIÓN EN DEPENDENCIAS DISTRITO 3º.</t>
  </si>
  <si>
    <t>REVISIÓN ANUAL E INSPECCIÓN PERIÓDICA OBLIGATORIA EN CENTRO DE  TRANSFORMACIÓN DE FUENTE EL SOL.</t>
  </si>
  <si>
    <t>LEGALIZACIÓN DE INSTALACIÓN ELÉCTRICA EN EDIFICIO DE POLICÍA MUNICIPAL EN AVDA. PALENCIA 45 (DISTRITO 2º).</t>
  </si>
  <si>
    <t>LEGALIZACIÓN DE INSTALACIÓN ELÉCTRICA EN EDIFICIO DE POLICÍA MUNICIPAL EN C/ HORNIJA, 5 (DELICIAS)</t>
  </si>
  <si>
    <t>ELECTROSON CASTILLA S.A.</t>
  </si>
  <si>
    <t>AM V. 36/2017: ALM067 ALIMENTADOR 5-12V 1000MA (1 UD) // SALUD PÚBLICA</t>
  </si>
  <si>
    <t>2021 01 9203 22601</t>
  </si>
  <si>
    <t>ATENCIONES PROTOCOLARIAS VISITAS OFICIALES</t>
  </si>
  <si>
    <t>VIDRIO TEMPLADO 5MM (950X345) ///   DESTINO: DEPOSITO CANINO</t>
  </si>
  <si>
    <t>AC. M. CARGLAS (860X625) // ENCERRADERO CADENAS DE SAN GREGORIO. SERVICIO DE LIMPIEZA.</t>
  </si>
  <si>
    <t>CARGLASS (505X330) // CASA CONSISTORIAL</t>
  </si>
  <si>
    <t>C.P. QUEVEDO (LUNA) //// MARINA ESCOBAR (SEGURIDAD)  // PABLO PICASSO (SEGURIDAD+ ARMADO+ U-GLASS). julio</t>
  </si>
  <si>
    <t>F-8144. CRISTALERIA ZARATAN,S.L. SEGURIDAD 3+3 (2060X810) CENTRO INTEGRADO. 1 DIA. COVID-19</t>
  </si>
  <si>
    <t>CAJAS EN VIDRIO PARA REJILLA ( 3 UNIDADES ) ///  DESTINO: REAL DE LA FERIA</t>
  </si>
  <si>
    <t>ACUERDO MARCO. CRISTALES DE SEGURIDAD 3+3 965X830 ( 8 UNIDADES ) ////   UBICACION: POLICIA MUNICIPAL (LA RUBIA)</t>
  </si>
  <si>
    <t>CRISTALES SEGURIDAD 3+3 (C.P. LEÓN FELIPE)/ LUNA (C.P. CRISTOBAL COLÓN)/ ARMADO (C.P. NARCISO A. CORTÉS). agosto</t>
  </si>
  <si>
    <t>SEGURIDAD 3+3 (NARCISO A. CORTES) // CLIMALIT (PQ ALAMEDA - FCO PINO- MARINA ESCOBAR) // LUNA 4 MM (CRIST.COLÓN)</t>
  </si>
  <si>
    <t>SUMINISTRO DE CONTENEDORES, ÁRIDOS Y RETIRADA DE ESCOMBROS POR LAS OBRAS EN LAS E.I.M. AÑO 2021. AMPLIACIÓN.</t>
  </si>
  <si>
    <t>V 6/2020 CONTRATO SUMINISTRO DE UN ANALIZADOR DE REFERENCIA DE MEDIDA NO/NO2/NOX (REMANENTE INCORPORADO)</t>
  </si>
  <si>
    <t>CALIBRACIÓN EQUIPOS DE BENCENO DE LA RED. SERVICIO DE MEDIO AMBIENTE</t>
  </si>
  <si>
    <t>ERESMA AUDIOVISUALES, S.L.L.</t>
  </si>
  <si>
    <t>SESIÓN DE CINE AL AIRE LIBRE CIC EMPECINADO (AV BARRIO GIRÓN) 25/06/2021</t>
  </si>
  <si>
    <t>OLMEDO</t>
  </si>
  <si>
    <t>COMPRA DE MATERIAL BIBLIOGRÁFICO: 8 EJEMPLARES DIFERENTES PARA LAS BIBLIOTECAS MPALES</t>
  </si>
  <si>
    <t>Mantenimiento de la cubierta vegetal del mercado El Campillo"" Proyecto URBAN GreenUP -</t>
  </si>
  <si>
    <t>SEGUNDA PRÓRROGA DEL CONTRATO 010 (ATENCIÓN PRESENCIAL Y TELEFÓNICA EN LA AGENCIA DE INNOVACIÓN) AÑO 2021</t>
  </si>
  <si>
    <t>SEGUNDA PRORROGA SERVICIO ATENCION TELEFONICA 010, CENTRALITA Y ATENCION PRESENCIAL - INFORMACION 2021</t>
  </si>
  <si>
    <t>VARIEDAD DE EJEMPLARES PARA LAS BIBLIOTECAS MUNICIPALES</t>
  </si>
  <si>
    <t>SUMINISTRO DE DIFERENTES TÍTULOS PARA BIBLIOTECAS PUBLICAS MUNICIPALES</t>
  </si>
  <si>
    <t>EUROVAL CONTROL,S.A.</t>
  </si>
  <si>
    <t>CALIBRACIÓN DE CAUDALÍMETROS HYVOLCAL Y DELTACAL DE LA RCCVA. SERVICIO DE MEDIO AMBIENTE</t>
  </si>
  <si>
    <t>ACTUACION EN LAS MORERAS, DIA 16/07/2021. MFS</t>
  </si>
  <si>
    <t>CRISTALES ARMADO 915X640 / ARMADO 1500X625 / ARMADO 640X420 / CLIMALIT 870X475 // COLEGIO TIERNO GALVAN</t>
  </si>
  <si>
    <t>SEGURIDAD 3+3 MATE (1100 X 630) /////  DESTINO UBICACIÓN:  CASA CONSISTORIAL</t>
  </si>
  <si>
    <t>CRISTALES CLIMALIT 4/6/4 (565X470) - 2 UDS // APERTURA VENTANA EN LOCAL ASOC. DE VECINOS VIEJO COSO</t>
  </si>
  <si>
    <t>SEGURIDAD 3+3 (1520X580)  /////   DESTINO UBICACIÓN:  E.I.M. LA COMETA. agosto</t>
  </si>
  <si>
    <t>Foco Carril Trifasico 34W 2789Lm 50º Color Blanco (15) / Luminaria Lineal Bl. (2) // DESTINO: ESPACIO JOVEN ZONA SUR</t>
  </si>
  <si>
    <t>16 uds- Panel LED 33W 4000K 600x600 (CC J.L.MOSQUERA) // 112 uds- Downlight PHILIPS 11W 220V LED10/840 (CC RONDILLA)</t>
  </si>
  <si>
    <t>ACUERDO MARCO. SUMINISTRO 10 uds- Bateria casco audio 3,7V 140mAh / 25 uds- Soporte monitor  con cajon // POLICÍA</t>
  </si>
  <si>
    <t>ACUERDO MARCO EXPTE: V. 36_2017; LOTE 6; GUANTES DIELECTRICOS CLASE 3 TALLA 10 30KV SG-30 / 5 UNID: SEISYPC</t>
  </si>
  <si>
    <t>2 uds - Regleta espejo 22W IP44 4200K  760mm. // CASA CONSISTORIAL</t>
  </si>
  <si>
    <t>ACUERDO MARCO SUMINISTROS: 20 uds - Pila alcalina Duracell-Procell AAA LR03 1,5V/EXTINCION DE INCENDIOS - BOMBEROS</t>
  </si>
  <si>
    <t>AC MARCO EXP. V36-2017. ensor Onrom inductivo corto Enr. 15mm M30 REPARACION RECOLECTORES FMO VEHIUCLOS Sº LIMPIEZA</t>
  </si>
  <si>
    <t>ACUERDO MARCO  SUMINISTRO PILAS DESFIBRILADORES Y OTROS  TOTAL 20 UNIDADES /// DESTINO:  POLICIA MUNICIPAL</t>
  </si>
  <si>
    <t>SUMINISTRO, Lámpara Led Industrial 30W E27 4200k / T ( 5 UNIDADES )  DESTINO: CPM ZONA SUR-DURACION 1 DIA- A. MARCO</t>
  </si>
  <si>
    <t>AC MARCO EXP V36-2017: REPUESTOS REPARACON Y MANTENIMIENTO DESBROZADORSA Y SOPLADORES Sº LIMPIEZA</t>
  </si>
  <si>
    <t>SUMINISTROS PARA MANTENIMIENTO (APARCAMIENTO PLAZA MAYOR/ PARQUE LAS NORIAS/ PINGÜINOS)</t>
  </si>
  <si>
    <t>BOMBILLO MCM EAN: 30-30 E-23312/ E-23313/ COPIA LLAVE // BIBLIOTECA FCO JAVIER MARTÍN ABRIL. JUNIO</t>
  </si>
  <si>
    <t>AC MARCO EXP V36-2017: SUMISNTRO REPUESTOS REPARACION DESBROZADORAS DEL SERVCIO DELIMPIEZA</t>
  </si>
  <si>
    <t>F-7176. EXC.MAOR. UÑERO PARA VENTANAS F4151N LL/IGUALES (6)/ MANILLA EPSILON NEGRA. VIV. CAMINO VIEJO EL POLVORÍN</t>
  </si>
  <si>
    <t>ACUERDO MARCO EXP V36-2017: REPUESTOS REPARACION DESBROZADORAS DEL SERVICIO DE LIMPIEZA</t>
  </si>
  <si>
    <t>LLAVES MECANIZADAS (ASOC. VECINOS C/ AZUCENA) // PASADOR WINK HAUS 4068 (CC. DELICIAS)</t>
  </si>
  <si>
    <t>AC MARCO EXP. V36-2017: MANILLA AMIG 280x45 MOD. 100P NEGRO (JGO) // VESTUARIO CASETA JARDÍN BOTÁNICO</t>
  </si>
  <si>
    <t>TORNILLO ERLE ENSAMBLE 102020 (4 unidade) ///  Destino: DEPOSITO CANINO</t>
  </si>
  <si>
    <t>AC MARCO EXP V36-2017: SUMINISTRO RPUESTOS DESBROZADORAS DEL SERVICIO DE LIMPIEZA</t>
  </si>
  <si>
    <t>ACUERDO MARCO SUMINISTROS / CERRADURA ISEO CORTAFUEGOS RF STAND. 216120654 (1 UNIDAD ) //// SEIS Y PC</t>
  </si>
  <si>
    <t>ACEITE  WD-40  500ML D/ACCION CANULA FIJA // E.I.M. TOBOGAN. julio</t>
  </si>
  <si>
    <t>BOMBILLO/ COPIA LLAVE/ TAMBOR/ ENGANCHE/ TACO FISCHER/ TOR.INOX/ CLAVOS/ MANILLA (COLEGIOS PÚBLICOS)</t>
  </si>
  <si>
    <t>BROCA COBALTO/ BURLETE ALUMINIO PLATA/ TOR.AUTO.C/RED/ JUEGO LL. ALLEN/ LLAVE ALLEN (CEIP PQUE ALAMEDA/ COLEGIOS). junio</t>
  </si>
  <si>
    <t>BURLETE AMIG 2-1000 ALUMINIO PLATA. (2 unidades) //// Destino: EIM EL GLOBO . JULIO</t>
  </si>
  <si>
    <t>FARAHDIVA, S.L.</t>
  </si>
  <si>
    <t>Impartir Curso Danza oriental a mujeres étnicamente diversas y exhibición en la XVIII Semana Intercultural.</t>
  </si>
  <si>
    <t>FEDERACIÓN ANDALUCÍA ACOGE</t>
  </si>
  <si>
    <t>Desarrollo e impartición de dos talleres de estrategias antirrumores formato online para personal técnico. 2021</t>
  </si>
  <si>
    <t>ALQUILER CONTENEDORES NECESIDADES CENTRO MANTENIMIENTO (2)</t>
  </si>
  <si>
    <t>ANULACIÓN POR DUPLICIDAD adjudica INSERCIÓN PUBLICITARIA EN ANUARIO TAURINO (tramitado operación 920210004645)</t>
  </si>
  <si>
    <t>FERNANDO CEBRIAN ARNANZ</t>
  </si>
  <si>
    <t>CONSTRUCCIÓN MÓDULO OFICINAS Y LAVANDERIA PARA TALLER DEL SERVICIO DE LIMPIEZA</t>
  </si>
  <si>
    <t>CANDADO/ BOMBILLO/ COPIA LLAVE (DEPÓSITO CANINO)</t>
  </si>
  <si>
    <t>SUMINISTRO DE REPUESTOS Y MATERIALES /// DESTINOS: CEIP PQ ALAMEDA - CP GINER DE LOS RIOS. JULIO</t>
  </si>
  <si>
    <t>ACUERDO MARCO 3/2020, REPUESTOS PARA MAQUINARIA.</t>
  </si>
  <si>
    <t>DOS UNIDADES DE AIRE ACONDICIOANDO PORTATIL, REPOSICION,  PARA EL JACINTO BENAVENTE DEL C.F. PARA EL EMPLEO-</t>
  </si>
  <si>
    <t>CERRADURA/ TACO/ CHAPA INOX./ ÁNGULO INOX./ ENGANCHE HOJA (CEIP ENTRERIOS -FCO. PINO -M.DELIBES -M.ISCAR). AGOSTO</t>
  </si>
  <si>
    <t>AC MARCO EXP V36-2017: HILO NYLON 2,7MM 215MT STIHL ROJO (3 UDS) PARA DESBROZADORAS DEL Sº DE LIMPIEZA</t>
  </si>
  <si>
    <t>SUMINISTRO DE MATERIALES ///  DESTINOS: CEIP FEDERICO GARCIA LORCA  Y  CEIP FRANCISCO PINO. AGOSTO</t>
  </si>
  <si>
    <t>DISCO LAMINAS LAMIFLEX ZN 115x22  80 INOX (30) / VARILLA ROSCADA  M14 ZINC (6)  / TOR.AUTO.C/R (2,5)///  DESTINO: TALLER</t>
  </si>
  <si>
    <t>PERNIO SOLDAR (1)-(C.C.LUENGO) // BURLETE  ALUMIN (2) + BROCA (6) - (C.SEGUNDO MONTES) // ACEITE (1)-(C. INTEG. Z. ESTE)</t>
  </si>
  <si>
    <t>MANT. SUMINISTRO LLAVES MECANIZADAS ESPECIAL-ACERO (6) -ACERO DOBLE (2),MOSQUETÓN  FORMAC. PARA EL EMPLEO-DURACION 1 DIA</t>
  </si>
  <si>
    <t>F-9170. EXCLUSIVAS MAOR. CREMONA OSCILOBATIENTE 1104 (3 UNIDADES) C.INTEGRADO. 1 DIA</t>
  </si>
  <si>
    <t>F-8724. MAOR. LLAVES MECANIZADAS ACERO/LLAVERO PORTAETIQUETAS/MALLA CUADRADA/BRIDA NYLON. C/ VINOS DE RUEDA, 22, 1º M</t>
  </si>
  <si>
    <t>AC MARCO EXP V36-2017: SUMINISTRO MATERILAES PARA REPARACION EN VESTUARIOS DE RUIBERA DE CASTILLA</t>
  </si>
  <si>
    <t>BOMBA TALADRINA / BINCEL TUBO CONTACTO / PERNIO SOLDAR / TACO/ DISCO / BROCA / CERROJO / MANGO /// DESTINO: MANTENIMIENT</t>
  </si>
  <si>
    <t>TACO FISCHER/ TORNILLERIA/ CADENA GENOVESA/ LLAVES MECANIZADAS/ LLAVES EN BRUTO/ CERROJO/ COLA (MNTO - PINGÜINOS)</t>
  </si>
  <si>
    <t>BANDEJA/ PERFIL/ TORN.TUERCA/ BANDEJA MOVIL/ ESCUADRA/ PALETA/ TALOCHA/ TENAZA/ MANGA (SAN BENITO/ SALA COMITE EMPRESA)</t>
  </si>
  <si>
    <t>MATERIAL DE FERRETERÍA PARA CENTROS CEIP LEÓN FELIPE -G. DE CÓRDOBA -P. PICASSO -ALLUE MOER -ENTRERRIOS/ E.I.LA COMETA</t>
  </si>
  <si>
    <t>F-9549. EXCLUSIVAS MAOR, S.L. CERRADURA ARREGUI CESORA10R (12). VIVIENDA C/ VINOS DE RUEDA 22,1ºM. 1 DIA</t>
  </si>
  <si>
    <t>PLOMADA TORREMAT (2) / MAZA GOMA / MADERA 75 MM / LLAVERO PORTAETIQUETAS (50) // DESTINO: CERRAJERIA / AMAESTRAMIENTO</t>
  </si>
  <si>
    <t>TOR. AUTO. C/PLA. 7504P DE 4,8x 32 (2,5)  ///   DESTINO: TALLER</t>
  </si>
  <si>
    <t>CINTA ADH. SEÑALIZ. 50x33MT. AMA/NEGRO (2 UNIDADES) ///  CENTRO PROG. JUVENILES</t>
  </si>
  <si>
    <t>CERRADURA MCM 1312-2-40 EMBUTIR C/CIL. (2 UNIDADES) ///  DESTINO: CIRCULO CAMPESTRE</t>
  </si>
  <si>
    <t>SEÑAL EBER POLIE 148,5X148.5 (4 UDS) / SEÑAL EBER VARIOS 250X62.5 (6 UDS) // CÍRCULO CAMPESTRE PINAR DE ANTEQUERA</t>
  </si>
  <si>
    <t>ESPACIO JOVEN, ZONA SUR / SEÑAL EBER POLIE 148,5X148.5 //// CENTRO INTEGRADOR / PASADOR EBRO FUER</t>
  </si>
  <si>
    <t>AC MARCO EXP V36-2017: SUMINISTRO MATERIAL CERRAJERIA PARA EL S. DE LIMPIEZA VIARIA</t>
  </si>
  <si>
    <t>MANGUERA/ SOPORTE MANGUERA/ BL FISCHER/ RACCORD RIEGO/ CONECTOR/ LANZA (CC RONDILLA) // PERCHAS BRINOX (CC J.M.LUELMO)</t>
  </si>
  <si>
    <t>DESTINO: AYTO PLAZA MAYOR / PERNIO MATE - TOR. DIN - TIRAFONDO//// DESTINO: ARCHIVO / GRASSO- MALLA MOSQ.-CERRADURA</t>
  </si>
  <si>
    <t>F-7841. FERRETERIA ORTIZ VALLADOLID, S.L. CERRADURA TESA EMBUTIR (1) CENTRO INTEGRADO. 1 DIA. COVID-19</t>
  </si>
  <si>
    <t>ACUERDO MARCO. SUMINISTRO DE MATERIAL DE FERRETERIA PARA POLICÍA MUNICIPAL.</t>
  </si>
  <si>
    <t>COPIA LLAVE NORMAL (7 UDS) // FOMENTO DEL COMERCIO</t>
  </si>
  <si>
    <t>F-7839. FERRETERIA ORTIZ VALLADOLID, S.L. MIRILLA MICELL 180º 35/60 LTD 90103 (1) UBICACION:  C/ SALUD Nº15. 1 DIA</t>
  </si>
  <si>
    <t>ADQUISICIÓN TOPE PUERTA</t>
  </si>
  <si>
    <t>AC MARCO EXP V36-2017: SUMINISTROS DE CERRAJERIA PARA LIMPIEZA VIARIA</t>
  </si>
  <si>
    <t>FERROVIAL SERVICIOS, S.A.</t>
  </si>
  <si>
    <t>REPARACION GOTERA ESCENARIO CC BAILARIN VICENTE ESCUDERO</t>
  </si>
  <si>
    <t>AC MARCO EXP V36-2017: SUMINISTROS PARA REPARACIONEES DE MAQUINARIA DEL SERVICIO DE LIMPIEZA</t>
  </si>
  <si>
    <t>ACUERDO MARCO SUMINISTROS: ALBARANES 21-217356 / 21-217582 / 21-218204 / 21-218769: MATERIALES PARA EL SEIS Y PC</t>
  </si>
  <si>
    <t>ALBARÁN 21-219835 (CIC CONDE ANSÚREZ): MATERIALES PARA EL MANTENIMIENTO</t>
  </si>
  <si>
    <t>ALBARAN 21-219596 (CC JOSE Mª LUELMO): GRIFO BOLA/ CODO/ TE/ MACHÓN/ RACOR HEMBRA/ RED.MARSELLA LATÓN/ RED.MARSELLA ALAR</t>
  </si>
  <si>
    <t>SUMINISTRO REPARACIONES  (CPM RIO ESGUEVA): MANGUERA/ MACHÓN/ TE/ GRIFO/ CINTA AISLANTE/ JUNTAS/ CAJA PLÁSTICO-DUR 1 DIA</t>
  </si>
  <si>
    <t>SUMINISTRO  REPUESTOS FONTANERIA PARA GALERIAS VALLADOLID. JUNIO 2021</t>
  </si>
  <si>
    <t>ALB: 21-220856: BOLSAS DE 10 UDS. ABRAZADERAS ISOFONICAS M6 DN 14-15 (2 UDS) // PARQUE - MANTENIMIENTO</t>
  </si>
  <si>
    <t>ALB: 21-213267 (CP MIGUEL DE CERVANTES): LAVABO VICTORIA/ PEDESTAL VICTORIA/ GRIFO MEZCLADOR CROMADO. junio</t>
  </si>
  <si>
    <t>ALB: 21-215483 (CP MIGUEL DE CERVANTES): BOTE HILO TEFLON UNILOCK 160M TANGIT. junio</t>
  </si>
  <si>
    <t>ML TUBO C.ELECTRICO/ DISCO CORTE/ ROLLO MALLA/ MAZA/ SOPLADOR LIMPIADOR/ BROCA/ CINTA BALIZAMIENTO/ EXTINTOR</t>
  </si>
  <si>
    <t>AC MARCO EXP V36-2017. SUMUNISTROS VARIOS PARA EL S DE LIMPIEZA VIARIA</t>
  </si>
  <si>
    <t>F-8925. FLUME.  VÁLVULA ESCUADRA/ TERMOSTATO AMBIENTE (VIVIENDA C/ VINOS DE RUEDA, 22) 1 DIA</t>
  </si>
  <si>
    <t>F-8858. FLUME S.L. TUBO RECTANGULAR/ CODO RECTANGULAR HORIZONTAL Y VERTICAL/ EMPALME/ (C/VINOS DE RUEDA,22,1ºM)</t>
  </si>
  <si>
    <t>ALB 21-224917: BOLSAS DE 10 JUNTAS TORICAS // CASCANUECES. JULIO</t>
  </si>
  <si>
    <t>ALB 21-224918: JUEGO LLAVES ALLEN 9 PZS LARGAS // CASCANUECES. JULIO</t>
  </si>
  <si>
    <t>ALB 21-225367: VÁLVULA COMPUERTA LATÓN // COLEGIO NARCISO ALONSO. JULIO</t>
  </si>
  <si>
    <t>SEGURIDAD Y SALUD CONTRATO SEÑALIZACIÓN VIAL LOTE 2</t>
  </si>
  <si>
    <t>FRANCISCO JAVIER ORTEGA FLOREZ</t>
  </si>
  <si>
    <t>REPARACIONES DE BALDOSAS Y CLARABOYA EN EL ALONSO BERRUGUETE (834,90 ¿) Y REPARACIÓN GOTERA EN EL ENTRE RIOS (955,9) 1 M</t>
  </si>
  <si>
    <t>Revisión y reparación de la caldera Beretta, en la vivienda municipal sita en la C/ Huelgas nº 30, 1º C.</t>
  </si>
  <si>
    <t>Revisión de instalación y puesta en marcha de la caldera vivienda en C/ Cádiz 13, 1º C. Julio 2021</t>
  </si>
  <si>
    <t>PC COMPACTO 3MM PARA MAMPARA SECCIÓN CONTROL INGRESOS</t>
  </si>
  <si>
    <t>POLICARBONATO 3mm PARA MAMPARAS PROTECCIÓN COVID EN CIC SEGUNDO MONTES</t>
  </si>
  <si>
    <t>PLACAS PC COMPACTO INCOLORO PARA PANTALLAS PROTECTORAS DE SOBREMESA. COMEDOR SOCIAL. COVID-19</t>
  </si>
  <si>
    <t>POLICARBONATO 4 mm PARA CONTENEDORES PARA EL CC CANAL DE CASTILLA</t>
  </si>
  <si>
    <t>Reparación por sustitución de cascada luminosa de señalización en la caldera de asfalto fundido.-</t>
  </si>
  <si>
    <t>ACUERDO MARCO 2017/36, ARBUSTOS.</t>
  </si>
  <si>
    <t>ACUERDO MARCO 2017/36, SUMINISTRO ARBUSTOS.</t>
  </si>
  <si>
    <t>FREEAUTONOMOS, S. COOP.</t>
  </si>
  <si>
    <t>ESPECTÁCULO DE MAGIA CIC EMPECINADO (AV BARRIO GIRÓN) 25/06/2021</t>
  </si>
  <si>
    <t>POBLADURA DEL BERNESGA</t>
  </si>
  <si>
    <t>CAMPUS URBANO MULTIDEPORTE EN DELICIAS DEL 24 DE JUNIO AL 30 DE JULIO PARA NIÑOS DE 5 A 15 AÑOS.</t>
  </si>
  <si>
    <t>Actividades socio deportivas para niños y adolescentes 2º Trimestre 2021.FUTBOL ANDANDO</t>
  </si>
  <si>
    <t>TALLERES INFANTILES PARA NIÑOS Y NIÑAS DE 6 A 14 AÑOS EN EL BARRIO DE PAJARILLOS DURANTE LOS MESES DE JULIO Y AGOSTO</t>
  </si>
  <si>
    <t>FUNDACION INTERMON OXFAM</t>
  </si>
  <si>
    <t>Adquisición de productos de comercio justo como detalle por la participación ponentes. XVIII Semana Intercultural 2021</t>
  </si>
  <si>
    <t>Suministro material diverso (esmaltes, disolvente, esmeril, minirodiillo...) con destino a ALUMBRADO PÚBLICO. Mes JULIO.</t>
  </si>
  <si>
    <t>UTILIZACIÓN INSTALACIONES FMD PRUEBAS FÍSICAS DE PEÓN // DEL 21 AL 26 Y EL 28 DE JUNIO-21. -mjsi-</t>
  </si>
  <si>
    <t>FUNDACION RED INCOLA</t>
  </si>
  <si>
    <t>Ponencia de Ghizlane Darkaoui. Jornada técnica de la XVIII Semana Intercultural 2021</t>
  </si>
  <si>
    <t>AMPLIACION SUMINISTRO GAS PARA PARQUES DE BOMBEROS, DE JUNIO A SEPTIEMBRE DE 2021</t>
  </si>
  <si>
    <t>GASTROSENSACIONES, SOCIEDAD LIMITADA</t>
  </si>
  <si>
    <t>Comida ponentes jornada técnica en inmigración dentro de la XVIII Semana Intercultural 2021</t>
  </si>
  <si>
    <t>CONTRATO DE OBRAS PARA REPARACIÓN DE GOTERAS EN CASA NIÑAS Y NIÑOS MAESTRO CLAUDIO. PLAZO: HASTA EL 31 AGOSTO.</t>
  </si>
  <si>
    <t>DANIEL CASIMIRO RODRIGUEZ RODRIGUEZ</t>
  </si>
  <si>
    <t>REPARACIÓN PISTA DE PATINAJE Y VALLADO ÁREA RECREATIVA PINAR DE ANTEQUERA / 1 DIA</t>
  </si>
  <si>
    <t>Dinamización del proceso participativo para la elaboración del plan de acción de la Agenda Urbana Valladolid 2030.</t>
  </si>
  <si>
    <t>GIL SOTO, S.L.</t>
  </si>
  <si>
    <t>SUMINISTRO DE DIFERENTES TÍTULOS PARA BIBLIOTECAS PUB. MUNICIPALES</t>
  </si>
  <si>
    <t>DISEÑO Y MAQUETACION DEL PROGRMA DE PREVENCION DE ALCOHOL, TABACO Y CANNABIS EN LOS JOVENES-PLAN DE DROGAS-DURACION1 DIA</t>
  </si>
  <si>
    <t>DISEÑO Y MAQUETACIÓN DEL VI PLAN MUNICIPAL INTEGRAL DE IGUALDAD Y CONTRA LA VG, ASÍ COMO ROLL UP / 1 DIA</t>
  </si>
  <si>
    <t>SUMINISTRO DE CORTINA VENECIANA DE ALUMINIO PARA EL COLEGIO FRANCISCO PINO (1292,28) Y MACIAS PICAVEA (1807,74)</t>
  </si>
  <si>
    <t>CLAVIJA 10/16A 4 ,8MM ( 3 UNID.)  / BASE 5 TOMAS 16A 250V (2 UNID) / BASE 4 TOMAS 16A 250V  POT .3600W (1 UNID)</t>
  </si>
  <si>
    <t>CAJA CONEXIÓN-DERIVACIÓN (5 UDS.) Y CELLPACK AUTOVULCANIZABLE (2 UDS.) PARA TAREAS DE MANTENIMIENTO EN ARCHIVO MUNICIPAL</t>
  </si>
  <si>
    <t>MST SON-T PIA PLUS 250W E E40 1SL/12 (36) // MASTER CITYWH CDO-TT PLUS (96) // TFORCE LED HPL ND (72)</t>
  </si>
  <si>
    <t>MANT, SUMINISTRO DE INTERRUPTOR, BASE ,CLAVIJA, REGLETA ,ENCHUFE,   PARA EL CPMVICT-ROND-FRAY LUIS Y A. REAL-DUR 1DIA</t>
  </si>
  <si>
    <t>AM. V. 36/2017 CINTA BLISTER/ CAJA DERIVACIÓN C/ CONOS/ REGLETA/ PL-MBL SUP/ CAJA SUPERF./ BASE DOBLE/ INT.AUT.SERIE/</t>
  </si>
  <si>
    <t>RODA 1783 LED 39W CLD CELL GRIS (1 UNIDAD) ///   SERV. EXTINCION DE INCENDIOS</t>
  </si>
  <si>
    <t>LAMPARA LED SIN FILAMENTO/ CLAVIJA/ BASE 5 TOMAS/ RACORES TUBO ELECTROFLEX/ CONTRATUERCAS GRIS/ BRIDA NEGRA</t>
  </si>
  <si>
    <t>F-7373. GRUPO ELECTRO STOCKS, S.L. MATERIALES VARIOS DE ELECTRICIDAD. COMEDOR SOCIAL/VIVIENDA PROV. 1 DIA</t>
  </si>
  <si>
    <t>MATERIALES (BRIDAS, BASE ADHESIVA, CAJA DERIV., RACORES, MOLDURA) PARA CC BAILARIN VICENTE ESCUDERO</t>
  </si>
  <si>
    <t>ACUERDO MARCO, SUMINISTRO SEÑALIZACIÓN EMERGENCIA. MASTER PL-C 26W/840/2P 1CT/5X10BOX (10 UDS)</t>
  </si>
  <si>
    <t>CONMUTADOR SUPERFICIE IP55 GRIS (1 UNIDAD)  / DOBLE CONMUTADOR SUPERFICIE IP55 GRIS (1 UNIDAD). JUNIO</t>
  </si>
  <si>
    <t>CAJA DERIVACION (1) / MTS CABLE RETFLEX(25) / 22 BRIDA NEGRA (100) ////  PROTECCION DE LA SALUD</t>
  </si>
  <si>
    <t>AC MARCO EXP V36-2017: MATERIAL ELECTRICO  // LIMPIEZA</t>
  </si>
  <si>
    <t>IP20 POWER SUPPLY INPUT 176-264VAC OUTPUT 57-86 700MmA 60.2W (1) // CIC SANTIAGO LÓPEZ</t>
  </si>
  <si>
    <t>SUSTITUCION ACOMETIDA Y ARMARIO CONTEDORES DEL CPM RONDILLA- DURACION 1 DIA</t>
  </si>
  <si>
    <t>IMPRESIÓN DE SOPORTES PUBLICITARIOS DE IGUALDAD A TRAVÉS DE IMPRENTA MUNICIPAL (PROGRAMAS, DÍPTICOS...) / DURANTE 2021</t>
  </si>
  <si>
    <t>SERVICIO ANUAL TRANSMISIÓN DATOS EQUIPOS GPS INSTALADOS EN VEHICULOS DEL SERVICIO LIMPIEZA AÑO 2021</t>
  </si>
  <si>
    <t>GUILLERMO PUERTA GALVAN</t>
  </si>
  <si>
    <t>Organización, desarrollo y servicio de guía acompañante ruta ciclista intercultural XVIII Semana Intercultural 2021</t>
  </si>
  <si>
    <t>COORDINACION SEGURIDAD Y SALUD ACTUACIONES EN LOS BOMBEOS DE LA CIUDAD DE VALLADOLID FASE II. V.6/2020 LOTE 1 PS21.</t>
  </si>
  <si>
    <t>CONTRATO DE OBRA DE REPARACION DE LAS ESCALERAS DE ACCESO AL MERCADO MUNICIPAL DE LAS DELICIAS</t>
  </si>
  <si>
    <t>2021 10 2412 214</t>
  </si>
  <si>
    <t>REPARACION ( PASTILLAS FRENO, CALEFACTOR)+ MATERIALES ///  VEHICULO MATRÍCULA: 0394-CCX /// CENTRO F. JACINTO BENAVENTE</t>
  </si>
  <si>
    <t>REPARACION (BOMBA Y CILINDRO EMB.)+ MATERIALES ///  VEHICULO MATRÍCULA: 0394-CCX /// CENTRO F. JACINTO BENAVENTE</t>
  </si>
  <si>
    <t>REPARACION + MATERIALES ///  VEHICULO MATRÍCULA: 6817-GJG /// CENTRO F. JACINTO BENAVENTE</t>
  </si>
  <si>
    <t>REPARACIÓN VEHICULO 0394-CCX //// LIQ. FRENOS  / ACEITE / SIGAUS / ANTICONGELANTE / F. AIRE-ACEITE // C.F.JACINTO BENAV.</t>
  </si>
  <si>
    <t>REPARACION( LIQUIDOS FRENOS, KIT EMBRAGE + MATERIALES ///  VEHICULO MATRÍCULA: 0394-CCX - CENTRO F. JACINTO BENAVENTE</t>
  </si>
  <si>
    <t>2021 11 1631 634</t>
  </si>
  <si>
    <t>AC MARCO EXP SPSC 23/2020: SUSTITUCIÓN CATALIZADOR ESCAPE VEHICULO 4795 JCT S. LIMPIEZA VIARIA</t>
  </si>
  <si>
    <t>AC MARCO EXP SPSC 23/2020: REPARACION DE GOLPE FRONTAL EN BARREDORA E4374BFX DEL S DE LIMPIEZA VIARIA</t>
  </si>
  <si>
    <t>AM SPSC 23/2020: RECAMIOS REPARACIONES VEHICULOS E3465BGW,0120GJY,3855GLG,E3462BGW,4795JCT,1277KMD,2941CBL, LIMP. VIARIA</t>
  </si>
  <si>
    <t>AC MARCO EXP SPSC 23/2020: PIEZAS REPARACIONES VEHÍCULOS 9067JCH, E3465BGW -4223JDZ -5461BZY -4178JDZ -4459KLP Sº L.</t>
  </si>
  <si>
    <t>AC MARCO EXP SPSC 23/2020: SUSTITUCIÓN SENSORES DELTA y NOX VEHÍCULO 4795 JCT DEL S. LIMPIEZA VIARAI</t>
  </si>
  <si>
    <t>AC MARCO EXP SPSC 23/2020: SUSTITUIR ELECTROINYECTOR (4223-JDZ) Y SENSOR NOX (4224-JCV), VEHICULOS DEL Sº LIMPIEZA</t>
  </si>
  <si>
    <t>AC MARCO EXP SPSC 23/2020:  VEHICULO S. LIMPIEZA  4178-JDZ, SUSTITUCION DEPOSITO CIRCUITO DIRECCION EJE TRASERO</t>
  </si>
  <si>
    <t>AC MARCO EXP SPSC 23/2020: SUSTITUCIÓN SENSORES NOX VEHICULO 4178 JDZ DEL S. LIMPIEZA VIARIA</t>
  </si>
  <si>
    <t>AC MARCO EXP. SPSC23/2020 REPARACION GRUA 2756-LLV. SERVICIO DE LIMPIEZA VIARIA.</t>
  </si>
  <si>
    <t>AC MARCO EXP SPSC 23/2020: REARACION FALLOS CIRCUITO DIRECCION EJE TRASERO DE VEHIUCLO 4178JDZ DEL Sº LIMPIEZA</t>
  </si>
  <si>
    <t>SUMINSITRO REPUESTOS REPARACIONES HIDRÁULICAS DE VEHÍCULOS DEL SERVICIO DE LIMPIEZA</t>
  </si>
  <si>
    <t>SUMINISTRO DE REPUESTOS HIDRÁULICOS PARA REPARACIONES VEHICULOS Sº LIMPIEZA</t>
  </si>
  <si>
    <t>REPARACION Y REPUESTOS PARA MAQUINARIA.</t>
  </si>
  <si>
    <t>MATERIAL CERRAJERÍA PARA FABRICAR POR EL PERSONAL DEL CENTRO DE MANTEN.PROTEC.NAVE EDIF. PINGÜINOS</t>
  </si>
  <si>
    <t>HORMIGONES ZARZUELA, S.L.</t>
  </si>
  <si>
    <t>SUMINISTRO DE HORMIGÓN PARA LA ENTRADA Y LA RAMPA EXISTENTE EN EL C.E.I.P. ENTRE RÍOS. PLAZO EJECUCIÓN 1 DÍA.</t>
  </si>
  <si>
    <t>ESTUDIO B.S.S. DEL PROYECTO URBAN.CALLE DANIEL DEL OLMO Y PRIMER TRAMO DE LA AVDA.NORTE DE CASTILLA.EXP 30/19 LOTE 2.</t>
  </si>
  <si>
    <t>PRORROGA LOTE 2_SEÑALIZACIÓN HORIZONTAL_SEGURIDAD Y SALUD_Contrato señalización vial en Valladolid_Agosto-Dic'2021</t>
  </si>
  <si>
    <t>QUIMICA INDUSTRIAL DISOL, S.A.</t>
  </si>
  <si>
    <t>SUMINISTRO DE DESODORIZANTE PARA LA LIMPIEZA DE LAS VIAS PUBLICAS DEL AYUNTAMIENTO DE VALLADOLID</t>
  </si>
  <si>
    <t>ARRANKUDIAGA</t>
  </si>
  <si>
    <t>2021 11 1361 623</t>
  </si>
  <si>
    <t>Colchón de salvamento para intervenciones con tentativa de suicidio; SEISYPC.</t>
  </si>
  <si>
    <t>LEADER MEDIA,S.L.</t>
  </si>
  <si>
    <t>FERIAS 2021 ADJUDICA CAMPAÑA DIFUSIÓN BANDO CIVISMO Y RESPONSABILIDAD</t>
  </si>
  <si>
    <t>ADQUISICIÓN DE MOBILIARIO CON DESTINO AL CENTRO MUNICIPAL DE PROTECCIÓN ANIMAL (SERVICIO DE SALUD PÚBLICA).</t>
  </si>
  <si>
    <t>DERECHOS DE EXTENSION, AUMENTO POTENCIA ELECTRICA  DEL CPM RONDILLA- DURACION 1 DIA</t>
  </si>
  <si>
    <t>MATERIALES PARA TRABAJOS DE PINTURA EN VARIOS CENTROS DEL SPC</t>
  </si>
  <si>
    <t>ENRIQUE CUESTA GOMEZ</t>
  </si>
  <si>
    <t>TALLERES DE ROBÓTICA Y ANIMACIÓN A LA LECTURA EN LA BIBLIOTECA CAMPO GRANDE. VERANO 2021</t>
  </si>
  <si>
    <t>IMPRESOS ANGELMA S.A.</t>
  </si>
  <si>
    <t>Exposición fotográfica en Espacio Joven Zona Norte. Día del Orgullo 2021. 1 día</t>
  </si>
  <si>
    <t>RENOVACIÓN Y MANTENIMIENTO DE LA APP VALLAAIRE. SERVICIO DE MEDIO AMBIENTE</t>
  </si>
  <si>
    <t>CTO. SERVICIO INGENIERIA ASISTENCIA TECNICA AREA CULTURA Y TURISMO PARA SEGURIDAD CIUDADANA ESPECT, Y ACTIVIDADES RECR</t>
  </si>
  <si>
    <t>LOTE B: Control Calidad en ejecución, asistencia técnica, inspecciones y vigilancia de obras Contrato Conserv.Vias Públi</t>
  </si>
  <si>
    <t>INFORME PATOLOGÍAS Y PROPUESTAS DE ACTUACIÓN EN LAS ESTRUCTURAS DEL TEATRO LOPE DE VEGA</t>
  </si>
  <si>
    <t>CONTROL DE CALIDAD ADECUACION CAMINOS EN VILLA DEL PRADO Y HUERTA DEL REY.</t>
  </si>
  <si>
    <t>CONTROL DE CALIDAD, AJARDINAMIENTO LATERAL CALLE LUGANO.</t>
  </si>
  <si>
    <t>CONTRATO SERVICIOS PARA LA REDACCION, IMPLANTACION Y REVISION DEL PLAN DE  EVACUACION DEL MERCADO DELICIAS Y VAL</t>
  </si>
  <si>
    <t>CONTROL CALIDAD CONSERV.- REPAR. REF. DE INFRAEST.VIARIAS // LOTE 1 - PPTO PARTICIPATIVO // MES DE MAYO 2021</t>
  </si>
  <si>
    <t>CONTROL CALIDAD CONSERV.-REF.-REP. INFRAEST. VIARIAS // LOTE 1 // PPTO PARTICIPATIVO // MES DE ABRIL 2021</t>
  </si>
  <si>
    <t>CONTROL CALIDAD OBRA: CONSERVACIÓN, REP. Y REF. DE INFRAESTR. V. DE VALLADOLID (LOTE 1 -PPTOS. PARTICIPATIVOS) // JUNIO</t>
  </si>
  <si>
    <t>CONTROL CALIDAD OBRA: CONSERVACIÓN, REP. Y REF. DE INFRAESTR. V. DE VALLADOLID -LOTE 1 -PPTOS. PARTICIPATIVOS // MARZO</t>
  </si>
  <si>
    <t>CONTROL DE CALIDAD  ACTUACIONES EN LOS BOMBEOS DE LA CIUDAD DE VALLADOLID FASE II. V.6/2020 LOTE 1 PS21.</t>
  </si>
  <si>
    <t>INCIPRESA, S.A.</t>
  </si>
  <si>
    <t>REVISION ANUAL DE EQUIPOS DE RESCATE HIDRAULICOS DEL SERVICIO DE EXTINCION DE INCENDIOS, SALVAMENTO Y PROTECCION CIVIL</t>
  </si>
  <si>
    <t>MOS</t>
  </si>
  <si>
    <t>Revisión y operaciones de mantenimiento de los extintores; SEISYPC.</t>
  </si>
  <si>
    <t>Suministro de herramientas y material (minirodillo ant / paletina radiad/ cinta/ eurolux/ disolventes/limpia cristales..</t>
  </si>
  <si>
    <t>JUAN ANTONIO IGLESIAS  FIGUEROS</t>
  </si>
  <si>
    <t>Transporte de polvo asfáltico suministrado por Alfaltos Maestu, S.a. desde Álava hasta nuestras instalaciones.-</t>
  </si>
  <si>
    <t>MTO.  Y ASISTENCIA TÉCNICA  ADMON.ELECTRÓNICA DEL AYTO.VALL. BASADAS AMARA SUITE. (2ª PRÓRROGA)  12/09/2021 AL 31/12/20</t>
  </si>
  <si>
    <t>SOFTWARE DE INTERCAMBIO DE FICHEROS CON ENTIDADES BACARIAS, EDITRAN, LOTE 2</t>
  </si>
  <si>
    <t>INDUSTRIAS GONZALEZ HNOS, S.A.</t>
  </si>
  <si>
    <t>REVISION Y PRUEBAS DE CAMIÓN REPARADO CON ANTERIORIDAD PERO SIN RELACION EN AVERIA. SERVICIO DE LIMPIEZA.</t>
  </si>
  <si>
    <t>SAN AGUSTIN DE GUADALIX</t>
  </si>
  <si>
    <t>REPARACIÓN DE CALDERA ESCLAVA EN CC ZONA SUR</t>
  </si>
  <si>
    <t>Compra de 2 unidades de ""compás retenedor"" para arreglo de ventana en Centro Integrado. COVID-19. 2021</t>
  </si>
  <si>
    <t>ADJUDICACIÓN DISEÑO LOGO CAMPAÑA DEPORTE VALLADOLID SE MUEVE CONTIGO</t>
  </si>
  <si>
    <t>ACTUACIÓN EN CC ZONA SUR, DÍA 16/05/2021. MFS</t>
  </si>
  <si>
    <t>PEGAMO PISUERGA, S.L.</t>
  </si>
  <si>
    <t>Revisión_cambio aceite, filtros y mantenimiento diversos en compresores A.C.que montan unid. FSV_5 y FSV_6; SEISYPC</t>
  </si>
  <si>
    <t>INFO TECHNOLOGY SUPPLY LIMITED</t>
  </si>
  <si>
    <t>SOFTWARE DE CONTROL DE ACCESSOS A INTERNET DESDE LAS BIBILIOTECAS MUNICIPALES, MyPC, LOTE 5</t>
  </si>
  <si>
    <t>INFOPRODUCTS, S.L.</t>
  </si>
  <si>
    <t>INMEVA INFRAESTRUCTURAS, S.L.</t>
  </si>
  <si>
    <t>MANTENIMIENTO ANUAL LINEA MEDIA TENSIÓN Y CENTRO DE TRANSFORMACIÓN AULARIO HUERTA DEL REY</t>
  </si>
  <si>
    <t>ADQUISICIÓN DE IMPRESORA PARA ETILÓMETRO DE POLICÍA MUNICIPAL.</t>
  </si>
  <si>
    <t>SUMINISTRO MATERIAL LIMPIEZA PARA EL CENTRO DE FORMACION PARA EL EMPLEO EN 2021</t>
  </si>
  <si>
    <t>ACTUACIÓN CIRCO EN CIC SEGUNDO MONTES EL DÍA 12/06/2021. MFS</t>
  </si>
  <si>
    <t>REALIZACION CABLEADO PARA INSTALACION DEL SISTEMA DE SEGURIDAD EN EL ESPACIO DE EVENTOS EN LA ANTIGUA HIPICA MILITAR</t>
  </si>
  <si>
    <t>SISTEMA DE INFORMACIÓN PARA LA RECOGIDA Y GESTIÓN DE LAS ITES  DE LOS INFORMES DE EVALUACIÓN DE EDIFICIOS RECITE, LOTE 7</t>
  </si>
  <si>
    <t>ROTUVALL 2009 S.L</t>
  </si>
  <si>
    <t>RENOVACIÓN CARTELES CIUDAD AMIGA DE LA INFANCIA 2021-2025 / 1 DIA</t>
  </si>
  <si>
    <t>Reparación avería en vehículo Mercedes-Atego, BFP-15, matric. 0095DWZ; SEISYPC.</t>
  </si>
  <si>
    <t>REALIZACION INSTALACION Y MANTENIMIENTO DEL SISTEMA DE SEGURIDAD DEL ESPACIO DE EVENTOS EN LA ANTIGUA HIPICA MILITAR</t>
  </si>
  <si>
    <t>SUMINISTRO E INSTALACIÓN DE SISTEMA DE SEGURIDAD EN CC DELICIAS</t>
  </si>
  <si>
    <t>2021 10 2311 623</t>
  </si>
  <si>
    <t>Instalación de medidas de seguridad (alarmas) en el local sito en Calle Pato 3. 2021</t>
  </si>
  <si>
    <t>INSTALACIÓN, CABLEADO Y PUESTA A PUNTO DE SIST. SEGURIDAD EN ESPACIO JOVEN NORTE / 1 DIA</t>
  </si>
  <si>
    <t>BRAZOS ARTICULADOS Y TIJERAS ELÉCTRICAS PARA SU UTILIZACIÓN POR EL CENTRO DE MANTENIMIENTO EN  COLEGIOS PÚBLICO. 2021</t>
  </si>
  <si>
    <t>GRUPO FONTYCLIMA MANTENIMIENTO S.L.</t>
  </si>
  <si>
    <t>LOCALIZACIÓN DE FUGA EN EL PATIO DEL COLEGIO NARCISO ALONSO CORTES PARA SU REPARACIÓN</t>
  </si>
  <si>
    <t>AXEL SPRINGER ESPAÑA, S.A.</t>
  </si>
  <si>
    <t>SUSCRIPCIÓN A LAS REVISTAS ""COMPUTER HOY"" Y ""HOBBY CONSOLAS"" PARA LAS BIBLIOTECAS PÚBLICAS Y LOS PUNTOS DE PRÉSTAMO.2021</t>
  </si>
  <si>
    <t>Expte. 5/2021  ""Seguridad y salud del contrato de obras de actuaciones y reformas en varias plazas""</t>
  </si>
  <si>
    <t>Elaboración de los Planes de Emergencias y Autoprotección de varios edificios Intervención Social 2021</t>
  </si>
  <si>
    <t>COORDINACION SEGURIDAD Y SALUD, ADECUACION CAMINOS EN VILLA DEL PRADO Y HUERTA DEL REY.</t>
  </si>
  <si>
    <t>COORDINACION SEGURIDAD Y SALUD, MEJORA DE INSTALACIONES EN PARQUE DE LAS NORIAS.</t>
  </si>
  <si>
    <t>COORDINACION SEGURIDAD Y SALUD, ACONDICIONAMIENTO PARQUE LAS LAVANDERAS, LA OVERUELA.</t>
  </si>
  <si>
    <t>COORDINACION SEGURIDAD Y SALUD ADECUACION PASARELA PARQUE DE LOS ALMENDROS.</t>
  </si>
  <si>
    <t>COORDINACION SEGURIDAD Y SALUD REMODELACION FUENTE EN PARQUE CALLE ALCAPARRA.</t>
  </si>
  <si>
    <t>COORDINACION SEGURIDADY SALUD CAMINO PAVIMENTADO JUNTO A PARQUE PATRICIA.</t>
  </si>
  <si>
    <t>COORDINACION SEGURIDAD Y SALUD, AJARDINAMIENTO LATERAL CALLE LUGANO.</t>
  </si>
  <si>
    <t>DINAMIZACIÓN EL ACTO DE ENTREGA DEL 68 PREMIO DE NOVELA ""ATENEO-CIUDAD DE VALLADOLID"" CON ESPECTACULO DE MIMO 16/09/2021</t>
  </si>
  <si>
    <t>AMPLIACION DE FUNCIONALIDADES WEB GUÍA EDUCATIVA PLAZO DE EJECUCIÓN: 1 MES</t>
  </si>
  <si>
    <t>ENTRONQUE CON RED DE DISTRIBUCION Y REFUERZO DE RED EXISTENTE ESPACIO JOVEN NORTE / 1 DIA</t>
  </si>
  <si>
    <t>COORDINACION DE SEGURIDAD Y SALUD ADECUACIÓN  CASETA DE LOS JARDINEROS EN  PARQUE DE LOS JERÓNIMOS. V.6-2020 LOTE1 PS20.</t>
  </si>
  <si>
    <t>SERVIGROUP KIRA S.L.</t>
  </si>
  <si>
    <t>REPARACION PUERTA AUTOMATICA DEL CPM VICTORIA- DURACION 1 DIA</t>
  </si>
  <si>
    <t>GRIÑON</t>
  </si>
  <si>
    <t>Compra de productos de pintura/barniz para la restauración del mobiliario de CEAS BELEN PILARICA . Agosto 2021</t>
  </si>
  <si>
    <t>SEGURIDAD Y SALUD CONTRATRO SEÑALIZACIÓN VIAL LOTE 1_Vertical</t>
  </si>
  <si>
    <t>MANTENIMIENTO SISTEMA DE SEGURIDAD PINAR DE ANTEQUERA CONEXIÓN A CRA / DURANTE 2021</t>
  </si>
  <si>
    <t>SUSTITUCIÓN PIEZAS EN EL ASCENSOR UBICADO EN LA E.I.M. LA COMETA FUERA DEL CONTRATO DE MANTENIMIENTO. PLAZO AÑO 2021</t>
  </si>
  <si>
    <t>COMPRA DE MATERIAL DE PINTURA PARA VIVIENDA EN C/ SALUD 15. 2021</t>
  </si>
  <si>
    <t>CIERRE POSTERIOR, CIMENTACION DEL ARMARIO DE CONTADORES DEL CPM RONDILLA- DURACION 1 DIA</t>
  </si>
  <si>
    <t>SUSTITUCIÓN DE MICRÓFONO JIRAFA DE LA SALA DE CONTROL DE POLICÍA MUNICIPAL.</t>
  </si>
  <si>
    <t>PROGRAMA DE MEDIACIÓN LECTORA EN LA RED DE BIBLIOTECAS MUNICIPALES DE VALLADOLID. JUNIO A SEPTIEMBRE 2021.</t>
  </si>
  <si>
    <t>PRORROGA LOTE 1 _SEÑALIZACIÓN VERTICAL_SEGURIDAD Y SALUD_Contrato señalización vial Valladolid_Agosto-Dic'2021</t>
  </si>
  <si>
    <t>JAVIER NAVARRO  ORDOÑEZ</t>
  </si>
  <si>
    <t>ESPECTÁCULO MAGIA FREDDY VARÓ LAS MORERAS DIA 02/07/2021. MFS</t>
  </si>
  <si>
    <t>ACUERDO MARCO 2017/36, ROSAL SEVILLANA.</t>
  </si>
  <si>
    <t>POINSETIA (22 UNIDADES) //// C.F. JACINTO BENAVENTE - PROG. MIXTO PQ. Y JARDINES - DURACION 1 DIA</t>
  </si>
  <si>
    <t>REPRESENTACIÓN ""LAS AVENTURAS DE CHARLOT"" PROGRAMA ""EN JUNIO LA ESGUEVA 2021""</t>
  </si>
  <si>
    <t>Compra de material de pintura para vivienda C/ Vinos de Rueda nº 22, 1º M. 2021</t>
  </si>
  <si>
    <t>CONTRATACIÓN DE ESPACIOS EN RADIO PARA DIFUSIÓN DEL PROCESO PRESUPUESTOS PARTICIPATIVOS 21-22 (290 CUÑAS)</t>
  </si>
  <si>
    <t>AC MARCO EXP V36-2017: BONDERITE C-MC 12110 DESENGRASANTE LAVADO VEHICULOS // LIMPIEZA</t>
  </si>
  <si>
    <t>ACUERDO MARCO EXPTE.:V.36_2017; LOTE 1; SUMINISTROS INDUSTRIALES PARA EL SERVICIO SEIS Y PC</t>
  </si>
  <si>
    <t>AC MARCO EXP V36-2017: SUMINISTRO DE DIFERENTES REPUESTOS  /////  DESTINO: SERVICIO DE LIMPIEZA</t>
  </si>
  <si>
    <t>ACUERDO MARCO. SUMINISTRO REMACHE ALUMINIO/ALUMINIO GESIPA // POLICÍA MPAL</t>
  </si>
  <si>
    <t>DESENGRASANTE MANTENIMIENTO / DESENGRASANTE USO GENERAL // MES AGOSTO. AM EXP V36-2017 SERVICIO LIMPIEZA VIARIA</t>
  </si>
  <si>
    <t>AC MARCO EXP V36-2017: SUMINISTRO DESENGRASANTES PARA LIMPIEZA VIARIA</t>
  </si>
  <si>
    <t>ROLLO DE FLEJE LISO NORMETA 12,7X0,70 NORMA  (10)  / CIERRE NORMETTA NB-D12 (caja 100 unds) (4) //// ALUMBRADO PUBLICO</t>
  </si>
  <si>
    <t>AC MARCO EXP V36-2017: SUMINISTROS VARIOS PARA EL Sº DE LIMPIEZA</t>
  </si>
  <si>
    <t>AC MARCO EXP V36-2017: SUMINISTROS VARIOS PARA EL SERVICIO DEL LIMPIEZA</t>
  </si>
  <si>
    <t>JOSE ANTONIO FERNANDEZ  LOBATO</t>
  </si>
  <si>
    <t>RECUPERACIÓN DATOS DE DOS DISCOS, OPOSICIÓN 3 DELINEANTES.</t>
  </si>
  <si>
    <t>BALDOSA COLEGIATA 40X20X6 BLANCA // BALDOSA COLEGIATA 40X20X6 VERDE // PALETS DE MADERA</t>
  </si>
  <si>
    <t>Estudio Seguridad ySalud Actualización de Proyecto ""Seguridad vial, mejora del firme, señalización antigua N-620"".-</t>
  </si>
  <si>
    <t>JOSÉ MARÍA CEBRIÁN RUIZ</t>
  </si>
  <si>
    <t>DIRECCION FACULTATIVA Y DE EJECUCION OBRA DE ADECUACION DEL ESPACIO MARCELINA PONCELA COMO CENTRO RESTAURACION. AÑO 2021</t>
  </si>
  <si>
    <t>Ponencia de José Miguel Morales, Director Gral de Andalucía Acoge jornada técnica de la XVIII Semana Intercultural</t>
  </si>
  <si>
    <t>JUAN ANDRES CATALINA MORENO</t>
  </si>
  <si>
    <t>ACTUACIÓN ""EL CIRCO DE LAS RANAS"" EN CC J.M. LUELMO 30/05/2021</t>
  </si>
  <si>
    <t>BERLANGA DE DUERO</t>
  </si>
  <si>
    <t>SORIA</t>
  </si>
  <si>
    <t>CONTRATACION DE REDACCIÓN DE PROYECTO Y DIRECCIÓN FACULTATIVA DE LAS OBRAS DE REPARACION DE LAS ESCALERAS DEL M DELICIAS</t>
  </si>
  <si>
    <t>COORDINACION SEGURIDAD Y SALUD EJECUCIÓN FIRME DE LOS CAMINOS DEL NUEVO BOSQUE URBANO DE SANTA ANA V.6/2020 LOTE 1 PS22.</t>
  </si>
  <si>
    <t>Mantenimiento de medidas de seguridad (alarmas) en el local sito en Calle Pato 3. De julio a diciembre de 2021</t>
  </si>
  <si>
    <t>JUAN CARLOS GOMEZ  POLA</t>
  </si>
  <si>
    <t>Material suministrado por copisteria Totem: 2º premio concurso ideas mejora CC JL Mosquera colab. con Arquitectura UVA</t>
  </si>
  <si>
    <t>JUCENA TRABAJOS FORESTALES S.L.</t>
  </si>
  <si>
    <t>TALA Y SANEAMIENTO URGENTE DE PINOS EN LA ZONA RECREATIVA PINAR DE ANTEQUERA 15 DIAS</t>
  </si>
  <si>
    <t>KISS PUBLICIDAD VALLADOLID 2005, SOCIEDAD LIMITADA UNIPERSONAL</t>
  </si>
  <si>
    <t>CONTRATACIÓN ESPACIO MEDIO COMUNICACIÓN RADIO PROCESO PRESUPUESTOS PARTICIPATIVOS 21-22 (CUÑAS)</t>
  </si>
  <si>
    <t>ORGANIZACIÓN Y GESTIÓN DE VARIAS ACTIVIDADES CULTURALES. XVIIISEMANA INTERCULTURAL. 21JUNIO A 5 JULIO 2021</t>
  </si>
  <si>
    <t>CONTRATO DE OBRAS PARA REPARACIÓN Y SUSTITUCIÓN DE PUERTAS DE MADERA EN EL CEIP FRAY LUIS DE LEON. PLAZO UN MES.</t>
  </si>
  <si>
    <t>GESTIÓN DE RESIDUOS AREA RECREATIVA PINAR DE ANTEQUERA (CIRCULO CAMPESTRE) / 1 DIA</t>
  </si>
  <si>
    <t>MATERIALES PARA TRABAJOS DE PINTURA EN CC JOSÉ M. LUELMO</t>
  </si>
  <si>
    <t>LIBNOVA, S.L.</t>
  </si>
  <si>
    <t>SOFTWARE DE ESCÁNERES PARA PROYECTOS DE DIGITALIZACIÓN DE ALTA PRODUCCIÓN, LOTE 10</t>
  </si>
  <si>
    <t>SUMINISTRO DE DIFERENTES TÍTULOS EN DVD PARA BIBLIOTECAS PUBLICAS MUNICIPALES</t>
  </si>
  <si>
    <t>VARIEDAD DE LIBROS PARA LAS BIBLIOTECAS MUNICIPALES // ALBARANES DEL MES DE JUNIO</t>
  </si>
  <si>
    <t>1 EJEMPLAR DE ""LAS IMPERFECTAS"" PARA BIBLIOTECAS MUNICIPALES. JULIO</t>
  </si>
  <si>
    <t>CUSTODIA Y CUIDADO DE 15 GALLOS PELEA</t>
  </si>
  <si>
    <t>ACUERDO  MARCO. SUM.  CORREA/ BOMBA/ RESTAURADOR FAROS / MOTOR/ LIMPIA FRENOS/ CANÓN/ FILTROS/ TENSOR/ CINTA/ BARRA</t>
  </si>
  <si>
    <t>ac marco exp. v36-2017: ADQUISICION EXTINTORES 2KG (5 UNIDADES) PARA VEHICULOS DEL SERVICIO DE LIMPIEZA</t>
  </si>
  <si>
    <t>ACUERDO MARCO. SUMINISTRO MATERIAL PARA TALLER DE REPARACIÓN DE VEHÍCULOS.</t>
  </si>
  <si>
    <t>AC MARCO EXP V36-2017: SUMINISTROS INDUSTRIALES PARA EL Sº LIMPIEZA</t>
  </si>
  <si>
    <t>ACUERDO MARCO. SUMINISTRO MATERIALES PARA TALLER DE REPARACIÓN DE VEHÍCULOS DE POLICÍA</t>
  </si>
  <si>
    <t>AC MARCO EXP V36-2017: SUMINISTRO LUBRICANTES MOTORES Y CIRCUITOS HIDRÁULICOS VEHÍCULOS Sº LIMPIEZA</t>
  </si>
  <si>
    <t>AC MARCO EXP V36-2017: ADBLUE A GRANEL (1.450 m3) VEHIUCLOS Sº LIMPIEZA  // MES JUNIO</t>
  </si>
  <si>
    <t>AC MARCO EXP V36-2017: DYNAMIC-GRASA DYNAKOTE EP-00 EC 18 K (4 UNIDADES) VEHICULOS SERVICIO LIMPIEZA</t>
  </si>
  <si>
    <t>ACUERDO MARCO. FADEIN MEGAGEL/ DESCONECTADOR BATERÍA/ ESCOBILLA LIMPIAPARABRISAS/ LIMPIADOR DE FRENOS/ MOTUL-C4</t>
  </si>
  <si>
    <t>ACUERDO MARCO.  SUMINISTRO  LLANTAS 500 ML (2) // BATERIA VARTA SILVER AGM 70 A 760EN TALLER REPARACIÓN VEHÍCULOS.</t>
  </si>
  <si>
    <t>AC MARCO EXP V36-2017: ADBLUE A GRANEL (1450 LITROS) VEHICULOS SERVICIO DE LIMPIEZA</t>
  </si>
  <si>
    <t>AC MARCO EXP V36-2017: -ANTICONGELANTE 3000 50% 185 K (2 UNIDADES) VEHICULOS SERVICIO DE LIMPIEZA</t>
  </si>
  <si>
    <t>AC MARCO EXP V36-2017: FILTROS HIDRÁULICOS PARA VEHICULOS SERV. DE LIMPIEZA</t>
  </si>
  <si>
    <t>AC MARCO EXP V36-2017: SUMINISTRO LUBICANTE HIDRÁULICO PARA VEHICULOS DEL SERV. DE LIMPIEZA // AGOSTO</t>
  </si>
  <si>
    <t>ADITIVOS GASOIL VEHIUCLOS: AK-ADIGAS 6 CTN 25 L (2 UDS) // KLINER FUNGY OIL B2B OPACA BLANCA 25L (SERVICIO DE LIMPIEZA)</t>
  </si>
  <si>
    <t>AC MARCO EXP V36-2017: ADBLUE A GRANEL (1.300) / ADBLUE A GRANEL (1.050) // VEHICULOS SERVICIO DE LIMPIEZA // AGOSTO</t>
  </si>
  <si>
    <t>ACUERDO MARCO. SUMINISTRO MATERIALES PARA TALLER DE REPARACIÓN DE VEHÍCULOS DE  POLICIA MPAL</t>
  </si>
  <si>
    <t>ACUERDO MARCO. SUMINISTRO TALLER REPARACIÓN VEHÍ.  BATERIA VARTA  (2) / MOTUL-7100 (4) / APORTACIÓN SIGAUS (4) POLICÍA</t>
  </si>
  <si>
    <t>AC MARCO EXP V36-2017: FILTRO HIDRAULICO SH-67371 VEHICULOS SERVICIO DE LIMPIEZA</t>
  </si>
  <si>
    <t>LUIS CARLOS GARCILLAN OTERO</t>
  </si>
  <si>
    <t>Suministro de gafas de protección graduadas. 4 monturas con lentes monofocales y 4 monturas con lentes progresivas.-</t>
  </si>
  <si>
    <t>LIBROS PARA LAS BIBLIOTECAS PÚBLICAS // LIBRERÍA PAPIRO. JULIO</t>
  </si>
  <si>
    <t>METACRILATO BURDEOS PARA CC ZONA SUR</t>
  </si>
  <si>
    <t>METACRILATO PARA REPARAR LOS CARROS DEL JACINTO BENAVENTE DEL CENTRO DEF ORMACION PARA EL EMPLEO- DURACION 1 DIA</t>
  </si>
  <si>
    <t>LAERDAL MEDICAL  AS</t>
  </si>
  <si>
    <t>15 collarines para adulto STIFNECK; Servicio de Extinción de Incendios, Salvamento y Protección Civil.</t>
  </si>
  <si>
    <t>REPARACION SOLERA DUCHAS VESTUARIO PERSONAL MASCULINO EN C/ TOPACIO 63. SERVICIO DE LIMPIEZA.</t>
  </si>
  <si>
    <t>SUMINISTRO DE PVC FLEX PARA LA INSTALACION DE PROTECTORES DE PUERTAS QUE SE DISTRIBUIRAN POR LAS E.I.M. 2021</t>
  </si>
  <si>
    <t>2021 04 3121 623</t>
  </si>
  <si>
    <t>Adquis. dos aparatos magnetoterapia Iacer I-Tech Mag2000 para tratamientos de electroterapia en empleados. Salud Laboral</t>
  </si>
  <si>
    <t>MANUSA DOOR SYSTEMS SL U</t>
  </si>
  <si>
    <t>CONTRATO MENOR SUMINISTRO E INSTALACION PUERTA CORREDERA ENTRADA PRINCIPAL CENTRO GALERIAS VALLADOLID</t>
  </si>
  <si>
    <t>SUMINISTRO DE DIFERENTES TÍTULOS //// PARA BIBLIOTECAS PUBLICAS MUNICIPALES. AGOSTO</t>
  </si>
  <si>
    <t>PRUEBAS PSICOTÉCNICAS PARA LA PROVISIÓN DE 20 AGENTES DE LA P.M. -mjsi.</t>
  </si>
  <si>
    <t>ENTREVISTA PERSONAL CON ASPIRANTE A PROMOCIÓN INTERNA PLAZAS SUBINSPECTOR POLICÍA MUNICIPAL. PRUEBA PSICOTÉCNICA.</t>
  </si>
  <si>
    <t>ESPECTÁCULO EN LA OVERUELA 13/06/2021 MFS</t>
  </si>
  <si>
    <t>DISEÑO DE CARTELERÍA, ROLLUP, INSTAGRAM, MANIFIESTO Y MOCHILA PARA CAMPAÑA LGTBI 2021 / 1 DIA</t>
  </si>
  <si>
    <t>MARMOLERA VALLISOLETANA, S.A.</t>
  </si>
  <si>
    <t>SUMINISTRO DE PIEDRA PARA REVESTIMIENTOS EN COLEGIOS PÚBLICOS POR PARTE DEL CENTRO DE MANTENIMIENTO- 2021</t>
  </si>
  <si>
    <t>REAJUSTE ANUALIDADES CONTRATO DE SERVICIOS DE GESTION Y DESARROLLO DE LAS ACTIVIDADES INFANTILES EN EPOCA DE VACACIONES</t>
  </si>
  <si>
    <t>MATERIALES PARA SALA PLENOS DEL AYTO/ CERRAMIENTO ALMACÉN/ PATRIMONIO/ SAN BENITO, OFICINA 4/ CTRO DE PROYECTOS</t>
  </si>
  <si>
    <t>TIRAFONDOS/ TABLERO/ GUIAS CAJÓN/ TIRADOR/ RECHAPADO/ JAMBA PINO (GALERIAS VALLADOLID)</t>
  </si>
  <si>
    <t>MELANINA PORO/ TACON PREENCOLADO/ PERFIL PINO/ CANTO PVC/ TIRADOR/ GUIAS CAJÓN/ RUEDA GIRATORIA (SALUD PÚBLICA)</t>
  </si>
  <si>
    <t>MANT,SUMINISTROS DE PLETINA PVC/ RODAPIE/ MELAMINA/ TIRAFONDOS (CPM HTA DEL REY  Y PTE COLGANTE)DURAC 1 DIA. A. MARCO</t>
  </si>
  <si>
    <t>TABLERO OKUMEN 7 MM (BIBLOTECA FRANCISCO PINO). JULIO</t>
  </si>
  <si>
    <t>F-8946. MARINO DE LA FUENTE. CERRADURA 2030/HN CANTO REDONDO (CENTRO INTEGRADO) 1 DIA</t>
  </si>
  <si>
    <t>ALBARAN DE ENTREGA VA21/3501: MANILLA (1 UD) // CENTRO INTEGRADO ZONA ESTE</t>
  </si>
  <si>
    <t>MARIO CORREA PARDO</t>
  </si>
  <si>
    <t>DESARROLLO SISTEMA GEOPOSICIONAMIENTO EN BASE FILMAKER Y REPARACIÓN SIRENA MARTIN HORNER EN AEA-10//EXTINCION INCENDIOS</t>
  </si>
  <si>
    <t>COORDINACION SEGURIDAD Y SALUD PARA LA OBRA DE REPARACION SOLERA Y ZONA DE CUBIERTA EIM CAMPANILLA</t>
  </si>
  <si>
    <t>CARTELES Y FLYERS PARA VOTACIONES PRESUPUESTOS PARTICIPATIVOS</t>
  </si>
  <si>
    <t>MUPIS (26 uds.) Y 100 CARTELES A3 COLOR. PRESUPUESTOS PARTICIPATIVOS</t>
  </si>
  <si>
    <t>IMPRESIÓN A COLOR EN LONA 100 x 200 cm CON ESTRUCTURA ROLL-UP</t>
  </si>
  <si>
    <t>META 4 SPAIN, S.A.</t>
  </si>
  <si>
    <t>SISTEMA DE GESTIÓN DE PERSONAL Y NÓMINA: LICENCIAS MET4MIND SECTOR PÚBLICO, LOTE 4</t>
  </si>
  <si>
    <t>GESTOR DE BASES DE DATOS DOCUMENTALES DEL ARCHIVO MUNICIPAL -KNOSYS, LOTE 9</t>
  </si>
  <si>
    <t>MOISÉS CERREDUELA HERNÁNDEZ</t>
  </si>
  <si>
    <t>Concierto joven cantante Estrella Mendoza, espacio joven el día 25 de junio de 2021.XVIII Semana Intercultural</t>
  </si>
  <si>
    <t>SERVICIOS TECNICOS DE REPARACION DISTINTOS CENTROS DEL SERVICIO DE PARTICIPACIÓN CIUDADANA</t>
  </si>
  <si>
    <t>PRÓRROGA CONTRATO ASISTENCIA DE EQUIPOS AUDIOVISUALES (DEL 4/10/2021 AL 31/12/2021)</t>
  </si>
  <si>
    <t>Recarga de botella de oxígeno medicinal; SEISYPC.</t>
  </si>
  <si>
    <t>redac.15,51 coord.seg.y salud 155,07 obras reparación e impermeab.aseos Centro Integrado para pers.sin hogar. COVID-19</t>
  </si>
  <si>
    <t>Ponencia técnica e jornada 25-junio  XVIII Semana Intercultural-La diversidad cultural y las conductas que lo niegan.</t>
  </si>
  <si>
    <t>MOVIMIENTOS, OBRAS PUBLICAS, INDUSTRIALES Y SERVICIOS AGRICOLAS,SL</t>
  </si>
  <si>
    <t>A.T. VIGILANCIA HOMOLOGADA LÍNEA FERROVIARIA AV TRASLADO TEMPORAL ELEMENTOS INFRAES.FERROVIARIA Y ELECTRIFI-CACIÓN.</t>
  </si>
  <si>
    <t>ZAIDIN</t>
  </si>
  <si>
    <t>MULTIPRENSA DE CASTILLA Y LEÓN, S.L.</t>
  </si>
  <si>
    <t>2021 06 2314 626</t>
  </si>
  <si>
    <t>SISTEMA PARA CONECTAR DISPOSITIVOS INFORMATICOS AL PROYECTOR DEL AUDITORIO EN EL ESPACIO JOVEN SUR 1 DIA</t>
  </si>
  <si>
    <t>2021 06 2314 633</t>
  </si>
  <si>
    <t>REPOSICION PANTALLA ELECTRICA EN EL ESPACIO JOVEN SUR 1 DIA</t>
  </si>
  <si>
    <t>NÁUTICA CÁDIZ, S.L.</t>
  </si>
  <si>
    <t>Kit para realizar las revisiones anuales de los 5 motores de las barcas de rescate acuático; SEISYPC.</t>
  </si>
  <si>
    <t>CADIZ</t>
  </si>
  <si>
    <t>COORDINACIÓN DE SEGURIDAD Y SALUD EN LA OBRA DE REPARACIÓN GOTERAS EN CASA NIÑAS Y NIÑOS MAESTRO CLAUDIO</t>
  </si>
  <si>
    <t>NORTHMATIC INGENIERIA, S.L.U.</t>
  </si>
  <si>
    <t>SUMINISTRO Y EXPLOT. NANOSENSORES CONTAMINACIÓN ATMOSFÉRICO ZONA BAJAS EMISIONES DE VALLADOLID. SERVICIO MEDIO AMBIENTE</t>
  </si>
  <si>
    <t>CASTRO-URDIALES</t>
  </si>
  <si>
    <t>REPARACIÓN RIEGO AUTOMÁTICO EN CC CANAL DE CASTILLA</t>
  </si>
  <si>
    <t>TECNO VALLADOLID,S.L.</t>
  </si>
  <si>
    <t>PUESTA EN MARCHA CALDERA EN VIVIENDA CALLE SALUD 15, 2º DERECHA. AGOSTO 2021</t>
  </si>
  <si>
    <t>ESPECTÁCULO DE TITERES. LAS MORERAS 23/07/2021. MFS</t>
  </si>
  <si>
    <t>AURICULARES Y CABLE DE RED PARA SALA DE AUDIVISUALES DEL CENTRO DE FORMACION PARA EL EMPLEO- DURACION 1 DIA</t>
  </si>
  <si>
    <t>COORDINACION SEGURIDADY SALUD OBRA DE REPARACION ESCALERAS MERCADO DE LAS DELICIAS</t>
  </si>
  <si>
    <t>MANT. SUMINISTRO DE PINTURA PARA REPARACIONES DEL CPM PTE. COLGANTE- DURACION 1 DIA</t>
  </si>
  <si>
    <t>Ampliación contrato consumo para varias terminales durante el 2021. COVID-19</t>
  </si>
  <si>
    <t>OXIDINE WATER TECHNOLOGY, S.L.</t>
  </si>
  <si>
    <t>TRATAMIENTO DESINFECCIÓN INSTALACIÓN DE FRIO DEL EDIFICIO MUNICIPAL DE SAN BENITO.</t>
  </si>
  <si>
    <t>BERGONDO</t>
  </si>
  <si>
    <t>SUSTITUCIÓN BOMBAS DOSIFICADORAS EN TORRE DE EVAPORACIÓN EN EL EDIF.MUNICIPAL DE SAN BENITO.</t>
  </si>
  <si>
    <t>SUSTITUCIÓN TARJETA DE RELÉS EQUIPO CC ZONA SUR (PARTE DEL DÍA 14/06/2021)</t>
  </si>
  <si>
    <t>RATÓN SOBREMESA PARA PORTÁTILES CENTROS CÍVICOS (4 UDS.)</t>
  </si>
  <si>
    <t>SUMINISTRO. REPOSICION DESTRUCTORA DE PAPEL CENTRO DE ESCUELAS INFANTILES. 1 DÍA.</t>
  </si>
  <si>
    <t>PAPELERIA SOMAR, S.L.</t>
  </si>
  <si>
    <t>SUMINISTRO DE FONDOS BIBLIOGRÁFIC OS PARA BIBLIOTECAS MPALES Y ARCHIVO MPAL /// EXPTE: SE-EIJI 19/2020</t>
  </si>
  <si>
    <t>VILLANUEVA DE LOS INFANTES</t>
  </si>
  <si>
    <t>CIUDAD REAL</t>
  </si>
  <si>
    <t>PAPELES Y PLASTICOS S.L.</t>
  </si>
  <si>
    <t>ADQUISICION MATERIAL ORDINARIO NO INVENTARIABLE ALMACEN, BOLSAS DE PAPEL AYTO. VALLADOLID, R.I.</t>
  </si>
  <si>
    <t>CHARLA TALLER ONLYFANS CELEBRADA EN EL CENTRO MUNICIPAL DE IGUALDAD EL 29 DE JUNIO DE 2021</t>
  </si>
  <si>
    <t>REALIZACIÓN INFOGRAFÍAS NUEVOS PASOS INFERIORES FERROVIARIOS EN C/P.CLARET,C/ESTACIÓN Y SALIDA C/GUIPÚZCOA FRT. M.DELICI</t>
  </si>
  <si>
    <t>ROTULACIÓN DE LA PUERTA DERECHA DEL COCHE AURIS DEL SERVICIO DE MEDIO AMBIENTE.</t>
  </si>
  <si>
    <t>PET´S WORLD, S.L.</t>
  </si>
  <si>
    <t>CABEZAL CUCHILLA MAQUINA CMPA</t>
  </si>
  <si>
    <t>TRABAJOS DE REPARACIÓN, MANTENIMIENTO Y PROTECCIÓN DE ELEMENTOS DE MADERA EN EL EDIFICIO DEL ARCHIVO MUNICIPAL, AÑO 2021</t>
  </si>
  <si>
    <t>INCREMENTO POR SER MAS METROS DE LOS PRESUPUESTADOS PARA PINTURA DEL APARCAMIENTO. SERVICIO DE LIMPIEZA.</t>
  </si>
  <si>
    <t>REPARTO DIPLOMAS CONSEJO DE LA INFANCIA POR CENTROS ESCOLARES / 1 DIA</t>
  </si>
  <si>
    <t>PLACA Y CARTELES IDENTIFICATIVOS ESPACIO AMIGO CIC LA OVERUELA. PLACA CONMEMORATIVA CC ESGUEVA</t>
  </si>
  <si>
    <t>ADQUISICION PLACA HOMENAJE GITANOS GRAN REDADA, R.I.</t>
  </si>
  <si>
    <t>2021 06 2314 22609</t>
  </si>
  <si>
    <t>PLAY GENERATION, SOCIEDAD LIMITADA</t>
  </si>
  <si>
    <t>PLAY DIGITAL DAYS: ENCUENTRO VIRTUAL PARA LA PROMOCIÓN E IMPULSO DEL ECOSISTEMA DIGITAL EN LOS ESPACIOS JOVENES / 2 DIAS</t>
  </si>
  <si>
    <t>ARMILLA</t>
  </si>
  <si>
    <t>PLENA INCLUSION CASTILLA Y LEON</t>
  </si>
  <si>
    <t>ADAPTACION A LF  , DISEÑO ACORDE A LAS REGLAS LF Y CON PICTOGRAMAS  DEL REGLAMENTODEL ALBERGUE  - DURACION 1 DIA</t>
  </si>
  <si>
    <t>Diseño de imagen, maquetación y traducción de tablas salariales de trabajadores/as del sector del serv. doméstico. 2021</t>
  </si>
  <si>
    <t>Ponencia de Sophia Gómez en la jornada técnica de la XVIII Semana Intercultural 2021</t>
  </si>
  <si>
    <t>CONSERVACION Y MANTENIMIENTO DE LOS INMUEBLES ADSCRITOS AL AREA DE EDUCAC., INFANC., JUVENTUD E IGUALDAD // ENERO</t>
  </si>
  <si>
    <t>SERVICIOS CONSERV.-MNTO DE LOS INMUEBLES ADSCRITOS AL AREA DE EDUCACION / EXPTE: SE EIJI 11/20- LOTE 1 / MES FEBRERO-21</t>
  </si>
  <si>
    <t>SUMINISTRO FILM POLIETILENO NATURAL G-400 MTS PARA LA ELABORACIÓN DE MAMPARA PARA LA CONSERJERÍA DEL C.E.I.P. Mª MOLINA.</t>
  </si>
  <si>
    <t>PAPEL BLANCO  PARA  LA IMPRESION  DE LAS INSCRIPCIONES DE ENVEJECIMIENTO ACTIVO REALIZADAS EN LA IMPRENTA MUNICIPAL</t>
  </si>
  <si>
    <t>COORDINACIÓN SEGURIDAD OBRA ARREGLO GOTERAS Y HUMEDADES TEJADO CIC CONDE ANSÚREZ. LOTE 3</t>
  </si>
  <si>
    <t>PROINFO  SERVICIOS Y SISTEMAS S.L.</t>
  </si>
  <si>
    <t>TABLET PARA LOS CENTROS DE PERSONAS MAYORES, 47 UNIDADES- DURACION 1 DIA</t>
  </si>
  <si>
    <t>COORDINACIÓN SEGURIDAD EN OBRA ARREGLO INTEGRAL DEL TEJADO CC PILARICA. LOTE 1</t>
  </si>
  <si>
    <t>ACUERDO MARCO. SUMINISTRO DE MATERIAL PARA TALLER DE REPARACIÓN DE VEHÍCULOS DE POLICÍA MUNICIPAL.</t>
  </si>
  <si>
    <t>AC MARCO EXP V36-2017: SUMINISTRO SEPIOLITA 20KG. 15-30 (20) // LIMPIEZA DERRAMES DE FLUIDOS DE VEHICULOS</t>
  </si>
  <si>
    <t>ACUERDO MARCO SUMINISTROS: JUNTA RACOR  STORZ KA-66 NBR (60) ///// DESTINO: SERVICIO DE EXTINCION DE INCENDIOS</t>
  </si>
  <si>
    <t>ACUERDO MARCO. SUMINISTRO DE MATERIAL PARA TALLER DE REPARACIONES DE POLICÍA MUNICIPAL.</t>
  </si>
  <si>
    <t>CONTRATACIÓN DE ESPACIOS EN RADIO PARA DIFUSIÓN DEL PROCESO PRESUPUESTOS PARTICIPATIVOS 21-22 (28 CUÑAS)</t>
  </si>
  <si>
    <t>RECAUCHUTADOS ANTONIO NIETO, S.L.U.</t>
  </si>
  <si>
    <t>Reparación de pinchazos y equilibrado de neumáticos en vehículos adscritos al SEPI durante el año 2021.-</t>
  </si>
  <si>
    <t>REHABILITACION CONSTRUCCION PROMOCION NUCLEO, S.A.</t>
  </si>
  <si>
    <t>CONTRATO DE OBRAS DE REFORMA DEL CENTRO MUNICIPAL DE PROTECCION ANIMAL</t>
  </si>
  <si>
    <t>Modificación de la instalación del gas en la vivienda municipal sita en c/ Soto 58, 1º A</t>
  </si>
  <si>
    <t>AC MARCO EXP V36-2017: SUMINISTRO INDUSTRIALES PARA LOS TRABAJOS DEL SERVICIO DE LIMPIEZA // PEDIDOS DEL MES DE JUNIO</t>
  </si>
  <si>
    <t>AC MARCO EXP V36-2017: GARRAS Y MANGOS CEPILLOS BARRIDO PARA LIMPIEZA VIARIA</t>
  </si>
  <si>
    <t>BARRENDERO ROJO 520 5/F 520X65MM / ESCOBIJO BARRENDERO / MANGO / GARRA ESP./ PALA ALUMUNIO. AN EXP V36-2017. Sº L V</t>
  </si>
  <si>
    <t>AC MARCO EXP V36-2017: REPUESTOS PARA EL SERVICIO DE LIMPIEZA // PEDIDOS DEL MES DE JULIO</t>
  </si>
  <si>
    <t>ESCOBIJO BARRENDERO CON MANGO 90MM (36) / PALA ALUMINIO MANGO MADERA (6). AM EXP V36-2017. SERVICIO LIMPIEZA VIARIA.</t>
  </si>
  <si>
    <t>AC MARCO EXP V36-2017: ESCOBIJO BARRENDERO CON MANGO 90MM (48 UDS) // FECHA PEDIDO 07/07/2021</t>
  </si>
  <si>
    <t>Horas Camión Grúa (5 uds) / Saco cemento gris 25kg 32.5R (378 uds)</t>
  </si>
  <si>
    <t>Saco Cemento Gris 25kg 32.5R (378)  / Saco Cemento Blanco (15)  / Saco de Yeso Tosco (15)</t>
  </si>
  <si>
    <t>M2 BALDOSA ESTRELLA PULIDA 40X40 (55) ////  DESTINO: PAVIM. V. PUBLICAS</t>
  </si>
  <si>
    <t>COORDINACIÓN SEGURIDAD OBRA ARREGLO INTEGRAL TEJADO ANFITEATRO CC PARQUESOL. LOTE 2</t>
  </si>
  <si>
    <t>DISEÑO Y MAQUETACIÓN DEL PLAN ESTRATÉGICO DE TRANSFORMACIÓN DIGITAL E INNOVACIÓN, APLICADA DE LA CIUDAD DE VALLADOLID.</t>
  </si>
  <si>
    <t>RUBEN BORJAS ESCUDERO</t>
  </si>
  <si>
    <t>Actividades de verano Aramburu-Plan de Convivencia</t>
  </si>
  <si>
    <t>SUMINISTRO DE REVISTAS PARA LAS BIBLIOTECAS MUNICIPALES. PLAZO AÑO 2021.</t>
  </si>
  <si>
    <t>PLACA CONMEMORATIVA GRABADA A LASER, STA. RITA 20. -mjsi.</t>
  </si>
  <si>
    <t>MANT.SUMINISTRO DE PLATO DE DUCHA ,DESMONTAJE  Y MONTAJEMAMPARA DEL BAÑO  DE LAS E. DIURNAS DEL CPM ARCA REAS-DURA 1 DIA</t>
  </si>
  <si>
    <t>ALQUILER DE PLATAFORMA ARTICULADA EN CC. DELICIAS (16/07/2021) PARA TRABAJOS EN ALTURA</t>
  </si>
  <si>
    <t>EJECUCION OBRA VALLADO DE LOS EDIFICIOS DE LA PARCELA DE LA ANTIGUA HIPICA MILITAR</t>
  </si>
  <si>
    <t>2021 06 2314 609</t>
  </si>
  <si>
    <t>SUMINISTRO E INSTALACIÓN DE FUENTE Y FREGADERO EXTERIOR EN EL ÁREA RECREATIVA DEL PINAR DE ANTEQUERA / 1 DIA</t>
  </si>
  <si>
    <t>Reserva patio-jardín y consumiciones en Claurura de dos cursos de Referentes Culturales para personas inmigrantes.</t>
  </si>
  <si>
    <t>Servicio de hostelería, reserva de patio-jardín y consumiciones para café-tertulia. XVIII Semana Intercultural 2021</t>
  </si>
  <si>
    <t>Reserva patio-jardín y consuminciones en clausura de dos Cursos de Referentes Culturales para personas inmigrantes-mayo</t>
  </si>
  <si>
    <t>Recarga periódica de las botellas de O2 y de Ar/CO2 para los equipos de oxicorte de la Brigada de Forja.</t>
  </si>
  <si>
    <t>SUMINISTRO MATERIAL PARA PINTAR INTERIORES DISTINTAS DEPENDENCIAS MUNICIPALES</t>
  </si>
  <si>
    <t>Suministro de pinturas de todo tipo, disolventes y herramientas de pinturas según necesidades, mes de junio.</t>
  </si>
  <si>
    <t>Compra de material de pintura para vivienda en Calle CAMINO VIEJO DEL POLVORIN 43, 3º D</t>
  </si>
  <si>
    <t>Suministro de material diverso ( esmalte, disolvente, rodillo...)  con destino a ALUMBRADO PÚBLICO. S.E.P.I.</t>
  </si>
  <si>
    <t>SUMINISTRO DE HIERROS PARA INTERVENCIONES EN COLEGIOS PÚBLICOS  POR PARTE DEL CENTRO DE MANTENIMIENTO. AÑO 2021</t>
  </si>
  <si>
    <t>SUMINISTRO DE HIERROS PARA INTERVENCIONES EN LAS ESCUELAS INFANTILES MUNI POR PARTE DEL CENTRO DE MANTENIMIENTO. 2021.</t>
  </si>
  <si>
    <t>SUMINISTRO MATERIAL PARA REPARACIONES, CHAPA GALVANIZADA 5 UNIDADES  Y PLETINA PARA EL CPM ARCA REAL- DURACION 1DIA</t>
  </si>
  <si>
    <t>SUMINISTRO DE MATERIAL PARA REPARACIONES(PLETINA, ANGULO) PARA EL JACINTO BENAVENTE-DURACION 1 DIA</t>
  </si>
  <si>
    <t>SEGURIDAD INDUSTRIAL, MEDIO AMBIENTE Y CALIDAD, S.L.</t>
  </si>
  <si>
    <t>INSPECCIÓN TÉCNICA PERIODICA ANUAL DEL ASCENSOR SITO EN C/ TOPACIO, 63, INSTALACIONES DEL Sº DE LIMPIEZA</t>
  </si>
  <si>
    <t>SERMANINT HISPANIA, S.L. (SERVICIOS DE MNTO INTEGRAL)</t>
  </si>
  <si>
    <t>PUESTA A PUNTO DE LA CALDERA DEL CENTRO MUNICIPAL DE ACÚSTICA. SERVICIO DE MEDIO AMBIENTE</t>
  </si>
  <si>
    <t>COORDINACIÓN SEGURIDAD OBRA RECONSTRUCCIÓN DEL ACCESO AL CEAS CC DELICIAS. LOTE 4</t>
  </si>
  <si>
    <t>Servicio SMA Centros de Mayores // Cuota Diciembre 2020</t>
  </si>
  <si>
    <t>Servicio SMA Centros de Mayores // Cuota Noviembre 2020</t>
  </si>
  <si>
    <t>SERVICIOS MICROINFORMATICA, S.A.  (SEMIC)</t>
  </si>
  <si>
    <t>SUSCRIPCIONES A AVID MEDIA COMPOSER, ADOBE:  CREATIVE CLOUD, PHOTOSHOP  Y A ACROBAT DC, LOTE 15</t>
  </si>
  <si>
    <t>LLEIDA</t>
  </si>
  <si>
    <t>Servicio mantenimiento equipos durante el mes de Enero 2021 (Colegios Públicos)</t>
  </si>
  <si>
    <t>SOCEVALL HERMANOS VALLES, S.L.</t>
  </si>
  <si>
    <t>SUSTITUCIÓN DE LAMAS ROTAS (POR ACTO VANDÁLICO) EN CC CANAL DE CASTILLA</t>
  </si>
  <si>
    <t>35 CUÑAS DE LUNES A DOMINGO PROCESO PRESUPUESTOS PARTICIPATIVOS DE 14 A 28 DE JUNIO</t>
  </si>
  <si>
    <t>PRORROGA CONTRATO SERVICIOS POSTALES  DE JULIO A DICIEMBRE 2021</t>
  </si>
  <si>
    <t>Suministro de AUTOGAS a vehículos del Servicio de Espacio Público e Infraestructuras. Año 2021.-</t>
  </si>
  <si>
    <t>Redacción EBSS del Proyecto de Reparación de estructuras, mobiliario y edificio en Plaza de la Solidaridad.-</t>
  </si>
  <si>
    <t>CONTRATO SERVICIO DE BUSQUEDA DE RESTOS DE LA CAPILLA LAS MARAVILLAS MEDIANTE MICROPERFORACIONES EN LOCAL B SANTANDER</t>
  </si>
  <si>
    <t>ERROR EN EL CALCULO DEL IVA EN PAG ANTERIOR/ AD COMPLEMENTARIO AL AD Nº 920210014657</t>
  </si>
  <si>
    <t>SUMINISTRO DE DIFERENTES REPUESTOS /// DESTINOS: C.C. RONDILLA - C.C.DELICIAS - CC PILARICA - CIC CONDE ANSUREZ</t>
  </si>
  <si>
    <t>SUMINISTRO REPUESTOS/ DESTINOS C.P.: ALONSO BERRUG.- FCO PINO- EL CORRO- GINER RIOS- MARTIN B.-GAB.Y GALAN- COLEG junio</t>
  </si>
  <si>
    <t>MATERIALES PARA EL MANTENIMIENTO (PARKING PLAZA MAYOR / PARQUE MANTENIMIENTO)</t>
  </si>
  <si>
    <t>ACUERDO MARCO. SUMINISTRO DE MATERIAL DE FONTANERIA PARA REPARACIONES DEPENDENCIAS DE POLICÍA MUNICIPAL.</t>
  </si>
  <si>
    <t>ACUERDO MARCO 2017/36, MATERIAL DE FONTANERIA.</t>
  </si>
  <si>
    <t>F-7553. GARCICHAO. D2P CON TIRANTE PULSADOR ENRAS/KIT G PULSADOR ENRAS/KIT TAPON LIMP URINARI SUSP. CEAS CENTRO 1 DIA</t>
  </si>
  <si>
    <t>AC MARCO EXP. V36-2017: SUMINISTRO MATERIAL FONTANERIA Y SANEAMIENTO (LIMPIEZA, C/ GARCÍA LESMES)</t>
  </si>
  <si>
    <t>MANT. REDUCCIÓN EXCÉNTRICA,TAPÓN REDUCC, MANGUITO, CODOS, TUBERÍA , SOLDADOR COLLAK DEL C.F. PARA EL EMPLEO- DURAC 1 DIA</t>
  </si>
  <si>
    <t>MANT. SUMINISTRO DE DOSIFICADOR JABON VISION 1,4LT ( 1 UNID.) / DESTINO: CPM HUERTA DEL REY -DURACION 1 DIA</t>
  </si>
  <si>
    <t>VALVULA ESF.GENEBRE 3/4 MH MARIPO (2) / CODO 90º ROSCA METAL H 25 (2) / TAPÓN LATÓN (2) // RECINTO FERIAL</t>
  </si>
  <si>
    <t>SUMINISTRO REPARACIONE-DISPENS PAPEL(CPM PUENTE COLGANTE) / MECANISMO UNIVERSAL ROCA E/LATERAL (CPM ZONA ESTE)DUR 1 DIA</t>
  </si>
  <si>
    <t>AC MARCO EXP. V36-2017: MATERIALES DE FONTANERIA PARA REPARACION EN VESTUARIOS PRADO DE LA MAGDALENA)</t>
  </si>
  <si>
    <t>F-7951. SUMINISTROS GARCICHAO, S.L. DOSIFICADOR JABON VISION 1,4LT. COMEDOR SOCIAL. 1 DIA</t>
  </si>
  <si>
    <t>MANT. SUMINISTRO DE ASIENTO PRESTOWASH 700ASIENTO-TAP ///   DESTINO: CPM JOSE LUIS MOSQUERA-DURACION 1 DIA</t>
  </si>
  <si>
    <t>MATERIALES PARA EL MANTENIMIENTO // CP FCO PINO/ CP SAN FERNANDO/ CP GINER DE LOS RIOS/ CP GARCÍA QUINTANA. junio</t>
  </si>
  <si>
    <t>PRESTO CABEZA F-C/P 1028 (NARCISO ALONSO CORTÉS). julio</t>
  </si>
  <si>
    <t>SUMINISTRO DE REPUESTOS Y MATERIAL DIVERSO/ DESTINOS: C.P. ENTRERRIOS- CP NARCISO CORTÉS- CP ALLUE MORER. julio</t>
  </si>
  <si>
    <t>SUMINISTRO BOMBAS ACHIQUE AGUA DESDE TERCER SÓTANO A CALLE EN ARCHIVO MUNICIPAL</t>
  </si>
  <si>
    <t>SUMINISTRO DE MATERIAL /// DESTINOS: CP. NARCISO A. CORTES- CP PONCE LEON - CP SAN FRANCISCO - EDUCACION. AGOSTO</t>
  </si>
  <si>
    <t>SUMINISTRO DE PIEZAS Y RECAMBIOS ////   DESTINO: GUARDERIA INFANTIL PLATERO . AGOSTO</t>
  </si>
  <si>
    <t>SUMINISTRO DE MATERIAL Y RECAMBIOS. DESTINOS: C.P. NARCISO A. CORTES, C.P. PONCE DE LEON Y CP. GINER DE LOS RIOS. AGOSTO</t>
  </si>
  <si>
    <t>FILTRO VAPORES/ DESATASCADOR/ FILTRO ELIPSE/ DOSICO-DISPENS PAPEL/ DOSIFICADOR JABÓN/ ESCOBILLERO // MANTENIMIENTO</t>
  </si>
  <si>
    <t>LOCTITE 55 HILO SELLADOR TUBERIAS / RED. HEXAGONAL / ENLACE ROSCA METAL (CP NARCISO ALONSO CORTÉS). AGOSTO</t>
  </si>
  <si>
    <t>GOMA TOPE REBOSADERO/ PRESTO URINARIO/ MASILLA POLIMERO BLANCO/ PRESTO ENLACE URINARIO (CC PARQUESOL)</t>
  </si>
  <si>
    <t>CAMPANA UNIVERSAL ECO CYCLO 10 3G/ FOMINAYA-FLOTADOR FENYX E/LATERAL (SANTA ANA)</t>
  </si>
  <si>
    <t>MANT. SUMINISTRO DE  TUBO POLIET BD 10 ATM Y ENLACE RECTO METAL: CPM DELICIAS- DURACION 1 DIA- A. MARCO</t>
  </si>
  <si>
    <t>AIREADOR GRIFO MACHO / MECANISMO UNIVERSAL ROCA  / LATIGUILLO FLEX ////  DESTINO: C.C. JOSE LUIS MOSQUERA</t>
  </si>
  <si>
    <t>ACUERDO MARCO. COLLAK-DESATASCADOR 1 LT ACIDO DEPENDENCIAS POLICÍA (POLICÍA, AVDA DE BURGOS)</t>
  </si>
  <si>
    <t>CIERRA PUERTAS DORMAN TS 68 (3 UDS) // CENTRO SEGUNDO MONTES</t>
  </si>
  <si>
    <t>AC MARCO EXP V36-2017: SUMINISTRO CERRADURA PARA VESTUARIO LIMPIEZA VIARIA (PILARICA LOS SANTOS)</t>
  </si>
  <si>
    <t>CIERRA PUERTAS TELESCO 33 (1 UNID.) // DESTINO: CEIP GONZALO DE CORDOBA -  RETIRA EL TECNICO. JUNIO</t>
  </si>
  <si>
    <t>KIT CERRADURA ARREGUI CER10 (3)/ SILICONA NEUTRA BLANCA (6) // CIC CONDE ANSÚREZ</t>
  </si>
  <si>
    <t>BROCA DIN338 HSS RECT.D3 (10)/ BROCA D.338 HSS D3.50 (10) // MANTENIMIENTO - TALLER DE CERRAJERÍA</t>
  </si>
  <si>
    <t>CERRADURA CORREDERA (3)  / CEYS MONTACK XPRESS (1) /// DESTINO: CP MIGUEL DELIBES - RETIRA EL TECNICO. junio</t>
  </si>
  <si>
    <t>BURLETE AMIG MOD.2-100 PLATA (4 UDS) // CEIP MARINA ESCOBAR. JUNIO</t>
  </si>
  <si>
    <t>BURLETE AMIG MOD.2-100 PLATA (2) / PUNTA DESTORNILLADOR WIHA PH 2X25 TITANI (2) // CEIP GARCÍA QUINTANA. JUNIO</t>
  </si>
  <si>
    <t>MANT. SUMINISTRO DE M.BAS.2246/20E13AI PARA REPARACIONES DEL  C.P.M. RONDILLA- DURACION 1 DIA</t>
  </si>
  <si>
    <t>PASADOR ALUMINIO 4015-150 PLATA // CEIP MARINA ESCOBAR. JUNIO</t>
  </si>
  <si>
    <t>ACUERDO MARCO. SUMINISTRO CERRADURA DEPENDENCIAS DISTRITO 1º.</t>
  </si>
  <si>
    <t>AC MARCO EXP. V36-2017: SUMINISTRO DE REPUESTOS ///  DESTINO: REPARACION BARREDORAS SERVICIO DE LIMPIEZA VIARIA</t>
  </si>
  <si>
    <t>AC MARCO EXP. V36-2017: 10 UDS- BOLSA NEGRA 90X95 G-140 BDR PL TOTAL (1000 unid) // LIMPIEZA VIARIA</t>
  </si>
  <si>
    <t>AC MARCO EXP V36-2017: SUMISNITROS VARIOS PARA EL SERV. LIMPIEZA</t>
  </si>
  <si>
    <t>AC MARCO ESP. V36-2017: SUMINISTROS VARIOS SERVICIO DE LIMPIEZA</t>
  </si>
  <si>
    <t>AC MARCO EXP V36-2017: 10 UDS- BOLSA NEGRA 90X95 G-140 BDR PL TOTAL (1000 unid) CARROS BARRIDO LIMPIEZA VIARIA</t>
  </si>
  <si>
    <t>AC MARCO EXP V36-2017: JUEGO 103 VASOS 1/4-1/2 (HERRAMIENTA TALLER SERVICIO LIMPIEZA)</t>
  </si>
  <si>
    <t>AC MARCO EXP. V36-2017: SUMINISTRO BOLSAS CARROS BARRIDO, CUBOS Y CONTENEDORES PARA LIMPIEZA VIARIA</t>
  </si>
  <si>
    <t>AC MARCO EXP. V36-2017: SUMINISTROS INDUSTRIALES sª LIMPIEZA</t>
  </si>
  <si>
    <t>AC. MARCO EXP V36-2017: CARRO TALLER PORTA HERRAMIENTAS Y CONTENEDORES CON RUEDAS TALLE Sº LIMPIEZA</t>
  </si>
  <si>
    <t>AC MARCO EXP V36-2017: SUMINISTRO BOLSAS PARA LIMPIEZA VIARIA</t>
  </si>
  <si>
    <t>AC MARCO EXP V36-2017: REPUESTOS PARA VEHICULOS Sº DE LIMPIEZA</t>
  </si>
  <si>
    <t>AC MARCO EXP V36-2017: RODAMIENTOS REPARACION ELELVADOR FMO VEHIUCULOS DEL SERVICIO DE LIMPIEZA</t>
  </si>
  <si>
    <t>TIJERA/ FLEXÓMETRO/ LLAVE/ INSECTICIDA/ ESCUADRA REDONDA/ DESTOR AISLO/ LLAVE L/ CREMA SOLAR/ MULTIUSO/ DISCO CORTE</t>
  </si>
  <si>
    <t>AC MARCO EXP V36-2017: SUMINISTROS PARA VEHICULOS DEL Sº DE LIMPIEZA</t>
  </si>
  <si>
    <t>SUMINISTRO DE GUANTES DE VINILO PARA EL CURSO DE V. CUIDA IV DEL C.DE FORMACION PARA EL EMPLEO- DURACION 1 DIA</t>
  </si>
  <si>
    <t>REPARACIÓN DE VEHÍCULOS 6234 JKP, 0672 HHG, 3715 KGD Y 3709 KGD. ( ACUERDO MARCO EN TRAMITACIÓN).</t>
  </si>
  <si>
    <t>2021 06 3261 214</t>
  </si>
  <si>
    <t>ACUERDO MARCO_2024FSB: ACEITE Y FILTROS/ SUSTITUIR BOMBA Y CORREA Y ANTICONGELANTE/ LAMPARA PILOTO DERECHO</t>
  </si>
  <si>
    <t>ACUERDO MARCO_7614GSB: LIMPIEZA DE INYECTORES Y DIAGNOSIS/ LECTURA Y BORRADO DE AVERIAS</t>
  </si>
  <si>
    <t>ACUERDO MARCO REPARACION VEHICULO RENAULT LAGUNA 1426DLN, R.I.</t>
  </si>
  <si>
    <t>ACUERDO MARCO_REPARACION VEHICULO RENAULT LAGUNA 0901GKZ:, R.I.</t>
  </si>
  <si>
    <t>ACUERDO MARCO REPARACION VEHÍCULO _2893-CCZ: CARGA AA - VALVULA DE CARGA E IMPUESTO GASES</t>
  </si>
  <si>
    <t>A.M. SPSC 23-2020: REPARACIONES EQUIPOS A/AC Y REVISIONES TACÓGRAFOS VEHÍCULOS DEL Sº DE LIMPIEZA</t>
  </si>
  <si>
    <t>A.M. SPSC 23-2020: REPARACIONES A/AC 1410JNL Y E7337BDK, REVISONES TACOGRAFOS VEHICULOS Sº LIMPIEZA</t>
  </si>
  <si>
    <t>SUMINISTRO DE DIFERENTES TÍTULOS DVD ///  DESTINO: MONASTERIO SAN BENITO /// MES DE JUNIO DE 2021</t>
  </si>
  <si>
    <t>EJEMPLARES PARA LAS BIBLIOTECAS MUNICIPALES (7 TÍTULOS DVD´S). JULIO</t>
  </si>
  <si>
    <t>COMPLEMENTARIO, REPARACION MAQUINARIA PARQUES Y JARDINES.</t>
  </si>
  <si>
    <t>Suministro, instalación y puesta en servicio de dos equipos de aire acondicionado que sustituyen a 2 averiados; SEISYPC.</t>
  </si>
  <si>
    <t>REPARACION RADIADOR, SUMINISTRO DE  2 TAPONES, 1 PURGADOR Y 4 MARSELLAS PARA EL  CPM DELICIAS- DURACION 1 DIA</t>
  </si>
  <si>
    <t>MANTENIMIENTO CALEFACCION DE LOS CPM TRANSFERIDOS DURANTE 2021</t>
  </si>
  <si>
    <t>F-6900. TAHE. SUSTITUCIÓN DE 2 PURGADORES AUT. DE COLUMNA EN CEAS DELICIAS CANTERAC (SALIDA+M.O.+MATERIALES) 02/06/21</t>
  </si>
  <si>
    <t>AC. M. EXP. V36-2017. CREAR SIFON EN FANCOIL DSPACHO. SERVICIO DE LIMPIEZA.</t>
  </si>
  <si>
    <t>Revisión y puesta en marcha de la caldera Baxiroca en vivienda C/ Vinos de Rueda nº 22, 1º M. 2021</t>
  </si>
  <si>
    <t>COORDINACIÓN DE SEGURIDAD Y SALUD OBRA REPARACIÓN CONDENSACIÓN CUBIERTA POLIDEPORITVO TIERNO GALVAN</t>
  </si>
  <si>
    <t>2021 04 9321 22000</t>
  </si>
  <si>
    <t>Papel QSystem 57x80x12 TRM 55 - Caja 25 Rollos DISPENSADOR DE TIQUES GESTION INGRESOS - PZA STA ANA 6 BJ/CITA PREVIA</t>
  </si>
  <si>
    <t>GASTO COMPLEMENTARIO LLAMADAS RDSI FERIA DEL LIBRO VALLADOLID 2021</t>
  </si>
  <si>
    <t>INDUSTRIAS R.SOTO C.B.</t>
  </si>
  <si>
    <t>SUMINISTRO DE MATERIAL EXCEPCIONAL DE FONTANERÍA. ROSCA 3"" T.N.</t>
  </si>
  <si>
    <t>MANT. SUMINISTRO MATERIAL REPARACION PERSIANA DEL CPM PTE. COLGANTE- DURACION 1 DIA</t>
  </si>
  <si>
    <t>REFORMA SOLERAS EN PATIOS DEL CEIP VICENTE ALEIXANDRE Y PONCE DE LEÓN</t>
  </si>
  <si>
    <t>ADECUACION DE CAMINOS EN VILLA DEL PRADO Y HUERTA DEL REY.</t>
  </si>
  <si>
    <t>ADECUACION DE PASARELA DEL PARQUE DE LOS ALMENDROS.</t>
  </si>
  <si>
    <t>REALIZACION CAMINO PAVIMENTADO JUNTO AL PARQUE PATRICIA.</t>
  </si>
  <si>
    <t>CONTROL DE SEGURIDAD OBRAS DE PINTURA EN ZONA DE APARCAMIENTO EN INSATLACIONES DEL Sº DE LIMPIEZA</t>
  </si>
  <si>
    <t>PRORROGA CONTRATO VESTUARIO LIMPIEZA VIARIA EXP V28/2016 LOTES 5, 7 Y 8: POLOS, PANTALONES, ANORAKS, CHALECOS</t>
  </si>
  <si>
    <t>PRORROGA CONTRATO VESTUARIO Sº LIMPIEZA EXP V28/2016 LOTES 5, 7 Y 8: POLOS, PANTALONES, ANORAKS, CHALECOS</t>
  </si>
  <si>
    <t>SUMINISTRO CHALECOS CON LOGOS PARA PERSONAL CONTRATADO SUBVENCION PREPLAN. SERVICIO DE LIMPIEZA.</t>
  </si>
  <si>
    <t>SUMINISTRO VESTUARIO PRORROGA CONTRATO EXP. V 28/2016 EJERCICIO 2020 (LOTE 5), LIMPIEZA VIARIA</t>
  </si>
  <si>
    <t>SUMINISTRO VESTAURIO PROROORGA CONTRATO EXP. V 28/2016 EJERCICIO 2020 (LOTE 5) Sº LIMPIEZA</t>
  </si>
  <si>
    <t>Alquier maquinaria pesada (motoniveladora,retroexcavadora,rodillos)con conductor y camiones distinto tonelaje a demanda.</t>
  </si>
  <si>
    <t>ADJUDICA ACCIÓN ESPECIAL PUBLICIDAD INAUGURACIÓN ASCENSORES EN BARRIO SAN ISIDRO - GOBIERNO Y RELACIONES</t>
  </si>
  <si>
    <t>A.M. 30/2018. INFORMACIÓN/DIFUSIÓN EN TRIBUNAL DIGITAL JORNADAS ""VALLADOLID RESILIENTE"", CELEBRADAS EL 21 DE JULIO-2021</t>
  </si>
  <si>
    <t>ADJUDICACIÓN ACCIÓN INFORMATIVA DEL SERVICIO DE ATENCIÓN A PERSONAS MAYORES - GOBIERNO Y RELACIONES</t>
  </si>
  <si>
    <t>SISTEMA DE GESTIÓN DE INVENTARIO Y DE CARTOGRAFÍA: IVEN Y e-Map, LOTE 3</t>
  </si>
  <si>
    <t>CONTRATO DE SERVICIOS PARA EL DESARROLLO DE EVOLUTIVOS ASOCIADOS AL PROYECTO S2CITY, COMPONENTE 1, GESTIÓN SERV. MUNIC.</t>
  </si>
  <si>
    <t>CUÑAS EN ONDA CERO VALLADOLID DEL 14 AL 28 DE JUNIO PROCESO PRESUPUESTOS PARTICIPATICOS</t>
  </si>
  <si>
    <t>CALIBRACIÓN DEL TERMOHIGRÓMETRO DE CALOR DE LA RED. SERVICIO DE MEDIO AMBIENTE</t>
  </si>
  <si>
    <t>CALIBRACIÓN DE LA BALANZA DEL LABORATORIO DE LA RED. SERVICIO DE MEDIO AMBIENTE</t>
  </si>
  <si>
    <t>PRUEBAS AGENTE DE POLICIA MPAL (DÍA 22/06/2021): USO DE ESPACIOS PÚBLICOS- AULAS -mjsi-.</t>
  </si>
  <si>
    <t>PRORROGA CONTRATO SERVICIO MANTENIMIENTO Y LAVADO CONTENEDORES DEL Sº DE LIMPIEZA DEL 1-10 AL 31-12-2021</t>
  </si>
  <si>
    <t>MEJORA DE INSTALACIONES EN EL PARQUE DE LAS NORIAS.</t>
  </si>
  <si>
    <t>ACONDICIONAMIENTO PARQUE DE LAS LAVANDERAS, EN LA OVERUELA.</t>
  </si>
  <si>
    <t>REMODELACIÓN FUENTE EN PARQUE CALLE ALCAPARRA.</t>
  </si>
  <si>
    <t>OBRAS AJARDINAMIENTO LATERAL CALLE LUGANO.</t>
  </si>
  <si>
    <t>Suministro de 5 vehículos compactos eléctricos con destino al S.E.P.I. (expediente 13/2021)</t>
  </si>
  <si>
    <t>Alquiler de baterías vehículos eléctricos del Centro de Movilidad Urbana</t>
  </si>
  <si>
    <t>ACUERDO MARCO. REPARACIÓN VEHÍCULO 3959 JKP: COND.SALIDA AIRE (MATERIALES). POLICÍA MUNICIPAL.</t>
  </si>
  <si>
    <t>ACUERDO MARCO. REPARACIÓN  VEHÍCULO 4117 JKP: COND.SALIDA AIRE (MATERIALES). (POLICÍA MUNICIPAL).</t>
  </si>
  <si>
    <t>ACUERDO MARCO. REPARACIÓN VEHÍCULO 3999-JKP: PLETINA ELEVALUNA (MATERIALES). POLICIA MUNICIPAL.</t>
  </si>
  <si>
    <t>RESMA FORMULA:  1ª (CB) BLANCO LASER Y  3ª (CF) ROSA - TRAZO NEGRO //// TRABAJO: IMPRESO ENTREGA ANIMALES</t>
  </si>
  <si>
    <t>2021 04 9202 22699</t>
  </si>
  <si>
    <t>SOBRES Y PLICAS PARA EXÁMENES DE PROCESOS SELECTIVOS. mjsi.</t>
  </si>
  <si>
    <t>PAPEL PARA LA IMPRESION DE LAS HOJAS DE INSCRIPCION DE ENVEJECIMIENTO ACTIVO- CPM- DURACION 1 DIA</t>
  </si>
  <si>
    <t>SUMINISTRO TUBERIA CIRCUITO AD BLUE PARA REPARACION VEHICULO E4762BFT DEL Sº DE LIMPIEZA</t>
  </si>
  <si>
    <t>2021 10 2312 22618</t>
  </si>
  <si>
    <t>VIVE DISFRUTANDO, S.L.L.</t>
  </si>
  <si>
    <t>REVISTA DISFRUTANDO  CON INFORMACION DE PERSONAS MAYORES, 5 EDICIONES  DE ABRIL A DICIEMBRE DE 2021</t>
  </si>
  <si>
    <t>AD COMPLEMENTARIO MANTENIMIENTO RELOJ TORREON CASA CONSISTORIAL AÑO 2021</t>
  </si>
  <si>
    <t>CORTES Y PLEGADOS EN DOS CHAPAS, SEGUN SUS PLANTILLAS (SAN BENITO)</t>
  </si>
  <si>
    <t>SUMINISTRO REPUESTOS NEUMÁTICOS PARA REPARACIONES DE VEHICULOS S. LIMPIEZA VIARIA</t>
  </si>
  <si>
    <t>Desmontaje de caldera de asfalto y posterior montaje y homologación sobre nuevo camión municipal.</t>
  </si>
  <si>
    <t>Creación de imagen e impresión de elementos publicitarios de la XVIII Semana Intercultural 2021</t>
  </si>
  <si>
    <t>TERMINALES , TELEFONOS INALÁMBRICOS PARA EL CPM DELICIAS Y VICTORIA- DURACION 1 DIA</t>
  </si>
  <si>
    <t>CAMBIO ADJUDICATARIO POR RESOLUCION DE JUNTA DE GOBIERNO</t>
  </si>
  <si>
    <t>EXPTE.70/2021. SEGURO RESPONSABILIDAD CIVIL DEL 01/08/2021 AL 31/01/2022. ACUERDO MARCO FEMP. AYUNTAMIENTO VALLADOLID.</t>
  </si>
  <si>
    <t>ACTUACIONES EN LOS BOMBEOS DE LA CIUDAD DE VALLADOLID FASE II. V.6/2020 LOTE 1 PS21.</t>
  </si>
  <si>
    <t>CONTRATO GESTIÓN INTEGRAL SISTEMA CENTRALIZADO CONTROL DE TRÁFICO (septiembre-noviembre 2021)</t>
  </si>
  <si>
    <t>CONTRATO DE  OBRA  ADECUACION ESPACIO MARCELINA PONCELA COMO CENTRO ALMACENAMIENTO Y RESTAURACION PATRIMONIO MUEBLE</t>
  </si>
  <si>
    <t>INSIGNA UNIFORMES, S.L.</t>
  </si>
  <si>
    <t>SUMINISTRO DE ROPA POLICIAL PARA POLICÍA MUNICIPAL. EJERCICIO 2021. EXP. SPSC- 02/2021. LOTE Nº. 2.</t>
  </si>
  <si>
    <t>ENDESA ENERGIA,S.A.</t>
  </si>
  <si>
    <t>CONTRATO SUMINISTRO ""GNC"" PARA VEHÍCULOS DEL SERVICIO DE LIMPIEZA</t>
  </si>
  <si>
    <t>EJECUCIÓN DE FIRME DE LOS CAMINOS DEL NUEVO BOSQUE URBANO DE SANTA ANA. V.6/2020 LOTE 1 PS22.</t>
  </si>
  <si>
    <t>ADECUACIÓN DE LA CASETA DE LOS JARDINEROS EN EL PARQUE DE LOS JERÓNIMOS.  V.6-2020 . PS 20. LOTE 1.</t>
  </si>
  <si>
    <t>VIVESAN RESIDENCIAL PROMOCIONES S.L.</t>
  </si>
  <si>
    <t>CIC CONDE ANSÚREZ: REPARACIÓN DE GOTERAS Y HUMEDADES. LOTE 3</t>
  </si>
  <si>
    <t>SAGRES S.L.</t>
  </si>
  <si>
    <t>SUMINISTRO CHALECOS ANTIBALA Y FUNDA PARA POLICÍA. EJERCICIO 2021. EXP. SPSC-02/2021. LOTE Nº 5.</t>
  </si>
  <si>
    <t>REDONDELA</t>
  </si>
  <si>
    <t>A.MARCO (AJG19.05.2020)C.CALIDAD LOTE 2 A.TÉCNICA OBRA PASOS INFERIORES PANADEROS Y LABRADORES CON AVDA.SEGOVIA</t>
  </si>
  <si>
    <t>SUMINISTRO DE ROPA TÉRMINA UNIFORMIDAD POLICÍA. EJERCICIO 2021. EXP. SPSC- 02/2021. LOTE Nº 4.</t>
  </si>
  <si>
    <t>COORDINACION SEGURIDAD Y SALUD OBRA ADECUACION ESPACIO MARCELINA PONCELA COMO CENTRO ALMACENAMIENT Y RESTAURACION B MUE</t>
  </si>
  <si>
    <t>ADC TIEMPO LIBRE SL</t>
  </si>
  <si>
    <t>SUMINISTRO COMPLEMENTOS POLICIALES. EJERCICIO 2021. EXPTE. SPSC -02/2021. LOTE Nº 7.</t>
  </si>
  <si>
    <t>SUMINISTRO UNIFORMES DE GALA Y GORRA COPY PARA POLICÍA. EJERC. 2021. EXP. SPSC-02/2021. LOTE 1.</t>
  </si>
  <si>
    <t>AT.CONTROL CALIDAD.LOTE 2  AGLOMERADO.Contrato Conservación Vías Públicas. De julio a diciembre-2021.-</t>
  </si>
  <si>
    <t>SUMINISTRO DE CALZADO PARA UNIFORME DE POLICIA MUNICIPAL. EJERCICIO 2021. EXP. SPSC- 02/2021. LOTE Nº. 3.</t>
  </si>
  <si>
    <t>ADJ.EXPTE. ASIST.TÉCNIC.A LA DIREC.OBRA CONST.PASO INFERIOR CONEX ENTRE C/PANADEROS Y LABRADORES CON AVDA. SEGOVIA</t>
  </si>
  <si>
    <t>EPTISA SERVICIOS DE INGENIERIA SL</t>
  </si>
  <si>
    <t>ACUERDO MARCO(A.J.G. 19.05.2020) C.CALIDAD LOTE 1 (ENSAYOS) OBRAS PASOS INFERIORES LABRADORES Y PANADEROS CON AVDA.SEGOV</t>
  </si>
  <si>
    <t>Coordinación de seguridad y salud - Obra: Actuación subsidaria deficiencias inmueble sito en Plaza San Nicolás, 1</t>
  </si>
  <si>
    <t>ACUERDO MARCO 2017/36, SUMINISTRO DE MANTILLO.</t>
  </si>
  <si>
    <t>ACUERDO MARCO. REPARACIÓN VEHÍCULO 3712KGD DE POLICÍA MUNICIPAL.</t>
  </si>
  <si>
    <t>adjudicacion prev.drogas -L3 REDUCCION RIESGOS CON COLECTIVOS VULNERABLES- PA.1600 ¿/PROG (2 PROG.INSERC.LAB Y MUJ.VUL)</t>
  </si>
  <si>
    <t>ACUERDO MARCO. REPARACION CAMIÓN PORTAVEHÍCULOS 9447-HMT: REVISAR Y REPARAR PUERTA DELANTERA IZQ. (M.O. + MATERIALES)</t>
  </si>
  <si>
    <t>ACUERDO MARCO 3/2020, TRABAJOS EN VEHICULOS JARDINES.</t>
  </si>
  <si>
    <t>A.T. CONTROL CALIDAD. LOTE 1. Contrato Conservación Vías Públicas. de julio a diciembre-2021.-</t>
  </si>
  <si>
    <t>ACUERDO MARCO 3/2020, REPARACION VEHICULO 4416-KJX.</t>
  </si>
  <si>
    <t>CC DELICIAS: RECONSTRUCCIÓN DEL ACCESO AL CEAS. LOTE 4</t>
  </si>
  <si>
    <t>PREPARACIÓN Y REALIZACIÓN DE LA MESA DE TRATA EL 23 DE SEPTIEMBRE DE 2021 / 1 DIA</t>
  </si>
  <si>
    <t>ACUERDO MARCO 3/2020, REPARACION VEHICULO 3687-FJM.</t>
  </si>
  <si>
    <t>ACUERDO MARCO. SUMINISTRO MATERIAL PARA MANTENIMIENTO DEPENDENCIAS DISTRITO 1º POLICIA.</t>
  </si>
  <si>
    <t>AC MARCO EXP V36-2017:  RECAMBIOs PARA REPARACIONES VEHICULOS DEL SERVICIO DE LIMPIEZA</t>
  </si>
  <si>
    <t>AC MARCO EXP SPSC 23/2020: REPARACION BALLESTAS VEHIUCLO 0999FVN DEL SERVIC. DE LIMPIEZA</t>
  </si>
  <si>
    <t>AC MARCO EXP V36-2017: SUMINSITRO MATERIALES CONSTRUCCION REPARACION VESTUARIO ZONA ""JUAN DE AUSTRIA""</t>
  </si>
  <si>
    <t>ACUERDO MARCO 2017/36, MATERIALES DE CONSTRUCCIÓN.</t>
  </si>
  <si>
    <t>F-7838. FERRETERIA ORTIZ. COPIA LLAVE NORMAL  (1)  CALLE CELTAS CORTOS, Nº20. 1 DIA</t>
  </si>
  <si>
    <t>F-7840. FERRETERIA ORTIZ. MATERIAL DE FERRETERIA.  CEAS BELEN -PILARICA. 1 DIA</t>
  </si>
  <si>
    <t>AIRCOMVA, SLL</t>
  </si>
  <si>
    <t>MATERIALES Y MANTENIMIENTO EDIF. MUNICIPALES</t>
  </si>
  <si>
    <t>ACUERDO MARCO. REPARACIÓN DE MOTOCICLETA DE POLICÍA MUNICIPAL.</t>
  </si>
  <si>
    <t>SUMINISTRO ROPA DE TRABAJO LABORAL PERSONAL POLICÍA. EJERCICIO 2021. EXPTE. SPSC.- 02/2021. LOTE Nº 9.</t>
  </si>
  <si>
    <t>ACUERDO MARCO. REPARACIÓN DE MOTOCICLETA DE POLICÍA.</t>
  </si>
  <si>
    <t>ACUERDO MARCO. REPARACIÓN MOTOCICLETAS POLICÍA MUNICIPAL.</t>
  </si>
  <si>
    <t>ACUERDO MARCO 3/2020, REPARACION MOTO 9575-JTL.</t>
  </si>
  <si>
    <t>ALFE SUMINISTROS A LA CONSTRUCCION E INDUSTRIA</t>
  </si>
  <si>
    <t>ALQUILER MODULO AISLADO PARA VESTUARIOS Y ASEO EN CENTRO MUNICIPAL DE PROTECCIÓN ANIMAL</t>
  </si>
  <si>
    <t>SANTOVENIA DE  PISUERGA</t>
  </si>
  <si>
    <t>Realización de dos talleres en el Centro Municipal de la Igualdad en el mes de septiembre</t>
  </si>
  <si>
    <t>ALKI-OLID S.L.</t>
  </si>
  <si>
    <t>FILTRO DE AIRE HONDA GX39 / BUJIA TIPO HONDA / CUERDA ARRANQUE 4,5 MM (2) / M.OBRA (4) // MANTENIMIENTO</t>
  </si>
  <si>
    <t>CABLE ARRANQUE 16MM NEGRO / TERMINAL P/SOLDAR 16X10,5 mm (2) //SERVICIO DE EXTINCION DE INCENDIOS</t>
  </si>
  <si>
    <t>SUMINISTRO DE PERSIANAS PARA CC DELICIAS</t>
  </si>
  <si>
    <t>ADJUD.PMDROGAS-L1 SEP-DIC 21:3765 (3 MONEO 428 Y 1 DEDALO 2481)-L2 PREV.EN C.ESCOLARES Y OT.ENTIDADES 2.904,61 (40,91E/H</t>
  </si>
  <si>
    <t>AQM LABORATORIOS,S.L</t>
  </si>
  <si>
    <t>REALIZACIÓN ANÁLISIS DETERMINACIÓN EXISTENCIA DE ALCOHOL EN BEBIDAS.</t>
  </si>
  <si>
    <t>DESARROLLO TRES MICRO-JORNADAS FORMATO ON LINE EN MATERIA DE TRATA DE SERES HUMANOS. PERSONAL SERV.SOCIALES Y ENTIDADES.</t>
  </si>
  <si>
    <t>SERVICIO DE MONTAJE CASETAS Y ASISTENCIA CAMPAÑA SOLO SI ES SI / HASTA 12/09/2021</t>
  </si>
  <si>
    <t>DISEÑO E IMPRESION DE MATERIALES PARA CAMPAÑA DE JUVENTUD 2021</t>
  </si>
  <si>
    <t>SERVICIOS DE GRUAS PARA TRASLADO VEHICULOS AVERIADOS DEL SERVICO DE LIMPIEZA</t>
  </si>
  <si>
    <t>2021 05 4331 224</t>
  </si>
  <si>
    <t>Contratación seguro (Póliza 1-50-8370713) de 6 bicicletas eléctricas propiedad del Ayuntamiento de Valladolid</t>
  </si>
  <si>
    <t>BM NEIRA AUDITORES S.L.P.</t>
  </si>
  <si>
    <t>CONTRATO CONTROL FINANCIERO AUDITORIA SUBVENCION JUEGOS ESCOLARES 2019-2020 FUNDACION MUNICIPAL DEPORTES</t>
  </si>
  <si>
    <t>ASISTENCIA TECNICA EN EL CONTROL DE CALIDAD (L.2) OBRA DE REPARACIÓN CONDENSACIÓN CUBIERTA POLIDEPORTIVO TIERNO GALVAN</t>
  </si>
  <si>
    <t>ACTIVIDADES AL AIRE LIBRE EN BIBLIOTECA DE VERANO CAMPO GRANDE. ""HISTORIAS DE SOL Y SOMBRA"".</t>
  </si>
  <si>
    <t>Suministro e instalación bomba para circuito agua caliente sanitaria, como sustitución por avería de la existente.</t>
  </si>
  <si>
    <t>SUMINISTRO DE DIFERENTES REPUESTOS (MES DE AGOSTO 2021)  AM EXP. SPSC 23/2020. SERVICIO DE LIMPIEZA.</t>
  </si>
  <si>
    <t>50% EDICIÓN 300 LIBROS ""GEOMORFOLOGÍA URBANA DE VALLADOLID Y SU ENTORNO"".</t>
  </si>
  <si>
    <t>REPUESTOS REPARACION CUCHILLA QUITANIEVES MARCA MEYER DEL VEHICULO VA4940Z DEL Sº LIMPIEZA VIARIA</t>
  </si>
  <si>
    <t>REPARACIÓN CAMIÓN 4894-JLF: PANEL PUERTA DERECHA Y CAMBIAR ELEVALUNAS (M.O.+MATERIALES) SERV. EXTINCION DE INCENDIOS</t>
  </si>
  <si>
    <t>REPARACION VEHICULO: 7688-BMH // Cº ACEITE MOTOR LD. 002L CAMBIAR FILTRO DE ACEITE. 003L CAMBIAR FILTR</t>
  </si>
  <si>
    <t>ALB: 3154 de 31/08/2021  JUEGO ASIENTOS BUP Nº 1 MATRÍCULA 4894JLF // ALB: 3159 de  31/08/2021  JUEGO REPARACION/SEISPC</t>
  </si>
  <si>
    <t>REPARACION VEHICULO MATRICULA: VA-9253-V //// COMPROBAR NEYMAN Y SUSTITUIR  INTERRUPTOR</t>
  </si>
  <si>
    <t>REPARACION VEHICULO: 3816-GKW /// REJILLA Y FARO -  Cº LAMPARA DE CRUCE ///  MANTENIMIENTO</t>
  </si>
  <si>
    <t>ALB: 2108470 de 27-08-21 ///  CEMENTO / ARENA / LADRILLO MAC. Y HUECO / YESO TOSCO //// DESTINO: PQ LAS NORIAS</t>
  </si>
  <si>
    <t>MANT, SUMINISTRO DE  CEMENTO GRIS PARA EL  CPM DELICIAS- DURACION 1 DIA- A. MARCO</t>
  </si>
  <si>
    <t>ALBARAN: 2106619 (02-07-2021) ////  KUBIC BEIGE CERAMICA 30X30 ( 1,260) //// DESTINO: BOMBEROS</t>
  </si>
  <si>
    <t>ALB: 2106709 DE 06-07-21 -ANGULO METAL. 30X30 (6 UN.) // ALB:2107183 DE 19-07-21 -ESCAYOLA 17 KG (2 UN.)/// MNTO ACOPIOS</t>
  </si>
  <si>
    <t>CICLOGREEN</t>
  </si>
  <si>
    <t>CONTRATO por la plataforma online gamificada y soporte técnico para el reto de Movilidad Urbana Sostenible (16-9 a 20-10</t>
  </si>
  <si>
    <t>ALBARAN: AV21/03766 de 14/07/2021 ////   SUMINISTRO DE MATERIAL DIVERSO ///  PAVIM. V. PUBLICAS</t>
  </si>
  <si>
    <t>F-7842. FERRETERIA ORTIZ. PALOMILLA MICEL REFORZADA 400X280 (4). CEAS BARRIO BELEN  PILARICA. 1 DIA</t>
  </si>
  <si>
    <t>F-7843. FERRETERIA ORTIZ. MATERIAL DE FERRETERIA. CEAS BELEN PILARICA. 1 DIA</t>
  </si>
  <si>
    <t>MANT.SUMINISTRO DE  PLETINA MET ROB ADH 35MM (CPM J.L. MOSQUERA) / PROTEGE ESQUINAS BRINOX (CPM RONDILLA)DURACION- 1DIA</t>
  </si>
  <si>
    <t>POMO BERNIAL DADO ALUM. SATIN. 25MM // DEPÓSITO CANINO</t>
  </si>
  <si>
    <t>SUMINISTRO DE REPUESTOS /////   DESTINOS: ESPECIAL Nº 1 - C.P. MIGUEL HDEZ - C.P. MACIAS PICAVEA / DEL 14-06 A 05-07</t>
  </si>
  <si>
    <t>TUERCA EMBUTIR M6X11X11 BL MICEL (250)  / CONTERA RED INTERIOR PLASTICO 30 (10) BIBLIOTECAS PUBLICAS.</t>
  </si>
  <si>
    <t>AC MARCO EXP V36-2017: SUMINISTRO MATERIAL CERRAJERIA PARA EL S. LIMPIEZA VIARIA</t>
  </si>
  <si>
    <t>ACUERDO MARCO 3/2020, REPARACION VEHICULO 1617-DTJ.</t>
  </si>
  <si>
    <t>PARASOL EHLIS ALUMINIO 3MTS/ SOPORTE RESINA EHL/ SOPORTE CEMENTERIO EHLIS (CC CANAL DE CASTILLA)</t>
  </si>
  <si>
    <t>SUMINISTROS PARA MANTENIMIENTO (RECINTO FERIAL/ PINGÜINOS/ IGLESIA DE SAN BENITO)</t>
  </si>
  <si>
    <t>TACO FISCHER/ CERRADURA/ CINTA AMERICANA/ TELA PLÁSTICO/ RED INTERIOR // CC RONDILLA/ CC ESGUEVA/ CIC C.ANSUREZ/ S.MONTS</t>
  </si>
  <si>
    <t>COLOCACION Y RETIRADA DE CONTENEDORES PARA LA RECOGIDA DE HOJA PROCEDENTE DE LA LIMPIEZA VIARIA</t>
  </si>
  <si>
    <t>2021 05 4331 212</t>
  </si>
  <si>
    <t>Contenedor de escombros pedido por el Centro de Mantenimiento para reparación en Agencia de Innovación</t>
  </si>
  <si>
    <t>TACO FISCH SX 10X50 CAJA 30UD / TRINQUETE PONSA SEG CANARIO / SEÑAL EBER ALU. BANDERA ROJA Y PLATA (CP MACIAS PICAVEA)</t>
  </si>
  <si>
    <t>REPOSAPIES FELLOWES/ CONTERA CUADRADA PLASTICO (4)/ CAJA TORNILLAS (1.000 UDS)</t>
  </si>
  <si>
    <t>CERRADURA TESA 130 50 R HN // CC JOSE LUIS MOSQUERA</t>
  </si>
  <si>
    <t>MANDO A DISTANCIA DC.PVC48 // CASA DEL BARCO</t>
  </si>
  <si>
    <t>NIVELADOR NEGRO/ TORNI.DIN/ ARANDELA ANCHA/ TUERCA AUTOBLOCANTE/ ESCUADRA BOPE ROBUSTA // SAN BENITO, PUERTA 4</t>
  </si>
  <si>
    <t>ANGULO AMIG 3 BICROMATADO 20X20X16 (20 UDS) / DESTORN 246 1,5X60 FELO // MANTENIMIENTO</t>
  </si>
  <si>
    <t>Evaluación riesgos psicosociales personal taller de Limpieza. DEPARTAMENTO DE PREVENCIÓN Y SALUD LABORAL</t>
  </si>
  <si>
    <t>Revisión, mantenimiento y reparaciones de máquina perteneciente al  SEPI matrícula JCB 3CXT.-</t>
  </si>
  <si>
    <t>SERVICIO DIRECCIÓN FACULTATIVA DE OBRA DE ELIMINACIÓN DE RIESGO EN EDIF. DE VIVIENDAS EN PZA SAN NICOLÁS, 1</t>
  </si>
  <si>
    <t>Realización de campañas publicitarias en redes sociales para difusión de actividades de la Agencia de Innovación</t>
  </si>
  <si>
    <t>IMPRESIÓN DE SOPORTES PUBLICITARIOS A TRAVÉS DE IMPRENTA MUNICIPAL (PROGRAMAS, DÍPTICOS¿) / DURANTE 2021</t>
  </si>
  <si>
    <t>REPUESTOS REPARACIONES VEHICULOS MARCA SCANIA DEL SERVICIO DE LIMPIEZA</t>
  </si>
  <si>
    <t>AMPLIACIÓN GESTIÓN RESIDUOS Y RETIRADA DE CONTENEDORES PINAR DE ANTEQUERA (ZONA JOVEN PINAR) / 1 DIA</t>
  </si>
  <si>
    <t>2 suscripciones a la revista Castilla Y Leon Económica</t>
  </si>
  <si>
    <t>EDITORIAL CULTURA ACTIVA S.L.</t>
  </si>
  <si>
    <t>SUSCRIPCIÓN A VARIAS REVISTAS PARA LAS BIBLIOTECAS MUNICIPALES. PLAZO 1 AÑO.</t>
  </si>
  <si>
    <t>GOTAS BRINOX 7062 TRANSP ADH 25P (2 UDS) // BIBLIOTECAS PÚBLICAS. JULIO</t>
  </si>
  <si>
    <t>AC MARCO EXP SPSC 23/2020: REPARACION EQUIPO AIRE ACONDICIONADO VEHICULO 4224 JCV DEL Sº DE LIMPIEZA</t>
  </si>
  <si>
    <t>ACUERDO MARCO 3/2020, TRABAJOS EN VEHICULO 4272-GHL.</t>
  </si>
  <si>
    <t>REPARACIION EN INSTALACION DE CLIMATIZACION DEL  ARCHIVO MUNICIPAL</t>
  </si>
  <si>
    <t>SUMINISTRO DE MATERIAL DE ELECTRICIDAD PARA CASA CONSIST. (PLANIF. Y RECURSOS/ CONTABILIDAD)/ ARCHIVO MPAL</t>
  </si>
  <si>
    <t>REALIZACIÓN DE CORRECCIONES EN CENTRO DE TRANFORMACIÓN FUENTE EL SOL PARA LA INSPECCIÓN OBLIGATORIA (OCA).</t>
  </si>
  <si>
    <t>MANTENIMIENTO PREVENTIVO ANUAL DEL 01-01-21 AL 31-12-21 E INSPECCION PERIODICA REGLAMENTARIA DEL C.T. AMVA.</t>
  </si>
  <si>
    <t>COPIA DE LLAVE NORMAL PARA EL SERVICIO DE ARCHIVO MUNICIPAL</t>
  </si>
  <si>
    <t>ENRIQUE GARCIA  VAZQUEZ</t>
  </si>
  <si>
    <t>GASTO REALIZACION VIDEO PARA PROMOCION DE VALLADOLID COMO CIUDAD CREATIVA DE CINE EN FILM EXPO DE QUINDAO. SEPTIEMBRE 21</t>
  </si>
  <si>
    <t>Tuberías para conexiones se saneamiento realizadas por el Centro de Mantenimiento en Agencia de Innovación</t>
  </si>
  <si>
    <t>SUMINISTRO DE MATERIAL /// DESTINOS: TORREON PATRIMONIO - CARPINTERIA -S. BENITO PTA BAÑO SRAS 2º - ALCALDÍA</t>
  </si>
  <si>
    <t>MANT. SUMINISTRO DE CILINDRO 5200 3030N MULETILLA IGUALADOS (2) // CPM RONDILLA- DURACION 1 DIA</t>
  </si>
  <si>
    <t>F-9484. FERRETERIA ORTIZ. CERRADURA TESA EMBUTIR 2030 50 HL  (1) DESTINO: CENTRO INTEGRADO. 1 DIA. COVID-19</t>
  </si>
  <si>
    <t>TORNI. DIN 7982 C/AVE.PHI. CINC. 3.5X25 (250 UDS)</t>
  </si>
  <si>
    <t>ACUERDO MARCO SUMINISTROS: CHAPA PERFORADA 2000X1000X1,5 /2 CHAPA /PLACAS NE /CIRCULO 6 UNID/ PARQ. BOMBEROS (JUNIO-21)</t>
  </si>
  <si>
    <t>AC MARCO EXP SPSC 23/2020: ALINEACION DOBLE DIRECCION VEHICULO 4178-JDZ, SUSTITUCION SENSOR VEHICULO 1410-JNL</t>
  </si>
  <si>
    <t>F-7427. FERROINDUSTRIAS YUSTOS S.L. TUBOS CARPINTERÍA/ TUBOS CUADRADOS/ TUBOS RECTANGULARES. C.INTEGRADO. COVID-19</t>
  </si>
  <si>
    <t>TUBO CARPINTERIA A  R-5851  L DD11 (30 UNIDADES)  /////  DESTINO: CENTRO CANINO</t>
  </si>
  <si>
    <t>LANZA ALEMANA (4)/ ASPERSOR ATOMIZADOR (8)/ CERRADURA PARA COMPUERTA LATERAL (4) AM EXP. V36-2017. SERVICIO DE LIMPIEZA.</t>
  </si>
  <si>
    <t>5 PLETINAS DE 25X4 S 275 JR // E.I. EL PRINCIPITO. JULIO</t>
  </si>
  <si>
    <t>DOSICO-DISPENS PAPEL/ DISPENS. JABON / PAPELERA / ESCOBILLERO / PERCHA //// DESTINO: ESPACIO JOVEN PINAR</t>
  </si>
  <si>
    <t>REPARACIÓN DE MOTOCICLETA EN PERIODO DE GARANTÍA (1428LJD) POR DESPERFECTOS EN ACCIDENTE DE CIRCULACIÓN.</t>
  </si>
  <si>
    <t>CHAPAS/ TUBOS CARPINTERÍA/ PLETINAS/ TUBOS CUADRADOS PARA COLEGIOS J.ZORRILLA/ M.DELIBES/ TIERNO GALVÁN/ FCO PINO.junio</t>
  </si>
  <si>
    <t>TUBO CARPINTERIA C  R-5860 T DD11 (24 UDS) // COLEGIO FRANCISCO PINO. julio</t>
  </si>
  <si>
    <t>PLETINAS/ TUBOS CUADRADOS/ CHAPAS L.CALIENTE/ CHAPA ESTAMPADA/ CORRUGADO/ TUBOS RECTANGULARES</t>
  </si>
  <si>
    <t>CHAPA PERFORADA 2000X1000X1,5  R 5 T 7,5 DD11 / 3 PLETINA DE 30 /////   MNTO EDIFICIOS: RECINTO FERIAL</t>
  </si>
  <si>
    <t>SUMINISTRO DE MATERIAL Y REPUESTOS ///  DESTINOS: PARA NUEVE C.P. Y CENTRO AUTISTA EL CORRO</t>
  </si>
  <si>
    <t>CIRCULO ACERO/ ARANDELA EXCÉNTRICA/ PLACAS ACERO/ CHAPA NEGRA (PARQUE DE BOMBEROS)</t>
  </si>
  <si>
    <t>PLACAS RANURADAS DE ACERO (36)/ PLACAS DE ACERO (4) // PARQUE DE BOMBEROS</t>
  </si>
  <si>
    <t>ADECUACIÓN A NORMATIVA ACTUAL DE INSTALACIÓN INTERIOR DE GAS EN VIVIENDA CALLE CELTAS CORTOS Nº 20 1º B.</t>
  </si>
  <si>
    <t>FUNDACION RONDILLA</t>
  </si>
  <si>
    <t>CURSOS DE COMPETENCIAS DIGITALES PARA LA CIUDADANÍA. DE SEPTIEMBRE A DICIEMBRE 2021</t>
  </si>
  <si>
    <t>SUMINISTRO BOTELLAS DE GASES (OXIGENO Y ARKAL 21) PARA LOS EQUIPOS DE SOLDADURA DEL TALLEr MECÁNICO DEL Sº LIMPIEZA</t>
  </si>
  <si>
    <t>MATERIAL FERRETERÍA, HERRAMIENTA Y ACCESORIOS(LOTE 1) CENTRO MANTENIMIENTO</t>
  </si>
  <si>
    <t>ACUERDO MARCO 36/2017, MATERIAL DE FERRETERIA.</t>
  </si>
  <si>
    <t>ACUERDO MARCO NEUMAT.MICHELIN PRIM (8) + S.I.GEST.  NFU (8)    VEH. : 3715-KGD - 3960-JKP - 3707-KGD - 3998-JKP. POLICIA</t>
  </si>
  <si>
    <t>ACUERDO MARCO. SUMINISTRO DE MATERIAL PARA TALLER DE REPARACIONES DE POLICÍAQ MUNICIPAL.</t>
  </si>
  <si>
    <t>SUMINISTRO Y LLENADO BOMBONAS DE GAS Y MAQUINARIA DE SOLDADURA</t>
  </si>
  <si>
    <t>CONMUTADOR / CANAL / BASE 4 TOMAS / CEYS / BASE 6 TOMAS / CLAVIJA / SALVACABLES //// MANTENIMIENTO</t>
  </si>
  <si>
    <t>IBIMAGEN MEDITERRANEA, SOCIEDAD LIMITADA</t>
  </si>
  <si>
    <t>Diseño e impresión de Colgadores para el reto de Movilidad Urbana Sostenible - Urban Mobility Challenge Sep.2021</t>
  </si>
  <si>
    <t>EIVISSA</t>
  </si>
  <si>
    <t>ILLES BALEARS</t>
  </si>
  <si>
    <t>REALIZACION VÍDEOS DE NIÑOS DEL CONSEJO DE LA INFANCIA, PARA ACTO DE RENOV. SELLO ""CIUDAD AMIGA DE LA INFANCIA"" / 1 DIA</t>
  </si>
  <si>
    <t>IGNACIO PEREZ PEREZ</t>
  </si>
  <si>
    <t>REDACCION DE LA MEMORIA VALORADA Y DIRECCION TECNICA DE LA OBRA DE LA PERGOLA EN EL ALBERGUE DE PEREGRINOS PUENTE DUERO</t>
  </si>
  <si>
    <t>ACUERDO MARCO. SUMINISTRO DE MATERIALES PARA TALLER DE REPARACIÓN DE VEHÍCULOS DE POLICÍA MUNICIPAL.</t>
  </si>
  <si>
    <t>SUMINISTRO DE MATERIAL /// DESTINOS: CASA CONSISTORIAL - REAL FERIA - CENTRO MNTO - STA ANA - DPCHO DEL ALCALDE</t>
  </si>
  <si>
    <t>ALBARAN AV21/04730 DE 14/09/2021: REPARACION MARTILLO GBH 11DE / REPARACION MARTILLO GBH 12 // VÍAS PÚBLICAS</t>
  </si>
  <si>
    <t>VÁLVULA BOLA PALANCA/ NIPPELS GALVANIZADO/ RUEDA TRANSPORTE ORIENTABLE/ ESCALERA ANCHO ESPECIAL/S.EXTINCION DE INCENDIOS</t>
  </si>
  <si>
    <t>IGNACIO RODRIGUEZ, S.A.</t>
  </si>
  <si>
    <t>SUNIMISTROS DE 10 GUARDAVIVOS EN COLOR NOGAL PARA  EL CPM RONDILLA- DURACION 1 DIA</t>
  </si>
  <si>
    <t>OBRAS SUBSIDIARIAS: DESARROLLO DE ACTUACIONES OBLIGATORIAS POR ENCARGO DEL AYTO (EXPT 33/2019) // PLZA SAN NICOLAS, 1</t>
  </si>
  <si>
    <t>SUMINIST FERRETERIA, SEÑAL POLIESTIRENO/ MACETA/ CORTAFRIOS/ GUANTE/ MTS CANAL/ LIJADORA -PINTURA DECORATIVA III- D1DIA</t>
  </si>
  <si>
    <t>ACTUACIONES OBLIGATORIAS SUBSIDIARIAS POR ENCARGO DEL AYTO (EXPT 33/19): TASA OCUPAC.VIA PÚBLICA // PLZA SAN NICOLAS, 1</t>
  </si>
  <si>
    <t>PANEL KLARSTEIN Air Art Smart 300W INFRARR (2 UNIDADES) ///// DESTINO: ARCHIVO MUNICIPAL</t>
  </si>
  <si>
    <t>AMENIZACIÓN MUSICAL EN LA BIBLIOTECA DEL CAMPO GRANDE LOS MESES DEJULIO Y DE AGOSTO. PLAZO DE EJECUCIÓN 3 MESES.</t>
  </si>
  <si>
    <t>Coordinación de Seguridad y Salud. Eliminación de bajantes de fibrocemento en centros educativos. Plazo: Dos meses</t>
  </si>
  <si>
    <t>SUMINISTRO DE MATERIAL /// C.C. ARTURO EYRIES / ZONA SUR / ESGUEVA / C. BIOLOGO VALVERDE / CENTRO SEGUNDO MONTES</t>
  </si>
  <si>
    <t>RECHAPADO+CANTO (CC ESGUEVA) ///  MELAMINA +CORTES+CANTO (CC MOSQUERA) / MELAMINA+CANTO (CC DELICIAS)</t>
  </si>
  <si>
    <t>ACUERDO MARCO 2017/36, ARTICULOS DE MADERA PARA JARDINES.</t>
  </si>
  <si>
    <t>CONTROL DE SEGURIDAD Y SALUD, VINCULADO AL CONTRATO MENOR DE ELIMINACIÓN DE FIBROCEMENTO EN COLEGIOS PÚBLICOS. SE 21/21</t>
  </si>
  <si>
    <t>INSTITUCION FERIAL CASTILLA-LEON</t>
  </si>
  <si>
    <t>Exposición de UPCYCLING y buenas prácticas en EC así como la realización de talleres de UPCYCLING en Feria de Muestras</t>
  </si>
  <si>
    <t>2021 05 4331 22701</t>
  </si>
  <si>
    <t>Ampliación del sistema de seguridad de la Agencia de innovación por el aumento de la superfice tras las obras de ampliac</t>
  </si>
  <si>
    <t>INSTALACION Y MANTENIMIENTO (OCT-DIC 21) ALARMA EN EL COLEGIO MARIA DE MOLINA PARA LA ESCUELA MUNICIPAL DE MUSICA.</t>
  </si>
  <si>
    <t>SUMINISTRO PIEZAS AL CEIP NARCISO ALONSO CORTES. AGOSTO. SE APLICA ABONO 138</t>
  </si>
  <si>
    <t>JAVIER IGELMO  HEREDERO</t>
  </si>
  <si>
    <t>REALIZACIÓN DE 500 CUADERNILLOS DE ""RELACIÓN CODIFICADA DE INFRACCIONES"" PARA PERSONAL DE POLICÍA.</t>
  </si>
  <si>
    <t>JELENA DRAGAS</t>
  </si>
  <si>
    <t>VIDEO MATERIAL EDUCATIVO PARA DIFUNDIR EL PATRIMONIO CULTURAL VALLISOLETANO EN LOS CENTROS EDUCATIVOS. HASTA 31/12/21</t>
  </si>
  <si>
    <t>ACUERDO MARCO 2017/36, MATERIAL DE CARPINTERÍA.</t>
  </si>
  <si>
    <t>REPARACION DEL SISTEMA CENTRAL DE CONTROL DE INSTALACIONES- ARCHIVO MUNICIPAL</t>
  </si>
  <si>
    <t>SUMINISTROS DE RIEGO (DEPÓSITO CANINO)</t>
  </si>
  <si>
    <t>ACUERDO MARCO 2017/36, REPUESTOS PARA VEHICIULOS.</t>
  </si>
  <si>
    <t>MANGUERA / LAMPARA / CEBADOR / TASA + CONMUTADOR + ZOCALO /// DESTINOS: CIC EMPECINADO - J. LUIS MOSQUERA</t>
  </si>
  <si>
    <t>CUBIERTA NUEVA CONTINENTAL HCS/ ECO TASA/ JUNTA TÓRICA PARA VEHÍCULO MATRÍCULA 0095DWZ///SERV. EXTINCION DE INCENDIOS</t>
  </si>
  <si>
    <t>SUMINISTROS PARA SAN BENITO/ RECINTO FERIAL/ PLAZA SANTA ANA</t>
  </si>
  <si>
    <t>LA CANDELA TEATRO Y COMUNIDAD</t>
  </si>
  <si>
    <t>ACTUACIONES EN CENTROS EDUCATIVOS SOBRE PREVENCION DE LA VIOLENCIA DE GENERO EN LA INFANCIA Y ADOLESC. / DURANTE 2021</t>
  </si>
  <si>
    <t>RUBIA TIR 9900 FE 5W30 208 L (2)  / APORTACION SIGAUS 208 L (2) EXP 36-2017. SERVICIO DE LIMPIEZA.</t>
  </si>
  <si>
    <t>AK-ADIGAS 6 CTN 25 L (2) //  EXP. V36-2017. SERVICIO DE LIMPIEZA.</t>
  </si>
  <si>
    <t>DYNAMIC-ANTICONGELANTE 3000 50% 185 K (2 UNID.) ///  EXP. 36/2017. SERV. LIMPIEZA</t>
  </si>
  <si>
    <t>F-9711.MARINO DE LA F. TAB PINO/TIRAFONDOS/BISAGRA/CERRADURA/TIRADOR. VIV.C/MACIZO DE GREDOS, 90/CEAS HTA DEL REY. 1 DIA</t>
  </si>
  <si>
    <t>FILTRO HIDRAULICO SH-67784V ( 4 UNIDADES) /// EXP. V36/2017. SERVICIO DE LIMPIEZA.</t>
  </si>
  <si>
    <t>R2NANO VASOS 1/4 DE 5,5 A 14 MM Y ACCESORIOS FACOM  (1) ////  TORNILLO BROCA C/E 6.3X25 P16 INDEX (50)///SEISPC</t>
  </si>
  <si>
    <t>AdBlue Granel ( 25,32 + 31,80 + 24,17 ) ///  SERV. SEIS Y PC  ///// MES DE JUNIO DE 2021</t>
  </si>
  <si>
    <t>AdBlue Granel (27,30 + 11,74) ////  SERV. SEIS Y PC //// MES DE NOVIEMBRE DE 2020</t>
  </si>
  <si>
    <t>Adblue Granel ( TOTAL 31,70) ////  SERV. PREVENCION Y EXTINC. - SEIS Y PC</t>
  </si>
  <si>
    <t>SUMINISTROS PARA CENTRO SEGUNDO MONTES/ CC VICENTE ESCUDERO</t>
  </si>
  <si>
    <t>AdBlue Granel (27,18) ////  SERV. SEIS Y PC /// MES DE MARZO DE 2021</t>
  </si>
  <si>
    <t>NIPPELS GALVANIZADO/ ENLACE MACHO (ALBARÁN 21-227441) // CP NARCISO A. CORTÉS. AGOSTO</t>
  </si>
  <si>
    <t>2021 02 9332 22699</t>
  </si>
  <si>
    <t>BURBUJA ROLLO 70GR 1,60  X  1,50ML (240 UNIDADES)</t>
  </si>
  <si>
    <t>SUMINISTRO DE DIFERENTES TÍTULOS /// DESTINO: BIBLIOTECAS MUNICIPALES ///  MES DE AGOSTO DE 2021</t>
  </si>
  <si>
    <t>MARIA CARMEN MUÑOZ  CASARES</t>
  </si>
  <si>
    <t>50 CAMISETAS CON EL LOGO-NOS MOVEMOSDE MANERA SOSTENIBLE- PARA LOS CPM- DURACION 1 DIA</t>
  </si>
  <si>
    <t>TESA 2031F/602 REV AI DS S/CIL ( 1 UNIDAD ) ////  DESTINO:  CEIP MARINA ESBOBAR</t>
  </si>
  <si>
    <t>Lote 4 A.M. Proveedores. Compra de arquetas para conexiones realizadas por el Centro de Mantenimiento en la Agencia Inno</t>
  </si>
  <si>
    <t>ALBARÁN 21-222417: REPARACIÓN DE VENTILADOR DE MARCA TEMPEST/ REPUESTOS/ SERVICIOS LOGÍSTICOS (SEIS Y PC)</t>
  </si>
  <si>
    <t>MELAMINA/ CANTO PVC/ TIRAFONDO/ TABLERO // MESA DE ALCALDÍA / PQUE DE LAS NORIAS</t>
  </si>
  <si>
    <t>DOWNLIGHT + TASA ECORAEE (RONDILLA) / PROYECTOR +TASA ECORAE (C.C.ESGUEVA) / DOWNLIGHT + TASA (C.C.ZONA SUR)</t>
  </si>
  <si>
    <t>AC MARCO EXP V36-2017: RADIADOR RECONSTRUIDO REPARACION BARREDORA E3814BDK DEL SERVICIO DE LIMPIEZA</t>
  </si>
  <si>
    <t>AC MARCO EXP V36-2017: SUMINISTRO MATERIALES DE FONTANERIA PARA EL SERVICIO DE LIMPIEZA</t>
  </si>
  <si>
    <t>ACTIVIDADES AL AIRE LIBRE EN LA BIBLIOTCA DE VERANO ""CAMPO GRANDE"" ARTE Y NATURALEZA. PLAZO DE EJECUCIÓN TRES MESES.</t>
  </si>
  <si>
    <t>PREBEN AVISPAS 750ML (12 UDS) ///SERVICIO DE EXTINCION DE INCENDIOS</t>
  </si>
  <si>
    <t>LOTE 4 A.M. Proveedores - Compra material por el Centro de Mantenimiento para obra de sanemiento en Agencia de Innovacio</t>
  </si>
  <si>
    <t>PASADOR 10MM/ ADAPTADOR GRIFO HEMBRA/ RUEDA P/CARRETILLO DE OBRA MACIZA/ MACETA (MANTENIMIENTO)</t>
  </si>
  <si>
    <t>SUMINISTRO DE MATERIAL DIVERSO DE ELECTRICIDAD /// DESTINO: CASA CONSISTORIAL</t>
  </si>
  <si>
    <t>TALLERES PREVENCIÓN INTOLERANCIA Y DELITOS DE ODIO. ALUMNOS IES. NOVIEMBRE Y DICIEMBRE 2021</t>
  </si>
  <si>
    <t>SILLA CON BRAZOS ERGONÓMICA CC CANAL DE CASTILLA (CM LA OVERUELA)</t>
  </si>
  <si>
    <t>ACUERDO MARCO. SUMINISTRO MATERIAL FONTANERIA DEPENDENCIAS DE JEFATURA DE POLICÍA.</t>
  </si>
  <si>
    <t>F-9813. CADIELSA. FLUORESCENTE / TASA ECORAEE / CEBADOR (CEAS DELICIAS - ARGALES) 1  DIA</t>
  </si>
  <si>
    <t>TABLERO CONTR.PINO II/III 30MM (3,13) / TIRAFONDO SPAX 4*70 XL 150U.(1) ///// DESTINO: CENTRO NORTE, C/ OLMO 56</t>
  </si>
  <si>
    <t>MANT. SUMINISTRO DE CERRADURA TESA 2031-40 HL ( 2 UNIDADES ) DESTINO: C.P.M. DELICIAS - DURACION 1 DIA- ACUERDO MARCO</t>
  </si>
  <si>
    <t>ACUERDO MARCO.  - MATRÍCULA 3707KGD: REPARAR ALINEACION VEHÍCULO DE POLICÍA MUNICIPAL.</t>
  </si>
  <si>
    <t>OCA INSPECCION CONTROL Y PREVENCION, S.A.U.</t>
  </si>
  <si>
    <t>INSPECCION DE BAJA TENSION EN C/ SANTO DOMIINGO DE GUZMAN, 8 (ARCHIVO MPAL)</t>
  </si>
  <si>
    <t>OFI-SUTEMAN, S.L.</t>
  </si>
  <si>
    <t>COMPLEMENTOS SILLERIA:PISTON DE GAS</t>
  </si>
  <si>
    <t>DISEÑO, MAQUETACIÓN Y ARTE DE ROLL-UP, PHOTOCALL ZONA JOVEN PINAR / 1 DIA</t>
  </si>
  <si>
    <t>MANT. SUMINISTRO  CONMUTADOR NIESSEN,TECLA I  NIESSEN, MARCO NIESSEN ,PARA  CPM PUENTE COLGANTE- DURACION 1 DIA-A. MARCO</t>
  </si>
  <si>
    <t>AC MARCO EXP V36-2017: SUMINISTRO PARA EL  SERVICIO DE LIMPIEZA VIARIA</t>
  </si>
  <si>
    <t>AC MARCO EXP V36-2017: BOLSAS NEGRA 90X95 Y  BOLSAS NEGRA 115X150  SERV. DE LIMPIEZA VIARIA</t>
  </si>
  <si>
    <t>SOFTWARE ACTUALIZACIÓN MAQUINA DE DIAGNOSIS DEL TALLER DEL SERVICIO DE LIMPIEZA</t>
  </si>
  <si>
    <t>MELAMINA 19 MM / CORTES / CANTO PVC ///   DESTINO:  ESCUELA DE MUSICA</t>
  </si>
  <si>
    <t>REALIZACIÓN DE INFOGRAFÍAS DEL PROYECTO DE INTEGRACIÓN FERROVIARIA</t>
  </si>
  <si>
    <t>REVISIÓN Y SUBSANACIÓN DE ANOMALÍAS EN EXTINTORES Y SISTEMA DE DETECCIÓN DE INCENDIOS EN CEAS, COMEDOR Y ALBERGUE.</t>
  </si>
  <si>
    <t>BATERÍA TUDOR/ PILA LONG LIFE/ PILAS AAA ULTRA/ BATERÍA MOTO 12V/ MULTIUSOS 500 ML // BOMBEROS</t>
  </si>
  <si>
    <t>LUMINARIA SIMON (2) / TASA ECORAEE (2) // PARQUE DE BOMBEROS</t>
  </si>
  <si>
    <t>MANT. SUMINISTRO DE LUMINARIA SIMON (2) +  TASA ECORAEE (2), DESTINO: C.P.M. RONDILLA- DURACION 1 DIA- A. MARCO</t>
  </si>
  <si>
    <t>SEPIOLITA 20KG. /  15-30 / 25 UNIDADES)  AC. MARC. OP36/2017. SERVICIO DE LIMPIEZA.</t>
  </si>
  <si>
    <t>MANT. SUMINISTRO DE DOSIFICADOR JABON  (PARQUESOL) Y  ASIENTO VICTORIA  BLANCO (HUERTA DEL REY)DURACION 1 DIA-A. MARCO</t>
  </si>
  <si>
    <t>ASIENTO ROCA T.GAP BLANCO C/TAPA / DESATASCADOR COLLAK // C.P. PABLO PICASSO</t>
  </si>
  <si>
    <t>MANT. SUMINISTRO DE MELAMINA LISA BLANCA 19 MM PARA EL C.P.M. PUENTE COLGANTE- DURACION 1 DIA- A. MARCO</t>
  </si>
  <si>
    <t>REPARACION: EQUILIBRADO Y PINCHAZO</t>
  </si>
  <si>
    <t>ALBARAN: 227169 ///  BOCA DE RIEGO (1) / TUERCA (1) / MACHON (2) /// UBICACION: RECINTO FERIAL</t>
  </si>
  <si>
    <t>DOCUMENTACION TECNICA Y DIRECCION FACULTATIVA EJECUCION DE INSTALAC ELECTR -PLAZA DE LA SOLIDARIDAD</t>
  </si>
  <si>
    <t>CINTA DE GRADOS K-300 (60º)</t>
  </si>
  <si>
    <t>Saco cemento gris 25kg 32.5R (378 unidades) // VIAS PÚBLICAS</t>
  </si>
  <si>
    <t>WATERSIDE-CARTUCHO CA GRANULADO (2 UNID.) ////   DESTINO: BOMBEROS CANTERAC</t>
  </si>
  <si>
    <t>PILA PARA BALIZA SINEX (10 UDS) // MOVILIDAD</t>
  </si>
  <si>
    <t>RPEUESTOS REPARACION DE RECOLECTORES MARCA ROS ROCA DE VEHICULOS DEL SERVICIO DE LIMPIEZA</t>
  </si>
  <si>
    <t>MECANISMO DESCARGA D2D D/PULSADOR (1) ////  DESTINO: PARQUE DE BOMBEROS</t>
  </si>
  <si>
    <t>ALBARAN AV21/04291 DE 17/08/2021: JUNTA GOMA TORICA MEDIANA (24) // ARCHIVO MPAL</t>
  </si>
  <si>
    <t>ALBARAN: 226671 ///  CODO (3) / MANGUITO (1) / PEGAMENTO PVC (1) ////  CONSERV. MNTO CENTROS INF. AGOSTO</t>
  </si>
  <si>
    <t>AMPLIACIÓN ACTIVIDADES DE VERANO ARAMBURU. TALLER DE CAJÓN Y ZUMBA FLAMENCO.</t>
  </si>
  <si>
    <t>ENCUADERNACIÓN 1.500 CUADERNILLOS (ENCARGADOS A LA IMPRENTA MUNICIPAL) PARA LA ACADEMIA DE POLICÍA MUNICIPAL.</t>
  </si>
  <si>
    <t>ALBARAN: 21-226968  ///  CINTURÓN ANTI LUMBAGO CON VELCRO (1 UNIDAD ) ////  AC. MARC. EXP V36-2017 SERV. LIMPIEZA VIARIA</t>
  </si>
  <si>
    <t>RECARGA DE BOTELLA DE OXÍGENO MEDICINAL; SERVICIO DE EXTINCIÓN DE INCENDIOS, SALVAMENTO Y PROTECCIÓN CIVIL.</t>
  </si>
  <si>
    <t>SUMINISTRO DE PINTURA PARA REPARACIONES EN LAS BIBLIOTECAS PÚBLICAS MUNICIPALES. AÑO 2021</t>
  </si>
  <si>
    <t>ACUERDO MARCO_ VEHÍCULO 2024FSB: CARGA AA Y GAS. AGOSTO</t>
  </si>
  <si>
    <t>ACUERDO MARCO REPARACIÓN  VEHICULO: 3715- KGD ///   VENTILADOR MOTOR.</t>
  </si>
  <si>
    <t>ACUERDO MARCO REPARACIÓN VEHÍCULO 3959JKP POLICÍA MUNICIPAL : LIMPIA/ PASO DE RUEDA/ RUEDAS TRASERAS</t>
  </si>
  <si>
    <t>BOTONERA GEWISS/ PULSADOR SE ZB4-BA3  VERDE/ CAMARA C SE ZB4-BZ101 1NA . PUERTA ENTRADA JEFATURA POLICÍA.</t>
  </si>
  <si>
    <t>Suministro pizarra vitrificada con marco de aluminio anodizado</t>
  </si>
  <si>
    <t>SUMINISTRO ABRAZADERAS METALICAS, TIRAFONDOS, CODOS 45º, PARA LA  CUPULA DEL MILENIO. SEPTIEMBRE 2021</t>
  </si>
  <si>
    <t>SUMINISTRO E INSTALACIÓN DE DOCE CORTINAS ENROLLABLES PARA CC PILARICA EN SUSTITUCIÓN DE LAS EXISTENTES EN MAL ESTADO.</t>
  </si>
  <si>
    <t>SUMINISTRO DE REPUESTOS HIDRÁULICOS PARA LA REPARACION DE VEHICULOS DE LIMPIEZA VIARIA</t>
  </si>
  <si>
    <t>WATERSIDE-CARTUCHO CARBON ACTIVO // BOMBEROS HUERTA DEL REY</t>
  </si>
  <si>
    <t>SUMUN EQUIPAMIENTOS, S.L.</t>
  </si>
  <si>
    <t>SUMINISTRO DE BOQUILLAS ETILÓMETRO Y PAPEL PARA IMPRESORA ETILÓMETRO INSPECCIÓN CENTRAL DE GUARDIA.</t>
  </si>
  <si>
    <t>SONDIKA</t>
  </si>
  <si>
    <t>COPIA LLAVE JMA DOBLE DENTADO (5) // CC ZONA SUR</t>
  </si>
  <si>
    <t>ADQUISICIÓN MANGUITO PARA TERMO AGUA CALIENTE</t>
  </si>
  <si>
    <t>ADQUISICIÓN DE PAPEL PARA LA REALIZACIÓN DE TRABAJOS ENCARGADOS POR LA POLICÍA MUNICIPAL A LA IMPRENTA.</t>
  </si>
  <si>
    <t>CONTRATO PARA CONTRATAC. SERVICIO PARA LA ORGANIZ., GESTION, COORD, FUNCIONAMIENTO DEL ENCUENTRO REGIONAL ESPACIOS INNOV</t>
  </si>
  <si>
    <t>Compra de Broca y Accesorio para perforar con destino al Centro de Mantenimiento para reparacion en Agencia de Innovacio</t>
  </si>
  <si>
    <t>ACUERDO MARCO_VA-9917-Y:  SUSTITUIR RELE DE INTERMITENCIAS Y FUNDAS ASIENTOS</t>
  </si>
  <si>
    <t>ACUERDO MARCO_8367-JKB: MNTO REV-Cº ACEITE - FILTROS ACEITE-POLEN, PASTILLAS /// AC.MARCO_8282-DFF REPAR. CIERRE PORTON</t>
  </si>
  <si>
    <t>ACUERDO MARCO VEHICULOS: VA-3249-T - 7688-BMH ////  REPARACIÓN INST TRAS. MATRICULA, PINCHAZOS RUEDAS...</t>
  </si>
  <si>
    <t>ACUERDO MARCO. REPARACIÓN CAMIÓN 8671 JXF// MATERIALES: EMISOR IMPULSOS TACOGRAFO // REVISION TACOG. DIGITAL</t>
  </si>
  <si>
    <t>TECNICOSA VALLADOLID S.L.</t>
  </si>
  <si>
    <t>ACUERDO MARCO. SERVICIOS TUNEL LAVADO DE VEHÍCULOS POLICÍA MUNICIPAL.</t>
  </si>
  <si>
    <t>ACUERDO MARCO. REPARACIÓN VEHÍCULO 3998 JKP DE POLIC. MPAL // MATERIALES: LUZ DE FRENO ELEVADA/ COND. SALIDA AIRE</t>
  </si>
  <si>
    <t>CONTRATACION MENOR / SERVICIOS / PRIMER, SEGUNDO Y TERCER TRIMESTRE EJERCICIO 2021</t>
  </si>
  <si>
    <t>CONTRATACION MENOR / SUMINISTROS / PRIMER, SEGUNDO Y TERCER TRIMESTRE EJERCICIO 2021</t>
  </si>
  <si>
    <t>CONTRATACION MENOR / OBRAS / PRIMER, SEGUNDO Y TERCER TRIMESTRE EJERCICIO 2021</t>
  </si>
  <si>
    <t>CONTRATACION MENOR / MIXTOS / PRIMER, SEGUNDO Y TERCER TRIMESTRE EJERCICIO 2021</t>
  </si>
  <si>
    <t>CONTRATACION MENOR / OTROS / PRIMER, SEGUNDO Y TERCER TRIMESTRE EJERCICIO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</si>
</sst>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49" fontId="0" fillId="0" borderId="0" xfId="0" applyNumberFormat="1" applyAlignment="1">
      <alignment horizontal="right"/>
    </xf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1" fontId="11" fillId="0" borderId="0" xfId="0" applyNumberFormat="1" applyFont="1"/>
    <xf numFmtId="49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49" fontId="11" fillId="0" borderId="0" xfId="0" applyNumberFormat="1" applyFont="1" applyAlignment="1">
      <alignment horizontal="left"/>
    </xf>
    <xf numFmtId="0" fontId="11" fillId="0" borderId="0" xfId="0" applyFont="1"/>
    <xf numFmtId="10" fontId="3" fillId="0" borderId="0" xfId="3" applyNumberFormat="1" applyFont="1" applyBorder="1" applyAlignment="1">
      <alignment horizontal="center" vertical="center" wrapText="1"/>
    </xf>
    <xf numFmtId="4" fontId="6" fillId="4" borderId="6" xfId="0" applyNumberFormat="1" applyFont="1" applyFill="1" applyBorder="1" applyAlignment="1">
      <alignment vertical="center" wrapText="1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4" fontId="4" fillId="0" borderId="9" xfId="0" applyNumberFormat="1" applyFont="1" applyBorder="1" applyAlignment="1">
      <alignment horizontal="left"/>
    </xf>
    <xf numFmtId="4" fontId="4" fillId="0" borderId="2" xfId="0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4" fontId="4" fillId="0" borderId="2" xfId="0" applyNumberFormat="1" applyFont="1" applyBorder="1" applyAlignment="1">
      <alignment horizontal="left"/>
    </xf>
    <xf numFmtId="4" fontId="4" fillId="0" borderId="0" xfId="0" applyNumberFormat="1" applyFont="1" applyBorder="1" applyAlignment="1">
      <alignment vertical="center" wrapText="1"/>
    </xf>
    <xf numFmtId="4" fontId="11" fillId="0" borderId="2" xfId="0" applyNumberFormat="1" applyFont="1" applyBorder="1"/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4" fontId="4" fillId="0" borderId="3" xfId="0" applyNumberFormat="1" applyFont="1" applyBorder="1" applyAlignment="1">
      <alignment vertical="center" wrapText="1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3098"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delpozo" refreshedDate="44497.507056712966" createdVersion="6" refreshedVersion="6" minRefreshableVersion="3" recordCount="4610" xr:uid="{00000000-000A-0000-FFFF-FFFF1E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10063207"/>
    </cacheField>
    <cacheField name="Fase" numFmtId="49">
      <sharedItems/>
    </cacheField>
    <cacheField name="Fecha" numFmtId="14">
      <sharedItems containsSemiMixedTypes="0" containsNonDate="0" containsDate="1" containsString="0" minDate="2021-01-02T00:00:00" maxDate="2021-10-01T00:00:00"/>
    </cacheField>
    <cacheField name="Referencia" numFmtId="1">
      <sharedItems containsSemiMixedTypes="0" containsString="0" containsNumber="1" containsInteger="1" minValue="22019005585" maxValue="22021006747"/>
    </cacheField>
    <cacheField name="Aplicación" numFmtId="49">
      <sharedItems/>
    </cacheField>
    <cacheField name="Importe" numFmtId="4">
      <sharedItems containsSemiMixedTypes="0" containsString="0" containsNumber="1" minValue="-375000" maxValue="10862800"/>
    </cacheField>
    <cacheField name="Nombre Ter." numFmtId="49">
      <sharedItems count="1681">
        <s v="1A INGENIEROS,  S.L.P."/>
        <s v="A. SAORIN MONTAJE DE STAND, S.L."/>
        <s v="A.C. TRADIBERICA MUSICAS TRADICIONALES"/>
        <s v="A.T. MEDTRA, S.L."/>
        <s v="ABACO C.E. INFORMATICOS, S.L."/>
        <s v="ABMA1977, S.L."/>
        <s v="AC CAMERFIRMA,S.A"/>
        <s v="ACCIONA MEDIO AMBIENTE, S.A."/>
        <s v="ACINSE, S.L."/>
        <s v="ACOVALL ACOMETIDAS Y SANEAMIENTOS DE VALLADOLID S.L."/>
        <s v="ACQUAJET SEMAE, S.L.U."/>
        <s v="ACTION SERVICE PLEITE VIEDMA S.L."/>
        <s v="ADD4U SOLUCIONES PARA GESTION Y DESAROLLO SL"/>
        <s v="AGENCIA DE NOTICIAS ICAL, S.L"/>
        <s v="AGENCIA EFE, S.A"/>
        <s v="AGILENT TECHNOLOGIES SPAIN, S.L."/>
        <s v="AGORA ESTUDIOS DE MERCADO, S.L."/>
        <s v="AGROSELECTA S.A."/>
        <s v="AGRUPACION DE QUIMICOS INDUSTRIALES, S.A."/>
        <s v="AGUAPURA AGUAVIVA, S.L."/>
        <s v="AGRUPACIÓN EMPRESARIAL INNOVADORA PARA LA CONSTRUCCIÓN EFICIENTE"/>
        <s v="AIR CASTILLA, S.L."/>
        <s v="ALCASA SATURNO S.L."/>
        <s v="ALICIA SANZ RODRIGUEZ"/>
        <s v="AL AIR LIQUIDE ESPAÑA, S.A."/>
        <s v="ALMACEN DE RECAMBIOS PAHER, S.A."/>
        <s v="ALONSO VENDING 1995, S.L."/>
        <s v="ALPA COPIADORAS, S.L."/>
        <s v="ALPHABET ESPAÑA FLEET MANAGEMENT, S.A."/>
        <s v="ALTERNATIVAS ECONÓMICAS, S.C.C.L."/>
        <s v="ALTIA CONSULTORES, S.A."/>
        <s v="ALLENDE ACTIVIDADES DE OCIO Y TIEMPO LIBRE,  S.L."/>
        <s v="ALVIBESA MOTOR, S.L."/>
        <s v="AMAQ ELEVACION, S.L."/>
        <s v="ALVAREZ Y MATEO ARQUITECTOS, SL"/>
        <s v="AMBAR TELECOMUNICACIONES, S.L."/>
        <s v="ANA MOYANO CANO"/>
        <s v="ANDACAR 2000, S.A."/>
        <s v="ANGEL GUERRA,S.L."/>
        <s v="ANGEL JAVIER LINARES ARRANZ"/>
        <s v="ANGÉLICA GAGO  BENITO"/>
        <s v="ANTON CENTRO ESPECIAL DE EMPLEO, S.L"/>
        <s v="ANTONIO TARAZONA S.L.U."/>
        <s v="API MOVILIDAD, S.A"/>
        <s v="ARASTI BARCA M.A., S.L."/>
        <s v="ARCOVET PRODUCTOS VETERINARIOS SL"/>
        <s v="ARGAVALLADOLID, S.L.L."/>
        <s v="ARMAISMA, S.L."/>
        <s v="ARROYO, S.A."/>
        <s v="ARTE-ROTULACION  TEAN, S.L."/>
        <s v="ASCENSORES ENOR S.L."/>
        <s v="ASCENSORES TRESA, S.A."/>
        <s v="ASCENSORES ZENER GRUPO ARMONIZA, S.L.U."/>
        <s v="ARCAL GESTIÓN DOCUMENTAL, S.A."/>
        <s v="ASOC.COMISION CATOLICA ESPAÑOLA MIGRACIO"/>
        <s v="ASOCIACION CULTURAL &quot;&quot;PEONZA&quot;&quot;"/>
        <s v="ASOCIACION CULTURAL AMIGOS DEL PISUERGA"/>
        <s v="ASOCIACIÓN DE INDUSTRIALES DEL MERCADO DEL VAL"/>
        <s v="Asociacion Musical Cucu Band"/>
        <s v="ASOCIACION POETA BULULU"/>
        <s v="ASPA CLOUD, S.L."/>
        <s v="ASPAMA CONTROL DE PLAGAS,S.L."/>
        <s v="ATOS IT SOLUTIONS AND SERVICES IBERIA S.L."/>
        <s v="AURUM REGALOS PUBLICITARIOS,S.L."/>
        <s v="AUTO INYECCION VICENTE, S.A."/>
        <s v="AUTOCHAPA PREMIUN, S.L."/>
        <s v="AVILA ASISTENCIA S.L."/>
        <s v="AXIOMA ANALISIS ESTADISTICOS SL"/>
        <s v="ASTIBOT INGENIERIA INFORMATICA ROBOTICA Y DOMOTICA SL"/>
        <s v="AYTOS SOLUCIONES INFORMATICAS, S.L.U."/>
        <s v="AYUDAS TÉCNICAS A LA COOPERACIÓN, S.L."/>
        <s v="BALLESTAS HERNANDEZ VALLADOLID, S.L"/>
        <s v="BAYARD REVISTAS, S.A.U."/>
        <s v="BECEDAS EQUIPAMENTOS INTEGRALES, S.L."/>
        <s v="BENADOOR, S.L."/>
        <s v="BETON CATALAN, S.A."/>
        <s v="BETTINA ALEXANDRA GERTRUD GEISSELMANN"/>
        <s v="BILBAO C.A. SEGUROS Y REASEGUROS"/>
        <s v="BIOTRAN GESTION DE RESIDUOS, S.L."/>
        <s v="BJS AUTOMATISMOS,S.L."/>
        <s v="BLAPE, S.L."/>
        <s v="BRONCE 7 ARGALES, S.L."/>
        <s v="CADIELSA VALLADOLID, S.L.U."/>
        <s v="CALCULO Y TRATAMIENTO INFORMACION CTI,SA"/>
        <s v="CALIDAD DE AMBIENTE, S.L."/>
        <s v="CAMIONES DEL PISUERGA, S.A."/>
        <s v="CANYCAT PETS, SL.L"/>
        <s v="CARGRAF  ARTES GRAFICAS, S.L."/>
        <s v="CARLIBUR S.L."/>
        <s v="CARLOS BERNARDO  FERNANDEZ"/>
        <s v="BOBILLO Y ASOCIADOS ARQUITECTOS S.L."/>
        <s v="CARRETILLAS MAYOR, S.A."/>
        <s v="CARROCERIAS Y GRUAS M. TORRE S.L."/>
        <s v="CASA AMBROSIO RODRIGUEZ, S.L."/>
        <s v="CASLI, S.A."/>
        <s v="CASTELLANA DE TELECOMUNICACIONES, S.L."/>
        <s v="CASTILLA VEHICULOS INDUSTRIALES S.A."/>
        <s v="CENTRO DE INNOVACIÓN DE SERVICIOS GESTIONADOS AVANZADOS, S.L."/>
        <s v="CENTRO DE JARDINERIA VIVEROS GIMENO, S.L."/>
        <s v="CENTRO DE OBSERVACION Y TELEDETECCION ESPACIAL, S.A.U."/>
        <s v="CENTRO DE TRANSICIÓN AL EMPLEO ORDINARIO, S.L."/>
        <s v="CAREN SAU"/>
        <s v="CESAR VEGAS HERRERA"/>
        <s v="CIENCIA E INGENIERIA ECONOMICA Y SOCIAL, S.L."/>
        <s v="CIRCE PRODUCCIONES TEATRALES, S.L."/>
        <s v="CLECE SA-ONET IBERIA SOLUCIONES SA"/>
        <s v="CASTILLA Y LEON RADIO, S.A."/>
        <s v="COLEGIO NACIONAL SECRETARIOS, INTERVENTORES Y TESOREROS ADMON. LOCAL"/>
        <s v="COLEGIO OFICIAL VETERINARIOS VALLADOLID"/>
        <s v="CERAMICAS SANCHEZ S.L."/>
        <s v="COMERCIAL BOIZ, S.A."/>
        <s v="COMERCIAL CUATRO, S.L."/>
        <s v="COMERCIAL HISPANOFIL, S.A.U."/>
        <s v="COMERCIAL RENOIL,S.A."/>
        <s v="COMERCIAL ULSA S.A."/>
        <s v="COMPAÑÍA DE REPROGRAFÍA Y SISTEMAS KONI-COPY S.L.L."/>
        <s v="CERAMICAS SANCHEZ, S L"/>
        <s v="CONNECTIS ICT SERVICES, S.A."/>
        <s v="CONSORCIO DE MANIPULADO Y SERVICIOS POSTALES SL"/>
        <s v="CONSTRUCCIONES RAUL FERNANDEZ ALEGRE SL"/>
        <s v="CONSTRUCCIONES SANCHEZ ROMERA, S.L."/>
        <s v="CONSTRUCCIONES Y OBRAS VALBUENA S.A."/>
        <s v="CONSULTING DE INGENIERIA CIVIL, S.L.P."/>
        <s v="CLECE, S.A."/>
        <s v="CONTENEDORES LA FLECHA, S.L"/>
        <s v="CONTENUR ESPAÑA, S.L."/>
        <s v="CLIMATIZACION ALONSO, S.L."/>
        <s v="COMUNICACIONES Y OCIO INTERACTIVO S.L."/>
        <s v="CRESPO COMERCIAL ESPAÑOLA DE PROTECCION, S.L."/>
        <s v="CRISTAL AUTO VALLADOLID S.L."/>
        <s v="CONTENEDORES CASTRO, S.L."/>
        <s v="CONTRATAS Y OBRAS SAN GREGORIO, S.A."/>
        <s v="CRISTINA MIGUELEZ SANZ"/>
        <s v="CRONORENT, S.L."/>
        <s v="CRUZ ROJA ESPAÑOLA"/>
        <s v="CUALTIS, S.L.U."/>
        <s v="CVC DESINFECCION CASTILLA Y LEON, S.L"/>
        <s v="DAVID RODRIGO RODRIGUEZ"/>
        <s v="DAZA DISEÑO &amp; COMUNICACION, S.L."/>
        <s v="DECORACION Y PINTURAS JOSE HERRADOR S.L.U."/>
        <s v="DELTACINCO LINEA VERDE S.L."/>
        <s v="CONYTRAIR,S.L."/>
        <s v="DIALOGASEX"/>
        <s v="DIANA SANCHIS LOBATO"/>
        <s v="DIGIAMBLES, S.L."/>
        <s v="DIGITAL CARDIG, S.L.L."/>
        <s v="DIGITAL VALLADOLID S.L."/>
        <s v="COTOVERDE OBRAS Y SERVICIOS S.A."/>
        <s v="CRISTALERIA ZARATAN,S.L"/>
        <s v="DISCOMTES ENERGÍA, S.L."/>
        <s v="DISTRIBUIDORA MATERIAL OFICINA S.A."/>
        <s v="DIVISA INFORMATICA Y TELECOMUNICACIONES, S.A."/>
        <s v="DISTRIBUCION DE PAPEL CASTILLA Y LEON, S.A."/>
        <s v="DYNAMYCA SOSTENIBLE SL"/>
        <s v="DISTRIBUCIONES AMO, S.A."/>
        <s v="EDEBEI INFANTIL S.L."/>
        <s v="DORNIER S.A."/>
        <s v="DRAGER SAFETY HISPANIA S.A."/>
        <s v="DREW MARINE SIGNAL &amp; SAFETY SPAIN, S.L."/>
        <s v="DS SMITH RECYCLING SPAIN S.A."/>
        <s v="EIFFAGE ENERGIA S.L.U."/>
        <s v="EL ACCESORIO HERRANZ Y VELASCO S.L."/>
        <s v="EL NORTE DE CASTILLA, S.A."/>
        <s v="ELECNOR, S.A."/>
        <s v="DAITONA MOTOS, SL"/>
        <s v="D-TODO INGENIERIA Y DESARROLLO, S.L."/>
        <s v="DTS OABE, S.L."/>
        <s v="ECOLOGISTAS EN ACCION-CODA"/>
        <s v="ENERGINOBA BATERÍAS Y MANTENIMIENTOS, S.L."/>
        <s v="EDEN SPRINGS ESPAÑA, S.A.U."/>
        <s v="EDICIONES CONDE NAST, S.A."/>
        <s v="DEREOJO PRODUCCIONES, S.L."/>
        <s v="EDICIONES DEUSTO, S.A"/>
        <s v="EDICIONES LA MESETA, S.L."/>
        <s v="ESIMPLA, S.L."/>
        <s v="DESARROLLO, ORGANIZACIÓN Y MOVILIDAD S.A"/>
        <s v="EDITORIAL TORRE DE PAPEL, S.L."/>
        <s v="EULEN S.A."/>
        <s v="EDUARDO LAMARCA PINTO"/>
        <s v="EDUARDO PÉREZ MELÉNDEZ"/>
        <s v="EULEN SERVICIOS SOCIOSANITARIOS, S.A."/>
        <s v="EVENTO ORGANIZACION SERVICIOS PLENOS, S.L"/>
        <s v="EL CORTE INGLES, S.A."/>
        <s v="EDIGRUP PRODUCCIONES TV, S.A."/>
        <s v="EDITORIAL CASTELLANA DE IMPRESIONES S.L."/>
        <s v="FACTIBLE S COOP."/>
        <s v="EL MUNDO-UNIDAD EDITORIAL S.A."/>
        <s v="ELECTRICIDAD PASCUAL DE DIEGO, S.L."/>
        <s v="FERRETERIA ORTIZ VALLADOLID, S.L."/>
        <s v="ELECTRO-INDUX, S.L."/>
        <s v="FIRST STOP SOUTHWEST, S.A.U."/>
        <s v="FLUME S.L."/>
        <s v="ELECTROTECNIA CASTILLA Y LEON SL"/>
        <s v="ELENA TORIBIO  RODRIGUEZ"/>
        <s v="ELSAMEX, S.A."/>
        <s v="EMCO VIDEO INDUSTRIAL, S.L.U."/>
        <s v="ENTIDAD NACIONAL DE ACREDITACION"/>
        <s v="ENTREVECINOS SERVICIOS INTEGRALES S. COOP."/>
        <s v="ENVIRA SOSTENIBLE, S.A."/>
        <s v="FUNDACION ALDABA-PROYECTO HOMBRE"/>
        <s v="EQUIPOS Y SERVICIOS OFIMATICOS DE VALLADOLID, S.L."/>
        <s v="ER.ASSESSMENT CENTER SL"/>
        <s v="FUNDACION ENTRETANTOS"/>
        <s v="ESCID S.L."/>
        <s v="ESRI ESPAÑA SOLUCIONES GEOESPACIALES, S.L."/>
        <s v="GAS NATURAL COMERCIALIZADORA, S.A."/>
        <s v="ESTELA LLORENTE DEL RIO"/>
        <s v="ESTUDIO DE DISEÑO Y ARQUITECTURA WORLD DESIGN, S.L."/>
        <s v="GLOBALIA CORPORATE TRAVEL S.L."/>
        <s v="EUROFINS MEGALAB SA"/>
        <s v="GRUPO ELECTRO STOCKS, S.L."/>
        <s v="EUROPA PRESS DELEGACIONES, S.A."/>
        <s v="EVANGELINA VALDESPINO  HERRERO"/>
        <s v="GRUPO LINCE ASPRONA S.L."/>
        <s v="EVENTOS CONGRESOS Y COMUNICACION S.L."/>
        <s v="EYLO MOTOR, S.L."/>
        <s v="EXCLUSIVAS MAOR, S.L."/>
        <s v="FACTORÍA, GESTIÓN Y CONSULTORÍA, S.L."/>
        <s v="FALCON HIGH TECH"/>
        <s v="FAUSTINO GONZALEZ E HIJOS, S.L."/>
        <s v="FEDERACION DE COLECTIVOS EDUCACION DE ADULTOS"/>
        <s v="FEDERACIONI TAURINA DE VALLADOLID"/>
        <s v="FENIKS CLEANING &amp; SAFETY, S.L."/>
        <s v="FERNANDO MARTINEZ  BERMEJO"/>
        <s v="FERNANDO(VESTYPRO) RINCON CHICHES"/>
        <s v="FICHERO DE CARGOS ESTIRADO, S.A."/>
        <s v="FLORISTERIA YERBA, COMUNIDAD DE BIENES"/>
        <s v="FOIMA S.A."/>
        <s v="FORAMEN S,L."/>
        <s v="HEREDEROS DE GAGO, S.L."/>
        <s v="FORMACAL, S.L."/>
        <s v="HIDRAULICA INDUSTRIAL S.A."/>
        <s v="HUELLAS VET PET, S.L."/>
        <s v="FORUM SPORT, S.A."/>
        <s v="FRAILE TELECOMUNICACIONES, S.L."/>
        <s v="FRANCISCO MIGUEL SANZ NORIEGA"/>
        <s v="FRANCISCO SALVADOR PARRAVICINI, S.L.N.E."/>
        <s v="FRIHER S.A."/>
        <s v="FERROINDUSTRIAS YUSTOS S.L"/>
        <s v="FUGOROBA INSTALACIONES Y SERVICIOS, S.L."/>
        <s v="FUNDACION ALONSO QUIJANO"/>
        <s v="FUNDACION DEMOCRACIA Y GOBIERNO LOCAL"/>
        <s v="FUNDACION EME"/>
        <s v="FUNDACIÓN EMPRESA-UNIVERSIDAD GALLEGA (FEUGA)"/>
        <s v="FUNDACION EUSEBIO SACRISTAN"/>
        <s v="FUNDACION INTRAS"/>
        <s v="ILUNION LIMPIEZA Y MEDIO AMBIENTE, S.A."/>
        <s v="ILUSTRE COLEGIO DE ABOGADOS VALLADOLID"/>
        <s v="LA CASA POR EL TEJADO 2013"/>
        <s v="GOMSEGUR, S.L."/>
        <s v="INCIDEC INGENIERÍA Y ARQUITECTURA, S.L."/>
        <s v="INCOPE CONSULTORES, S.L"/>
        <s v="SOLRED S.A."/>
        <s v="INDRA SOLUCIONES TECNOLOGICAS DE LA INFOMACION S.L.U."/>
        <s v="YOLANDA DOMINGUEZ MAGDALENO"/>
        <s v="INVINET SISTEMAS 2003 SL"/>
        <s v="INFOREST MEDIO AMBIENTE, S.L."/>
        <s v="PROYECTOS Y OBRAS EZGONSA S.L."/>
        <s v="MARIA JOSE ANDRES  CONDE"/>
        <s v="SANE-RIEGO, S.A."/>
        <s v="KAPSCH TRAFFICCOM TRANSPORTATION, S.A."/>
        <s v="HYBRID CAR,S.A."/>
        <s v="INSTITUTO MINUSVALIDO ASTUR S.A.L."/>
        <s v="INVESTIGACION &amp; CONSULTING S.A."/>
        <s v="WILLIS TOWERS WATSON AG SUSCRIPCION SL"/>
        <s v="SUMINISTROS INDUSTRIALES SYRESA, S.L."/>
        <s v="KACHE DISEÑO GRAFICO, C.B"/>
        <s v="SOCIEDAD ESTATAL CORREOS TELEGRAFOS, S.A"/>
        <s v="MACOGLASS, S.L."/>
        <s v="TRANSVAPA, S.L."/>
        <s v="SEGOPI S.L."/>
        <s v="JESÚS GUTIÉRREZ  SIERRA"/>
        <s v="SERVICIOS DE CONTROL E INSPECCION S.A"/>
        <s v="JOSE CARLOS PUELLES DE LA CAL"/>
        <s v="RICARDO ALONSO MUÑOZ"/>
        <s v="PROYECON GALICIA S.A."/>
        <s v="I G M, INGENIERIA Y GESTION MEDIOAMBIENTAL, S.L."/>
        <s v="URBASER SA"/>
        <s v="SOCAMEX, S.A."/>
        <s v="SERVICIOS COMIDAS Y ACTIVIDADES SOCIALES, S.L."/>
        <s v="SETEX APARKI, S A"/>
        <s v="LA LETRA I ACTIVIDADES CULTURALES, S.L."/>
        <s v="HARAL 12 SERVICIOS Y OBRAS, S.L."/>
        <s v="SERVICIOS OSGA, S.L."/>
        <s v="SERVICIOS AUXILIARES DE MANTENIMIENTO Y LIMPIEZA, S.L."/>
        <s v="JESUS SUMINISTROS INDUSTRIALES, S.A."/>
        <s v="GRUPO V, S.L."/>
        <s v="JORGE MUÑOZ REINOSO"/>
        <s v="RIRECALMAR, S.L."/>
        <s v="VEHICULOS CALLEJA, S.L."/>
        <s v="MAPFRE ESPAÑA, COMPAÑIA DE SEGUROS Y REASEGUROS S.A."/>
        <s v="JUAN FELIPE CARRASCO  CUENCA"/>
        <s v="SULO IBÉRICA ,S.A."/>
        <s v="TALLERES ASISTENCIA MECÁNICA BARCELONA, S.L."/>
        <s v="UTE SIFU MADRID-BROCOLI CELADURIA VALLADOLID"/>
        <s v="TORCONSA OBRAS Y SERVICIOS SL"/>
        <s v="KOALA SOLUCIONES EDUCATIVAS, S.A."/>
        <s v="INGENIA SOLUCIONES EN MOVILIDAD, S.L."/>
        <s v="LA FLECHA MOTOR, S.L."/>
        <s v="IBERDROLA CLIENTES S.A.U"/>
        <s v="VALLAPAPEL, S.L."/>
        <s v="TITANIA COMPAÑIA EDITORIAL, S.L."/>
        <s v="LOCUS AVIS S.L."/>
        <s v="LOMIMAR, S.L."/>
        <s v="LUBRICANTES LOMAR, S.L.U."/>
        <s v="M.TERESA GARROTE VAZQUEZ"/>
        <s v="MANPER SUMINISTROS INDUSTRIALES, C.B."/>
        <s v="MANTENIMIENTOS EURO-SARONI, S.L."/>
        <s v="MANUEL SANCHEZ  DEL RIO"/>
        <s v="UTE MEJORA RIO PISUERGA"/>
        <s v="SERVICIO DE LIMPIEZA DOMESTICA COMODIN, S.L."/>
        <s v="SISTAC ILS, S.L."/>
        <s v="J.M.B.ALCAÑIZ, S.L."/>
        <s v="PRODUCTOS CALTER,  S.L."/>
        <s v="MARINO DE LA FUENTE, S.A."/>
        <s v="JORGE ESTEBAN, S.L."/>
        <s v="SUMINISTROS DE INFORMATICA CABALLERO S.L"/>
        <s v="SERVICIOS INTEGRALES DE FINCAS URBANAS DE MADRID"/>
        <s v="MONTAJES ESCENICOS GLOBALES, S.L."/>
        <s v="PUERTAS FAHER S.L.L."/>
        <s v="MONCOBRA, S.A."/>
        <s v="OUTSIDE COMUNICACION INTEGRAL S,L"/>
        <s v="VODAFONE ESPAÑA, S.A.U."/>
        <s v="VAUGHAN SYSTEMS, S.L.U."/>
        <s v="UTE LIMPIEZA DEPENDENCIAS AYUNTAMIENTO DE VALLADOLID"/>
        <s v="GESTION Y PROTECCION AMBIENTAL, S.L."/>
        <s v="VALLADOLID AUTOMOVIL S.A."/>
        <s v="INETUM ESPAÑA S.A."/>
        <s v="INSERTA INNOVACION SOCIAL, S.L."/>
        <s v="NEMOKINOS SLU"/>
        <s v="INDUSTRIAS TESEDO, S.L."/>
        <s v="OESIA NETWORKS S.L."/>
        <s v="ORANGE ESPAGNE SA"/>
        <s v="ORONA S. COOP."/>
        <s v="PAULEON AUTOMOCION, S.L."/>
        <s v="MONICA MARTIN  CAPELLAN"/>
        <s v="IRON MOUNTAIN"/>
        <s v="SUMINISTROS JAVIER, S.L."/>
        <s v="GARDEN CENTER CAMPO GRANDE"/>
        <s v="QUIMICOS LOPEZ ESCUDERO,S.L"/>
        <s v="MATZ ERREKA SCL"/>
        <s v="OCA-DIDO, S.L."/>
        <s v="OSCAR MANUEL DEL AMO  DE ANDRES"/>
        <s v="PROTEXVALL SOCIEDAD COOPERATIVA"/>
        <s v="PLATAFORMAS BER, S.L."/>
        <s v="INGENIERIA Y SERVICIOS DE EFICIENCIA ENERGÉTICA S.L."/>
        <s v="STRATEGIA INFINITA, S.L."/>
        <s v="RADIADORES PALACIOS S.A."/>
        <s v="RADIADORES VALLADOLID, S.L."/>
        <s v="NOVAELEC SISTEMAS, S.L."/>
        <s v="TRABAJOS OBRA CIVIL INGENIERIA S.L.L."/>
        <s v="TOTAL CONTROL BIONIC SL"/>
        <s v="RECICLAJE DE CONSUMIBLES OFIMÁTICOS IBAIZABAL, S. L."/>
        <s v="REPUESTOS SAENZ S.A."/>
        <s v="VALLAOCIO, S.L."/>
        <s v="ISFRAMY SECURITY SL"/>
        <s v="SDAD. ESPAÑOLA CARBUROS METALICOS, S.A."/>
        <s v="MCV,S.A"/>
        <s v="RUDELGRAF, S.L."/>
        <s v="MANUEL ELIN DEL ROSARIO DEL ROSARIO"/>
        <s v="SACYR SOCIAL SL"/>
        <s v="TELE ONDAS, S.L."/>
        <s v="MAPFRE VIDA S.A. DE SEGUROS Y REASEGUROS SOBRE LA VIDA HUMANA"/>
        <s v="RED ESPAÑOLA DE SERVICIOS, S.A.U."/>
        <s v="WURTH ESPAÑA, S.A."/>
        <s v="TIERRA INGENIERIA Y PAISAJISMO S.L."/>
        <s v="SCIVOLO ROSSO, S.L."/>
        <s v="MANUEL RAMOS MUÑIZ"/>
        <s v="IPROGES CONSULTING, S.L."/>
        <s v="HIJOS DE AMBROSIO PELAZ, S.A."/>
        <s v="JOSE RAMON FERNANDEZ  SUAREZ"/>
        <s v="RAINBOWWEAR, S.L."/>
        <s v="FUNDACION MUNICIPAL DE DEPORTES"/>
        <s v="REVISTA DE DERECHO URBANISTICO"/>
        <s v="JUAN CARLOS FERNÁNDEZ LÓPEZ"/>
        <s v="JUAN PÉREZ CAPELLÁN"/>
        <s v="SERVICIOS INTEGRALES BERZOSAS XXI S.L."/>
        <s v="LIDIA ALONSO PRIETO"/>
        <s v="LIBRERIA OLETUM, SOCIEDAD LIMITADA"/>
        <s v="GRUPO SIFU CASTILLA Y LEON SL"/>
        <s v="MATA DIGITAL, S.L."/>
        <s v="TALLERES ELECTROMECANICOS ARFER, S.L."/>
        <s v="SISTEMAS TECNICOS INTERACTIVOS S.L."/>
        <s v="MIGUEL LOPEZ JEREZ"/>
        <s v="JULIAN FERNANDEZ PUEBLA"/>
        <s v="SM SISTEMAS MEDIOAMBIENTALES S.L."/>
        <s v="GONZÁLEZ HIGUERA E HIJOS, S.L."/>
        <s v="MARTINEZ CURIEL SL"/>
        <s v="UNIVERSIDAD DE VALLADOLID"/>
        <s v="MARGARITA TORREMOCHA HERNÁNDEZ"/>
        <s v="HISPAMAST, S.L."/>
        <s v="RENTOKIL INITIAL ESPAÑA, S.A."/>
        <s v="SOCIOGRAPH NEUROMARKETING S.L."/>
        <s v="LAURA PEREZ BENITO"/>
        <s v="MARIA ESTHER PEREZ  ARRIBAS"/>
        <s v="MARIA RAQUEL ARRANZ VELEZ"/>
        <s v="HEARST MAGAZINES, S.L."/>
        <s v="SOLUCIONES EMPRESARIALES Y AUDITORIA, S.L."/>
        <s v="JESÚS RODRÍGUEZ  SÁNCHEZ"/>
        <s v="GABRIEL ALEJANDRO REYES GONZÁLEZ"/>
        <s v="JORGE NEIRA DEL CAMPO"/>
        <s v="SERIGRAFIA HERNANDEZ MURCIA, S.L."/>
        <s v="KISS PUBLICIDAD VALLADOLID 2005, S.L.U."/>
        <s v="SORIGUÉ  S.A."/>
        <s v="SAFETY METHS SEGURIDAD INDUSTRIAL S.L."/>
        <s v="SONEPAR IBERICA SPAIN S.A.U."/>
        <s v="SERVICIOS DE MANTENIMIENTO INTEGRAL, S.L."/>
        <s v="UNICAJA BANCO S.A.U."/>
        <s v="INDUSTRIAS METALICAS VALLISOLETANAS, S.L."/>
        <s v="KEYCOES COMUNICACION S.L."/>
        <s v="SUMINISTROS GARCICHAO, S.L."/>
        <s v="SUMINISTROS INDUSTRIALES VALLADOLID, S.L."/>
        <s v="JESUS CARLOS ARRIBAS VILLAN"/>
        <s v="MAQUITER AUTOMOCION, S.L."/>
        <s v="TEC CUATRO S.A."/>
        <s v="MUMECA S.A."/>
        <s v="OBDULIA RAMOS  BECERRIL"/>
        <s v="LUBRIDUERO, S.L."/>
        <s v="NAMEN COLOR, S.L."/>
        <s v="NEUMATICA HIDRAULICA BECO, S.A."/>
        <s v="VIDRA FOC SA"/>
        <s v="MIGUEL  SANABRIA MURCIEGO"/>
        <s v="ROAN MONTAJES INDUSTRIALES"/>
        <s v="TECNICAS DE AHORRO ENERGETICO, S.L."/>
        <s v="T-SYSTEMS ITC IBERIA S.A."/>
        <s v="RENTA GRUPO EDITORIAL, S.A."/>
        <s v="TELEFONICA DE ESPAÑA, S.A.U."/>
        <s v="TEVASEÑAL S.A."/>
        <s v="RADIO POPULAR S.A.-COPE"/>
        <s v="ZINET MEDIA GLOBAL S.L."/>
        <s v="JOSE MANUEL CIMAS  ORDUÑA"/>
        <s v="TÜV SÜD ATISAE, S.A.U."/>
        <s v="U.T.E. BROCOLI-SIFU MADRID CENTROS CIVICOS AYUNTAMIENTO DE VALLADOLID"/>
        <s v="NECLAPAL EQUIPAMIENTOS Y SERVICIOS, S.R.L.L."/>
        <s v="U.T.E. SIFU MADRID BROCOLI AVA CENTROS CIVICOS Y MUNICIPALES"/>
        <s v="URALA SOLUTIONS, S.L."/>
        <s v="MARIA PILAR  CARBAJO RODRIGUEZ"/>
        <s v="U.T.E. VODAFONE-ONO-AYUNTAMIENTO DE VALLADOLID"/>
        <s v="TRULYESPAÑA, S.L."/>
        <s v="JOSE CARLOS CASTILLO GOMEZ"/>
        <s v="SISTEMAS COLOR S.A."/>
        <s v="THYSSENKRUPP ELEVADORES, S.L.U."/>
        <s v="GTS ELECTRONICA, S.L."/>
        <s v="NAVARRO APLIC.TERMICAS E HIDRAULICAS S.A"/>
        <s v="GASES Y SOLDADURA DE CASTILLA, S.L."/>
        <s v="HERMANOS A.C. C.B."/>
        <s v="SERVICIOS DE PRENSA COMUNICAPLUS, S.A."/>
        <s v="UNIFORMES COSTA DEL SOL SL"/>
        <s v="GUERRO PAPELERIAS, S.L."/>
        <s v="TECNICA VALLISOLETANA DEL CLIMA, S.L."/>
        <s v="MARÍA DEL CARMEN PORRAS  LUQUE"/>
        <s v="TATO IMPERMEABILIZACIONES, S.L."/>
        <s v="UTE TELEFONICA DE ESPAÑA S.A. UNIPERSONAL Y TELEFONICA MOVILES ESPAÑA S.A."/>
        <s v="VACODE, S.A."/>
        <s v="PEDRO MONJE BARROS"/>
        <s v="OPQ SYSTEMS MAQUINARIA GRAFICA, S.L."/>
        <s v="PABLO LUIS GARCÍA ZAMORA"/>
        <s v="PAULA DOMINGO ALONSO"/>
        <s v="PEDRO JOSÉ  MANZANO ORTEGA"/>
        <s v="SILICON RADIO, S.L."/>
        <s v="ROYALJUEZ S.L."/>
        <s v="SUMINISTROS SUMATEM, S.L.L."/>
        <s v="TECNICAS DEL FUEL, S.L."/>
        <s v="STRATO, S.L."/>
        <s v="SUSTEC OUTSOURCING, S.L."/>
        <s v="ZARDOYA OTIS, S.A."/>
        <s v="ZARZUELA S.A. - EMPRESA CONSTRUCTORA"/>
        <s v="SAFETY-KLEEN ESPAÑA, S.A.U."/>
        <s v="SRCL CONSENUR, S.L.U."/>
        <s v="MRBYTE TECH SOLUTIONS, S.L."/>
        <s v="ZURICH INSURANCE PLC SUCURSAL EN ESPAÑA"/>
        <s v="WILLIS IBERIA CORREDURIA DE SEGUROS Y REASEGUROS, S.A."/>
        <s v="HUIDOBRO DE GASOLEOS, S.L."/>
        <s v="ROS ROCA, S.A."/>
        <s v="INSTITUTO DE SALUD CARLOS III"/>
        <s v="GEESINK NORBA SPAIN, S.L.U."/>
        <s v="TEKNOKROMA ANALITICA, S.A."/>
        <s v="TINLOHI, S.L."/>
        <s v="DYNAQUA MEDIO AMBIEBNTE, S.L."/>
        <s v="SOCIEDAD ESPAÑOLA DE RADIODIFUSION,S.L."/>
        <s v="GMM INGENIERIA Y ARQUITECTURA, S.L."/>
        <s v="GUTI DE GUTIERREZ S.L.U."/>
        <s v="IMPÚLSAME, CONSULTORÍA Y ESTRATEGIA S.L."/>
        <s v="INGENIERIA INTEGRAL DE PROYECTOS ABCONSULTORES S.L."/>
        <s v="INNOVATIVE SOLUTIONS IN CHEMISTRY, S.L."/>
        <s v="OCU EDICIONES, S.A."/>
        <s v="LUIS SANTIAGO  PARDO"/>
        <s v="RUBEN HERRANZ  VILLACE"/>
        <s v="GRUPO RENDER INDUSTRIAL INGENIERIA Y MONTAJES, S.L."/>
        <s v="RUNITEK INGENIEROS, S.L.P."/>
        <s v="REUQAV INGENIEROS S.L."/>
        <s v="INSTALACIONES ELECTRICAS 2023 SERVILUX, S.L."/>
        <s v="NORTHGATE ESPAÑA RENTING FLEXIBLE, S.A.U."/>
        <s v="SCAFO EVENTOS, S.L."/>
        <s v="PABLO MANUEL SALVIEJO DELGADO"/>
        <s v="MICRONET, S.A."/>
        <s v="FUNDACIÓN PARQUE CIENTÍFICO UNIVERSIDAD DE VALLADOLID"/>
        <s v="GUNNEBO ESPAÑA, S.A."/>
        <s v="GLAXOSMITHKLINE, S.A."/>
        <s v="BELLA PROPORZIONE, SL"/>
        <s v="DIMINSA SOCIEDAD LIMITADA"/>
        <s v="TRADESEGUR, S.A."/>
        <s v="VOLQUETES ESCALANTE, S.L"/>
        <s v="INGENIERÍA ROMÁNICA, S.L."/>
        <s v="HIGINIO LÓPEZ BURGUEÑO"/>
        <s v="ARCO CONTEMPORANEO &amp; ASOCIADOS S.L.L."/>
        <s v="HEWLETT-PACKARD INTERNATIONAL BANK PLC."/>
        <s v="TRIBUNA CONTENIDOS DIGITALES, S.L."/>
        <s v="MERCEDES PEREDA  RUIZ"/>
        <s v="ISELMA 2003, S.L."/>
        <s v="V-TRES APLICACIONES INDUSTRIALES S.L."/>
        <s v="MERCK CHEMICALS AND LIFE SCIENCE, S.A.U."/>
        <s v="PINTURAS BARRIENTOS, S.L."/>
        <s v="SOLUCIONES EN PINTURA Y RESINAS,S.L."/>
        <s v="SANZ ROTULOS S.L."/>
        <s v="VICTOR HUGO MARTIN CABALLERO"/>
        <s v="MOVIMIENTO CONTRA LA INTOLERANCIA"/>
        <s v="GLOBAL PROJECTS &amp; SUPPLIES, S.L."/>
        <s v="RECAUCHUTADOS CASTILLA, S.A."/>
        <s v="TALLERES GOCA,C.B."/>
        <s v="TRANSDIESEL, S.L."/>
        <s v="TARGET TECNOLOGIA, S.A."/>
        <s v="HECTOR SIERRA  OCAÑA"/>
        <s v="TECOPY, S.A."/>
        <s v="TINTORERIA LUCIMAR, C.B."/>
        <s v="TRANSPORTES OLID Y CIA, S.L."/>
        <s v="RUBICIN S.L."/>
        <s v="MULTICARTEL, C.B."/>
        <s v="FUNDACION PARA EL FOMENTO DE LA INNOVACION INDUSTRIAL"/>
        <s v="JOSE GARCIA GONZALEZ"/>
        <s v="MIGUEL ÁNGEL PEROTE CID"/>
        <s v="GRUPO MECANICA DEL VUELO SISTEMAS, S.A."/>
        <s v="SCIENCE &amp; INNOVATION LINK OFFICE, S.L."/>
        <s v="CERTIFICACIÓN Y CONFIANZA CÁMARA, S.L."/>
        <s v="TRANSPORTES Y SERVICIOS A LA CONSTRUC.SL"/>
        <s v="COM-PACTO SOLUCIONES Y PROYECTOS, S.L."/>
        <s v="SAJA CONSTRUCCIÓN Y DESARROLLO DE SERVICIOS, S.L."/>
        <s v="LAURA GARCIA SERRANO"/>
        <s v="BLAPE RENTA, S.L."/>
        <s v="GRAÑEDA S.A."/>
        <s v="RECICLADOS PUCELANOS, S.L.U."/>
        <s v="TALLERES F. FERNANDEZ, SOCIEDAD LIMITADA"/>
        <s v="OXILID S.L."/>
        <s v="SANTANDER ESPAÑA MERCHANT SERVICES ENTIDAD DE PAGO"/>
        <s v="ADECCO FORMACION SA"/>
        <s v="PROYECTA GESTION INTEGRAL DE PROYECTOS, S.L."/>
        <s v="EXCELLENCE INNOVA CONSULTORIA Y FORMACION, S.L"/>
        <s v="SCHARLAB, S.L."/>
        <s v="ZENIT INGENIERIA Y CONSULTORIA SLP"/>
        <s v="ABONOS EMUPA, S.L.2020"/>
        <s v="BEATRIZ CALVO GONZÁLEZ"/>
        <s v="GESTION Y ESTUDIOS AMBIENTALES, S. COOP."/>
        <s v="TELEFÓNICA MÓVILES ESPAÑA, S.A."/>
        <s v="MIGUEL ANGEL JURADO  NARANJO"/>
        <s v="GENERALI  ESPAÑA, S.A. DE SEGUROS Y REASEGUROS"/>
        <s v="VIVES Y HERRERO S.L."/>
        <s v="MAP CIVITATIS, S.L."/>
        <s v="C.D. ATLETISMO CUATRO CANTONES"/>
        <s v="SISTEMAS Y VEHICULOS DE ALTA TECNOLOGIA, S.A."/>
        <s v="FRANYAL, S.L."/>
        <s v="I-CATALIST, S.L."/>
        <s v="NUEVAS VENTAJAS, S.L."/>
        <s v="SKYNET INFORMATICA SL"/>
        <s v="CELIA MARÍA CURIESES ANDRÉS"/>
        <s v="TOYR S.A"/>
        <s v="ISABEL BENITO GARCIA"/>
        <s v="PINTURAS ANTRUEJO, S.A."/>
        <s v="PALOMA  TENORIO RUIZ"/>
        <s v="SASEGUR, S.L."/>
        <s v="SUMINISTROS GRAFICOS POLGRAF, S.L."/>
        <s v="TEMA INGENIERIA, S.L."/>
        <s v="MARIA CRISTINA GOMEZ  GONZALO"/>
        <s v="CENTRO ESPAÑOL DE METROLOGIA"/>
        <s v="INDRA SISTEMAS, S.A."/>
        <s v="DAVID BLANCO VALMASEDA"/>
        <s v="GUADALTEL, S.A."/>
        <s v="ZEPHYR MENSAJEROS, S.L."/>
        <s v="MARIGE PARQUES Y SERVICIOS, S.L."/>
        <s v="GILSON INTERNACIONAL BV SUCURSAL EN ESPAÑA"/>
        <s v="MARÍA VANESA CALZADA RODRIGUEZ"/>
        <s v="FITOSANITARIA REGIONAL CASTELLANO-LEONESA, S.L"/>
        <s v="PANDORA MIRABILLA GÉNERO Y COMUNICACIÓN S.COOP.MAD"/>
        <s v="PINTURAS Y SUMINISTROS PINMAHER S.L.L."/>
        <s v="EZOS S.L."/>
        <s v="TALLERES OÑATE,S.L."/>
        <s v="HERRERO Y NUÑEZ MOTOR, S.L."/>
        <s v="TECNOLOGIA PLEXUS S.L"/>
        <s v="COMERCIAL AGRICOLA CASTELLANA,S.L"/>
        <s v="CLIMATIZACION MARTIN S.L."/>
        <s v="GRUPO 2T AZALEA, S.L. (TOLDOS VAY)"/>
        <s v="SUMINISTROS SEHICA, S.L."/>
        <s v="MARIA LUISA RODRIGUEZ  ALZOLA"/>
        <s v="OPEN ENERGY 2012 SL"/>
        <s v="CASTELLANA DE AFILADOS, SOCIEDAD LIMITADA"/>
        <s v="IÑIGO GARCIA VILLAFRANCA"/>
        <s v="TECNICAS DE CONTROL, PREVENCION Y GESTION AMBIENTAL, S.L (GEPRECON, S.L.)"/>
        <s v="BRAVO INDIA SL"/>
        <s v="AVENET IT SL"/>
        <s v="GPI  CARPAS Y SERVICIOS S.L."/>
        <s v="HERMANOS GUTIERREZ MARCOS 1988, S.L."/>
        <s v="SOLIMEF IBERICA S.L."/>
        <s v="TRANSDUERO S.L."/>
        <s v="ISABEL REVILLA  RODRIGUEZ"/>
        <s v="GRUPOGO EDICIONES, S.L."/>
        <s v="TECHFRIENDLY SL"/>
        <s v="IN PULSO MUSICAL SOCIEDAD COOPERATIVA"/>
        <s v="TALLERES HERMANOS MORRONDO, S.L."/>
        <s v="IBERICA DE SALES S.A."/>
        <s v="DATAMARS IBÉRICA, S.L.U."/>
        <s v="UNIPREX,S.A.U."/>
        <s v="IDEOTUR, S.L.L."/>
        <s v="VEOLIA SERVICIOS LECAM,S.A.U."/>
        <s v="U.T.E. PLANTA DE TRATAMIENTO DE VALLADOLID"/>
        <s v="JAHOSVA, S.L."/>
        <s v="SISTEMAS DE INFORMACION INTELIGENTES PARA LA GESTION, S.L."/>
        <s v="HIDROBOMBA, S.L."/>
        <s v="BEATRIZ MAJO TOME"/>
        <s v="ALBERTO CORADA ALONSO"/>
        <s v="WOLTERS KLUWER ESPAÑA, S.A."/>
        <s v="SHS  CONSULTORES S L"/>
        <s v="ASOC. CULTURAL CINEMATOGRAFICA&quot;&quot;LA FILA&quot;&quot;"/>
        <s v="SERESCO S.A."/>
        <s v="ANTALIS IBERIA"/>
        <s v="SISTEMAS INTEGRALES DE CASTILLA Y LEÓN, S.L."/>
        <s v="MARIA SONIA SEVILLANO  TEJERA"/>
        <s v="AIG EUROPE SA SUCURSAL EN ESPAÑA"/>
        <s v="ALBA PRIETO VILLARRAGUT"/>
        <s v="ARAMARK SERVICIOS DE CATERING S.L."/>
        <s v="CALEFACCION AUTOMATICA S.L."/>
        <s v="CONSTRUCCIONES Y OBRAS LLORENTE, S.A."/>
        <s v="ELSAMEX GESTIÓN DE INFRAESTRUCTURAS, S.L."/>
        <s v="ENCLAVE FORMACIÓN, S.L.U."/>
        <s v="FCC MEDIO AMBIENTE SA"/>
        <s v="ANGEL RODRIGUEZ  SAN JOSÉ"/>
        <s v="DUERO TERCER MILENIO S.L."/>
        <s v="TOMAS CABEZAS S.L."/>
        <s v="FERNANDO DEL POZO RAPOSO"/>
        <s v="ESGUEVA REFORMAS PINTURA Y CONSTRUCCION, S.L."/>
        <s v="MACOSARFER S.L."/>
        <s v="MARUQUESA CONSTRUCCIONES Y SERVICIOS,S.L"/>
        <s v="TRABAJOS EN HORMIGÓN CASTILLA, S.L."/>
        <s v="CABERO EDIFICACIONES, S.A."/>
        <s v="W.R.BERKLEY EUROPE AG, SUCURSAL EN ESPAÑA"/>
        <s v="JUAN ANTONIO HUIDOBRO PIRIZ"/>
        <s v="4 SINGULAR ESTRATEGIA &amp; INNOVACION, S.L."/>
        <s v="EBOGA SOLUCIONES Y SERVICIOS DE SEGURIDAD INTEGRAL, S.L."/>
        <s v="FRANCISCO JAVIER RODRIGUEZ CONDE"/>
        <s v="NETTIUM THE E BISINESS COMPANY SL"/>
        <s v="SABARIA ESTUDIOS Y GEOTECNIA, S.L.L."/>
        <s v="CENTRO MATERIAL SANITARIO, S.A."/>
        <s v="CULTURA &amp; COMUNICACION SERVICIOS ESPECIALIZADOS DE COMUNICACION, S.L."/>
        <s v="ELECTROCASTILLA 2000 S.L."/>
        <s v="CONTEXTOS DE ARQUITECTURA Y URBANISMO SLU"/>
        <s v="VERSATIL SERVIZOS EDITORIAIS S.L.U."/>
        <s v="ACLAD, ASOCIACION DE AYUDA"/>
        <s v="TOLTEN CONSULTORIA DE NEGOCIO, SL"/>
        <s v="MERCADOS CENTRALES DE ABASTECIMIENTO SA"/>
        <s v="EULEN SEGURIDAD S.A."/>
        <s v="CIVIL 4, S.L."/>
        <s v="CENTRO INVESTIGACION ENERGETICO MEDIO AMBIENTE Y TECNOLOGICO"/>
        <s v="IBECON 2003, S.L."/>
        <s v="ABASTSPI S.A."/>
        <s v="FUNDACION ALDABA"/>
        <s v="EZSA SANIDAD AMBIENTAL, S.L."/>
        <s v="INGERNOVA SOLUCIONES DE INGENIERÍA, S.L."/>
        <s v="INSTALACION Y MANTENIMIENTO DE FRIO Y CALOR, S.L."/>
        <s v="IVECO ESPAÑA, S.L."/>
        <s v="JOSE ANTONIO RODRIGUEZ SASTRE"/>
        <s v="ARQUITECTURA E INGENIERIA IMAE, S.L."/>
        <s v="ASOCIACIÓN OTRO TIEMPO"/>
        <s v="CODISOIL, S.A."/>
        <s v="EDUARDO DAROCA BELLO"/>
        <s v="JUEGOS KOMPAN, S.A."/>
        <s v="LINEAS Y CABLES S.A."/>
        <s v="PILAR SOLA  PIZARRO"/>
        <s v="GESTION INTEGRAL DE PROYECTOS Y CONSTRUCCIONES DDR S.L."/>
        <s v="FUNDACION GENERAL DE LA UNIVERSIDAD VALLADOLID"/>
        <s v="IVAN PEREZ  TOMILLO"/>
        <s v="INGENIERÍA DE OBRAS Y SERVICIOS, S.A."/>
        <s v="RED ARQUITECTURA E INTERIORISMO S.L."/>
        <s v="IGNACIO BARCELÓ BLANCO-STEGER"/>
        <s v="MARSDIGITAL, S.L."/>
        <s v="FORMATO DIGITAL ACTIVIDADES PUBLICITARIAS, S.L."/>
        <s v="VALTECSA"/>
        <s v="OBRAS HERZACO, S.L."/>
        <s v="ITURRI S.A."/>
        <s v="OMEGA PERIPHERALS, S.L."/>
        <s v="PROMOCION Y GESTION EDUCATIVO SOCIAL,SL."/>
        <s v="INGENIERIA, ESTUDIOS Y PROYECTOS EUROPEOS S.L."/>
        <s v="ARIAS GARRIDO ARQUITECTOS, S L P"/>
        <s v="PROTEC SOLANA,S.L."/>
        <s v="CARLOS ANDRÉS DEL RÍO  INGELMO"/>
        <s v="SCHNEIDER ELECTRIC ESPAÑA, S.A."/>
        <s v="LUIS ARIAS SASTRE"/>
        <s v="DISELTI S.L."/>
        <s v="GRAÑEDA, S.A."/>
        <s v="SEIDOR S.A."/>
        <s v="RAYUELA PRODUCCIONES TEATRALES, S.L."/>
        <s v="SERINZA SOLUTIONS S.L."/>
        <s v="SETEX APARKI, S.A."/>
        <s v="LAND ART STUDIO 2002, S.L."/>
        <s v="RBA REVISTAS, S.L."/>
        <s v="SPACIO VALLADOLID, S.A."/>
        <s v="JOYERÍA MARTÍNEZ, C.B."/>
        <s v="ASOCIACIÓN CULTURAL LA LUZ DE LAS DELICIAS"/>
        <s v="HERMANOS SALGADO DE LA HERA CB"/>
        <s v="SYNLAB DIAGNÓSTICOS GLOBALES, S.A."/>
        <s v="SOMHAIRLE WATSON"/>
        <s v="CONGENIA CYL, S.L."/>
        <s v="SERVICIOS TECNICOS LIM.MIGUEL ARIAS S.L."/>
        <s v="VDS SUMINISTROS GRÁFICOS Y DIGITALES, S.L."/>
        <s v="Prensa y Servicios de la Lengua SLU"/>
        <s v="TELEFONICA SOLUCIONES DE INFORMATICA Y COMUNICACIONES DE ESPAÑA S.A.U"/>
        <s v="ANA ISABEL CAÑEDO  LAZARO"/>
        <s v="CORAL HERRERA GOMEZ"/>
        <s v="INEDET CASTILLA Y LEON SL"/>
        <s v="IMPLASER 99 S.L.L."/>
        <s v="ASOCIACIÓN PARA EL PROGRESO DE LA DIRECCIÓN"/>
        <s v="REPROGRAFICAS OFTECO S.A."/>
        <s v="GREGORIO HERNANDEZ  MARTIN"/>
        <s v="TICTAC SOLUCIONES INFORMATICAS, SL"/>
        <s v="HARDTRONIC, S.L."/>
        <s v="INDUSTRIAS TECNIPOL RENEDO, S.L."/>
        <s v="TRAMA COMUNICACION Y DISEÑO S.L."/>
        <s v="CYDIMA, S.L."/>
        <s v="VOLVO GROUP ESPAÑA S.A."/>
        <s v="TOLDOLID S.L.U."/>
        <s v="GRUPO B2 SPORT EQUIPAMIENTOS DEPORTIVOS, S.A."/>
        <s v="WAGEN GROUP RETAIL ESPAÑA S.A.U."/>
        <s v="AGC AUTORENTING, S.L."/>
        <s v="LABORES DE REPARACION Y REFORMA-7 S.L."/>
        <s v="DEANTE CERRAJERIA, S.L."/>
        <s v="CLINIMARK, S.L."/>
        <s v="PLACAS Y ROTULOS INDUSTRIALES, SOCIEDAD LIMITADA"/>
        <s v="INGEOLID PROYECTOS S.L."/>
        <s v="FUNCIONES Y GESTIONES MULTIPLES GENERALES, S.L."/>
        <s v="INTEGRAL DE AUTOMOCION 2000, S.A."/>
        <s v="GESTION DE SERVICIOS INTEGRALES, S.A."/>
        <s v="JUAN FRANCISCO CONTRERAS  SANZ"/>
        <s v="REFORMAS Y ASISTENCIAS RAUL FERNANDEZ Y OTRAS S.L."/>
        <s v="JESUS LORENZO ASENSIO  VALENCIA"/>
        <s v="ROSARIO RUIZ  GONZALEZ"/>
        <s v="JUAN GONZALEZ ROMERA"/>
        <s v="MUSICAL TAMAYO, S.L."/>
        <s v="EXTREMO BIKE SL"/>
        <s v="MARIA ISABEL SAN MIGUEL MUÑOZ"/>
        <s v="DAVID ANDRÉS MORO"/>
        <s v="CENTRO DE ESTUDIOS DE MATERIALES Y CONTROL DE OBRAS, S.A."/>
        <s v="DISTRIBUCIONES INDUSTRIALES Y CIENTÍFICAS, S.L."/>
        <s v="UNGRIA PATENTES Y MARCAS, S.A."/>
        <s v="COMERCIAL DE FUNDICION VALLISOLETANA,S.L"/>
        <s v="ERNESTO DOMENECH  CENTELLES"/>
        <s v="EMMA GOMEZ  GOMEZ"/>
        <s v="SARA FERNANDEZ LABAJO"/>
        <s v="SOLIBRI OY"/>
        <s v="MARCO ANTONIO BLANCO  LOBATO"/>
        <s v="LUISA DE LAS MORAS ALAMO"/>
        <s v="ESPASA CALPE, S.A."/>
        <s v="MARIA LOBATO DE LAS MORAS"/>
        <s v="MARIA FELISA ALONSO ACUÑA"/>
        <s v="DIVACEL,S.L."/>
        <s v="EUROBOOK LIBRERIA DE IDIOMAS SL"/>
        <s v="HIJO DE CIRIACO SANCHEZ S.L."/>
        <s v="TECNOLOGIA INFORMATICA 2000"/>
        <s v="PINTURAS BROCH S.L."/>
        <s v="BANDERAS PUERTA DE HIERRO"/>
        <s v="SILPA LA FAROLA, S.L."/>
        <s v="WOENE STUDIO SOCIEDAD LIMITADA"/>
        <s v="JOSE MANUEL  PEREZ MEDINA"/>
        <s v="ALVARO SANCHA CARMONA"/>
        <s v="ANA  HERNANGOMEZ DE PEDRO"/>
        <s v="FOMEYCA, S.A."/>
        <s v="SIMON MORETON AUDITORES SL"/>
        <s v="MARGEN LIBROS, S.L."/>
        <s v="INFORMATICA IMAZ &amp; MATE S.L."/>
        <s v="SOLUCIONES METALICAS  CERRINOX, S.L."/>
        <s v="CLINICA RADIOLOGICA DR.CALABIA S.L."/>
        <s v="GRAFICAS 81 S.L."/>
        <s v="IVAN SAN MARTIN GONZALEZ"/>
        <s v="CERCAOLID, S.L."/>
        <s v="JESUS PUEBLA  SANZ"/>
        <s v="SERVICIOS DE LIMPIEZA Y SERVICIOS DE ASISTENCIA, S.L.U."/>
        <s v="JOSE ISIDRO TORRES, S.L."/>
        <s v="DAITONA MOTOS, S.L."/>
        <s v="METAFORA DE COMUNICACION SLL"/>
        <s v="ASMAIN, S.L."/>
        <s v="JOSE JAVIER VAZQUEZ  MINGUELA"/>
        <s v="REANTEL,S.L."/>
        <s v="IVAN ROMON JUAN"/>
        <s v="UNIVERSAL PARTNER, S.L.U."/>
        <s v="ALVAROMAN REGALOS PUBLICITARIOS, S.L."/>
        <s v="TALLERES MALGON, S.L."/>
        <s v="DIARIO ABC, S.L."/>
        <s v="AUTOBUSES URBANOS VALLADOLID"/>
        <s v="INGESER IBERICA 2010, S.L."/>
        <s v="IMAGINA FUTURA ARTE VISUAL, S.L."/>
        <s v="ISABEL MARTIN DE LA CRUZ"/>
        <s v="FIRMAPROFESIONAL,S.A."/>
        <s v="JUAN MANUEL PEREZ PEREZ"/>
        <s v="NURIA MARTIN  SANZ"/>
        <s v="PATRICIA  GARCIA  BERRUGUETE"/>
        <s v="ENGRANAJES CASTILLA S.L."/>
        <s v="BUREAU VERITAS INSPECCION Y TESTING, S.L.UNIPERSONAL"/>
        <s v="MARIA BEGOÑA DIEZ  NIETO"/>
        <s v="BEATRIZ SANZ OLANDÍA"/>
        <s v="TRESBOLILLO TEATRO &amp; MAPPING"/>
        <s v="LA QUIMERA DE PLASTICO, SOCIEDAD LIMITADA"/>
        <s v="STEFANIA LILIANA CIRLAN"/>
        <s v="FIATC MUTUA SEGUROS"/>
        <s v="PROCOMAR VALLADOLID ACOGE PROMOC.COLECT."/>
        <s v="ALFONSO CORRAL  BERMEJO"/>
        <s v="OKARINO TRAPISONDA TEATRO TITERES, S.L."/>
        <s v="DIKINSON S.L."/>
        <s v="SISTEMAS MATÁLICOS Y CURVADOS, S.L."/>
        <s v="LIBRERIA MAXTOR, SOCIEDAD LIMITADA"/>
        <s v="ASOCIACION CULTURAL KINUNA TEATRO Y TERAPIAS ALTERNATIVAS"/>
        <s v="COMPAÑIA MONICA DE LA FUENTE S.L."/>
        <s v="GRUPO DE TEATRO MUTIS"/>
        <s v="PUERTAS Y AUTOMATISMOS ROPER S.L."/>
        <s v="ESTUDIOS Y CONTROLES BIOLOGICOS, S.L. (BIECON)"/>
        <s v="MIL TRESCIENTOS GRAMOS, S.L."/>
        <s v="CLAIRE MARTINE STEWART"/>
        <s v="ASOCIACIÓN TODO CUENTA"/>
        <s v="OLMO MORALES ALBARRÁN"/>
        <s v="CAMARA OFICIAL DE COMERCIO, INDUSTRIA Y SERVICIOS DE VALLADOLID"/>
        <s v="GRAFICAS CELARAYN S.A."/>
        <s v="DAIKIN AC SPAIN, S.A."/>
        <s v="DESGUACES Y GRUAS CANO, S.L."/>
        <s v="MAS10 MOTORSPORT, S.L."/>
        <s v="JOHNSON CONTROLS ESPAÑA, S.L."/>
        <s v="CRISTALERIA ZARATAN, S.L."/>
        <s v="ROTULOS TESEDO, SOCIEDAD LIMITADA"/>
        <s v="PAPELERIA DE LA OFICINA, S.L."/>
        <s v="MUNDO INFORMÁTICO VALLADOLID, S.L."/>
        <s v="DECORACION ALONSO,S.L"/>
        <s v="RQR IMAGEN DE EMPRESA, S.L."/>
        <s v="LUIS MIGUEL AVILA  MARTIN"/>
        <s v="NURIA MONTERO MARCOS"/>
        <s v="LUIS FERNANDO REGUERA"/>
        <s v="OLI-SERVICE CASTILLA, S.L."/>
        <s v="SERVICIOS INFORMATICOS POLIEDRO, S.L."/>
        <s v="IMPRENTA BENLIS, S.L."/>
        <s v="RECAMBIOS POMAUTO, S L"/>
        <s v="COMPAS MEDITERRANEO, S.L."/>
        <s v="SANTACATA, S.L."/>
        <s v="NUTRIPLANT Y FARMACAMP, S.L."/>
        <s v="FUNDACION JUAN SOÑADOR"/>
        <s v="TATARANA, S.L."/>
        <s v="REVISTA EMPRENDEDORES S.L."/>
        <s v="DOORCATS S.L."/>
        <s v="VERSYS EDICIONES TECNICAS, S.L."/>
        <s v="FRANCISCO MENDEZ HERMIDA"/>
        <s v="SOCIEDAD MIXTA PARA PROMOCIÓN TURISMO S.L."/>
        <s v="BERZAL BRICOMADERAS, SOCIEDAD LIMITADA"/>
        <s v="ASOCIACION ESPAÑOLA DE AMIGOS DEL LIBRO"/>
        <s v="COMERCIAL DANIEL SASTRE, S.L."/>
        <s v="ALLIANZ COMPANÍA DE SEGUROS Y REASEGUROS, S.A."/>
        <s v="CONSUELO ESCRIBANO VELASCO"/>
        <s v="MARGARITA SANCHEZ ROMERO"/>
        <s v="MARIA OLIVA CACHAFEIRO  BERNAL"/>
        <s v="CHIQUIOCIO CULTURAL, S L"/>
        <s v="RAFAEL  HERAS  CURIEL"/>
        <s v="SUREVA, S.A."/>
        <s v="BODYTONE INTERNATIONAL SPORT, S.L."/>
        <s v="EL LEÓN DE EL ESPAÑOL PUBLICACIONES, S.A."/>
        <s v="MAPFRE ESPAÑA, COMPAÑIA DE SEGUROS Y REASEGUROS, S.A."/>
        <s v="SERVICIOS Y LOGISTICA DE RESCATE"/>
        <s v="DANIEL GUTIERREZ  SANZ"/>
        <s v="CENTRO DE ESTUDIOS CONSTITUCIONALES"/>
        <s v="I-DE REDES ELECTRICAS INTELIGENTES S.A."/>
        <s v="UTE CTR VALLLADOLID"/>
        <s v="OBRAS PAVIMENTOS E INSTALACIONES INDUSTRIALES"/>
        <s v="IMESAPI, S.A."/>
        <s v="ACCIONA CONSTRUCCION S.A."/>
        <s v="AFG MICROBIO COMUNICACION, S.L."/>
        <s v="ALMA GARCIA REPISO"/>
        <s v="ALMACENES GONZALEZ BOMBIN, SOCIEDAD LIMITADA"/>
        <s v="AMALIA TORRES  SALGADO"/>
        <s v="CUBIERTAS Y MONTAJES P. FERRERAS, SL"/>
        <s v="INSTITUTO CONSTRUCCION DE CASTILLA-LEON"/>
        <s v="ASOCIACIÓN  ALALUMBRE DE CASTILLA Y LEÓN"/>
        <s v="CODICE CARTOGRAFIA Y DISEÑO, S.L."/>
        <s v="DATAINFO CONSULTORES Y ASESORES SL"/>
        <s v="ASOCIACIÓN LUCIÉRNAGAS TEATRO"/>
        <s v="ASOCIACION MUSICAL YAMPARAMPAN"/>
        <s v="ASOCIACION PARA ORGANIZACION DE FERIAS Y CERTAMENES DISCOGRAFIC0S"/>
        <s v="AUDIOVISUAL EXPERIENCE S.L."/>
        <s v="AVC DIGITAL MEDIA IBERIA, S.L."/>
        <s v="BABEL AG DIGITAL SLU"/>
        <s v="BARATZ SERVICIOS DE TELEDOCUMENTACION, S.A."/>
        <s v="ARQUITECTOS RODRÍGUEZ MARTÍN S.L."/>
        <s v="DIEGO SANCHEZ MARISCAL RODRIGUEZ"/>
        <s v="SERVIOLID 2001, S.L."/>
        <s v="BSJ MARKETING Y COMUNICACION S.L."/>
        <s v="OSCAR PEREZ  MEDINA"/>
        <s v="CARLOS  GUTIERREZ MARTIN"/>
        <s v="CAROLINA NIETO RODRIGUEZ"/>
        <s v="CARPAS ZARAGOZA S L"/>
        <s v="AMILCAR CUBIERTAS Y PIZARRAS S.A."/>
        <s v="CASTILLA Y LEON SERVICIOS INTEGRALES DE COMUNICACION, S.L."/>
        <s v="CENTRO ORTOPEDICO PEREZ GALDOS, S R L"/>
        <s v="CIA. DE ASFALTOS DE MAESTU S.A."/>
        <s v="CICLOS CUERVAS, C.B."/>
        <s v="CLECE SA-ONET IBERIA SOLUCIONES SA (UTE SAD AYUNTAMIENTO DE VALLADOLID. LOTE 1)"/>
        <s v="COLECTIVO FRESAS CON NATA, S.L."/>
        <s v="CONSTRUCCIÓN, ARTE Y RESTAURACIÓN GARSAN, S.L."/>
        <s v="ASOCIACIÓN DE PROFESIONALES DE LA DANZA, CYL"/>
        <s v="MONTAJES LEONESES SL"/>
        <s v="EL HENAR SERVICIOS EXTERNOS S.L."/>
        <s v="CRIST-MAR DECORACION, S.L."/>
        <s v="CUMULUS CITY, S.L."/>
        <s v="MOVICODERS, S.L."/>
        <s v="DAVID BELTRÁN PEROTE"/>
        <s v="DAVID GALAN APARICIO"/>
        <s v="DEIMOS SPACE S.L.U."/>
        <s v="DIARIO AS, S.L."/>
        <s v="DIARIO CINCO DIAS SA"/>
        <s v="DISPAL ASTUR SA (SOCIEDAD UNIPERSONAL)"/>
        <s v="DISTRIASVY SOCIEDAD LIMITADA"/>
        <s v="DISTRIBUCIONES PROFESIONALES PUERTO, S.L."/>
        <s v="E. DE HOSTELERÍA Y CLIMATIZACIÓN VALLADOLID, S.L."/>
        <s v="EDICIONES EL PAIS, S.L."/>
        <s v="EDICIONES PRENSA LIBRE, S.L. (INFOLIBRE)"/>
        <s v="ASOCIACIÓN CULTURAL LA CORTE EN VALLADOLID"/>
        <s v="ELECTROFRIO FERNANDEZ ARRANZ, S.L."/>
        <s v="ELECTROSON CASTILLA S.A."/>
        <s v="ERESMA AUDIOVISUALES, S.L.L."/>
        <s v="EUROVAL CONTROL,S.A."/>
        <s v="FARAHDIVA, S.L."/>
        <s v="FEDERACIÓN ANDALUCÍA ACOGE"/>
        <s v="FERNANDO CEBRIAN ARNANZ"/>
        <s v="FERROVIAL SERVICIOS, S.A."/>
        <s v="FRANCISCO JAVIER ORTEGA FLOREZ"/>
        <s v="FREEAUTONOMOS, S. COOP."/>
        <s v="FUNDACION INTERMON OXFAM"/>
        <s v="FUNDACION RED INCOLA"/>
        <s v="GASTROSENSACIONES, SOCIEDAD LIMITADA"/>
        <s v="DANIEL CASIMIRO RODRIGUEZ RODRIGUEZ"/>
        <s v="GIL SOTO, S.L."/>
        <s v="GUILLERMO PUERTA GALVAN"/>
        <s v="HORMIGONES ZARZUELA, S.L."/>
        <s v="QUIMICA INDUSTRIAL DISOL, S.A."/>
        <s v="LEADER MEDIA,S.L."/>
        <s v="ENRIQUE CUESTA GOMEZ"/>
        <s v="IMPRESOS ANGELMA S.A."/>
        <s v="INCIPRESA, S.A."/>
        <s v="JUAN ANTONIO IGLESIAS  FIGUEROS"/>
        <s v="INDUSTRIAS GONZALEZ HNOS, S.A."/>
        <s v="PEGAMO PISUERGA, S.L."/>
        <s v="INFO TECHNOLOGY SUPPLY LIMITED"/>
        <s v="INFOPRODUCTS, S.L."/>
        <s v="INMEVA INFRAESTRUCTURAS, S.L."/>
        <s v="ROTUVALL 2009 S.L"/>
        <s v="GRUPO FONTYCLIMA MANTENIMIENTO S.L."/>
        <s v="AXEL SPRINGER ESPAÑA, S.A."/>
        <s v="SERVIGROUP KIRA S.L."/>
        <s v="JAVIER NAVARRO  ORDOÑEZ"/>
        <s v="JOSE ANTONIO FERNANDEZ  LOBATO"/>
        <s v="JOSÉ MARÍA CEBRIÁN RUIZ"/>
        <s v="JUAN ANDRES CATALINA MORENO"/>
        <s v="JUAN CARLOS GOMEZ  POLA"/>
        <s v="JUCENA TRABAJOS FORESTALES S.L."/>
        <s v="KISS PUBLICIDAD VALLADOLID 2005, SOCIEDAD LIMITADA UNIPERSONAL"/>
        <s v="LIBNOVA, S.L."/>
        <s v="LUIS CARLOS GARCILLAN OTERO"/>
        <s v="LAERDAL MEDICAL  AS"/>
        <s v="MANUSA DOOR SYSTEMS SL U"/>
        <s v="MARMOLERA VALLISOLETANA, S.A."/>
        <s v="MARIO CORREA PARDO"/>
        <s v="META 4 SPAIN, S.A."/>
        <s v="MOISÉS CERREDUELA HERNÁNDEZ"/>
        <s v="MOVIMIENTOS, OBRAS PUBLICAS, INDUSTRIALES Y SERVICIOS AGRICOLAS,SL"/>
        <s v="MULTIPRENSA DE CASTILLA Y LEÓN, S.L."/>
        <s v="NÁUTICA CÁDIZ, S.L."/>
        <s v="NORTHMATIC INGENIERIA, S.L.U."/>
        <s v="TECNO VALLADOLID,S.L."/>
        <s v="OXIDINE WATER TECHNOLOGY, S.L."/>
        <s v="PAPELERIA SOMAR, S.L."/>
        <s v="PAPELES Y PLASTICOS S.L."/>
        <s v="PET´S WORLD, S.L."/>
        <s v="PLAY GENERATION, SOCIEDAD LIMITADA"/>
        <s v="PLENA INCLUSION CASTILLA Y LEON"/>
        <s v="PROINFO  SERVICIOS Y SISTEMAS S.L."/>
        <s v="RECAUCHUTADOS ANTONIO NIETO, S.L.U."/>
        <s v="REHABILITACION CONSTRUCCION PROMOCION NUCLEO, S.A."/>
        <s v="RUBEN BORJAS ESCUDERO"/>
        <s v="SEGURIDAD INDUSTRIAL, MEDIO AMBIENTE Y CALIDAD, S.L."/>
        <s v="SERMANINT HISPANIA, S.L. (SERVICIOS DE MNTO INTEGRAL)"/>
        <s v="SERVICIOS MICROINFORMATICA, S.A.  (SEMIC)"/>
        <s v="SOCEVALL HERMANOS VALLES, S.L."/>
        <s v="INDUSTRIAS R.SOTO C.B."/>
        <s v="VIVE DISFRUTANDO, S.L.L."/>
        <s v="INSIGNA UNIFORMES, S.L."/>
        <s v="ENDESA ENERGIA,S.A."/>
        <s v="VIVESAN RESIDENCIAL PROMOCIONES S.L."/>
        <s v="SAGRES S.L."/>
        <s v="ADC TIEMPO LIBRE SL"/>
        <s v="EPTISA SERVICIOS DE INGENIERIA SL"/>
        <s v="AIRCOMVA, SLL"/>
        <s v="ALFE SUMINISTROS A LA CONSTRUCCION E INDUSTRIA"/>
        <s v="ALKI-OLID S.L."/>
        <s v="AQM LABORATORIOS,S.L"/>
        <s v="BM NEIRA AUDITORES S.L.P."/>
        <s v="CICLOGREEN"/>
        <s v="EDITORIAL CULTURA ACTIVA S.L."/>
        <s v="ENRIQUE GARCIA  VAZQUEZ"/>
        <s v="FUNDACION RONDILLA"/>
        <s v="IBIMAGEN MEDITERRANEA, SOCIEDAD LIMITADA"/>
        <s v="IGNACIO PEREZ PEREZ"/>
        <s v="IGNACIO RODRIGUEZ, S.A."/>
        <s v="INSTITUCION FERIAL CASTILLA-LEON"/>
        <s v="JAVIER IGELMO  HEREDERO"/>
        <s v="JELENA DRAGAS"/>
        <s v="LA CANDELA TEATRO Y COMUNIDAD"/>
        <s v="MARIA CARMEN MUÑOZ  CASARES"/>
        <s v="OCA INSPECCION CONTROL Y PREVENCION, S.A.U."/>
        <s v="OFI-SUTEMAN, S.L."/>
        <s v="SUMUN EQUIPAMIENTOS, S.L."/>
        <s v="TECNICOSA VALLADOLID S.L."/>
        <s v="SUMINISTROS CARTAGENA S.L." u="1"/>
        <s v="GRUPO LITERARIO TEATRO TÚ Y YO" u="1"/>
        <s v="ANDRES MARTIN  REBOLLO" u="1"/>
        <s v="JARDINERÍAS ZARATÁN, S.L." u="1"/>
        <s v="AXATON, S.L." u="1"/>
        <s v="EMPRESA MUNICIPAL DE INICIATIVAS Y ACTIVIDADES EMPRESARIALES DE MALAGA S.A." u="1"/>
        <s v="CUARTO FRIO INSTALACIONES, S.L." u="1"/>
        <s v="ASOC CULT. DE ARTES ESCENICAS &quot;&quot;TEATRAVIES@S&quot;&quot;" u="1"/>
        <s v="ÚLTIMO CERO, S.L." u="1"/>
        <s v="JESÚS CARLOS  ARRIBAS VILLÁN" u="1"/>
        <s v="J. FRANCISCO CONTRERAS  SANZ" u="1"/>
        <s v="IMPERIAL DE EXPLOTACIONES HOTELERAS, S.L." u="1"/>
        <s v="SANTIAGO CARRILLO GRACIA" u="1"/>
        <s v="ECCOLID,S.L." u="1"/>
        <s v="NATALIA GRANDE RUA" u="1"/>
        <s v="EUROMASTER AUTOMOCION Y SERVICIOS, S.A." u="1"/>
        <s v="ECOOLID,S.L." u="1"/>
        <s v="ASOC. JUGADORES PATOLOGICOS REHABILITADOS DE VALLADOLID" u="1"/>
        <s v="LUISA DE  LAS MORAS ALAMO" u="1"/>
        <s v="MARKETARIA, S.L." u="1"/>
        <s v="BRAMMER IBERIA, S.A." u="1"/>
        <s v="PLATAFORMA REDOMI" u="1"/>
        <s v="BRICOCEX S.L." u="1"/>
        <s v="ASOC.CULTURAL FORMATIVA Y DEPORTIVA TANDEM LIFE" u="1"/>
        <s v="ROSQUILLAS LEDESMINAS GDG SL" u="1"/>
        <s v="NEUMATICOS HURGON S.L." u="1"/>
        <s v="INSTITUTO DE FORMACIÓN EN EMERGENCIAS Y CARDIOPROTECCIÓN, S.L." u="1"/>
        <s v="CENTROS COMERCIALES CARREFOUR, S.A." u="1"/>
        <s v="INGENIA INGENIERÍA APLICADA S.L." u="1"/>
        <s v="EDUCAINGENIO TECNOLOGIA" u="1"/>
        <s v="TECNICA GOMAR, S.L." u="1"/>
        <s v="NIVELACIONES Y EXCAVACIONES PAREDES, S.L." u="1"/>
        <s v="OLECTRICA IBERINNOVA, S.L." u="1"/>
        <s v="FEDERACION C-L ATLETISMO" u="1"/>
        <s v="DAVID SÁEZ MARTÍN" u="1"/>
        <s v="IVAN SORIA ABON" u="1"/>
        <s v="MARCO ANTONIO BLANCO LOBATO" u="1"/>
        <s v="UTE PASEO DEL CAUCE VALLADOLID" u="1"/>
        <s v="ASOCIACION CULTURAL &quot;&quot;PIMPINEJA&quot;&quot;" u="1"/>
        <s v="MARIA CRISTINA DELGADO HERRERO" u="1"/>
        <s v="VICENTE ALVAREZ, S.L" u="1"/>
        <s v="CASTILLA COMIC, S.L." u="1"/>
        <s v="KILLGERM, S.A." u="1"/>
        <s v="ASOCIACION CULTURAL PINCELART.OLID" u="1"/>
        <s v="CONSTRUCCIONES Y OBRAS PUBLICAS CALLE DE LOS FRANCOS, S.L." u="1"/>
        <s v="MEDIA MARKT" u="1"/>
        <s v="RUBEN GARCIA  FERRUELO" u="1"/>
        <s v="SEYS CAD SYSTEMS, S.L." u="1"/>
        <s v="ALFONSO RODERO LOZANO" u="1"/>
        <s v="NATALIA PUENTE FERNANDEZ" u="1"/>
        <s v="GONZALO RIOJA BARTOLOME" u="1"/>
        <s v="ACTIU BERBEGAL Y FORMAS S.A." u="1"/>
        <s v="SERVIGRAMA INDUSTRIAL PUBLICIDAD S.L." u="1"/>
        <s v="BAUTA PRODUCCIONES, S.L." u="1"/>
        <s v="TRANSFORMADOS METALICOS FACIM S.L." u="1"/>
        <s v="WINNERS CARS S.L." u="1"/>
        <s v="PAPELERIA SAN FERNANDO SL" u="1"/>
        <s v="FUNDACIÓN CARTIF" u="1"/>
        <s v="JAVIER  MARCHENA ORTEGA" u="1"/>
        <s v="ALINER CONSULTORES, S.L." u="1"/>
        <s v="GRÁFICAS MALPICA, S.L." u="1"/>
        <s v="ASOCIACION ATHENEA TEATRO" u="1"/>
        <s v="AURELIO MARTIN  ARAGUZ" u="1"/>
        <s v="DEHUMANS S.L." u="1"/>
        <s v="COOPERATIVA VALLISOLETANA CERRAJERA" u="1"/>
        <s v="LIMPIEZAS ANTON, S.L." u="1"/>
        <s v="ANGEL DIEZ  RIVERA" u="1"/>
        <s v="INSTALAC.CLIMATIZAC.TECNICAS DEL AIRE SL" u="1"/>
        <s v="FIOS PRODUCTIONS 360 SLU" u="1"/>
        <s v="GRAFICAS GERMINAL SDAD. COOP. LTDA." u="1"/>
        <s v="ASOCIACION MUSICAL VOCES DEL PISUERGA" u="1"/>
        <s v="DEL VALLE MUEBLES DE COCINA,S.L" u="1"/>
        <s v="CESPA COMPAÑIA ESPAÑOLA DE SERVICIOS PUBLICOS AUXILIARES, S.A." u="1"/>
        <s v="EURO DRIVER CAR S.L." u="1"/>
        <s v="ZTRAINING INNOVACIÓN CASTILLA Y LEÓN S.L." u="1"/>
        <s v="LUIS BECERRIL SUAREZ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ARPAPE S.L." u="1"/>
        <s v="CADIELSA SOLAR VALLADOLID,S.L." u="1"/>
        <s v="HOTEL FELIPE IV" u="1"/>
        <s v="ENRIQUE RAJOY BREY" u="1"/>
        <s v="GLOBAL ROSETTA S.L.U." u="1"/>
        <s v="M. JOSE  GUERRA TOME" u="1"/>
        <s v="PABLO CASTRO RUIZ" u="1"/>
        <s v="ASCENDUM MAQUINARIA, S.A.U." u="1"/>
        <s v="GEOCYL CONSULTORIA S.L." u="1"/>
        <s v="ESTRUCTURAS RESIDUALES Y AGUAS, S.L." u="1"/>
        <s v="JADE MUSICAL,S.L." u="1"/>
        <s v="INDUSTRIAL SECURITY PLAN, S.L" u="1"/>
        <s v="JUAN PEREZ GARCIA" u="1"/>
        <s v="ANA BELEN DIEZ DE LA CALLE" u="1"/>
        <s v="CASERTEL COMUNICACIONES, S.L.U." u="1"/>
        <s v="TEATRO DEL AZAR, S.L." u="1"/>
        <s v="FONTCLYMA" u="1"/>
        <s v="VECTIA INGENIERIA" u="1"/>
        <s v="JOSE MARIA ROMERO GUIJO" u="1"/>
        <s v="ASOC. DE ARCHIVEROS CASTILLA Y LEON" u="1"/>
        <s v="FORESTACIÓN Y REPOBLACIÓN, S.A." u="1"/>
        <s v="TELESONIC, S.A.U." u="1"/>
        <s v="SOLUCIONES TECNICAS INDUSTRIALES Y DE INGENIERIA 2NC S.L." u="1"/>
        <s v="CHIQUIOCIO CULTURAL, S.L" u="1"/>
        <s v="NECROPOLIS DE VALLADOLID, S.A." u="1"/>
        <s v="ISAAC PRIETO  CONDE" u="1"/>
        <s v="ALEJANDRA SANZ FERNADEZ-SOTO" u="1"/>
        <s v="UTE CANTERAC VALLADOLID" u="1"/>
        <s v="EQUILIBRIO GOGAR, S.L." u="1"/>
        <s v="NUEVO DIARIO DE VALLADOLID, S.A." u="1"/>
        <s v="JESÚS SAN JOSÉ PÉREZ" u="1"/>
        <s v="ASOC. ESPAÑOLA DE PARQUES Y JARDINES" u="1"/>
        <s v="ALMACENES GONZALEZ BOMBIN,S.L." u="1"/>
        <s v="TALLERES ZARATAN MOTOR S.L.L." u="1"/>
        <s v="TEKNOSERVICE S.L." u="1"/>
        <s v="OMBUDS COMPAÑIA DE SEGURIDAD S.A." u="1"/>
        <s v="ALCAÑIZ Y FRESNOS, S.A." u="1"/>
        <s v="ATEGRUS" u="1"/>
        <s v="FONESVALL INSTALACIONES, S.L." u="1"/>
        <s v="PLACAS Y ROTULOS INDUSTRIALES, S.L." u="1"/>
        <s v="GESTION DE ACTIVIDADES CULTURALES, S.L." u="1"/>
        <s v="LIBRERIA MAXTOR, S.L." u="1"/>
        <s v="TEJIDOS AVILES DE PRADA, S.L." u="1"/>
        <s v="SUMINISTROS INDUSTRIALES BELLO, S.A." u="1"/>
        <s v="ELMON ELECTRICIDAD Y COMUNICACIONES, S.L." u="1"/>
        <s v="DISTROMEL, S.A." u="1"/>
        <s v="INSTHERMES S.L." u="1"/>
        <s v="NICOMEDES SALINERO RODRIGUEZ" u="1"/>
        <s v="TRINIDAD LOURDES VICENTE  TORRADA" u="1"/>
        <s v="LA ROCA ,PRODUCCIONES CULTURALES Y GESTIÓN DE TIEMPO LIBRE" u="1"/>
        <s v="ARECU INVERSIONES, S.L." u="1"/>
        <s v="BARTOLOME ZUZAMA  BISQUERRA" u="1"/>
        <s v="ASOCIACIÓN PROVINCIAL DE  EMPRESARIOS DE HOSTELERÍA DE VALLADOLID" u="1"/>
        <s v="O.C.A. SA Y OPAIN SL UT.E." u="1"/>
        <s v="IMPRENTA MANOLETE SL" u="1"/>
        <s v="SUMINISTROS Y TECNOLOGIA PARA EL ALUMINIO S.L." u="1"/>
        <s v="MARÍA CAROLINA MORENO GIVAJA" u="1"/>
        <s v="GRUPO PUROCLOUD, S.L." u="1"/>
        <s v="LUIS FERNANDEZ MIERES, S.L.L." u="1"/>
        <s v="S.L. RECICLADOS PUCELANOS" u="1"/>
        <s v="BROOK AND PAULS COMPANY, S.L." u="1"/>
        <s v="TECNICAS DE MANTENIMIENTO DE INFRAESTRUCTURAS S.L." u="1"/>
        <s v="FELIPE  GARCIA ROMERO" u="1"/>
        <s v="JOSE LUIS LALANA SOTO" u="1"/>
        <s v="CONTROL SEGURIDAD Y DOMOTICA, S.L." u="1"/>
        <s v="MANTENIMIENTO Y SERVICIOS ASBYM, S.L." u="1"/>
        <s v="ENRIQUETA MOREJON  JIMENEZ" u="1"/>
        <s v="PALMIRA SOLER MONTOLIO" u="1"/>
        <s v="JESUS SILVERIO CAVIA CAMARERO" u="1"/>
        <s v="COLECTIVO FRESAS CON NATA SL" u="1"/>
        <s v="SCHILLER ESPAÑA, S.A.U.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ERRE ESE 2012, S.L." u="1"/>
        <s v="PASCUAL ARRANZ G., S.L." u="1"/>
        <s v="INVESTIGACION Y PROYECTOS MEDIO AMBIENTE S.L." u="1"/>
        <s v="CENTRO ESPECIAL DE EMPLEO LIMPIEZA Y MEDIO AMBIENTE, S.A." u="1"/>
        <s v="AUTOCARES INTERBUS, S.L." u="1"/>
        <s v="MELIA HOTELS INSTERNATIONAL, S.A." u="1"/>
        <s v="OLGA RADA SERENO" u="1"/>
        <s v="ANGEL RAPADO LLANOS" u="1"/>
        <s v="MIGUEL ANGEL ALONSO MAESTRO" u="1"/>
        <s v="JAVIER BAYON S.L." u="1"/>
        <s v="ESPECIALIDADES ELECTRICAS LAUSAN, S.A" u="1"/>
        <s v="OFIRETAIL S.L." u="1"/>
        <s v="SAMUEL ARRIBAS ARNAIZ" u="1"/>
        <s v="EXFOVA-2001, S.L." u="1"/>
        <s v="THINK BRANDED CONTENT, S.L." u="1"/>
        <s v="STEMAB RESTAURACION DOCUMENTAL, S.L." u="1"/>
        <s v="BOWE SYSTEC, S.A." u="1"/>
        <s v="TALLERES Y GRUAS AVILA S.L." u="1"/>
        <s v="SUPERCALOR S.A." u="1"/>
        <s v="GAM NOROESTE,S.L.U." u="1"/>
        <s v="RECACOR SA" u="1"/>
        <s v="LUEL DIGITAL C.B." u="1"/>
        <s v="CBYA AUDITORES DE CUENTAS SLP" u="1"/>
        <s v="RADHANIL" u="1"/>
        <s v="ISMAEL J. SANZ  ALMOHALLA" u="1"/>
        <s v="RACCOON PLANET ESP J" u="1"/>
        <s v="GIM GEOMATICS, S.L." u="1"/>
        <s v="ALVASER MEYER, S.L." u="1"/>
        <s v="CASTELLANA DE AFILADOS,S.L" u="1"/>
        <s v="LAPIZ Y RATON ESTUDIO, C.B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JOYERÍA RELOJERÍA ZURRO" u="1"/>
        <s v="PUBLICESA XXI, S.L." u="1"/>
        <s v="RAFAEL IGLESIAS FERNÁNDEZ" u="1"/>
        <s v="PEÑAFIEL COMERDIST, S.L.U." u="1"/>
        <s v="ASOCIACION EL CALABACIN ERRANTE COLECTIVO DE ARTE" u="1"/>
        <s v="JFP TECNIGAS S.L." u="1"/>
        <s v="COOL AND CHIC ATELIER, S.L." u="1"/>
        <s v="MARIA ROSARIO GONZALEZ MUÑOZ" u="1"/>
        <s v="ABC DOMABRA S.L." u="1"/>
        <s v="KALFRISA, S.A.U." u="1"/>
        <s v="ANGELA ORTEGA GONZALEZ" u="1"/>
        <s v="MARÍA TERESA VICENTE, S.A." u="1"/>
        <s v="ABONOS EMUPA, S.L." u="1"/>
        <s v="GRUAS Y TRANSPORTES EL MADRILEÑO, S.A." u="1"/>
        <s v="AIRE ACONDICIONADO JESUS MARTIN E HIJOS, S.L." u="1"/>
        <s v="BEATRIZ MARIA QUINTANA VEGA" u="1"/>
        <s v="PILAR TRIGUEROS  MARTIN" u="1"/>
        <s v="LUIS MIGUEL PÉREZ SALAMANCA" u="1"/>
        <s v="A.C.JOVEN ORQUESTA SINFO. PUNTA DEL ESTE" u="1"/>
        <s v="TEATRO SOCIAL" u="1"/>
        <s v="PROCUMEDIA GESTIÓN DE CONFLICTOS, S.L.P." u="1"/>
        <s v="ELITE BAGS" u="1"/>
        <s v="DISTRIASVY S.L." u="1"/>
        <s v="NEORIS ESPAÑA, S.L." u="1"/>
        <s v="MONGIL DEMOLICIONES, S.L." u="1"/>
        <s v="NIETO MARCOS AUTOMOVILES, S.A." u="1"/>
        <s v="CATERING Y EVENTOS DE VALLADOLID, S.L." u="1"/>
        <s v="CIRCULO DE RECREO DE VALLADOLID" u="1"/>
        <s v="ALEJOP OCIO, S.L.U." u="1"/>
        <s v="ESTUDIOS Y CONTROLES BIOLOGICOS, S.L." u="1"/>
        <s v="MALBATEX, S.L.U." u="1"/>
        <s v="EXCLUSIVAS HISPANOLUSAS, S.L." u="1"/>
        <s v="SYMBIOSIS STRATEGY MANAGEMENT CONSULTING S.L.L." u="1"/>
        <s v="MARIA LOURDES GONZALEZ MORRONDO" u="1"/>
        <s v="BEATRIZ PONTIJAS  RAMIRO" u="1"/>
        <s v="UNION SALINERA DE ESPAÑA S.A." u="1"/>
        <s v="AUTORESCATE CUATRO POR CUATRO SL" u="1"/>
        <s v="UTE HARAL 12 SERVICIOS Y OBRAS S.L. Y CONSTRUCCIONES PRIETO SIERRA S.A." u="1"/>
        <s v="XOLIDO SYSTEMS, S.A." u="1"/>
        <s v="SCI SERVICIOS DE CONTROL E INSPECCION S.A" u="1"/>
        <s v="ALCOFER LOGÍSTICA, S.L." u="1"/>
        <s v="LAURA ASENSIO GONZALO" u="1"/>
        <s v="OBRAS TABIUR,S.L." u="1"/>
        <s v="NUEVOS CLASTOS, S.L." u="1"/>
        <s v="JUAN CARLOS JIMENO  VELASCO" u="1"/>
        <s v="PARGROUP VALLADOLID, S.L" u="1"/>
        <s v="ARALIA SERVICIOS SOCIOSANITARIOS, S.A." u="1"/>
        <s v="MANAGEMENT  OUTPLACEMENT ADMINISTRATION, S.A." u="1"/>
        <s v="DANIEL CEJUDO FERNANDEZ" u="1"/>
        <s v="BEATRIZ COELLO CAMPOS" u="1"/>
        <s v="CONSERVACION DE VIALES, S.A.U." u="1"/>
        <s v="MACRODISCO TONY,S.L." u="1"/>
        <s v="ATHENEA MUSICAL" u="1"/>
        <s v="HERMEX IBERICA S.L." u="1"/>
        <s v="SALMA SUMINISTROS INTEGRALES, S.L." u="1"/>
        <s v="UTE PARQUE JUAN DE AUSTRIA" u="1"/>
        <s v="ONSAZE INFRAESTRUCTURAS, S.L." u="1"/>
        <s v="ASOCIACION CULTURAL D'PASO DANZA" u="1"/>
        <s v="MARGARITA GARCIA ALVAREZ" u="1"/>
        <s v="MOI INTERIORISMO Y EQUIPAMIENTO S.L." u="1"/>
        <s v="BERZAL BRICOMADERAS, S.L." u="1"/>
        <s v="SOLUCIONES TECNOLOGICAS ALGARSYS S.L." u="1"/>
        <s v="BELLA PROPORZIONE, S.L." u="1"/>
        <s v="HIJOS DE JUSTO MUÑOZ, S.A." u="1"/>
        <s v="FRANCISCO JESUS DIEZ ESTEBAN" u="1"/>
        <s v="EDUARDO CAÑUELO NAVARRO" u="1"/>
        <s v="TALLERES F. FERNANDEZ, S.L." u="1"/>
        <s v="GASFAL S.L." u="1"/>
        <s v="SISTEMAS DE AUTOMATISMO Y CONTROL, S.A.U." u="1"/>
        <s v="FERROVIAL AGROMAN, S.A." u="1"/>
        <s v="TALWAR TECHNOLOGIES, S.L.L." u="1"/>
        <s v="TURBAS MUÑOZ, S.L.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UTE VARIOS CENTROS SOCIALES VALLADOLID" u="1"/>
        <s v="MORALES Y ABELLA, S.A." u="1"/>
        <s v="3MC MACROCOPY S.L." u="1"/>
        <s v="AUDIOVISUAL ESPAÑOLA 2.000, S.A." u="1"/>
        <s v="FRANCISCO JAVIER PEREZ RODRIGUEZ" u="1"/>
        <s v="SUNDAY PICTURES S.L." u="1"/>
        <s v="MEMENTO ASOCIACIÓN MUSICAL" u="1"/>
        <s v="ÁVORIS RETAIL DIVISION, S.L." u="1"/>
        <s v="RDNEST, S.L" u="1"/>
        <s v="DISCOUNT INFORMATICO S.L.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PAISAJE TRANSVERSAL, SLL" u="1"/>
        <s v="BAU INFLATABLES, S.L." u="1"/>
        <s v="CANON ESPAÑA S.A" u="1"/>
        <s v="LA PARRILLA DE SAN LORENZO, S.A." u="1"/>
        <s v="IGNACIO GARCIA SEVILLANO" u="1"/>
        <s v="EQUIPOS FEMAZZ, S.L." u="1"/>
        <s v="FUNDACIÓN PUBLI.ESS" u="1"/>
        <s v="ARTMO BENE, S.L." u="1"/>
        <s v="ROTULOS TESEDO, S.L." u="1"/>
        <s v="INTERIORISMO LUCAMA SL." u="1"/>
        <s v="MIGUEL ANGEL DEL POZO CACERES" u="1"/>
        <s v="CARTONLIFE SL" u="1"/>
        <s v="MONTAJES ELECTRICOS SARMENTERO SL" u="1"/>
        <s v="INDALO MILENIUM, S.L." u="1"/>
        <s v="CABORNERO BUS,S.L." u="1"/>
        <s v="DANIEL PRIETO REDONDO" u="1"/>
        <s v="ARTE &amp; MEMORIA, S.L." u="1"/>
        <s v="DEANTE CERRAJERIA, S.L.U." u="1"/>
        <s v="ILUSIONES, C.B." u="1"/>
        <s v="MARIA JOSE LARENA  GOROSTIAGA" u="1"/>
        <s v="AM47 OFICINA DE PROYECTOS  S.L." u="1"/>
        <s v="FORTUNATO GUTIERREZ CEA" u="1"/>
        <s v="RECTIFICADOS CARRION, S.A." u="1"/>
        <s v="PLATAFORMA COMERCIAL DE RETAIL S.A.U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IBER STAND, S.L." u="1"/>
        <s v="CASTELLANA DE IMPRESIÓN, S.L.U." u="1"/>
        <s v="CIBERGRAF, S.L." u="1"/>
        <s v="ROSENBAUER ESPAÑOLA, S.A." u="1"/>
        <s v="CONSTRUCCIONES NORMALIZADAS, S.A." u="1"/>
        <s v="RAUL GOMEZ  PANIAGUA" u="1"/>
        <s v="EL MERCADO DEL TRIGO SL" u="1"/>
        <s v="MUNDANAL RUIDO TEATRO A.C." u="1"/>
        <s v="ZANHE S.L." u="1"/>
        <s v="ROCIO DEL PILAR GALVEZ BARACALDO" u="1"/>
        <s v="NORSOL ELÉCTRICA,S.L." u="1"/>
        <s v="FUTURO OPTIMISTA, S.L." u="1"/>
        <s v="TELECYL, S.A." u="1"/>
        <s v="GRUAS HOMANSER S.L." u="1"/>
        <s v="GERONTOLOGIA Y AYUDAS TECNICAS S.L." u="1"/>
        <s v="SIRKUM INGENIEROS SL" u="1"/>
        <s v="FRANCISCO JOSÉ VALLÉS MORATINOS" u="1"/>
        <s v="CDAD.PROPIETARIOS LA VICTORIA 1" u="1"/>
        <s v="ILIONE, S.L." u="1"/>
        <s v="JOSE ANDRES ADAN ALEGRE" u="1"/>
        <s v="ALPEX DIGITAL, S.L." u="1"/>
        <s v="MOTORPRESS IBERICA, S.A. SOC.UNIPERSONAL" u="1"/>
        <s v="JULIO GARCIA  FALAGAN" u="1"/>
        <s v="BEGOÑA TRILLO  MANZANO" u="1"/>
        <s v="LONGEMADERA, S.L." u="1"/>
        <s v="JAIME LAFUENTE  SEBASTIAN" u="1"/>
        <s v="MARIA  LOBATO DE LAS MORAS" u="1"/>
        <s v="IDATEL NETWORKS, S.L." u="1"/>
        <s v="CAREN S.A." u="1"/>
        <s v="IMPERMEABILIZACIONES TATO, S.L." u="1"/>
        <s v="SONIA  ZUBIAGA  HERNÁN" u="1"/>
        <s v="ALBERTO GARCÍA LORENTE" u="1"/>
        <s v="ÓSCAR MENA APARICIO" u="1"/>
        <s v="ANTONIO TORRES OCHOA" u="1"/>
        <s v="EL EJIDILLO VIVEROS INTEGRALES S.L." u="1"/>
        <s v="CASTILLA-LEON INTERNATIONAL MOVERS, SL" u="1"/>
        <s v="AUTOREPARACIONES REYES Y DELGADO, S.L." u="1"/>
        <s v="AGRUPACIÓN VALLISOLETANA DE COMERCIO" u="1"/>
        <s v="AXA SEGUROS GENERALES, S.A. DE SEGUROS Y REASEGUROS" u="1"/>
        <s v="ASOCIACIÓN CULTURAL UNIÓN DE ARTISTAS" u="1"/>
        <s v="RECEPCION Y CONTROL, S.A." u="1"/>
        <s v="ENVIRA  INGENIEROS  ASESORES  S.L." u="1"/>
        <s v="ROPER MADRID S.L." u="1"/>
        <s v="GRUPO PAGINA, S.L." u="1"/>
        <s v="EDITORIAL ARANZADI, S.A." u="1"/>
        <s v="PACO GARCIA PRENDAS Y ARTICULOS DE UNIFORMIDAD, S.A." u="1"/>
        <s v="SARAH JANE MC LAUGHLIN" u="1"/>
        <s v="HELVETIA COMPAÑIA SUIZA SOCIEDAD ANONIMA DE SEGUROS Y REASEGUROS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ÁLVARO TERRERO MOLINA" u="1"/>
        <s v="LIBRERIA OLETVM" u="1"/>
        <s v="JUAN ANTONIO MARIGIL MORENO" u="1"/>
        <s v="TECSIDEL, S,A" u="1"/>
        <s v="TRAZADOS VIALES, S.L." u="1"/>
        <s v="FUNDACION OBRA SOCIAL DE CASTILLA Y LEON (FUNDOS)" u="1"/>
        <s v="RED PRODUCCIONES, S.L." u="1"/>
        <s v="DUCO PROMOCION EMPRESARIAL,S.L." u="1"/>
        <s v="APLICACIONES Y PROYECTOS TIC, S.L." u="1"/>
        <s v="GRUPO SCORPIO, S.L." u="1"/>
        <s v="INFORMATICA EL CORTE INGLES S.A." u="1"/>
        <s v="JORMAN ECOMERCE S.L." u="1"/>
        <s v="ANTONIO RODRIGUEZ ILUMINACIÓN Y SONIDO, S.L." u="1"/>
        <s v="VIAJES HALCON, S.A.U." u="1"/>
        <s v="SEMIC S.A." u="1"/>
        <s v="ASOCIACIÓN LATROVADORA" u="1"/>
        <s v="ELSA MARIA CALVO TUTOR" u="1"/>
        <s v="EUROBOOK L.IDIOMAS S.L.A" u="1"/>
        <s v="MANTENIMIENTOS ELÉCTRICOS Y SOLARES, S.L." u="1"/>
        <s v="HEGARDT, S.L." u="1"/>
        <s v="ARIAS GARRIDO ARQUITECTOS, S.L.P." u="1"/>
        <s v="MIL TRES CIENTOS MILIGRAMOS, S.L." u="1"/>
        <s v="DAVID TUTOR DE LA IGLESIA" u="1"/>
        <s v="SYNLAB DIAGNÓSTICOS GLOGALES, S.A." u="1"/>
        <s v="ASOCIACION &quot;&quot;PERICO Y KINO-PAYASOS&quot;&quot;" u="1"/>
        <s v="RECICLAJES ROMAIZ, S.L." u="1"/>
        <s v="FUNDACION MUNICIPAL DE CULTURA" u="1"/>
        <s v="ASOCIACIÓN CULTURAL MUSICAL KORAI" u="1"/>
        <s v="ODÓN GARCÍA PRIMO" u="1"/>
        <s v="REPARACIONES TÉCNICAS DE CONTENEDORES, S.L." u="1"/>
        <s v="JOSMAR SUMINISTROS, S.L.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SEMAE, S.L." u="1"/>
        <s v="PIMARDI, S.L." u="1"/>
        <s v="ANTONIO ZÚÑIGA  ARRANZ" u="1"/>
        <s v="CLINICA AYALA SL" u="1"/>
        <s v="REPSOL BUTANO, S.A." u="1"/>
        <s v="ASE-PSIKE, S.L." u="1"/>
        <s v="CRISANTO VEGA  CALLEJA" u="1"/>
        <s v="PRISA BRAND SOLUTIONS S.L." u="1"/>
        <s v="COORDINADORA O.N.G.D. CASTILLA Y" u="1"/>
        <s v="LAS CHAMANAS" u="1"/>
        <s v="TELLOCARDENALURRUCHI, ARQUITECTURA Y DISEÑO, S.L.P." u="1"/>
        <s v="LEICA GEOSYSTEMS,S.L" u="1"/>
        <s v="MAQUINA TEATRAL TELONCILLO, S.L." u="1"/>
        <s v="CMD SALUD CALIDAD INTEGRAL S.L." u="1"/>
        <s v="ZOYA BORISOVA IVOVA" u="1"/>
        <s v="IMASDEAS INNOVACION CULTURAL Y DESARROLLO TURISTICO S.L." u="1"/>
        <s v="TECNICAS REUNIDAS DE ARTES GRAFICAS S.L." u="1"/>
        <s v="CONSERVACION Y RESTAURACION MENESES Y GOMEZ S.L." u="1"/>
        <s v="GRUPO UNDANET S.L." u="1"/>
        <s v="GRUPO CULTURAL TIEMPO LIBRE STO.TORIBIO" u="1"/>
        <s v="MARIA CARMEN GARCIA IZQUIERDA" u="1"/>
        <s v="UTE CONSERVACION VALLADOLID LOTE 2" u="1"/>
        <s v="VICTOR NORIEGA DE LARA" u="1"/>
        <s v="LUIS TEÓFILO CARRERAS LOYAR" u="1"/>
        <s v="PUBLIGER IGLESIAS Y NAVARRO, S.L." u="1"/>
        <s v="21 MERMIT, S.A." u="1"/>
        <s v="DELTA PRODUCCIONES S.L." u="1"/>
        <s v="HIJO DE CIRIACO SANCHEZ S.A." u="1"/>
        <s v="IMPRENTA M. SANDONIS, S.L." u="1"/>
        <s v="JOSE MIGUEL SANCHEZ PIQUERO" u="1"/>
        <s v="PLASTIC HOME, S.L.L." u="1"/>
        <s v="MARS DIGITAL, S.L." u="1"/>
        <s v="ASOCIACION CULTURAL DANZ@BIERTA Y AMIGOS. VALLADOLID" u="1"/>
        <s v="PILAR BORREGO MALMIERCA" u="1"/>
        <s v="DUOMO REGALOS, S.L." u="1"/>
        <s v="CENTRO DE FORMACIÓN RONDA DEL SUR S.L." u="1"/>
        <s v="SAN CRISTOBAL ENCUADERNACIONES S.A." u="1"/>
        <s v="FLORISTERÍA YERBA, C.B." u="1"/>
        <s v="MEDELAND EVENTS S.L." u="1"/>
        <s v="HUNE RENTAL, S.L." u="1"/>
        <s v="TUKAN SOMOS IMPRESORES S.L.L" u="1"/>
        <s v="ASOCIACION CULTURAL ARTESANO DE INSTRUMENTOS MUSICALES" u="1"/>
        <s v="DAYTONA MOTOS,S.L." u="1"/>
        <s v="PAVIMENTOS TORDESILLAS, S.L." u="1"/>
        <s v="SEMCAL, S.A." u="1"/>
        <s v="SUSANA PÉREZ HERNÁNDEZ" u="1"/>
        <s v="ASOCIACION HERRERA TEATRO" u="1"/>
        <s v="SCHINDLER, S.A." u="1"/>
        <s v="SOFTWARE AG ESPAÑA, S.A." u="1"/>
        <s v="MAXYMAS SUMINISTROS HOSTELEROS, S.L." u="1"/>
        <s v="WOENE STUDIO, S.L." u="1"/>
        <s v="CALLE UNDERGROUND SL" u="1"/>
        <s v="ASOCIACION CULTURAL LP" u="1"/>
        <s v="HERMANOS GÓMEZ POLA C.B." u="1"/>
        <s v="UNIFORMES Y VESTUARIO LABORAL, S.L." u="1"/>
        <s v="OLAYA HERNANDO ARRIBAS" u="1"/>
        <s v="SANCUS SEGURIDAD, S.L." u="1"/>
        <s v="ESPERANZA SERRANO FERNÁNDEZ" u="1"/>
        <s v="ASOCIACION CULTURAL ANODE KAN" u="1"/>
        <s v="CENTROLID, S.A." u="1"/>
        <s v="FRANCISCO JAVIER BARBERO IGLESIAS" u="1"/>
        <s v="ROYAL CLEAN, S.L." u="1"/>
        <s v="VIAJES EL CORTE INGLES" u="1"/>
        <s v="ISABEL IMELDA GONZALEZ GUTIERREZ" u="1"/>
        <s v="J·JIMENO, S.A." u="1"/>
        <s v="OFFICE DEPOT, S.L." u="1"/>
        <s v="WARWICK HOUSE CENTRO LINGÜISTICO CULTURAL, S.L." u="1"/>
        <s v="ORBESPORT, S.L." u="1"/>
        <s v="MARÍA DEL CARMEN GONZALEZ  VILLAR" u="1"/>
        <s v="LUCAS REDONDO CARAZO" u="1"/>
        <s v="NEUMATICOS ESGUEVA, S.L." u="1"/>
        <s v="RECAMBIOS POMAUTO,S.L." u="1"/>
        <s v="MARIA VICTORIA VARONA GARROSA" u="1"/>
        <s v="ENRIGUS, S.L." u="1"/>
        <s v="ROSA GIL  LOPEZ" u="1"/>
        <s v="ASOC CULTURAL KTX" u="1"/>
        <s v="TALLERES SERCOIN, S.L." u="1"/>
        <s v="JUAN CARLOS SEGOVIANO ASTABURUAGA" u="1"/>
        <s v="INTERCREATIVA COMUNICACION S.L." u="1"/>
        <s v="FERRETERIA SANTIAGO RODRIGUEZ S.L." u="1"/>
        <s v="PEDRO FERRER ALVAREZ" u="1"/>
        <s v="SONIDO Y TELEVISION S.A." u="1"/>
        <s v="ASOCIACION ESTARIVEL" u="1"/>
        <s v="MOTOS DE IMPORTACIÓN, S.L." u="1"/>
        <s v="SERVICIOS TURISTICOS DE VALLADOLID SLU" u="1"/>
        <s v="TEODOSIO RODRIGUEZ  GONZALEZ" u="1"/>
        <s v="WATSON SOMHAIRLE" u="1"/>
        <s v="DHITELFON S.L." u="1"/>
        <s v="NO TE RINDAS, S.L." u="1"/>
        <s v="NORENDE S.L.U." u="1"/>
        <s v="QUIMICA IINDUSTRIAL MEDITERRANEA, S.L.U" u="1"/>
        <s v="OSCARESCALANTE S.L.U." u="1"/>
        <s v="MONICA ALARIO GAVILÁN" u="1"/>
        <s v="CARLOS MARTIN NIETO" u="1"/>
        <s v="EUROPAC RECICLA, S.A.U." u="1"/>
        <s v="FOMENTO DE CONSTRUCCIONES Y CONTRATAS, S.A." u="1"/>
        <s v="PROMOTORA DE EMPRESAS HOTELERAS, S.A." u="1"/>
        <s v="SERGIO NICOLAS CASTRO  MARTINEZ" u="1"/>
        <s v="SUITE 22 SL" u="1"/>
        <s v="ASOCIACIÓN CULTURAL GENEXT. ES" u="1"/>
        <s v="GRUPO EMPRESARIAL DAALPA, S.L." u="1"/>
        <s v="BICICLETAS CARRIL BICI 2012 S.L." u="1"/>
        <s v="OSCAR IVAN DIEZ DEL OLMO" u="1"/>
        <s v="PALOMA FERNANDEZ BENITO" u="1"/>
        <s v="NAUTILUS OCEÁNICA S.L." u="1"/>
        <s v="GRUPO SOCIO CULTURAL TEATRO LORCA" u="1"/>
        <s v="PLAY 360 EQUIPAMIENTOS URBANOS, S.L." u="1"/>
        <s v="AISLAMIENTOS Y REVESTIMIENTOS ARTECOVA, S.L." u="1"/>
        <s v="INICIATIVAS-CSE S.COOP.MAD." u="1"/>
        <s v="SOCIEDAD GENERAL DE AUTORES Y EDITORES" u="1"/>
        <s v="U.T.E. CALLE DEL BARCO DE SAN VICENTE" u="1"/>
        <s v="HEIDELBERG SPAIN, S.L.U." u="1"/>
        <s v="GESTORA DE NUEVOS PROYECTOS CULTURALES S.L." u="1"/>
        <s v="GALICIA EVENT CREW S.L." u="1"/>
        <s v="HERA HOLDING Y HÁBITAT, ECOLOGÍA Y RESTAURACIÓN AMBIENTAL, S.L." u="1"/>
        <s v="ELOY DELGADO LOPEZ" u="1"/>
        <s v="ELECTRICIDAD RINCON, S.A." u="1"/>
        <s v="THE FREAK CABARET CIRCUS, S.L." u="1"/>
        <s v="KONE ELEVADORES SA" u="1"/>
        <s v="ALVARO RIZO SOLA" u="1"/>
        <s v="SERVIMAN SERVICIOS CASTELLANOS XXI, S.L." u="1"/>
        <s v="NEOPLANT &amp; ASOCIADOS S.L." u="1"/>
        <s v="Mª DE LAS MERCEDES MARTINEZ LOPEZ" u="1"/>
        <s v="SOLYVEN INGENIERIA, S.L." u="1"/>
        <s v="PEDRO DEL OLMO MARTIN" u="1"/>
        <s v="RICARDO FERNANDEZ  HERNANDO" u="1"/>
        <s v="PROMOCION EDUCATIVA SDAD. COOPERATIVA" u="1"/>
        <s v="DIABLA TEATRO" u="1"/>
        <s v="CEPILLOS GUILLEM, S.L." u="1"/>
        <s v="MARCOS PASTOR  ALLUE" u="1"/>
        <s v="CAMINO GOMEZ S.L." u="1"/>
        <s v="RODRIGO MACON  CHICO" u="1"/>
        <s v="ACRE, S.L." u="1"/>
        <s v="EDICIONES DESNIVEL, S.L." u="1"/>
        <s v="CRECIMIENTO ENERGÉTICO SL" u="1"/>
        <s v="SEÑALIZACIÓN Y CONSERVACIÓN CASTILLA, S.L.U." u="1"/>
        <s v="MARTA HERRAN  MARTINEZ" u="1"/>
        <s v="IVAN PASTOR ENCINAS" u="1"/>
        <s v="LA QUIMERA DE PLASTICO, S.L." u="1"/>
        <s v="MAQUINAS PEREZ OTERO S.L." u="1"/>
        <s v="UTE HARAL 12 Servicios y Obras, S.L.Const.Prieto Sierra S.A." u="1"/>
        <s v="PRIA, S.A.U." u="1"/>
        <s v="FORMACION Y  TECNOLOGIA EDUCATIVA EN CASTILLA Y LEON, S.L." u="1"/>
        <s v="CASA COLEGIO MAYOR MENENDEZ PELAYO PROVINCIA DE ESPAÑA" u="1"/>
        <s v="PROLISER S.L." u="1"/>
        <s v="JAVIER CARTON GONZALEZ" u="1"/>
        <s v="UTE CDIT" u="1"/>
        <s v="OSCAR MANUEL DEL DEL AMO  DE ANDRES" u="1"/>
        <s v="MARTA MARÍA HERRETE SANZ" u="1"/>
        <s v="EQUIPOS DE PROTECCION LABORAL S.L." u="1"/>
        <s v="ARMARIOS 2000, S.L." u="1"/>
        <s v="ASOCIACION CULTURAL SAMBADOURO" u="1"/>
        <s v="IMAGINE CREATIVITY CENTER, SL" u="1"/>
        <s v="DISTRIBUCION Y MANTENIMIENTO DE FOTOCOPIADORAS, S.L" u="1"/>
        <s v="ASOC CULTURAL HISTORICA TORRE DEL HOMENAJE" u="1"/>
        <s v="ASOCIACION CULTURAL EXDEPA" u="1"/>
        <s v="INSTOP CATALUNYA SLU" u="1"/>
        <s v="LUBERR,S.L" u="1"/>
        <s v="MIGUEL REVILLA RODRIGUEZ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JESÚS CARLOS ARRIBAS VILLÁN" u="1"/>
        <s v="PLASTIC-OMNIUM SISTEMAS URBANOS" u="1"/>
        <s v="ISABEL URGELLÉS SARDÓN" u="1"/>
        <s v="VICENTE QUERO  PARDO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TRANSPORTES ALJAMI, S.L." u="1"/>
        <s v="UTILMAX CABELLO, S.L." u="1"/>
        <s v="INDRA SOLUCIONES TECNOLÓGICAS DE LA INFORMACIÓN S.L.U." u="1"/>
        <s v="LUIS BLANCO  VICENTE" u="1"/>
        <s v="MEDIASONIC S.L." u="1"/>
        <s v="ARSENIO FERNANDEZ ARIAS" u="1"/>
        <s v="CATERING Y COMPLEMENTOS S.L." u="1"/>
        <s v="NUTRIPLANT Y FARMACAMP, S,L" u="1"/>
        <s v="LAURA  CASTRILLO  ROMÓN" u="1"/>
        <s v="JUSTINO ASENJO PAREDES" u="1"/>
        <s v="APLICACIONES Y PÁGINAS WEB OCIOMERCADO, S.L." u="1"/>
        <s v="MERCEDES ACEBES MARTÍNEZ" u="1"/>
        <s v="SATARA SEGURIDAD S.L." u="1"/>
        <s v="JORDI SANCLEMENTE SANCHEZ" u="1"/>
        <s v="PROCESO DIGITAL DE AUDIO, S.L." u="1"/>
        <s v="RALI HIDRODINAMICA S.L." u="1"/>
        <s v="FELIX INGENIERÍA CULTURA, S.L." u="1"/>
        <s v="S.I. PROTECNIS, S.L." u="1"/>
        <s v="MARTA VALDIVIELSO DONOSO" u="1"/>
        <s v="MARTA ELENA FERNANDEZ LOPEZ" u="1"/>
        <s v="RC MARES VIRTUALES, S.L." u="1"/>
        <s v="COMPAÑIA ESPAÑOLA DE PETROLEOS, S.A.U. (CEPSA)" u="1"/>
        <s v="ASOCIACIÓN INTERNACIONAL DE CIUDADES EDUCADORAS" u="1"/>
        <s v="FRIGORIFICOS BENITO S.L." u="1"/>
        <s v="INICIATIVAS SOCIAMBIENTALES G S. COOP. MAD" u="1"/>
        <s v="DIRIGIDO POR...,S.L." u="1"/>
        <s v="PLANTELES LLOVERAS,S.L." u="1"/>
        <s v="JESALFOT, S.L." u="1"/>
        <s v="IBER NEUMATICOS, S.L." u="1"/>
        <s v="ALBA CANTALAPIEDRA GONZÁLEZ" u="1"/>
        <s v="ASOCIACION VALLISOLETANA DE FUTBOL SALA" u="1"/>
        <s v="ALMACENES JAVIER, S.A." u="1"/>
        <s v="ALVAC S.A." u="1"/>
        <s v="CARPET CLEANING CEE S.L." u="1"/>
        <s v="EVA GUTIERREZ GARCÍA" u="1"/>
        <s v="OKY MI CERRAJERO, S.L." u="1"/>
        <s v="CLUB DEPORTIVO U.D.C. SUR" u="1"/>
        <s v="IN AUDIT AUDITOR CONSULTOR, SLP" u="1"/>
        <s v="JOSE SANTOS TORRES" u="1"/>
        <s v="AGENCIA PÁSATE AL IMARKETING, S.L." u="1"/>
        <s v="ALBERTO GUERRA GOZALO" u="1"/>
        <s v="PRODUCCIONES VIGO S.L." u="1"/>
        <s v="TODO DEPORTE VALLADOLID 2017, S.L.L." u="1"/>
        <s v="TODO CATERING OLID S.L.L." u="1"/>
        <s v="BEATRIZ FERNANDEZ MAGAZ" u="1"/>
        <s v="ESPECTÁCULOS MIGUEL, S.L.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ÓN CULTURAL DE TEATRO MIGUEL CERVANTES" u="1"/>
        <s v="ASOCIACION LIBRE DE IDEAS PARA UNA LITERATURA TRANSFORMADORA !LA LECHE!" u="1"/>
        <s v="JESÚS DE TORRE  ARRABAL" u="1"/>
        <s v="ESMELUX ESTANTERÍA RÁPIDA" u="1"/>
        <s v="INSTALACIONES ISLA, S.L." u="1"/>
        <s v="DIEGO GARCÍA ARCHILLA" u="1"/>
        <s v="JOSE MARIA MARTINEZ  SANTIAGO" u="1"/>
        <s v="LACERA SERVICIOS Y MANTENIMIENTO, S.A." u="1"/>
        <s v="PATRICIA LÓPEZ VILLALÓN" u="1"/>
        <s v="FERNANDO JOSÉ FUENTES  SANTAMARTA" u="1"/>
        <s v="A &amp; B LABORATORIOS DE BIOTECNOLOGÍA, S.A.U." u="1"/>
        <s v="UTE CONSERVACION VALLADOLID 2018" u="1"/>
        <s v="FUNDUCTIL TARREGA S.L" u="1"/>
        <s v="GEMA POVEDA MONTES" u="1"/>
        <s v="ASOC. CULTURAL RIBERA DEL PISUERGA" u="1"/>
        <s v="TIMINA BARBERO DE SANTIAGO" u="1"/>
        <s v="OSVENTOS INNOVACION EN SERVIZOS S.L." u="1"/>
        <s v="BERNER MONTAJE Y FIJACION, S.L." u="1"/>
        <s v="ENTIDAD DEPORTIVA MUJER DEFICIENTE" u="1"/>
        <s v="OBRAS Y CEMENTOS CASTELLANOS S.L.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49">
      <sharedItems count="11">
        <s v="Servicios - De servicios"/>
        <s v="Suministro - De suministro"/>
        <s v="Obras - De Obras"/>
        <s v="ServPubl - De gestión de servicios públicos"/>
        <s v="Otros - Otros"/>
        <s v="Patrim - Patrimoniales"/>
        <s v="Mixto-Mixto"/>
        <s v="ConcsOP - De concesion de obra publica"/>
        <s v="No contrato - No contractual" u="1"/>
        <s v="CarAdEsp - De caracter administrativo especial" u="1"/>
        <s v="Mixto - Mixto" u="1"/>
      </sharedItems>
    </cacheField>
    <cacheField name="Procedim. Contrato" numFmtId="0">
      <sharedItems/>
    </cacheField>
    <cacheField name="Criterio Contrato" numFmtId="49">
      <sharedItems/>
    </cacheField>
    <cacheField name="PROCEDIMIENTO" numFmtId="49">
      <sharedItems count="10">
        <s v="Contratación menor"/>
        <s v="Procedimiento abierto"/>
        <s v="Acuerdo marco"/>
        <s v="Adjudicación directa"/>
        <s v="Procedimiento negociado sin publicidad"/>
        <s v="OJO" u="1"/>
        <s v="MENOR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Segundo"/>
        <s v="Tercero"/>
        <s v="Cuarto" u="1"/>
      </sharedItems>
    </cacheField>
    <cacheField name="CAPITULO" numFmtId="0">
      <sharedItems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6. Educación, infancia, juventud e igualdad"/>
        <s v="09. Cultura y turismo"/>
        <s v="03. Participación ciudadana y deportes"/>
        <s v="04. Planificación y recursos"/>
        <s v="01. Alcaldía"/>
        <s v="11. Salud pública y seguridad ciudadana"/>
        <s v="05. Innovación, desarrollo económico, empleo y comercio"/>
        <s v="07. Medio ambiente y desarrollo sostenible"/>
        <s v="10. Servicios sociales y mediación comunitaria"/>
        <s v="08. Movilidad y espacio urbano"/>
        <s v="02. Planeamiento urbanístico y vivienda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/>
    </cacheField>
    <cacheField name="PROGRAMA EN TEXTO" numFmtId="0">
      <sharedItems/>
    </cacheField>
    <cacheField name="ARTICULO" numFmtId="0">
      <sharedItems/>
    </cacheField>
    <cacheField name="CONCEP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10">
  <r>
    <n v="220210001374"/>
    <s v="AD"/>
    <d v="2021-02-01T00:00:00"/>
    <n v="22021002039"/>
    <s v="2021 06 3232 22706"/>
    <n v="3000"/>
    <x v="0"/>
    <s v="CONTRATO DE SERVICIOS DE COORDINACIÓN, DE SEGURIDAD Y SALUD EN OBRAS MUNICIPALES EN COLEGIOS PÚBLICOS. PLAZO 2 AÑO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06"/>
  </r>
  <r>
    <n v="220209000166"/>
    <s v="AD"/>
    <d v="2021-01-02T00:00:00"/>
    <n v="22021000230"/>
    <s v="2021 09 3341 22609"/>
    <n v="25250.28"/>
    <x v="1"/>
    <s v="CONTRATO SUMINISTRO EN REGIMEN DE ALQUILER DE INFRAESTRUCTURAS Y EQUIPAMIENTO FERIA DEL LIBRO. LOTE 1. AÑO 2021"/>
    <s v="220"/>
    <s v="LORQUI"/>
    <s v="MURCI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10000510"/>
    <s v="AD"/>
    <d v="2021-01-25T00:00:00"/>
    <n v="22021001684"/>
    <s v="2021 03 9241 22609"/>
    <n v="400"/>
    <x v="2"/>
    <s v="CONCIERTO CC PILARICA DIA 30/12/2020"/>
    <s v="220"/>
    <s v="MUCIENTE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09000829"/>
    <s v="AD"/>
    <d v="2021-01-02T00:00:00"/>
    <n v="22021001161"/>
    <s v="2021 04 9204 216"/>
    <n v="571.12"/>
    <x v="3"/>
    <s v="MANTENIMIENTO Y ASISTENCIA TÉCNICA DEL SOFTWARE WINMEDTRA Y  WINSEHTRA"/>
    <s v="220"/>
    <s v="SANTANDER"/>
    <s v="SANTANDER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6"/>
  </r>
  <r>
    <n v="220210005450"/>
    <s v="AD"/>
    <d v="2021-02-23T00:00:00"/>
    <n v="22021002617"/>
    <s v="2021 01 9203 213"/>
    <n v="1999.63"/>
    <x v="4"/>
    <s v="MANTENIMIENTO APLICACIÓN INFORMÁTICA CONTROL HORARIO WCRONOS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10004235"/>
    <s v="AD"/>
    <d v="2021-02-18T00:00:00"/>
    <n v="22021002742"/>
    <s v="2021 11 1321 22104"/>
    <n v="2400"/>
    <x v="5"/>
    <s v="ADQUISICIÓN  DE FUNDAS DE CHALECO ANTIBALAS   PARA REPOSICIÓN DE LAS ANTERIORES POR DETERIORO."/>
    <s v="220"/>
    <s v="AVILES"/>
    <s v="ASTURIAS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4"/>
  </r>
  <r>
    <n v="220210004237"/>
    <s v="AD"/>
    <d v="2021-02-18T00:00:00"/>
    <n v="22021002644"/>
    <s v="2021 05 4331 22699"/>
    <n v="302.5"/>
    <x v="6"/>
    <s v="COMPRA DE DOS CERTIFICADOS DIGITALES PARA EL PROGRAMA S2City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199000342"/>
    <s v="AD"/>
    <d v="2021-01-02T00:00:00"/>
    <n v="22021000699"/>
    <s v="2021 07 1711 610"/>
    <n v="1160998.1200000001"/>
    <x v="7"/>
    <s v="CONTRATO CONSERVACIÓN Y MEJORA INFRAESTRUCTURAS VERDES ZONAS SUR Y ESTE DE LA CIUDAD, LOTE 1."/>
    <s v="220"/>
    <s v="ALCOBENDAS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343"/>
    <s v="AD"/>
    <d v="2021-01-02T00:00:00"/>
    <n v="22021000700"/>
    <s v="2021 07 1711 610"/>
    <n v="255114.6"/>
    <x v="7"/>
    <s v="CONTRATO CONSERVACION Y MEJORA INFRAESTRUCTURAS VERDES ZONAS SUR Y ESTE, LOTE 1."/>
    <s v="220"/>
    <s v="ALCOBENDAS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344"/>
    <s v="AD"/>
    <d v="2021-01-02T00:00:00"/>
    <n v="22021000147"/>
    <s v="2021 07 1711 22799"/>
    <n v="318036.63"/>
    <x v="7"/>
    <s v="CONTRATO CONSERVACION Y MEJORA DE INFRAESTRUCTURAS VERDES DE LAS ZONAS SUR Y ESTE DE LA CIUDAD, LOTE 1."/>
    <s v="220"/>
    <s v="ALCOBENDAS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199000345"/>
    <s v="AD"/>
    <d v="2021-01-02T00:00:00"/>
    <n v="22021000148"/>
    <s v="2021 07 1711 22799"/>
    <n v="38378.269999999997"/>
    <x v="7"/>
    <s v="CONTRATO CONSERVACION Y MEJORA INFRAESTRUCTURAS VERDES ZONAS SUR Y ESTE DE LA CIUDAD, LOTE 1."/>
    <s v="220"/>
    <s v="ALCOBENDAS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09000334"/>
    <s v="AD"/>
    <d v="2021-01-02T00:00:00"/>
    <n v="22021000267"/>
    <s v="2021 06 3261 22799"/>
    <n v="138000"/>
    <x v="8"/>
    <s v="SE 3/2018 P.S. 2. PRORROGA CONTRATO PROGRAMA ABSENTISMO ESCOLAR EN EL AYTO DE VALLADOLID. AÑO 2021 Y 01/01/22 A 31/08/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2865"/>
    <s v="AD"/>
    <d v="2021-02-11T00:00:00"/>
    <n v="22021002414"/>
    <s v="2021 10 2312 212"/>
    <n v="326.7"/>
    <x v="9"/>
    <s v="REPARACION  ARQUETA Y COLOCAR TAPADERA ESTANCA  Y HERMETICA EN EL CPM PUENTE COLGANTE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3755"/>
    <s v="AD"/>
    <d v="2021-02-16T00:00:00"/>
    <n v="22021002630"/>
    <s v="2021 11 3111 212"/>
    <n v="321.86"/>
    <x v="9"/>
    <s v="REPARACION FUGA DE AGUA EN PASEO ARCO LADRILLO 31 -LOCAL SINGULAR KITCHEN-  EL 21 DE ENERO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2"/>
  </r>
  <r>
    <n v="220209000143"/>
    <s v="AD"/>
    <d v="2021-01-02T00:00:00"/>
    <n v="22021000213"/>
    <s v="2021 08 1301 22699"/>
    <n v="50"/>
    <x v="10"/>
    <s v="Contrato con ACQUAJET: suministro de botellas de agua paraa la Dirección de Área de Movilidad y Espacio Urbano"/>
    <s v="220"/>
    <s v="TAMARES"/>
    <s v="SEVILLA"/>
    <x v="1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699"/>
  </r>
  <r>
    <n v="220210004012"/>
    <s v="AD"/>
    <d v="2021-02-17T00:00:00"/>
    <n v="22021002557"/>
    <s v="2021 01 9312 22699"/>
    <n v="500"/>
    <x v="10"/>
    <s v="ALQUILER MAQUINA Y SUMISTRO AGUA A INTERVENCION , ENERO A DICIEMBRE 2021"/>
    <s v="220"/>
    <s v="TAMARES"/>
    <s v="SEVILLA"/>
    <x v="1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699"/>
  </r>
  <r>
    <n v="220210004580"/>
    <s v="AD"/>
    <d v="2021-02-19T00:00:00"/>
    <n v="22021002879"/>
    <s v="2021 08 1301 22699"/>
    <n v="320"/>
    <x v="10"/>
    <s v="Contrato con ACQUAJET para el suministro de botellas de agua para la Dirección del Área de Movilidad y Espacio Urbano"/>
    <s v="220"/>
    <s v="TAMARES"/>
    <s v="SEVILLA"/>
    <x v="1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699"/>
  </r>
  <r>
    <n v="220210005227"/>
    <s v="ADO"/>
    <d v="2021-02-22T00:00:00"/>
    <n v="22021002877"/>
    <s v="2021 01 9312 22699"/>
    <n v="136.51"/>
    <x v="10"/>
    <s v="KIT MENSUAL 3 MESES (OCTUBRE- DICIEMBRE 2020)/ SANEAMIENTO COOLER , INTERVENCIÓN ."/>
    <s v="240"/>
    <s v="TAMARES"/>
    <s v="SEVILLA"/>
    <x v="1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699"/>
  </r>
  <r>
    <n v="220209000162"/>
    <s v="AD"/>
    <d v="2021-01-02T00:00:00"/>
    <n v="22021000226"/>
    <s v="2021 09 3341 22609"/>
    <n v="17150.8"/>
    <x v="11"/>
    <s v="CONTRATO SERVICIO ADAPTACION IMAGEN CORPORATIVA DE LA FERIA DEL LIBRO A DISTINTOS FORMATOS. LOTE 2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163"/>
    <s v="AD"/>
    <d v="2021-01-02T00:00:00"/>
    <n v="22021000227"/>
    <s v="2021 09 3341 22609"/>
    <n v="9655.7999999999993"/>
    <x v="11"/>
    <s v="CONTRATO SERVICIO DE MANTENIMIENTO DE UNA PLATAFORMA WEB Y GABINETE DE PRENSA, FERIA LIBRO. LOTE 3 AÑO 2020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569"/>
    <s v="AD"/>
    <d v="2021-01-02T00:00:00"/>
    <n v="22021000594"/>
    <s v="2021 09 3341 22609"/>
    <n v="7"/>
    <x v="11"/>
    <s v="CORRECCIÓN ERROR IMPORTE ADJUDICACIÓN CONTRATO FERIA LIBRO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782"/>
    <s v="AD"/>
    <d v="2021-01-02T00:00:00"/>
    <n v="22021002465"/>
    <s v="2021 05 4331 22706"/>
    <n v="9015"/>
    <x v="12"/>
    <s v="Consultoría de sistema basado en I.A. para automatizar solicitudes de subvenciones de transformación Digital de Empresas"/>
    <s v="220"/>
    <s v="ALPEDRETE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2499"/>
    <s v="AD"/>
    <d v="2021-02-08T00:00:00"/>
    <n v="22021001270"/>
    <s v="2021 01 9207 22799"/>
    <n v="9275.67"/>
    <x v="13"/>
    <s v="ACCESO, AÑO 2021, AL SERVICIO DE NOTICIAS Y FOTOS DE LA AGENCIA"/>
    <s v="220"/>
    <s v="BURGOS"/>
    <s v="BURGOS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2501"/>
    <s v="AD"/>
    <d v="2021-02-08T00:00:00"/>
    <n v="22021001971"/>
    <s v="2021 01 9207 22799"/>
    <n v="10529.62"/>
    <x v="14"/>
    <s v="ACCESO AL SERVICIO DE NOTICIAS TEXTO CASTILLA Y LEÓN AÑO 2021 -GOBIERNO Y RELACIONES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3984"/>
    <s v="AD"/>
    <d v="2021-02-17T00:00:00"/>
    <n v="22021002521"/>
    <s v="2021 07 1721 22199"/>
    <n v="2000"/>
    <x v="15"/>
    <s v="MATERIAL FUNGIBLE ESPECIFICO DEL LABORATORIO DE MASAS PARA EL SERVICIO DE MEDIO AMBIENTE"/>
    <s v="220"/>
    <s v="LAS ROZAS"/>
    <s v="MADR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3985"/>
    <s v="AD"/>
    <d v="2021-02-17T00:00:00"/>
    <n v="22021002522"/>
    <s v="2021 07 1721 213"/>
    <n v="7000"/>
    <x v="15"/>
    <s v="MANTENIMIENTO ANUAL EQUIPO GASES MASAS GSM AGILENT PARA ANALIZAR BENZOPIRENO MAS MATERIAL FUNGIBLE PARA EL MISMO. S.M.A."/>
    <s v="220"/>
    <s v="LAS ROZAS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09000051"/>
    <s v="AD"/>
    <d v="2021-01-02T00:00:00"/>
    <n v="22021000194"/>
    <s v="2021 09 3301 22706"/>
    <n v="27225"/>
    <x v="16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1016"/>
    <s v="AD"/>
    <d v="2021-01-27T00:00:00"/>
    <n v="22021001896"/>
    <s v="2021 10 2412 22199"/>
    <n v="358.37"/>
    <x v="17"/>
    <s v="PLANTAS PARA EL CENTRO DE FORMACION PARA EL EMPLEO CURSO DE PARQUES Y JARDINES II- DURACION 1 DÍA"/>
    <s v="220"/>
    <s v="MAJADAHONDA"/>
    <s v="MADR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4010"/>
    <s v="AD"/>
    <d v="2021-02-17T00:00:00"/>
    <n v="22021002610"/>
    <s v="2021 11 1631 22110"/>
    <n v="4000"/>
    <x v="18"/>
    <s v="SUMINISTRO PRODUCTOS DECAPANTES PARA LA ELIMINACIÓN DE PINTADAS POR EL S. DE LIMPIEZA VIARIA"/>
    <s v="220"/>
    <s v="TORREJON DE ARDOZ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110"/>
  </r>
  <r>
    <n v="220210001378"/>
    <s v="AD"/>
    <d v="2021-02-01T00:00:00"/>
    <n v="22021002084"/>
    <s v="2021 05 4331 203"/>
    <n v="520"/>
    <x v="19"/>
    <s v="MANTENIMIENTO DE LA FUENTE DE AGUA INSTALADA EN LA AGENCIA DE INNOVACION AÑO 2021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3"/>
  </r>
  <r>
    <n v="220210004162"/>
    <s v="ADO"/>
    <d v="2021-02-17T00:00:00"/>
    <n v="22021002744"/>
    <s v="2021 05 4331 203"/>
    <n v="39.81"/>
    <x v="19"/>
    <s v="ALQUILER MENSUAL DE FUENTE DE AGUA EN C/ VEGA SICILIA Nº 2 /// PERIODO: DEL 05-12-2020  A  04-01-2021// AGENCIA INNOVACI"/>
    <s v="24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3"/>
  </r>
  <r>
    <n v="220210010690"/>
    <s v="AD"/>
    <d v="2021-03-23T00:00:00"/>
    <n v="22021003179"/>
    <s v="2021 05 4331 22799"/>
    <n v="11470.8"/>
    <x v="20"/>
    <s v="Contratación de servicios para desarrollo de la iniciativa piloto &quot;&quot;Apadrina un alcorque&quot;&quot;, proyecto europeo URBAN GreenUP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199000362"/>
    <s v="AD"/>
    <d v="2021-01-02T00:00:00"/>
    <n v="22021000150"/>
    <s v="2021 11 1621 22700"/>
    <n v="115856.91"/>
    <x v="21"/>
    <s v="REAJ. ANUALIDADES CONTRATO MANTENIMIENTO PLATAFORMAS RECOGIDA RESIDUOS EN CONTENEDORES SOTERRADOS 1-1-2020 AL 15-8-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199000602"/>
    <s v="AD"/>
    <d v="2021-01-02T00:00:00"/>
    <n v="22021000166"/>
    <s v="2021 11 1621 22700"/>
    <n v="26518.97"/>
    <x v="21"/>
    <s v="CONTRATO MANTENIMIENTO PALTAFORMAS RECOIGIDA RESIDUOS EN CONTENEDORES SOTERRADOS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04094"/>
    <s v="ADO"/>
    <d v="2021-02-17T00:00:00"/>
    <n v="22021002633"/>
    <s v="2021 11 1621 22700"/>
    <n v="17796.98"/>
    <x v="21"/>
    <s v="LIMPIEZA Y MANTENIMIENTO DE PLATAFORMAS SOTERRADAS // MES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02863"/>
    <s v="AD"/>
    <d v="2021-02-11T00:00:00"/>
    <n v="22021002389"/>
    <s v="2021 10 2311 213"/>
    <n v="180.42"/>
    <x v="22"/>
    <s v="COMPRA DE MATERIAL DE FONTANERIA PARA VIVIVENDA SITA EN C/COSTA DORADA 4, 1B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2837"/>
    <s v="AD"/>
    <d v="2021-02-11T00:00:00"/>
    <n v="22021002242"/>
    <s v="2021 06 2315 22613"/>
    <n v="770"/>
    <x v="23"/>
    <s v="Representación de dos pases de &quot;&quot;Cantacuentos Cantinela&quot;&quot; el 23 de diciembre de 2020 en el CMI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199000149"/>
    <s v="AD"/>
    <d v="2021-01-02T00:00:00"/>
    <n v="22021000127"/>
    <s v="2021 07 1721 22199"/>
    <n v="10687.95"/>
    <x v="24"/>
    <s v="SUMINISTRO DE GASES DE REFª CONTAMINANTES ACREDITADOS (LOT.1) Y NO ACREDITADOS(LOT.2) RCCAVA 2020/21 (EXP. VS 17/18)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99"/>
  </r>
  <r>
    <n v="220210005523"/>
    <s v="D"/>
    <d v="2021-02-23T00:00:00"/>
    <n v="22021002048"/>
    <s v="2021 11 1621 214"/>
    <n v="1044.0999999999999"/>
    <x v="25"/>
    <s v="AC MARCO EXP V36-2017: REPUESTOS REPARACIONES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9"/>
    <s v="D"/>
    <d v="2021-02-23T00:00:00"/>
    <n v="22021002048"/>
    <s v="2021 11 1621 214"/>
    <n v="839.26"/>
    <x v="25"/>
    <s v="AC MARCO EXP V36-2017: REPUESTOS PARA VEHÍ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31"/>
    <s v="D"/>
    <d v="2021-02-23T00:00:00"/>
    <n v="22021002048"/>
    <s v="2021 11 1621 214"/>
    <n v="785.08"/>
    <x v="25"/>
    <s v="AC MARCO EXP. V36-2017: RECAMBIOS PARA REPARACION VEHICULOS DEL SERV.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6520"/>
    <s v="D"/>
    <d v="2021-02-26T00:00:00"/>
    <n v="22021002048"/>
    <s v="2021 11 1621 214"/>
    <n v="1854.51"/>
    <x v="25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2383"/>
    <s v="AD"/>
    <d v="2021-02-08T00:00:00"/>
    <n v="22021002334"/>
    <s v="2021 08 1532 22199"/>
    <n v="1100"/>
    <x v="26"/>
    <s v="Adquisición de agua mineral en garrafas para el Parque de Vías Públicas durante el 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99"/>
  </r>
  <r>
    <n v="220209000062"/>
    <s v="AD"/>
    <d v="2021-01-02T00:00:00"/>
    <n v="22021000198"/>
    <s v="2021 08 1341 203"/>
    <n v="1000"/>
    <x v="27"/>
    <s v="ALQUILER FOTOCOPIADORA_CANON C55401 MODEL XMF04638_SERVICIO OCUPACIÓN VÍA PÚBL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0"/>
    <s v="203"/>
  </r>
  <r>
    <n v="220209000080"/>
    <s v="AD"/>
    <d v="2021-01-02T00:00:00"/>
    <n v="22021000069"/>
    <s v="2021 08 1341 213"/>
    <n v="2000"/>
    <x v="27"/>
    <s v="COPIAS_FOTOCOPIADORA CANON C55401 MODEL XVD02575_CENTRO DE MOVILIDAD URB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1"/>
    <s v="213"/>
  </r>
  <r>
    <n v="220209000081"/>
    <s v="AD"/>
    <d v="2021-01-02T00:00:00"/>
    <n v="22021000070"/>
    <s v="2021 08 1341 213"/>
    <n v="1000"/>
    <x v="27"/>
    <s v="COPIAS_FOTOCOPIADORA CANON C55401 MODEL XMF04638_SERVICIO OCUPACIÓN VÍA PÚBL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1"/>
    <s v="213"/>
  </r>
  <r>
    <n v="220209000156"/>
    <s v="AD"/>
    <d v="2021-01-02T00:00:00"/>
    <n v="22021000222"/>
    <s v="2021 01 9203 203"/>
    <n v="65.95"/>
    <x v="27"/>
    <s v="CONTRATO CENTRALIZADO ALQUILER MAQ. FOTOCP. KYOCERA 4053, REPROGRAFIA ENERO 2021, R.I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09000274"/>
    <s v="AD"/>
    <d v="2021-01-02T00:00:00"/>
    <n v="22021000254"/>
    <s v="2021 04 9202 203"/>
    <n v="160"/>
    <x v="27"/>
    <s v="ALQUILER FOTOCOPIADORAS ALPA COPIADORAS SL, DPTO. RR. HH. Y FORMACIÓN DEL 1 DE ENERO AL 7 DE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09000275"/>
    <s v="AD"/>
    <d v="2021-01-02T00:00:00"/>
    <n v="22021000255"/>
    <s v="2021 04 9202 213"/>
    <n v="260"/>
    <x v="27"/>
    <s v="COPIAS BLANCO/NEGRO Y COLOR FOTOCOPIADORAS ALPA COPIADORAS SL, DPTO. RR.HH. Y FORMACIÓN DEL 1 DE ENERO AL 7 FEBRERO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689"/>
    <s v="AD"/>
    <d v="2021-02-10T00:00:00"/>
    <n v="22021000540"/>
    <s v="2021 01 9203 213"/>
    <n v="700"/>
    <x v="27"/>
    <s v="1ª PRORROGA CONTRATO CENTRALIZADO COPIAS MAQ. FOTOCOP. KYOCERA 4053, REPROGRAFIA,  DE FEBRERO 2021 A DICIEMBR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10002690"/>
    <s v="AD"/>
    <d v="2021-02-10T00:00:00"/>
    <n v="22021000541"/>
    <s v="2021 01 9203 203"/>
    <n v="725.45"/>
    <x v="27"/>
    <s v="1º PRORROGA CONTRATO CENTRALIZADO ALQUILER MAQ. FOTOCOP. KYOCERA 4053 REPROGRAFIA, DE FEBRERO 2021 A DICIEMBRE 2021, R.I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10002691"/>
    <s v="AD"/>
    <d v="2021-02-10T00:00:00"/>
    <n v="22021001199"/>
    <s v="2021 04 9202 203"/>
    <n v="990"/>
    <x v="27"/>
    <s v="ALQUILER FOTOCOPIADORA ALPA COPIADORAS SL. DPTO. RR.HH. Y A.S. Y FORMACION DEL 8 DE FEBRERO AL 31 DE DIC.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692"/>
    <s v="AD"/>
    <d v="2021-02-10T00:00:00"/>
    <n v="22021001200"/>
    <s v="2021 04 9202 213"/>
    <n v="2240"/>
    <x v="27"/>
    <s v="COPIAS BLANCO, NEGRO Y COLOR FOTOCOPIADORAS ALPA COPIADORAS, SL DPTO. RR.HH. Y AS Y FORMACION DEL 8 DE FEBR AL 31 DIC/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759"/>
    <s v="ADO"/>
    <d v="2021-02-10T00:00:00"/>
    <n v="22021001254"/>
    <s v="2021 01 9203 203"/>
    <n v="197.84"/>
    <x v="27"/>
    <s v="ALQUILER MAQ. FOTOCOP. KYOCERA 4053 / RFC9Y20292 -FC011367 /DE 01-10-20  A  31-12-20 , R.I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10002820"/>
    <s v="ADO"/>
    <d v="2021-02-10T00:00:00"/>
    <n v="22021002456"/>
    <s v="2021 04 9202 203"/>
    <n v="197.84"/>
    <x v="27"/>
    <s v="ALQUILER 01/10/2020 - 31/12/2020 // N.SERIE: RFC9Y20759 - FC011338 // CASA CONSISTORIAL, GESTION DE PERSONAL, 3ª P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821"/>
    <s v="ADO"/>
    <d v="2021-02-10T00:00:00"/>
    <n v="22021002467"/>
    <s v="2021 04 9202 203"/>
    <n v="197.84"/>
    <x v="27"/>
    <s v="ALQUILER 01/10/2020 - 31/12/2020 // N.SERIE: RFC9Y20757 - FC011386 // CASA CONSIST.,SEC.ACCION SOCIAL FORMACION, 1º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822"/>
    <s v="ADO"/>
    <d v="2021-02-10T00:00:00"/>
    <n v="22021002469"/>
    <s v="2021 04 9202 213"/>
    <n v="115.55"/>
    <x v="27"/>
    <s v="COPIAS COLOR Y NEGRAS (1459+5140)/ RFC9Y20757- FC011386 / DE 01-10-20 A 31-12-20 / SEC.ACC. SOCIAL FORMACIÓN 1ª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823"/>
    <s v="ADO"/>
    <d v="2021-02-10T00:00:00"/>
    <n v="22021002471"/>
    <s v="2021 04 9202 213"/>
    <n v="352.43"/>
    <x v="27"/>
    <s v="COPIAS 01/10/2020 - 31/12/2020 // N.SERIE: RFC9Y20759 - FC011338 // CASA CONSISTORIAL, GESTIÓN DE PERSONAL, 3º PLAN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947"/>
    <s v="ADO"/>
    <d v="2021-02-11T00:00:00"/>
    <n v="22021002405"/>
    <s v="2021 01 9201 213"/>
    <n v="36.94"/>
    <x v="27"/>
    <s v="CORRESPONDE AL SALDO DEL AD 920200014568. COPIAS KYOCERA 4053 01-10-20 A 31-12-20 / ASESORIA JURÍDICA. TORREÓN"/>
    <s v="24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1"/>
    <s v="9201. Secretaría General"/>
    <s v="21"/>
    <s v="213"/>
  </r>
  <r>
    <n v="220210002948"/>
    <s v="ADO"/>
    <d v="2021-02-11T00:00:00"/>
    <n v="22021002408"/>
    <s v="2021 01 9201 213"/>
    <n v="185.14"/>
    <x v="27"/>
    <s v="CORRESPONDE AL SALDO DEL AD 920200014568. COPIAS KYOCERA 4053 N.  01/10/2020 - 31/12/2020 - ASESORÍA JURÍDICA, 3º PLANTA"/>
    <s v="24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1"/>
    <s v="9201. Secretaría General"/>
    <s v="21"/>
    <s v="213"/>
  </r>
  <r>
    <n v="220210003874"/>
    <s v="ADO"/>
    <d v="2021-02-16T00:00:00"/>
    <n v="22021002352"/>
    <s v="2021 01 9203 213"/>
    <n v="67.47"/>
    <x v="27"/>
    <s v="COPIAS COLOR Y NEGRAS (97+8455) / RFC9Y20292 -FC011367 / DE 01-10-20 A 31-12-20 / REGIMEN INTERIOR. SOTANO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10004035"/>
    <s v="ADO"/>
    <d v="2021-02-17T00:00:00"/>
    <n v="22021002558"/>
    <s v="2021 04 9204 213"/>
    <n v="84.36"/>
    <x v="27"/>
    <s v="ALQUILER FOTOCOPIADORA  CDIT, DEL 1/10 AL 31/12/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4036"/>
    <s v="ADO"/>
    <d v="2021-02-17T00:00:00"/>
    <n v="22021002559"/>
    <s v="2021 04 9204 213"/>
    <n v="42.05"/>
    <x v="27"/>
    <s v="SUMINISTRO DE IMPRESIÓN DEL 1/10 AL 31/12/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5215"/>
    <s v="ADO"/>
    <d v="2021-02-22T00:00:00"/>
    <n v="22021002866"/>
    <s v="2021 04 3121 213"/>
    <n v="83.08"/>
    <x v="27"/>
    <s v="COPIAS COLOR Y NEGRO (277+9.272)/ R319Z00938 -FC011337 / DE 01-10-20 A 31-12-20/  PREVENCION Y SALUD LABORAL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5229"/>
    <s v="ADO"/>
    <d v="2021-02-22T00:00:00"/>
    <n v="22021002902"/>
    <s v="2021 08 1532 213"/>
    <n v="46.64"/>
    <x v="27"/>
    <s v="COPIAS COLOR+NEGRAS (481+2856) / RFC9Y20878 -FC011425 / DE 01-10-20 A 31-12-20 / SAN BENITO 1ªPTA. SALA 14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0"/>
    <s v="ADO"/>
    <d v="2021-02-22T00:00:00"/>
    <n v="22021002903"/>
    <s v="2021 08 1532 213"/>
    <n v="66.5"/>
    <x v="27"/>
    <s v="COPIAS KYOCERA 4012 (9.025) / R3T9Y27723 -FC011359 / DE 01-10-20 A 31-12-20 / SAN BENITO 1ªPTA. -PUERTA 13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1"/>
    <s v="ADO"/>
    <d v="2021-02-22T00:00:00"/>
    <n v="22021002904"/>
    <s v="2021 08 1532 213"/>
    <n v="20.13"/>
    <x v="27"/>
    <s v="COPIAS 01/10/2020 - 31/12/2020 // N.SERIE: R3T9Z31013 - FC011360 // UBICACION: PARQUE VIAS PUBLICA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2"/>
    <s v="ADO"/>
    <d v="2021-02-22T00:00:00"/>
    <n v="22021002905"/>
    <s v="2021 08 1532 203"/>
    <n v="197.58"/>
    <x v="27"/>
    <s v="ALQUILER 01/10/2020 - 31/12/2020 // N.SERIE: RFC9Y20878 - FC011425 // UBICACION: SAN BENITO, 1ªPTA, SALA 14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585"/>
    <s v="ADO"/>
    <d v="2021-02-23T00:00:00"/>
    <n v="22021002998"/>
    <s v="2021 08 1532 203"/>
    <n v="161.63999999999999"/>
    <x v="27"/>
    <s v="Rect.92659 728/ RECT: F/453 //// ALQUILER / R3T9Y27723 -FC011359 / DE 01-10-20 A 31-12-20 / SAN BENITO 1º PLTA - PTA 13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586"/>
    <s v="ADO"/>
    <d v="2021-02-23T00:00:00"/>
    <n v="22021002999"/>
    <s v="2021 08 1532 203"/>
    <n v="161.63999999999999"/>
    <x v="27"/>
    <s v="Rect. 92637 706 // ALQUILER 01/10/20 - 31/12/20 // N.SERIE: R3T9Z31013 - FC011360 // PARQUE VIAS PUBLICA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3221"/>
    <s v="ADO"/>
    <d v="2021-02-12T00:00:00"/>
    <n v="22021002543"/>
    <s v="2021 10 2311 213"/>
    <n v="197.84"/>
    <x v="27"/>
    <s v="F-538. ALPA. ALQUILER KYOCERA 4053 /  RFC9Y20354 -FC011430 / DE 01-10-20 A 31-12-20 / CEAS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61"/>
    <s v="AD"/>
    <d v="2021-01-02T00:00:00"/>
    <n v="22021000197"/>
    <s v="2021 08 1341 203"/>
    <n v="1000"/>
    <x v="27"/>
    <s v="ALQUILER FOTOCOPIADORA_CANON C55401 MODEL XVD02575_CENTRO MOVILIDAD URB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0"/>
    <s v="203"/>
  </r>
  <r>
    <n v="220209000063"/>
    <s v="AD"/>
    <d v="2021-01-02T00:00:00"/>
    <n v="22021000199"/>
    <s v="2021 10 2313 213"/>
    <n v="300"/>
    <x v="27"/>
    <s v="CONTRATO MANT.FOTOCOP-IMPRESION CONCEJALIA-DIREC.AREA Y SECRET.EJEC.AREA SERV.SOC.Y MEDIACION COMUN DEL 8/2/20 A 7/2/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09000065"/>
    <s v="AD"/>
    <d v="2021-01-02T00:00:00"/>
    <n v="22021000200"/>
    <s v="2021 04 9231 213"/>
    <n v="500"/>
    <x v="27"/>
    <s v="FOTOCOPIADORAS SERVICIO INFORMACION Y ADMINISTRACION ELECTRONICA 2020-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09000073"/>
    <s v="AD"/>
    <d v="2021-01-02T00:00:00"/>
    <n v="22021000203"/>
    <s v="2021 04 9209 203"/>
    <n v="450"/>
    <x v="27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9"/>
    <s v="9209. Dirección del area de hacienda y función pública"/>
    <s v="20"/>
    <s v="203"/>
  </r>
  <r>
    <n v="220209000075"/>
    <s v="AD"/>
    <d v="2021-01-02T00:00:00"/>
    <n v="22021000205"/>
    <s v="2021 02 1501 203"/>
    <n v="3000"/>
    <x v="27"/>
    <s v="GASTOS  DERIVADOS DE LOS ALQUILERES Y CONSUMIBLES  DE FOTOCOPIADORAS ÁREA 02"/>
    <s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10"/>
    <s v="1501"/>
    <s v="1501. Dirección del área de urbanismo"/>
    <s v="20"/>
    <s v="203"/>
  </r>
  <r>
    <n v="220209000077"/>
    <s v="AD"/>
    <d v="2021-01-02T00:00:00"/>
    <n v="22021000066"/>
    <s v="2021 10 2311 213"/>
    <n v="2000"/>
    <x v="27"/>
    <s v="ALQUILER Y MANTENIMIENTOS DE EQUIPOS IMPRESION Y FOTOCOP.CEAS Y SERVICIOS CENTRALES DE 8 FEB 20 A 7 FEB 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8"/>
    <s v="AD"/>
    <d v="2021-01-02T00:00:00"/>
    <n v="22021000067"/>
    <s v="2021 10 2311 213"/>
    <n v="75"/>
    <x v="27"/>
    <s v="ALQUILER Y MANTENIMIENTO DE EQUIPOS IMPRESION Y FOTOCOP.COMEDOR SOCIAL DE 8 FEB 20 A 7 FEB 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9"/>
    <s v="AD"/>
    <d v="2021-01-02T00:00:00"/>
    <n v="22021000068"/>
    <s v="2021 06 3232 213"/>
    <n v="335.8"/>
    <x v="27"/>
    <s v="NUEVO CONTRATO DE IMPRESION Y FOTOCOPIADO. DOS MAQUINAS VINCULADAS AL SERVICIO DE EDUCACION. 08/02/2020 A 07/02/2021."/>
    <s v="22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083"/>
    <s v="AD"/>
    <d v="2021-01-02T00:00:00"/>
    <n v="22021000206"/>
    <s v="2021 05 4315 203"/>
    <n v="200"/>
    <x v="27"/>
    <s v="FOTOCOPIADORAS CONSUMO DEL 8 DE FEBRERO DE 2020 A 07 FEBRERO DE 2021"/>
    <s v="220"/>
    <s v="VALLADOLID"/>
    <s v="VALLADOLID"/>
    <x v="1"/>
    <s v="PrAbier - Procedimiento Abierto"/>
    <s v="UniC - Único Criterio"/>
    <x v="1"/>
    <x v="0"/>
    <s v="2"/>
    <s v="2. Gastos corrientes en bienes y servicios"/>
    <s v="05"/>
    <x v="6"/>
    <s v="4315"/>
    <s v="4315. Actuaciones en materia de consumo"/>
    <s v="20"/>
    <s v="203"/>
  </r>
  <r>
    <n v="220209000085"/>
    <s v="AD"/>
    <d v="2021-01-02T00:00:00"/>
    <n v="22021000071"/>
    <s v="2021 11 1621 213"/>
    <n v="250"/>
    <x v="27"/>
    <s v="CONTRATO SISTEMAS IMPRESIÓN Y FOTOCOPIADO (SERVICIO DE LIMPIEZA)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3"/>
  </r>
  <r>
    <n v="220209000086"/>
    <s v="AD"/>
    <d v="2021-01-02T00:00:00"/>
    <n v="22021000072"/>
    <s v="2021 04 9341 213"/>
    <n v="500"/>
    <x v="27"/>
    <s v="ALQUILER Y COPIAS MÁQUINAS TESORERÍA Y RECAUD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09000097"/>
    <s v="AD"/>
    <d v="2021-01-02T00:00:00"/>
    <n v="22021000085"/>
    <s v="2021 05 4331 203"/>
    <n v="500"/>
    <x v="27"/>
    <s v="Contrato Centralizado de alquiler y copias de fotocopiadoras, febrero/2020  a febrero/2021. 2 máquinas Agencia de Innova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09000098"/>
    <s v="AD"/>
    <d v="2021-01-02T00:00:00"/>
    <n v="22021000086"/>
    <s v="2021 05 4331 203"/>
    <n v="500"/>
    <x v="27"/>
    <s v="Contrato contralizado de alquiler de fotocopiadoras. Previsión de nuevas necesidades por ampliacion Agencia Innov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09000099"/>
    <s v="AD"/>
    <d v="2021-01-02T00:00:00"/>
    <n v="22021000087"/>
    <s v="2021 04 9331 203"/>
    <n v="200"/>
    <x v="27"/>
    <s v="ALQUILER FOTOCOPIADORA AÑO 2021 DEPARTAMENTO PATRIMONIO (EXP. SE53/2019)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0"/>
    <s v="203"/>
  </r>
  <r>
    <n v="220209000101"/>
    <s v="AD"/>
    <d v="2021-01-02T00:00:00"/>
    <n v="22021000088"/>
    <s v="2021 11 1321 213"/>
    <n v="1500"/>
    <x v="27"/>
    <s v="NUEVO CONTRATO DE IMPRESIÓN CORPORATIVA PERIODO DEL 1-1-2021 AL 7-2-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09000103"/>
    <s v="AD"/>
    <d v="2021-01-02T00:00:00"/>
    <n v="22021000089"/>
    <s v="2021 04 9331 213"/>
    <n v="1200"/>
    <x v="27"/>
    <s v="ESTIMACIÓN COPIAS FOTOCOPIADORA  AÑO 2021 DEPARTAMENTO DE PATRIMONIO (EXP. SE 3/2019)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1"/>
    <s v="213"/>
  </r>
  <r>
    <n v="220209000121"/>
    <s v="AD"/>
    <d v="2021-01-02T00:00:00"/>
    <n v="22021000107"/>
    <s v="2021 03 9241 203"/>
    <n v="1000"/>
    <x v="27"/>
    <s v="ALQUILER Y MANTENIMIENTO FOTOCOPIADORAS PARTICIPACION CIUDADANA"/>
    <s v="22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09000123"/>
    <s v="AD"/>
    <d v="2021-01-02T00:00:00"/>
    <n v="22021000108"/>
    <s v="2021 01 9312 203"/>
    <n v="70"/>
    <x v="27"/>
    <s v="ALQUILER KYOCERA 4053 SERIE RFC9Y20464,DPTO.CONTABILIDAD,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09000124"/>
    <s v="AD"/>
    <d v="2021-01-02T00:00:00"/>
    <n v="22021000109"/>
    <s v="2021 01 9312 203"/>
    <n v="70"/>
    <x v="27"/>
    <s v="ALQUILER MAQUINA KYOCERA 4053 SERIE RFC9Y20562, INTERVENCION GENERAL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09000125"/>
    <s v="AD"/>
    <d v="2021-01-02T00:00:00"/>
    <n v="22021000110"/>
    <s v="2021 01 9312 213"/>
    <n v="70"/>
    <x v="27"/>
    <s v="ESTIMACION COPIAS KYOCERA 4053, SERIE RFC9Y20464, DPTO.CONTABILIDAD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09000126"/>
    <s v="AD"/>
    <d v="2021-01-02T00:00:00"/>
    <n v="22021000111"/>
    <s v="2021 01 9312 213"/>
    <n v="60"/>
    <x v="27"/>
    <s v="ESTIMACION COPIAS MAQUINA KYOCER 4053,SERIE RFC9Y20562 INTERVENCION GENERAL,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09000128"/>
    <s v="AD"/>
    <d v="2021-01-02T00:00:00"/>
    <n v="22021000112"/>
    <s v="2021 09 3301 213"/>
    <n v="760"/>
    <x v="27"/>
    <s v="CONTRATO MANT. Y COPIAS FOTOCOPIADORASIMPRESORAS  AREA DE CULTURA Y TURISMO.CONCEJALIA Y SECRETARÍA EJEC 2020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1"/>
    <s v="213"/>
  </r>
  <r>
    <n v="220209000129"/>
    <s v="AD"/>
    <d v="2021-01-02T00:00:00"/>
    <n v="22021000113"/>
    <s v="2021 01 9207 203"/>
    <n v="216.15"/>
    <x v="27"/>
    <s v="ADJUDICA EXPED --&gt; NUEVO CONTRATO IMPRESIÓN CORPORATIVA (fotocpiadoras) GOBIERNO Y RELACIONES 08/02/2020 a 07/02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09000130"/>
    <s v="AD"/>
    <d v="2021-01-02T00:00:00"/>
    <n v="22021000114"/>
    <s v="2021 05 4301 203"/>
    <n v="500"/>
    <x v="27"/>
    <s v="CONTRATO CENTRALIZADO ALQUILER Y COPIAS FOTOCOPIADORA FEBRERO 2020-FEBRERO 2021.  CONCEJALÍA DE INNOV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01"/>
    <s v="4301. Dirección del área de innovación"/>
    <s v="20"/>
    <s v="203"/>
  </r>
  <r>
    <n v="220209000139"/>
    <s v="AD"/>
    <d v="2021-01-02T00:00:00"/>
    <n v="22021000211"/>
    <s v="2021 04 9204 213"/>
    <n v="100"/>
    <x v="27"/>
    <s v="SUMINISTRO DE LA IMPRESIÓN CORPORATIVA, CDIT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09000140"/>
    <s v="AD"/>
    <d v="2021-01-02T00:00:00"/>
    <n v="22021000212"/>
    <s v="2021 06 2315 213"/>
    <n v="335.8"/>
    <x v="27"/>
    <s v="NUEVO CONTRATO DE IMPRESIÓN Y FOTOCOPIADO. DOS MÁQUINAS VINCULADAS AL SERVICIO DE IGUALDAD, JUVENTUD E INFANCI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09000157"/>
    <s v="AD"/>
    <d v="2021-01-02T00:00:00"/>
    <n v="22021000223"/>
    <s v="2021 01 9203 213"/>
    <n v="80"/>
    <x v="27"/>
    <s v="CONTRATO CENTRALIZADO COPIAS MAQ, FOTOCP. KYOCERA 4053, REPROGRAFIA, ENERO 2021, R.I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09000158"/>
    <s v="AD"/>
    <d v="2021-01-02T00:00:00"/>
    <n v="22021000224"/>
    <s v="2021 01 9206 203"/>
    <n v="155"/>
    <x v="27"/>
    <s v="ALQUILER DE 2 FOTOCOPIADORAS KYOCERA (TIPOS 5 Y 6) PARA EL ARCHIVO, DEL 1 ENERO AL 7 DE FEBRERO 2020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0"/>
    <s v="203"/>
  </r>
  <r>
    <n v="220209000159"/>
    <s v="AD"/>
    <d v="2021-01-02T00:00:00"/>
    <n v="22021000225"/>
    <s v="2021 01 9206 213"/>
    <n v="100"/>
    <x v="27"/>
    <s v="COPIAS DE 2 FOTOCOPIADORAS KYOCERA (B&amp;N Y  COLOR) PARA EL ARCHIVO, DEL 1 DE ENERO AL 7 DE FEBRERO 2020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09000187"/>
    <s v="AD"/>
    <d v="2021-01-02T00:00:00"/>
    <n v="22021000232"/>
    <s v="2021 04 3121 213"/>
    <n v="115"/>
    <x v="27"/>
    <s v="Mantenimiento ( 35 ) y gasto copias (115 ) Fotocopiadora Dpto Prevencion y Salud Laboral Enero a 7 Febrero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09000243"/>
    <s v="AD"/>
    <d v="2021-01-02T00:00:00"/>
    <n v="22021000250"/>
    <s v="2021 04 9311 203"/>
    <n v="82.28"/>
    <x v="27"/>
    <s v="ALQUILER FOTOCOPIADORA (TIPO 6) OFICINA PRESUPUESTARIA DEL 1 DE ENERO AL 7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09000244"/>
    <s v="AD"/>
    <d v="2021-01-02T00:00:00"/>
    <n v="22021000251"/>
    <s v="2021 04 9311 203"/>
    <n v="98.9"/>
    <x v="27"/>
    <s v="COPIAS FOTOCOPIADORA (TIPO 6) DE LA OFICINA PRESUPUESTARIA DEL 1 DE ENERO AL 7 DE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09000245"/>
    <s v="AD"/>
    <d v="2021-01-02T00:00:00"/>
    <n v="22021000252"/>
    <s v="2021 11 1361 213"/>
    <n v="348.8"/>
    <x v="27"/>
    <s v="COMPLEMENTARIO DE CONTRATO FORMALIZADO DE IMPRESIÓN CORPORATIVA DE 01/ENERO A 07/FEBRERO D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435"/>
    <s v="AD"/>
    <d v="2021-01-02T00:00:00"/>
    <n v="22021000301"/>
    <s v="2021 10 2312 213"/>
    <n v="400"/>
    <x v="27"/>
    <s v="CONSUMO Y ALQUILER DE LAS FOTOCOPIADORAS DE LOS CPM NO TRANSFERIDOS DEL 7 /02 AL  31 /12 DE2020 Y DEL 01/01 AL 8/0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09000436"/>
    <s v="AD"/>
    <d v="2021-01-02T00:00:00"/>
    <n v="22021000302"/>
    <s v="2021 10 2312 213"/>
    <n v="1030"/>
    <x v="27"/>
    <s v="CONSUMO Y ALQUILER FOTOCOPIADORAS DE LOS CPM TRANSFERIDOS DEL 07/02 AL 31/12 DE 2020 Y DEL 01/01 AL 08/02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09000437"/>
    <s v="AD"/>
    <d v="2021-01-02T00:00:00"/>
    <n v="22021000303"/>
    <s v="2021 10 2412 213"/>
    <n v="300"/>
    <x v="27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09000468"/>
    <s v="AD"/>
    <d v="2021-01-02T00:00:00"/>
    <n v="22021000319"/>
    <s v="2021 10 2316 213"/>
    <n v="75"/>
    <x v="27"/>
    <s v="ALQUILER Y MANT.EQUIP.IMPRESION Y FOTOCOP.CAI DE 1 ENE A 7 FEB 21.CAMBIO PROG. DE 231.1 A 231.6. MEDIACION COMUNITARIA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0343"/>
    <s v="ADO"/>
    <d v="2021-01-21T00:00:00"/>
    <n v="22021000674"/>
    <s v="2021 04 9321 203"/>
    <n v="84.36"/>
    <x v="27"/>
    <s v="ALQUILER EQUIPO FC011304 SECCIÓN DE TASAS De 1/10 a 31/12/2020. Documenos contables: 920200007233 (A) y 920200007484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4"/>
    <s v="ADO"/>
    <d v="2021-01-21T00:00:00"/>
    <n v="22021000675"/>
    <s v="2021 04 9321 203"/>
    <n v="84.36"/>
    <x v="27"/>
    <s v="ALQUILER EQUIPO FC011305 SECCIÓN DE ATT. De 1/10 a 31/12/2020. Documenos contables: 920200007233 (A) y 920200007484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6"/>
    <s v="ADO"/>
    <d v="2021-01-21T00:00:00"/>
    <n v="22021000979"/>
    <s v="2021 04 9321 203"/>
    <n v="161.72"/>
    <x v="27"/>
    <s v="ALQUILER EQUIPO FC011306 Secc.  Impuestos: de 1/10 a 31/12/2020. Documentos contab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7"/>
    <s v="ADO"/>
    <d v="2021-01-21T00:00:00"/>
    <n v="22021000994"/>
    <s v="2021 04 9321 203"/>
    <n v="197.84"/>
    <x v="27"/>
    <s v="ALQUILER EQUIPO 011372 Servicio GI:de 1/10 a 31/12/2020. Documentos contab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86"/>
    <s v="ADO"/>
    <d v="2021-01-21T00:00:00"/>
    <n v="22021001209"/>
    <s v="2021 01 9312 203"/>
    <n v="197.84"/>
    <x v="27"/>
    <s v="ALQUILER 01/10/2020 - 31/12/2020  N.SERIE: RFC9Y20464 - FC011383 , DPT.CONTABILIDAD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0387"/>
    <s v="ADO"/>
    <d v="2021-01-21T00:00:00"/>
    <n v="22021001210"/>
    <s v="2021 01 9312 203"/>
    <n v="197.84"/>
    <x v="27"/>
    <s v="ALQUILER 01/10/2020 - 31/12/2020  N.SERIE: RFC9Y20562 - FC011382 , INTERVENCIÓN GENERAL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0405"/>
    <s v="ADO"/>
    <d v="2021-01-21T00:00:00"/>
    <n v="22021001250"/>
    <s v="2021 04 9311 203"/>
    <n v="197.84"/>
    <x v="27"/>
    <s v="ALQUILER KYOCERA 4053 / RFC9Y20458 - FC011351 / de 01-10-20 a 31-12-20 //  OF.PRESUPUESTARIA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0409"/>
    <s v="ADO"/>
    <d v="2021-01-21T00:00:00"/>
    <n v="22021001261"/>
    <s v="2021 04 9341 213"/>
    <n v="197.84"/>
    <x v="27"/>
    <s v="ALQUILER KYOCERA 4053 / RFC9Y20443 - FC011389 /  STA ANA CONTROL INGRESOS PTA.BJA DCHA.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0"/>
    <s v="ADO"/>
    <d v="2021-01-21T00:00:00"/>
    <n v="22021001262"/>
    <s v="2021 04 9341 213"/>
    <n v="197.84"/>
    <x v="27"/>
    <s v="ALQUILER 01/10/2020 - 31/12/2020 // N.SERIE: RFC9Y20758 - FC011388 // STA ANA, SERV.GEST.RECAUDATORIA, 3ªPTA, DCH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1"/>
    <s v="ADO"/>
    <d v="2021-01-21T00:00:00"/>
    <n v="22021001263"/>
    <s v="2021 04 9341 213"/>
    <n v="197.84"/>
    <x v="27"/>
    <s v="ALQUILER KYOCERA 4053 / RFC9Y20858 - FC011387 / STA ANA SERV.PROCEDIMIENTO 2ªPTA. DCHA.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2"/>
    <s v="ADO"/>
    <d v="2021-01-21T00:00:00"/>
    <n v="22021001265"/>
    <s v="2021 04 9341 213"/>
    <n v="197.84"/>
    <x v="27"/>
    <s v="ALQUILER KYOCERA 4053 / RFC9Y20353- FC011368 / DE 01-10-20 A 31-12-20 / TESORERIA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521"/>
    <s v="AD/"/>
    <d v="2021-01-25T00:00:00"/>
    <n v="22021000303"/>
    <s v="2021 10 2412 213"/>
    <n v="-300"/>
    <x v="27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0909"/>
    <s v="ADO"/>
    <d v="2021-01-26T00:00:00"/>
    <n v="22021001908"/>
    <s v="2021 04 9321 203"/>
    <n v="114.77"/>
    <x v="27"/>
    <s v="COPIAS: de  01/10/2020 a 04/01/2021 FC011304  TASAS Documentos contables: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910"/>
    <s v="ADO"/>
    <d v="2021-01-26T00:00:00"/>
    <n v="22021001909"/>
    <s v="2021 04 9321 203"/>
    <n v="100.76"/>
    <x v="27"/>
    <s v="COPIAS: FC011305 de 01-10-20  a  04-01-21 SECC..ATT.Documentos conta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161"/>
    <s v="ADO"/>
    <d v="2021-01-29T00:00:00"/>
    <n v="22021002014"/>
    <s v="2021 04 9321 203"/>
    <n v="215.65"/>
    <x v="27"/>
    <s v="COPIAS: de  01-10 a  31-12/-2020 FC011306 (IMPUESTOS) Documentos contablres: 920200007233 (A) y 920200007484 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162"/>
    <s v="ADO"/>
    <d v="2021-01-29T00:00:00"/>
    <n v="22021002016"/>
    <s v="2021 04 9311 203"/>
    <n v="276.92"/>
    <x v="27"/>
    <s v="COPIAS 01/10/2020 - 31/12/2020 // N.SERIE: RFC9Y20458 - FC011351 // CASA CONSISTORIAL, OFICINA PRESUPUESTARIA, 1º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1164"/>
    <s v="ADO"/>
    <d v="2021-01-29T00:00:00"/>
    <n v="22021002027"/>
    <s v="2021 06 3232 213"/>
    <n v="197.84"/>
    <x v="27"/>
    <s v="ALQUILER KYOCERA 4053 / RFC9Y20865 -FC011398 / DE 01-10-20 A 31-12-20 / SAN BENITO 2ªPTA.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165"/>
    <s v="ADO"/>
    <d v="2021-01-29T00:00:00"/>
    <n v="22021002028"/>
    <s v="2021 06 3232 213"/>
    <n v="197.84"/>
    <x v="27"/>
    <s v="ALQUILER 01/10/2020 - 31/12/2020 // N.SERIE: RFC9Y20766 - FC011395 // UBICACION: SAN BENITO, 2ªPTA,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423"/>
    <s v="ADO"/>
    <d v="2021-02-02T00:00:00"/>
    <n v="22021002083"/>
    <s v="2021 01 9312 203"/>
    <n v="72.260000000000005"/>
    <x v="27"/>
    <s v="COPIAS 01/10/2020 - 31/12/2020  N.SERIE: RFC9Y20464 - FC011383 , DPTO.CONTABILIDAD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1424"/>
    <s v="ADO"/>
    <d v="2021-02-02T00:00:00"/>
    <n v="22021002085"/>
    <s v="2021 01 9312 203"/>
    <n v="39"/>
    <x v="27"/>
    <s v="COPIAS COLOR Y NEGRAS (681+373) / RFC9Y20562- FC011382 / DE 01-10-20 A 31-12-20 / INTERVENCIÓN GRAL  1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1425"/>
    <s v="ADO"/>
    <d v="2021-02-02T00:00:00"/>
    <n v="22021002098"/>
    <s v="2021 06 3232 213"/>
    <n v="107.22"/>
    <x v="27"/>
    <s v="COPIAS 01/10/2020 - 31/12/2020 // N.SERIE: FRC9Y20865 - FC011398 // UBICACION: SAN BENITO, 2ª PLTA,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426"/>
    <s v="ADO"/>
    <d v="2021-02-02T00:00:00"/>
    <n v="22021002099"/>
    <s v="2021 06 3232 213"/>
    <n v="150.32"/>
    <x v="27"/>
    <s v="COPIAS COLOR Y NEGRAS (895+13933)/ RFC9Y20766- FC011395 / DE 01-10-20 A 31-12-20 /  SAN BENITO 2ªPTA.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701"/>
    <s v="ADO"/>
    <d v="2021-02-02T00:00:00"/>
    <n v="22021002122"/>
    <s v="2021 06 2315 213"/>
    <n v="197.84"/>
    <x v="27"/>
    <s v="ALQUILER 01/10/2020 - 31/12/2020 // N.SERIE: RFC9Y20775 - FC011431 // UBICACION: CENTRO MUNICIPAL DE IGUALDAD"/>
    <s v="24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02"/>
    <s v="ADO"/>
    <d v="2021-02-02T00:00:00"/>
    <n v="22021002123"/>
    <s v="2021 06 2315 213"/>
    <n v="197.84"/>
    <x v="27"/>
    <s v="ALQUILER 01/10/2020 - 31/12/2020 // N.SERIE: RFC9Y20862 - FC011421 // SAN BENITO, 3ªPTA, SALA 50"/>
    <s v="24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06"/>
    <s v="ADO"/>
    <d v="2021-02-02T00:00:00"/>
    <n v="22021002157"/>
    <s v="2021 04 9321 203"/>
    <n v="278.31"/>
    <x v="27"/>
    <s v="COPIAS: de 1/10 a 31/12/2020 FC011372 (Servicio) Documentos contables: 920200007233 (A) y 920200007484 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707"/>
    <s v="ADO"/>
    <d v="2021-02-02T00:00:00"/>
    <n v="22021002163"/>
    <s v="2021 04 9341 213"/>
    <n v="148.51"/>
    <x v="27"/>
    <s v="COPIAS COLOR Y NEGRAS ( 1994+5746) / RFC9Y20353 -FC011368 / DE 01-10-20 A 31-12-20 / TESORERIA 1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08"/>
    <s v="ADO"/>
    <d v="2021-02-02T00:00:00"/>
    <n v="22021002164"/>
    <s v="2021 04 9341 213"/>
    <n v="6.51"/>
    <x v="27"/>
    <s v="COPIAS 01/10/2020 - 31/12/2020 // N.SERIE: RFC9Y20758 - FC011388 // SANTA ANA, SERV.GEST.RECAUDATORIA, 3º PLTA -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09"/>
    <s v="ADO"/>
    <d v="2021-02-02T00:00:00"/>
    <n v="22021002166"/>
    <s v="2021 04 9341 213"/>
    <n v="88.48"/>
    <x v="27"/>
    <s v="COPIAS 01/10/2020 - 31/12/2020 // N.SERIE: RFC9Y20858 - FC011387 // SANTA ANA, SERV.PROCEDIMIENTO, 2º PLTA -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10"/>
    <s v="ADO"/>
    <d v="2021-02-02T00:00:00"/>
    <n v="22021002167"/>
    <s v="2021 04 9341 213"/>
    <n v="36.299999999999997"/>
    <x v="27"/>
    <s v="COPIAS COLOR Y NEGRAS (551+946) / RFC9Y20443 -FC011389 / DE 01-10-20 A 31-12-20 / STA ANA CONTROL INGRESOS PTA BJA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14"/>
    <s v="ADO"/>
    <d v="2021-02-02T00:00:00"/>
    <n v="22021002172"/>
    <s v="2021 04 9231 213"/>
    <n v="239.54"/>
    <x v="27"/>
    <s v="COPIAS 01/10/2020 - 04/01/2021 // N.SERIE: R4Q9Z32277 - FC011308 // CASA CONSISTORIAL, REGISTRO CENTRAL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5"/>
    <s v="ADO"/>
    <d v="2021-02-02T00:00:00"/>
    <n v="22021002173"/>
    <s v="2021 04 9231 213"/>
    <n v="11.59"/>
    <x v="27"/>
    <s v="COPIAS 01/10/2020 - 04/01/2021 // N.SERIE: R4Q9Z32110 - FC011309 // CASA CONSISTORIAL, ATT.AL CIUDADANO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6"/>
    <s v="ADO"/>
    <d v="2021-02-02T00:00:00"/>
    <n v="22021002174"/>
    <s v="2021 04 9231 213"/>
    <n v="11.62"/>
    <x v="27"/>
    <s v="COPIAS M3655 / R4Q9Z32153 -FC011315 (1.577) / DE 01-10-20  A  04-01-21 / SAN BENITO PTA.BAJA REGISTRO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7"/>
    <s v="ADO"/>
    <d v="2021-02-02T00:00:00"/>
    <n v="22021002175"/>
    <s v="2021 04 9231 213"/>
    <n v="24.05"/>
    <x v="27"/>
    <s v="COPIAS M3655 / R4Q9Z32171 -FC011310 (3.264) / DE 01-10-20  A  04-01-21 / CASA CONSISTORIAL ATTº AL CIUDADANO PTA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8"/>
    <s v="ADO"/>
    <d v="2021-02-02T00:00:00"/>
    <n v="22021002176"/>
    <s v="2021 04 9231 213"/>
    <n v="42"/>
    <x v="27"/>
    <s v="COPIAS 01/10/2020 - 31/12/2020 // N.SERIE: R3T9Z31017 - FC011307 // CASA CONSISTORIAL, SERV.INFORMAC.Y REGISTRO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21"/>
    <s v="ADO"/>
    <d v="2021-02-02T00:00:00"/>
    <n v="22021002189"/>
    <s v="2021 06 2315 213"/>
    <n v="100.96"/>
    <x v="27"/>
    <s v="COPIAS 01/10/2020 - 31/12/2020 // N.SERIE: RFC9Y20775 - FC011431 // UBICACION: CENTRO MUNICIPAL DE IGUALDAD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22"/>
    <s v="ADO"/>
    <d v="2021-02-02T00:00:00"/>
    <n v="22021002190"/>
    <s v="2021 06 2315 213"/>
    <n v="97.45"/>
    <x v="27"/>
    <s v="COPIAS 01/10/2020 - 31/12/2020 // N.SERIE: RFC9Y20862 - FC011421 // SAN BENITO, 3ª PLTA, SALA 50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2577"/>
    <s v="AD"/>
    <d v="2021-02-09T00:00:00"/>
    <n v="22021000010"/>
    <s v="2021 11 3111 203"/>
    <n v="4125"/>
    <x v="27"/>
    <s v="PRORROGA CONTRATO IMPRESION CORPORATIVA SERVICIO SALUD DL 8 FEBRERO A 31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2578"/>
    <s v="AD"/>
    <d v="2021-02-09T00:00:00"/>
    <n v="22021000011"/>
    <s v="2021 03 9241 203"/>
    <n v="11000"/>
    <x v="27"/>
    <s v="PRÓRROGA CONTRATO IMPRESIÓN CORPORA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2579"/>
    <s v="AD"/>
    <d v="2021-02-09T00:00:00"/>
    <n v="22021000017"/>
    <s v="2021 08 1301 203"/>
    <n v="7200"/>
    <x v="27"/>
    <s v="Alquiler fotocopiadoras Área Mov. y Espacio Urbano (SEMEU-CONCEJ pta 38, LIC pta 19, SCIE pta 18 bis, INF. URB. pta 9)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0"/>
    <s v="203"/>
  </r>
  <r>
    <n v="220210002580"/>
    <s v="AD"/>
    <d v="2021-02-09T00:00:00"/>
    <n v="22021000018"/>
    <s v="2021 04 9341 213"/>
    <n v="4100"/>
    <x v="27"/>
    <s v="SISTEMAS IMPRESIÓN TESORERÍA Y RECAUD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2581"/>
    <s v="AD"/>
    <d v="2021-02-09T00:00:00"/>
    <n v="22021000019"/>
    <s v="2021 08 1301 213"/>
    <n v="10750"/>
    <x v="27"/>
    <s v="Consumos fotocopiadoras Área Mov. y Espacio Urbano (SEMEU-CONCEJ pta 38, LIC pta 19, SCIE pta 18 bis, INF. URB. pta 9)"/>
    <s v="220"/>
    <s v="VALLADOLID"/>
    <s v="VALLADOLID"/>
    <x v="1"/>
    <s v="PrAbier - Procedimiento Abierto"/>
    <s v="UniC - Único Criterio"/>
    <x v="1"/>
    <x v="0"/>
    <s v="2"/>
    <s v="2. Gastos corrientes en bienes y servicios"/>
    <s v="08"/>
    <x v="9"/>
    <s v="1301"/>
    <s v="1301. Dirección del área de seguridad"/>
    <s v="21"/>
    <s v="213"/>
  </r>
  <r>
    <n v="220210002583"/>
    <s v="AD"/>
    <d v="2021-02-09T00:00:00"/>
    <n v="22021000021"/>
    <s v="2021 04 9311 203"/>
    <n v="1000"/>
    <x v="27"/>
    <s v="ESTIMACION COPIAS FOTOCOPIADORA (TIPO 6) DE LA OFICINA PRESUPUESTARIA DEL 8 DE FEBRERO DE 2021 A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2584"/>
    <s v="AD"/>
    <d v="2021-02-09T00:00:00"/>
    <n v="22021000022"/>
    <s v="2021 04 9311 203"/>
    <n v="724.46"/>
    <x v="27"/>
    <s v="ALQUILER FOTOCOPIADORA (TIPO 6) DE LA OFICINA PRESUPUESTARIA DEL 8 DE FEBRERO DE 2021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2585"/>
    <s v="AD"/>
    <d v="2021-02-09T00:00:00"/>
    <n v="22021000023"/>
    <s v="2021 07 1721 203"/>
    <n v="10500"/>
    <x v="27"/>
    <s v="PRÓRROGA DEL CONTRATO DE IMPRESIÓN CORPORATIVA. EXPEDIENTE SE 53/2019. SERVICIO DE MEDIO AMBIENTE Y SECRETARÍA EJECU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2586"/>
    <s v="AD"/>
    <d v="2021-02-09T00:00:00"/>
    <n v="22021000029"/>
    <s v="2021 04 9204 213"/>
    <n v="800"/>
    <x v="27"/>
    <s v="PRÓRROGA DEL SUMINISTRO DE LA IMPRESIÓN CORPORATIVA , CDIT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2587"/>
    <s v="AD"/>
    <d v="2021-02-09T00:00:00"/>
    <n v="22021000071"/>
    <s v="2021 11 1621 213"/>
    <n v="1950"/>
    <x v="27"/>
    <s v="PRORROGA CONTRATO SISTEMAS DE IMPRESIÓN Y FOTOCOPIADO AÑO 2021 (SERVICIO DE lIMPIEZA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3"/>
  </r>
  <r>
    <n v="220210002588"/>
    <s v="AD"/>
    <d v="2021-02-09T00:00:00"/>
    <n v="22021000268"/>
    <s v="2021 04 9209 203"/>
    <n v="3550"/>
    <x v="27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9"/>
    <s v="9209. Dirección del area de hacienda y función pública"/>
    <s v="20"/>
    <s v="203"/>
  </r>
  <r>
    <n v="220210002589"/>
    <s v="AD"/>
    <d v="2021-02-09T00:00:00"/>
    <n v="22021000269"/>
    <s v="2021 11 1321 213"/>
    <n v="14500"/>
    <x v="27"/>
    <s v="IMPORTE DEL SERVICIO DE IMPRESIÓN CORPORATIVA DEL 8 DE FEBRERO AL 31 DE DICIEMBRE D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2590"/>
    <s v="AD"/>
    <d v="2021-02-09T00:00:00"/>
    <n v="22021000400"/>
    <s v="2021 11 1361 213"/>
    <n v="2800.9"/>
    <x v="27"/>
    <s v="Contrato Impresión Corporativa Expte.: SE 53_2019 del 8/Febrero/2021 al 31/Diciembre/2021;SEISYPC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2591"/>
    <s v="AD"/>
    <d v="2021-02-09T00:00:00"/>
    <n v="22021000535"/>
    <s v="2021 06 3232 213"/>
    <n v="2845.4"/>
    <x v="27"/>
    <s v="PRORROGA CONTRATO DE IMPRESION CORPORATIVA. SERVICIO DE EDUCACION. 2 MAQUINAS. 08/02/2021 A 31/12/2021. EXPTE SE 74/2020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2592"/>
    <s v="AD"/>
    <d v="2021-02-09T00:00:00"/>
    <n v="22021000553"/>
    <s v="2021 10 2311 213"/>
    <n v="19600"/>
    <x v="27"/>
    <s v="ALQUILER Y MANTENIMIENTOS DE EQUIPOS IMPRESION Y FOTOCOP.CEAS Y SERVICIOS CENTRALES DE 8 FEB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2593"/>
    <s v="AD"/>
    <d v="2021-02-09T00:00:00"/>
    <n v="22021000559"/>
    <s v="2021 10 2311 213"/>
    <n v="800"/>
    <x v="27"/>
    <s v="ALQUILER Y MANTENIMIENTO DE EQUIPOS IMPRESION Y FOTOCOP.COMEDOR SOCIAL DE 8 FEB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2594"/>
    <s v="AD"/>
    <d v="2021-02-09T00:00:00"/>
    <n v="22021000680"/>
    <s v="2021 08 1532 203"/>
    <n v="2700"/>
    <x v="27"/>
    <s v="PRÓRROGA Contrato ALQUILER DE FOTOCOPIADORAS DEL S.E.P.I. del 8-febrero al 31-Diciembre de 202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2595"/>
    <s v="AD"/>
    <d v="2021-02-09T00:00:00"/>
    <n v="22021000682"/>
    <s v="2021 08 1532 213"/>
    <n v="1300"/>
    <x v="27"/>
    <s v="PRÓRROGA Contrato FOTOCOPIAS PARA EL S.E.P.I. del 8-febrero al 31-diciembre de 202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2596"/>
    <s v="AD"/>
    <d v="2021-02-09T00:00:00"/>
    <n v="22021000645"/>
    <s v="2021 04 9321 203"/>
    <n v="1000"/>
    <x v="27"/>
    <s v="EQUIPOS:FC011372, FC011304, FC011305 y FC011306: GESTIÓN DE INGRESOS-INSPECCIÓN. De 1/1 a 7/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2597"/>
    <s v="AD"/>
    <d v="2021-02-09T00:00:00"/>
    <n v="22021000646"/>
    <s v="2021 04 9321 203"/>
    <n v="4500"/>
    <x v="27"/>
    <s v="EQUIPOS: FC011372, FC011304, FC011305 y FC011306. Servicios: GESTIÓN DE INGRESOS-INSPECCIÓN. De 8/2 a 31/1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2598"/>
    <s v="D"/>
    <d v="2021-02-09T00:00:00"/>
    <n v="22021002209"/>
    <s v="2021 08 1301 213"/>
    <n v="1250"/>
    <x v="27"/>
    <s v="Consumos fotocopiadoras Área Movilidad y Espacio Urbano (FC011118, FC011126, FC011044, FC011066 y FC011069)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1"/>
    <s v="213"/>
  </r>
  <r>
    <n v="220210002599"/>
    <s v="D"/>
    <d v="2021-02-09T00:00:00"/>
    <n v="22021002210"/>
    <s v="2021 08 1301 203"/>
    <n v="834"/>
    <x v="27"/>
    <s v="Alquiler fotocopiadoras Área Movilidad y Espacio Urbano (FC011118, FC011126, FC011044, FC011066 y FC011069)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0"/>
    <s v="203"/>
  </r>
  <r>
    <n v="220210002676"/>
    <s v="AD"/>
    <d v="2021-02-10T00:00:00"/>
    <n v="22021000012"/>
    <s v="2021 01 9312 213"/>
    <n v="260"/>
    <x v="27"/>
    <s v="PRORROGA CONTRATO COPIAS MAQUINA KYOCERA 4053 SERIE RFC9Y20562, INTERVENCION. FEBRERO-DC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10002677"/>
    <s v="AD"/>
    <d v="2021-02-10T00:00:00"/>
    <n v="22021000013"/>
    <s v="2021 01 9312 203"/>
    <n v="750"/>
    <x v="27"/>
    <s v="PRORROGA CONTRATO ALQUILER KYOCERA 4053 SERIE RFC9Y20464, DEPARTAMENTO DE CONTABILIDAD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2678"/>
    <s v="AD"/>
    <d v="2021-02-10T00:00:00"/>
    <n v="22021000014"/>
    <s v="2021 01 9312 203"/>
    <n v="750"/>
    <x v="27"/>
    <s v="PRORROGA CONTRATO ALQUILER KYOCERA 4053 RFC9Y20567, INTERVENCION GENERAL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2679"/>
    <s v="AD"/>
    <d v="2021-02-10T00:00:00"/>
    <n v="22021000015"/>
    <s v="2021 01 9312 213"/>
    <n v="600"/>
    <x v="27"/>
    <s v="PRORROGA CONTRATO COPIAS KYOCERA 4053 SERIE RFC9Y20464. DEPARTAMENTO DE CONTABILIDAD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10002680"/>
    <s v="AD"/>
    <d v="2021-02-10T00:00:00"/>
    <n v="22021000024"/>
    <s v="2021 01 9206 203"/>
    <n v="1375"/>
    <x v="27"/>
    <s v="ALQUILER DE DOS FOTOCOPIADORAS KYOCERA (TIPOS 5 Y 6) PARA EL ARCHIVO, DEL 8 DE FEBRERO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0"/>
    <s v="203"/>
  </r>
  <r>
    <n v="220210002681"/>
    <s v="AD"/>
    <d v="2021-02-10T00:00:00"/>
    <n v="22021000025"/>
    <s v="2021 01 9206 213"/>
    <n v="415"/>
    <x v="27"/>
    <s v="COPIAS 2 FOTOCOPIADORAS KYOCERA (B&amp;N Y COLOR) PARA EL ARCHIVO, DEL 8 DE FEBRERO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2682"/>
    <s v="AD"/>
    <d v="2021-02-10T00:00:00"/>
    <n v="22021000026"/>
    <s v="2021 05 4331 203"/>
    <n v="5500"/>
    <x v="27"/>
    <s v="PRORROGA CONTRATO CENTRALIZADO ALQUILER Y COPIAS FOTOCOPIADORAS AGENCIA INNOVACION (3 máquinas) .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10002683"/>
    <s v="AD"/>
    <d v="2021-02-10T00:00:00"/>
    <n v="22021000028"/>
    <s v="2021 04 9231 213"/>
    <n v="4000"/>
    <x v="27"/>
    <s v="PRORROGA FOTOCOPIADORAS - SERVICIO DE INFORMACION Y ADMINISTRACION ELECTRONICA -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2684"/>
    <s v="AD"/>
    <d v="2021-02-10T00:00:00"/>
    <n v="22021000031"/>
    <s v="2021 02 1501 203"/>
    <n v="9000"/>
    <x v="27"/>
    <s v="PRORROGA CONTRATO O IMPRESION CORPARATIVA (FOTOCOPIADORAS, SE 53-2019, DE 08/02/2021 A 31-12-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10"/>
    <s v="1501"/>
    <s v="1501. Dirección del área de urbanismo"/>
    <s v="20"/>
    <s v="203"/>
  </r>
  <r>
    <n v="220210002685"/>
    <s v="AD"/>
    <d v="2021-02-10T00:00:00"/>
    <n v="22021000129"/>
    <s v="2021 05 4301 203"/>
    <n v="2000"/>
    <x v="27"/>
    <s v="PRORROGA DEL CONTRATO DE IMPRESIÓN CORPORATIVA DIRECCIÓN AREA INNOVAC DE 8 DE FEBRERO DE 2021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01"/>
    <s v="4301. Dirección del área de innovación"/>
    <s v="20"/>
    <s v="203"/>
  </r>
  <r>
    <n v="220210002686"/>
    <s v="AD"/>
    <d v="2021-02-10T00:00:00"/>
    <n v="22021000138"/>
    <s v="2021 04 9331 203"/>
    <n v="1400"/>
    <x v="27"/>
    <s v="PRÓRROGA CONTRATO ALQUILER FOTOCOPIADORA DEPARTAMENTO PATRIMONIO AÑO 2021 (Febrero a Diciembre) Exp. SE 53/2019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0"/>
    <s v="203"/>
  </r>
  <r>
    <n v="220210002687"/>
    <s v="AD"/>
    <d v="2021-02-10T00:00:00"/>
    <n v="22021000140"/>
    <s v="2021 04 9331 213"/>
    <n v="6800"/>
    <x v="27"/>
    <s v="PRORROGA CONTRATO FOTOCOPIADORA DEPARTAMENTO PATRIMONIO ESTIMACIÓN COPIAS 2021 (Febrero a Diciembre) Exp. SE 53/2019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1"/>
    <s v="213"/>
  </r>
  <r>
    <n v="220210002688"/>
    <s v="AD"/>
    <d v="2021-02-10T00:00:00"/>
    <n v="22021000534"/>
    <s v="2021 06 2315 213"/>
    <n v="2845.4"/>
    <x v="27"/>
    <s v="PRORROGA CONTRATO DE IMPRESION CORPORATIVA SERVICIO DE IGUALDAD 2 MAQUINAS 8/02/2021 A 31/12/2021 SE74/2020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2693"/>
    <s v="AD"/>
    <d v="2021-02-10T00:00:00"/>
    <n v="22021001255"/>
    <s v="2021 01 9201 203"/>
    <n v="2443"/>
    <x v="27"/>
    <s v="Alquiler fotocopiadoras Secretaría General 2021 ( 9 febrero a 31 diciembre)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0"/>
    <s v="203"/>
  </r>
  <r>
    <n v="220210002694"/>
    <s v="AD"/>
    <d v="2021-02-10T00:00:00"/>
    <n v="22021001264"/>
    <s v="2021 01 9201 213"/>
    <n v="300"/>
    <x v="27"/>
    <s v="Gastos fotocopias Secretaría General, 1 enero a 8 febr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2695"/>
    <s v="AD"/>
    <d v="2021-02-10T00:00:00"/>
    <n v="22021001266"/>
    <s v="2021 01 9201 213"/>
    <n v="2400"/>
    <x v="27"/>
    <s v="Gastos fotocopias Secretaría General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2824"/>
    <s v="AD"/>
    <d v="2021-02-10T00:00:00"/>
    <n v="22021000027"/>
    <s v="2021 04 3121 213"/>
    <n v="931.6"/>
    <x v="27"/>
    <s v="PRÓRROGA CONTRATO FOTOCOPIADORA DEPARTAMENTO DE PREVENCIÓN Y SALUD LABORAL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2825"/>
    <s v="AD"/>
    <d v="2021-02-10T00:00:00"/>
    <n v="22021000136"/>
    <s v="2021 10 2312 213"/>
    <n v="7950"/>
    <x v="27"/>
    <s v="CONTRATO MANTENIMIENTO COPIADORAS E IMPRESION  CPMS TRANSFERIDOS DEL  08 FEBRERO A 31 DICIEMBRE 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2826"/>
    <s v="AD"/>
    <d v="2021-02-10T00:00:00"/>
    <n v="22021000139"/>
    <s v="2021 10 2312 213"/>
    <n v="4850"/>
    <x v="27"/>
    <s v="CONTRATO MANTEN. COPIADORAS E IMPRESION  CPMS NO  TRANSFERIDOS Y SERV CENTRALES  DEL  08 FEBRERO A 31 DICIEMBRE 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2827"/>
    <s v="AD"/>
    <d v="2021-02-10T00:00:00"/>
    <n v="22021000334"/>
    <s v="2021 09 3301 213"/>
    <n v="3989.12"/>
    <x v="27"/>
    <s v="PRÓRROGA CONTRATO IMPRESIÓN CENTRALIZADA MANTENIMIENTO Y COPIAS FOTOCOPIADORAS ÁREA DE CULTURA Y TURISMO"/>
    <s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1"/>
    <s v="213"/>
  </r>
  <r>
    <n v="220210002828"/>
    <s v="AD"/>
    <d v="2021-02-10T00:00:00"/>
    <n v="22021000539"/>
    <s v="2021 10 2313 213"/>
    <n v="2600"/>
    <x v="27"/>
    <s v="CONTRATO MANT.FOTOCOP-IMPRESION CONCEJALIA-DIREC.AREA Y SECRET.EJEC.AREA SERV.SOC.Y MEDIACION COMUN DEL 8/2 A 31/12/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2829"/>
    <s v="AD"/>
    <d v="2021-02-10T00:00:00"/>
    <n v="22021000555"/>
    <s v="2021 10 2316 213"/>
    <n v="800"/>
    <x v="27"/>
    <s v="CONTRATO MANTENIMIENTO COPIADORA E IMPRESION DEL CENTRO DE ATENCIÓN AL INMIGRANTE DESDE 8 FEB 21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2830"/>
    <s v="AD"/>
    <d v="2021-02-10T00:00:00"/>
    <n v="22021001698"/>
    <s v="2021 05 4315 203"/>
    <n v="1810"/>
    <x v="27"/>
    <s v="PRORROGA CONTRATO IMPRESION CORPORATIVA OMIC 8 FEBRERO A 31 DICIEMBR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0"/>
    <s v="203"/>
  </r>
  <r>
    <n v="220210003177"/>
    <s v="ADO"/>
    <d v="2021-02-12T00:00:00"/>
    <n v="22021002386"/>
    <s v="2021 10 2312 213"/>
    <n v="84.36"/>
    <x v="27"/>
    <s v="ALQUILER TRIMESTRAL 01/10/2020 - 31/12/2020 // N.SERIE: R4Q9Z32389 - FC011321 // UBICACION: CPM DELICIAS ARCA REA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78"/>
    <s v="ADO"/>
    <d v="2021-02-12T00:00:00"/>
    <n v="22021002387"/>
    <s v="2021 10 2312 213"/>
    <n v="84.36"/>
    <x v="27"/>
    <s v="ALQUILER KYOCERA M3655 /  R4Q9Z32187-  FC011329 /  CPM ZONA NORTE 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79"/>
    <s v="ADO"/>
    <d v="2021-02-12T00:00:00"/>
    <n v="22021002388"/>
    <s v="2021 10 2312 213"/>
    <n v="161.72"/>
    <x v="27"/>
    <s v="ALQUILER KYOCERA 4012 / R3T9Z31008 - FC011402 /  SAN BENITO PTA. BAJA PUERTA  3 /// DE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3"/>
    <s v="ADO"/>
    <d v="2021-02-12T00:00:00"/>
    <n v="22021002398"/>
    <s v="2021 10 2312 213"/>
    <n v="197.84"/>
    <x v="27"/>
    <s v="ALQUILER KYOCERA 4053/ RFC9712612 - FC011439 / DE 01-10-20 A 31-12-20 / SAN BENITO 1ªPTA. PUERTA 29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4"/>
    <s v="ADO"/>
    <d v="2021-02-12T00:00:00"/>
    <n v="22021002399"/>
    <s v="2021 10 2312 213"/>
    <n v="161.72"/>
    <x v="27"/>
    <s v="ALQUILER 01/10/2020 - 31/12/2020 // N.SERIE: R3T9Z31139 - FC011322 // UBICACION: CPM HUERTA DEL REY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5"/>
    <s v="ADO"/>
    <d v="2021-02-12T00:00:00"/>
    <n v="22021002400"/>
    <s v="2021 10 2312 213"/>
    <n v="47.88"/>
    <x v="27"/>
    <s v="COPIAS KYOCERA 401 (6.497) / R3T9Z31008-FC011402 / DE 01-10-20 A 31-12-20 / SAN BENITO PTA.BAJA -PUERTA 3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6"/>
    <s v="ADO"/>
    <d v="2021-02-12T00:00:00"/>
    <n v="22021002401"/>
    <s v="2021 10 2312 213"/>
    <n v="22.76"/>
    <x v="27"/>
    <s v="COPIAS 01/10/2020 - 31/12/2020 // N.SERIE: R3T9Z31139 - FC011322 // UBICACION: CPM HUERTA DEL REY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7"/>
    <s v="ADO"/>
    <d v="2021-02-12T00:00:00"/>
    <n v="22021002402"/>
    <s v="2021 10 2312 213"/>
    <n v="326.5"/>
    <x v="27"/>
    <s v="COPIAS COLOR+NEGRAS (5465+4823) / RFC9712612 -FC011439 / DE 01-10-20 A 31-12-20 /SAN BENITO 1ªPTA.- PTA 29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8"/>
    <s v="ADO"/>
    <d v="2021-02-12T00:00:00"/>
    <n v="22021002403"/>
    <s v="2021 10 2312 213"/>
    <n v="161.72"/>
    <x v="27"/>
    <s v="ALQUILER KYOCERA 4012 /  R3T9Z31139 -FC011322 / 01-07-20 A 30-09-20 /  CPM HUERTA DEL REY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94"/>
    <s v="ADO"/>
    <d v="2021-02-12T00:00:00"/>
    <n v="22021002509"/>
    <s v="2021 10 2313 213"/>
    <n v="84.36"/>
    <x v="27"/>
    <s v="ALQUILER KYOCERA 358 /  R319Z01027 - FC011349 / SAN BENITO 2ªPTA. PUERTA 41 SECRET.EJECU/ DEL 01-10-2020  AL  31-12-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5"/>
    <s v="ADO"/>
    <d v="2021-02-12T00:00:00"/>
    <n v="22021002511"/>
    <s v="2021 10 2313 213"/>
    <n v="197.84"/>
    <x v="27"/>
    <s v="ALQUILER KYOCERA 4053 /  RFC9Y20754 -FC011400 / DE 01-10-20 A 31-12-20 / SAN BENITO 2ªPTA. PUERTA 44 CONCEJALIA Y DIREC.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6"/>
    <s v="ADO"/>
    <d v="2021-02-12T00:00:00"/>
    <n v="22021002512"/>
    <s v="2021 10 2313 213"/>
    <n v="40.909999999999997"/>
    <x v="27"/>
    <s v="COPIAS COLOR Y NEGRO (499+1.945)/ R319Z01027 -FC011349 / DE 01-10-20 A 31-12-20 /SAN BENITO 2ªPTA.- PTA 41-SECRET.EJEC.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7"/>
    <s v="ADO"/>
    <d v="2021-02-12T00:00:00"/>
    <n v="22021002513"/>
    <s v="2021 10 2313 213"/>
    <n v="132.13"/>
    <x v="27"/>
    <s v="COPIAS B/N Y COLOR(462-2418) 01/10/2020 - 31/12/2020/ N.SERIE: RFC9Y20754-FC011400/SAN BENITO, PUERTA 44-CONCEJ-DIREC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214"/>
    <s v="ADO"/>
    <d v="2021-02-12T00:00:00"/>
    <n v="22021002541"/>
    <s v="2021 10 2311 213"/>
    <n v="84.36"/>
    <x v="27"/>
    <s v="F-404. ALPA. ALQUILER KYOCERA 358 / R319Z00960-  FC011346. COMEDOR SOCIAL. 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18"/>
    <s v="ADO"/>
    <d v="2021-02-12T00:00:00"/>
    <n v="22021002542"/>
    <s v="2021 10 2311 213"/>
    <n v="197.84"/>
    <x v="27"/>
    <s v="F-504. ALPA. ALQUILER KYOCERA 4053 / RFC9Y20767 - FC011426 / CEAS CENTRO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7"/>
    <s v="ADO"/>
    <d v="2021-02-12T00:00:00"/>
    <n v="22021002545"/>
    <s v="2021 10 2311 213"/>
    <n v="49.28"/>
    <x v="27"/>
    <s v="F-682. ALPA. COPIAS M3655 / R4Q9Z31989 -FC011332. de 01-10-20 a 04-01-21 /CEAS DELICIAS ARGALES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8"/>
    <s v="ADO"/>
    <d v="2021-02-12T00:00:00"/>
    <n v="22021002546"/>
    <s v="2021 10 2311 213"/>
    <n v="44.71"/>
    <x v="27"/>
    <s v="F-687. ALPA. COPIAS 01/10/2020 - 04/01/2021. N.SERIE: R4Q9Z32148 - FC011319. UBICACION: CEAS DELICIAS CANTERAC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9"/>
    <s v="ADO"/>
    <d v="2021-02-12T00:00:00"/>
    <n v="22021002551"/>
    <s v="2021 10 2311 213"/>
    <n v="51.92"/>
    <x v="27"/>
    <s v="F-693. ALPA. COPIAS 01/10/2020 - 04/01/2021. N.SERIE: R4Q9Z32173 - FC011316. UBICACION: CEAS PAJARILLOS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909"/>
    <s v="ADO"/>
    <d v="2021-02-16T00:00:00"/>
    <n v="22021002659"/>
    <s v="2021 11 1321 213"/>
    <n v="161.72"/>
    <x v="27"/>
    <s v="ALQUILER 01/10/2020 - 31/12/2020 // N.SERIE: R3T9Y27689 - FC011414 // POLICIA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0"/>
    <s v="ADO"/>
    <d v="2021-02-16T00:00:00"/>
    <n v="22021002660"/>
    <s v="2021 11 1321 213"/>
    <n v="197.84"/>
    <x v="27"/>
    <s v="ALQUILER KYOCERA 4053 /  RFC9Y20852 - FC011419 /  POLICIA MPAL EDIF. B MULTAS 1ª PTA // DE 01-10-20 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1"/>
    <s v="ADO"/>
    <d v="2021-02-16T00:00:00"/>
    <n v="22021002664"/>
    <s v="2021 11 1321 213"/>
    <n v="197.84"/>
    <x v="27"/>
    <s v="ALQUILER KYOCERA 4053 / RFC9Y20760-  FC011418 / POLICIA MPAL EDF.A JEFE SERVICIO 1ªPTA.//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2"/>
    <s v="ADO"/>
    <d v="2021-02-16T00:00:00"/>
    <n v="22021002665"/>
    <s v="2021 11 1321 213"/>
    <n v="197.84"/>
    <x v="27"/>
    <s v="ALQUILER 01/10/2020 - 31/12/2020 // N.SERIE: RFC9813870 - FC011409 // UBICACION: POLICIA MPAL, EDF.A, ACADEMIA,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3"/>
    <s v="ADO"/>
    <d v="2021-02-16T00:00:00"/>
    <n v="22021002666"/>
    <s v="2021 11 1321 213"/>
    <n v="197.84"/>
    <x v="27"/>
    <s v="ALQUILER KYOCERA 4053 / RFC9Y20846 - FC011405 / POLICIA MPAL EDF.A SERV.GRALES PTA. BAJA /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5"/>
    <s v="ADO"/>
    <d v="2021-02-16T00:00:00"/>
    <n v="22021002667"/>
    <s v="2021 11 1321 213"/>
    <n v="197.84"/>
    <x v="27"/>
    <s v="ALQUILER 01/10/2020 - 31/12/2020 // N.SERIE: RFC9Y20861 - FC011417 // POLICIA MPAL, EDF.A, PLT BJ, INSP.CENTRAL GUARDI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6"/>
    <s v="ADO"/>
    <d v="2021-02-16T00:00:00"/>
    <n v="22021002668"/>
    <s v="2021 11 1321 213"/>
    <n v="11.63"/>
    <x v="27"/>
    <s v="COPIAS 01/10/2020 - 04/01/2021 // N.SERIE: R4Q9Z32387 - FC011397 // POLICIA MPAL, EDIFICIO A, REGISTRO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9"/>
    <s v="ADO"/>
    <d v="2021-02-16T00:00:00"/>
    <n v="22021002669"/>
    <s v="2021 11 1321 213"/>
    <n v="16.02"/>
    <x v="27"/>
    <s v="COPIAS 01/10/2020 - 31/12/2020 // N.SERIE: R319Y00565 - FC011437 // UBICACION: POLICIA MUNICIPAL, DEPÓSITO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1"/>
    <s v="ADO"/>
    <d v="2021-02-16T00:00:00"/>
    <n v="22021002670"/>
    <s v="2021 11 1321 213"/>
    <n v="100.97"/>
    <x v="27"/>
    <s v="COPIAS 01/10/2020 - 31/12/2020 // N.SERIE: R3T9Y27689 - FC011414 // UBICACION: POLICIA MPAL -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3"/>
    <s v="ADO"/>
    <d v="2021-02-16T00:00:00"/>
    <n v="22021002671"/>
    <s v="2021 11 1321 213"/>
    <n v="105.19"/>
    <x v="27"/>
    <s v="COPIAS KYOCERA 4012 (14.274) / R3T9Z31018 -FC011413/ DE 01-10-20 A 31-12-20 / POLICIA ZONA SUR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5"/>
    <s v="ADO"/>
    <d v="2021-02-16T00:00:00"/>
    <n v="22021002672"/>
    <s v="2021 11 1321 213"/>
    <n v="54.38"/>
    <x v="27"/>
    <s v="COPIAS KYOCERA 4012 (7.380) / R3T9Z31097- FC01141/ DE 01-10-20 A 31-12-20 / POLICIA MPAL EDF.A DIV. TERRITORIAL 2º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7"/>
    <s v="ADO"/>
    <d v="2021-02-16T00:00:00"/>
    <n v="22021002673"/>
    <s v="2021 11 1321 213"/>
    <n v="37.76"/>
    <x v="27"/>
    <s v="COPIAS 01/10/2020 - 31/12/2020 // N.SERIE: R3T9Z31111 - FC011415 // UBICACION: POLICIA MUNICIPAL, RONDILL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8"/>
    <s v="ADO"/>
    <d v="2021-02-16T00:00:00"/>
    <n v="22021002674"/>
    <s v="2021 11 1321 213"/>
    <n v="120.7"/>
    <x v="27"/>
    <s v="COPIAS KYOCERA 4012 (16.380) / R3T9Z31117- FC011411 / DE 01-10-20 A 31-12-20 / POLICIA MPAL EDF.A DISTRITO V- 2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9"/>
    <s v="ADO"/>
    <d v="2021-02-16T00:00:00"/>
    <n v="22021002675"/>
    <s v="2021 11 1321 213"/>
    <n v="6.92"/>
    <x v="27"/>
    <s v="COPIAS 01/10/2020 - 31/12/2020 // N.SERIE: R3T9Z31131 - FC011407 // UBICACION: POLICIA MUNICIPAL, EDF.A SAVV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0"/>
    <s v="ADO"/>
    <d v="2021-02-16T00:00:00"/>
    <n v="22021002676"/>
    <s v="2021 11 1321 213"/>
    <n v="15.52"/>
    <x v="27"/>
    <s v="COPIAS KYOCERA 4012 (2.107)/  R3T9Z31138- FC011401 / DE 01-10-20 A 31-12-20 / POLICIA MPAL EDF.B VIAL 2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1"/>
    <s v="ADO"/>
    <d v="2021-02-16T00:00:00"/>
    <n v="22021002677"/>
    <s v="2021 11 1321 213"/>
    <n v="31.82"/>
    <x v="27"/>
    <s v="COPIAS COLOR Y NEGRAS (317+2028) /RFC9813870 -FC011409/ DE 01-10-20 A 31-12-20 / POLICIA MPAL EDF.A ,ACADEMIA 1ª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2"/>
    <s v="ADO"/>
    <d v="2021-02-16T00:00:00"/>
    <n v="22021002678"/>
    <s v="2021 11 1321 213"/>
    <n v="300.82"/>
    <x v="27"/>
    <s v="COPIAS COLOR Y NEGRAS (3644+14494) / RFC9Y20760 -FC011418 / DE 01-10-20 A 31-12-20 / POLICIA MPAL EDIF.A.JEFE SERV.1ªPLT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3"/>
    <s v="ADO"/>
    <d v="2021-02-16T00:00:00"/>
    <n v="22021002679"/>
    <s v="2021 11 1321 213"/>
    <n v="186.8"/>
    <x v="27"/>
    <s v="COPIAS 01/10/2020 - 31/12/2020 // N.SERIE: RFC9Y20846 - FC011405 // POLIC.MUNICIPAL, EDIF.A, SERV.GENERALES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4"/>
    <s v="ADO"/>
    <d v="2021-02-16T00:00:00"/>
    <n v="22021002680"/>
    <s v="2021 11 1321 213"/>
    <n v="59.94"/>
    <x v="27"/>
    <s v="COPIAS 01/10/2020 - 31/12/2020 // N.SERIE: RFC9Y20852 - FC011419 // POLIC. MUNICIPAL, EDF.B, MULTAS, 1º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5"/>
    <s v="ADO"/>
    <d v="2021-02-16T00:00:00"/>
    <n v="22021002681"/>
    <s v="2021 11 1321 213"/>
    <n v="240.95"/>
    <x v="27"/>
    <s v="COPIAS COLOR+NEGRAS (3918+4390) / RFC9Y20861 -FC011417 / DE 01-10-20 A 31-12-20 /POL.MPAL EDF.A INSP.CENT. GUARD.PTA B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6"/>
    <s v="ADO"/>
    <d v="2021-02-16T00:00:00"/>
    <n v="22021002682"/>
    <s v="2021 11 1321 213"/>
    <n v="197.84"/>
    <x v="27"/>
    <s v="ALQUILER 01/07/2020 - 30/09/2020 // N.SERIE: RFC9813870 - FC011409 // POLICIA MUNICIPAL, EDIFICIO A, ACADEMIA, 1ªP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4104"/>
    <s v="ADO"/>
    <d v="2021-02-17T00:00:00"/>
    <n v="22021002686"/>
    <s v="2021 01 9201 203"/>
    <n v="84.36"/>
    <x v="27"/>
    <s v="ALQUILER  Fotocopiadora KYOCERA M3655, FC011303, Gob y Actas, del 01-10-20 al 31-12-20. Corresponden al saldo de 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0"/>
    <s v="203"/>
  </r>
  <r>
    <n v="220210004112"/>
    <s v="ADO"/>
    <d v="2021-02-17T00:00:00"/>
    <n v="22021002691"/>
    <s v="2021 01 9201 213"/>
    <n v="31.84"/>
    <x v="27"/>
    <s v="COPIAS Fotocopiadora M3655, FC011303, de 01-10-20 a 04-01-21, Gob y Actas, corresponden al saldo 2020 AD920200017678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4130"/>
    <s v="ADO"/>
    <d v="2021-02-17T00:00:00"/>
    <n v="22021002706"/>
    <s v="2021 03 9241 203"/>
    <n v="84.36"/>
    <x v="27"/>
    <s v="ALQUILER KYOCERA M3655 /  R4Q9Z32154 / FC011314 / CM PUENTE DUERO  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1"/>
    <s v="ADO"/>
    <d v="2021-02-17T00:00:00"/>
    <n v="22021002707"/>
    <s v="2021 03 9241 203"/>
    <n v="84.36"/>
    <x v="27"/>
    <s v="ALQUILER 01/10/2020 - 31/12/2020 // N.SERIE: R319Z00937 - FC011312 // UBICACION: CC PILARICA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2"/>
    <s v="ADO"/>
    <d v="2021-02-17T00:00:00"/>
    <n v="22021002709"/>
    <s v="2021 03 9241 203"/>
    <n v="84.36"/>
    <x v="27"/>
    <s v="ALQUILER KYOCERA 358 /  R319Z00986 - FC011313 /  CC RONDILLA /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3"/>
    <s v="ADO"/>
    <d v="2021-02-17T00:00:00"/>
    <n v="22021002710"/>
    <s v="2021 03 9241 203"/>
    <n v="84.36"/>
    <x v="27"/>
    <s v="ALQUILER KYOCERA 358 /  R319Y00567 - FC011311 /  CC VICENTE ESCUDERO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4"/>
    <s v="ADO"/>
    <d v="2021-02-17T00:00:00"/>
    <n v="22021002711"/>
    <s v="2021 03 9241 203"/>
    <n v="197.84"/>
    <x v="27"/>
    <s v="ALQUILER KYOCERA 4053 /  RFC9X19376 -FC011300 /DE 01-10-20 A 31-12-20/  SAN BENITO 2ªPTA. PUERTA 39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5"/>
    <s v="ADO"/>
    <d v="2021-02-17T00:00:00"/>
    <n v="22021002712"/>
    <s v="2021 03 9241 203"/>
    <n v="23.44"/>
    <x v="27"/>
    <s v="COPIAS COLOR Y NEGRO (54+2.789) / R319Y00567 -FC011311/ DE 01-10-20 A 31-12-20 / CC VICENTE ESCUDERO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6"/>
    <s v="ADO"/>
    <d v="2021-02-17T00:00:00"/>
    <n v="22021002713"/>
    <s v="2021 03 9241 203"/>
    <n v="58.62"/>
    <x v="27"/>
    <s v="COPIAS COLOR Y NEGRO (487+4.436)/ R319Z00937 -FC011312/ DE 01-10-20 A 31-12-20/  CC PILARICA ALMACEN HALL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7"/>
    <s v="ADO"/>
    <d v="2021-02-17T00:00:00"/>
    <n v="22021002714"/>
    <s v="2021 03 9241 203"/>
    <n v="14.33"/>
    <x v="27"/>
    <s v="COPIAS 01/10/2020 - 31/12/2020  N.SERIE: R319Z00986 - FC011313 // CC RONDILLA, ALMACEN A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8"/>
    <s v="ADO"/>
    <d v="2021-02-17T00:00:00"/>
    <n v="22021002715"/>
    <s v="2021 03 9241 203"/>
    <n v="193.38"/>
    <x v="27"/>
    <s v="COPIAS 01/10/2021 - 31/12/2021 // N.SERIE: RFC9X19376 - FC011300 // UBICACION: SAN BENITO, 2ª PLTA. PUERTA 39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39"/>
    <s v="ADO"/>
    <d v="2021-02-17T00:00:00"/>
    <n v="22021002716"/>
    <s v="2021 03 9241 203"/>
    <n v="332.7"/>
    <x v="27"/>
    <s v="COPIAS 01/10/2020 - 31/12/2020 // N.SERIE: RFC9Y20474 - FC011416 // SAN BENITO, 2ª PLANTA, PUERTA 46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0"/>
    <s v="ADO"/>
    <d v="2021-02-17T00:00:00"/>
    <n v="22021002718"/>
    <s v="2021 03 9241 203"/>
    <n v="40.96"/>
    <x v="27"/>
    <s v="COPIAS 01/10/2020 - 31/12/2020 // N.SERIE: RFC9Y20741 - FC011343 // CC DELICIAS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1"/>
    <s v="ADO"/>
    <d v="2021-02-17T00:00:00"/>
    <n v="22021002719"/>
    <s v="2021 03 9241 203"/>
    <n v="88"/>
    <x v="27"/>
    <s v="COPIAS COLOR Y NEGRAS (1114+3893) / RFC9Y20752 -FC011376 / DE 01-10-20 A 31-12-20 / CC CASA CUNA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2"/>
    <s v="ADO"/>
    <d v="2021-02-17T00:00:00"/>
    <n v="22021002720"/>
    <s v="2021 03 9241 203"/>
    <n v="104.01"/>
    <x v="27"/>
    <s v="COPIAS 01/10/2020 - 31/12/2020 // N.SERIE: RFC9Y20761 - FC011377 // CC JOSE LUIS MOSQUERA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3"/>
    <s v="ADO"/>
    <d v="2021-02-17T00:00:00"/>
    <n v="22021002721"/>
    <s v="2021 03 9241 203"/>
    <n v="282.7"/>
    <x v="27"/>
    <s v="COPIAS 01/10/2020 - 31/12/2020 // N.SERIE: RFC9Y20983 - FC011378 // UBICACION: SAN BENITO, 2ªPTA, PUERTA 40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86"/>
    <s v="ADO"/>
    <d v="2021-02-17T00:00:00"/>
    <n v="22021002829"/>
    <s v="2021 11 1361 213"/>
    <n v="197.84"/>
    <x v="27"/>
    <s v="ALQUILER KYOCERA 4053 /  RFC9Y20744 - FC011404 /  PARQUE LAS ERAS BOMBEROS / DE 01-10-20  AL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187"/>
    <s v="ADO"/>
    <d v="2021-02-17T00:00:00"/>
    <n v="22021002830"/>
    <s v="2021 11 1361 213"/>
    <n v="123.16"/>
    <x v="27"/>
    <s v="COPIAS 01/10/2020 - 31/12/2020 // N.SERIE: RFC9Y20744 - FC011404 // PARQUE LAS ERAS - BOMBEROS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188"/>
    <s v="ADO"/>
    <d v="2021-02-17T00:00:00"/>
    <n v="22021002831"/>
    <s v="2021 11 1361 213"/>
    <n v="197.84"/>
    <x v="27"/>
    <s v="ALQUILER 01/10/2020 - 31/12/2020 // N.SERIE: RFCY20857 - FC011396 // UBICACION: PARQUE LAS ERAS BOMBEROS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491"/>
    <s v="ADO"/>
    <d v="2021-02-19T00:00:00"/>
    <n v="22021002696"/>
    <s v="2021 10 2311 213"/>
    <n v="41.12"/>
    <x v="27"/>
    <s v="F-763. ALPA. COPIAS 01/10/2020 - 31/12/2020. N.SERIE: R319Z00960 - FC011346. COMEDOR SOCIAL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2"/>
    <s v="ADO"/>
    <d v="2021-02-19T00:00:00"/>
    <n v="22021002697"/>
    <s v="2021 10 2311 213"/>
    <n v="29.86"/>
    <x v="27"/>
    <s v="F-780. ALPA. COPIAS KYOCERA 4012 (4.052) / R3T9Z31014 -FC011428 / DE 01-10-20 A 31-12-20. CEAS CAMPO GRANDE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3"/>
    <s v="ADO"/>
    <d v="2021-02-19T00:00:00"/>
    <n v="22021002698"/>
    <s v="2021 10 2311 213"/>
    <n v="70.52"/>
    <x v="27"/>
    <s v="F-784. ALPA. COPIAS KYOCERA 4012 (9.569) / R3T9Z31056- FC011390 / DE 01-10-20 A 31-12-20. CEAS JUAN DE AUST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4"/>
    <s v="ADO"/>
    <d v="2021-02-19T00:00:00"/>
    <n v="22021002699"/>
    <s v="2021 10 2311 213"/>
    <n v="43.1"/>
    <x v="27"/>
    <s v="F-794. ALPA. COPIAS KYOCERA 4012 (5.849) / R3T9Z31146 -FC011391 / DE 01-10-20 A 31-12-20. CEAS CENTRO PT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5"/>
    <s v="ADO"/>
    <d v="2021-02-19T00:00:00"/>
    <n v="22021002700"/>
    <s v="2021 10 2311 213"/>
    <n v="96.97"/>
    <x v="27"/>
    <s v="F-827. ALPA. COPIAS 01/10/2020 - 31/12/2020 // N.SERIE: RFC9Y20345 - FC011429. CEAS LA VICTO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6"/>
    <s v="ADO"/>
    <d v="2021-02-19T00:00:00"/>
    <n v="22021002701"/>
    <s v="2021 10 2311 213"/>
    <n v="109.95"/>
    <x v="27"/>
    <s v="F-829. ALPA. COPIAS 01/10/2020 - 31/12/2020 // N.SERIE: RFC9Y20354 - FC011430. CEAS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7"/>
    <s v="ADO"/>
    <d v="2021-02-19T00:00:00"/>
    <n v="22021002702"/>
    <s v="2021 10 2311 213"/>
    <n v="46.91"/>
    <x v="27"/>
    <s v="F-892. ALPA. COPIAS COLOR Y NEGRAS (233+4683) / RFC9Y20767 -FC011426 / DE 01-10-20 A 31-12-20. CEAS CENTRO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1"/>
    <s v="ADO"/>
    <d v="2021-02-19T00:00:00"/>
    <n v="22021002724"/>
    <s v="2021 10 2311 213"/>
    <n v="84.36"/>
    <x v="27"/>
    <s v="F-407. ALPA. ALQUILER 01/10/2020 - 31/12/2020  N.SERIE: R319Z00680 - FC011345. CC JOSE LUIS MOSQUERA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2"/>
    <s v="ADO"/>
    <d v="2021-02-19T00:00:00"/>
    <n v="22021002725"/>
    <s v="2021 10 2311 213"/>
    <n v="161.72"/>
    <x v="27"/>
    <s v="F-445. ALPA. ALQUILER 01/10/2020 - 31/12/2020 N.SERIE: R3T9Z31147 - FC011394  CC CAMPILL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3"/>
    <s v="ADO"/>
    <d v="2021-02-19T00:00:00"/>
    <n v="22021002726"/>
    <s v="2021 10 2311 213"/>
    <n v="197.84"/>
    <x v="27"/>
    <s v="F-495. ALPA. ALQUILER 01/10/2020 - 31/12/2020 N.SERIE RFC9X19374 - FC011392 CC JOSE MARIA LUELM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4"/>
    <s v="ADO"/>
    <d v="2021-02-19T00:00:00"/>
    <n v="22021002732"/>
    <s v="2021 10 2311 213"/>
    <n v="34.21"/>
    <x v="27"/>
    <s v="F-785. ALPA. COPIAS 01/10/2020 - 31/12/2020 // N.SERIE: R3T9Z31057 - FC011427. CEAS: JUAN DE AUST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5"/>
    <s v="ADO"/>
    <d v="2021-02-19T00:00:00"/>
    <n v="22021002733"/>
    <s v="2021 10 2311 213"/>
    <n v="66.97"/>
    <x v="27"/>
    <s v="F-795. ALPA. COPIAS 01/10/2020 - 31/12/2020 // N.SERIE: R3T9Z31147 - FC011394 CC CAMPILLO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6"/>
    <s v="ADO"/>
    <d v="2021-02-19T00:00:00"/>
    <n v="22021002734"/>
    <s v="2021 10 2311 213"/>
    <n v="98.14"/>
    <x v="27"/>
    <s v="F-820. ALPA.COPIAS COLOR Y NEGRAS (594+9027)/ RFC9X19374 - FC011392 / DE 01-10-20 A 31-12-20 CC JOSE MARIA LUELM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5228"/>
    <s v="ADO"/>
    <d v="2021-02-22T00:00:00"/>
    <n v="22021002885"/>
    <s v="2021 04 3121 213"/>
    <n v="84.36"/>
    <x v="27"/>
    <s v="CORRECTA APLICACION PAGO FRA.2021/422, MAQUINA R319Z00938, PREV.SALUD, 01-10/31-12-2020, CON CARGO A SALDO AD 2020.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5233"/>
    <s v="ADO"/>
    <d v="2021-02-22T00:00:00"/>
    <n v="22021002909"/>
    <s v="2021 07 1721 203"/>
    <n v="85.62"/>
    <x v="27"/>
    <s v="COPIAS 01/10/2020 - 31/12/2020 // N.SERIE: RFC9Y20880 - FC011373 // CASA DEL BARCO, EDIF.NUEVO, 1º PLANTA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37"/>
    <s v="ADO"/>
    <d v="2021-02-22T00:00:00"/>
    <n v="22021002915"/>
    <s v="2021 07 1721 203"/>
    <n v="197.84"/>
    <x v="27"/>
    <s v="ALQUILER 01/10/2020 - 31/12/2020 // N.SERIE: RFC9Y20880 - FC011373 // CASA DEL BARCO, ED.NUEVO,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38"/>
    <s v="ADO"/>
    <d v="2021-02-22T00:00:00"/>
    <n v="22021002917"/>
    <s v="2021 07 1721 203"/>
    <n v="197.84"/>
    <x v="27"/>
    <s v="ALQUILER 01/10/2020 - 31/12/2020 // N.SERIE: RFC9Y20870 - FC011374 // CASA DEL BARCO, ED.ANTIGUO, PTA.BAJA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42"/>
    <s v="ADO"/>
    <d v="2021-02-22T00:00:00"/>
    <n v="22021002921"/>
    <s v="2021 07 1721 203"/>
    <n v="551.49"/>
    <x v="27"/>
    <s v="COPIAS 01/10/2020 - 31/12/2020 // N.SERIE: RFC9Y20870 - FC011374 // UBICACION: CASA DEL BARCO, ED.ANTIGUO, PLTA BJ - DCH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463"/>
    <s v="ADO"/>
    <d v="2021-02-23T00:00:00"/>
    <n v="22021002859"/>
    <s v="2021 11 3111 203"/>
    <n v="84.36"/>
    <x v="27"/>
    <s v="ALQUILER KYOCERA 358 / R319Z00984 - FC011336 / CENTRO PROTECCION ANIMAL PTA. BAJA/ DEL 01-10-20  AL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5464"/>
    <s v="ADO"/>
    <d v="2021-02-23T00:00:00"/>
    <n v="22021002860"/>
    <s v="2021 11 3111 203"/>
    <n v="84.36"/>
    <x v="27"/>
    <s v="ALQUILER 01/10/2020 - 31/12/2020 // N.SERIE: R319Z00678 - FC011339 // UBICACION: CASA DEL BARCO, EDF.NUEVO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5465"/>
    <s v="ADO"/>
    <d v="2021-02-23T00:00:00"/>
    <n v="22021002862"/>
    <s v="2021 11 3111 203"/>
    <n v="161.72"/>
    <x v="27"/>
    <s v="ALQUILER KYOCERA 4012 /  R3T9Z30903 - FC011352  / CASA DEL BARCO  // DE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6447"/>
    <s v="AD"/>
    <d v="2021-02-25T00:00:00"/>
    <n v="22021000640"/>
    <s v="2021 10 2412 213"/>
    <n v="542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41"/>
    <s v="2021 10 2412 213"/>
    <n v="1273.5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42"/>
    <s v="2021 10 2412 213"/>
    <n v="485.01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39"/>
    <s v="2021 10 2412 213"/>
    <n v="299.49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3"/>
    <s v="2021 10 2412 213"/>
    <n v="258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4"/>
    <s v="2021 10 2412 213"/>
    <n v="21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5"/>
    <s v="2021 10 2412 213"/>
    <n v="21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534"/>
    <s v="ADO"/>
    <d v="2021-02-26T00:00:00"/>
    <n v="22021003115"/>
    <s v="2021 08 1301 213"/>
    <n v="57.68"/>
    <x v="27"/>
    <s v="COPIAS KYOCERA 4012 (7.827) / R3T9Y27722 -FC011334 / DE 01-10-20 A 31-12-20 / S.BENITO 1ªPLTA.- PTA 18 BI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1"/>
    <s v="213"/>
  </r>
  <r>
    <n v="220210001401"/>
    <s v="ADO"/>
    <d v="2021-02-02T00:00:00"/>
    <n v="22021001973"/>
    <s v="2021 01 9207 203"/>
    <n v="84.36"/>
    <x v="27"/>
    <s v="ALQUILER 01/10/2020 - 31/12/2020 // N.SERIE: R4Q9Z31991 -FC011302 // CASA CONSISTORIAL  2ªPLANTA, PASILLO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2"/>
    <s v="ADO"/>
    <d v="2021-02-02T00:00:00"/>
    <n v="22021001974"/>
    <s v="2021 01 9207 203"/>
    <n v="84.36"/>
    <x v="27"/>
    <s v="ALQUILER KYOCERA M3655 / R4Q9Z32169 - FC011301 / GABINETE DE GOBIERNO Y RELACIONES 2ª PLTA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3"/>
    <s v="ADO"/>
    <d v="2021-02-02T00:00:00"/>
    <n v="22021001975"/>
    <s v="2021 01 9207 203"/>
    <n v="84.36"/>
    <x v="27"/>
    <s v="ALQUILER KYOCERA 358 /  R319Z00958 - FC011423 /  SECRETARIA PARTICULAR ALCALDÍA 2ª PTA.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4"/>
    <s v="ADO"/>
    <d v="2021-02-02T00:00:00"/>
    <n v="22021001976"/>
    <s v="2021 01 9207 203"/>
    <n v="197.84"/>
    <x v="27"/>
    <s v="ALQUILER 01/10/2020 - 31/12/2020 // N.SERIE: RFC9Y20936 - FC011432 // CONSEJO ECONOMICO ADMINISTRATIVO, Santa Ana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5"/>
    <s v="ADO"/>
    <d v="2021-02-02T00:00:00"/>
    <n v="22021001977"/>
    <s v="2021 01 9207 203"/>
    <n v="196.78"/>
    <x v="27"/>
    <s v="CUOTA ALQUILER TRIMESTRE 01/10/2020 - 31/12/2020 // MÁQUINA N.SERIE: RFC9Y20467 - FC011335 //  MEDIOS DE COMUNICACION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2582"/>
    <s v="AD"/>
    <d v="2021-02-09T00:00:00"/>
    <n v="22021000020"/>
    <s v="2021 01 9207 203"/>
    <n v="2377.65"/>
    <x v="27"/>
    <s v="EXPED SE 74/2020 PRÓRROGA CONTRATO IMPRESIÓN CORPORATIVA FEBRERO a DICIEMBRE 2021 - GOBIERNO Y RELACIONES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179000081"/>
    <s v="AD"/>
    <d v="2021-01-02T00:00:00"/>
    <n v="22021000050"/>
    <s v="2021 11 1321 204"/>
    <n v="27563.64"/>
    <x v="28"/>
    <s v="IMPORTE CONTRATO ARRENDAMIENTO VEHÍCULOS POLICÍA EXP. 1/2017. SECRET. EJEC. SEGURIDAD.- LOTE Nº 1."/>
    <s v="220"/>
    <s v="LAS ROZAS"/>
    <s v="MADRID"/>
    <x v="1"/>
    <s v="PrAbier - Procedimiento Abierto"/>
    <s v="UniC - Único Criterio"/>
    <x v="1"/>
    <x v="0"/>
    <s v="2"/>
    <s v="2. Gastos corrientes en bienes y servicios"/>
    <s v="11"/>
    <x v="5"/>
    <s v="1321"/>
    <s v="1321. Policía municipal"/>
    <s v="20"/>
    <s v="204"/>
  </r>
  <r>
    <n v="220210004234"/>
    <s v="AD"/>
    <d v="2021-02-18T00:00:00"/>
    <n v="22021002737"/>
    <s v="2021 11 1321 22103"/>
    <n v="79.64"/>
    <x v="28"/>
    <s v="IMPORTE REPOSTAJE VEHÍCULO CEDIDO A POLICÍA EN SUSTITUCIÓN POR AVERÍA DEL UTILIZADO."/>
    <s v="220"/>
    <s v="LAS ROZAS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3"/>
  </r>
  <r>
    <n v="220210000331"/>
    <s v="AD"/>
    <d v="2021-01-21T00:00:00"/>
    <n v="22021001219"/>
    <s v="2021 06 3321 22001"/>
    <n v="245"/>
    <x v="29"/>
    <s v="SUSCRIPCIÓN DE 5 EJEMPLARES DE LA REVISTA ALTERNATIVAS ECONÓMICAS PARA LAS BIBLIOTECAS MUNICIPALES, AÑO 2021."/>
    <s v="220"/>
    <s v="BARCELONA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1368"/>
    <s v="AD"/>
    <d v="2021-02-01T00:00:00"/>
    <n v="22021002069"/>
    <s v="2021 11 1321 213"/>
    <n v="7247.9"/>
    <x v="30"/>
    <s v="MANTENIMIENTO PROGRAMA INFORMATICO DE GESTIÓN PROGRAMA DE CALIDAD DE LA POLICÍA 2021."/>
    <s v="220"/>
    <s v="LA CORUÑA"/>
    <s v="LA CORUÑ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199000736"/>
    <s v="AD"/>
    <d v="2021-01-02T00:00:00"/>
    <n v="22021000173"/>
    <s v="2021 03 9241 22799"/>
    <n v="181500"/>
    <x v="31"/>
    <s v="PRORROGA CONTRATO OCIO ALTERNATIVO, VALLANOCHE,VALLATARDE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2411"/>
    <s v="AD"/>
    <d v="2021-02-08T00:00:00"/>
    <n v="22021002333"/>
    <s v="2021 11 1321 214"/>
    <n v="1725.03"/>
    <x v="32"/>
    <s v="REPARACIÓN DE VEHÍCULOS DE POLICÍA MUNICIPAL  (ACUERDO MARCO DE TALLERES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3649"/>
    <s v="AD"/>
    <d v="2021-02-16T00:00:00"/>
    <n v="22021002597"/>
    <s v="2021 11 1321 214"/>
    <n v="2801.9"/>
    <x v="32"/>
    <s v="REPARACIÓN VEHÍCULOS DE POLICÍA MUNICIPAL (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90"/>
    <s v="AD"/>
    <d v="2021-02-01T00:00:00"/>
    <n v="22021002243"/>
    <s v="2021 08 1532 203"/>
    <n v="2420"/>
    <x v="33"/>
    <s v="Alquiler de maquinaria sin conductor (rodillos compactadores, carretillas elevadoras, barredoras, etc) a demanda 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09000350"/>
    <s v="AD"/>
    <d v="2021-01-02T00:00:00"/>
    <n v="22021000733"/>
    <s v="2021 02 9332 632"/>
    <n v="15367"/>
    <x v="34"/>
    <s v="ADJ.EXPTE.27/19 DIREC.FACULT.OBRAS DE CONSOLIDACION DE LA EDIFICACION DESTINADA A CELDAS DEL CONVENTO STA. CATALINA *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4009"/>
    <s v="AD"/>
    <d v="2021-02-17T00:00:00"/>
    <n v="22021002179"/>
    <s v="2021 06 2314 22799"/>
    <n v="13583.05"/>
    <x v="35"/>
    <s v="Instalación de antenas Wi-Fi que den cobertura a los usuarios del Espacio Joven Zona Norte / 10 DÍA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99"/>
  </r>
  <r>
    <n v="220210006449"/>
    <s v="AD"/>
    <d v="2021-02-26T00:00:00"/>
    <n v="22021002526"/>
    <s v="2021 09 3341 22699"/>
    <n v="3267"/>
    <x v="36"/>
    <s v="DISEÑO IDENTIDAD VISUAL, DOSSIER DEL PROYECTO E IMÁGENES-GALERÍAS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179000082"/>
    <s v="AD"/>
    <d v="2021-01-02T00:00:00"/>
    <n v="22021000117"/>
    <s v="2021 11 1321 204"/>
    <n v="82764"/>
    <x v="37"/>
    <s v="IMPORTE CONTRATO ARRENDAMIENTO VEHÍCULOS POLICÍA, EXP. 1/2017, SECRET. EJEC. SEGURIDAD. LOTE Nº 2."/>
    <s v="220"/>
    <s v="CASTELLON"/>
    <s v="CASTELLON"/>
    <x v="1"/>
    <s v="PrAbier - Procedimiento Abierto"/>
    <s v="UniC - Único Criterio"/>
    <x v="1"/>
    <x v="0"/>
    <s v="2"/>
    <s v="2. Gastos corrientes en bienes y servicios"/>
    <s v="11"/>
    <x v="5"/>
    <s v="1321"/>
    <s v="1321. Policía municipal"/>
    <s v="20"/>
    <s v="204"/>
  </r>
  <r>
    <n v="220210003626"/>
    <s v="AD"/>
    <d v="2021-02-16T00:00:00"/>
    <n v="22021002580"/>
    <s v="2021 08 1532 210"/>
    <n v="7178.42"/>
    <x v="38"/>
    <s v="Suministro y colocación de 41,60 m.l. de barandilla continua en Pº Juan Carlos I c/ Estornino C/Anade y Pº San Isidro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0482"/>
    <s v="AD"/>
    <d v="2021-01-25T00:00:00"/>
    <n v="22021001165"/>
    <s v="2021 11 1361 22199"/>
    <n v="414.56"/>
    <x v="39"/>
    <s v="CAJA DE SIRENAS ELECTRICA Y AMPLIFICADOR PARA AUTOESCALA VA-42345-VE//SERVICIO DE EXTINCIÓN DE INCENDIOS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429"/>
    <s v="AD"/>
    <d v="2021-02-08T00:00:00"/>
    <n v="22021002298"/>
    <s v="2021 11 1321 213"/>
    <n v="2000"/>
    <x v="39"/>
    <s v="REPARACIÓN DE ELEMENTOS ELECTRÓNICOS DEL EQUIPAMIENTO DE VEHÍCULOS POLICIALES.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3997"/>
    <s v="AD"/>
    <d v="2021-02-17T00:00:00"/>
    <n v="22021002581"/>
    <s v="2021 06 2315 22611"/>
    <n v="4000"/>
    <x v="40"/>
    <s v="Talleres de desarrollo, fomento y concienciación de la igualdad en Centro Munic. Igualdad 2021 / HASTA DICIEMBRE 2021"/>
    <s v="220"/>
    <s v="BURGOS"/>
    <s v="BURGOS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723"/>
    <s v="AD"/>
    <d v="2021-01-02T00:00:00"/>
    <n v="22021000458"/>
    <s v="2021 10 2311 22700"/>
    <n v="52273.94"/>
    <x v="41"/>
    <s v="LOTE 11 LIMPIEZA CEAS: CENTRO Y JEF.ZON., BELÉN, DEL-ARG., DEL-CANT., Bº ESPAÑA, CALLE PATO -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09000724"/>
    <s v="AD"/>
    <d v="2021-01-02T00:00:00"/>
    <n v="22021000459"/>
    <s v="2021 10 2311 22700"/>
    <n v="3535.75"/>
    <x v="41"/>
    <s v="LOTE 11 CONTRATO LIMPIEZA COMEDOR SOCIAL - PROYECTO FINANCIACIÓN AFECTADA TRANSF.CPMs Y COMEDOR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09000725"/>
    <s v="AD"/>
    <d v="2021-01-02T00:00:00"/>
    <n v="22021000460"/>
    <s v="2021 10 2311 22700"/>
    <n v="7237.16"/>
    <x v="41"/>
    <s v="LOTE 11 CONTRATO LIMPIEZA CENTRO DE ATENCIÓN AL INMIGRANTE - PROYECTO FINANCIACIÓN AFECTADA MANT.CAI -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10001359"/>
    <s v="AD"/>
    <d v="2021-02-01T00:00:00"/>
    <n v="22021001248"/>
    <s v="2021 11 1631 22110"/>
    <n v="600"/>
    <x v="42"/>
    <s v="SUMINISTRO DE UREA PARA EL ESPARCIDO EN EPISODIOS DE HELADAS Y NEVADAS"/>
    <s v="220"/>
    <s v="SILLA"/>
    <s v="VALENCIA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110"/>
  </r>
  <r>
    <n v="220199000361"/>
    <s v="AD"/>
    <d v="2021-01-02T00:00:00"/>
    <n v="22021000724"/>
    <s v="2021 08 1341 619"/>
    <n v="320833.32"/>
    <x v="43"/>
    <s v="REAJUSTE ANUALIDADES CONTRATO SEÑALIZACION VIAL LOTE 2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465"/>
    <s v="AD"/>
    <d v="2021-01-02T00:00:00"/>
    <n v="22021000316"/>
    <s v="2021 06 3231 22799"/>
    <n v="226299.09"/>
    <x v="44"/>
    <s v="EXPTE. SE-EIJI 10/2020. CTTO GESTION EIM PLATERO LOTE 8. AÑO 2021. 01/01 A 31/08/2022"/>
    <s v="220"/>
    <s v="BURGOS"/>
    <s v="BURGOS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0039609"/>
    <s v="AD"/>
    <d v="2021-03-29T00:00:00"/>
    <n v="22020001122"/>
    <s v="2021 02 9332 632"/>
    <n v="23050.5"/>
    <x v="34"/>
    <s v="ADJUDICAC.,EXPTE.27/2019  &quot;&quot;REDAC.PROY.CONSOLIDACION DE EDIFICACION DESTINADA A CELDAS DEL CONVENTO STA. CATALINA *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9000470"/>
    <s v="AD"/>
    <d v="2021-01-02T00:00:00"/>
    <n v="22021000320"/>
    <s v="2021 11 3111 22106"/>
    <n v="17830.89"/>
    <x v="45"/>
    <s v="CONTRATO DE SUMINISTRO DE MEDICAMENTOS Y PIENSOS PARA EL CENTRO MUNICIPAL DE PROTECCIÓN ANIMAL - LOTE 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6"/>
  </r>
  <r>
    <n v="220209000413"/>
    <s v="AD"/>
    <d v="2021-01-02T00:00:00"/>
    <n v="22021000299"/>
    <s v="2021 01 9203 22000"/>
    <n v="6709.61"/>
    <x v="46"/>
    <s v="CONTRATO SUMINISTRO MATERIAL DE OFICINA NO INVENTARIABLE AYTO. VALLADOLID, LOTE 6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59"/>
    <s v="AD"/>
    <d v="2021-01-02T00:00:00"/>
    <n v="22021000310"/>
    <s v="2021 06 3231 22799"/>
    <n v="385000"/>
    <x v="47"/>
    <s v="EXPTE. SE-EIJI 10/2020. CTTO GESTION EIM CAMPANILLA LOTE 1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0"/>
    <s v="AD"/>
    <d v="2021-01-02T00:00:00"/>
    <n v="22021000311"/>
    <s v="2021 06 3231 22799"/>
    <n v="538340"/>
    <x v="47"/>
    <s v="EXPTE. SE-EIJI 10/2020. CTTO GESTION EIM PRINCIPITO LOTE 3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10006023"/>
    <s v="AD"/>
    <d v="2021-02-24T00:00:00"/>
    <n v="22021002959"/>
    <s v="2021 11 1321 214"/>
    <n v="228.97"/>
    <x v="48"/>
    <s v="REPARACIÓN DE VEHÍCULO DE POLICÍA ( ACUERDO MARCO EN TRAMITACIÓN."/>
    <s v="220"/>
    <s v="ARROYO DE LA ENCOMIENDA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021"/>
    <s v="AD"/>
    <d v="2021-02-24T00:00:00"/>
    <n v="22021002928"/>
    <s v="2021 11 1321 214"/>
    <n v="290.39999999999998"/>
    <x v="49"/>
    <s v="ROTULACIÓN VEHÍCULO DE POLICÍA 3946JTY POR DETERIORO DEBIDO A UN ACCIDENTE."/>
    <s v="220"/>
    <s v="ARROYO (VALLADOLID)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745"/>
    <s v="AD"/>
    <d v="2021-01-02T00:00:00"/>
    <n v="22021000470"/>
    <s v="2021 06 3232 213"/>
    <n v="6403.32"/>
    <x v="50"/>
    <s v="CTTO MANTENIMIENTO ASCENSORES COLEGIOS MUNICIPALES 2021 Y 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48"/>
    <s v="AD"/>
    <d v="2021-01-02T00:00:00"/>
    <n v="22021000473"/>
    <s v="2021 06 3261 213"/>
    <n v="457.38"/>
    <x v="50"/>
    <s v="CTTO MANTENIMIENTO ASCENSORES EM MUSICA MARIANO DE LAS HERAS 2021 Y 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752"/>
    <s v="AD"/>
    <d v="2021-01-02T00:00:00"/>
    <n v="22021000477"/>
    <s v="2021 06 2314 213"/>
    <n v="457.38"/>
    <x v="50"/>
    <s v="CTTO MANTENIMIENTO ASCENSORES ESPACIO JOVEN NORTE 2021-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10001371"/>
    <s v="AD"/>
    <d v="2021-02-01T00:00:00"/>
    <n v="22021002072"/>
    <s v="2021 11 1321 213"/>
    <n v="3518.64"/>
    <x v="50"/>
    <s v="MANTENIMIENTO DE DOS ASCENSORES EDIFICIO JEFATURA DE POLICÍA. EJERCICIO 2021."/>
    <s v="220"/>
    <s v="VIGO"/>
    <s v="PONTEVEDR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2888"/>
    <s v="AD"/>
    <d v="2021-02-11T00:00:00"/>
    <n v="22021002337"/>
    <s v="2021 07 1701 213"/>
    <n v="2583.36"/>
    <x v="50"/>
    <s v="Mantenimiento del ascensor en el edificio anexo al de Casa del Barco durante el periodo 01/01/2021 al 31/12/2021"/>
    <s v="220"/>
    <s v="VIGO"/>
    <s v="PONTEVEDRA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01918"/>
    <s v="AD"/>
    <d v="2021-02-04T00:00:00"/>
    <n v="22021002147"/>
    <s v="2021 03 9241 213"/>
    <n v="462.64"/>
    <x v="51"/>
    <s v="MANTENIMIENTO APARATO ELEVADOR SANTIAGO LOPEZ (ENE-ABRIL 2021)"/>
    <s v="220"/>
    <s v="GIJON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199000588"/>
    <s v="AD"/>
    <d v="2021-01-02T00:00:00"/>
    <n v="22021000162"/>
    <s v="2021 03 9241 213"/>
    <n v="219.76"/>
    <x v="52"/>
    <s v="CONTRATO MANTENIMIENTO ASCENSORES. LOTE 3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1"/>
    <s v="213"/>
  </r>
  <r>
    <n v="220209000141"/>
    <s v="AD"/>
    <d v="2021-01-02T00:00:00"/>
    <n v="22021000710"/>
    <s v="2021 04 9204 636"/>
    <n v="28807.279999999999"/>
    <x v="35"/>
    <s v="PRÓRROGA MANTENIMIENTO Y GESTIÓN ÁREAS WIFI MUNICIPALES DEL 1/1 AL 18/6/2020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09000814"/>
    <s v="AD"/>
    <d v="2021-01-02T00:00:00"/>
    <n v="22021000752"/>
    <s v="2021 01 9206 22706"/>
    <n v="30250"/>
    <x v="53"/>
    <s v="AMPLIACIÓN PRÓRROGA CONTRATO SERVICIOS APOYO ARCHIVO MUNICIPAL HASTA FORMALIZACIÓN NUEVO CONTRATO"/>
    <s v="220"/>
    <s v="VALLADOLID"/>
    <s v="VALLADOLID"/>
    <x v="0"/>
    <s v="PrAbier - Procedimiento Abierto"/>
    <s v="SinC - Sin Criterio"/>
    <x v="1"/>
    <x v="0"/>
    <s v="2"/>
    <s v="2. Gastos corrientes en bienes y servicios"/>
    <s v="01"/>
    <x v="4"/>
    <s v="9206"/>
    <s v="9206. Archivo municipal"/>
    <s v="22"/>
    <s v="22706"/>
  </r>
  <r>
    <n v="220210013059"/>
    <s v="D"/>
    <d v="2021-03-30T00:00:00"/>
    <n v="22021002378"/>
    <s v="2021 02 9332 214"/>
    <n v="52.27"/>
    <x v="48"/>
    <s v="REVISION MATRICULA 0020LFY: SUSTITUIR FILTRO DEL HABITÁCULO (M.O)/ FILTRO/ LAVAPARABRISAS INVIERNO 2L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13061"/>
    <s v="D"/>
    <d v="2021-03-30T00:00:00"/>
    <n v="22021002378"/>
    <s v="2021 02 9332 214"/>
    <n v="47.71"/>
    <x v="48"/>
    <s v="REVISION-MTNO VEHICULO  MATRICULA 5901-LFX  /////  SUSTITUIR FILTRO (M.O.)/ FILTRO 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09000765"/>
    <s v="AD"/>
    <d v="2021-01-02T00:00:00"/>
    <n v="22021000489"/>
    <s v="2021 10 2311 213"/>
    <n v="911.86"/>
    <x v="52"/>
    <s v="CONTRATO DE MANTENIMIENTO DE ELEVADORES EN CENTRO INTEGRADO  (2 APARATOS)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766"/>
    <s v="AD"/>
    <d v="2021-01-02T00:00:00"/>
    <n v="22021000490"/>
    <s v="2021 10 2311 213"/>
    <n v="455.93"/>
    <x v="52"/>
    <s v="CONTRATO DE MANTENIMIENTO DE ELEVADORES EN  COMEDOR SOCIAL (1 APARATO)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767"/>
    <s v="AD"/>
    <d v="2021-01-02T00:00:00"/>
    <n v="22021000491"/>
    <s v="2021 10 2412 213"/>
    <n v="88.64"/>
    <x v="52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68"/>
    <s v="AD"/>
    <d v="2021-01-02T00:00:00"/>
    <n v="22021000492"/>
    <s v="2021 10 2412 213"/>
    <n v="88.65"/>
    <x v="52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69"/>
    <s v="AD"/>
    <d v="2021-01-02T00:00:00"/>
    <n v="22021000493"/>
    <s v="2021 10 2412 213"/>
    <n v="202.65"/>
    <x v="52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70"/>
    <s v="AD"/>
    <d v="2021-01-02T00:00:00"/>
    <n v="22021000494"/>
    <s v="2021 10 2412 213"/>
    <n v="75.989999999999995"/>
    <x v="52"/>
    <s v="CONTRATO MANTENIMIENTO ELEVADOR CFE JACINTO BENAVE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031"/>
    <s v="ADO"/>
    <d v="2021-01-19T00:00:00"/>
    <n v="22021000684"/>
    <s v="2021 10 2312 213"/>
    <n v="390.83"/>
    <x v="52"/>
    <s v="Interruptor Magnetotérmico y Diferencial Protección Circuito DEL ASCENSOR  C.P.M. DELICIAS- DURACION 1 DIA"/>
    <s v="24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0382"/>
    <s v="ADO"/>
    <d v="2021-01-21T00:00:00"/>
    <n v="22021001168"/>
    <s v="2021 06 3232 213"/>
    <n v="189.53"/>
    <x v="52"/>
    <s v="Suministro de 1 pulsador con llave en el aparato elevador de Padre Francisco Suárez, 14 - C.E.I.P. Ponce de León"/>
    <s v="24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0508"/>
    <s v="AD"/>
    <d v="2021-01-25T00:00:00"/>
    <n v="22021001682"/>
    <s v="2021 03 9241 213"/>
    <n v="350.9"/>
    <x v="52"/>
    <s v="REPARACIÓN ASCENSOR CC ZONA ESTE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1247"/>
    <s v="AD"/>
    <d v="2021-01-29T00:00:00"/>
    <n v="22021001931"/>
    <s v="2021 03 9241 213"/>
    <n v="272.25"/>
    <x v="52"/>
    <s v="REPARACIÓN ASCENSOR CC ZONA ESTE: SISTEMA DE SOCORRO EN FOSO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09000794"/>
    <s v="AD"/>
    <d v="2021-01-02T00:00:00"/>
    <n v="22021000509"/>
    <s v="2021 10 2312 213"/>
    <n v="1823.72"/>
    <x v="52"/>
    <s v="MANTENIMIENTO DE LOS ACCENSORES DE LOS CPM TRANSFERIDOS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5"/>
    <s v="AD"/>
    <d v="2021-01-02T00:00:00"/>
    <n v="22021000510"/>
    <s v="2021 10 2312 213"/>
    <n v="2279.65"/>
    <x v="52"/>
    <s v="MANTENIMIENTO DE LOS ASCENSORES DE LOS CPM NO TRANSFERIDOS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0010"/>
    <s v="ADO"/>
    <d v="2021-01-19T00:00:00"/>
    <n v="22021000643"/>
    <s v="2021 10 2412 213"/>
    <n v="125.04"/>
    <x v="52"/>
    <s v="Mantenimiento ascensor de Avda. Valle Esgueva, 8 - C. Formación Jacinto Benavente // 4º TRIMESTRE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016"/>
    <s v="ADO"/>
    <d v="2021-01-19T00:00:00"/>
    <n v="22021000651"/>
    <s v="2021 10 2312 213"/>
    <n v="1314.06"/>
    <x v="52"/>
    <s v="Mantenimiento del aparato elevador de los Centros CPM/ Centro Integrado // 4º TRIMESTRE DE 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2434"/>
    <s v="ADO"/>
    <d v="2021-02-08T00:00:00"/>
    <n v="22021001903"/>
    <s v="2021 10 2311 213"/>
    <n v="237.52"/>
    <x v="52"/>
    <s v="F-25. ASC. ZENER.Albergue (117,75¿AD920199001097) Comedor (119,78¿-920199001098) 4º TRIMESTRE DE 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2849"/>
    <s v="AD"/>
    <d v="2021-02-11T00:00:00"/>
    <n v="22021002249"/>
    <s v="2021 03 9241 213"/>
    <n v="2217.16"/>
    <x v="52"/>
    <s v="PRÓRROGA LOTE 3 (DEL 12/01/21 AL 30/04/21) CONTRATO MANTENIMIENTO ASCENSORES CENTROS SPC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1"/>
    <s v="213"/>
  </r>
  <r>
    <n v="220209000809"/>
    <s v="AD"/>
    <d v="2021-01-02T00:00:00"/>
    <n v="22021002463"/>
    <s v="2021 10 2311 22799"/>
    <n v="127575"/>
    <x v="54"/>
    <s v="PRORR.CONT. EMERGENCIA 35 PLAZAS CARAC. INTEG.AT.PSICOSOCIAL PARA PERSONAS SIN HOGAR: 35 PX40,5 E/P/D-ene a mar COVID-19"/>
    <s v="220"/>
    <s v="MADRID"/>
    <s v="MADR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2417"/>
    <s v="AD"/>
    <d v="2021-02-08T00:00:00"/>
    <n v="22021002194"/>
    <s v="2021 06 3321 22001"/>
    <n v="135.97"/>
    <x v="55"/>
    <s v="SUSCRIPCION A LA REVISTA PEONZA PARA LAS BIBLIOTECAS MUNICIPALES DURANTE EL AÑO 2021"/>
    <s v="220"/>
    <s v="SANTANDER"/>
    <s v="SANTANDER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0328"/>
    <s v="AD"/>
    <d v="2021-01-21T00:00:00"/>
    <n v="22021001201"/>
    <s v="2021 09 3301 22799"/>
    <n v="4000"/>
    <x v="56"/>
    <s v="CONTRATO DE SERVICIOS DE RECUPERACIÓN EN EL RÍO PISUERGA DE LAS BOLAS DE PIEDRA DEL ESPOLÓN VIEJO DE LOS AÑOS 1602-1605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99"/>
  </r>
  <r>
    <n v="220209000146"/>
    <s v="AD"/>
    <d v="2021-01-02T00:00:00"/>
    <n v="22021000216"/>
    <s v="2021 05 4331 22799"/>
    <n v="1800"/>
    <x v="5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415"/>
    <s v="AD"/>
    <d v="2021-02-08T00:00:00"/>
    <n v="22021002349"/>
    <s v="2021 03 9241 22609"/>
    <n v="350"/>
    <x v="58"/>
    <s v="ACTUACIÓN MUSICAL CARNAVAL BARRIO LA PILARICA"/>
    <s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1248"/>
    <s v="AD"/>
    <d v="2021-01-29T00:00:00"/>
    <n v="22021001932"/>
    <s v="2021 03 9241 22609"/>
    <n v="400"/>
    <x v="59"/>
    <s v="REPRESENTACIÓN TEATRO DIA 15/01/2021 EN CC ZONA ESTE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4221"/>
    <s v="AD"/>
    <d v="2021-02-18T00:00:00"/>
    <n v="22021002280"/>
    <s v="2021 05 4331 22799"/>
    <n v="427.61"/>
    <x v="60"/>
    <s v="SERVICIO DE HOSTING PARA WEB Y SOFTWARE ASOCIADO, SOBRE TERMINO DE INNOVACION. CUOTA UNICA DE UN VPS CLOUD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199000590"/>
    <s v="AD"/>
    <d v="2021-01-02T00:00:00"/>
    <n v="22021000164"/>
    <s v="2021 03 9241 22700"/>
    <n v="101.65"/>
    <x v="61"/>
    <s v="PRÓRROGA CONTRATO MANTENIMIENTO CONTROL DE PLAGAS. LOTE 6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2"/>
    <s v="22700"/>
  </r>
  <r>
    <n v="220210002853"/>
    <s v="AD"/>
    <d v="2021-02-11T00:00:00"/>
    <n v="22021002253"/>
    <s v="2021 03 9241 22700"/>
    <n v="1025.71"/>
    <x v="61"/>
    <s v="PRÓRROGA LOTE 6 (DEL 12/01/21 AL 30/04/21) CONTRATO MANTENIMIENTO CENTROS SPC: CONTROL DE PLAGAS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2"/>
    <s v="22700"/>
  </r>
  <r>
    <n v="220210002798"/>
    <s v="ADO"/>
    <d v="2021-02-10T00:00:00"/>
    <n v="22021002365"/>
    <s v="2021 02 9332 213"/>
    <n v="90.75"/>
    <x v="52"/>
    <s v="Mantenimiento del aparato elevador del Pº Hospital Militar, 24 - Servicio Médico Municipal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319"/>
    <s v="AD"/>
    <d v="2021-01-02T00:00:00"/>
    <n v="22021000265"/>
    <s v="2021 04 9204 216"/>
    <n v="227475.7"/>
    <x v="62"/>
    <s v="ASISTENCIA TÉCNICA OPERACIÓN, CAU, Y MANTENIMIENTO  DEL SOFTWARE DE BASE Y COMUNICACIONES LOTE 3, PRÓRROGA"/>
    <s v="220"/>
    <s v="MADRID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0322"/>
    <s v="AD"/>
    <d v="2021-01-21T00:00:00"/>
    <n v="22021000401"/>
    <s v="2021 04 9204 636"/>
    <n v="513183.75"/>
    <x v="62"/>
    <s v="MANTENIMIENTO HARDWARE LOTE 1, SEGUNDA PRÓRROGA"/>
    <s v="220"/>
    <s v="MADRID"/>
    <s v="MADR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10000506"/>
    <s v="AD"/>
    <d v="2021-01-25T00:00:00"/>
    <n v="22021001680"/>
    <s v="2021 03 9241 22602"/>
    <n v="4792.5"/>
    <x v="63"/>
    <s v="1350 UDS. DE MASCARILLAS DE TELA PUBLICITARI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4229"/>
    <s v="AD"/>
    <d v="2021-02-18T00:00:00"/>
    <n v="22021002800"/>
    <s v="2021 11 1621 634"/>
    <n v="7260"/>
    <x v="64"/>
    <s v="REPARACION DE BOMBAS Y CIRCUITOS DE INYECCIÓN DE VEHICULOS DEL SERVICIO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6019"/>
    <s v="AD"/>
    <d v="2021-02-24T00:00:00"/>
    <n v="22021002977"/>
    <s v="2021 11 1321 214"/>
    <n v="220.22"/>
    <x v="64"/>
    <s v="REPARACIÓN VEHÍCULO 8671JXF POLICÍA. 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148"/>
    <s v="AD"/>
    <d v="2021-01-02T00:00:00"/>
    <n v="22021000218"/>
    <s v="2021 05 4331 22799"/>
    <n v="1800"/>
    <x v="65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1351"/>
    <s v="AD"/>
    <d v="2021-02-01T00:00:00"/>
    <n v="22021000782"/>
    <s v="2021 11 1621 204"/>
    <n v="2500"/>
    <x v="66"/>
    <s v="SERVICIOS GRUAS PARA TRASLADO VEHICULOS AVERIADOS DEL Sº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0"/>
    <s v="204"/>
  </r>
  <r>
    <n v="220210002799"/>
    <s v="ADO"/>
    <d v="2021-02-10T00:00:00"/>
    <n v="22021002366"/>
    <s v="2021 02 9332 213"/>
    <n v="168.19"/>
    <x v="52"/>
    <s v="Mantenimiento ascensores: San Benito, 1 Izdo, 1 Dcho, 1 Sub.Sala Exp / Pza Sta Ana, Edif.Cira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00"/>
    <s v="ADO"/>
    <d v="2021-02-10T00:00:00"/>
    <n v="22021002367"/>
    <s v="2021 02 9332 213"/>
    <n v="156.09"/>
    <x v="52"/>
    <s v="Mantenimiento ascensores Pza. Mayor, 1 Izdo, 1 Dcho, 1 Interior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01"/>
    <s v="ADO"/>
    <d v="2021-02-10T00:00:00"/>
    <n v="22021002368"/>
    <s v="2021 02 9332 213"/>
    <n v="108.9"/>
    <x v="52"/>
    <s v="Honorarios inspección periódica O.C.A. con S.C.I. en el aparato elevador de Pza. Santa Ana, 6, según ppto de 28/12/2020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003"/>
    <s v="ADO"/>
    <d v="2021-01-19T00:00:00"/>
    <n v="22021000441"/>
    <s v="2021 04 9231 22799"/>
    <n v="1628.45"/>
    <x v="67"/>
    <s v="Mantenimiento durante el mes de diciembre de 2020 del Observatorio Urbano (Información, registro, gestión padrón)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3644"/>
    <s v="AD"/>
    <d v="2021-02-16T00:00:00"/>
    <n v="22021002396"/>
    <s v="2021 04 9311 22799"/>
    <n v="5082"/>
    <x v="68"/>
    <s v="Mantenimiento de la aplicación de presupuestos visuales del Ayuntamiento de Valladolid &quot;&quot;Las Cuentas Claras&quot;&quot;"/>
    <s v="23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2"/>
    <s v="22799"/>
  </r>
  <r>
    <n v="220210004513"/>
    <s v="ADO"/>
    <d v="2021-02-19T00:00:00"/>
    <n v="22021002753"/>
    <s v="2021 05 4331 22799"/>
    <n v="755.86"/>
    <x v="67"/>
    <s v="Mantenimiento durante el mes de diciembre de 2020 del Observatorio Urbano (Agencia de Innovación)"/>
    <s v="24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09000279"/>
    <s v="AD"/>
    <d v="2021-01-02T00:00:00"/>
    <n v="22021000256"/>
    <s v="2021 09 3301 22799"/>
    <n v="1674.83"/>
    <x v="67"/>
    <s v="PRORROGA CONTRATO PUBLICACIÓN DATOS OBSERVATORIO CULTURAL Y TURISTICO EN OBSERVATORIO URBANO HASTA 24/10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199000245"/>
    <s v="AD"/>
    <d v="2021-01-02T00:00:00"/>
    <n v="22021000697"/>
    <s v="2021 04 9204 641"/>
    <n v="29407.11"/>
    <x v="69"/>
    <s v="MANTENIMIENTO DEL SISTEMA DE INFORMACIÓN PRESUPUESTARIA, CONTABLE Y FINANCIERA DEL AYUNTAMIENTO DE VALLADOLID (SICALWIN)"/>
    <s v="220"/>
    <s v="ECIJA"/>
    <s v="SEVILLA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09000280"/>
    <s v="AD"/>
    <d v="2021-01-02T00:00:00"/>
    <n v="22021000257"/>
    <s v="2021 05 4331 22799"/>
    <n v="7385.2"/>
    <x v="67"/>
    <s v="Prorroga del contrato del Observatorio Urbano para los año 2020-2021. Agencia de Innovación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199000877"/>
    <s v="AD"/>
    <d v="2021-01-02T00:00:00"/>
    <n v="22021000708"/>
    <s v="2021 04 9204 641"/>
    <n v="2113"/>
    <x v="69"/>
    <s v="MTO.  EXTRAORDINARIO DEL SISTEMA DE INFORMACIÓN PRESUPUESTARIA, CONTABLE Y FINANCIERA DEL AYTO.  DE VALLADOLID"/>
    <s v="220"/>
    <s v="ECIJA"/>
    <s v="SEVILLA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10005452"/>
    <s v="AD"/>
    <d v="2021-02-23T00:00:00"/>
    <n v="22021002193"/>
    <s v="2021 04 3121 22106"/>
    <n v="17000"/>
    <x v="70"/>
    <s v="Suministro material sanitario desechable, material curas, tiras reactivas e instrumental quirurgico a Servicio Prevencio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10004230"/>
    <s v="AD"/>
    <d v="2021-02-18T00:00:00"/>
    <n v="22021002801"/>
    <s v="2021 11 1621 634"/>
    <n v="7260"/>
    <x v="71"/>
    <s v="REPARACIÓN BALLESTAS Y SUSPENS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2418"/>
    <s v="AD"/>
    <d v="2021-02-08T00:00:00"/>
    <n v="22021002195"/>
    <s v="2021 06 3321 22001"/>
    <n v="4112.18"/>
    <x v="72"/>
    <s v="SUSCRIPCIÓN A VARIAS REVISTAS DE LA EDITORIAL BAYARD PARA LAS BIBLIOTECAS MUNICIPALES DURANTE EL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4000"/>
    <s v="AD"/>
    <d v="2021-02-17T00:00:00"/>
    <n v="22021002730"/>
    <s v="2021 06 2314 22699"/>
    <n v="171.82"/>
    <x v="73"/>
    <s v="MODIFICACION MESA DESPACHO, DESMONTAR CREDENZA SUSTITUCION RUEDAS, COLOCACION CABLES EN MESAS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99"/>
  </r>
  <r>
    <n v="220210002428"/>
    <s v="AD"/>
    <d v="2021-02-08T00:00:00"/>
    <n v="22021002278"/>
    <s v="2021 11 1321 213"/>
    <n v="2500"/>
    <x v="74"/>
    <s v="ACCIONES CORRECTIVAS EN PUERTAS MANUALES DEPENDENCIAS POLICIA 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6038"/>
    <s v="AD"/>
    <d v="2021-02-24T00:00:00"/>
    <n v="22021002871"/>
    <s v="2021 11 1321 213"/>
    <n v="2468.4"/>
    <x v="74"/>
    <s v="MANTENIMINETO DE PUERTAS AUTOMÁTICAS EN DEPENDENCIAS DE POLICÍA MUNICIPAL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2871"/>
    <s v="AD"/>
    <d v="2021-02-11T00:00:00"/>
    <n v="22021002577"/>
    <s v="2021 08 1532 210"/>
    <n v="4840"/>
    <x v="75"/>
    <s v="Suministro de hormigones y morteros para uso directo por los equipos del S.E.P.I."/>
    <s v="220"/>
    <s v="BARCELONA"/>
    <s v="BARCELON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0503"/>
    <s v="AD"/>
    <d v="2021-01-25T00:00:00"/>
    <n v="22021001676"/>
    <s v="2021 03 9241 22602"/>
    <n v="907.5"/>
    <x v="76"/>
    <s v="DISEÑO GRÁFICO PROGRAMACIÓN NAVIDAD MF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758"/>
    <s v="AD"/>
    <d v="2021-01-02T00:00:00"/>
    <n v="22021000483"/>
    <s v="2021 04 9331 224"/>
    <n v="41903.46"/>
    <x v="77"/>
    <s v="CONTRATACIÓN AÑOS 2021-2022 SEGURO DAÑOS MATERIALES (LOTE 2) AYUNTAMIENTO VALLADOLID (Exp. 15/2020) JTAGOB 16y23-12-2020"/>
    <s v="22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9000759"/>
    <s v="AD"/>
    <d v="2021-01-02T00:00:00"/>
    <n v="22021000484"/>
    <s v="2021 04 9331 224"/>
    <n v="170526.49"/>
    <x v="77"/>
    <s v="CONTRATACIÓN AÑOS 2021-2022 SEGURO FLOTA DE VEHÍCULOS (LOTE 3) AYTO  VALLADOLID (Exp. 15/2020) Jta Gob 16 y 23-12-2020."/>
    <s v="22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9000281"/>
    <s v="AD"/>
    <d v="2021-01-02T00:00:00"/>
    <n v="22021000258"/>
    <s v="2021 04 9231 22799"/>
    <n v="15910.84"/>
    <x v="67"/>
    <s v="PRORROGA SERVICIO MANTENIMIENTO WEB OBSERVATORIO URBANO -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3994"/>
    <s v="AD"/>
    <d v="2021-02-17T00:00:00"/>
    <n v="22021002567"/>
    <s v="2021 07 1721 22799"/>
    <n v="2012.21"/>
    <x v="78"/>
    <s v="TRATAMIENTO DE LOS RESIDUOS GENERADOS EN EL LABORATORIO DE CONTAMINACION DE LA RCCVA. SERVICIO DE MEDIO AMBIENTE"/>
    <s v="220"/>
    <s v="TUDELA DE DUERO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09000797"/>
    <s v="AD"/>
    <d v="2021-01-02T00:00:00"/>
    <n v="22021000512"/>
    <s v="2021 10 2312 213"/>
    <n v="3902.25"/>
    <x v="79"/>
    <s v="MANTENIMIENTO DE LOS CPM TRANSFERIDOS, CPM SAN JUAN, RONDILLA Y LA VICTORIA PARA ELAÑO 2021"/>
    <s v="220"/>
    <s v="CISTERNIG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8"/>
    <s v="AD"/>
    <d v="2021-01-02T00:00:00"/>
    <n v="22021000513"/>
    <s v="2021 10 2312 213"/>
    <n v="1542.75"/>
    <x v="79"/>
    <s v="MANTENIMIENTO DE LAS PUERTAS AUTOMATICAS DEL CPM NO TRANSFERIDO CPM ZONA SUR"/>
    <s v="220"/>
    <s v="CISTERNIG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2378"/>
    <s v="AD"/>
    <d v="2021-02-08T00:00:00"/>
    <n v="22021002273"/>
    <s v="2021 08 1532 22199"/>
    <n v="2420"/>
    <x v="80"/>
    <s v="Suministro de 1.500 m. de &quot;&quot;Banderola&quot;&quot; (cinta señalizadora de obra)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99"/>
  </r>
  <r>
    <n v="220210002405"/>
    <s v="AD"/>
    <d v="2021-02-08T00:00:00"/>
    <n v="22021002302"/>
    <s v="2021 11 3111 22199"/>
    <n v="198.2"/>
    <x v="81"/>
    <s v="PRODUCTOS DE DESINFECCIÓN PARA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1032"/>
    <s v="AD"/>
    <d v="2021-01-27T00:00:00"/>
    <n v="22021000007"/>
    <s v="2021 09 3301 22706"/>
    <n v="2158.64"/>
    <x v="67"/>
    <s v="REAJUSTE DE ANUALIDADES SERVICIO DE ACTUALIZACIÓN GUÍA RECURSOS CULTURALES BASE DE COMUNICACIONES ON-LINE"/>
    <s v="220"/>
    <s v="VALLADOLID"/>
    <s v="VALLADOLID"/>
    <x v="0"/>
    <s v="PrAbier - Procedimiento Abierto"/>
    <s v="SinC - Sin Criterio"/>
    <x v="1"/>
    <x v="0"/>
    <s v="2"/>
    <s v="2. Gastos corrientes en bienes y servicios"/>
    <s v="09"/>
    <x v="1"/>
    <s v="3301"/>
    <s v="3301. Dirección del área de cultura"/>
    <s v="22"/>
    <s v="22706"/>
  </r>
  <r>
    <n v="220210009048"/>
    <s v="AD"/>
    <d v="2021-03-12T00:00:00"/>
    <n v="22021003426"/>
    <s v="2021 01 9206 22199"/>
    <n v="502.45"/>
    <x v="82"/>
    <s v="Sustitución de varias lámparas LED y bombillas en diversas estancias del Archivo Municipal de Valladolid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10239"/>
    <s v="AD"/>
    <d v="2021-03-18T00:00:00"/>
    <n v="22021003294"/>
    <s v="2021 06 2315 213"/>
    <n v="15.97"/>
    <x v="82"/>
    <s v="Reparación Enchufe Centro Municipal de la Igualdad el día 17 de febrero de 2021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995"/>
    <s v="D"/>
    <d v="2021-02-11T00:00:00"/>
    <n v="22021002089"/>
    <s v="2021 03 9241 213"/>
    <n v="426.5"/>
    <x v="82"/>
    <s v="SUMINISTRO DE MATERIAL DIVERSO DE ELECTRICIDAD PARA LOS C.C.: JOSE M.LUELMO- RONDILLA- JOSE L.MOSQ-  ZONA ESTE.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2997"/>
    <s v="D"/>
    <d v="2021-02-11T00:00:00"/>
    <n v="22021002089"/>
    <s v="2021 03 9241 213"/>
    <n v="9.08"/>
    <x v="82"/>
    <s v="CONMUTADOR NIESSEN MECANISMO (CC CAMPILLO) // CAJA ENRA.DAISALUX/ EMERGENCIA DAISALUX/ TASA ECORAEE (CC J.L.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198"/>
    <s v="D"/>
    <d v="2021-02-12T00:00:00"/>
    <n v="22021001169"/>
    <s v="2021 10 2412 212"/>
    <n v="18.760000000000002"/>
    <x v="82"/>
    <s v="MANTENIMIENTO, REPARACION DE CONMUTADOR LEGRAND / CAJA 2EL LEGRANDPARA EL CNTRO FORMAC.JACINTO BENAVE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3207"/>
    <s v="D"/>
    <d v="2021-02-12T00:00:00"/>
    <n v="22021001038"/>
    <s v="2021 10 2312 212"/>
    <n v="20.190000000000001"/>
    <x v="82"/>
    <s v="MANTENIMIENTO, REPARACIONES REGLETA  OBO  BL  (20 UNIDADES) /// DESTINO: PUENTE COLGANTE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223"/>
    <s v="D"/>
    <d v="2021-02-12T00:00:00"/>
    <n v="22021002089"/>
    <s v="2021 03 9241 213"/>
    <n v="55.9"/>
    <x v="82"/>
    <s v="INTERRUPT SE MGU3.161.18  16A 1 MOD. (CC JOSE LUIS 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225"/>
    <s v="D"/>
    <d v="2021-02-12T00:00:00"/>
    <n v="22021002089"/>
    <s v="2021 03 9241 213"/>
    <n v="1401.42"/>
    <x v="82"/>
    <s v="SUMINISTROS DE MATERIAL ELECTRICO PARA EL CC JOSE LUIS MOSQUERA/ CC JOSE Mª LUELMO/ CC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269"/>
    <s v="D"/>
    <d v="2021-02-12T00:00:00"/>
    <n v="22021002227"/>
    <s v="2021 06 3321 212"/>
    <n v="18.899999999999999"/>
    <x v="82"/>
    <s v="LAMPARA LED PH CORELEDBUL 12,5W (4 UNID) / TASA ECORAEE (4) //// DESTINO: BIBLIOTECA FCO JAVIER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3937"/>
    <s v="D"/>
    <d v="2021-02-16T00:00:00"/>
    <n v="22021002133"/>
    <s v="2021 08 1651 22199"/>
    <n v="275.64"/>
    <x v="82"/>
    <s v="PORTALAMP. BJC 2003 E27  M10X1 (40 UNIDADES) //// DESTINO: ALUMBRADO PUBLIC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04043"/>
    <s v="D"/>
    <d v="2021-02-17T00:00:00"/>
    <n v="22021002144"/>
    <s v="2021 10 2311 212"/>
    <n v="9.08"/>
    <x v="82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43"/>
    <s v="D"/>
    <d v="2021-02-17T00:00:00"/>
    <n v="22021002143"/>
    <s v="2021 10 2311 212"/>
    <n v="9.4499999999999993"/>
    <x v="82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45"/>
    <s v="D"/>
    <d v="2021-02-17T00:00:00"/>
    <n v="22021002143"/>
    <s v="2021 10 2311 212"/>
    <n v="5.17"/>
    <x v="82"/>
    <s v="F-729. CADIELSA VALLADOLID. BASE SCH NIESSEN 8288.2-BA Monoblock (VIVIENDA C/CENTRO 12, 1C)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179"/>
    <s v="D"/>
    <d v="2021-02-17T00:00:00"/>
    <n v="22021002132"/>
    <s v="2021 08 1532 210"/>
    <n v="689.46"/>
    <x v="82"/>
    <s v="CONMUTADOR/ ARMA SUP./ MAGNETO SE/ DIFERENCIAL/ CALEFACTOR/ TASA ECORAEE/ FLEX ZEROH (VIAS PÚBLICA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4453"/>
    <s v="D"/>
    <d v="2021-02-19T00:00:00"/>
    <n v="22021002142"/>
    <s v="2021 10 2311 212"/>
    <n v="32.090000000000003"/>
    <x v="82"/>
    <s v="F-1310. CADIELSA VALLADOLID S.L.U. SUMINISTRO DE MATERIAL DE ELECTRICIDAD PARA 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498"/>
    <s v="D"/>
    <d v="2021-02-19T00:00:00"/>
    <n v="22021001038"/>
    <s v="2021 10 2312 212"/>
    <n v="50.34"/>
    <x v="82"/>
    <s v="MANTENIMIENTO, REPARACION DE LUMIN THORN ANNA LED 1200X300 4400 840 / TASA ECORAEE  DEL  CPM PTE COLGANTE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4534"/>
    <s v="D"/>
    <d v="2021-02-19T00:00:00"/>
    <n v="22021001275"/>
    <s v="2021 07 1711 22199"/>
    <n v="94.45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42"/>
    <s v="D"/>
    <d v="2021-02-19T00:00:00"/>
    <n v="22021001275"/>
    <s v="2021 07 1711 22199"/>
    <n v="56.52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223"/>
    <s v="D"/>
    <d v="2021-02-22T00:00:00"/>
    <n v="22021002371"/>
    <s v="2021 02 9332 212"/>
    <n v="14.9"/>
    <x v="82"/>
    <s v="PROYECTOR LEDVANCE LED 20W 4000K NG IP65 / TASA ECORAEE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5478"/>
    <s v="D"/>
    <d v="2021-02-23T00:00:00"/>
    <n v="22021001966"/>
    <s v="2021 11 1321 213"/>
    <n v="146.6"/>
    <x v="82"/>
    <s v="ACUERDO MARCO. SUMINISTRO DE LAMPARAS, CEBADORES, ETC.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5509"/>
    <s v="D"/>
    <d v="2021-02-23T00:00:00"/>
    <n v="22021002006"/>
    <s v="2021 11 3111 22199"/>
    <n v="42.74"/>
    <x v="82"/>
    <s v="A.M. V.36/2017 LAMPARA PH INFRA. IR250W RJ  R125 57521025  (8) ///  DESTINO: SALUD Y CONSUM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36"/>
    <s v="D"/>
    <d v="2021-02-23T00:00:00"/>
    <n v="22021002052"/>
    <s v="2021 11 1621 22199"/>
    <n v="16.350000000000001"/>
    <x v="82"/>
    <s v="AC MARCO EXP. V36-2017: SUMINISTRO MATERIAL ELECTRICO PARA 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38"/>
    <s v="D"/>
    <d v="2021-02-23T00:00:00"/>
    <n v="22021002052"/>
    <s v="2021 11 1621 22199"/>
    <n v="84.02"/>
    <x v="82"/>
    <s v="AC MARCO EXP V36-2017: SUMINISTRO MATERIAL ELECTRICO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1"/>
    <s v="D"/>
    <d v="2021-02-23T00:00:00"/>
    <n v="22021002048"/>
    <s v="2021 11 1621 214"/>
    <n v="38.08"/>
    <x v="82"/>
    <s v="AC MARCO EXP V36-2017: BOTONERA REPARACION VEHICULO MATRÍCULA 0373-GTW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3942"/>
    <s v="ADO"/>
    <d v="2021-02-16T00:00:00"/>
    <n v="22021002689"/>
    <s v="2021 04 9341 22000"/>
    <n v="771.13"/>
    <x v="83"/>
    <s v="2 UD - CD ROM+APLICATIVO (CIRCUITO CODIFICACION  ENTIDADES FINANCIERAS - MODALIDAD CD-ROM) // AÑO 2021"/>
    <s v="240"/>
    <s v="ALCOBENDAS"/>
    <s v="MADRID"/>
    <x v="1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000"/>
  </r>
  <r>
    <n v="220209000667"/>
    <s v="AD"/>
    <d v="2021-01-02T00:00:00"/>
    <n v="22021000419"/>
    <s v="2021 06 3232 213"/>
    <n v="102835.32"/>
    <x v="84"/>
    <s v="CONTRATO DE MANTENIMIENTO DE LOS COLEGIOS PUBLICOS MUNICIPALES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679"/>
    <s v="AD"/>
    <d v="2021-01-02T00:00:00"/>
    <n v="22021000423"/>
    <s v="2021 06 3261 213"/>
    <n v="711.16"/>
    <x v="84"/>
    <s v="CONTRATO DE MANTENIMIENTO DE LA ESCUELA MUNICIPAL DE MUSICA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681"/>
    <s v="AD"/>
    <d v="2021-01-02T00:00:00"/>
    <n v="22021000425"/>
    <s v="2021 06 3321 213"/>
    <n v="1422.32"/>
    <x v="84"/>
    <s v="CONTRATO DE MANTENIMIENTO DE LAS BIBLIOTECAS PUBLICAS MUNICIPALES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1"/>
    <s v="213"/>
  </r>
  <r>
    <n v="220209000830"/>
    <s v="AD"/>
    <d v="2021-01-02T00:00:00"/>
    <n v="22021001162"/>
    <s v="2021 10 2311 213"/>
    <n v="1210"/>
    <x v="84"/>
    <s v="Contrato parcial de mantenimiento del centro integrado de personas sin hogar. Enero a marzo 2021. COVID-19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0529"/>
    <s v="AD"/>
    <d v="2021-01-25T00:00:00"/>
    <n v="22021000548"/>
    <s v="2021 10 2412 213"/>
    <n v="291.67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49"/>
    <s v="2021 10 2412 213"/>
    <n v="291.67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50"/>
    <s v="2021 10 2412 213"/>
    <n v="666.66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51"/>
    <s v="2021 10 2412 213"/>
    <n v="250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3975"/>
    <s v="AD"/>
    <d v="2021-02-17T00:00:00"/>
    <n v="22021002748"/>
    <s v="2021 11 1621 634"/>
    <n v="18150"/>
    <x v="85"/>
    <s v="REPARACION ES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71"/>
    <s v="AD"/>
    <d v="2021-01-02T00:00:00"/>
    <n v="22021000321"/>
    <s v="2021 11 3111 22113"/>
    <n v="16152.82"/>
    <x v="86"/>
    <s v="CONTRATO DE SUMINISTRO DE MEDICAMENTOS Y PIENSOS PARA EL CENTRO MUNICIPAL DE PROTECCION ANIMAL - LOTE 1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13"/>
  </r>
  <r>
    <n v="220210003879"/>
    <s v="ADO"/>
    <d v="2021-02-16T00:00:00"/>
    <n v="22021002376"/>
    <s v="2021 09 3301 22799"/>
    <n v="171.42"/>
    <x v="67"/>
    <s v="PUBLICACION DE DATOS DEL OBSERVATORIO CULTURAL Y TURISTICO EN OBSERVATORIO URBANO VALLADOLID.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209000813"/>
    <s v="AD"/>
    <d v="2021-01-02T00:00:00"/>
    <n v="22021000751"/>
    <s v="2021 01 9206 22602"/>
    <n v="5179.2"/>
    <x v="87"/>
    <s v="IMPRESIÓN DEL LIBRO &quot;&quot;EL CONVENTO DE SAN FRANCISCO DE VALLADOLID&quot;&quot;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602"/>
  </r>
  <r>
    <n v="220209000408"/>
    <s v="AD"/>
    <d v="2021-01-02T00:00:00"/>
    <n v="22021000294"/>
    <s v="2021 01 9203 22000"/>
    <n v="695.06"/>
    <x v="88"/>
    <s v="CONTRATO SUMINISTRO MATERIAL DE OFICINA NO INVENTARIABLE AYTO. VALLADOLID,  LOTE 1,  R.I"/>
    <s v="220"/>
    <s v="BURGOS"/>
    <s v="BURGOS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000"/>
  </r>
  <r>
    <n v="220209000411"/>
    <s v="AD"/>
    <d v="2021-01-02T00:00:00"/>
    <n v="22021000297"/>
    <s v="2021 01 9203 22000"/>
    <n v="2388.17"/>
    <x v="88"/>
    <s v="CONTRATO SUMINISTRO MATERIAL DE OFICINA NO INVENTARIABLE AYTO.  VALLADOLID, LOTE 4,  R.I"/>
    <s v="220"/>
    <s v="BURGOS"/>
    <s v="BURGOS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000"/>
  </r>
  <r>
    <n v="220199000467"/>
    <s v="AD"/>
    <d v="2021-01-02T00:00:00"/>
    <n v="22021000706"/>
    <s v="2021 04 9204 641"/>
    <n v="18750"/>
    <x v="69"/>
    <s v="MANTENIMIENTO DEL SISTEMA DE INFORMACIÓN DEL PADRÓN MUNICIPAL DE HABITANTES DEL AYUNTAMIENTO DE VALLADOLID"/>
    <s v="220"/>
    <s v="ECIJA"/>
    <s v="SEVILLA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551"/>
    <s v="AD"/>
    <d v="2021-01-02T00:00:00"/>
    <n v="22021000582"/>
    <s v="2021 03 9241 22104"/>
    <n v="8473.64"/>
    <x v="89"/>
    <s v="VESTUARIO LOTE 1 2021 P CIUDAD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4"/>
  </r>
  <r>
    <n v="220209000615"/>
    <s v="AD"/>
    <d v="2021-01-02T00:00:00"/>
    <n v="22021000633"/>
    <s v="2021 05 4315 22100"/>
    <n v="909.32"/>
    <x v="89"/>
    <s v="VESTUARIO DE TRABAJO PARA EL PERSONAL DEL SERVICIO DE SALUD Y CONSUMO LOTE 1 - TEXTIL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17"/>
    <s v="AD"/>
    <d v="2021-01-02T00:00:00"/>
    <n v="22021000635"/>
    <s v="2021 10 2311 22104"/>
    <n v="1609.3"/>
    <x v="89"/>
    <s v="CONTRATO VESTUARIO AÑO 2021 (CONTRATO 20 Y 21) SERV.INTERVENCION SOCIAL. LOTE 1 TEXTIL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4"/>
  </r>
  <r>
    <n v="220209000642"/>
    <s v="AD"/>
    <d v="2021-01-02T00:00:00"/>
    <n v="22021000406"/>
    <s v="2021 10 2312 22104"/>
    <n v="3017.74"/>
    <x v="89"/>
    <s v="VESTUARIO LOTE 1, TEXTIL  DE LOS CPM TRANSFERIDOS PARA EL AÑO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00020"/>
    <s v="ADO"/>
    <d v="2021-01-19T00:00:00"/>
    <n v="22021000664"/>
    <s v="2021 04 9331 224"/>
    <n v="4910.7299999999996"/>
    <x v="77"/>
    <s v="MODF.CONTRATO SEGURO FLOTA VEHICULOS PRIMA 2020 AYUNTAMIENTO (REGULARIZ).EXP.101/2019 PS1) Corresponde a AD920200024938."/>
    <s v="24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0009642"/>
    <s v="AD"/>
    <d v="2021-03-29T00:00:00"/>
    <n v="22020002273"/>
    <s v="2021 10 2312 622"/>
    <n v="45012"/>
    <x v="90"/>
    <s v="DIRECCION FACULT. DE OBRAS.CPM PARQUESOL CON SED Y BIBLIOTECA MPAL."/>
    <s v="220"/>
    <s v="VALLADOLID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10001029"/>
    <s v="AD"/>
    <d v="2021-01-27T00:00:00"/>
    <n v="22021001516"/>
    <s v="2021 07 1711 213"/>
    <n v="1000"/>
    <x v="91"/>
    <s v="REPARACION DE PLATAFORMA."/>
    <s v="220"/>
    <s v="CABEZÓN DE PISUERG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3977"/>
    <s v="AD"/>
    <d v="2021-02-17T00:00:00"/>
    <n v="22021002751"/>
    <s v="2021 11 1621 634"/>
    <n v="18150"/>
    <x v="92"/>
    <s v="REPARACION DE RECOLECTOR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09"/>
    <s v="AD"/>
    <d v="2021-01-02T00:00:00"/>
    <n v="22021000295"/>
    <s v="2021 01 9203 22000"/>
    <n v="1720.64"/>
    <x v="93"/>
    <s v="CONTRATO SUMINISTRO MATERIAL DE OFICINA NO INVENTARIABLE AYTO. VALLADOLID, LOTE 2, 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10"/>
    <s v="AD"/>
    <d v="2021-01-02T00:00:00"/>
    <n v="22021000296"/>
    <s v="2021 01 9203 22000"/>
    <n v="2823.07"/>
    <x v="93"/>
    <s v="CONTRATO SUMINISTRO MATERIAL DE OFICINA NO INVENTARIABLE AYTO.  VALLADOLID, LOTE 3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12"/>
    <s v="AD"/>
    <d v="2021-01-02T00:00:00"/>
    <n v="22021000298"/>
    <s v="2021 01 9203 22000"/>
    <n v="3905.44"/>
    <x v="93"/>
    <s v="CONTRATO SUMINISTRO MATERIAL DE OFICINA NO INVENTARIABLE AYTO.  VALLADOLID, LOTE 5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1027"/>
    <s v="AD"/>
    <d v="2021-01-27T00:00:00"/>
    <n v="22021002035"/>
    <s v="2021 01 9205 22199"/>
    <n v="1353.46"/>
    <x v="93"/>
    <s v="SUMINISTRO A IMPRENTA DE TÓNER DIVERSOS COLORES Y OTRO MATERIAL COMPLEMENTARIO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3657"/>
    <s v="AD"/>
    <d v="2021-02-16T00:00:00"/>
    <n v="22021002695"/>
    <s v="2021 03 9241 22699"/>
    <n v="14.75"/>
    <x v="93"/>
    <s v="DIETARIO 2/3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06014"/>
    <s v="AD"/>
    <d v="2021-02-24T00:00:00"/>
    <n v="22021002969"/>
    <s v="2021 11 1631 214"/>
    <n v="2434.25"/>
    <x v="94"/>
    <s v="REPUESTOS PARA REPARACIÓN EQUIPOS DE VEHICULOS DESTINADOS A LA VIALIDAD INVERNAL (CUCHILLAS QUITANIEVES, ESPARCIDORES)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1354"/>
    <s v="AD"/>
    <d v="2021-02-01T00:00:00"/>
    <n v="22021000841"/>
    <s v="2021 11 1621 214"/>
    <n v="4000"/>
    <x v="95"/>
    <s v="REPARACION EMISORAS VEHICULOS Sº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1360"/>
    <s v="AD"/>
    <d v="2021-02-01T00:00:00"/>
    <n v="22021001297"/>
    <s v="2021 11 1631 213"/>
    <n v="1886"/>
    <x v="95"/>
    <s v="MANTENIMIENTO Y UBICACION REPETIDOR RED DE RADIOCOMUNICACIONES DEL S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3"/>
  </r>
  <r>
    <n v="220210002414"/>
    <s v="AD"/>
    <d v="2021-02-08T00:00:00"/>
    <n v="22021002348"/>
    <s v="2021 11 1321 22199"/>
    <n v="500"/>
    <x v="95"/>
    <s v="COMPONENTES AUDIOVISUALES PARA EL PERSONAL DEL CENTRO DE OPERACIONES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0323"/>
    <s v="AD"/>
    <d v="2021-01-21T00:00:00"/>
    <n v="22021000638"/>
    <s v="2021 11 1361 213"/>
    <n v="1297.02"/>
    <x v="96"/>
    <s v="Reparación sistema de elevación de cabina en vehículo AEA 18, autoescala IVECO, matrícula 3513 GZF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0483"/>
    <s v="AD"/>
    <d v="2021-01-25T00:00:00"/>
    <n v="22021001166"/>
    <s v="2021 11 1361 213"/>
    <n v="58.35"/>
    <x v="96"/>
    <s v="TESTEADO/DIAGNOSIS LOCALIZACIÓN FALLO ELECTRICO Y BORRADO DE MEMORIA DE AVERIA BUP-1 4894JLF///EXTINCION INCENDIOS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2393"/>
    <s v="AD"/>
    <d v="2021-02-08T00:00:00"/>
    <n v="22021002354"/>
    <s v="2021 08 1532 214"/>
    <n v="549.91999999999996"/>
    <x v="96"/>
    <s v="Reparación vehículo 6415-DNY Kms.116706 Cambio aceite motor, filtros aceite, gasoil,aire, revisar niveles, luces,correas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2394"/>
    <s v="AD"/>
    <d v="2021-02-08T00:00:00"/>
    <n v="22021002355"/>
    <s v="2021 08 1532 214"/>
    <n v="134.83000000000001"/>
    <x v="96"/>
    <s v="Reparación vehículo 5667-CFT. Cambio tirantes y casquillos de barra estabilizadora. Tirante / soporte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2425"/>
    <s v="AD"/>
    <d v="2021-02-08T00:00:00"/>
    <n v="22021002233"/>
    <s v="2021 11 1361 213"/>
    <n v="428.05"/>
    <x v="96"/>
    <s v="Montaje conexiones toma aire regulación muelles frenado (ITV) autobombas 4894JLF y 4914JLF BUPs 1-2;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3976"/>
    <s v="AD"/>
    <d v="2021-02-17T00:00:00"/>
    <n v="22021002749"/>
    <s v="2021 11 1621 634"/>
    <n v="18150"/>
    <x v="96"/>
    <s v="REPARAC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6063"/>
    <s v="AD"/>
    <d v="2021-02-24T00:00:00"/>
    <n v="22021002855"/>
    <s v="2021 11 1361 214"/>
    <n v="7024.66"/>
    <x v="96"/>
    <s v="Reparación avería grave_sustitución caja cambios vehículo nodriza pesada IVECO matrícula 7425FKM, vehículo BNP_8;SEISYPC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4"/>
  </r>
  <r>
    <n v="220209000643"/>
    <s v="AD"/>
    <d v="2021-01-02T00:00:00"/>
    <n v="22021000407"/>
    <s v="2021 10 2312 22104"/>
    <n v="1943.26"/>
    <x v="89"/>
    <s v="VESTUARIO LOTE 1 , TEXTIL DE LOS CPM SIN TRANSFERIR PARA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199000117"/>
    <s v="AD"/>
    <d v="2021-01-02T00:00:00"/>
    <n v="22021000125"/>
    <s v="2021 04 9204 216"/>
    <n v="13227"/>
    <x v="97"/>
    <s v="ASISTENCIA TÉCNICA OPERACIÓN, CAU, Y MANTENIMIENTO DEL SOFTWARE DE BASE Y COMUNICACIONES. LOTE 1-REAJUSTE ANUALIDADES"/>
    <s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9000777"/>
    <s v="AD"/>
    <d v="2021-01-02T00:00:00"/>
    <n v="22021000498"/>
    <s v="2021 04 9204 216"/>
    <n v="113821.79"/>
    <x v="97"/>
    <s v="ASISTENCIA TÉCNICA OPERACIÓN, CAU, Y MANTENIMIENTO  DEL SOFTWARE DE BASE Y COMUNICACIONES LOTE 1 (PRIMERA PRÓRROGA)"/>
    <s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33658"/>
    <s v="AD"/>
    <d v="2021-03-29T00:00:00"/>
    <n v="22019007497"/>
    <s v="2021 05 9339 632"/>
    <n v="8886.24"/>
    <x v="90"/>
    <s v="DIRECCIÓN FACULTATIVA OBRAS AMPLIACIÓN AGENCIA DE LA INNOVACIÓN Y DESARROLLO ECONÓMICO DE VALLADOLID (Ac4-12-2019)"/>
    <s v="220"/>
    <s v="VALLADOLID"/>
    <s v="VALLADOL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10003981"/>
    <s v="AD"/>
    <d v="2021-02-17T00:00:00"/>
    <n v="22021002505"/>
    <s v="2021 04 3121 213"/>
    <n v="226.62"/>
    <x v="82"/>
    <s v="Suministro conectores informáticos para dos puestos de trabajo. DEPARTAMENTO DE PREVENCION Y SALUD LABORAL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3"/>
    <s v="3121"/>
    <s v="3121. Prevención y salud laboral"/>
    <s v="21"/>
    <s v="213"/>
  </r>
  <r>
    <n v="220210006031"/>
    <s v="AD"/>
    <d v="2021-02-24T00:00:00"/>
    <n v="22021002949"/>
    <s v="2021 10 2412 22199"/>
    <n v="600.01"/>
    <x v="98"/>
    <s v="PLANTAS DE DIVERSAS CLASES PARA EL CURSO DE PARQUES Y JARDINES DEL C. DE FORMACION PA EL EMPLEO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09000050"/>
    <s v="AD"/>
    <d v="2021-01-02T00:00:00"/>
    <n v="22021000193"/>
    <s v="2021 09 3301 22706"/>
    <n v="13915"/>
    <x v="99"/>
    <s v="ADJUDICACION CONTRATO SERV. MANTENIMIENTO OBSERVATORIO CULTURAL Y TURISTICO CIUDAD DE VALLADOLID. LOTE 1,  AÑOS 2020-23"/>
    <s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6954"/>
    <s v="AD"/>
    <d v="2021-03-04T00:00:00"/>
    <n v="22021003068"/>
    <s v="2021 07 1711 214"/>
    <n v="1000"/>
    <x v="85"/>
    <s v="REPARACION DE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3955"/>
    <s v="ADO"/>
    <d v="2021-02-16T00:00:00"/>
    <n v="22021002690"/>
    <s v="2021 09 3301 22706"/>
    <n v="6025.76"/>
    <x v="99"/>
    <s v="SERVICIO MANTENIMIENTO OBSERVATORIO CULTURAL Y TURISTICO LOTE 1- 51/2019 DE 26/6/2020 AL 18/12/2020"/>
    <s v="24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6171"/>
    <s v="AD/"/>
    <d v="2021-02-25T00:00:00"/>
    <n v="22021000193"/>
    <s v="2021 09 3301 22706"/>
    <n v="-13915"/>
    <x v="99"/>
    <s v="RESOLUCION  CONTRATO SERV. MANTENIMIENTO OBSERVATORIO CULTURAL Y TURISTICO CIUDAD DE VALLADOLID. LOTE 1,  AÑO 2021"/>
    <s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09000624"/>
    <s v="AD"/>
    <d v="2021-01-02T00:00:00"/>
    <n v="22021000746"/>
    <s v="2021 04 9204 641"/>
    <n v="8324.7999999999993"/>
    <x v="100"/>
    <s v="CONTRATACIÓN DE UNA AUDITORÍA DE ACCESIBILIDAD Y USABILIDAD PARA LOS PORTALES WEB DEL AYUNTAMIENTO DE VALLADOLID"/>
    <s v="220"/>
    <s v="SIMANCAS"/>
    <s v="VALLADOLID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2353"/>
    <s v="AD"/>
    <d v="2021-02-04T00:00:00"/>
    <n v="22021002030"/>
    <s v="2021 10 2312 22799"/>
    <n v="195.23"/>
    <x v="100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2353"/>
    <s v="AD"/>
    <d v="2021-02-04T00:00:00"/>
    <n v="22021002029"/>
    <s v="2021 10 2312 22799"/>
    <n v="207.85"/>
    <x v="100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4544"/>
    <s v="D"/>
    <d v="2021-02-19T00:00:00"/>
    <n v="22021001275"/>
    <s v="2021 07 1711 22199"/>
    <n v="445.44"/>
    <x v="98"/>
    <s v="ACUERDO MARCO 2017/36, SUMINISTRO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67"/>
    <s v="D"/>
    <d v="2021-02-19T00:00:00"/>
    <n v="22021001275"/>
    <s v="2021 07 1711 22199"/>
    <n v="134.19999999999999"/>
    <x v="98"/>
    <s v="ACUERDO MARCO 2017/36, ADQUISICIÓN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09000450"/>
    <s v="AD"/>
    <d v="2021-01-02T00:00:00"/>
    <n v="22021000309"/>
    <s v="2021 11 1361 213"/>
    <n v="4422.37"/>
    <x v="101"/>
    <s v="MANTENIMIENTO PREVENTIVO Y CORRECTIVO DE PUERTAS CORREDERAS Y SECCIONABLES. SERVICIO DE EXTINCION DE INCENDIO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734"/>
    <s v="AD"/>
    <d v="2021-01-02T00:00:00"/>
    <n v="22021000466"/>
    <s v="2021 01 9203 22104"/>
    <n v="13289.7"/>
    <x v="89"/>
    <s v="ADJUDICACION CONTRATO SUMNISTRO VESTUARIO 2021 PERSONAL ADSCRITO UNIDAD DE REGIMEN INTERIOR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10006047"/>
    <s v="AD"/>
    <d v="2021-02-24T00:00:00"/>
    <n v="22021002868"/>
    <s v="2021 07 1711 22799"/>
    <n v="3500"/>
    <x v="102"/>
    <s v="TRABAJOS DIVERSOS EN ZONAS AJARDINADAS."/>
    <s v="220"/>
    <s v="MATAPOZUELOS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560"/>
    <s v="AD"/>
    <d v="2021-01-02T00:00:00"/>
    <n v="22021000739"/>
    <s v="2021 04 9204 641"/>
    <n v="10278.950000000001"/>
    <x v="103"/>
    <s v="CONTRATACIÓN DE UN SERVICIO DE ADECUACIÓN A LAS NORMATIVAS DE SEGURIDAD DEL ESQUEMA NACIONAL DE SEGURIDAD"/>
    <s v="220"/>
    <s v="LLANERA"/>
    <s v="ASTURIAS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6174"/>
    <s v="AD"/>
    <d v="2021-02-25T00:00:00"/>
    <n v="22021002150"/>
    <s v="2021 05 4331 22706"/>
    <n v="11394.2"/>
    <x v="103"/>
    <s v="Asistencia Técnica a la implantación de RGPD y ENS en Agencia de Innovación y Desarrollo Económico y  proyecto S2CITY"/>
    <s v="220"/>
    <s v="LLANERA"/>
    <s v="ASTURIAS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0504"/>
    <s v="AD"/>
    <d v="2021-01-25T00:00:00"/>
    <n v="22021001677"/>
    <s v="2021 03 9241 22609"/>
    <n v="484"/>
    <x v="104"/>
    <s v="REPRESENTACIÓN EN CC ESGUEVA DÍA 04/01/2021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09000369"/>
    <s v="AD"/>
    <d v="2021-01-02T00:00:00"/>
    <n v="22021000273"/>
    <s v="2021 10 2311 22799"/>
    <n v="10862800"/>
    <x v="105"/>
    <s v="contrato ayuda a domicilio -lote 1- años 2021, 2022 y enero a agosto 2023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30"/>
    <s v="AD"/>
    <d v="2021-01-02T00:00:00"/>
    <n v="22021000405"/>
    <s v="2021 10 2311 22799"/>
    <n v="724000"/>
    <x v="105"/>
    <s v="AMPLIACIÓN contrato ayuda a domicilio -lote 1-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6039"/>
    <s v="AD"/>
    <d v="2021-02-24T00:00:00"/>
    <n v="22021002835"/>
    <s v="2021 10 2412 22104"/>
    <n v="1024.8699999999999"/>
    <x v="89"/>
    <s v="VESTUARIO DEL CURSO DE VALLADOLID CUIDAIV DEL C. DE FORMACION PARA EL EMPLEO DEL 15 DE FEBRERO AL 14 DE AGOSTO D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04"/>
  </r>
  <r>
    <n v="220210006950"/>
    <s v="AD"/>
    <d v="2021-03-04T00:00:00"/>
    <n v="22021003056"/>
    <s v="2021 07 1711 214"/>
    <n v="4000"/>
    <x v="96"/>
    <s v="REPARACION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10216"/>
    <s v="D"/>
    <d v="2021-03-18T00:00:00"/>
    <n v="22021002378"/>
    <s v="2021 02 9332 214"/>
    <n v="604.87"/>
    <x v="96"/>
    <s v="REPARACION 3883-FMN /// CAMBIAR ACEITE MOTOR Y TODOS LOS FILTROS, CAMBIAR VALVULINAS C/G. REVISAR NIVELE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0205"/>
    <s v="AD"/>
    <d v="2021-01-20T00:00:00"/>
    <n v="22021000950"/>
    <s v="2021 03 9241 22602"/>
    <n v="1210"/>
    <x v="106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09000074"/>
    <s v="AD"/>
    <d v="2021-01-02T00:00:00"/>
    <n v="22021000204"/>
    <s v="2021 05 4331 22799"/>
    <n v="13390.67"/>
    <x v="99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6444"/>
    <s v="AD"/>
    <d v="2021-02-25T00:00:00"/>
    <n v="22021002683"/>
    <s v="2021 01 9206 22001"/>
    <n v="626.78"/>
    <x v="107"/>
    <s v="3 SUSCRIPCIONES ANUALES A REVISTA CUNAL Y 2 SUSCRIPCIONES ANUALES A COSITAL NETWORK, AÑO 2021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3620"/>
    <s v="AD"/>
    <d v="2021-02-16T00:00:00"/>
    <n v="22021002040"/>
    <s v="2021 11 3111 22199"/>
    <n v="3000"/>
    <x v="108"/>
    <s v="ADQUISICION MICROCHIP, CERTIFICADOS Y CARTILLAS (DOCUMENTACION OFICIAL) PARA LOS ANIMALES DEL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5491"/>
    <s v="D"/>
    <d v="2021-02-23T00:00:00"/>
    <n v="22021001968"/>
    <s v="2021 11 1321 22199"/>
    <n v="18.420000000000002"/>
    <x v="109"/>
    <s v="ACUERDO MARCO. SUMINISTRO DE MATERIALES PARA MANTENIMIENTO EDIFICIO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92"/>
    <s v="D"/>
    <d v="2021-02-23T00:00:00"/>
    <n v="22021002053"/>
    <s v="2021 11 1631 212"/>
    <n v="8.31"/>
    <x v="109"/>
    <s v="AC MARCO EXP V36-2017: SUMINISTO MATERIAL (YESO9 VESTUARIO c/ JOSÉ CANTLAPIED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2"/>
  </r>
  <r>
    <n v="220210005515"/>
    <s v="D"/>
    <d v="2021-02-23T00:00:00"/>
    <n v="22021002048"/>
    <s v="2021 11 1621 214"/>
    <n v="1233.56"/>
    <x v="110"/>
    <s v="AC MARCO EXP V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17"/>
    <s v="D"/>
    <d v="2021-02-23T00:00:00"/>
    <n v="22021002048"/>
    <s v="2021 11 1621 214"/>
    <n v="443.66"/>
    <x v="110"/>
    <s v="AC MARCO EXP V36-200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1"/>
    <s v="D"/>
    <d v="2021-02-23T00:00:00"/>
    <n v="22021002048"/>
    <s v="2021 11 1621 214"/>
    <n v="847.23"/>
    <x v="110"/>
    <s v="AC MARCO EXP V.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5"/>
    <s v="D"/>
    <d v="2021-02-23T00:00:00"/>
    <n v="22021002048"/>
    <s v="2021 11 1621 214"/>
    <n v="1146.02"/>
    <x v="110"/>
    <s v="AC MARCO EXP V36-201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7"/>
    <s v="D"/>
    <d v="2021-02-23T00:00:00"/>
    <n v="22021002048"/>
    <s v="2021 11 1621 214"/>
    <n v="2128.52"/>
    <x v="110"/>
    <s v="AC MARCO EXP V36-2017: REPUESTOS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33"/>
    <s v="D"/>
    <d v="2021-02-23T00:00:00"/>
    <n v="22021002048"/>
    <s v="2021 11 1621 214"/>
    <n v="1340.27"/>
    <x v="110"/>
    <s v="AC MARCO EXP V36-2017: REPUESTOS PARA REPARACION VEHICULOS SERVICIO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2430"/>
    <s v="AD"/>
    <d v="2021-02-08T00:00:00"/>
    <n v="22021002309"/>
    <s v="2021 11 1321 213"/>
    <n v="1540.38"/>
    <x v="111"/>
    <s v="SUMINISTRO DE TONER PARA IMPRESORAS ESPECIALES DE POLICÍA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9000195"/>
    <s v="AD"/>
    <d v="2021-01-02T00:00:00"/>
    <n v="22021000239"/>
    <s v="2021 08 1651 213"/>
    <n v="28239.81"/>
    <x v="112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09000474"/>
    <s v="AD"/>
    <d v="2021-01-02T00:00:00"/>
    <n v="22021000074"/>
    <s v="2021 07 1711 22104"/>
    <n v="9453.9699999999993"/>
    <x v="113"/>
    <s v="CONTRATO PARA SUMINISTRO DE VESTUARIO AL PERSONAL DEL SERVICIO DE PARQUES Y JARDINES, LOTE 3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4"/>
  </r>
  <r>
    <n v="220210002602"/>
    <s v="AD"/>
    <d v="2021-02-09T00:00:00"/>
    <n v="22021002301"/>
    <s v="2021 04 9321 22799"/>
    <n v="2032.8"/>
    <x v="114"/>
    <s v="Fabricación de placas de vado (permanente y horario)) destinadas a la renovación-sustitución por deteriorro.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5596"/>
    <s v="D"/>
    <d v="2021-02-23T00:00:00"/>
    <n v="22021002054"/>
    <s v="2021 11 1631 214"/>
    <n v="3083.36"/>
    <x v="110"/>
    <s v="AC MARCO EXP V36-2017: SUMINISTRO CEPILLOS REPARACION Y MANTENIMIENTO BARREDORA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598"/>
    <s v="D"/>
    <d v="2021-02-23T00:00:00"/>
    <n v="22021002054"/>
    <s v="2021 11 1631 214"/>
    <n v="1407.21"/>
    <x v="110"/>
    <s v="AC MARCO EXP V36-2017:SUMINISTRO CEILLOS REPARACION BARREDORAS RAV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4532"/>
    <s v="D"/>
    <d v="2021-02-19T00:00:00"/>
    <n v="22021001275"/>
    <s v="2021 07 1711 22199"/>
    <n v="355.03"/>
    <x v="114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82"/>
    <s v="D"/>
    <d v="2021-02-23T00:00:00"/>
    <n v="22021001968"/>
    <s v="2021 11 1321 22199"/>
    <n v="284.05"/>
    <x v="114"/>
    <s v="ACUERDO MARCO. SUMINISTRO DE MATERIAL FERRETERIA Y OTRO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09000017"/>
    <s v="AD"/>
    <d v="2021-01-02T00:00:00"/>
    <n v="22021000184"/>
    <s v="2021 01 9205 203"/>
    <n v="725.32"/>
    <x v="115"/>
    <s v="ARRENDAMIENTO/MANTENIMIENTO SISTEMA PRODUCCIÓN DIGITAL BIZHUB C-6500 EN IMPRENTA: ENERO y FEBRER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0"/>
    <s v="203"/>
  </r>
  <r>
    <n v="220210000509"/>
    <s v="AD"/>
    <d v="2021-01-25T00:00:00"/>
    <n v="22021001683"/>
    <s v="2021 03 9241 22602"/>
    <n v="536.15"/>
    <x v="115"/>
    <s v="CARTELES PUBLICITARIOS AÑO 2020: EXPOSICIONES Y MUESTRAS DE TEATRO Y CULTURA TRADICION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0546"/>
    <s v="AD"/>
    <d v="2021-01-25T00:00:00"/>
    <n v="22021001282"/>
    <s v="2021 01 9205 203"/>
    <n v="3626.62"/>
    <x v="115"/>
    <s v="ARRENDAMIENTO Y MANTENIMIENTO EQUIPO PRODUCCIÓN DIGITAL BIZHUB C-6500 PARA LA IMPRENTA: DEL 01/03/2021 a 31/12/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0"/>
    <s v="203"/>
  </r>
  <r>
    <n v="220210001244"/>
    <s v="AD"/>
    <d v="2021-01-29T00:00:00"/>
    <n v="22021002111"/>
    <s v="2021 08 1532 213"/>
    <n v="400"/>
    <x v="115"/>
    <s v="COPIAS DE COPIADORA SAMSUNG CLX 9201-NA (FC008590)  DE ENERO A ABRIL -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1245"/>
    <s v="AD"/>
    <d v="2021-01-29T00:00:00"/>
    <n v="22021002117"/>
    <s v="2021 08 1532 203"/>
    <n v="250"/>
    <x v="115"/>
    <s v="ARRENDAMIENTO DE COPIADORAS SAMSUNG CLX 9201-NA (FC008590)  DE ENERO A ABRIL-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4003"/>
    <s v="AD"/>
    <d v="2021-02-17T00:00:00"/>
    <n v="22021002586"/>
    <s v="2021 02 1511 22699"/>
    <n v="160"/>
    <x v="115"/>
    <s v="MATERIAL FUNGIBLE FOTOCOPIADORA SS-CLX-9201NA SERV.CARTOGRAFÍA(PLZA. STA.ANA PLT.4,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699"/>
  </r>
  <r>
    <n v="220210002487"/>
    <s v="D"/>
    <d v="2021-02-08T00:00:00"/>
    <n v="22021002228"/>
    <s v="2021 06 3232 212"/>
    <n v="93.28"/>
    <x v="109"/>
    <s v="MATERIAL VARIO CONSTRUCCION PARA EL MANTENIMIENTO DEL COLEGIO CARDENAL MENDOZA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302"/>
    <s v="D"/>
    <d v="2021-02-12T00:00:00"/>
    <n v="22021002228"/>
    <s v="2021 06 3232 212"/>
    <n v="165.59"/>
    <x v="109"/>
    <s v="MATERIAL CONSTRUCCION: ALBARANES DE ENERO DEL 2021 (CP ALONSO BERRUGUET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8535"/>
    <s v="D"/>
    <d v="2021-03-11T00:00:00"/>
    <n v="22021002228"/>
    <s v="2021 06 3232 212"/>
    <n v="64.89"/>
    <x v="116"/>
    <s v="MATERIAL VARIO CONSTRUCCION: CARTUCHO MASILL/ CEMENTO GRIS 25KG/ CEMENTO RAPIDO VICAT // C.P. PARQUE ALAMED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618"/>
    <s v="AD"/>
    <d v="2021-01-02T00:00:00"/>
    <n v="22021000743"/>
    <s v="2021 04 9204 641"/>
    <n v="279560.46000000002"/>
    <x v="117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826"/>
    <s v="AD"/>
    <d v="2021-01-02T00:00:00"/>
    <n v="22021001164"/>
    <s v="2021 04 9204 641"/>
    <n v="37472.26"/>
    <x v="117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8725"/>
    <s v="D"/>
    <d v="2021-03-11T00:00:00"/>
    <n v="22021002088"/>
    <s v="2021 03 9241 212"/>
    <n v="15.13"/>
    <x v="116"/>
    <s v="MATERIAL VARIO CONSTRUCCION: PLACA 600*600 CAPRI A DECOGIPS // MANTENIMIENTO EDIFICIO SEGUNDO MONT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1103"/>
    <s v="ADO"/>
    <d v="2021-01-29T00:00:00"/>
    <n v="22021001937"/>
    <s v="2021 04 9231 22799"/>
    <n v="726.18"/>
    <x v="118"/>
    <s v="SERVICIO DE IMPRESION, PLEGADO Y ENSOBRADO DE LOS ENVIOS POSTALES DEL AYTO/ EXPTE: 39/2019/ MES DICIEMBRE 2020"/>
    <s v="240"/>
    <s v="MALAGA"/>
    <s v="MALAGA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4239"/>
    <s v="AD"/>
    <d v="2021-02-18T00:00:00"/>
    <n v="22021002833"/>
    <s v="2021 02 9332 213"/>
    <n v="445.28"/>
    <x v="119"/>
    <s v="REPARACIÓN AVERÍA EN INSTALACIONES DE CALEFACCIÓN DEL EDIFICIO DE SAN BENI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694"/>
    <s v="AD"/>
    <d v="2021-01-02T00:00:00"/>
    <n v="22021000438"/>
    <s v="2021 03 9241 632"/>
    <n v="3815.59"/>
    <x v="120"/>
    <s v="REPARACIÓN HUMEDADES DEL CENTRO CÍVICO RONDILLA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10006053"/>
    <s v="AD"/>
    <d v="2021-02-24T00:00:00"/>
    <n v="22021002640"/>
    <s v="2021 07 1711 22799"/>
    <n v="18137.900000000001"/>
    <x v="121"/>
    <s v="LIMPIEZA DE TRONCOS Y VEGETACION ACUMULADOS EN EL PUENTE MAYOR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3647"/>
    <s v="AD"/>
    <d v="2021-02-16T00:00:00"/>
    <n v="22021002594"/>
    <s v="2021 08 1532 619"/>
    <n v="4235"/>
    <x v="122"/>
    <s v="Actualización del Proyecto &quot;&quot;MEJORA DEL FIRME,SEÑALIZACIÓN Y BALIZAMIENTO DE LA ANTIGUA N-620&quot;&quot;.-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199000762"/>
    <s v="AD"/>
    <d v="2021-01-02T00:00:00"/>
    <n v="22021000175"/>
    <s v="2021 10 2311 22799"/>
    <n v="12100"/>
    <x v="123"/>
    <s v="AMPLIACION CONTRATO TELEASISTENCIA POR MAYOR SERVICIO-PROGRAMA CUIDANDO-TE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2379"/>
    <s v="AD"/>
    <d v="2021-02-08T00:00:00"/>
    <n v="22021002276"/>
    <s v="2021 08 1532 203"/>
    <n v="1815"/>
    <x v="124"/>
    <s v="ALQUILER Y RETIRADA DE CONTENEDORES DE OBRA, A DEMANDA SEGÚN NECESIDADES.-"/>
    <s v="220"/>
    <s v="LA FLECHA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2387"/>
    <s v="AD"/>
    <d v="2021-02-08T00:00:00"/>
    <n v="22021001875"/>
    <s v="2021 06 3232 212"/>
    <n v="7260"/>
    <x v="124"/>
    <s v="SUMINISTRO DE CONTENEDORES, ÁRIDOS Y RETIRADA DE ESCOMBROS PARA OBRAS DE LOS COLEGIOS PÚBLICOS DE VALLADOLID. PLAZO 1 AÑ"/>
    <s v="220"/>
    <s v="LA FLECHA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834"/>
    <s v="AD"/>
    <d v="2021-02-11T00:00:00"/>
    <n v="22021002235"/>
    <s v="2021 11 1621 219"/>
    <n v="4386.8599999999997"/>
    <x v="125"/>
    <s v="SUMINISTRO REPUESTOS PARA REPARACION CONTENEDORES CARGA LATERAL DEL Sº LIMPIEZA"/>
    <s v="220"/>
    <s v="GETAFE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3621"/>
    <s v="AD"/>
    <d v="2021-02-16T00:00:00"/>
    <n v="22021002561"/>
    <s v="2021 11 1621 623"/>
    <n v="3146"/>
    <x v="125"/>
    <s v="ADQUISICION 50 CONTENEDORES PARA DEPÓSITO DE FUNDENTE EN LA VÍA PUBLICA PARA USO DEL PERSONAL DEL Sº LIMPIEZA"/>
    <s v="220"/>
    <s v="GETAFE"/>
    <s v="MADRID"/>
    <x v="1"/>
    <s v="AdDirec - Adjudicación Directa"/>
    <s v="SinC - Sin Criterio"/>
    <x v="0"/>
    <x v="0"/>
    <s v="6"/>
    <s v="6. Inversiones reales"/>
    <s v="11"/>
    <x v="5"/>
    <s v="1621"/>
    <s v="1621. Servicio de limpieza"/>
    <s v="62"/>
    <s v="623"/>
  </r>
  <r>
    <n v="220209000036"/>
    <s v="AD"/>
    <d v="2021-01-02T00:00:00"/>
    <n v="22021000186"/>
    <s v="2021 10 2311 22799"/>
    <n v="74000"/>
    <x v="123"/>
    <s v="PRORROGA CONTRATO TELEASISTENCIA HASTA 30 JUNIO DE 2021- PROYECTO TELEASISTENCIA (ACUERDO MARCO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46"/>
    <s v="AD"/>
    <d v="2021-01-02T00:00:00"/>
    <n v="22021000410"/>
    <s v="2021 10 2311 22799"/>
    <n v="722000"/>
    <x v="123"/>
    <s v="proy.socioeduc.y des.comunit.ceas-consejos soc, integ, cang. y salidas-año 2021 y ene a agosto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47"/>
    <s v="AD"/>
    <d v="2021-01-02T00:00:00"/>
    <n v="22021000411"/>
    <s v="2021 10 2311 22799"/>
    <n v="13000"/>
    <x v="123"/>
    <s v="contrato proy.socioeduc.y des.comunit.ceas-programa construyendo mi futuro-año 2021 y ene a agosto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4238"/>
    <s v="AD"/>
    <d v="2021-02-18T00:00:00"/>
    <n v="22021002832"/>
    <s v="2021 02 9332 632"/>
    <n v="1343.71"/>
    <x v="126"/>
    <s v="SUSTITUCIÓN CENTRALES DE GESTIÓN CALDERAS CASA CONSISTORIAL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189000072"/>
    <s v="AD"/>
    <d v="2021-01-02T00:00:00"/>
    <n v="22021000120"/>
    <s v="2021 09 4321 22799"/>
    <n v="5082"/>
    <x v="127"/>
    <s v="CONTRATO DE SERVICIOS DE GESTION DE LAS PANTALLAS DE GRAN FORMATO UBICADAS EN LA CIUDAD DE VALLADOLID"/>
    <s v="220"/>
    <s v="BILBAO"/>
    <s v="VIZCAYA"/>
    <x v="0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799"/>
  </r>
  <r>
    <n v="220210000324"/>
    <s v="AD"/>
    <d v="2021-01-21T00:00:00"/>
    <n v="22021000644"/>
    <s v="2021 06 3232 213"/>
    <n v="7105.8"/>
    <x v="128"/>
    <s v="MANTENIMIENTO CORRECTIVO Y TRABAJOS DE RECARGA DE EXTINTORES REALIZADOS EN LOS COLEGIOS PÚBLICOS. PLAZO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0496"/>
    <s v="AD"/>
    <d v="2021-01-25T00:00:00"/>
    <n v="22021001279"/>
    <s v="2021 07 1711 22799"/>
    <n v="1000"/>
    <x v="128"/>
    <s v="RECARGA Y REVISION DE EXTINTOR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3978"/>
    <s v="AD"/>
    <d v="2021-02-17T00:00:00"/>
    <n v="22021002169"/>
    <s v="2021 09 3341 22701"/>
    <n v="1445.95"/>
    <x v="128"/>
    <s v="CONTRATO MENOR MANTENIMIENTO SISTEMA CONTRA INCENDIOS DEL EDIFICIO DE LA CUPULA DEL MILENIO.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01"/>
  </r>
  <r>
    <n v="220210004226"/>
    <s v="AD"/>
    <d v="2021-02-18T00:00:00"/>
    <n v="22021002817"/>
    <s v="2021 05 4331 213"/>
    <n v="112.23"/>
    <x v="128"/>
    <s v="CONTRATO DE MANTENIMIENTO DEL SISTEMA DE DETECCIÓN AUTOMÁTICA DE INCENDIOS, Y REVISIÓN DE EXTINTORES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4241"/>
    <s v="AD"/>
    <d v="2021-02-18T00:00:00"/>
    <n v="22021002743"/>
    <s v="2021 06 3231 213"/>
    <n v="1000"/>
    <x v="128"/>
    <s v="MANTENIMIENTO CORRECTIVO Y RECARGA DE EXTINTORES, BIES Y CENTRAL DE ALARMA EN ESCUELAS INFANTILES.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3"/>
  </r>
  <r>
    <n v="220210001356"/>
    <s v="AD"/>
    <d v="2021-02-01T00:00:00"/>
    <n v="22021001245"/>
    <s v="2021 11 1631 214"/>
    <n v="4500"/>
    <x v="129"/>
    <s v="MONTAJE Y SUMINISTRO DE CRISTALES DE PARABRISAS Y PUERTAS PARA VEHICULOS S. LIMPIEZA VIARI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199000397"/>
    <s v="AD"/>
    <d v="2021-01-02T00:00:00"/>
    <n v="22021000152"/>
    <s v="2021 09 4321 22799"/>
    <n v="9579.16"/>
    <x v="127"/>
    <s v="PRORROGA CONTRATO SERVICIOS PLANIFICACION, CAPTACION Y GESTION DE PATROCINIOS EN VALLADOLID. ENERO 2020 - OCTUBRE 2021"/>
    <s v="220"/>
    <s v="BILBAO"/>
    <s v="VIZCAYA"/>
    <x v="0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799"/>
  </r>
  <r>
    <n v="220209000011"/>
    <s v="AD"/>
    <d v="2021-01-02T00:00:00"/>
    <n v="22021000183"/>
    <s v="2021 10 2313 22799"/>
    <n v="30000"/>
    <x v="117"/>
    <s v="SERVICIO DE MANTENIMIENTO DE LA APLICACION INFORMATICA PRESTAVA, AÑOS 2021 Y 2022"/>
    <s v="220"/>
    <s v="BOECILLO"/>
    <s v="VALLADOLID"/>
    <x v="0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2"/>
    <s v="22799"/>
  </r>
  <r>
    <n v="220209000038"/>
    <s v="AD"/>
    <d v="2021-01-02T00:00:00"/>
    <n v="22021000187"/>
    <s v="2021 04 9231 22799"/>
    <n v="60500"/>
    <x v="118"/>
    <s v="SERVICIO DE IMPRESION, PLEGADO Y ENSOBRADO DE ENVIOS POSTALES DEL AYTO. VALLADOLID - AÑOS 2021 Y 2022"/>
    <s v="220"/>
    <s v="MALAGA"/>
    <s v="MALAGA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09000285"/>
    <s v="AD"/>
    <d v="2021-01-02T00:00:00"/>
    <n v="22021000260"/>
    <s v="2021 11 1631 22700"/>
    <n v="49351.5"/>
    <x v="130"/>
    <s v="CONTRATO TRANSPORTE RESIDUOS LIMPIEZA VIARIA DESDE INSTALACIONES Sº LIMPIEZA A PLANTA DE TRATAMIENTO, 1-1-21 A 24-7-2022"/>
    <s v="220"/>
    <s v="PALENCIA"/>
    <s v="PALENCIA"/>
    <x v="0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700"/>
  </r>
  <r>
    <n v="220209000331"/>
    <s v="AD"/>
    <d v="2021-01-02T00:00:00"/>
    <n v="22021002447"/>
    <s v="2021 06 3321 622"/>
    <n v="1205456.4099999999"/>
    <x v="131"/>
    <s v="OBRA NUEVA BIBLIOTECA PARQUESOL (AÑO 2020:220.258,98)  AÑO 2021: 1.580.549,39 - 2022:111.161,95 TOTAL ADJ: 1.911.970,3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9000356"/>
    <s v="AD"/>
    <d v="2021-01-02T00:00:00"/>
    <n v="22021002448"/>
    <s v="2021 10 2312 622"/>
    <n v="1578052.03"/>
    <x v="131"/>
    <s v="OBRA NUEVA CPM PARQUESOL CON SED-(AÑO 2020:288.339,03)    AÑO 2021:2.069.082,85 -2022:145.521,11-TOTAL ADJ:2.502.942,99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360"/>
    <s v="AD"/>
    <d v="2021-01-02T00:00:00"/>
    <n v="22021000734"/>
    <s v="2021 06 3321 622"/>
    <n v="375092.98"/>
    <x v="131"/>
    <s v="ADJUD REAJUS ANUALIDADES X REDUCCION DE PLAZO DE EJECUCION DE 20 A 16 MESES-OBRA BIBLIOTECA PARQUESOL-AÑOS OBRA 20,21,2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9000608"/>
    <s v="AD"/>
    <d v="2021-01-02T00:00:00"/>
    <n v="22021000626"/>
    <s v="2021 04 9331 22706"/>
    <n v="2904"/>
    <x v="132"/>
    <s v="CTO MENOR ASESO- GESTIÓN INMUEBLES MCPALES EDIFICIO CAJA DUERO (Mª Molina-13, Pl Zorrilla-3 y Santiago 28)  Exp.110/2020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31"/>
    <s v="9331. Gestión del patrimonio"/>
    <s v="22"/>
    <s v="22706"/>
  </r>
  <r>
    <n v="220199000761"/>
    <s v="AD"/>
    <d v="2021-01-02T00:00:00"/>
    <n v="22021000174"/>
    <s v="2021 08 1532 204"/>
    <n v="794.96"/>
    <x v="133"/>
    <s v="PRORROGA CONTRATO RENTING VEHÍCULOS. Lote nº 2, Expte 9/2017 del 30-enero al 31-diciembre 2020 y enero - 2021.-"/>
    <s v="220"/>
    <s v="ERANDIO"/>
    <s v="VIZCAYA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10002855"/>
    <s v="AD"/>
    <d v="2021-02-11T00:00:00"/>
    <n v="22021002168"/>
    <s v="2021 08 1532 204"/>
    <n v="6947.82"/>
    <x v="133"/>
    <s v="Alquiler de 3 vehículos tipo turismo durante 8 meses.-"/>
    <s v="220"/>
    <s v="ERANDIO"/>
    <s v="VIZCAY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09000810"/>
    <s v="AD"/>
    <d v="2021-01-02T00:00:00"/>
    <n v="22021002464"/>
    <s v="2021 10 2311 22799"/>
    <n v="88443.93"/>
    <x v="134"/>
    <s v="CONTRATO EMERGENCIA: GESTION  ALBERGUE MUNICIPAL. PREVISION DE AUTORIZ. Y COMPROM.GASTO 3 MESES  ENERO A MARZO-COVID-19"/>
    <s v="220"/>
    <s v="VALLADOLID"/>
    <s v="VALLADOL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0381"/>
    <s v="ADO"/>
    <d v="2021-01-21T00:00:00"/>
    <n v="22021001144"/>
    <s v="2021 04 3121 22706"/>
    <n v="6760"/>
    <x v="135"/>
    <s v="RELACIONADO CON AD 920200010389. 169 RECONOCIMIENTOS MEDICOS. SERVICIO PREVENCIÓN Y SALUD LABORAL"/>
    <s v="24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10003873"/>
    <s v="ADO"/>
    <d v="2021-02-16T00:00:00"/>
    <n v="22021002351"/>
    <s v="2021 04 3121 22706"/>
    <n v="6000"/>
    <x v="135"/>
    <s v="VIGILANCIA DE LA SALUD COLECTIVA DURANTE DOS MESES. Departamento de Prevención y Salud Laboral"/>
    <s v="24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10000494"/>
    <s v="AD"/>
    <d v="2021-01-25T00:00:00"/>
    <n v="22021001277"/>
    <s v="2021 07 1711 22799"/>
    <n v="300"/>
    <x v="136"/>
    <s v="MANTENIMIENTO DE CONTENEDORES DE HIGIENE FEMENINA."/>
    <s v="220"/>
    <s v="CIGUÑUEL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418"/>
    <s v="AD"/>
    <d v="2021-01-02T00:00:00"/>
    <n v="22021000736"/>
    <s v="2021 10 2312 622"/>
    <n v="491030.82"/>
    <x v="131"/>
    <s v="REAJUSTE DE ANUALIDADES X REDUCCION DE PLAZO DE EJECUCION DE 20 A 16 MESES-OBRA CPM PARQUESOL Y SED- AÑO 2021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0035262"/>
    <s v="AD"/>
    <d v="2021-03-29T00:00:00"/>
    <n v="22019005624"/>
    <s v="2021 11 1621 622"/>
    <n v="271311.15999999997"/>
    <x v="131"/>
    <s v="CONTRATO OBRA CONSTRUCCION CENTRO DE LAVADO PARA VEHICULOS DEL SERVICIO DE LIMPIEZA"/>
    <s v="220"/>
    <s v="ZAMORA"/>
    <s v="ZAMORA"/>
    <x v="2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10000839"/>
    <s v="ADO"/>
    <d v="2021-01-26T00:00:00"/>
    <n v="22021001221"/>
    <s v="2021 10 2312 22615"/>
    <n v="1034.55"/>
    <x v="137"/>
    <s v="Diseño,Programación-Adaptación de la nueva Web Valladolidsindrogras.net / DOMINIO-ALOJAMIENTO (DEL 31-12-20 AL 31-12-21)"/>
    <s v="240"/>
    <s v="NAHARROS NUEVO PELAVABRO"/>
    <s v="SALAMANCA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5"/>
  </r>
  <r>
    <n v="220210000547"/>
    <s v="AD"/>
    <d v="2021-01-25T00:00:00"/>
    <n v="22021000652"/>
    <s v="2021 04 9321 22799"/>
    <n v="7320.5"/>
    <x v="138"/>
    <s v="Contratación del diseño, maquetación y confección de la GUÍA DEL CONTRIBUIYENTE EJERCIC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2380"/>
    <s v="AD"/>
    <d v="2021-02-08T00:00:00"/>
    <n v="22021002277"/>
    <s v="2021 08 1532 210"/>
    <n v="4235"/>
    <x v="139"/>
    <s v="Suministro de pintura de todo tipo, disolventes, herramientas de pintos, etc.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1028"/>
    <s v="AD"/>
    <d v="2021-01-27T00:00:00"/>
    <n v="22021001515"/>
    <s v="2021 07 1711 213"/>
    <n v="5000"/>
    <x v="140"/>
    <s v="REPARACIONES DE SEGADORA."/>
    <s v="220"/>
    <s v="PALENCIA"/>
    <s v="PALENCIA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00037414"/>
    <s v="AD"/>
    <d v="2021-03-29T00:00:00"/>
    <n v="22020003692"/>
    <s v="2021 06 3321 622"/>
    <n v="166825.69"/>
    <x v="131"/>
    <s v="EXPTE. 10S-SS-55/20. OBRA NUEVA. BIBLIOTECA EN PARCELA 143-F DE PARQUESOL. ANUALIDAD 2020-CTTO DE 2020 A 202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0669"/>
    <s v="AD"/>
    <d v="2021-03-29T00:00:00"/>
    <n v="22020003682"/>
    <s v="2021 10 2312 622"/>
    <n v="256685.62"/>
    <x v="131"/>
    <s v="OBRA NUEVA PARA CENTRO DE PERSONAS MAYORES Y  ESTANCIAS DIURNAS EN PARQUESOL- ANUALIDAD 2020-CONTRATO DE 2020 A 2022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838"/>
    <s v="AD"/>
    <d v="2021-01-02T00:00:00"/>
    <n v="22021001289"/>
    <s v="2021 05 4331 609"/>
    <n v="25159.93"/>
    <x v="141"/>
    <s v="CONTRATO DE OBRAS DE INFRAESTRUCTURA VERDE SINGULAR: JARDÍN BIO-FILTRO URBANO (URBAN GREENUP G.A.Nº 730426)."/>
    <s v="220"/>
    <s v="SANTOVENIA DE PISUERGA"/>
    <s v="VALLADOL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10004228"/>
    <s v="AD"/>
    <d v="2021-02-18T00:00:00"/>
    <n v="22021002819"/>
    <s v="2021 06 2315 22611"/>
    <n v="7260"/>
    <x v="142"/>
    <s v="Taller &quot;&quot;La educación de los sexos y los buenos amores&quot;&quot; en los centros educativos durante el año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3999"/>
    <s v="AD"/>
    <d v="2021-02-17T00:00:00"/>
    <n v="22021002703"/>
    <s v="2021 06 2315 22611"/>
    <n v="2500"/>
    <x v="143"/>
    <s v="Talleres prácticos de costura impartidos en el Centro Municipal de la Igualdad durante el año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045"/>
    <s v="AD"/>
    <d v="2021-01-02T00:00:00"/>
    <n v="22021000190"/>
    <s v="2021 04 9204 216"/>
    <n v="475"/>
    <x v="144"/>
    <s v="MANTENIMIENTO DE LICENCIAS  (NEWFILE), LOTE 5"/>
    <s v="220"/>
    <s v="PRADOSEGAR"/>
    <s v="AVIL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2416"/>
    <s v="AD"/>
    <d v="2021-02-08T00:00:00"/>
    <n v="22021002350"/>
    <s v="2021 03 9241 22699"/>
    <n v="115.68"/>
    <x v="145"/>
    <s v="DIPLOMAS MUESTRAS DE TEATRO Y CULTURA TRADICION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02860"/>
    <s v="AD"/>
    <d v="2021-02-11T00:00:00"/>
    <n v="22021002372"/>
    <s v="2021 06 2315 22799"/>
    <n v="151.19"/>
    <x v="146"/>
    <s v="Renovación hosting igualdadvalladolid.es hasta 13-01-2022 / 12 mese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0041913"/>
    <s v="AD"/>
    <d v="2021-03-29T00:00:00"/>
    <n v="22020000032"/>
    <s v="2021 02 9332 632"/>
    <n v="243636.19"/>
    <x v="147"/>
    <s v="ADJUDICACIÓN OBRA DE SUSTITUCIÓN DE LAS CARPINTERÍAS DEL CLAUSTRO DE SAN BENITO DE VALLADOLID (EXPTE. 26/2019)"/>
    <s v="220"/>
    <s v="OURENSE"/>
    <s v="OURENSE"/>
    <x v="2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3233"/>
    <s v="D"/>
    <d v="2021-02-12T00:00:00"/>
    <n v="22021002088"/>
    <s v="2021 03 9241 212"/>
    <n v="191.66"/>
    <x v="148"/>
    <s v="ARREGLO PUERTAS TEMPLADAS -  C.C ZONA ESTE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952"/>
    <s v="D"/>
    <d v="2021-02-16T00:00:00"/>
    <n v="22021002088"/>
    <s v="2021 03 9241 212"/>
    <n v="211.65"/>
    <x v="148"/>
    <s v="CLIMALIT PLANITHERM6/16/4 (1120 X 1030) / CLIMALIT 4/12/CARGLASS (505 X 350) - CENTRO SEGUNDO MONTES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455"/>
    <s v="D"/>
    <d v="2021-02-19T00:00:00"/>
    <n v="22021002144"/>
    <s v="2021 10 2311 212"/>
    <n v="209.54"/>
    <x v="148"/>
    <s v="F-1388. CRISTALERIA ZARATAN. CRISTAL SEGURIDAD 3+3 (2065 X 810). CENTRO INTREGRADO(ALBERGUE). 1 DIA-COVID-19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0325"/>
    <s v="AD"/>
    <d v="2021-01-21T00:00:00"/>
    <n v="22021000647"/>
    <s v="2021 06 3232 22103"/>
    <n v="7260"/>
    <x v="149"/>
    <s v="SUMINISTRO DE PELLETS PARA CALEFACCIÓN EN COLEGIO PÚBLICO NTRA. SRA. DEL DUERO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103"/>
  </r>
  <r>
    <n v="220210000513"/>
    <s v="AD"/>
    <d v="2021-01-25T00:00:00"/>
    <n v="22021001700"/>
    <s v="2021 03 9241 22103"/>
    <n v="4500"/>
    <x v="149"/>
    <s v="Suministro anual de pellets para el Centro Municipal de Puente Duer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10004508"/>
    <s v="D"/>
    <d v="2021-02-19T00:00:00"/>
    <n v="22021002143"/>
    <s v="2021 10 2311 212"/>
    <n v="53.97"/>
    <x v="148"/>
    <s v="F-1578. CRISTALERIA ZARATAN,S.L. CRISTAL CARGLASS (1305X480) DESTINO: VIV. SOCIAL - C/ COSTA DORADA Nº 4 1º C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3754"/>
    <s v="AD"/>
    <d v="2021-02-16T00:00:00"/>
    <n v="22021002694"/>
    <s v="2021 03 9241 22103"/>
    <n v="378.28"/>
    <x v="149"/>
    <s v="SUMINISTRO DE GASÓLEO LOCAL C/ CONDE ARTECHE, DEPENDIENTE DEL SERVICIO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10006173"/>
    <s v="AD"/>
    <d v="2021-02-25T00:00:00"/>
    <n v="22021003080"/>
    <s v="2021 08 1532 22103"/>
    <n v="1481.04"/>
    <x v="149"/>
    <s v="Suministro de 2.480 L.de gasóleo C para caldera del nuevo Parque de Conservación de Vias Pública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7139"/>
    <s v="AD"/>
    <d v="2021-03-05T00:00:00"/>
    <n v="22021003255"/>
    <s v="2021 11 3111 22102"/>
    <n v="1007.33"/>
    <x v="149"/>
    <s v="SUMINISTRO DE PELLET DE MADERA 3.700 KG PARA CALDERA BIOMASA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2"/>
  </r>
  <r>
    <n v="220210009141"/>
    <s v="AD"/>
    <d v="2021-03-12T00:00:00"/>
    <n v="22021003377"/>
    <s v="2021 03 9241 22103"/>
    <n v="319.77"/>
    <x v="149"/>
    <s v="SUMINISTRO DE GASÓLEO PARA LOCAL C/ CONDE ARTECHE DEPENDIENTE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09000048"/>
    <s v="AD"/>
    <d v="2021-01-02T00:00:00"/>
    <n v="22021000192"/>
    <s v="2021 04 9204 22002"/>
    <n v="2785.31"/>
    <x v="150"/>
    <s v="SUMINISTRO DE FUNGIBLES DE IMPRESIÓN COMPATIBLES, LOTE 2"/>
    <s v="220"/>
    <s v="LEGANES"/>
    <s v="MADR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743"/>
    <s v="AD"/>
    <d v="2021-01-02T00:00:00"/>
    <n v="22021000469"/>
    <s v="2021 04 9204 22002"/>
    <n v="5000"/>
    <x v="150"/>
    <s v="SUMINISTRO DE FUNGIBLES DE IMPRESIÓN COMPATIBLES, LOTE 2 (REAJUSTE DE ANUALIDADES)"/>
    <s v="220"/>
    <s v="LEGANES"/>
    <s v="MADR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199000825"/>
    <s v="AD"/>
    <d v="2021-01-02T00:00:00"/>
    <n v="22021000707"/>
    <s v="2021 04 9204 641"/>
    <n v="6473.98"/>
    <x v="151"/>
    <s v="SOPORTE Y MANTENIMIENTO DE LA PLATAFORMA PROXIA"/>
    <s v="220"/>
    <s v="BOECILLO"/>
    <s v="VALLADOLID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09000539"/>
    <s v="AD"/>
    <d v="2021-01-02T00:00:00"/>
    <n v="22021000738"/>
    <s v="2021 04 9204 641"/>
    <n v="88305.1"/>
    <x v="151"/>
    <s v="SOPORTE Y MANTENIMIENTO DEL PORTAL Y SEDE ELECTRÓNICA DEL AYUNTAMIENTO DE VALLADOLID, BASADOS EN PROXIA SUITE"/>
    <s v="220"/>
    <s v="BOECILLO"/>
    <s v="VALLADOLID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10004558"/>
    <s v="D"/>
    <d v="2021-02-19T00:00:00"/>
    <n v="22021002228"/>
    <s v="2021 06 3232 212"/>
    <n v="74.87"/>
    <x v="148"/>
    <s v="SEGURIDAD 3+3 // PIO RIO HORTEGA (EL CORRO)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4560"/>
    <s v="D"/>
    <d v="2021-02-19T00:00:00"/>
    <n v="22021002228"/>
    <s v="2021 06 3232 212"/>
    <n v="135.71"/>
    <x v="148"/>
    <s v="ARMADO (1175 X 745 ) - C.P. PABLO PICASSO  ///////// SEGURIDAD 3+3 (805 X 558 ) - C.P. PARQUE  ALAMEDA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6499"/>
    <s v="D"/>
    <d v="2021-02-26T00:00:00"/>
    <n v="22021002225"/>
    <s v="2021 06 3231 212"/>
    <n v="42.6"/>
    <x v="148"/>
    <s v="SEGURIDAD 3+3 (860 X 370) ////// E.I.M. MAFALDA Y GUILLE. EN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1026"/>
    <s v="AD"/>
    <d v="2021-01-27T00:00:00"/>
    <n v="22021002034"/>
    <s v="2021 01 9205 22199"/>
    <n v="6755.43"/>
    <x v="152"/>
    <s v="SUMINISTRO EN 2021 PAPELES ESTUCADOS, BRILLO, MATE... CARTUNINAS GRÁFICAS YOFFSET PARA MÁQUINA DÍGITAL IMPRENTA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6571"/>
    <s v="AD"/>
    <d v="2021-03-01T00:00:00"/>
    <n v="22021003164"/>
    <s v="2021 06 3231 22602"/>
    <n v="100"/>
    <x v="152"/>
    <s v="SUMINISTRO DE PAPEL A LA IMPRENTA MUNICIPAL PARA LA ELABORACION DE CARTELES Y DÍPTICOS DE LAS E.I.M. Y EDUCACION ADULTOS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2"/>
    <s v="22602"/>
  </r>
  <r>
    <n v="220210006957"/>
    <s v="AD"/>
    <d v="2021-03-04T00:00:00"/>
    <n v="22021003146"/>
    <s v="2021 10 2312 22699"/>
    <n v="41.44"/>
    <x v="152"/>
    <s v="PAPEL PARA IMPRESION DIPTICO ENVEJECER- INICIATIVAS SOCIALES,  CPMS .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7177"/>
    <s v="AD"/>
    <d v="2021-03-08T00:00:00"/>
    <n v="22021003246"/>
    <s v="2021 03 9241 22602"/>
    <n v="721.38"/>
    <x v="152"/>
    <s v="PAPEL, SUMINISTRADO EN IMPRENTA MUNICIPAL, PARA CARTELES Y FOLLETOS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10514"/>
    <s v="AD"/>
    <d v="2021-03-22T00:00:00"/>
    <n v="22021003514"/>
    <s v="2021 03 9241 22602"/>
    <n v="592.66"/>
    <x v="152"/>
    <s v="PAPEL SERVIDO EN LA IMPRENTA MUNICIPAL PARA LA 2ª ED. FOLLETO CUADRILL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12937"/>
    <s v="AD"/>
    <d v="2021-03-29T00:00:00"/>
    <n v="22021003604"/>
    <s v="2021 03 9241 22602"/>
    <n v="60.5"/>
    <x v="152"/>
    <s v="PAPEL SOHO INDIGO 130 GR 32X46,4 (2) ABRIL 2021. ENTREGADO EN IMPRENTA MUNICIP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477"/>
    <s v="AD"/>
    <d v="2021-01-02T00:00:00"/>
    <n v="22021000077"/>
    <s v="2021 07 1701 22799"/>
    <n v="15727.98"/>
    <x v="153"/>
    <s v="CONTRATO S. PARA DESARROLLO PROGRAMAS DE EDUCACION AMBIENTAL. LOTE 2. COORD. Y DES. RED DE HUERTOS ESCOLARES. V.25/2019."/>
    <s v="220"/>
    <s v="PALENCIA"/>
    <s v="PALENCIA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10004231"/>
    <s v="AD"/>
    <d v="2021-02-18T00:00:00"/>
    <n v="22021002802"/>
    <s v="2021 11 1621 634"/>
    <n v="7260"/>
    <x v="154"/>
    <s v="REPARACIONES DE VEHICULOS MARCA SCANIA DEL SERVICIO DE LIMPIEZA"/>
    <s v="220"/>
    <s v="FUENSALDAÑA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62"/>
    <s v="AD"/>
    <d v="2021-01-02T00:00:00"/>
    <n v="22021000313"/>
    <s v="2021 06 3231 22799"/>
    <n v="404960"/>
    <x v="155"/>
    <s v="EXPTE. SE-EIJI 10/2020. CTTO GESTION EIM LA COMETA LOTE 5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79000024"/>
    <s v="AD"/>
    <d v="2021-01-02T00:00:00"/>
    <n v="22021000049"/>
    <s v="2021 08 1341 22799"/>
    <n v="3087691.92"/>
    <x v="156"/>
    <s v="AJUSTE ANUALIDADES CONTRATO GESTIÓN SERVICIO PÚBLICO REGULACIÓN ESTACIONAMIENTO VEHÍCULOS VÍA PÚBLICA EN VALLADOLID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199000334"/>
    <s v="AD"/>
    <d v="2021-01-02T00:00:00"/>
    <n v="22021000145"/>
    <s v="2021 08 1341 22799"/>
    <n v="406016.97"/>
    <x v="156"/>
    <s v="AMPLIACIÓN ÁREA REGULADA ORA 2020 - 2026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10012923"/>
    <s v="AD"/>
    <d v="2021-03-29T00:00:00"/>
    <n v="22020000040"/>
    <s v="2021 08 1341 22799"/>
    <n v="465306.09"/>
    <x v="156"/>
    <s v="AJUSTE ANUALIDADES CONTRATO GESTIÓN SERVICIO PÚBLICO REGULACIÓN ESTACIONAMIENTO VEHÍCULOS VÍA PÚBLICA EN VALLADOLID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10010470"/>
    <s v="D"/>
    <d v="2021-03-22T00:00:00"/>
    <n v="22021002088"/>
    <s v="2021 03 9241 212"/>
    <n v="1451.72"/>
    <x v="148"/>
    <s v="CLIMALIT SEG 3+3/14 / PLANITHERM 6 1595 X 715 / ESPEJO 5 MM /// DESTINO:  EDIFICIO SEGUNDO MONTES /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481"/>
    <s v="D"/>
    <d v="2021-03-22T00:00:00"/>
    <n v="22021002228"/>
    <s v="2021 06 3232 212"/>
    <n v="666.4"/>
    <x v="148"/>
    <s v="SUMINISTRO: CLIMALIT- SEGURIDAD /// DESTINOS C.P.: FCO PINO-S.FERNANDO-PQ ALAMEDA- PONCE LEON-LEON FELIPE-N.ALONSO CORTE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405"/>
    <s v="AD"/>
    <d v="2021-01-02T00:00:00"/>
    <n v="22021000291"/>
    <s v="2021 11 1361 633"/>
    <n v="5000"/>
    <x v="157"/>
    <s v="MANTENIMIENTO CORRECTIVO DE EQUIPOS DE RESPIRACIÓN AUTÓNOMA Y ACCESORIOS."/>
    <s v="220"/>
    <s v="MADRID"/>
    <s v="MADRID"/>
    <x v="0"/>
    <s v="PrAbier - Procedimiento Abierto"/>
    <s v="MultiC - MultiCriterio"/>
    <x v="1"/>
    <x v="0"/>
    <s v="6"/>
    <s v="6. Inversiones reales"/>
    <s v="11"/>
    <x v="5"/>
    <s v="1361"/>
    <s v="1361. Prevención y extinción de incencios"/>
    <s v="63"/>
    <s v="633"/>
  </r>
  <r>
    <n v="220210012894"/>
    <s v="AD"/>
    <d v="2021-03-29T00:00:00"/>
    <n v="22021003569"/>
    <s v="2021 11 1361 213"/>
    <n v="4600.42"/>
    <x v="157"/>
    <s v="Revisión y mantenimiento de los detectores de gases; Servicio de Extinción de Incendios, Salvamento y Protección Civil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3993"/>
    <s v="AD"/>
    <d v="2021-02-17T00:00:00"/>
    <n v="22021002566"/>
    <s v="2021 07 1721 22199"/>
    <n v="2108.91"/>
    <x v="158"/>
    <s v="COMPRA DE BOTES DE HUMO A LA EMPRESA DREW MARINE SIGNAL. SERVICIO DE MEDIO AMBIENTE"/>
    <s v="220"/>
    <s v="ESQUIROZ DE GALAR"/>
    <s v="NAVARR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1393"/>
    <s v="AD"/>
    <d v="2021-02-01T00:00:00"/>
    <n v="22021002124"/>
    <s v="2021 11 1321 22699"/>
    <n v="1584"/>
    <x v="159"/>
    <s v="RECOGIDA Y DESTRUCCIÓN  DOCUMENTACIÓN CONFIDENCIAL  DE POLICÍA AFECTADA POR LA LEY DE PROTECCIÓN DE DATOS (2021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2420"/>
    <s v="AD"/>
    <d v="2021-02-08T00:00:00"/>
    <n v="22021002230"/>
    <s v="2021 10 2412 223"/>
    <n v="583.34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10002420"/>
    <s v="AD"/>
    <d v="2021-02-08T00:00:00"/>
    <n v="22021002231"/>
    <s v="2021 10 2412 223"/>
    <n v="166.68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10004016"/>
    <s v="AD"/>
    <d v="2021-02-17T00:00:00"/>
    <n v="22021002076"/>
    <s v="2021 02 9332 213"/>
    <n v="4454.76"/>
    <x v="160"/>
    <s v="CONTRATO MANTENIMIENTO INTALACION, SEMESTRE 1º 2021. LOTE 2: S. BENITO Y ARCHIVO MPAL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4017"/>
    <s v="AD"/>
    <d v="2021-02-17T00:00:00"/>
    <n v="22021002079"/>
    <s v="2021 02 9332 213"/>
    <n v="4080.36"/>
    <x v="160"/>
    <s v="CONTRATO MANT INSTALACIONES LOTE1: CC EDIF S. ANA Y SERV MEDICO MPAL, SEMESTRE 1 2021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475"/>
    <s v="AD"/>
    <d v="2021-01-02T00:00:00"/>
    <n v="22021000075"/>
    <s v="2021 07 1711 22104"/>
    <n v="8424.0400000000009"/>
    <x v="161"/>
    <s v="CONTRATO SUMINISTRO VESTUARIO AL PERSONAL DEL SERVICIO DE PARQUES Y JARDINES. L-1: 3.386,11; L-2: 5.037,93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4"/>
  </r>
  <r>
    <n v="220210002796"/>
    <s v="D"/>
    <d v="2021-02-10T00:00:00"/>
    <n v="22021002228"/>
    <s v="2021 06 3232 212"/>
    <n v="15.15"/>
    <x v="161"/>
    <s v="ALBARÁN AV21/00428 DE 27/01/21: ABRAZADERAS ASFA MIKALOR // ALBARÁN AV21/00246 DE 19/01/21: TACO FISHER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215"/>
    <s v="D"/>
    <d v="2021-02-12T00:00:00"/>
    <n v="22021002089"/>
    <s v="2021 03 9241 213"/>
    <n v="4.49"/>
    <x v="161"/>
    <s v="ALBARAN AV21/00247 DE 19/01/2021: CARTUCHO SILICONA TRANSPARENTE (CC JOSE 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3243"/>
    <s v="D"/>
    <d v="2021-02-12T00:00:00"/>
    <n v="22021002132"/>
    <s v="2021 08 1532 210"/>
    <n v="1765.55"/>
    <x v="161"/>
    <s v="ALBARAN: AV20/005488 de 18/12/20 /// CANDADO ABUS / LLAVE VASO 1/2 / CABLE INOX /ELECTRODOS/ BROCA/ HILO SOLD./RETEN ARB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3271"/>
    <s v="D"/>
    <d v="2021-02-12T00:00:00"/>
    <n v="22021002227"/>
    <s v="2021 06 3321 212"/>
    <n v="8.65"/>
    <x v="161"/>
    <s v="ALBARAN: AV21/00248 de 19/01/2021 ///// TACO FISCHER SX 6.(200) / DESTINO: BIBLIOTECA COSTANZA MARTIN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4120"/>
    <s v="D"/>
    <d v="2021-02-17T00:00:00"/>
    <n v="22021001275"/>
    <s v="2021 07 1711 22199"/>
    <n v="452.59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128"/>
    <s v="D"/>
    <d v="2021-02-17T00:00:00"/>
    <n v="22021002369"/>
    <s v="2021 02 9332 212"/>
    <n v="63.71"/>
    <x v="161"/>
    <s v="ALBARAN AV20/005177: LLAVE VASO 8MM/ LLAVE VASO DM8/ ADAPTADORES HEXAGONALES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4540"/>
    <s v="D"/>
    <d v="2021-02-19T00:00:00"/>
    <n v="22021001275"/>
    <s v="2021 07 1711 22199"/>
    <n v="488.1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50"/>
    <s v="D"/>
    <d v="2021-02-19T00:00:00"/>
    <n v="22021001169"/>
    <s v="2021 10 2412 212"/>
    <n v="19.18"/>
    <x v="161"/>
    <s v="MANTENIMIENTO, REPARACION : DOSIFICADOR JABON BLANCO AITANA (CENTRO DE FORMAC. JACINTO BENAVENTE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5204"/>
    <s v="D"/>
    <d v="2021-02-22T00:00:00"/>
    <n v="22021001181"/>
    <s v="2021 10 2412 22199"/>
    <n v="847.58"/>
    <x v="161"/>
    <s v="MATERIAL DIVERSO  PARA EL  CURSO MIXTO Nº GJ/20/VA/0002 PARQUES Y JARDINES II DEL C. DE FORMACION  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6"/>
    <s v="D"/>
    <d v="2021-02-22T00:00:00"/>
    <n v="22021001169"/>
    <s v="2021 10 2412 212"/>
    <n v="231"/>
    <x v="161"/>
    <s v="MANTENIMIENTO, REPARACIONES DEL CENTRO DE FORMACIÓN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5503"/>
    <s v="D"/>
    <d v="2021-02-23T00:00:00"/>
    <n v="22021002006"/>
    <s v="2021 11 3111 22199"/>
    <n v="9.0500000000000007"/>
    <x v="161"/>
    <s v="A.M. V.36/2017 ALBARAN AV20/005408: TACO FISCHER/ HEMBRILLA ABIERTAS (VIVIENDA C/ EUSEBIO GONZÁLEZ SUÁREZ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78"/>
    <s v="D"/>
    <d v="2021-02-23T00:00:00"/>
    <n v="22021002055"/>
    <s v="2021 11 1631 22104"/>
    <n v="35.79"/>
    <x v="161"/>
    <s v="AC MARCO EXP V36-2017: BOTA SUPER FORJA MF S3 NEGRO T-42 PERSONAL TALLER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04"/>
  </r>
  <r>
    <n v="220210006539"/>
    <s v="D"/>
    <d v="2021-02-26T00:00:00"/>
    <n v="22021002132"/>
    <s v="2021 08 1532 210"/>
    <n v="1100"/>
    <x v="161"/>
    <s v="COVID-19  ALBARAN AV21/00716 DEL 05/02/2021: MASCARILLA PROTECCION FFP2 COLOR MARINO (1000 UD) Y COLOR NEGRA (1000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3024"/>
    <s v="D"/>
    <d v="2021-03-30T00:00:00"/>
    <n v="22021002144"/>
    <s v="2021 10 2311 212"/>
    <n v="52.39"/>
    <x v="148"/>
    <s v="F-2874. CRISTALERIA ZARATAN,S.L. CLIMALIT 4/6CARGLASS (1040 X 350 ). CENTRO INTEGRADO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2420"/>
    <s v="AD"/>
    <d v="2021-02-08T00:00:00"/>
    <n v="22021002229"/>
    <s v="2021 10 2412 223"/>
    <n v="249.98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09000046"/>
    <s v="AD"/>
    <d v="2021-01-02T00:00:00"/>
    <n v="22021000191"/>
    <s v="2021 05 4331 22602"/>
    <n v="1393.92"/>
    <x v="162"/>
    <s v="Publicación de una página los domingos en sección 'Innovación Valladolid' de El Norte de Castilla. 1/2/2021 a 14/2/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00537"/>
    <s v="AD"/>
    <d v="2021-01-25T00:00:00"/>
    <n v="22021001179"/>
    <s v="2021 05 4331 22602"/>
    <n v="1824.68"/>
    <x v="162"/>
    <s v="CAMPAÑA DIFUSION CONVOCATORIA SUBVENCIONES REACTIVA DIGITAL - PRENSA ESCRITA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13063"/>
    <s v="D"/>
    <d v="2021-03-30T00:00:00"/>
    <n v="22021002375"/>
    <s v="2021 02 9332 212"/>
    <n v="24.9"/>
    <x v="148"/>
    <s v="LUNA 6MM (360 X 360 ) (1 UNID) //// DESTINO: SAN BENITO"/>
    <s v="300"/>
    <s v="ZARATAN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1558"/>
    <s v="AD"/>
    <d v="2021-02-02T00:00:00"/>
    <n v="22021001627"/>
    <s v="2021 01 9207 22602"/>
    <n v="1815"/>
    <x v="162"/>
    <s v="PUBLICIDAD EN SUPLEMENTO ESPECIAL 'ASÍ FUE 2020 EN CASTILLA Y LEÓN' DE EL NORTE DE CASTILLA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4"/>
    <s v="9207"/>
    <s v="9207. Gobierno y relaciones"/>
    <s v="22"/>
    <s v="22602"/>
  </r>
  <r>
    <n v="220210001559"/>
    <s v="AD"/>
    <d v="2021-02-02T00:00:00"/>
    <n v="22021001672"/>
    <s v="2021 01 9207 22001"/>
    <n v="1456"/>
    <x v="162"/>
    <s v="SUSCRIPCIONES ANUALES A EL NORTE DE CASTILLA PARA UNIDAD DE MEDIOS DE COMUNICACIÓN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4220"/>
    <s v="AD"/>
    <d v="2021-02-18T00:00:00"/>
    <n v="22021002544"/>
    <s v="2021 05 4331 22001"/>
    <n v="633"/>
    <x v="162"/>
    <s v="SUSCRIPCION A EL DIARIO &quot;&quot;EL NORTE DE CASTILLA&quot;&quot; PARA EL AÑO 2021. SUSCRIPTOR Nº: 30911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001"/>
  </r>
  <r>
    <n v="220210005271"/>
    <s v="AD"/>
    <d v="2021-02-22T00:00:00"/>
    <n v="22021002455"/>
    <s v="2021 10 2311 22001"/>
    <n v="357.18"/>
    <x v="162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001"/>
  </r>
  <r>
    <n v="220210005271"/>
    <s v="AD"/>
    <d v="2021-02-22T00:00:00"/>
    <n v="22021002454"/>
    <s v="2021 10 2311 22001"/>
    <n v="1785.9"/>
    <x v="162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001"/>
  </r>
  <r>
    <n v="220210013077"/>
    <s v="D"/>
    <d v="2021-03-30T00:00:00"/>
    <n v="22021002225"/>
    <s v="2021 06 3231 212"/>
    <n v="443.08"/>
    <x v="148"/>
    <s v="ESPEJO SEGURIDAD 3+3 C/P ( 1500 X 1300) ///   DESTINO:  E.I. M MAFALDA Y GUILLE. FEBR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199000587"/>
    <s v="AD"/>
    <d v="2021-01-02T00:00:00"/>
    <n v="22021000161"/>
    <s v="2021 03 9241 213"/>
    <n v="83.28"/>
    <x v="163"/>
    <s v="PRÓRROGA CONTRATO MANTENIMIENTO GRUPOS ELECTRÓGENOS. LOTE 2"/>
    <s v="220"/>
    <s v="MADR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199000722"/>
    <s v="AD"/>
    <d v="2021-01-02T00:00:00"/>
    <n v="22021000170"/>
    <s v="2021 07 1721 22799"/>
    <n v="7643.17"/>
    <x v="163"/>
    <s v="MANTENIMIENTO PREVENTIVO Y CORRECTIVO DE INSTALACIONES FOTOVOLTAICAS .- EXP. VS 19/18 .- LOTE 1 : CON INYECCION A RED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799"/>
  </r>
  <r>
    <n v="220199000723"/>
    <s v="AD"/>
    <d v="2021-01-02T00:00:00"/>
    <n v="22021000171"/>
    <s v="2021 07 1721 22799"/>
    <n v="3800.12"/>
    <x v="163"/>
    <s v="MANTENIMIENTO PREVENTIVO Y CORRECTIVO DE INSTALACIONES FOTOVOLTAICAS .- EXP. VS 19/18 .- LOTE 2 : DE AUTOCONSUMO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799"/>
  </r>
  <r>
    <n v="220210009393"/>
    <s v="AD"/>
    <d v="2021-03-15T00:00:00"/>
    <n v="22021003379"/>
    <s v="2021 02 9332 204"/>
    <n v="300.02"/>
    <x v="133"/>
    <s v="ALQUILER VEHÍCULO HASTA LA ADQUISICIÓN DEL 01/01/2021 HASTA EL 15.01.2021"/>
    <s v="220"/>
    <s v="ERANDIO"/>
    <s v="VIZCAYA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0"/>
    <s v="204"/>
  </r>
  <r>
    <n v="220210002880"/>
    <s v="AD"/>
    <d v="2021-02-11T00:00:00"/>
    <n v="22021002390"/>
    <s v="2021 11 1321 214"/>
    <n v="592.71"/>
    <x v="164"/>
    <s v="REPARACIÓN DE MOTOCICLETAS DE POLICÍA ( ACUERDO MARCO TALLERES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0074531"/>
    <s v="AD"/>
    <d v="2021-03-29T00:00:00"/>
    <n v="22019006218"/>
    <s v="2021 08 1532 609"/>
    <n v="400417.52"/>
    <x v="165"/>
    <s v="Saldo Proyecto IFS-2019 no iniciado. Ejecución e Instalación de elevadores en calles Ánade, Estornino y Oriol.-"/>
    <s v="220"/>
    <s v="MEDINA DEL CAMPO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10002848"/>
    <s v="AD"/>
    <d v="2021-02-11T00:00:00"/>
    <n v="22021002248"/>
    <s v="2021 03 9241 213"/>
    <n v="840.32"/>
    <x v="163"/>
    <s v="PRÓRROGA LOTE 2 (DEL 12/01/21 AL 30/04/21) CONTRATO MANTENIMIENTO GRUPOS ELECTRÓGENOS CENTROS SPC"/>
    <s v="220"/>
    <s v="MADR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3760"/>
    <s v="AD"/>
    <d v="2021-02-16T00:00:00"/>
    <n v="22021002564"/>
    <s v="2021 11 3111 22106"/>
    <n v="7260"/>
    <x v="166"/>
    <s v="BIOCIDAS PARA EL CONTROL DE PLAGAS DE LA CIUDAD DE VALLADOLID"/>
    <s v="220"/>
    <s v="OROZKO"/>
    <s v="VIZCAYA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10006022"/>
    <s v="AD"/>
    <d v="2021-02-24T00:00:00"/>
    <n v="22021002956"/>
    <s v="2021 11 1321 214"/>
    <n v="918.54"/>
    <x v="164"/>
    <s v="REPARACIÓN DE MOTOCICLETAS DE POLICÍA. (ACUE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951"/>
    <s v="AD"/>
    <d v="2021-03-04T00:00:00"/>
    <n v="22021003059"/>
    <s v="2021 07 1711 214"/>
    <n v="3000"/>
    <x v="164"/>
    <s v="REPARACION MOTOCICLETA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5272"/>
    <s v="AD"/>
    <d v="2021-02-22T00:00:00"/>
    <n v="22021002409"/>
    <s v="2021 06 3321 22001"/>
    <n v="108.01"/>
    <x v="167"/>
    <s v="SUSCRIPCIÓN REVISTA EL ECOLOGISTA PARA LAS BIBLIOTECAS MUNICIPALES DE VALLADOLID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396"/>
    <s v="AD"/>
    <d v="2021-01-02T00:00:00"/>
    <n v="22021000735"/>
    <s v="2021 04 9204 636"/>
    <n v="31036.5"/>
    <x v="168"/>
    <s v="MANTENIMIENTO HARDWARE LOTE 2, SEGUNDA PRÓRROGA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10002879"/>
    <s v="AD"/>
    <d v="2021-02-11T00:00:00"/>
    <n v="22021002370"/>
    <s v="2021 04 9204 213"/>
    <n v="818.42"/>
    <x v="168"/>
    <s v="SUSTITUCIÓN DE CUATRO SAIS Y DE UNA BATERÍA CON DESTINO AL DEPARTAMENTO DE TECNOLOGIAS DE LA INFORMACION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5511"/>
    <s v="D"/>
    <d v="2021-02-23T00:00:00"/>
    <n v="22021001966"/>
    <s v="2021 11 1321 213"/>
    <n v="123.54"/>
    <x v="168"/>
    <s v="ACUERDO MARCO. SUMINISTRO DE MATERIAL DE ELECTRÓNIC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1355"/>
    <s v="AD"/>
    <d v="2021-02-01T00:00:00"/>
    <n v="22021001167"/>
    <s v="2021 11 1621 203"/>
    <n v="725"/>
    <x v="169"/>
    <s v="MANTENIMIENTO EQUIPO POU (FUENTE AGUA) DEL SERVICIO DE LIMPIEZA"/>
    <s v="220"/>
    <s v="L'HOSPITALET DEL LLOBREGAT"/>
    <s v="BARCELONA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0"/>
    <s v="203"/>
  </r>
  <r>
    <n v="220210002419"/>
    <s v="AD"/>
    <d v="2021-02-08T00:00:00"/>
    <n v="22021002196"/>
    <s v="2021 06 3321 22001"/>
    <n v="37.44"/>
    <x v="170"/>
    <s v="SUSCRIPCIÓN A LA REVISTA CN TRAVEL PARA LAS BIBLIOTECAS MUNICIPALES DURANTE EL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199000219"/>
    <s v="AD"/>
    <d v="2021-01-02T00:00:00"/>
    <n v="22021000142"/>
    <s v="2021 09 3341 22799"/>
    <n v="12238.72"/>
    <x v="171"/>
    <s v="CONTRATO DEL SERVICIO DE MANTENIMIENTO DE LA COMUNICACIÓN 2.0 DEL ÁREA DE CULTURA Y TURISMO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199000577"/>
    <s v="AD"/>
    <d v="2021-01-02T00:00:00"/>
    <n v="22021000158"/>
    <s v="2021 09 3341 22799"/>
    <n v="1094.6099999999999"/>
    <x v="171"/>
    <s v="REAJUSTE ANUALIDADES CONTRATO SERVICIO DE MANTENIMIENTO DE LA COMUNICACIÓN 2.0 DEL ÁREA DE CULTURA Y TURISMO. 2020 Y 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0032"/>
    <s v="ADO"/>
    <d v="2021-01-19T00:00:00"/>
    <n v="22021000685"/>
    <s v="2021 01 9203 22000"/>
    <n v="6364.6"/>
    <x v="172"/>
    <s v="SUMINISTRO AGENDA CORPORATIVA 2021, R.I."/>
    <s v="240"/>
    <s v="BILBAO"/>
    <s v="VIZCAYA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000"/>
  </r>
  <r>
    <n v="220210008434"/>
    <s v="AD"/>
    <d v="2021-03-11T00:00:00"/>
    <n v="22021003368"/>
    <s v="2021 05 4331 22602"/>
    <n v="3204.8"/>
    <x v="173"/>
    <s v="Contratación de dos publicaciones y elaboracion articulo en la revista 'Castilla y León Económica&quot;&quot;. Mes de abril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2"/>
  </r>
  <r>
    <n v="220209000524"/>
    <s v="AD"/>
    <d v="2021-01-02T00:00:00"/>
    <n v="22021000562"/>
    <s v="2021 06 3231 22799"/>
    <n v="294720"/>
    <x v="174"/>
    <s v="EXPTE. SE-EIJI 10/2020. CTTO GESTION EIM CASCANUECES. LOTE 2. 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99000781"/>
    <s v="AD"/>
    <d v="2021-01-02T00:00:00"/>
    <n v="22021000180"/>
    <s v="2021 09 3341 22799"/>
    <n v="6248.64"/>
    <x v="171"/>
    <s v="REAJUSTE ANUALIDAD CONTRATO SERVICIO MANTENIMIENTO COMUNICACION 2.0 AREA DE CULTURA Y TURISMO.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0062620"/>
    <s v="AD"/>
    <d v="2021-03-29T00:00:00"/>
    <n v="22020004035"/>
    <s v="2021 08 1341 22706"/>
    <n v="24132.240000000002"/>
    <x v="175"/>
    <s v="CONTRATO SERVICIOS DE CONSULTORÍA Y ASISTENCIA TÉCNICA PARA LA REDACCIÓN DEL PLAN DIRECTOR DE LA BICICLETA"/>
    <s v="220"/>
    <s v="BARCELONA"/>
    <s v="BARCELONA"/>
    <x v="0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06"/>
  </r>
  <r>
    <n v="220210000330"/>
    <s v="AD"/>
    <d v="2021-01-21T00:00:00"/>
    <n v="22021001218"/>
    <s v="2021 06 3321 22001"/>
    <n v="280"/>
    <x v="176"/>
    <s v="SUSCRIPICÓN DE 4 EJEMPLARES DE LA REVISTA CLIJ PARA LAS BIBLIOTECAS MUNICIPALES DURANTE EL AÑO 2021."/>
    <s v="220"/>
    <s v="MATARÓ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336"/>
    <s v="AD"/>
    <d v="2021-01-02T00:00:00"/>
    <n v="22021000270"/>
    <s v="2021 05 4331 22799"/>
    <n v="30000"/>
    <x v="177"/>
    <s v="Prórroga 2020-2021 del contrato centralizado de Atención Presonal y Telefonica. Lote Agencia de Innovación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8647"/>
    <s v="ADO"/>
    <d v="2021-03-11T00:00:00"/>
    <n v="22021003292"/>
    <s v="2021 04 9202 22607"/>
    <n v="192"/>
    <x v="178"/>
    <s v="COBERTURA MÉDICA OPOSICIÓN 11 MECÁNICO - conductor (6 HORAS EL DÍA 22/10/2020)"/>
    <s v="240"/>
    <s v="RENEDO DE ESGUEVA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680"/>
    <s v="AD"/>
    <d v="2021-01-02T00:00:00"/>
    <n v="22021000424"/>
    <s v="2021 06 3261 213"/>
    <n v="771.38"/>
    <x v="177"/>
    <s v="CONTRATO DE MANTENIMIENTO DEL CENTRO DE APRENDIZAJE A LO LARGO DE LA VIDA (LOTE 2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682"/>
    <s v="AD"/>
    <d v="2021-01-02T00:00:00"/>
    <n v="22021000426"/>
    <s v="2021 06 3231 213"/>
    <n v="18344.29"/>
    <x v="177"/>
    <s v="CONTRATO DE MANTENIMIENTO DE ESCUELAS INFANTILES (LOTE 2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1"/>
    <s v="213"/>
  </r>
  <r>
    <n v="220209000683"/>
    <s v="AD"/>
    <d v="2021-01-02T00:00:00"/>
    <n v="22021000427"/>
    <s v="2021 06 2314 213"/>
    <n v="6171.08"/>
    <x v="177"/>
    <s v="CONTRATACIÓN DE SERVICIOS DE CONSERVACIÓN Y MANTENIMIENTO DE LOS ESPACIOS JÓVENES. LOTE 2. SE-EIJI 11/2020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1"/>
    <s v="213"/>
  </r>
  <r>
    <n v="220209000684"/>
    <s v="AD"/>
    <d v="2021-01-02T00:00:00"/>
    <n v="22021000428"/>
    <s v="2021 06 2315 213"/>
    <n v="1542.77"/>
    <x v="177"/>
    <s v="CONTRATACIÓN DE SERVICIOS DE CONSERVACIÓN Y MANTENIMIENTO DEL CENTRO MUNICIPAL DE IGUALDAD. LOTE 2. SE-EIJI 11/2020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13173"/>
    <s v="AD"/>
    <d v="2021-03-31T00:00:00"/>
    <n v="22021003622"/>
    <s v="2021 06 2315 22799"/>
    <n v="296.20999999999998"/>
    <x v="179"/>
    <s v="Servicio de desinsectación en CMI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9000627"/>
    <s v="AD"/>
    <d v="2021-01-02T00:00:00"/>
    <n v="22021000403"/>
    <s v="2021 09 3341 22799"/>
    <n v="5231.2299999999996"/>
    <x v="160"/>
    <s v="Contrato servicio mantenimiento integral de instalaciones Cúpula del Milenio 2021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09000531"/>
    <s v="AD"/>
    <d v="2021-01-02T00:00:00"/>
    <n v="22021000566"/>
    <s v="2021 11 1621 22103"/>
    <n v="800000"/>
    <x v="149"/>
    <s v="CONTRATO SUMINISTRO GASÓLEO PARA VEHICULOS DEL SERVICIO DE LIMPIEZA PARA LOS EJERCICIOS 2021 Y 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3"/>
  </r>
  <r>
    <n v="220209000466"/>
    <s v="AD"/>
    <d v="2021-01-02T00:00:00"/>
    <n v="22021000317"/>
    <s v="2021 06 3231 22799"/>
    <n v="185441.28"/>
    <x v="180"/>
    <s v="EXPTE. SE-EIJI 10/2020. CTTO GESTION EIM EL GLOBO - LOTE 9. AÑO 2021. 01/01 A 31/08/2022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7"/>
    <s v="AD"/>
    <d v="2021-01-02T00:00:00"/>
    <n v="22021000318"/>
    <s v="2021 06 3231 22799"/>
    <n v="175309.29"/>
    <x v="180"/>
    <s v="EXPTE. SE-EIJI 10/2020. CTTO GESTION EIM CABALLITO BLANCO LOTE 10. AÑO 2021. 01/01 A 31/08/2022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532"/>
    <s v="AD"/>
    <d v="2021-01-02T00:00:00"/>
    <n v="22021000567"/>
    <s v="2021 11 1631 22103"/>
    <n v="200000"/>
    <x v="149"/>
    <s v="CONTRATO SUMINISTRO GASÓLEO PARA VEHÍCULOS DEL S. DE LIMPIEZA VIARIA PARA LOS AÑOS 2021 Y 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3"/>
  </r>
  <r>
    <n v="220210000022"/>
    <s v="ADO"/>
    <d v="2021-01-19T00:00:00"/>
    <n v="22021000669"/>
    <s v="2021 09 3341 22799"/>
    <n v="308.89"/>
    <x v="160"/>
    <s v="SERVICIO DESMONTAJE ELEMENTOS CONEXION ELECTRICA DE CLIMZATIZADORES RETIRADOS DE LA CUPULA DEL MILENIO, 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0023"/>
    <s v="ADO"/>
    <d v="2021-01-19T00:00:00"/>
    <n v="22021000670"/>
    <s v="2021 09 3341 213"/>
    <n v="1701.41"/>
    <x v="160"/>
    <s v="REPARACION DE UNA BOMBA DE PRESION PCI EN LA CUPULA DEL MILENIO. DICIEMBRE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10000024"/>
    <s v="ADO"/>
    <d v="2021-01-19T00:00:00"/>
    <n v="22021000671"/>
    <s v="2021 09 3341 22799"/>
    <n v="1046.25"/>
    <x v="160"/>
    <s v="SERVICIO MANTENIMIENTO CLIMA, BT Y CT CUPULA DEL MILENIO - EXPTE: SECT 58/2020. DICIEMBRE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1564"/>
    <s v="AD"/>
    <d v="2021-02-02T00:00:00"/>
    <n v="22021001890"/>
    <s v="2021 09 3341 213"/>
    <n v="1625.01"/>
    <x v="160"/>
    <s v="CONTRATO MENOR REPARACIÓN BOMBA CALOR CUPULA DEL MILENIO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9000164"/>
    <s v="AD"/>
    <d v="2021-01-02T00:00:00"/>
    <n v="22021000228"/>
    <s v="2021 09 3341 22609"/>
    <n v="16567.72"/>
    <x v="181"/>
    <s v="CONTRATO SERVICIOS AUXILIARES DURANTE LA FERIA DEL LIBRO DE VALLADOLID. LOTE 5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614"/>
    <s v="AD"/>
    <d v="2021-01-02T00:00:00"/>
    <n v="22021000632"/>
    <s v="2021 11 1361 22103"/>
    <n v="25000"/>
    <x v="149"/>
    <s v="Acuerdo de la Junra de Gobierno,aprobación expte. PR-SE 38_2020 contratación suministro gasóleo automoción;SEISYPC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9000726"/>
    <s v="AD"/>
    <d v="2021-01-02T00:00:00"/>
    <n v="22021000461"/>
    <s v="2021 08 1532 22103"/>
    <n v="31500"/>
    <x v="149"/>
    <s v="ADJUDICACIÓN SUMINISTRO DE GASOLEO TIPO A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7984"/>
    <s v="AD"/>
    <d v="2021-03-09T00:00:00"/>
    <n v="22021003263"/>
    <s v="2021 02 9332 213"/>
    <n v="392.52"/>
    <x v="160"/>
    <s v="MANTENIMIENTO INSTALACIÓN VENTILACIÓN DEPÓSITOS DEL ARCHIVO MUNICIPAL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12689"/>
    <s v="AD"/>
    <d v="2021-03-25T00:00:00"/>
    <n v="22021003602"/>
    <s v="2021 09 3341 213"/>
    <n v="1356.36"/>
    <x v="160"/>
    <s v="REPARACION DEL SISTEMA DE EXTRACCION DE LA CUPULA DEL MILENIO. MARZO 2021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10006991"/>
    <s v="ADO"/>
    <d v="2021-03-05T00:00:00"/>
    <n v="22021002901"/>
    <s v="2021 11 1361 22199"/>
    <n v="279"/>
    <x v="182"/>
    <s v="NEW LANDER INDOOR (1) ////  SALUD PUBLICA Y SEG. CIUDADANA"/>
    <s v="24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65"/>
    <s v="AD"/>
    <d v="2021-03-08T00:00:00"/>
    <n v="22021003353"/>
    <s v="2021 11 1321 22104"/>
    <n v="3150"/>
    <x v="182"/>
    <s v="PRENDAS DE VESTIR PARA FUNCIONARIOS DE LA POLICÍA QUE PRESTAN SERVICIO SIN EL UNIFORME REGLAMENTARIO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4"/>
  </r>
  <r>
    <n v="220210010361"/>
    <s v="AD"/>
    <d v="2021-03-18T00:00:00"/>
    <n v="22021003477"/>
    <s v="2021 11 1321 22699"/>
    <n v="271.04000000000002"/>
    <x v="182"/>
    <s v="ADQUISICIÓN DE CARTERAS PORTA PLACAS PARA NUEVOS AGENTES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2888"/>
    <s v="AD"/>
    <d v="2021-03-29T00:00:00"/>
    <n v="22021003346"/>
    <s v="2021 11 1321 22602"/>
    <n v="2532.15"/>
    <x v="183"/>
    <s v="CONTRAT.  ESPACIOS EN TV LOCAL PARA INSERCIÓN  PUBLICIDAD DEL AYTO DE VALLADOLID DURANTE EL AÑO 2021 AL AMPARO DEL A.M."/>
    <s v="220"/>
    <s v="VALLADOLID"/>
    <s v="VALLADOLID"/>
    <x v="0"/>
    <s v="PrAbier - Procedimiento Abierto"/>
    <s v="SinC - Sin Criterio"/>
    <x v="2"/>
    <x v="0"/>
    <s v="2"/>
    <s v="2. Gastos corrientes en bienes y servicios"/>
    <s v="11"/>
    <x v="5"/>
    <s v="1321"/>
    <s v="1321. Policía municipal"/>
    <s v="22"/>
    <s v="22602"/>
  </r>
  <r>
    <n v="220210000538"/>
    <s v="AD"/>
    <d v="2021-01-25T00:00:00"/>
    <n v="22021001180"/>
    <s v="2021 05 4331 22602"/>
    <n v="1824.68"/>
    <x v="184"/>
    <s v="CAMPAÑA DIFUSION CONVOCATORIA SUBVENCIONES REACTIVA DIGITAL - PRENSA ESCRITA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02762"/>
    <s v="ADO"/>
    <d v="2021-02-10T00:00:00"/>
    <n v="22021002274"/>
    <s v="2021 05 4331 22602"/>
    <n v="6352.5"/>
    <x v="184"/>
    <s v="PUBLICACION EN EL MUNDO DE CYL // DIAS: 13,27 DE OCTUBRE-20 ; DÍAS: 10,24 DE NOVIEMBRE-20 ; DÍAS: 8,15 DE DICIEMBRE-20"/>
    <s v="24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10389"/>
    <s v="AD"/>
    <d v="2021-03-19T00:00:00"/>
    <n v="22021003362"/>
    <s v="2021 04 9321 22602"/>
    <n v="5000"/>
    <x v="184"/>
    <s v="ANUNCIOS INFORMACIÓN TRIBUTARIA EJERCICIO 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3"/>
    <s v="9321"/>
    <s v="9321. Gestión de ingresos e inspección"/>
    <s v="22"/>
    <s v="22602"/>
  </r>
  <r>
    <n v="220209000786"/>
    <s v="AD"/>
    <d v="2021-01-02T00:00:00"/>
    <n v="22021000502"/>
    <s v="2021 06 2314 22799"/>
    <n v="200914.17"/>
    <x v="185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1366"/>
    <s v="AD"/>
    <d v="2021-02-01T00:00:00"/>
    <n v="22021002020"/>
    <s v="2021 01 9207 22001"/>
    <n v="1886.86"/>
    <x v="186"/>
    <s v="RENOVACIÓN DE TRES SUSCRIPCIONES ANUALES AL PERIÓDICO EL MUNDO -DIARIO DE VALLADOLID - PRENSA Y GABINETE DE GOBIERNO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0006"/>
    <s v="ADO"/>
    <d v="2021-01-19T00:00:00"/>
    <n v="22021000544"/>
    <s v="2021 01 9206 22001"/>
    <n v="5804.6"/>
    <x v="186"/>
    <s v="Renovación de Suscripciones El MUNDO // Periodo: 03/01/2020 - 02/01/2021"/>
    <s v="24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1373"/>
    <s v="AD"/>
    <d v="2021-02-01T00:00:00"/>
    <n v="22021002067"/>
    <s v="2021 07 1721 22112"/>
    <n v="5000"/>
    <x v="163"/>
    <s v="SUSTITUCIÓN DE ELEMENTOS POR AVERÍA EN LAS INSTALACIONES FOTOVOLTAICAS MUNICIPALES"/>
    <s v="220"/>
    <s v="MADRID"/>
    <s v="MADR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08455"/>
    <s v="AD"/>
    <d v="2021-03-11T00:00:00"/>
    <n v="22021002774"/>
    <s v="2021 01 9206 22001"/>
    <n v="10761"/>
    <x v="162"/>
    <s v="17 SUSCRIPCIONES ANUALES, PARA DISTINTAS ÁREAS DEL AYUNTAMIENTO DE VALLADOLID, AL DIARIO EL NORTE DE CASTILLA, AÑO 2021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0054850"/>
    <s v="AD"/>
    <d v="2021-03-29T00:00:00"/>
    <n v="22020005780"/>
    <s v="2021 08 1651 619"/>
    <n v="9198.15"/>
    <x v="163"/>
    <s v="Obras de remodelación de alumbrado público de la zona peatonal en C/ Miguel Angel Blanco.-"/>
    <s v="220"/>
    <s v="MADRID"/>
    <s v="MADR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6575"/>
    <s v="AD"/>
    <d v="2021-03-01T00:00:00"/>
    <n v="22021003083"/>
    <s v="2021 03 9241 213"/>
    <n v="6047.74"/>
    <x v="163"/>
    <s v="CORRECCIÓN DEFECTOS EN INSTALACIONES DE 4 CENTROS DEL SPC, PARA OBTENER CERTIFICACIÓN FAVORABLE EN LA INSPECCIÓN DE BT"/>
    <s v="220"/>
    <s v="MADRID"/>
    <s v="MADR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1420"/>
    <s v="ADO"/>
    <d v="2021-02-02T00:00:00"/>
    <n v="22021002060"/>
    <s v="2021 05 4315 22602"/>
    <n v="1815"/>
    <x v="162"/>
    <s v="FOMENTO VTA MERCADILLOS/VTA AMBULANTE  | El Norte de Castilla -  5x5 (10x5) 1/2 Página/ DÍAS26,27 Y 28 DE DIC-AM 30/2018"/>
    <s v="24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15"/>
    <s v="4315. Actuaciones en materia de consumo"/>
    <s v="22"/>
    <s v="22602"/>
  </r>
  <r>
    <n v="220210006456"/>
    <s v="AD"/>
    <d v="2021-02-26T00:00:00"/>
    <n v="22021002284"/>
    <s v="2021 04 9321 22602"/>
    <n v="5500"/>
    <x v="162"/>
    <s v="ANUNCIO IVTM EJERCICIO 2021: aprobación del padrón y período de cobranza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3"/>
    <s v="9321"/>
    <s v="9321. Gestión de ingresos e inspección"/>
    <s v="22"/>
    <s v="22602"/>
  </r>
  <r>
    <n v="220209000403"/>
    <s v="AD"/>
    <d v="2021-01-02T00:00:00"/>
    <n v="22021000289"/>
    <s v="2021 11 1321 213"/>
    <n v="9883.7800000000007"/>
    <x v="163"/>
    <s v="PRESTACIONES BÁSICAS MANTENIMIENTO INSTALACIONES TÉRMICAS POLICIA  DEL 1 DE ENERO AL 30 DE NOVIEMBRE DE 2021."/>
    <s v="220"/>
    <s v="MADRID"/>
    <s v="MADRID"/>
    <x v="0"/>
    <s v="PrAbier - Procedimiento Abierto"/>
    <s v="SinC - Sin Criterio"/>
    <x v="1"/>
    <x v="0"/>
    <s v="2"/>
    <s v="2. Gastos corrientes en bienes y servicios"/>
    <s v="11"/>
    <x v="5"/>
    <s v="1321"/>
    <s v="1321. Policía municipal"/>
    <s v="21"/>
    <s v="213"/>
  </r>
  <r>
    <n v="220209000404"/>
    <s v="AD"/>
    <d v="2021-01-02T00:00:00"/>
    <n v="22021000290"/>
    <s v="2021 11 1321 213"/>
    <n v="6875"/>
    <x v="163"/>
    <s v="PRESTACIONES COMPLEMENTARIAS MANTENIMIENTO INSTALACIONES TÉRMICAS POLICÍA DEL 1 DE ENERO AL 30 DE NOVIEMBRE DE 2021."/>
    <s v="220"/>
    <s v="MADRID"/>
    <s v="MADRID"/>
    <x v="0"/>
    <s v="PrAbier - Procedimiento Abierto"/>
    <s v="SinC - Sin Criterio"/>
    <x v="1"/>
    <x v="0"/>
    <s v="2"/>
    <s v="2. Gastos corrientes en bienes y servicios"/>
    <s v="11"/>
    <x v="5"/>
    <s v="1321"/>
    <s v="1321. Policía municipal"/>
    <s v="21"/>
    <s v="213"/>
  </r>
  <r>
    <n v="220200052719"/>
    <s v="AD"/>
    <d v="2021-03-29T00:00:00"/>
    <n v="22020006486"/>
    <s v="2021 08 1651 619"/>
    <n v="20935.599999999999"/>
    <x v="187"/>
    <s v="Remodelación del alumbrado público de la zona del parque en la Plaza del Ejército de Valladolid.-"/>
    <s v="220"/>
    <s v="VALLADOLID"/>
    <s v="VALLADOL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00062617"/>
    <s v="AD"/>
    <d v="2021-03-29T00:00:00"/>
    <n v="22019005585"/>
    <s v="2021 11 1621 634"/>
    <n v="9391.61"/>
    <x v="187"/>
    <s v="INSATLACIÓN TORRES DE RECARGA PARA LOS EQUIPOS RECOLECTORES ELECTRICOS DE LOS VEHICULOS NUEVOS DEL Sº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12687"/>
    <s v="AD"/>
    <d v="2021-03-25T00:00:00"/>
    <n v="22021003607"/>
    <s v="2021 04 9204 213"/>
    <n v="2303.84"/>
    <x v="168"/>
    <s v="REVISIÓN Y REPARACIÓN DE LOS SAIS DEL EDIFICIO CDIT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4538"/>
    <s v="D"/>
    <d v="2021-02-19T00:00:00"/>
    <n v="22021001275"/>
    <s v="2021 07 1711 22199"/>
    <n v="108.95"/>
    <x v="188"/>
    <s v="ACUERDO MARCO 2017/36, MATERIAL DE CERRAJER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84"/>
    <s v="D"/>
    <d v="2021-02-23T00:00:00"/>
    <n v="22021001968"/>
    <s v="2021 11 1321 22199"/>
    <n v="263.31"/>
    <x v="188"/>
    <s v="ACUERDO MARCO. MATERIAL DE FERRETERI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610"/>
    <s v="D"/>
    <d v="2021-02-23T00:00:00"/>
    <n v="22021002057"/>
    <s v="2021 11 1631 22199"/>
    <n v="34.81"/>
    <x v="188"/>
    <s v="AC MARCO EXP V36-2017: MATERIALES CERRAJERIA Y SUMINIS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8783"/>
    <s v="D"/>
    <d v="2021-03-11T00:00:00"/>
    <n v="22021002371"/>
    <s v="2021 02 9332 212"/>
    <n v="22.43"/>
    <x v="168"/>
    <s v="12 UD - Pila alcalina Panasonic bronce LR03 AAA blister 4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0497"/>
    <s v="AD"/>
    <d v="2021-01-25T00:00:00"/>
    <n v="22021001280"/>
    <s v="2021 07 1711 22799"/>
    <n v="800"/>
    <x v="189"/>
    <s v="CONTRATO MANTENIMIENTO CENTRO TRANSFORMACION RENEDO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306"/>
    <s v="AD"/>
    <d v="2021-01-02T00:00:00"/>
    <n v="22021000261"/>
    <s v="2021 11 1621 214"/>
    <n v="77778.8"/>
    <x v="190"/>
    <s v="REAJUSTE ANUALIDADES CONTRATO SUMINISTRO NEUMÁTICOS (LOTE 1) PARA VEHÍCULOS SERVICIO LIMPIEZA DEL 1-7-2020 AL 30-6-2022"/>
    <s v="220"/>
    <s v="SAN SEBASTIAN DE LOS REYES"/>
    <s v="MADR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4"/>
  </r>
  <r>
    <n v="220209000308"/>
    <s v="AD"/>
    <d v="2021-01-02T00:00:00"/>
    <n v="22021000262"/>
    <s v="2021 11 1631 214"/>
    <n v="6050"/>
    <x v="190"/>
    <s v="REAJUSTE ANUALIDADES CONTRATO SUMINISTRO NEUMÁTICOS (LOTE 2) VEHÍCULOS DE LIMPIEZA VIARIA DEL 1-7-2020 AL 30-6-2022"/>
    <s v="220"/>
    <s v="SAN SEBASTIAN DE LOS REYES"/>
    <s v="MADR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1"/>
    <s v="214"/>
  </r>
  <r>
    <n v="220210001389"/>
    <s v="AD"/>
    <d v="2021-02-01T00:00:00"/>
    <n v="22021002241"/>
    <s v="2021 08 1532 213"/>
    <n v="1210"/>
    <x v="191"/>
    <s v="Reparación de pequeña maquinaria (martillos eléctricos, cortadoras, tronzadoras, etc.)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10231"/>
    <s v="AD"/>
    <d v="2021-03-18T00:00:00"/>
    <n v="22021003467"/>
    <s v="2021 10 2412 213"/>
    <n v="85.18"/>
    <x v="191"/>
    <s v="REPARACION DE DOS CORTACESPES DEL CENTRO DE FORMACION PARA EL EMPLEO, CURSO DE PARQUES Y JARDINES II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3250"/>
    <s v="D"/>
    <d v="2021-02-12T00:00:00"/>
    <n v="22021002088"/>
    <s v="2021 03 9241 212"/>
    <n v="41.59"/>
    <x v="191"/>
    <s v="ALB: 21-202095 /// TUERCA - COLLARIN- VALVULAS- MACHÓN //// DESTINO: CC J MOSQUERA /// MES ENERO 2021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536"/>
    <s v="D"/>
    <d v="2021-02-19T00:00:00"/>
    <n v="22021002449"/>
    <s v="2021 07 1711 619"/>
    <n v="7089.31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4563"/>
    <s v="D"/>
    <d v="2021-02-19T00:00:00"/>
    <n v="22021002449"/>
    <s v="2021 07 1711 619"/>
    <n v="1041.04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5198"/>
    <s v="D"/>
    <d v="2021-02-22T00:00:00"/>
    <n v="22021001181"/>
    <s v="2021 10 2412 22199"/>
    <n v="131.24"/>
    <x v="191"/>
    <s v="MATERIALES,  FILTRO MALLA- MICRO MAC.(30)-PROG.M. GJ/20/VA/0002 FOYEM PQ-JARDINES II JACINTO BENAVENTE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0"/>
    <s v="D"/>
    <d v="2021-02-22T00:00:00"/>
    <n v="22021001181"/>
    <s v="2021 10 2412 22199"/>
    <n v="2.5"/>
    <x v="191"/>
    <s v="MATERIAL, REDUC. PE - ENLACE ROSCA, DESTINO: P.MIXTO GJ/20/VA/0002 FOYEM-PQ. Y JARDINES II -CF JACINTO BENAVENTE-D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2"/>
    <s v="D"/>
    <d v="2021-02-22T00:00:00"/>
    <n v="22021001181"/>
    <s v="2021 10 2412 22199"/>
    <n v="29.71"/>
    <x v="191"/>
    <s v="MATERIALES, SUMINISTROS PARA EMPLEO: P. MIXTO GJ/20/VA/0002 PARQUES Y JARDINES II DEL C. DE FORMACION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495"/>
    <s v="D"/>
    <d v="2021-02-23T00:00:00"/>
    <n v="22021001968"/>
    <s v="2021 11 1321 22199"/>
    <n v="12.55"/>
    <x v="191"/>
    <s v="ACUERDO MARCO. SUMINISTRO DE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497"/>
    <s v="D"/>
    <d v="2021-02-23T00:00:00"/>
    <n v="22021001968"/>
    <s v="2021 11 1321 22199"/>
    <n v="2.3199999999999998"/>
    <x v="191"/>
    <s v="ACUERDO MARCO. SUMINISTRO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60"/>
    <s v="D"/>
    <d v="2021-02-23T00:00:00"/>
    <n v="22021002132"/>
    <s v="2021 08 1532 210"/>
    <n v="555.75"/>
    <x v="191"/>
    <s v="SUMINISTRO DE DIFERENTES REPUESTO Y PIEZAS /// DESTINO: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5594"/>
    <s v="D"/>
    <d v="2021-02-23T00:00:00"/>
    <n v="22021002057"/>
    <s v="2021 11 1631 22199"/>
    <n v="5.3"/>
    <x v="191"/>
    <s v="AC MARCO EXP V36-2017 CINTA VULCANIZABLE TAPAFUGAS BLISTER (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06"/>
    <s v="D"/>
    <d v="2021-02-23T00:00:00"/>
    <n v="22021002054"/>
    <s v="2021 11 1631 214"/>
    <n v="87.94"/>
    <x v="191"/>
    <s v="AC MARCO EXP V36-2017: REPUESTOS REPARACIÓN MOTOR ESPARCIDOR SAL VEHÍ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608"/>
    <s v="D"/>
    <d v="2021-02-23T00:00:00"/>
    <n v="22021002054"/>
    <s v="2021 11 1631 214"/>
    <n v="44.56"/>
    <x v="191"/>
    <s v="AC MARCO EXP V36-2017: REPUESTOS REPARACIÓN EQUIPO AUXILIAR VEHICULO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618"/>
    <s v="D"/>
    <d v="2021-02-23T00:00:00"/>
    <n v="22021002054"/>
    <s v="2021 11 1631 214"/>
    <n v="571.94000000000005"/>
    <x v="191"/>
    <s v="AC MARCO EXP. V36-2017: SUMINISTRO MOTOR PARA ESPARCIDOR SAL VEHI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6468"/>
    <s v="D"/>
    <d v="2021-02-26T00:00:00"/>
    <n v="22021002449"/>
    <s v="2021 07 1711 619"/>
    <n v="174.24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9394"/>
    <s v="AD"/>
    <d v="2021-03-15T00:00:00"/>
    <n v="22021003433"/>
    <s v="2021 11 1321 213"/>
    <n v="6965.97"/>
    <x v="189"/>
    <s v="SUBSANACIÓN DE DEFICIENCIAS DETECTADAS EN OCAS ELÉCTRICAS EN EDIFICIO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037"/>
    <s v="D"/>
    <d v="2021-03-30T00:00:00"/>
    <n v="22021001966"/>
    <s v="2021 11 1321 213"/>
    <n v="55.65"/>
    <x v="168"/>
    <s v="1 UD - Térmometro clinico por infrarrojos Kaise formato para frente (POLICÍA MUNICIP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7115"/>
    <s v="AD"/>
    <d v="2021-03-05T00:00:00"/>
    <n v="22021003140"/>
    <s v="2021 07 1721 213"/>
    <n v="467.06"/>
    <x v="192"/>
    <s v="MANTENIMIENTO DE VITRINA DE GASES Y ARMARIO DE SEGURIDAD DEL LABORATORIO DE MASAS. SERVICIO MEDIO AMBIENTE"/>
    <s v="220"/>
    <s v="LAGUNA DE DUERO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13172"/>
    <s v="AD"/>
    <d v="2021-03-31T00:00:00"/>
    <n v="22021003597"/>
    <s v="2021 06 2315 22611"/>
    <n v="4000"/>
    <x v="193"/>
    <s v="Talleres de Igualdad a ejecutar en el Centro Municipal de la Igualdad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775"/>
    <s v="AD"/>
    <d v="2021-01-02T00:00:00"/>
    <n v="22021000526"/>
    <s v="2021 07 1711 619"/>
    <n v="189749.58"/>
    <x v="194"/>
    <s v="PRORROGA CONTRATO MANTENIMIENTO MOBILIARIO URBANO, HASTA 30/11/2021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3980"/>
    <s v="AD"/>
    <d v="2021-02-17T00:00:00"/>
    <n v="22021002451"/>
    <s v="2021 01 9203 213"/>
    <n v="267.29000000000002"/>
    <x v="195"/>
    <s v="REPARACION MICROCONO SOBREMESA INALAMBRICO, ADAPTADOR USB, WEBCAM AYUNTAMIENTO, R.I."/>
    <s v="220"/>
    <s v="ZARATAN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09000654"/>
    <s v="AD"/>
    <d v="2021-01-02T00:00:00"/>
    <n v="22021000416"/>
    <s v="2021 01 9201 22799"/>
    <n v="47365.120000000003"/>
    <x v="195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2"/>
    <s v="22799"/>
  </r>
  <r>
    <n v="220210010048"/>
    <s v="AD"/>
    <d v="2021-03-17T00:00:00"/>
    <n v="22021003395"/>
    <s v="2021 07 1721 22799"/>
    <n v="7000"/>
    <x v="196"/>
    <s v="CERTIFICACION Y AUDITORIAS DE LA RED DE CONTROL DE CALIDAD DEL AIRE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10001699"/>
    <s v="ADO"/>
    <d v="2021-02-02T00:00:00"/>
    <n v="22021002095"/>
    <s v="2021 06 2315 22613"/>
    <n v="126"/>
    <x v="197"/>
    <s v="SERVICIO DE MONITOR CUIDADOR EN EL CENTRO MUNICIPAL DE IGUALDAD (SERVICIO DE CANGURO) / 1 DÍA"/>
    <s v="24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210002857"/>
    <s v="AD"/>
    <d v="2021-02-11T00:00:00"/>
    <n v="22021002346"/>
    <s v="2021 06 2315 22613"/>
    <n v="4000"/>
    <x v="197"/>
    <s v="Gestión del servicio de monitor/cuidador en el Centro Municipal de la Igualdad - enero a diciembr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209000291"/>
    <s v="AD"/>
    <d v="2021-01-02T00:00:00"/>
    <n v="22021000730"/>
    <s v="2021 07 1721 633"/>
    <n v="344471.2"/>
    <x v="198"/>
    <s v="MANTENIMIENTO INTEGRAL DE LA RED DE CONTROL DE LA CONTAMINACIÓN ATMOSFÉRICA DEL AYUNTAMIENTO DE VALLADOLID"/>
    <s v="220"/>
    <s v="LLANERA"/>
    <s v="ASTURIAS"/>
    <x v="0"/>
    <s v="PrAbier - Procedimiento Abierto"/>
    <s v="MultiC - MultiCriterio"/>
    <x v="1"/>
    <x v="0"/>
    <s v="6"/>
    <s v="6. Inversiones reales"/>
    <s v="07"/>
    <x v="7"/>
    <s v="1721"/>
    <s v="1721. Protección del medio ambiente"/>
    <s v="63"/>
    <s v="633"/>
  </r>
  <r>
    <n v="220209000856"/>
    <s v="AD"/>
    <d v="2021-01-02T00:00:00"/>
    <n v="22021002134"/>
    <s v="2021 10 2312 22799"/>
    <n v="13049.91"/>
    <x v="199"/>
    <s v="PRORROGA CTTO TALLERES PMD LOTE 1 (MONEOS) 7249,97 LOTE 2 (DEDALOS) 5800 DE ENERO AL 30 DE JUNIO DE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90"/>
    <s v="AD"/>
    <d v="2021-01-02T00:00:00"/>
    <n v="22021000737"/>
    <s v="2021 07 1721 633"/>
    <n v="1059.2"/>
    <x v="198"/>
    <s v="REVISIÓN DE PRECIOS CONTRATO RELATIVO A LOS SERVICIOS DE MANTENIMIENTO INTEGRAL DE LA RCCAVA. EXPEDIENTE VS 3/17"/>
    <s v="220"/>
    <s v="LLANERA"/>
    <s v="ASTURIAS"/>
    <x v="0"/>
    <s v="PrAbier - Procedimiento Abierto"/>
    <s v="MultiC - MultiCriterio"/>
    <x v="1"/>
    <x v="0"/>
    <s v="6"/>
    <s v="6. Inversiones reales"/>
    <s v="07"/>
    <x v="7"/>
    <s v="1721"/>
    <s v="1721. Protección del medio ambiente"/>
    <s v="63"/>
    <s v="633"/>
  </r>
  <r>
    <n v="220210008410"/>
    <s v="AD"/>
    <d v="2021-03-11T00:00:00"/>
    <n v="22021003252"/>
    <s v="2021 02 1511 203"/>
    <n v="973.45"/>
    <x v="200"/>
    <s v="SUMINISTRO CARTUCHOS TINTA PLOTTER HP EN DISTINTOS COLORES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0"/>
    <s v="203"/>
  </r>
  <r>
    <n v="220210012933"/>
    <s v="AD"/>
    <d v="2021-03-29T00:00:00"/>
    <n v="22021003671"/>
    <s v="2021 04 9202 22607"/>
    <n v="4537.5"/>
    <x v="201"/>
    <s v="PRUEBAS PSICOTÉCNICAS PARA LA PROVISIÓN DE 14 OFICIALES DE LA P.M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478"/>
    <s v="AD"/>
    <d v="2021-01-02T00:00:00"/>
    <n v="22021000557"/>
    <s v="2021 07 1701 22799"/>
    <n v="17484"/>
    <x v="202"/>
    <s v="CONTRATO SERVICIOS PARA DESARROLLO PROGRAMAS DE EDUCACION AMBIENTAL.. LOTE 3. ACCIONES EDUCATIVAS, V.25/2019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10012934"/>
    <s v="AD"/>
    <d v="2021-03-29T00:00:00"/>
    <n v="22021003669"/>
    <s v="2021 04 9202 22607"/>
    <n v="294.02999999999997"/>
    <x v="201"/>
    <s v="PRUEBA PSICOTÉCNICAS PARA PROMOCIÓN INTERNA DE 2 INSPECTORES P.M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0333"/>
    <s v="AD"/>
    <d v="2021-01-21T00:00:00"/>
    <n v="22021001226"/>
    <s v="2021 06 3321 22199"/>
    <n v="500"/>
    <x v="203"/>
    <s v="SUMINISTRO DE PRODUCTOS DE HIGIENE, PROTECCIÓN Y DESINFECCIÓN CONTRA LA COVID 19, PARA BIBLIOTECAS MUNICIPALES. 1 AÑO."/>
    <s v="220"/>
    <s v="HOSPITALET DE LLOBREGAT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199"/>
  </r>
  <r>
    <n v="220210001246"/>
    <s v="AD"/>
    <d v="2021-01-29T00:00:00"/>
    <n v="22021001675"/>
    <s v="2021 03 9241 22199"/>
    <n v="71.680000000000007"/>
    <x v="203"/>
    <s v="PAPELERA PEDAL INOX (2 UDS.) PARA CENTRO SANTIAGO LÓPEZ"/>
    <s v="220"/>
    <s v="HOSPITALET DE LLOBREGAT"/>
    <s v="BARCELONA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99"/>
  </r>
  <r>
    <n v="220209000031"/>
    <s v="AD"/>
    <d v="2021-01-02T00:00:00"/>
    <n v="22021000709"/>
    <s v="2021 04 9204 641"/>
    <n v="54994.5"/>
    <x v="204"/>
    <s v="SUMINISTRO DE LICENCIAS Y SOPORTE TÉCNICO DE LOS PRODUCTOS ArcGIS"/>
    <s v="220"/>
    <s v="MADRID"/>
    <s v="MADRID"/>
    <x v="1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199000252"/>
    <s v="AD"/>
    <d v="2021-01-02T00:00:00"/>
    <n v="22021000053"/>
    <s v="2021 03 9241 22102"/>
    <n v="315000"/>
    <x v="205"/>
    <s v="SUMINSTRO GAS CENTROS DE PARTICIPACIÓN CIUDADANA"/>
    <s v="220"/>
    <s v="BARCELONA"/>
    <s v="BARCELON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2"/>
  </r>
  <r>
    <n v="220199000282"/>
    <s v="AD"/>
    <d v="2021-01-02T00:00:00"/>
    <n v="22021000054"/>
    <s v="2021 11 1621 22102"/>
    <n v="23000"/>
    <x v="205"/>
    <s v="ADJUDICACIÓN CONTRATO SUMINSITRO GAS NATURAL (1-1-2020 AL 30-9-2021)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2"/>
  </r>
  <r>
    <n v="220199000307"/>
    <s v="AD"/>
    <d v="2021-01-02T00:00:00"/>
    <n v="22021000055"/>
    <s v="2021 10 2312 22102"/>
    <n v="39000"/>
    <x v="205"/>
    <s v="SUMINISTRO GAS DE LOS CPM TRANSFERIDOS TODO EL AÑO 2020 Y DE ENERO 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2"/>
  </r>
  <r>
    <n v="220199000308"/>
    <s v="AD"/>
    <d v="2021-01-02T00:00:00"/>
    <n v="22021000056"/>
    <s v="2021 10 2312 22102"/>
    <n v="32250"/>
    <x v="205"/>
    <s v="SUMINISTRO GAS DE LOS CPM NO TRANSFERIDOS TODO EL AÑO 2020 Y DE ENERO 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2"/>
  </r>
  <r>
    <n v="220199000309"/>
    <s v="AD"/>
    <d v="2021-01-02T00:00:00"/>
    <n v="22021000057"/>
    <s v="2021 10 2412 22102"/>
    <n v="10000"/>
    <x v="205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199000310"/>
    <s v="AD"/>
    <d v="2021-01-02T00:00:00"/>
    <n v="22021000058"/>
    <s v="2021 10 2311 22102"/>
    <n v="13500"/>
    <x v="205"/>
    <s v="CONTRATO SUMINISTRO GAS NATURAL RESTO SERVICIOS DEPENDIENTES INTERVENCION SOCIAL 2020 Y HASTA SEPT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199000311"/>
    <s v="AD"/>
    <d v="2021-01-02T00:00:00"/>
    <n v="22021000059"/>
    <s v="2021 10 2311 22102"/>
    <n v="4500"/>
    <x v="205"/>
    <s v="CONTRATO SUMINISTRO GAS NATURAL COMEDOR SOCIAL AÑO 2020 Y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199000312"/>
    <s v="AD"/>
    <d v="2021-01-02T00:00:00"/>
    <n v="22021000060"/>
    <s v="2021 06 3231 22102"/>
    <n v="53680"/>
    <x v="205"/>
    <s v="NUEVO CONTRATO CENTRALIZADO DE SUMINISTRO DE GAS. ESCUELAS INFANTILES MUNICIPALES. 2020. 01/01/2021 A 31/08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102"/>
  </r>
  <r>
    <n v="220199000313"/>
    <s v="AD"/>
    <d v="2021-01-02T00:00:00"/>
    <n v="22021000061"/>
    <s v="2021 06 3232 22102"/>
    <n v="524800"/>
    <x v="205"/>
    <s v="NUEVO CONTRATO CENTRALIZADO DE SUMINISTRO DE GAS. COLEGIOS PÚBLICOS. AÑO 2020. 01 ENERO A 31 DE AGOSTO 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2"/>
  </r>
  <r>
    <n v="220199000314"/>
    <s v="AD"/>
    <d v="2021-01-02T00:00:00"/>
    <n v="22021000062"/>
    <s v="2021 06 3321 22102"/>
    <n v="7225"/>
    <x v="205"/>
    <s v="NUEVO CONTRATO CENTRALIZADO DE SUMINISTRO DE GAS. BIBLIOTECAS PÚBLICAS MUNICIPALES. AÑO 2020. 01/01/2021 A 31/08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102"/>
  </r>
  <r>
    <n v="220199000315"/>
    <s v="AD"/>
    <d v="2021-01-02T00:00:00"/>
    <n v="22021002413"/>
    <s v="2021 05 4315 22102"/>
    <n v="1700"/>
    <x v="205"/>
    <s v="CONTRATO SUMINISTRO GAS NATURAL OMIC - ENERO A DICIEMBRE 2020 Y ENERO A 30 SEPTIEMBRE 2021 -EXPTE. SE 10/2019"/>
    <s v="220"/>
    <s v="BARCELONA"/>
    <s v="BARCELON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2"/>
  </r>
  <r>
    <n v="220199000316"/>
    <s v="AD"/>
    <d v="2021-01-02T00:00:00"/>
    <n v="22021000063"/>
    <s v="2021 02 9332 22102"/>
    <n v="75000"/>
    <x v="205"/>
    <s v="ADJUDICACION CONTRATO SUMINISTRO GAS NATURAL EDIFICIOS MUNICIPALES PARA EL AÑO 2020 Y ENERO A SEPTIEMBRE 2021(*MANT.)"/>
    <s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2"/>
  </r>
  <r>
    <n v="220199000398"/>
    <s v="AD"/>
    <d v="2021-01-02T00:00:00"/>
    <n v="22021000064"/>
    <s v="2021 11 1321 22102"/>
    <n v="55000"/>
    <x v="205"/>
    <s v="CONSUMO GAS DEPENDENCIAS POLICÍA DEL 1 DE ENERO AL 31 DE DIC. 2020 Y DEL 1 DE ENERO AL 30 DE SEPTIEMBRE DE 2021.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2"/>
  </r>
  <r>
    <n v="220199000402"/>
    <s v="AD"/>
    <d v="2021-01-02T00:00:00"/>
    <n v="22021000065"/>
    <s v="2021 06 2315 22102"/>
    <n v="4000"/>
    <x v="205"/>
    <s v="NUEVO CONTRATO CENTRALIZADO SUMINISTRO DE GAS. CENTRO MUNICIPAL DE LA IGUALDAD. AÑO 2020. 01/01/2021 A 30/09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102"/>
  </r>
  <r>
    <n v="220199000871"/>
    <s v="AD"/>
    <d v="2021-01-02T00:00:00"/>
    <n v="22021000182"/>
    <s v="2021 11 1361 22102"/>
    <n v="28000"/>
    <x v="205"/>
    <s v="CONTRATO SUMINISTRO DE GAS NATURAL DESDE ENERO 2020 HASTA SEPTIEMBRE 2021. SERVICIO DE EXTINCIÓN DE INCENDIOS.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2"/>
  </r>
  <r>
    <n v="220210000516"/>
    <s v="AD"/>
    <d v="2021-01-25T00:00:00"/>
    <n v="22021000763"/>
    <s v="2021 10 2412 22102"/>
    <n v="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16"/>
    <s v="AD"/>
    <d v="2021-01-25T00:00:00"/>
    <n v="22021000764"/>
    <s v="2021 10 2412 22102"/>
    <n v="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16"/>
    <s v="AD"/>
    <d v="2021-01-25T00:00:00"/>
    <n v="22021000765"/>
    <s v="2021 10 2412 22102"/>
    <n v="4814.82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23"/>
    <s v="AD/"/>
    <d v="2021-01-25T00:00:00"/>
    <n v="22021000057"/>
    <s v="2021 10 2412 22102"/>
    <n v="-10000"/>
    <x v="205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35"/>
    <s v="AD"/>
    <d v="2021-01-25T00:00:00"/>
    <n v="22021000008"/>
    <s v="2021 09 3341 22102"/>
    <n v="800"/>
    <x v="205"/>
    <s v="SUMINISTRO GAS NATURAL DEL ANTIGUO COLEGIO ROSA CHACEL"/>
    <s v="220"/>
    <s v="BARCELONA"/>
    <s v="BARCELON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102"/>
  </r>
  <r>
    <n v="220210005275"/>
    <s v="AD/"/>
    <d v="2021-02-22T00:00:00"/>
    <n v="22021000765"/>
    <s v="2021 10 2412 22102"/>
    <n v="-4814.82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5275"/>
    <s v="AD/"/>
    <d v="2021-02-22T00:00:00"/>
    <n v="22021000763"/>
    <s v="2021 10 2412 22102"/>
    <n v="-1043.7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5275"/>
    <s v="AD/"/>
    <d v="2021-02-22T00:00:00"/>
    <n v="22021000764"/>
    <s v="2021 10 2412 22102"/>
    <n v="-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4"/>
    <s v="2021 10 2412 22102"/>
    <n v="2090.1999999999998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3"/>
    <s v="2021 10 2412 22102"/>
    <n v="2916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5"/>
    <s v="2021 10 2412 22102"/>
    <n v="3445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52"/>
    <s v="AD"/>
    <d v="2021-02-26T00:00:00"/>
    <n v="22021002598"/>
    <s v="2021 06 3232 22102"/>
    <n v="1500"/>
    <x v="205"/>
    <s v="TRABAJOS DE INSPECCIÓN PERIÓDICA DE IRC DE LA EMPRESA DISTRIBUIDORA DE GAS NATURAL EN LOS COLEGIOS PÚBLICOS. 1 AÑO."/>
    <s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2"/>
  </r>
  <r>
    <n v="220210008452"/>
    <s v="AD"/>
    <d v="2021-03-11T00:00:00"/>
    <n v="22021003364"/>
    <s v="2021 04 9202 22607"/>
    <n v="4537.5"/>
    <x v="206"/>
    <s v="PRUEBA PSICOTÉCNICA PARA PROVISIÓN 14 OFICIALES DE LA POLICÍA MUNICIPAL EN P.I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8454"/>
    <s v="AD"/>
    <d v="2021-03-11T00:00:00"/>
    <n v="22021003383"/>
    <s v="2021 04 9202 22607"/>
    <n v="294.02999999999997"/>
    <x v="206"/>
    <s v="PRUEBA PSICOTÉCNICA PLAZAS DE INSPECTOR P.M. promoción interna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12929"/>
    <s v="AD/"/>
    <d v="2021-03-29T00:00:00"/>
    <n v="22021003383"/>
    <s v="2021 04 9202 22607"/>
    <n v="-294.02999999999997"/>
    <x v="206"/>
    <s v="PRUEBA PSICOTÉCNICA PLAZAS DE INSPECTOR P.M. promoción interna. -ERROR EN NIF-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12930"/>
    <s v="AD/"/>
    <d v="2021-03-29T00:00:00"/>
    <n v="22021003364"/>
    <s v="2021 04 9202 22607"/>
    <n v="-4537.5"/>
    <x v="206"/>
    <s v="PRUEBA PSICOTÉCNICA PARA PROVISIÓN 14 OFICIALES DE LA POLICÍA MUNICIPAL EN P.I. -ERROR EN NIF-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0041404"/>
    <s v="AD"/>
    <d v="2021-03-29T00:00:00"/>
    <n v="22019006217"/>
    <s v="2021 08 1532 609"/>
    <n v="3267"/>
    <x v="207"/>
    <s v="Redacción del proyecto y dirección facultativa Obras de Instalación de 3 ascensores en calles Oriol, estornino y Ánade.-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0"/>
    <s v="609"/>
  </r>
  <r>
    <n v="220209000835"/>
    <s v="AD"/>
    <d v="2021-01-02T00:00:00"/>
    <n v="22021001286"/>
    <s v="2021 05 4331 22799"/>
    <n v="15000"/>
    <x v="177"/>
    <s v="Ampliación del contratto de atención presencial y telefónica- 010 -  Agencia Innovación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65"/>
    <s v="AD"/>
    <d v="2021-01-02T00:00:00"/>
    <n v="22021000229"/>
    <s v="2021 09 3341 22609"/>
    <n v="18059.25"/>
    <x v="208"/>
    <s v="CONTRATO SERVICIO AGENCIA VIAJES DESPLAZAMIENTOS, ALOJAMIENTO Y RESTAURACION PARTICIPANTES FERIA LIBRO. LOTE 6 AÑO 2021"/>
    <s v="220"/>
    <s v="POZUELO DE ALARCON"/>
    <s v="MADR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10006473"/>
    <s v="ADO"/>
    <d v="2021-02-26T00:00:00"/>
    <n v="22021002954"/>
    <s v="2021 05 4331 22799"/>
    <n v="2204.14"/>
    <x v="177"/>
    <s v="AGEN.INNOVACION Y DESARROLLO ECONÓMICO - SERVICIO ATENCIÓN &quot;&quot;010&quot;&quot;, CENTRALITAY ATENCIÓN PRESENCIAL // MES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9589"/>
    <s v="AD"/>
    <d v="2021-03-16T00:00:00"/>
    <n v="22021003363"/>
    <s v="2021 09 3341 22799"/>
    <n v="4217.7"/>
    <x v="177"/>
    <s v="CONTRATO MENOR SERVICIO MANTENIMIENTO INTEGRAL DE INSTALACIONES CENTRO GALERIAS VALLADOLID. DEL 01-04-2021 AL 31-03-2022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09000131"/>
    <s v="AD"/>
    <d v="2021-01-02T00:00:00"/>
    <n v="22021000556"/>
    <s v="2021 07 1711 610"/>
    <n v="430415.49"/>
    <x v="177"/>
    <s v="CONTRATO MANTENIMIENTO JARDINES ZONA CENTRO. 1ª PRORROGA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09000132"/>
    <s v="AD"/>
    <d v="2021-01-02T00:00:00"/>
    <n v="22021000115"/>
    <s v="2021 07 1711 22799"/>
    <n v="83675.56"/>
    <x v="177"/>
    <s v="CONTRATO MANTENIMIENTO JARDINES ZONA CENTRO. 1ª PRORROGA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09000530"/>
    <s v="AD"/>
    <d v="2021-01-02T00:00:00"/>
    <n v="22021000565"/>
    <s v="2021 04 9231 22799"/>
    <n v="236250"/>
    <x v="177"/>
    <s v="PRORROGA SERVICIO ATENCION TELEFONICA 010, CENTRALITA Y ATENCION PRESENCIAL -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189000676"/>
    <s v="AD"/>
    <d v="2021-01-02T00:00:00"/>
    <n v="22021000122"/>
    <s v="2021 10 2312 22799"/>
    <n v="22071.09"/>
    <x v="180"/>
    <s v="ADJUDICACION PRESTACIONES PARA SERV CENTRO OCUPACIONAL PERSONAS CON DISCAPACIDAD INTELECTUAL 15/2/19 AL 14/2/21 A.MARCO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851"/>
    <s v="AD"/>
    <d v="2021-01-02T00:00:00"/>
    <n v="22021002468"/>
    <s v="2021 10 2312 22799"/>
    <n v="154497.60999999999"/>
    <x v="180"/>
    <s v="prórroga contrato de gestión del servicio de talleres ocupacionales de feb 21 a feb 22.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03982"/>
    <s v="AD"/>
    <d v="2021-02-17T00:00:00"/>
    <n v="22021002507"/>
    <s v="2021 04 3121 22706"/>
    <n v="4000"/>
    <x v="209"/>
    <s v="LABORATORIO ANALISIS CLINICOS PERSONAL AYTO. TRES MESES (ENERO A MARZO). PREVENCION Y SALUD LABORAL"/>
    <s v="22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09000194"/>
    <s v="AD"/>
    <d v="2021-01-02T00:00:00"/>
    <n v="22021000238"/>
    <s v="2021 08 1651 213"/>
    <n v="23760.13"/>
    <x v="210"/>
    <s v="PRORROGA CONTRATO SUMINISTRO LAMPARAS (LOTE 1) del 01.01.2021  hasta finalización de contrato.-"/>
    <s v="220"/>
    <s v="BARCELONA"/>
    <s v="BARCELONA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10001429"/>
    <s v="ADO"/>
    <d v="2021-02-02T00:00:00"/>
    <n v="22021002130"/>
    <s v="2021 01 9207 22799"/>
    <n v="1377.21"/>
    <x v="211"/>
    <s v="ACCESO SERVICIO CONJUNTO DE NOTICIAS Y FOTOGRAFÍAS DE AGENCIA EUROPA PRESS // MES DICIEMBRE DE 2020"/>
    <s v="24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2500"/>
    <s v="AD"/>
    <d v="2021-02-08T00:00:00"/>
    <n v="22021001272"/>
    <s v="2021 01 9207 22799"/>
    <n v="16526.52"/>
    <x v="211"/>
    <s v="ACCESO POR WEB AL SERVICIO CONJUNTO DE NOTICIAS DE LA AGENCIA DURANTE EL AÑO 2021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0507"/>
    <s v="AD"/>
    <d v="2021-01-25T00:00:00"/>
    <n v="22021001681"/>
    <s v="2021 03 9241 22609"/>
    <n v="440"/>
    <x v="212"/>
    <s v="ACTUACIÓN CC DELICIAS DIA 04/01/2021"/>
    <s v="220"/>
    <s v="SIMANCA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199000585"/>
    <s v="AD"/>
    <d v="2021-01-02T00:00:00"/>
    <n v="22021000159"/>
    <s v="2021 03 9241 22700"/>
    <n v="410.76"/>
    <x v="213"/>
    <s v="CONTRATO MANTENIMIENTO LIMPIEZA ZONAS VERDES, JARDINERÍA. LOTE 5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09000212"/>
    <s v="AD"/>
    <d v="2021-01-02T00:00:00"/>
    <n v="22021000241"/>
    <s v="2021 06 2315 22799"/>
    <n v="5610.76"/>
    <x v="213"/>
    <s v="SE 10/2020. LOTE 2. CONSERVACION Y MANTENIMIENTO ZONAS VERDES Y ARBOLADO.CMI.AÑO 2021 Y 01 DE ENERO A 22 DE SEPT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99"/>
  </r>
  <r>
    <n v="220209000215"/>
    <s v="AD"/>
    <d v="2021-01-02T00:00:00"/>
    <n v="22021002208"/>
    <s v="2021 06 3232 22799"/>
    <n v="84064.15"/>
    <x v="213"/>
    <s v="SE 10/2020. LOTE 1. CONSERVACION Y MANTENIMIENTO ZONAS VERDES Y ARBOLADO. COLEGIOS PUBLICOS.2021 Y 01 ENE A 22 SEPT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9000227"/>
    <s v="AD"/>
    <d v="2021-01-02T00:00:00"/>
    <n v="22021000243"/>
    <s v="2021 06 3231 22799"/>
    <n v="16487.599999999999"/>
    <x v="213"/>
    <s v="SE 10/2020. LOTE 2. CONSERVACION Y MANTENIMIENTO ZONAS VERDES Y ARBOLADO.EIM.AÑO 2021 Y 01 DE ENERO A 22 DE SEPT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99000370"/>
    <s v="AD"/>
    <d v="2021-01-02T00:00:00"/>
    <n v="22021000151"/>
    <s v="2021 09 3341 22799"/>
    <n v="4322.5"/>
    <x v="214"/>
    <s v="REAJUSTE ANUALIDADES CONTRATO DE ATENCIÓN Y COORDINACIÓN DE SERVICIOS AUXILIARES EN LA CÚPULA DEL MIELNIO DE VALLADOLID"/>
    <s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8263"/>
    <s v="AD"/>
    <d v="2021-03-09T00:00:00"/>
    <n v="22021003047"/>
    <s v="2021 09 3341 22799"/>
    <n v="11084.43"/>
    <x v="214"/>
    <s v="Prórroga  contrato de servicios de atención, coordinación de servicios auxiliares en la Cúpula del Milenio de Valladolid"/>
    <s v="220"/>
    <s v="ARROYO DE LA ENCOMIENDA"/>
    <s v="VALLADOLID"/>
    <x v="0"/>
    <s v="PrAbier - Procedimiento Abierto"/>
    <s v="SinC - Sin 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9000687"/>
    <s v="AD"/>
    <d v="2021-01-02T00:00:00"/>
    <n v="22021000432"/>
    <s v="2021 11 1321 22700"/>
    <n v="131496.69"/>
    <x v="213"/>
    <s v="LIMPIEZA  POLIC. MUNICIPAL DEL 1 DE ENERO AL 31 DE DIC. 2021 Y DEL 1 DE ENERO AL 31 DIC. 2022 EX PR-SE. 31/20. LOTE 12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00"/>
  </r>
  <r>
    <n v="220209000689"/>
    <s v="AD"/>
    <d v="2021-01-02T00:00:00"/>
    <n v="22021000434"/>
    <s v="2021 02 9332 22700"/>
    <n v="261021.69"/>
    <x v="213"/>
    <s v="ADJ.SERVICIO LIMPIEZA DE DEPENDENCIAS MUNICIPALES,(LOTE 1)C.CONSIST.SAN BENITO,STA. ANA,SOTO MED.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700"/>
  </r>
  <r>
    <n v="220210006952"/>
    <s v="AD"/>
    <d v="2021-03-04T00:00:00"/>
    <n v="22021003062"/>
    <s v="2021 07 1711 214"/>
    <n v="1000"/>
    <x v="215"/>
    <s v="REPARACION DE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7108"/>
    <s v="AD"/>
    <d v="2021-03-05T00:00:00"/>
    <n v="22021002978"/>
    <s v="2021 07 1711 213"/>
    <n v="18150"/>
    <x v="216"/>
    <s v="REPARACION DE MAQUINARIA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2493"/>
    <s v="D"/>
    <d v="2021-02-08T00:00:00"/>
    <n v="22021002228"/>
    <s v="2021 06 3232 212"/>
    <n v="79.06"/>
    <x v="216"/>
    <s v="ANTIP. TESA SOPORTE/ MANILLA CHAPARRO NEGRA/ PASADOR AMIG ALUMINIO/ PINTURA SPRAY VERDE (EDUCACIÓN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794"/>
    <s v="D"/>
    <d v="2021-02-10T00:00:00"/>
    <n v="22021002228"/>
    <s v="2021 06 3232 212"/>
    <n v="64.760000000000005"/>
    <x v="216"/>
    <s v="6 UD - TRINQUETE AUMON ALUM. PLATA / CERRADURA DORMA / CUERDA SISAL / CERRADURA TES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200"/>
    <s v="D"/>
    <d v="2021-02-12T00:00:00"/>
    <n v="22021001169"/>
    <s v="2021 10 2412 212"/>
    <n v="161.63999999999999"/>
    <x v="216"/>
    <s v="MANT.CERRADURA KEYA  CROMO CLICK 180 MECALUX (12) / CERRADURA AGA C-40 (6)PARA EL CFE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3209"/>
    <s v="D"/>
    <d v="2021-02-12T00:00:00"/>
    <n v="22021002088"/>
    <s v="2021 03 9241 212"/>
    <n v="39.86"/>
    <x v="216"/>
    <s v="LLAVES MECANIZADAS ACERO (5) / LLAVES MECANIZADAS SEG. PUNTOS (5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451"/>
    <s v="D"/>
    <d v="2021-02-19T00:00:00"/>
    <n v="22021002144"/>
    <s v="2021 10 2311 212"/>
    <n v="13.02"/>
    <x v="216"/>
    <s v="F-1233. EXCLUSIVAS MAOR. 10 UD - LLAVES MECANIZADAS ACERO. CENTRO INTEGRADO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199000720"/>
    <s v="AD"/>
    <d v="2021-01-02T00:00:00"/>
    <n v="22021000169"/>
    <s v="2021 06 2314 22799"/>
    <n v="7782.46"/>
    <x v="185"/>
    <s v="GESTION INTEGRAL ESPACIO JOVEN ZONA SUR.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5249"/>
    <s v="D"/>
    <d v="2021-02-22T00:00:00"/>
    <n v="22021002228"/>
    <s v="2021 06 3232 212"/>
    <n v="174.81"/>
    <x v="216"/>
    <s v="BURLETE AMIG 2-1000 (2)  / BOMBILLO (2)  / COPIA LLAVE (2)/ CERRADURA / RETENEDOR DE PIE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851"/>
    <s v="AD"/>
    <d v="2021-02-11T00:00:00"/>
    <n v="22021002251"/>
    <s v="2021 03 9241 22700"/>
    <n v="4145.08"/>
    <x v="213"/>
    <s v="PRÓRROGA LOTE 5 (DEL 12/01/21 AL 30/04/21) CONTRATO MANTENIMIENTO ZONAS VERDES CENTROS SPC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10001556"/>
    <s v="AD"/>
    <d v="2021-02-02T00:00:00"/>
    <n v="22021000003"/>
    <s v="2021 10 2316 22799"/>
    <n v="158603.5"/>
    <x v="217"/>
    <s v="SERVICIO MEDIACION Y CONVIVENCIA DE 1 FEB A 31 DIC DE 2021 (131103,5 med + 27500 act.plan convivencia)-contrato 1 año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2"/>
    <s v="22799"/>
  </r>
  <r>
    <n v="220210005569"/>
    <s v="D"/>
    <d v="2021-02-23T00:00:00"/>
    <n v="22021002088"/>
    <s v="2021 03 9241 212"/>
    <n v="326.93"/>
    <x v="216"/>
    <s v="MANILLA SOAL CHAPARRO/ CIERRA. TELESCO/ BOMBILLO TESA/ LLAVES MECANIZADAS/ BROCA/ MANILLA AMIG.GAMMA/ CAND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172"/>
    <s v="AD"/>
    <d v="2021-02-25T00:00:00"/>
    <n v="22021002914"/>
    <s v="2021 09 3301 22706"/>
    <n v="4658.5"/>
    <x v="218"/>
    <s v="CONTRATO DE TRABAJOS DE INVESTIGACIÓN GEOFÍSICA DEL SUBSUELO DEL LOCAL SITO EN CALLE CONSTITUCIÓN, 10 DURANTE 4 MESES"/>
    <s v="220"/>
    <s v="MADRID"/>
    <s v="MADR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06"/>
  </r>
  <r>
    <n v="220210006018"/>
    <s v="AD"/>
    <d v="2021-02-24T00:00:00"/>
    <n v="22021002976"/>
    <s v="2021 03 9241 213"/>
    <n v="77.97"/>
    <x v="219"/>
    <s v="12 PANELES GALVANIZADOS CC JOSÉ Mª LUELMO"/>
    <s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199000728"/>
    <s v="AD"/>
    <d v="2021-01-02T00:00:00"/>
    <n v="22021000172"/>
    <s v="2021 06 3261 22799"/>
    <n v="417000"/>
    <x v="220"/>
    <s v="CONTRATO APRENDIZAJE A LO LARGO DE LA VIDA. AÑOS 2020 Y 2021. EXPEDIENTE SE-EIJI 1/2019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9392"/>
    <s v="AD"/>
    <d v="2021-03-15T00:00:00"/>
    <n v="22021003399"/>
    <s v="2021 01 9207 22602"/>
    <n v="1754.5"/>
    <x v="221"/>
    <s v="CONTRATACIÓN PUBLICIDAD EN EL ANUARIO TAURINO DEL AÑO 2020, que se publica en abril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602"/>
  </r>
  <r>
    <n v="220210006011"/>
    <s v="AD"/>
    <d v="2021-02-24T00:00:00"/>
    <n v="22021002964"/>
    <s v="2021 11 1631 214"/>
    <n v="2500"/>
    <x v="222"/>
    <s v="SUMINISTRO REPUESTOS PARA REPARACION DE EQUIPOS HIDROLIMPIADORES DE VEHÍCULOS DE LIMPIEZA VIARIA"/>
    <s v="220"/>
    <s v="ARAHAL"/>
    <s v="SEVILLA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7196"/>
    <s v="AD"/>
    <d v="2021-03-08T00:00:00"/>
    <n v="22021003223"/>
    <s v="2021 11 1321 22199"/>
    <n v="1000"/>
    <x v="223"/>
    <s v="SUMINISTTRO MATERIALES PARA LA GALERIA DE TIRO REAL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6040"/>
    <s v="AD"/>
    <d v="2021-02-24T00:00:00"/>
    <n v="22021002837"/>
    <s v="2021 10 2412 22104"/>
    <n v="1721.53"/>
    <x v="224"/>
    <s v="VESTUARIO DEL C. DE PINTURA DECORATIVAIII DEL C. F.PARA EL EMPLEO-DURAC DEL 15 DE FEBRERO AL 14 DE NOVIEMBR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04"/>
  </r>
  <r>
    <n v="220210006479"/>
    <s v="D"/>
    <d v="2021-02-26T00:00:00"/>
    <n v="22021002006"/>
    <s v="2021 11 3111 22199"/>
    <n v="494.96"/>
    <x v="216"/>
    <s v="CASETA RESINA YARDM TF 5x 3   05325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6501"/>
    <s v="D"/>
    <d v="2021-02-26T00:00:00"/>
    <n v="22021002225"/>
    <s v="2021 06 3231 212"/>
    <n v="98.89"/>
    <x v="216"/>
    <s v="1 UD- CIERRA.TELESCO 33B50PL PLATA S/RETENC.. FEBR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7027"/>
    <s v="D"/>
    <d v="2021-03-05T00:00:00"/>
    <n v="22021002142"/>
    <s v="2021 10 2311 212"/>
    <n v="157.41999999999999"/>
    <x v="216"/>
    <s v="F-1816. EXC. MAOR. LLAVES MEC.ACERO (4)/ LLAVERO PORTAETIQUETAS(2)/BOMBILLO(2)/COPIAS LLAVES(2).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537"/>
    <s v="D"/>
    <d v="2021-03-11T00:00:00"/>
    <n v="22021002228"/>
    <s v="2021 06 3232 212"/>
    <n v="413.6"/>
    <x v="216"/>
    <s v="BOMBILLO MCM (4)/ COPIA LLAVE(5)/ LLAVERO PORTAET.(50)/ ENGANCHE (25)/ CARTUCHO RES.(5)/ TAMIZ (24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6009"/>
    <s v="AD"/>
    <d v="2021-02-24T00:00:00"/>
    <n v="22021002343"/>
    <s v="2021 01 9207 22001"/>
    <n v="417.2"/>
    <x v="225"/>
    <s v="RENOVACIÓN SUSCRIPCIÓN ANUAL AL FICHERO DE CARGOS. AÑO 2021 - GOBIERNO Y RELACIONES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12878"/>
    <s v="AD"/>
    <d v="2021-03-29T00:00:00"/>
    <n v="22021003661"/>
    <s v="2021 11 1361 22199"/>
    <n v="80.010000000000005"/>
    <x v="226"/>
    <s v="Centro de flores para entierro de compañero fallecido; Servicio de Extinción de Incendios y Protección Civi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600"/>
    <s v="AD"/>
    <d v="2021-02-09T00:00:00"/>
    <n v="22021002177"/>
    <s v="2021 11 1321 22199"/>
    <n v="1910.59"/>
    <x v="227"/>
    <s v="SUSTITUCIÓN DE CARROS DETERIORADOS PARA LAS GRÚAS MUNICIPALES."/>
    <s v="220"/>
    <s v="INDUSTRIA 46"/>
    <s v="BARCELONA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00029362"/>
    <s v="AD"/>
    <d v="2021-03-29T00:00:00"/>
    <n v="22020004546"/>
    <s v="2021 02 9332 632"/>
    <n v="2807.2"/>
    <x v="228"/>
    <s v="ESTUDIO ARQUEOLÓGICO Y DOCUMENTAL PREVISTO EN NORMATIVA PGOU Y COMPLEM.AL PROYECTO CONVENT.STA.CATALINA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09000147"/>
    <s v="AD"/>
    <d v="2021-01-02T00:00:00"/>
    <n v="22021000217"/>
    <s v="2021 05 4331 22799"/>
    <n v="3600"/>
    <x v="229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09000779"/>
    <s v="AD"/>
    <d v="2021-01-02T00:00:00"/>
    <n v="22021000499"/>
    <s v="2021 06 2315 22799"/>
    <n v="13500"/>
    <x v="230"/>
    <s v="SIJI 10-2020 CONTRATO TALLERES PARA CENTROS EDUCATIVOS EN MATERIA DE IGUALDAD Y PREVENCIÓN C V.G. CURSO 2021 ENE/MAY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5505"/>
    <s v="D"/>
    <d v="2021-02-23T00:00:00"/>
    <n v="22021002006"/>
    <s v="2021 11 3111 22199"/>
    <n v="77.38"/>
    <x v="114"/>
    <s v="A.M. V.36/2017 BOBINA RAFIA 600 1C 700GRS BLANCO  ( 8 UNIDADES ) / GUANTE PIEL T/FLOR BLANCO T-8 ( 10 UNIDADES 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6477"/>
    <s v="D"/>
    <d v="2021-02-26T00:00:00"/>
    <n v="22021002006"/>
    <s v="2021 11 3111 22199"/>
    <n v="260.79000000000002"/>
    <x v="114"/>
    <s v="CINTA AMERICANA/ GUANTE NYLON/ GUANTE NITRILO/ BOTA PRADO VERDE/ GUANTE PIEL/ PANTALÓN Y CAMISOLA PIJAMA/ BATA SEÑO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2391"/>
    <s v="AD"/>
    <d v="2021-02-08T00:00:00"/>
    <n v="22021001198"/>
    <s v="2021 11 1621 214"/>
    <n v="10000"/>
    <x v="231"/>
    <s v="SUMINISTRO DE REPUESTOS HIDRÁULICOS PARA REPARACION RECOLECTORES VEHICULOS Sº LIMPIEZA (FUERA AC MARCO)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09000438"/>
    <s v="AD"/>
    <d v="2021-01-02T00:00:00"/>
    <n v="22021000304"/>
    <s v="2021 10 2312 22799"/>
    <n v="243270"/>
    <x v="230"/>
    <s v="ANIM. SOCIOC.Y PROM.ENVEJECIMIENTO ACTIVOPARA PERSONAS MAYORES SIN TRANS..- de 1/1/21 a 31/8/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39"/>
    <s v="AD"/>
    <d v="2021-01-02T00:00:00"/>
    <n v="22021000305"/>
    <s v="2021 10 2312 22799"/>
    <n v="215730"/>
    <x v="230"/>
    <s v="ANIM.SOCIOC.Y PROM. ENVEJECIMIENTO ACTIVO PARA CPM TRANSFERIDOS de 1/1/21 a 15/09/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76"/>
    <s v="AD"/>
    <d v="2021-01-02T00:00:00"/>
    <n v="22021000076"/>
    <s v="2021 11 3111 22706"/>
    <n v="5500"/>
    <x v="232"/>
    <s v="MODIF. CONTR. RECOGIDA/ATENCION VETERINARIA ANIMALES DOMESTICOS (TARDES/NOCHES/FINESDE SEMANA/FESTIVOS)-LOTE 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8723"/>
    <s v="D"/>
    <d v="2021-03-11T00:00:00"/>
    <n v="22021002088"/>
    <s v="2021 03 9241 212"/>
    <n v="39.49"/>
    <x v="216"/>
    <s v="COPIA LLAVE 54 F-11677 ( 6 UNIDADES ) CC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1019"/>
    <s v="AD"/>
    <d v="2021-01-27T00:00:00"/>
    <n v="22021002017"/>
    <s v="2021 10 2311 22699"/>
    <n v="1259.5999999999999"/>
    <x v="233"/>
    <s v="SUMINISTRO DE 40 SACOS PARA INDOMICILIADOS - OLA DE FRÍO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2847"/>
    <s v="AD"/>
    <d v="2021-02-11T00:00:00"/>
    <n v="22021002247"/>
    <s v="2021 10 2311 22699"/>
    <n v="701.8"/>
    <x v="234"/>
    <s v="Montaje de antena y tomas para TV en comedor Social y Traslado de dos televisiones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6958"/>
    <s v="AD"/>
    <d v="2021-03-04T00:00:00"/>
    <n v="22021003149"/>
    <s v="2021 10 2312 22699"/>
    <n v="302.5"/>
    <x v="235"/>
    <s v="TRABAJO DE DISEÑO Y MAQUETACION ASOCIACION LAS FUENTES DE LA EDAD - INICIATIVAS SOCIALES CPM- DURACION 1 DÍA"/>
    <s v="220"/>
    <s v="LA PARRILL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10159"/>
    <s v="D"/>
    <d v="2021-03-18T00:00:00"/>
    <n v="22021001039"/>
    <s v="2021 10 2312 212"/>
    <n v="188.37"/>
    <x v="216"/>
    <s v="REPARACION VENTANA CAMBIO OSCILO NUEVO Y 100 UDS- LLAVERO PORTAETIQUETAS PARA EL CPM HUERTA DEL REY- DURACION  1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10475"/>
    <s v="D"/>
    <d v="2021-03-22T00:00:00"/>
    <n v="22021002088"/>
    <s v="2021 03 9241 212"/>
    <n v="784.67"/>
    <x v="216"/>
    <s v="ARMARIO LLAVES/CINTA ADHESIVA/INSECTICIDA/AEROSOL/ESPÁRRAGO/PUNTAALLEN/ANTICAIDAS /ARNÉS/VITRINA/CIERRAPUERTAS VARIOS CC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484"/>
    <s v="D"/>
    <d v="2021-03-22T00:00:00"/>
    <n v="22021002228"/>
    <s v="2021 06 3232 212"/>
    <n v="626.47"/>
    <x v="216"/>
    <s v="CERRADURA MCM / PERNIO SOLDAR / ADHESIVO MONTAJE /MANILLA / RUEDA CORRED./ TORNI./ ANTIP TESA/ DISCO/ PINTURA SPRAY/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12730"/>
    <s v="D"/>
    <d v="2021-03-25T00:00:00"/>
    <n v="22021002374"/>
    <s v="2021 02 9332 212"/>
    <n v="60.72"/>
    <x v="216"/>
    <s v="HILO SOLDAR K-66 0,8MM (ROLLO 15 KG.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2"/>
    <s v="D"/>
    <d v="2021-03-25T00:00:00"/>
    <n v="22021002374"/>
    <s v="2021 02 9332 212"/>
    <n v="192.63"/>
    <x v="216"/>
    <s v="MARTILLO GSH 388 - Nº 588000140 //// Cº DE ANILLOS,MANGUITO,VAINA,BLOQUEO,DEPOSITO,CABLE / -LIMPIEZA Y ENGRASE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4"/>
    <s v="D"/>
    <d v="2021-03-25T00:00:00"/>
    <n v="22021002374"/>
    <s v="2021 02 9332 212"/>
    <n v="285.87"/>
    <x v="216"/>
    <s v="SUMINISTRO DE PIEZAS Y RECAMBIOS  //  LIMPIEZA Y ENGRASE //  M.O. // REVISIÓN GENERAL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6"/>
    <s v="D"/>
    <d v="2021-03-25T00:00:00"/>
    <n v="22021002374"/>
    <s v="2021 02 9332 212"/>
    <n v="895.17"/>
    <x v="216"/>
    <s v="SUMINISTRO DE PIEZAS Y RECAMBIOS // HORMIGONERA ELECT. 74040 160L VERDE (1) / LIMPIEZA-ENGRASE / REVISION GRAL - M.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8"/>
    <s v="D"/>
    <d v="2021-03-25T00:00:00"/>
    <n v="22021002374"/>
    <s v="2021 02 9332 212"/>
    <n v="114.83"/>
    <x v="216"/>
    <s v="DISCO C/METAL 115x2,5 (25) / AIXIA RACORD HEMBRA  1/4 (1) / BOSCH TRIPODE BT 150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3045"/>
    <s v="D"/>
    <d v="2021-03-30T00:00:00"/>
    <n v="22021002142"/>
    <s v="2021 10 2311 212"/>
    <n v="324.27999999999997"/>
    <x v="216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13"/>
    <s v="AD"/>
    <d v="2021-02-17T00:00:00"/>
    <n v="22021002595"/>
    <s v="2021 06 2314 22699"/>
    <n v="200.19"/>
    <x v="236"/>
    <s v="SUMINISTRO DE MAMPARAS DE METACRILATO COMO MEDIDA DE PREVENCIÓN COVID-19 PUESTOS DE TRABAJO ESPACIO JOVEN NORTE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99"/>
  </r>
  <r>
    <n v="220210009417"/>
    <s v="D"/>
    <d v="2021-03-16T00:00:00"/>
    <n v="22021002378"/>
    <s v="2021 02 9332 214"/>
    <n v="300.58"/>
    <x v="215"/>
    <s v="MANTENIMIENTO ANUAL NISSAN VA9253V: COMPROBACION ESTADO DE FRENOS / REPUESTO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2889"/>
    <s v="AD"/>
    <d v="2021-02-11T00:00:00"/>
    <n v="22021002338"/>
    <s v="2021 07 1701 213"/>
    <n v="775"/>
    <x v="237"/>
    <s v="Mantenimiento preventivo equipos climatización edificio anexo a Casa del Barco.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03996"/>
    <s v="AD"/>
    <d v="2021-02-17T00:00:00"/>
    <n v="22021002569"/>
    <s v="2021 07 1721 213"/>
    <n v="1337.05"/>
    <x v="237"/>
    <s v="MANTENIMIENTO DEL AIRE ACONDICIONADO DEL LABORATORIO. SERVICIO DE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7140"/>
    <s v="AD"/>
    <d v="2021-03-05T00:00:00"/>
    <n v="22021003258"/>
    <s v="2021 11 3111 213"/>
    <n v="2000"/>
    <x v="237"/>
    <s v="MANTENIMIENTO PREVENTIVO DE LOS EQUIPOS DE CLIMATIZACIÓN DEL EDIFICIO CASA DEL BARCO Y DEL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6947"/>
    <s v="AD"/>
    <d v="2021-03-04T00:00:00"/>
    <n v="22021003051"/>
    <s v="2021 06 2315 213"/>
    <n v="70.08"/>
    <x v="188"/>
    <s v="Cerradura armarios Centro Municipal de la Igualdad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491"/>
    <s v="D"/>
    <d v="2021-02-08T00:00:00"/>
    <n v="22021002228"/>
    <s v="2021 06 3232 212"/>
    <n v="145.63999999999999"/>
    <x v="188"/>
    <s v="BURLETE BRINOX 8033 (2) / MOLL TESA BARRA ALUMINIO (4) ///// DESTINOS: C.P. LEON FELIPE - C.P. MIGUEL HDEZ.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000"/>
    <s v="D"/>
    <d v="2021-02-11T00:00:00"/>
    <n v="22021002088"/>
    <s v="2021 03 9241 212"/>
    <n v="232.96"/>
    <x v="188"/>
    <s v="ESCALERA JINMAO MULTIUSO ALUMINIO (1) / JUEGO DESTORNILLADORES (1) ///// DESTINO: C.C. 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2"/>
    <s v="D"/>
    <d v="2021-02-11T00:00:00"/>
    <n v="22021002088"/>
    <s v="2021 03 9241 212"/>
    <n v="26.84"/>
    <x v="188"/>
    <s v="CERRADURA UCEM 5134 50 EMBUTIR CILIN HL (CC ESGUEV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4"/>
    <s v="D"/>
    <d v="2021-02-11T00:00:00"/>
    <n v="22021002088"/>
    <s v="2021 03 9241 212"/>
    <n v="33.67"/>
    <x v="188"/>
    <s v="REPOSAPIES FELLOWES AJUSTABLE ERGO ALSEVA (1) //////// DESTINO: C.C.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6"/>
    <s v="D"/>
    <d v="2021-02-11T00:00:00"/>
    <n v="22021002088"/>
    <s v="2021 03 9241 212"/>
    <n v="60.98"/>
    <x v="188"/>
    <s v="CANDADO LINCE 300-30 LAT 30MM IBERDR INOX (CENTRO SEGUNDO MONTES C/ DURATON, S/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124"/>
    <s v="D"/>
    <d v="2021-02-17T00:00:00"/>
    <n v="22021002374"/>
    <s v="2021 02 9332 212"/>
    <n v="118.89"/>
    <x v="188"/>
    <s v="MATERIAL DE FERRETERÍA PARA EL MANTENIMIENTO DE CARPINTERÍA/ STA ANA - CONSEJO ECONOM.ADM/ DESPACHO SR.TEÓFIL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4471"/>
    <s v="D"/>
    <d v="2021-02-19T00:00:00"/>
    <n v="22021002143"/>
    <s v="2021 10 2311 212"/>
    <n v="93.65"/>
    <x v="188"/>
    <s v="F-1601. FER.ORTIZ. CERRADURA FAC DORADA DCHA /CERRADURA BUZON STANDAR (VIVIENDA C/ HUELGAS, 30, 1º C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790"/>
    <s v="D"/>
    <d v="2021-03-11T00:00:00"/>
    <n v="22021002374"/>
    <s v="2021 02 9332 212"/>
    <n v="75.02"/>
    <x v="188"/>
    <s v="200 UD - TORNI. CELO TIC INVIOLAB. ZINC.NGO 7X60 (VIVIENDAS MONTES TOROZ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0413"/>
    <s v="D"/>
    <d v="2021-03-22T00:00:00"/>
    <n v="22021003187"/>
    <s v="2021 06 2314 212"/>
    <n v="17.86"/>
    <x v="188"/>
    <s v="TACO FISCHER HM 4X32 S (50UD) (CNTRO DE PROGR.JUVENILES)"/>
    <s v="300"/>
    <s v="VALLADOLID"/>
    <s v="VALLADOLID"/>
    <x v="1"/>
    <s v="PrAbier - Procedimiento Abierto"/>
    <s v="SinC - Sin Criterio"/>
    <x v="2"/>
    <x v="0"/>
    <s v="2"/>
    <s v="2. Gastos corrientes en bienes y servicios"/>
    <s v="06"/>
    <x v="0"/>
    <s v="2314"/>
    <s v="2314. Centro de programas juveniles"/>
    <s v="21"/>
    <s v="212"/>
  </r>
  <r>
    <n v="220210003246"/>
    <s v="D"/>
    <d v="2021-02-12T00:00:00"/>
    <n v="22021002132"/>
    <s v="2021 08 1532 210"/>
    <n v="125.49"/>
    <x v="238"/>
    <s v="REMATE DE CHAPA 0,6X160 LAC. VERDE (6 UNIDADES DE 3000mm) //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8487"/>
    <s v="D"/>
    <d v="2021-03-11T00:00:00"/>
    <n v="22021002088"/>
    <s v="2021 03 9241 212"/>
    <n v="119.79"/>
    <x v="238"/>
    <s v="TUBO RECTANGULAR 35X25X1,5 DD11 (12)   / PLETINA (5)  ///// DESTINO: C.C. JOSÉ MARÍA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034"/>
    <s v="AD"/>
    <d v="2021-02-24T00:00:00"/>
    <n v="22021003012"/>
    <s v="2021 03 9241 213"/>
    <n v="1526.9"/>
    <x v="239"/>
    <s v="LEGALIZACIÓN DE LA REFORMA DE LA INSTALACIÓN ELÉCTRICA DE BT EN CC DELICIA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0490"/>
    <s v="AD"/>
    <d v="2021-01-25T00:00:00"/>
    <n v="22021001237"/>
    <s v="2021 10 2312 22799"/>
    <n v="1781.5"/>
    <x v="199"/>
    <s v="CONTRATACION CURSO DE MEDIADOR JUVENIL EN PREVENCION DE ADICCIONES Y ANIMACION SOCIOCOMUNITARIA-FEBRERO Y MARZO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6059"/>
    <s v="AD"/>
    <d v="2021-02-24T00:00:00"/>
    <n v="22021002880"/>
    <s v="2021 06 3321 22001"/>
    <n v="264.01"/>
    <x v="240"/>
    <s v="SUSCRIPCIÓN A LA REVISTA &quot;&quot;MI BIBLIOTECA&quot;&quot; PARA LAS BIBLIOTECAS MUNICIPALES. AÑO 2021"/>
    <s v="220"/>
    <s v="MALAGA"/>
    <s v="MALAG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7173"/>
    <s v="AD"/>
    <d v="2021-03-08T00:00:00"/>
    <n v="22021003184"/>
    <s v="2021 01 9206 22001"/>
    <n v="75"/>
    <x v="241"/>
    <s v="SUSCRIPCIÓN ANUAL REVISTA CUADERNOS DE DERECHO LOCAL (3 Núms.) Y ANUARIO DEL GOBIERNO LOCAL, AÑO 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0511"/>
    <s v="AD"/>
    <d v="2021-01-25T00:00:00"/>
    <n v="22021001685"/>
    <s v="2021 03 9241 22609"/>
    <n v="2420"/>
    <x v="242"/>
    <s v="CONCIERTOS &quot;&quot;EL ÁRBOL DE LA MÚSICA&quot;&quot; EN CENTROS CÍVICOS (NAVIDAD 20/21)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7105"/>
    <s v="AD"/>
    <d v="2021-03-05T00:00:00"/>
    <n v="22021003057"/>
    <s v="2021 11 1321 22699"/>
    <n v="1984.4"/>
    <x v="243"/>
    <s v="PRUEBAS CONFIRMATORIAS DE DROGA EN LABORATORIO ACREDITADO."/>
    <s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2988"/>
    <s v="D"/>
    <d v="2021-02-11T00:00:00"/>
    <n v="22021002089"/>
    <s v="2021 03 9241 213"/>
    <n v="27.79"/>
    <x v="210"/>
    <s v="COREPRO R7S 118MM 6.5-60W 830 (1) / POWERFLEX RV-K (BOBINAS) 3G1,5(10)  / CAJA CONOS (5)/ ELEMT. CONTACTO(1)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4126"/>
    <s v="D"/>
    <d v="2021-02-17T00:00:00"/>
    <n v="22021002371"/>
    <s v="2021 02 9332 212"/>
    <n v="205.63"/>
    <x v="210"/>
    <s v="JUEGO TSTAK 100 PIEZAS P/TALADRAR Y ATORNILLAR C/8 BROCAS P/ / KIT IMPRESORA  / CEYS MONTACK / BRICOTINTA TRANSP."/>
    <s v="300"/>
    <s v="BARCELONA"/>
    <s v="BARCELONA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512"/>
    <s v="D"/>
    <d v="2021-03-11T00:00:00"/>
    <n v="22021002089"/>
    <s v="2021 03 9241 213"/>
    <n v="60.98"/>
    <x v="210"/>
    <s v="MARCO 2 ELEMNTO/ MARCO 1 ELEMNTO/ INTERRUPTOR/ BASE/ INTERRUPTOR/ ENCHUFE/ CLAVIJA/ CINTA/ BASE 5/ MOLDURAS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9404"/>
    <s v="D"/>
    <d v="2021-03-16T00:00:00"/>
    <n v="22021002006"/>
    <s v="2021 11 3111 22199"/>
    <n v="282.7"/>
    <x v="210"/>
    <s v="AM V.26/2017 EXTRACTORES ASEOS SEÑORA CMPA :SILENT DUAL 200 (220-240V 50/60Hz) RE - 2 UDS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0069"/>
    <s v="D"/>
    <d v="2021-03-18T00:00:00"/>
    <n v="22021002144"/>
    <s v="2021 10 2311 212"/>
    <n v="220.49"/>
    <x v="210"/>
    <s v="F-2230. GRUPO ELECTRO STOCKS, S.L. SUMINISTRO DE DIFERENTES REPUESTOS. CEAS RONDILLA. 1 DIA"/>
    <s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147"/>
    <s v="D"/>
    <d v="2021-03-18T00:00:00"/>
    <n v="22021003187"/>
    <s v="2021 06 2314 212"/>
    <n v="76.680000000000007"/>
    <x v="210"/>
    <s v="DLPLUS-CANAL SUELO 75X18 (6)  / CEYS MONTACK (2) / LATIGUILLOS (3)"/>
    <s v="300"/>
    <s v="BARCELONA"/>
    <s v="BARCELONA"/>
    <x v="1"/>
    <s v="PrAbier - Procedimiento Abierto"/>
    <s v="SinC - Sin Criterio"/>
    <x v="2"/>
    <x v="0"/>
    <s v="2"/>
    <s v="2. Gastos corrientes en bienes y servicios"/>
    <s v="06"/>
    <x v="0"/>
    <s v="2314"/>
    <s v="2314. Centro de programas juveniles"/>
    <s v="21"/>
    <s v="212"/>
  </r>
  <r>
    <n v="220210012886"/>
    <s v="AD"/>
    <d v="2021-03-29T00:00:00"/>
    <n v="22021003655"/>
    <s v="2021 10 2311 22799"/>
    <n v="5000"/>
    <x v="244"/>
    <s v="Actividades infantiles de ocio/educativas al aire libre en barrio Delicias los sábados de febrero a jun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7202"/>
    <s v="D"/>
    <d v="2021-03-08T00:00:00"/>
    <n v="22021002395"/>
    <s v="2021 10 2311 22799"/>
    <n v="491835.15"/>
    <x v="245"/>
    <s v="Contrato Gestión Servicio del Albergue personas sin hogar. (1 Abril de 2021 a 31 de diciembre de 2021). COVID-19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6983"/>
    <s v="AD"/>
    <d v="2021-03-04T00:00:00"/>
    <n v="22021002995"/>
    <s v="2021 10 2311 22799"/>
    <n v="8000"/>
    <x v="245"/>
    <s v="Concertar plazas en Centro de Día para personas con disc. por enfermedad mental grave complem. a equipos de apoyo.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09000730"/>
    <s v="AD"/>
    <d v="2021-01-02T00:00:00"/>
    <n v="22021002462"/>
    <s v="2021 06 3232 22700"/>
    <n v="1829885.97"/>
    <x v="246"/>
    <s v="PR-SE 31/2020. CONTRATO CENTRALIZADO DE LIMPIEZA EDIFICIOS MUNICIPALES. AREA 06. COLEGIOS PUBLICOS. LOTE 6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199000159"/>
    <s v="AD"/>
    <d v="2021-01-02T00:00:00"/>
    <n v="22021000128"/>
    <s v="2021 10 2311 22706"/>
    <n v="6050"/>
    <x v="247"/>
    <s v="CTTO DE ASESORAMIENTO DE DCHO DE FAMILIA Y LEY DE 2ª OPORTUNIDAD 2020-2021 HASTA ABRIL 2022"/>
    <s v="220"/>
    <s v="VALLADOLID"/>
    <s v="VALLADOLID"/>
    <x v="0"/>
    <s v="PrNegSP - Procedimiento Negociado Sin Publicidad"/>
    <s v="SinC - Sin Criterio"/>
    <x v="4"/>
    <x v="0"/>
    <s v="2"/>
    <s v="2. Gastos corrientes en bienes y servicios"/>
    <s v="10"/>
    <x v="8"/>
    <s v="2311"/>
    <s v="2311. Intervención social"/>
    <s v="22"/>
    <s v="22706"/>
  </r>
  <r>
    <n v="220210004019"/>
    <s v="AD"/>
    <d v="2021-02-17T00:00:00"/>
    <n v="22021002452"/>
    <s v="2021 02 9332 632"/>
    <n v="35100.01"/>
    <x v="248"/>
    <s v="OBRA REPARACIÓN CUBIERTA DE LA CASA CONSISTORIAL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199000697"/>
    <s v="AD"/>
    <d v="2021-01-02T00:00:00"/>
    <n v="22021000168"/>
    <s v="2021 11 1321 22701"/>
    <n v="770000"/>
    <x v="249"/>
    <s v="IMPORTE CONTRATO DE VIGILANCIA, CONTROL Y PROTECCIÓN DE DIVERSAS DEPENDENCIAS MUNICIPALES DEL 1-1-2020 AL 31-12-2021."/>
    <s v="220"/>
    <s v="VALDEMORO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01"/>
  </r>
  <r>
    <n v="220199000358"/>
    <s v="AD"/>
    <d v="2021-01-02T00:00:00"/>
    <n v="22021000703"/>
    <s v="2021 08 1341 619"/>
    <n v="2514.38"/>
    <x v="250"/>
    <s v="CONTROL DE CALIDAD CONTRATO DE SEÑALIZACION VIAL LOTE 1. 2020 Y 2021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199000359"/>
    <s v="AD"/>
    <d v="2021-01-02T00:00:00"/>
    <n v="22021000704"/>
    <s v="2021 08 1341 619"/>
    <n v="6914.52"/>
    <x v="250"/>
    <s v="CONTROL DE CALIDAD CONTRATO SEÑALIZACION VIAL LOTE 2. 2020 Y 2021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9000232"/>
    <s v="AD"/>
    <d v="2021-01-02T00:00:00"/>
    <n v="22021000725"/>
    <s v="2021 06 3321 622"/>
    <n v="15194.83"/>
    <x v="250"/>
    <s v="EXPTE. 10S-S-55/20. CONTROL DE CALIDAD. OBRA NUEVA. BIBLIOTECA EN PARCELA 143-F DE PARQUESOL. AÑOS 2021 Y 2022"/>
    <s v="220"/>
    <s v="ZARATAN"/>
    <s v="VALLADOLID"/>
    <x v="0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2"/>
  </r>
  <r>
    <n v="220209000235"/>
    <s v="AD"/>
    <d v="2021-01-02T00:00:00"/>
    <n v="22021000728"/>
    <s v="2021 10 2312 622"/>
    <n v="19891.41"/>
    <x v="250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836"/>
    <s v="AD"/>
    <d v="2021-01-02T00:00:00"/>
    <n v="22021001287"/>
    <s v="2021 05 4331 609"/>
    <n v="2203.86"/>
    <x v="250"/>
    <s v="Control calidad para obra convenio con LEITAT(c.tecnologico). Ejecución de Electrowetland.Proyecto URBAN GreenUPG"/>
    <s v="220"/>
    <s v="ZARATAN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39"/>
    <s v="AD"/>
    <d v="2021-01-02T00:00:00"/>
    <n v="22021001290"/>
    <s v="2021 05 4331 609"/>
    <n v="4536.99"/>
    <x v="250"/>
    <s v="Control de Calidad CONTRATO OBRA RENATURALIZACION DEL POLIGONO DE ARGALES DE VALLADOLID-PROYEC.INDNATUR 2019/3/2411/2/1"/>
    <s v="220"/>
    <s v="ZARATAN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04240"/>
    <s v="AD"/>
    <d v="2021-02-18T00:00:00"/>
    <n v="22021002824"/>
    <s v="2021 06 3231 22706"/>
    <n v="7187.4"/>
    <x v="250"/>
    <s v="REDACCIÓN PROYECTO PARCIAL CÁLCULO ESTRUCTURA DE EDIFICIO PARA ALBERGAR NUEVA ESCUELA MUNICIPAL EN C.P. LEON FELIPE."/>
    <s v="220"/>
    <s v="ZARATAN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2"/>
    <s v="22706"/>
  </r>
  <r>
    <n v="220199000356"/>
    <s v="AD"/>
    <d v="2021-01-02T00:00:00"/>
    <n v="22021000701"/>
    <s v="2021 08 1341 619"/>
    <n v="464.66"/>
    <x v="251"/>
    <s v="SEGURIDAD Y SALUD CONTRATO SEÑALIZACION VIAL LOTE 1"/>
    <s v="220"/>
    <s v="MADRID"/>
    <s v="MADR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199000357"/>
    <s v="AD"/>
    <d v="2021-01-02T00:00:00"/>
    <n v="22021000702"/>
    <s v="2021 08 1341 619"/>
    <n v="1277.8"/>
    <x v="251"/>
    <s v="SEGURIDAD Y SALUD CONTRATO SEÑALIZACION VIAL LOTE 2. 2020 Y 2021"/>
    <s v="220"/>
    <s v="MADRID"/>
    <s v="MADR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9000233"/>
    <s v="AD"/>
    <d v="2021-01-02T00:00:00"/>
    <n v="22021000726"/>
    <s v="2021 06 3321 622"/>
    <n v="4680.01"/>
    <x v="251"/>
    <s v="EXPTE. 10S-SS-55/20. ESTUDIO DE SEGURIDAD Y SALUD. OBRA NUEVA. BIBLIOTECA EN PARCELA 143 F DE PAQUESOL. AÑOS 2021 Y 2022"/>
    <s v="220"/>
    <s v="MADRID"/>
    <s v="MADRID"/>
    <x v="0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2"/>
  </r>
  <r>
    <n v="220209000236"/>
    <s v="AD"/>
    <d v="2021-01-02T00:00:00"/>
    <n v="22021000729"/>
    <s v="2021 10 2312 622"/>
    <n v="6126.55"/>
    <x v="251"/>
    <s v="COORD.SEGURIDAD Y SALUD DE LA OBRA NUEVA CONSTRUCCION DE CPM Y SED EN PARQUESOL-ANUALIDADES 2021 Y 2022"/>
    <s v="220"/>
    <s v="MADRID"/>
    <s v="MADRID"/>
    <x v="0"/>
    <s v="AdDirec - Adjudicación Directa"/>
    <s v="SinC - Sin Criterio"/>
    <x v="0"/>
    <x v="0"/>
    <s v="6"/>
    <s v="6. Inversiones reales"/>
    <s v="10"/>
    <x v="8"/>
    <s v="2312"/>
    <s v="2312. Iniciativas sociales"/>
    <s v="62"/>
    <s v="622"/>
  </r>
  <r>
    <n v="220209000625"/>
    <s v="AD"/>
    <d v="2021-01-02T00:00:00"/>
    <n v="22021000747"/>
    <s v="2021 05 4331 609"/>
    <n v="82.46"/>
    <x v="251"/>
    <s v="ASISTENCIA TÉCNICA SEG. Y SALUD-OBRA CONTRATO INFRAESTRUCTURA VERDE SINGULAR JARDÍN BIO-FILTRO URBANO (URBAN GREEN UP)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37"/>
    <s v="AD"/>
    <d v="2021-01-02T00:00:00"/>
    <n v="22021001288"/>
    <s v="2021 05 4331 609"/>
    <n v="343.78"/>
    <x v="251"/>
    <s v="Control SySalud de obra bajo convenio con LEITAT (C. tecnológico) .Ejecución de Electrowetland. Proyecto URBAN GreenUP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40"/>
    <s v="AD"/>
    <d v="2021-01-02T00:00:00"/>
    <n v="22021001291"/>
    <s v="2021 05 4331 609"/>
    <n v="778.49"/>
    <x v="251"/>
    <s v="Seguridad y Salud.CONTRATO OBRA RENATURALIZACION DEL POLIGONO DE ARGALES DE VALLADOLID-PROYEC.INDNATUR 2019/3/2411/2/1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54"/>
    <s v="AD"/>
    <d v="2021-01-02T00:00:00"/>
    <n v="22021001893"/>
    <s v="2021 08 1532 619"/>
    <n v="5047.0600000000004"/>
    <x v="251"/>
    <s v="Coordinación Seguridad y Salud Lote 1 contrato conservación (presupuestos participativos)"/>
    <s v="220"/>
    <s v="MADRID"/>
    <s v="MADR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210001097"/>
    <s v="ADO"/>
    <d v="2021-01-29T00:00:00"/>
    <n v="22021001703"/>
    <s v="2021 07 1711 619"/>
    <n v="309.17"/>
    <x v="251"/>
    <s v="COORDINACION SEGURIDAD Y SALUD, ARREGLO PASEOS AVDA. SALAMANCA Y ESCALERAS ACCESO A PARQUESOL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1098"/>
    <s v="ADO"/>
    <d v="2021-01-29T00:00:00"/>
    <n v="22021001704"/>
    <s v="2021 07 1711 619"/>
    <n v="91.52"/>
    <x v="251"/>
    <s v="COORDINACION SEGURIDAD Y SALUD, CORREDOR VERDE ENTRE COVARESA Y PINAR DE ANTEQUERA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1099"/>
    <s v="ADO"/>
    <d v="2021-01-29T00:00:00"/>
    <n v="22021001705"/>
    <s v="2021 07 1711 619"/>
    <n v="99.28"/>
    <x v="251"/>
    <s v="COORDINACION SEGURIDAD Y SALUD, MEJORAS EN EL ENTORNO DEL LAVA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6440"/>
    <s v="AD"/>
    <d v="2021-02-25T00:00:00"/>
    <n v="22021002926"/>
    <s v="2021 11 1321 22706"/>
    <n v="205.62"/>
    <x v="251"/>
    <s v="COORDINACIÓN DE SEGURIDAD Y SALUD ACTUACIÓN ENVOLVENTE DISTRITO 4º POLICÍA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10006441"/>
    <s v="AD"/>
    <d v="2021-02-25T00:00:00"/>
    <n v="22021003044"/>
    <s v="2021 08 1651 619"/>
    <n v="623.08000000000004"/>
    <x v="251"/>
    <s v="Estudios Seguridad y Salud de 3 lotes del nuevo contrato mantenimiento, reparación y reforma instalaciones alumbrado ext"/>
    <s v="220"/>
    <s v="MADRID"/>
    <s v="MADRID"/>
    <x v="0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0527"/>
    <s v="AD/"/>
    <d v="2021-01-25T00:00:00"/>
    <n v="22021000569"/>
    <s v="2021 10 2412 22103"/>
    <n v="-4000"/>
    <x v="252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757"/>
    <s v="AD"/>
    <d v="2021-01-02T00:00:00"/>
    <n v="22021000482"/>
    <s v="2021 04 9204 216"/>
    <n v="2400"/>
    <x v="253"/>
    <s v="ACTUALIZACIÓN DE LICENCIAS Y NUEVOS MÓDULOS DE CRIPTOGRAFÍA PARA EL PRODUCTO EDItran (COMUNICACIONES BANCARIAS)"/>
    <s v="220"/>
    <s v="ALCOBENDAS"/>
    <s v="MADRID"/>
    <x v="1"/>
    <s v="PrNegSP - Procedimiento Negociado Sin Publicidad"/>
    <s v="SinC - Sin Criterio"/>
    <x v="4"/>
    <x v="0"/>
    <s v="2"/>
    <s v="2. Gastos corrientes en bienes y servicios"/>
    <s v="04"/>
    <x v="3"/>
    <s v="9204"/>
    <s v="9204. Tecnologías de la información y comunicación"/>
    <s v="21"/>
    <s v="216"/>
  </r>
  <r>
    <n v="220210009591"/>
    <s v="AD/"/>
    <d v="2021-03-16T00:00:00"/>
    <n v="22021002591"/>
    <s v="2021 11 1361 632"/>
    <n v="-1551.22"/>
    <x v="254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0"/>
    <x v="0"/>
    <s v="6"/>
    <s v="6. Inversiones reales"/>
    <s v="11"/>
    <x v="5"/>
    <s v="1361"/>
    <s v="1361. Prevención y extinción de incencios"/>
    <s v="63"/>
    <s v="632"/>
  </r>
  <r>
    <n v="220210012931"/>
    <s v="AD/"/>
    <d v="2021-03-29T00:00:00"/>
    <n v="22021003430"/>
    <s v="2021 04 9202 22607"/>
    <n v="-136.5"/>
    <x v="255"/>
    <s v="Prueba de lengua (idioma inglés) para la selección de 1 tco. PE4TRANS. -ERROR EN NIF-"/>
    <s v="220"/>
    <s v="BARCELONA"/>
    <s v="BARCELON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9000341"/>
    <s v="AD"/>
    <d v="2021-01-02T00:00:00"/>
    <n v="22021000698"/>
    <s v="2021 07 1711 610"/>
    <n v="187500"/>
    <x v="256"/>
    <s v="CONTRATO CONSERVACIÓN Y MEJORA INFRAESTRUCTURAS VERDES,  ZONAS SUR Y ESTE DE LA CIUDAD, LOTE 2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00066821"/>
    <s v="AD"/>
    <d v="2021-03-29T00:00:00"/>
    <n v="22020007123"/>
    <s v="2021 03 9241 632"/>
    <n v="33557.83"/>
    <x v="257"/>
    <s v="ARREGLO DE HUMEDADES EN EL CC PARQUESOL"/>
    <s v="220"/>
    <s v="ARROYO DE LA ENCOMIENDA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199000494"/>
    <s v="AD"/>
    <d v="2021-01-02T00:00:00"/>
    <n v="22021000156"/>
    <s v="2021 09 3301 22799"/>
    <n v="0.01"/>
    <x v="258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210002986"/>
    <s v="D"/>
    <d v="2021-02-11T00:00:00"/>
    <n v="22021002088"/>
    <s v="2021 03 9241 212"/>
    <n v="5.15"/>
    <x v="259"/>
    <s v="MANGUITO ROSCADO REDUCIDO H.H. 11/2&quot;&quot;-2&quot;&quot; ( 1 UNIDAD 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09000574"/>
    <s v="AD"/>
    <d v="2021-01-02T00:00:00"/>
    <n v="22021000740"/>
    <s v="2021 08 1341 619"/>
    <n v="717327.48"/>
    <x v="260"/>
    <s v="2ª PRÓRROGA CONTRATO &quot;&quot;GESTIÓN INTEGRAL SISTEMA CENTRALIZADO DE CONTROL DE TRÁFICO DE VALLADOLID&quot;&quot;_Enero-Agosto-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6062"/>
    <s v="AD"/>
    <d v="2021-02-24T00:00:00"/>
    <n v="22021002876"/>
    <s v="2021 11 3111 22199"/>
    <n v="6.2"/>
    <x v="261"/>
    <s v="PILA MANDO VEHICULO 0634DHJ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09000556"/>
    <s v="AD"/>
    <d v="2021-01-02T00:00:00"/>
    <n v="22021000587"/>
    <s v="2021 11 3111 22700"/>
    <n v="6923.45"/>
    <x v="262"/>
    <s v="CONTRATO DE LIMPIEZA DE DEPENDENCIAS DEL CENTRO MUNICIPAL DE PROTECCION ANIMAL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0"/>
  </r>
  <r>
    <n v="220209000557"/>
    <s v="AD"/>
    <d v="2021-01-02T00:00:00"/>
    <n v="22021000588"/>
    <s v="2021 11 3111 22700"/>
    <n v="3465.58"/>
    <x v="262"/>
    <s v="CONTRATO DE LIMPIEZA DE DEPENDENCIAS DEL CONSULTORIO DEL PINAR DE ANTEQUERA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0"/>
  </r>
  <r>
    <n v="220209000558"/>
    <s v="AD"/>
    <d v="2021-01-02T00:00:00"/>
    <n v="22021000589"/>
    <s v="2021 05 4315 22700"/>
    <n v="4461.2700000000004"/>
    <x v="262"/>
    <s v="CONTRATO DE LIMPIEZA DE DEPENDENCIAS DE LA OFICINA MUNICIPAL DE INFORMACIÓN AL CONSUMIDOR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700"/>
  </r>
  <r>
    <n v="220209000688"/>
    <s v="AD"/>
    <d v="2021-01-02T00:00:00"/>
    <n v="22021000433"/>
    <s v="2021 07 1701 22700"/>
    <n v="62334.19"/>
    <x v="262"/>
    <s v="ADJUDICACION CONTRATO LIMPIEZA CASA DEL BARCO Y EDIFICIO ANEXO. 2021-2022. LOTE 9 . EXPTE. PR-S.E. 31/2020. CENTRALIZADO"/>
    <s v="220"/>
    <s v="LLANERA"/>
    <s v="ASTURIAS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00"/>
  </r>
  <r>
    <n v="220199000591"/>
    <s v="AD"/>
    <d v="2021-01-02T00:00:00"/>
    <n v="22021000165"/>
    <s v="2021 03 9241 213"/>
    <n v="4063.56"/>
    <x v="263"/>
    <s v="PRÓRROGA CONTRATO MANTENIMIENTO ALARMAS. LOTE 7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0015"/>
    <s v="ADO"/>
    <d v="2021-01-19T00:00:00"/>
    <n v="22021000649"/>
    <s v="2021 10 2412 224"/>
    <n v="6.4"/>
    <x v="264"/>
    <s v="PRORROGA Póliza Acc 2020CH00090 - Periodo: 16/12/2020 - 01/01/2021 - Curso de Atención sociosanitaria"/>
    <s v="240"/>
    <s v="Madrid"/>
    <s v="MADR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4"/>
  </r>
  <r>
    <n v="220210000014"/>
    <s v="ADO"/>
    <d v="2021-01-19T00:00:00"/>
    <n v="22021000648"/>
    <s v="2021 10 2412 224"/>
    <n v="9.98"/>
    <x v="264"/>
    <s v="PRÓRROGA Póliza Acc 2020CH00089 - Periodo: 16/12/2020 - 01/01/2021 - Curso de Atención sociosanitaria"/>
    <s v="240"/>
    <s v="Madrid"/>
    <s v="MADR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4"/>
  </r>
  <r>
    <n v="220210008540"/>
    <s v="D"/>
    <d v="2021-03-11T00:00:00"/>
    <n v="22021002228"/>
    <s v="2021 06 3232 212"/>
    <n v="14.52"/>
    <x v="265"/>
    <s v="ANCLAJE MTA M12X100 (50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10238"/>
    <s v="AD"/>
    <d v="2021-03-18T00:00:00"/>
    <n v="22021003414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0238"/>
    <s v="AD"/>
    <d v="2021-03-18T00:00:00"/>
    <n v="22021003415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0223"/>
    <s v="AD"/>
    <d v="2021-01-20T00:00:00"/>
    <n v="22021000001"/>
    <s v="2021 09 3341 22701"/>
    <n v="827.11"/>
    <x v="263"/>
    <s v="PRÓRROGA CONTRATO MANTENIMIENTO SISTEMA SEGURIDAD LOTE 1 CÚPULA DEL MILENIO"/>
    <s v="220"/>
    <s v="VALLADOLID"/>
    <s v="VALLADOLID"/>
    <x v="0"/>
    <s v="PrAbier - Procedimiento Abierto"/>
    <s v="UniC - Único Criterio"/>
    <x v="1"/>
    <x v="0"/>
    <s v="2"/>
    <s v="2. Gastos corrientes en bienes y servicios"/>
    <s v="09"/>
    <x v="1"/>
    <s v="3341"/>
    <s v="3341. Coordinación de políticas culturales"/>
    <s v="22"/>
    <s v="22701"/>
  </r>
  <r>
    <n v="220210010238"/>
    <s v="AD"/>
    <d v="2021-03-18T00:00:00"/>
    <n v="22021003416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7078"/>
    <s v="D"/>
    <d v="2021-03-05T00:00:00"/>
    <n v="22021001039"/>
    <s v="2021 10 2312 212"/>
    <n v="17.25"/>
    <x v="265"/>
    <s v="MANTENIMIENTO, SILICONA RAPIDA PLUS CRISTAL / CEYS ADHESIVO MONTACK PARA EL CPM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09000192"/>
    <s v="AD"/>
    <d v="2021-01-02T00:00:00"/>
    <n v="22021000236"/>
    <s v="2021 04 9231 22200"/>
    <n v="686030"/>
    <x v="267"/>
    <s v="PRORROGA CONTRATO CORREOS DESDE 1-1-2021 HASTA 12-7-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200"/>
  </r>
  <r>
    <n v="220210010237"/>
    <s v="AD"/>
    <d v="2021-03-18T00:00:00"/>
    <n v="22021003413"/>
    <s v="2021 10 2412 22199"/>
    <n v="27.63"/>
    <x v="268"/>
    <s v="PINCHOS METALICOS Y CLAVOS PARA EL CENTRO DE FORMACION PARA EL EMPLEO-  CURSO DE PARQUES Y JARDINESII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7305"/>
    <s v="ADO"/>
    <d v="2021-03-09T00:00:00"/>
    <n v="22021003311"/>
    <s v="2021 07 1721 223"/>
    <n v="34.380000000000003"/>
    <x v="269"/>
    <s v="VAD MAD SEUR 24 ESTANDAR / DÍAS: 01 Y 02 DE DICIEMBRE 2020 /  CTRO NAC SANIDAD AMBIENT. /// TOTAL 2"/>
    <s v="24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3"/>
  </r>
  <r>
    <n v="220210000512"/>
    <s v="AD"/>
    <d v="2021-01-25T00:00:00"/>
    <n v="22021001687"/>
    <s v="2021 03 9241 212"/>
    <n v="39.22"/>
    <x v="270"/>
    <s v="MATERIALES PARA TRABAJOS DE PINTURA EN CC JOSE M. LUELMO Y BAILARÍN VICENTE ESCUDER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993"/>
    <s v="D"/>
    <d v="2021-02-11T00:00:00"/>
    <n v="22021002088"/>
    <s v="2021 03 9241 212"/>
    <n v="39.49"/>
    <x v="259"/>
    <s v="MANGUITO P.E.LATON 50   (2) / ML.TUB.POLIETILENO 50/10 ATMS AD PE-100 (BARRA)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2356"/>
    <s v="AD"/>
    <d v="2021-02-04T00:00:00"/>
    <n v="22021002181"/>
    <s v="2021 10 2412 22199"/>
    <n v="41.14"/>
    <x v="271"/>
    <s v="PLANTAS( AUCUBA, GAZANIA..), PARA EL CURSO DE PARQUES Y JARDINES 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6033"/>
    <s v="AD"/>
    <d v="2021-02-24T00:00:00"/>
    <n v="22021003009"/>
    <s v="2021 03 9241 213"/>
    <n v="44.77"/>
    <x v="272"/>
    <s v="INSPECCIÓN PERIÓDICA DEL ASCENSOR DEL CC. CANAL DE CASTILLA"/>
    <s v="22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10232"/>
    <s v="AD"/>
    <d v="2021-03-18T00:00:00"/>
    <n v="22021003468"/>
    <s v="2021 10 2412 22199"/>
    <n v="45.44"/>
    <x v="271"/>
    <s v="PLANTAS PARA EL CENTRO DE FORMACION PARA EL EMPLEO, CURSO DE PARQUES Y JARDINESII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3186"/>
    <s v="AD"/>
    <d v="2021-03-31T00:00:00"/>
    <n v="22021003719"/>
    <s v="2021 11 1361 213"/>
    <n v="48.4"/>
    <x v="273"/>
    <s v="Alineación electrónica de eje delantero_dirección en vehículo VMC_13, matrícula 2958 JVV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7083"/>
    <s v="D"/>
    <d v="2021-03-05T00:00:00"/>
    <n v="22021002132"/>
    <s v="2021 08 1532 210"/>
    <n v="53.54"/>
    <x v="274"/>
    <s v="Saco Cemento Blanco II 42.5R de 25kg ( 8 UNIDADES) / Saco de Yeso Tosco ( 5 UNIDADES )"/>
    <s v="300"/>
    <s v="VALLADOLID"/>
    <s v="VALLADOLID"/>
    <x v="1"/>
    <s v="PrAbier - Procedimiento Abierto"/>
    <s v="SinC - Sin 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6045"/>
    <s v="AD"/>
    <d v="2021-02-24T00:00:00"/>
    <n v="22021002735"/>
    <s v="2021 06 2314 22700"/>
    <n v="57.46"/>
    <x v="213"/>
    <s v="ESCOBILLERO COMPLETO ESPACIO JOVEN ZONA NORTE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0"/>
  </r>
  <r>
    <n v="220200032686"/>
    <s v="AD"/>
    <d v="2021-03-29T00:00:00"/>
    <n v="22019007497"/>
    <s v="2021 05 9339 632"/>
    <n v="653116.12"/>
    <x v="275"/>
    <s v="OBRAS DE AMPLIACIÓN DEL EDIFICIO AGENCIA DE LA INNOVACIÓN Y DESARROLLO ECONÓMICO DE VALLADOLID (Ac4-12-2019)"/>
    <s v="220"/>
    <s v="PEREIRO DE AGUIAR"/>
    <s v="OURENSE"/>
    <x v="2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9000133"/>
    <s v="AD"/>
    <d v="2021-01-02T00:00:00"/>
    <n v="22021000558"/>
    <s v="2021 07 1711 610"/>
    <n v="507708.96"/>
    <x v="276"/>
    <s v="CONTRATO MANTENIMIENTO JARDINES ZONA NORTE. 1ª PRORROG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212"/>
    <s v="AD"/>
    <d v="2021-01-02T00:00:00"/>
    <n v="22021000141"/>
    <s v="2021 11 1621 22700"/>
    <n v="414800.93"/>
    <x v="277"/>
    <s v="CONTRATO SERVICIO MANTENIMIENTO Y LAVADO CONTENEDORES Sº LIMPIEZA EJERCICIOS 2020 Y 2021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09000517"/>
    <s v="AD"/>
    <d v="2021-01-02T00:00:00"/>
    <n v="22021000560"/>
    <s v="2021 11 1621 22799"/>
    <n v="406778.54"/>
    <x v="278"/>
    <s v="CONTRATO EXPLOTACIÓN 4 PUNTOS LIMPIOS FIJOS Y 1 PUNTO LIMPIO MÓVIL DEL SERVICIO DE LIMPIEZA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09000561"/>
    <s v="AD"/>
    <d v="2021-01-02T00:00:00"/>
    <n v="22021000591"/>
    <s v="2021 03 9241 22700"/>
    <n v="405540.64"/>
    <x v="213"/>
    <s v="LIMPIEZA CENTROS PARTICIPACION CIUDADANA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09000701"/>
    <s v="AD"/>
    <d v="2021-01-02T00:00:00"/>
    <n v="22021000442"/>
    <s v="2021 10 2311 22799"/>
    <n v="310000"/>
    <x v="279"/>
    <s v="servicio de restauración en comedor social para los años 2021 y 202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423"/>
    <s v="AD"/>
    <d v="2021-01-02T00:00:00"/>
    <n v="22021000300"/>
    <s v="2021 11 1321 22799"/>
    <n v="259256.92"/>
    <x v="280"/>
    <s v="1ª PRÓRROGA CONTRATO RETIRADA DE VEHÍCULOS DE LA VÍA PÚBLICA DEL 1 DE ENERO AL 24 DE SEPTIEMBRE DE 2021."/>
    <s v="220"/>
    <s v="SEGOVIA"/>
    <s v="SEGOVIA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99"/>
  </r>
  <r>
    <n v="220199000478"/>
    <s v="AD"/>
    <d v="2021-01-02T00:00:00"/>
    <n v="22021000079"/>
    <s v="2021 06 3321 22799"/>
    <n v="254100"/>
    <x v="281"/>
    <s v="SE 21/2017. PS. 1. PRÓRROGA GESTIÓN PUNTOS DE PRÉSTAMO BIBLIOTECARIO Y APOYO A BIBLIOTECAS MUNICIPALES. 2020-2021."/>
    <s v="220"/>
    <s v="SANTOVENIA DE PISUERGA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799"/>
  </r>
  <r>
    <n v="220200051501"/>
    <s v="AD"/>
    <d v="2021-03-29T00:00:00"/>
    <n v="22019007677"/>
    <s v="2021 11 1321 632"/>
    <n v="219835.62"/>
    <x v="282"/>
    <s v="OBRAS DE ADAPTACION EDIFICIO JEFATURA DE POLICÍA MUNICIPAL. FASE 1ª. (ENVOLVENTE DE FACHADA Y CUBIERTAS)."/>
    <s v="220"/>
    <s v="MEDINA DEL CAMPO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9000719"/>
    <s v="AD"/>
    <d v="2021-01-02T00:00:00"/>
    <n v="22021000456"/>
    <s v="2021 10 2312 22799"/>
    <n v="188183.2"/>
    <x v="283"/>
    <s v="SERVICIO DE CELADURIA DE LOS CPM  SIN TRANSFERIDOS DEL 1 DE ENERO DE 2021 AL 31 DE JULIO DE 2022"/>
    <s v="220"/>
    <s v="LOGROÑO"/>
    <s v="LA RIOJ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722"/>
    <s v="AD"/>
    <d v="2021-01-02T00:00:00"/>
    <n v="22021002461"/>
    <s v="2021 10 2312 22700"/>
    <n v="181339.22"/>
    <x v="213"/>
    <s v="CONTRATO LIMPIEZA PARA LOS CPM NO TRANSFERIDOS  DURANTE EL AÑO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00"/>
  </r>
  <r>
    <n v="220209000773"/>
    <s v="AD"/>
    <d v="2021-01-02T00:00:00"/>
    <n v="22021000524"/>
    <s v="2021 07 1711 619"/>
    <n v="179726.04"/>
    <x v="284"/>
    <s v="PRORROGA CONTRATO MANTENIMIENTO AREAS DE JUEGOS INFANTILES, HASTA 30/11/21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9000721"/>
    <s v="AD"/>
    <d v="2021-01-02T00:00:00"/>
    <n v="22021002460"/>
    <s v="2021 10 2312 22700"/>
    <n v="179648.24"/>
    <x v="213"/>
    <s v="CONTRATO LIMPIEZA PARA LOS CPM TRANSFERIDOS DURANTE EL AÑO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00"/>
  </r>
  <r>
    <n v="220210004530"/>
    <s v="D"/>
    <d v="2021-02-19T00:00:00"/>
    <n v="22021001275"/>
    <s v="2021 07 1711 22199"/>
    <n v="37.61"/>
    <x v="28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76"/>
    <s v="D"/>
    <d v="2021-02-23T00:00:00"/>
    <n v="22021001968"/>
    <s v="2021 11 1321 22199"/>
    <n v="1306.28"/>
    <x v="285"/>
    <s v="ACUERDO MARCO. MATERIAL DE FERRETERIA, HERRAMIENTAS, ETC.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493"/>
    <s v="D"/>
    <d v="2021-02-23T00:00:00"/>
    <n v="22021001968"/>
    <s v="2021 11 1321 22199"/>
    <n v="236.93"/>
    <x v="285"/>
    <s v="ACUERDO MARCO. SUMINISTRO MATERIAL DE FEBRETEERIA Y HERRAMIENTA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13"/>
    <s v="D"/>
    <d v="2021-02-23T00:00:00"/>
    <n v="22021002052"/>
    <s v="2021 11 1621 22199"/>
    <n v="424.01"/>
    <x v="285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40"/>
    <s v="D"/>
    <d v="2021-02-23T00:00:00"/>
    <n v="22021002052"/>
    <s v="2021 11 1621 22199"/>
    <n v="150.32"/>
    <x v="285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44"/>
    <s v="D"/>
    <d v="2021-02-23T00:00:00"/>
    <n v="22021002050"/>
    <s v="2021 11 1621 22104"/>
    <n v="7.22"/>
    <x v="285"/>
    <s v="AC MARCO EXP V36-2017: GUANTE NITRILO MONO USO BIOD.SHOWA 100 PCS L/9 AZUL  PRESONA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4"/>
  </r>
  <r>
    <n v="220210005590"/>
    <s v="D"/>
    <d v="2021-02-23T00:00:00"/>
    <n v="22021002057"/>
    <s v="2021 11 1631 22199"/>
    <n v="58.87"/>
    <x v="285"/>
    <s v="AS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14"/>
    <s v="D"/>
    <d v="2021-02-23T00:00:00"/>
    <n v="22021002056"/>
    <s v="2021 11 1631 22110"/>
    <n v="464.7"/>
    <x v="285"/>
    <s v="AC MARCO EXP. V36-2017: SUMINISTRO JABON Y DESENGRASNTE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0332"/>
    <s v="AD"/>
    <d v="2021-01-21T00:00:00"/>
    <n v="22021001225"/>
    <s v="2021 06 3321 22001"/>
    <n v="65.52"/>
    <x v="286"/>
    <s v="SUSCRIPCIÓN DE 4 EJEMPLARES DE LA REVISTA GADGET PARA LAS BIBLIOTECAS MUNICIPALES DURANTE EL AÑO 2021."/>
    <s v="220"/>
    <s v="ALCOBENDAS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9142"/>
    <s v="AD"/>
    <d v="2021-03-12T00:00:00"/>
    <n v="22021003378"/>
    <s v="2021 03 9241 212"/>
    <n v="65.760000000000005"/>
    <x v="213"/>
    <s v="SUMINISTRO E INSTALACIÓN DE BOCA DE RIEGO EN CC LA VICTORIA ROTA POR POSIBLE ACTO VANDÁLIC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150"/>
    <s v="AD"/>
    <d v="2021-01-02T00:00:00"/>
    <n v="22021000220"/>
    <s v="2021 05 4331 22799"/>
    <n v="1800"/>
    <x v="287"/>
    <s v="1 CONVOCATORIA CONTRATO BASADO EN ACUERDO MARCO SERVICIOS CESIÓN DE DATOS DE USO DE VEHÍCULOS ELÉCTRICOS"/>
    <s v="220"/>
    <s v="VIANA DE CEGA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406"/>
    <s v="AD"/>
    <d v="2021-02-08T00:00:00"/>
    <n v="22021002303"/>
    <s v="2021 11 3111 22199"/>
    <n v="67.760000000000005"/>
    <x v="288"/>
    <s v="SUMINISTRO FICHAS PARA RELOJ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4222"/>
    <s v="AD"/>
    <d v="2021-02-18T00:00:00"/>
    <n v="22021002838"/>
    <s v="2021 08 1532 214"/>
    <n v="67.760000000000005"/>
    <x v="289"/>
    <s v="Reparación vehículo 0651-DND. Mano de obra. Anticongelante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09000310"/>
    <s v="AD"/>
    <d v="2021-01-02T00:00:00"/>
    <n v="22021000263"/>
    <s v="2021 11 1631 214"/>
    <n v="17424"/>
    <x v="273"/>
    <s v="REAJUSTE ANUALIDADES CONTRATO SUMINISTRO NEUMÁTICOS (LOTE 3) VEHÍCULOS DE LIMPIEZA VIARIA DEL 1/7/2020 AL 30-6-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1"/>
    <s v="214"/>
  </r>
  <r>
    <n v="220210000035"/>
    <s v="ADO"/>
    <d v="2021-01-19T00:00:00"/>
    <n v="22021000715"/>
    <s v="2021 11 1351 224"/>
    <n v="70.06"/>
    <x v="290"/>
    <s v="EMBARCACIONES DEPORTIVAS - PÓLIZA:0631770012557 - RECIBO:8230508717 - MATRICULA/BASTIDOR: EMBARCACIÓN ZODIAC I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0036"/>
    <s v="ADO"/>
    <d v="2021-01-19T00:00:00"/>
    <n v="22021000717"/>
    <s v="2021 11 1351 224"/>
    <n v="70.06"/>
    <x v="290"/>
    <s v="EMBARCACIONES DEPORTIVAS| &quot;&quot;PÓLIZA&quot;&quot;:0631770012601| &quot;&quot;RECIBO&quot;&quot;:8230508719| &quot;&quot;MATR./BAST: &quot;&quot;:chd2313| DEL 31-12-20 AL 31-12-21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0037"/>
    <s v="ADO"/>
    <d v="2021-01-19T00:00:00"/>
    <n v="22021000719"/>
    <s v="2021 11 1351 224"/>
    <n v="70.06"/>
    <x v="290"/>
    <s v="EMBARCACIONES DEPORTIVAS - PÓLIZA: 0631770004865 - RECIBO:8245356211 - MATRICULA/BASTIDOR: EMBARCACIÓN ZODIAC - AÑO 2021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4514"/>
    <s v="ADO"/>
    <d v="2021-02-19T00:00:00"/>
    <n v="22021002756"/>
    <s v="2021 11 1351 224"/>
    <n v="70.06"/>
    <x v="290"/>
    <s v="EMBARCACIONES DEPORTIVAS -PÓLIZA:0631770003062 - MATR./BAST.:CHD-9219 - TIPO VAGUARD 2 /01/01/2021 - 01/01/2022/P. CIVIL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09000144"/>
    <s v="AD"/>
    <d v="2021-01-02T00:00:00"/>
    <n v="22021000214"/>
    <s v="2021 05 4331 22799"/>
    <n v="1800"/>
    <x v="291"/>
    <s v="1 CONVOCATORIA CONTRATO BASADO EN ACUERDO MARCO SERVICIOS CESIÓN DE DATOS DE USO DE VEHÍCULOS ELÉCTRICOS"/>
    <s v="220"/>
    <s v="SANTOVENIA DE PISUERGA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836"/>
    <s v="AD"/>
    <d v="2021-02-11T00:00:00"/>
    <n v="22021002238"/>
    <s v="2021 11 1621 219"/>
    <n v="71.75"/>
    <x v="292"/>
    <s v="SUMINISTRO EJES DE TAPAS PARA REPARACION CONTENEDORES 800 L. DEL Sº LIMPIEZA"/>
    <s v="220"/>
    <s v="RIBARROJA DEL TURIA"/>
    <s v="VALENCI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7132"/>
    <s v="AD"/>
    <d v="2021-03-05T00:00:00"/>
    <n v="22021003233"/>
    <s v="2021 11 1621 22199"/>
    <n v="150"/>
    <x v="265"/>
    <s v="SUMINISTRO MATERIALES PARA EL MANTENIMIENTO DE INSTALACIONES DEL Sº DE LIMPIEZA"/>
    <s v="22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2835"/>
    <s v="AD"/>
    <d v="2021-02-11T00:00:00"/>
    <n v="22021002236"/>
    <s v="2021 11 1621 219"/>
    <n v="75.75"/>
    <x v="293"/>
    <s v="SUMINISTRO RODILLOS REPARACION CONTENEDORES C/ LATERAL MARCA OMB DEL Sº LIMPIEZA"/>
    <s v="220"/>
    <s v="CORNELLÁ DE LLOBREGAT"/>
    <s v="BARCELON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4223"/>
    <s v="AD"/>
    <d v="2021-02-18T00:00:00"/>
    <n v="22021002839"/>
    <s v="2021 08 1532 214"/>
    <n v="77.05"/>
    <x v="289"/>
    <s v="Reparación vehículo VA-2049-AH.  Escobillas-limpia, Limpia trasero. Sensor temperatura refrigerante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8428"/>
    <s v="AD"/>
    <d v="2021-03-11T00:00:00"/>
    <n v="22021003178"/>
    <s v="2021 10 2412 22799"/>
    <n v="84.7"/>
    <x v="294"/>
    <s v="CELADURIA DEL DIA 4 DE ENERO DE 2021 DEL CENTRO DE FORMACION PARA EL EMPLEO, JACINTO BENAVENTE- DURACION 1 DIA"/>
    <s v="220"/>
    <s v="HOSPITALET DE LLOBREGAT"/>
    <s v="BARCELONA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799"/>
  </r>
  <r>
    <n v="220209000576"/>
    <s v="AD"/>
    <d v="2021-01-02T00:00:00"/>
    <n v="22021000742"/>
    <s v="2021 08 1341 619"/>
    <n v="178623.19"/>
    <x v="260"/>
    <s v="2ª PRÓRROGA MODIFICACIONES O REFORMAS &quot;&quot;GESTIÓN INTEGRAL SISTEMA CENTRALIZADO CONTROL TRÁFICO VALLADOLID&quot;&quot;_Ene-Agos-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774"/>
    <s v="AD"/>
    <d v="2021-01-02T00:00:00"/>
    <n v="22021000525"/>
    <s v="2021 07 1711 619"/>
    <n v="173236.96"/>
    <x v="278"/>
    <s v="PRORROGA CONTRATO MANTENIMIENTO FUENTES PUBLICAS ORNAMENTALES, HASTA 30/11/2021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0039610"/>
    <s v="AD"/>
    <d v="2021-03-29T00:00:00"/>
    <n v="22019008560"/>
    <s v="2021 08 1532 619"/>
    <n v="158464.95999999999"/>
    <x v="295"/>
    <s v="Obras de Urbanización de la CALLE COSTA RICA. Expte. 36/2019 SEMEU"/>
    <s v="220"/>
    <s v="TORDESILLAS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9000461"/>
    <s v="AD"/>
    <d v="2021-01-02T00:00:00"/>
    <n v="22021000312"/>
    <s v="2021 06 3231 22799"/>
    <n v="185040"/>
    <x v="296"/>
    <s v="EXPTE. SE-EIJI 10/2020. CTTO GESTION EIM FANTASIA LOTE 4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4"/>
    <s v="AD"/>
    <d v="2021-01-02T00:00:00"/>
    <n v="22021000315"/>
    <s v="2021 06 3231 22799"/>
    <n v="524840"/>
    <x v="296"/>
    <s v="EXPTE. SE-EIJI 10/2020. CTTO GESTION EIM MAFALDE Y GUILLE LOTE 7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79000247"/>
    <s v="AD"/>
    <d v="2021-01-02T00:00:00"/>
    <n v="22021000119"/>
    <s v="2021 08 1341 22799"/>
    <n v="146713.46"/>
    <x v="297"/>
    <s v="SISTEMA AUTOMATIZADO PRESTAMO BICICLETAS VALLABICI"/>
    <s v="220"/>
    <s v="OSSA DE MONTIEL"/>
    <s v="ALBACETE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09000149"/>
    <s v="AD"/>
    <d v="2021-01-02T00:00:00"/>
    <n v="22021000219"/>
    <s v="2021 05 4331 22799"/>
    <n v="3600"/>
    <x v="298"/>
    <s v="1 CONVOCATORIA CONTRATO BASADO EN ACUERDO MARCO SERVICIOS CESIÓN DE DATOS DE USO DE VEHÍCULOS ELÉCTRICOS"/>
    <s v="220"/>
    <s v="ARROYO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09000577"/>
    <s v="AD"/>
    <d v="2021-01-02T00:00:00"/>
    <n v="22021000596"/>
    <s v="2021 01 9205 22100"/>
    <n v="7000"/>
    <x v="299"/>
    <s v="EXP SE 45/2020 PRÓRROGA CONTRATO CENTRALIZADO SUMINISTRO ENERGIA ELÉCTRICA A IMPRENTA 01/01/2021 a 31/12/2021"/>
    <s v="220"/>
    <s v="BILBAO"/>
    <s v="VIZCAYA"/>
    <x v="1"/>
    <s v="PrAbier - Procedimiento Abierto"/>
    <s v="MultiC - MultiCriterio"/>
    <x v="1"/>
    <x v="0"/>
    <s v="2"/>
    <s v="2. Gastos corrientes en bienes y servicios"/>
    <s v="01"/>
    <x v="4"/>
    <s v="9205"/>
    <s v="9205. Imprenta municipal"/>
    <s v="22"/>
    <s v="22100"/>
  </r>
  <r>
    <n v="220210006978"/>
    <s v="AD"/>
    <d v="2021-03-04T00:00:00"/>
    <n v="22021003219"/>
    <s v="2021 02 9332 213"/>
    <n v="84.94"/>
    <x v="263"/>
    <s v="INST. DETECTOR DE INCENDIOS EN SALA CALDERAS EDIFICIO MUNICIPAL PLAZA STA. AN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6566"/>
    <s v="AD"/>
    <d v="2021-03-01T00:00:00"/>
    <n v="22021003020"/>
    <s v="2021 10 2312 22699"/>
    <n v="87.12"/>
    <x v="300"/>
    <s v="PAPEL PARA LA IMPRESION DEL CUENTO DE LAS FUENTES- INICIATIVAS SOCIALES-  CPM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6010"/>
    <s v="AD"/>
    <d v="2021-02-24T00:00:00"/>
    <n v="22021002663"/>
    <s v="2021 01 9207 22001"/>
    <n v="89"/>
    <x v="301"/>
    <s v="SUSCRIPCIÓN ANUAL AL PERIÓDICO DIGITAL 'EL CONFIDENCIAL.COM' - GOBIERNO Y RELACIONES"/>
    <s v="220"/>
    <s v="POZUELO DE ALARCON"/>
    <s v="MADR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5188"/>
    <s v="AD"/>
    <d v="2021-02-19T00:00:00"/>
    <n v="22021001244"/>
    <s v="2021 11 3111 22706"/>
    <n v="25374.11"/>
    <x v="302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5471"/>
    <s v="D"/>
    <d v="2021-02-23T00:00:00"/>
    <n v="22021001967"/>
    <s v="2021 11 1321 214"/>
    <n v="1014.92"/>
    <x v="303"/>
    <s v="ACUERDO MARCO. SUMINISTRO MATERIAL PARA TALLER DE REPARACIONES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489"/>
    <s v="D"/>
    <d v="2021-02-23T00:00:00"/>
    <n v="22021001967"/>
    <s v="2021 11 1321 214"/>
    <n v="1484.73"/>
    <x v="303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480"/>
    <s v="D"/>
    <d v="2021-02-23T00:00:00"/>
    <n v="22021001967"/>
    <s v="2021 11 1321 214"/>
    <n v="183.92"/>
    <x v="304"/>
    <s v="ACUERDO MARCO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01"/>
    <s v="D"/>
    <d v="2021-02-23T00:00:00"/>
    <n v="22021001967"/>
    <s v="2021 11 1321 214"/>
    <n v="334.08"/>
    <x v="304"/>
    <s v="ACUERDO MARCO. SUMINISTRO DE MATERIAL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46"/>
    <s v="D"/>
    <d v="2021-02-23T00:00:00"/>
    <n v="22021002049"/>
    <s v="2021 11 1621 22103"/>
    <n v="2312.0100000000002"/>
    <x v="304"/>
    <s v="AC MARCO EXP V36-2017: ADITIVOS GASOIL Y AD BLUE PARA VEHICULOS DEL Sº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06487"/>
    <s v="D"/>
    <d v="2021-02-26T00:00:00"/>
    <n v="22021002048"/>
    <s v="2021 11 1621 214"/>
    <n v="352.72"/>
    <x v="304"/>
    <s v="AC MARCO EXP. V36-2017: FILTROS HIDRAULICOS PARA VEHICULOS DEL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6489"/>
    <s v="D"/>
    <d v="2021-02-26T00:00:00"/>
    <n v="22021002049"/>
    <s v="2021 11 1621 22103"/>
    <n v="626.41999999999996"/>
    <x v="304"/>
    <s v="AC MARCO EXP V36-2017: ADBLUE A GRANEL (1.670) PARA VEHICULOS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06504"/>
    <s v="D"/>
    <d v="2021-02-26T00:00:00"/>
    <n v="22021002051"/>
    <s v="2021 11 1621 22110"/>
    <n v="36.299999999999997"/>
    <x v="304"/>
    <s v="AC MARCO EXP V36-2017: JABON DE MANOS 126 5 K ( 2 UNIDADES ) PERSONAL TALLER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10"/>
  </r>
  <r>
    <n v="220210006515"/>
    <s v="D"/>
    <d v="2021-02-26T00:00:00"/>
    <n v="22021001967"/>
    <s v="2021 11 1321 214"/>
    <n v="173.03"/>
    <x v="304"/>
    <s v="ACUERDO MARCO.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0545"/>
    <s v="AD"/>
    <d v="2021-01-25T00:00:00"/>
    <n v="22021001929"/>
    <s v="2021 11 1321 22699"/>
    <n v="387.2"/>
    <x v="305"/>
    <s v="ROTULACIÓN EQUIPAMIENTO DEPORTIVO EQUIPO DE ATLETISMO DE LA POLICI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326"/>
    <s v="AD"/>
    <d v="2021-01-21T00:00:00"/>
    <n v="22021001106"/>
    <s v="2021 06 3232 212"/>
    <n v="1500"/>
    <x v="268"/>
    <s v="SUMINISTRO DE METACRILATOS Y OTROS MATERIALES PARA COLEGIOS PÚBLICOS. PLAZO DE EJ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486"/>
    <s v="AD"/>
    <d v="2021-01-25T00:00:00"/>
    <n v="22021001231"/>
    <s v="2021 07 1711 22199"/>
    <n v="1500"/>
    <x v="268"/>
    <s v="SUMINISTRO DE DIVERSO MATERIAL DE JARDINERIA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1015"/>
    <s v="AD"/>
    <d v="2021-01-27T00:00:00"/>
    <n v="22021001895"/>
    <s v="2021 10 2412 22199"/>
    <n v="520.51"/>
    <x v="268"/>
    <s v="MATERIALES PARA EL C. DE FORMACION CURSO DE PARQUES Y JARDINES, MANTA TERMICA Y GEOTEXTIL PLANTEX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1031"/>
    <s v="AD"/>
    <d v="2021-01-27T00:00:00"/>
    <n v="22021001517"/>
    <s v="2021 07 1711 213"/>
    <n v="2000"/>
    <x v="306"/>
    <s v="REPARACION DE CINTA TRANSPORTADOR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0493"/>
    <s v="AD"/>
    <d v="2021-01-25T00:00:00"/>
    <n v="22021001251"/>
    <s v="2021 07 1711 22110"/>
    <n v="4000"/>
    <x v="307"/>
    <s v="PRODUCTOS DE LIMPIEZA Y ASEO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10"/>
  </r>
  <r>
    <n v="220210003979"/>
    <s v="AD"/>
    <d v="2021-02-17T00:00:00"/>
    <n v="22021002341"/>
    <s v="2021 07 1701 22110"/>
    <n v="1411"/>
    <x v="307"/>
    <s v="Productos de limpieza, papel y jabón para el uso personal en baños edificio Casa del Barco y anexo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2"/>
    <s v="22110"/>
  </r>
  <r>
    <n v="220209000186"/>
    <s v="AD"/>
    <d v="2021-01-02T00:00:00"/>
    <n v="22021000231"/>
    <s v="2021 04 3121 22706"/>
    <n v="743.59"/>
    <x v="308"/>
    <s v="Contrato prorrogado de Exámenes Ginecologicos para el Departamento de Prevención y Salud Laboral  Enero Febrero 2021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3"/>
    <s v="3121"/>
    <s v="3121. Prevención y salud laboral"/>
    <s v="22"/>
    <s v="22706"/>
  </r>
  <r>
    <n v="220209000857"/>
    <s v="AD"/>
    <d v="2021-01-02T00:00:00"/>
    <n v="22021002279"/>
    <s v="2021 04 3121 22706"/>
    <n v="8179.41"/>
    <x v="308"/>
    <s v="2ª prórroga contrato exámenes ginecológicos para Departamento de Prevención y Salud Laboral Febrero 2021 a febrero 2022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3"/>
    <s v="3121"/>
    <s v="3121. Prevención y salud laboral"/>
    <s v="22"/>
    <s v="22706"/>
  </r>
  <r>
    <n v="220209000718"/>
    <s v="AD"/>
    <d v="2021-01-02T00:00:00"/>
    <n v="22021000455"/>
    <s v="2021 10 2312 22799"/>
    <n v="144459.65"/>
    <x v="283"/>
    <s v="SERVICIO DE CELADURIA DE LOS CPM TRANSFERIDOS DEL 1 DE ENERO DE 2021 AL 31DE JULIO DE 2022"/>
    <s v="220"/>
    <s v="LOGROÑO"/>
    <s v="LA RIOJ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670"/>
    <s v="AD"/>
    <d v="2021-01-02T00:00:00"/>
    <n v="22021000527"/>
    <s v="2021 07 1711 619"/>
    <n v="106896.92"/>
    <x v="309"/>
    <s v="ACUERDO MARCO V6/2020, ACTUACIONES EN DIFERENTES BOMBEOS DE LA CIUDAD."/>
    <s v="220"/>
    <s v="PONTEVEDRA"/>
    <s v="PONTEVEDRA"/>
    <x v="2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2864"/>
    <s v="AD"/>
    <d v="2021-02-11T00:00:00"/>
    <n v="22021002404"/>
    <s v="2021 10 2311 22699"/>
    <n v="89.24"/>
    <x v="300"/>
    <s v="SUMINISTRO DE FICHAS (VALES) BLANCAS/AZULES PARA EL COMEDOR SOCIAL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6015"/>
    <s v="AD"/>
    <d v="2021-02-24T00:00:00"/>
    <n v="22021002970"/>
    <s v="2021 03 9241 22699"/>
    <n v="89.54"/>
    <x v="310"/>
    <s v="RECOGIDA Y DISTRIBUCIÓN A LOS CENTROS CÍVICOS DE CARTELES Y FOLLETO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10359"/>
    <s v="AD"/>
    <d v="2021-03-18T00:00:00"/>
    <n v="22021003470"/>
    <s v="2021 01 9206 22199"/>
    <n v="89.9"/>
    <x v="311"/>
    <s v="ADQUISICIÓN DE 10 AURICULARES CON MICRÓFONO INTEGRADO MODELO NW3522, DESTINADOS AL ARCHIVO MUNICIPAL."/>
    <s v="220"/>
    <s v="ALICANTE"/>
    <s v="ALICANTE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06948"/>
    <s v="AD"/>
    <d v="2021-03-04T00:00:00"/>
    <n v="22021003054"/>
    <s v="2021 06 2315 213"/>
    <n v="93.17"/>
    <x v="312"/>
    <s v="Sustitución de adaptador Mini Displayport para proyectos en Centro Municipal de la Igualdad /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887"/>
    <s v="AD"/>
    <d v="2021-02-11T00:00:00"/>
    <n v="22021002345"/>
    <s v="2021 06 2314 22799"/>
    <n v="100"/>
    <x v="263"/>
    <s v="COPIA LLAVES ESPACIO JOVEN ZONA NORTE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99"/>
  </r>
  <r>
    <n v="220210006563"/>
    <s v="AD"/>
    <d v="2021-03-01T00:00:00"/>
    <n v="22021003025"/>
    <s v="2021 10 2412 22110"/>
    <n v="1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578"/>
    <s v="AD"/>
    <d v="2021-01-02T00:00:00"/>
    <n v="22021000597"/>
    <s v="2021 09 3341 22100"/>
    <n v="80000"/>
    <x v="299"/>
    <s v="PRÓRROGA CONTRATO CENTRALIZADO SUMINISTRO ENERGÍA ELÉCTRICA CÚPULA DEL MILENIO"/>
    <s v="220"/>
    <s v="BILBAO"/>
    <s v="VIZCAY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100"/>
  </r>
  <r>
    <n v="220209000579"/>
    <s v="AD"/>
    <d v="2021-01-02T00:00:00"/>
    <n v="22021000598"/>
    <s v="2021 11 1321 22100"/>
    <n v="95000"/>
    <x v="299"/>
    <s v="IMPORTE PRÓRROGA CONTRATO SUMINISTRO ENERGÍA ELÉCTRICA POLICIA EJERCICIO 2021. EXPTE 45/2020. (P. Separada SE 13/2019).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0"/>
  </r>
  <r>
    <n v="220200074069"/>
    <s v="AD"/>
    <d v="2021-03-29T00:00:00"/>
    <n v="22019007497"/>
    <s v="2021 05 9339 632"/>
    <n v="106231.78"/>
    <x v="275"/>
    <s v="MODIFICADO CONTRATO DE OBRAS DE AMPLIACIÓN DEL EDIFICIO AGENCIA DE LA INNOVACIÓN Y DESARROLLO ECONÓMICO DE VALLADOLID"/>
    <s v="220"/>
    <s v="PEREIRO DE AGUIAR"/>
    <s v="OURENSE"/>
    <x v="2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9000134"/>
    <s v="AD"/>
    <d v="2021-01-02T00:00:00"/>
    <n v="22021000116"/>
    <s v="2021 07 1711 22799"/>
    <n v="100885.53"/>
    <x v="276"/>
    <s v="CONTRATO MANTENIMIENTO JARDINES ZONA NORTE. 1ª PRORROGA.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10009399"/>
    <s v="AD"/>
    <d v="2021-03-15T00:00:00"/>
    <n v="22021003412"/>
    <s v="2021 11 1321 223"/>
    <n v="100"/>
    <x v="269"/>
    <s v="GASTOS ENVIOS CERTIFIDOS VERIFICACIÓN ANUAL Y OTROS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3"/>
  </r>
  <r>
    <n v="220209000580"/>
    <s v="AD"/>
    <d v="2021-01-02T00:00:00"/>
    <n v="22021000599"/>
    <s v="2021 07 1711 22100"/>
    <n v="350000"/>
    <x v="299"/>
    <s v="PRORROGA CONTRATO SUMINISTRO ENERGIA ELECTRICA, Sº DE PARQUES Y JARDINES.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0"/>
  </r>
  <r>
    <n v="220210013223"/>
    <s v="AD"/>
    <d v="2021-03-31T00:00:00"/>
    <n v="22021003700"/>
    <s v="2021 07 1711 22199"/>
    <n v="100"/>
    <x v="300"/>
    <s v="SUMINISTRO DE PAPEL PARA REALIZACION DE VALES DE COMPRA Y OTROS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7171"/>
    <s v="AD"/>
    <d v="2021-03-08T00:00:00"/>
    <n v="22021002773"/>
    <s v="2021 01 9206 22199"/>
    <n v="28.59"/>
    <x v="314"/>
    <s v="ADQUISICIÓN ARCHIVO MUNICIPAL DE LÁMINA DE MELAMINA POROSA PARA INSTALARLA COMO FALDÓN DELANTERO DE MESA DESCRITORIO."/>
    <s v="220"/>
    <s v="VALLADOLID"/>
    <s v="VALLADOLID"/>
    <x v="1"/>
    <s v="PrAbier - Procedimiento Abierto"/>
    <s v="SinC - Sin Criterio"/>
    <x v="2"/>
    <x v="0"/>
    <s v="2"/>
    <s v="2. Gastos corrientes en bienes y servicios"/>
    <s v="01"/>
    <x v="4"/>
    <s v="9206"/>
    <s v="9206. Archivo municipal"/>
    <s v="22"/>
    <s v="22199"/>
  </r>
  <r>
    <n v="220210003212"/>
    <s v="D"/>
    <d v="2021-02-12T00:00:00"/>
    <n v="22021002088"/>
    <s v="2021 03 9241 212"/>
    <n v="188.36"/>
    <x v="314"/>
    <s v="MELAMINA/ TACÓN/ CANTO PVC (ASOC.EL REFUGIO) / TIRAFONDOS/ TACO (CC J.M.LUELMO) / MELAMINA/ AGLOMERADO (CC DELICIA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285"/>
    <s v="D"/>
    <d v="2021-02-12T00:00:00"/>
    <n v="22021002225"/>
    <s v="2021 06 3231 212"/>
    <n v="48.44"/>
    <x v="314"/>
    <s v="BISAGRA PIANO (12) / TIRAFONDOS SPAX(1)/ BOCA DESTORNILLADOR (2) ///// DESTINO: GUARDERIA EL GLOBO. EN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3289"/>
    <s v="D"/>
    <d v="2021-02-12T00:00:00"/>
    <n v="22021001039"/>
    <s v="2021 10 2312 212"/>
    <n v="145.56"/>
    <x v="314"/>
    <s v="MANTENIM., REPARACIONES PLETINA PVC (CNTRO OCUPACIONAL MONTES Y BARÓ) / MELAMINA/ CANTO PVC (CPM Z. SUR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4556"/>
    <s v="D"/>
    <d v="2021-02-19T00:00:00"/>
    <n v="22021002228"/>
    <s v="2021 06 3232 212"/>
    <n v="63.34"/>
    <x v="314"/>
    <s v="ALB.DE ENTREGA VA21/105 DE 12-01-2021: MELAMINA PORO DISEÑO 19 MM (CEIP LEÓN FELIP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213"/>
    <s v="D"/>
    <d v="2021-02-22T00:00:00"/>
    <n v="22021002143"/>
    <s v="2021 10 2311 212"/>
    <n v="173.77"/>
    <x v="314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5213"/>
    <s v="D"/>
    <d v="2021-02-22T00:00:00"/>
    <n v="22021002144"/>
    <s v="2021 10 2311 212"/>
    <n v="191.61"/>
    <x v="314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2867"/>
    <s v="AD"/>
    <d v="2021-02-11T00:00:00"/>
    <n v="22021002571"/>
    <s v="2021 03 9241 213"/>
    <n v="114.71"/>
    <x v="263"/>
    <s v="COLOCAR LOS DETECTORES DESMONTADOS EN CC JOSE Mª LUELMO PARA FACILITAR OBRAS DE INSONORIZ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2398"/>
    <s v="AD"/>
    <d v="2021-02-08T00:00:00"/>
    <n v="22021002353"/>
    <s v="2021 08 1651 214"/>
    <n v="109.17"/>
    <x v="315"/>
    <s v="Vehículo 9992-FVL Sustituir taco motor inferior de la caja de velocidades (soporte inferior + mano de obra)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1"/>
    <s v="214"/>
  </r>
  <r>
    <n v="220210006058"/>
    <s v="AD"/>
    <d v="2021-02-24T00:00:00"/>
    <n v="22021002911"/>
    <s v="2021 11 3111 213"/>
    <n v="312.85000000000002"/>
    <x v="263"/>
    <s v="MANTENIMIENTO SISTEMA SEGURIDAD DEL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5457"/>
    <s v="AD"/>
    <d v="2021-02-23T00:00:00"/>
    <n v="22021002579"/>
    <s v="2021 02 1501 22699"/>
    <n v="114.95"/>
    <x v="316"/>
    <s v="SUMINISTRO AURICULARES CENTRO DE CARTOGRAFÍA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01"/>
    <s v="1501. Dirección del área de urbanismo"/>
    <s v="22"/>
    <s v="22699"/>
  </r>
  <r>
    <n v="220209000693"/>
    <s v="AD"/>
    <d v="2021-01-02T00:00:00"/>
    <n v="22021000437"/>
    <s v="2021 11 1321 22103"/>
    <n v="96000"/>
    <x v="252"/>
    <s v="CONTRATO SUMINISTRO DE GASÓLEO DE AUTOMOCIÓN PARA VEHÍCULOS DE POLICÍA EJERCICIOS 2021 Y 2022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3"/>
  </r>
  <r>
    <n v="220209000702"/>
    <s v="AD"/>
    <d v="2021-01-02T00:00:00"/>
    <n v="22021000443"/>
    <s v="2021 10 2311 22799"/>
    <n v="88812.5"/>
    <x v="317"/>
    <s v="Servicio celaduría en CEAS de 1/1/2021 A 31/7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199000443"/>
    <s v="AD"/>
    <d v="2021-01-02T00:00:00"/>
    <n v="22021000153"/>
    <s v="2021 03 9241 22799"/>
    <n v="84736.94"/>
    <x v="318"/>
    <s v="ASISTENCIA TÉCNICA ESPECTÁCULOS Y MANTENIMIENTO EQUIPAMIENTO AUDIOVISUAL DE CENTROS CÍVICOS Y MUNICIPALES"/>
    <s v="220"/>
    <s v="MADRID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1365"/>
    <s v="AD"/>
    <d v="2021-02-01T00:00:00"/>
    <n v="22021001965"/>
    <s v="2021 06 2315 213"/>
    <n v="125.43"/>
    <x v="319"/>
    <s v="Reparación mando de puerta de pulsación en Centro Municipal de la Igualdad el día 04 de enero de 2021 / 1 DÍA"/>
    <s v="220"/>
    <s v="LAGUNA DE DUER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409"/>
    <s v="AD"/>
    <d v="2021-02-08T00:00:00"/>
    <n v="22021002312"/>
    <s v="2021 10 2311 212"/>
    <n v="118.25"/>
    <x v="270"/>
    <s v="Compra de material de pintura para vivienda en Calle CELTAS CORTOS, 20- 1º B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2"/>
  </r>
  <r>
    <n v="220210007124"/>
    <s v="AD"/>
    <d v="2021-03-05T00:00:00"/>
    <n v="22021003194"/>
    <s v="2021 06 2315 213"/>
    <n v="152.46"/>
    <x v="319"/>
    <s v="Programación y entrega de emisores de puerta en Centro Municipal de la Igualdad el día 15 de febrero de 2021 / 1 DIA"/>
    <s v="220"/>
    <s v="LAGUNA DE DUER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09000831"/>
    <s v="AD"/>
    <d v="2021-01-02T00:00:00"/>
    <n v="22021001163"/>
    <s v="2021 07 1711 22700"/>
    <n v="76777.8"/>
    <x v="284"/>
    <s v="LIMPIEZA Y DESINFECCION DE JUEGOS INFANTILES Y ELEMENTOS BIOSALUDABLES. COVID-19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00"/>
  </r>
  <r>
    <n v="220199000586"/>
    <s v="AD"/>
    <d v="2021-01-02T00:00:00"/>
    <n v="22021000160"/>
    <s v="2021 03 9241 213"/>
    <n v="496.73"/>
    <x v="320"/>
    <s v="PRÓRROGA CONTRATO MANTENIMIENTO CALEFACCIÓN, CLIMATIZACIÓN. LOTE 1"/>
    <s v="220"/>
    <s v="VALLADOL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09000581"/>
    <s v="AD"/>
    <d v="2021-01-02T00:00:00"/>
    <n v="22021000600"/>
    <s v="2021 06 3232 22100"/>
    <n v="450000"/>
    <x v="299"/>
    <s v="S.E. 45/2020 (P.S. 2 EXPTE S.E. 13/2019). CONTRATO CENTRALIZADO SUMINISTRO ENERGÍA ELECTRICA. COLEGIOS PÚBLICOS.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0"/>
  </r>
  <r>
    <n v="220210002846"/>
    <s v="AD"/>
    <d v="2021-02-11T00:00:00"/>
    <n v="22021002246"/>
    <s v="2021 03 9241 213"/>
    <n v="5012.55"/>
    <x v="320"/>
    <s v="PRÓRROGA LOTE 1 (DEL 12/01/21 AL 30/04/21) CONTRATO MANTENIMIENTO CALEFACCIÓN CENTROS SPC"/>
    <s v="220"/>
    <s v="VALLADOL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09000582"/>
    <s v="AD"/>
    <d v="2021-01-02T00:00:00"/>
    <n v="22021000601"/>
    <s v="2021 06 3231 22100"/>
    <n v="50000"/>
    <x v="299"/>
    <s v="S.E. 45/2020 (P.S. 2 EXPTE S.E. 19/2019) CONTRATO CENTRALIZADO SUMINISTRO ENERGIA ELECTRICA. ESCUELAS INFANTILES.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100"/>
  </r>
  <r>
    <n v="220209000675"/>
    <s v="AD"/>
    <d v="2021-01-02T00:00:00"/>
    <n v="22021000532"/>
    <s v="2021 07 1711 619"/>
    <n v="74790.03"/>
    <x v="309"/>
    <s v="ACUERDO MARCO V6/2020, ARREGLOS EN PLAZA DE MAYO."/>
    <s v="220"/>
    <s v="PONTEVEDRA"/>
    <s v="PONTEVEDRA"/>
    <x v="2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0329"/>
    <s v="AD"/>
    <d v="2021-01-21T00:00:00"/>
    <n v="22021001217"/>
    <s v="2021 06 3321 22001"/>
    <n v="129.63"/>
    <x v="321"/>
    <s v="SUSCRIPCIÓN DE 5 EJEMPLARES DE LA REVISTA AIRE LIBRE, AÑO 2021. PARA LAS BIBLIOTECAS MUNICIPALES. PLAZO 1 AÑO.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1018"/>
    <s v="AD"/>
    <d v="2021-01-27T00:00:00"/>
    <n v="22021002015"/>
    <s v="2021 10 2311 22200"/>
    <n v="132.13"/>
    <x v="322"/>
    <s v="AMPLIACIÓN CONTRATO CONSUMO 16 LÍNEAS PARA MES ENERO Y 10 LÍNEAS PARA MES DE FEBRERO-TERMINALES ADQUIRIDOS POR COVID-19."/>
    <s v="220"/>
    <s v="MADRID"/>
    <s v="MADR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200"/>
  </r>
  <r>
    <n v="220209000234"/>
    <s v="AD"/>
    <d v="2021-01-02T00:00:00"/>
    <n v="22021000727"/>
    <s v="2021 04 9204 641"/>
    <n v="73852.47"/>
    <x v="253"/>
    <s v="MTO.  Y ASISTENCIA TÉCNICA DE LAS HERRAMIENTAS DE ADMON.ELECTRÓNICA DEL AYTO.VALL. BASADAS AMARA SUITE. (PRÓRROGA)"/>
    <s v="220"/>
    <s v="ALCOBENDAS"/>
    <s v="MADR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9593"/>
    <s v="AD"/>
    <d v="2021-03-16T00:00:00"/>
    <n v="22021003430"/>
    <s v="2021 04 9202 22607"/>
    <n v="136.5"/>
    <x v="255"/>
    <s v="Prueba de lengua (idioma inglés) para la selección de 1 tco. PE4TRANS."/>
    <s v="220"/>
    <s v="BARCELONA"/>
    <s v="BARCELON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562"/>
    <s v="AD"/>
    <d v="2021-02-02T00:00:00"/>
    <n v="22021000124"/>
    <s v="2021 11 1621 22799"/>
    <n v="72329.7"/>
    <x v="278"/>
    <s v="PRORROGA CONTRATO EXPLOTACIÓN PUNTO LIMPIO C/ VALLE DE ARAN (23-1 AL 31-12-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10012932"/>
    <s v="AD"/>
    <d v="2021-03-29T00:00:00"/>
    <n v="22021003672"/>
    <s v="2021 04 9202 22607"/>
    <n v="136.5"/>
    <x v="323"/>
    <s v="PRUEBA DE LENGUA INGLESA, PROVISIÓN 1 TCO. SUP. PE4TRANS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583"/>
    <s v="AD"/>
    <d v="2021-01-02T00:00:00"/>
    <n v="22021000602"/>
    <s v="2021 06 2315 22100"/>
    <n v="4000"/>
    <x v="299"/>
    <s v="S.E. 45/2020 (P.S. 2 EXPTE S.E. 13/2019) CONTRATO CENTRALIZADO SUMINISTRO ENERGIA ELECTRICA. C.M.I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100"/>
  </r>
  <r>
    <n v="220209000669"/>
    <s v="AD"/>
    <d v="2021-01-02T00:00:00"/>
    <n v="22021000420"/>
    <s v="2021 11 1361 22700"/>
    <n v="62149.83"/>
    <x v="324"/>
    <s v="CONTRATO SERVICIO LIMPIEZA DEPENDENCIAS PARQUES DE LAS ERAS Y CANTERAC DEL SEISYPC  AÑOS 2021_2022; EXPTE S.E. 31_2020.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700"/>
  </r>
  <r>
    <n v="220210012881"/>
    <s v="AD"/>
    <d v="2021-03-29T00:00:00"/>
    <n v="22021003664"/>
    <s v="2021 11 1321 22699"/>
    <n v="137.5"/>
    <x v="325"/>
    <s v="RETIRADA DE FILTROS DE ACEITE DEL TALLER DE REPARACIÓN DE VEHÍCULOS DE LA POLICÍA MUNICIPAL."/>
    <s v="220"/>
    <s v="BURGOS (POL.IND. VILLALONQUEJAR)"/>
    <s v="BURGOS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2884"/>
    <s v="AD"/>
    <d v="2021-03-29T00:00:00"/>
    <n v="22021003670"/>
    <s v="2021 11 1321 214"/>
    <n v="138.82"/>
    <x v="326"/>
    <s v="REPARACIÓN VEHÍCULOS 4117JKP Y  3998JKP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584"/>
    <s v="AD"/>
    <d v="2021-01-02T00:00:00"/>
    <n v="22021000603"/>
    <s v="2021 10 2312 22100"/>
    <n v="83000"/>
    <x v="299"/>
    <s v="PRÓRROGA CONTRATO DE SUMINISTRO DE ENERGIA ELECTRICA EN CPMS MPALE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0"/>
  </r>
  <r>
    <n v="220209000585"/>
    <s v="AD"/>
    <d v="2021-01-02T00:00:00"/>
    <n v="22021000604"/>
    <s v="2021 10 2312 22100"/>
    <n v="72000"/>
    <x v="299"/>
    <s v="PRÓRROGA CONTRATO DE SUMINISTRO DE ENERGIA ELECTRICA EN CPMS TRANSFERIDO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0"/>
  </r>
  <r>
    <n v="220209000213"/>
    <s v="AD"/>
    <d v="2021-01-02T00:00:00"/>
    <n v="22021000711"/>
    <s v="2021 04 9204 641"/>
    <n v="58569.3"/>
    <x v="327"/>
    <s v="SUMINISTRO DE LICENCIAS, MANTENIMIENTO Y ASISTENCIA TÉCNICA DEL GESTOR DOCUMENTAL ALFRESCO"/>
    <s v="220"/>
    <s v="MADRID"/>
    <s v="MADRID"/>
    <x v="1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2461"/>
    <s v="ADO"/>
    <d v="2021-02-08T00:00:00"/>
    <n v="22021002240"/>
    <s v="2021 04 9231 22200"/>
    <n v="56366.16"/>
    <x v="267"/>
    <s v="CARTAS CERTIFICADAS/ CARTAS/ AVISO RECIBO/ ENTREGA/ RETORNO/ NOTIFICACIÓN/ POSTAL/ PAQUETE ESTÁNDAR // MES DICIEMBRE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200"/>
  </r>
  <r>
    <n v="220210009140"/>
    <s v="AD"/>
    <d v="2021-03-12T00:00:00"/>
    <n v="22021003376"/>
    <s v="2021 03 9241 212"/>
    <n v="140.25"/>
    <x v="270"/>
    <s v="SUMINISTRO DE MATERIAL PARA TRABAJOS DE PINTURA EN EL CENTRO SEGUNDO MONTE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818"/>
    <s v="AD"/>
    <d v="2021-01-02T00:00:00"/>
    <n v="22021000755"/>
    <s v="2021 11 1621 22700"/>
    <n v="18150"/>
    <x v="328"/>
    <s v="LIMPIEZA DEPENDENCIAS DEL SERVICIO DE LIMPIEZA, ENERO - MARZO 2021"/>
    <s v="220"/>
    <s v="BURGOS"/>
    <s v="BURGOS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09000660"/>
    <s v="AD"/>
    <d v="2021-01-02T00:00:00"/>
    <n v="22021000418"/>
    <s v="2021 09 3341 22799"/>
    <n v="53699.8"/>
    <x v="329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0063456"/>
    <s v="AD"/>
    <d v="2021-03-29T00:00:00"/>
    <n v="22020007127"/>
    <s v="2021 02 9332 634"/>
    <n v="145.19999999999999"/>
    <x v="330"/>
    <s v="ROTULAR IMAGEN CORPORATIVA EN VEHÍCULO ADQUIRIDO PARA EL CENTRO DE MANTENIMIENTO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4"/>
  </r>
  <r>
    <n v="220199000118"/>
    <s v="AD"/>
    <d v="2021-01-02T00:00:00"/>
    <n v="22021000126"/>
    <s v="2021 04 9204 216"/>
    <n v="53431.6"/>
    <x v="331"/>
    <s v="ASISTENCIA TÉCNICA OPERACIÓN, CAU, Y MANTENIMIENTO  DEL SOFTWARE DE BASE Y COMUNICACIONES. LOTE 2-REAJUSTE ANUALIDADES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9000619"/>
    <s v="AD"/>
    <d v="2021-01-02T00:00:00"/>
    <n v="22021000744"/>
    <s v="2021 04 9204 641"/>
    <n v="119955.77"/>
    <x v="331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776"/>
    <s v="AD"/>
    <d v="2021-01-02T00:00:00"/>
    <n v="22021000497"/>
    <s v="2021 04 9204 216"/>
    <n v="459792.96"/>
    <x v="331"/>
    <s v="ASISTENCIA TÉCNICA OPERACIÓN, CAU, Y MANTENIMIENTO  DEL SOFTWARE DE BASE Y COMUNICACIONES LOTE 2 (1ª PRÓRROGA)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5488"/>
    <s v="ADO"/>
    <d v="2021-02-23T00:00:00"/>
    <n v="22021002900"/>
    <s v="2021 04 9204 216"/>
    <n v="42768.71"/>
    <x v="331"/>
    <s v="ASISTENCIA TÉCNICA OPERACIÓN, CAU, Y MANTENIMIENTO  DEL SOFTWARE DE BASE Y COMUNICACIONES LOTE 2, DICIEMBRE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8466"/>
    <s v="D"/>
    <d v="2021-03-11T00:00:00"/>
    <n v="22021002144"/>
    <s v="2021 10 2311 212"/>
    <n v="167.83"/>
    <x v="265"/>
    <s v="F-1989. SUMINISTROS INDUSTRIALES SYRESA, S.L. BOMBILLO BOTON 2030/40BX50 LN (2 UD)/ BROCA AVELLANADOR (ALBERGUE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09000692"/>
    <s v="AD"/>
    <d v="2021-01-02T00:00:00"/>
    <n v="22021000436"/>
    <s v="2021 07 1711 22103"/>
    <n v="50000"/>
    <x v="252"/>
    <s v="CONTRATO PARA SUMINISTRO DE GASÓLEO, SERVICIO DE PARQUES Y JARDINES.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3"/>
  </r>
  <r>
    <n v="220199000340"/>
    <s v="AD"/>
    <d v="2021-01-02T00:00:00"/>
    <n v="22021000146"/>
    <s v="2021 04 9204 22200"/>
    <n v="9256.5"/>
    <x v="332"/>
    <s v="CONEXIÓN REDUNDANTE A INTERNET, LOTE 2"/>
    <s v="220"/>
    <s v="POZUELO DE ALARCON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199000654"/>
    <s v="AD"/>
    <d v="2021-01-02T00:00:00"/>
    <n v="22021000167"/>
    <s v="2021 04 9204 22200"/>
    <n v="1028.5"/>
    <x v="332"/>
    <s v="CONEXIÓN REDUNDANTE A INTERNET. LOTE 2 (REAJUSTE DE ANUALIDADES)"/>
    <s v="220"/>
    <s v="POZUELO DE ALARCON"/>
    <s v="MADRID"/>
    <x v="0"/>
    <s v="PrNegSP - Procedimiento Negociado Sin Publicidad"/>
    <s v="SinC - Sin Criterio"/>
    <x v="4"/>
    <x v="0"/>
    <s v="2"/>
    <s v="2. Gastos corrientes en bienes y servicios"/>
    <s v="04"/>
    <x v="3"/>
    <s v="9204"/>
    <s v="9204. Tecnologías de la información y comunicación"/>
    <s v="22"/>
    <s v="22200"/>
  </r>
  <r>
    <n v="220209000575"/>
    <s v="AD"/>
    <d v="2021-01-02T00:00:00"/>
    <n v="22021000741"/>
    <s v="2021 08 1341 619"/>
    <n v="49170.57"/>
    <x v="260"/>
    <s v="2ª PRÓRROGA REPARACIÓN Y AVERÍAS Y DAÑOS &quot;&quot;GESTIÓN INTEGRAL SISTEMA CENTRALIZADO CONTROL TRÁFICO VALLADOLID&quot;&quot;_Ene-Agos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2868"/>
    <s v="AD"/>
    <d v="2021-02-11T00:00:00"/>
    <n v="22021002572"/>
    <s v="2021 03 9241 212"/>
    <n v="150.4"/>
    <x v="270"/>
    <s v="MATERIALES PARA TRABAJOS DE PINTURA EN CENTROS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746"/>
    <s v="AD"/>
    <d v="2021-01-02T00:00:00"/>
    <n v="22021000471"/>
    <s v="2021 06 3232 213"/>
    <n v="5964.36"/>
    <x v="333"/>
    <s v="CTTO MANTENIMIENTO ASCENSORES COLEGIOS MUNICIPALES 2021 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50"/>
    <s v="AD"/>
    <d v="2021-01-02T00:00:00"/>
    <n v="22021000475"/>
    <s v="2021 06 3231 213"/>
    <n v="497.03"/>
    <x v="333"/>
    <s v="CTTO MANTENIMIENTO ASCENSORES EIM LA COMETA 2021-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1"/>
    <s v="3231. Escuelas infantiles"/>
    <s v="21"/>
    <s v="213"/>
  </r>
  <r>
    <n v="220209000753"/>
    <s v="AD"/>
    <d v="2021-01-02T00:00:00"/>
    <n v="22021000478"/>
    <s v="2021 06 2314 213"/>
    <n v="497.03"/>
    <x v="333"/>
    <s v="CTTO MANTENIMIENTO ASCENSORES ESPACIO JOVEN SUR 2021-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10003752"/>
    <s v="AD"/>
    <d v="2021-02-16T00:00:00"/>
    <n v="22021002606"/>
    <s v="2021 11 1621 212"/>
    <n v="900"/>
    <x v="319"/>
    <s v="REVISIONES Y REPARACIONES DE PUERTAS PRE-ELEVA ACCESOS TALLER Y  NAVE PARQUE VEHICULOS DEL Sº LIMPIEZA"/>
    <s v="220"/>
    <s v="LAGUNA DE DUERO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2"/>
  </r>
  <r>
    <n v="220210007131"/>
    <s v="AD"/>
    <d v="2021-03-05T00:00:00"/>
    <n v="22021003000"/>
    <s v="2021 11 1621 213"/>
    <n v="157.5"/>
    <x v="334"/>
    <s v="SUMINISTRO DE CONTADOR DE LITROS (ACCESORIO DE BOMBA DE AD BLUE) PARA EL Sº DE LIMPIEZ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407"/>
    <s v="AD"/>
    <d v="2021-02-08T00:00:00"/>
    <n v="22021002305"/>
    <s v="2021 11 3111 214"/>
    <n v="162.78"/>
    <x v="261"/>
    <s v="REPARACION VEHÍCULO HIBRIDO 0634DHJ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13178"/>
    <s v="AD"/>
    <d v="2021-03-31T00:00:00"/>
    <n v="22021003693"/>
    <s v="2021 11 1621 22699"/>
    <n v="165.2"/>
    <x v="335"/>
    <s v="GESTION DE DISTINTIVOS MEDIOAMBIENTALES PARA VEHICULO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699"/>
  </r>
  <r>
    <n v="220210007172"/>
    <s v="AD"/>
    <d v="2021-03-08T00:00:00"/>
    <n v="22021003181"/>
    <s v="2021 01 9206 22001"/>
    <n v="165.77"/>
    <x v="336"/>
    <s v="SUSCRIPCIÓN ANUAL A &quot;&quot;EL LIBRO VERDE&quot;&quot;,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7183"/>
    <s v="AD"/>
    <d v="2021-03-08T00:00:00"/>
    <n v="22021003268"/>
    <s v="2021 11 1361 22199"/>
    <n v="72.599999999999994"/>
    <x v="337"/>
    <s v="Juntas de estanqueidad para racores storz, proporcionador de espumógeno emulgente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8449"/>
    <s v="AD"/>
    <d v="2021-03-11T00:00:00"/>
    <n v="22021003340"/>
    <s v="2021 03 9241 212"/>
    <n v="170.61"/>
    <x v="338"/>
    <s v="PRODUCTOS DE JARDINERIA PARA SANEAMIENTO ZONAS VERDES CC CANAL DE CASTILLA"/>
    <s v="220"/>
    <s v="ZARATAN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862"/>
    <s v="AD"/>
    <d v="2021-02-11T00:00:00"/>
    <n v="22021002381"/>
    <s v="2021 10 2312 22199"/>
    <n v="116.16"/>
    <x v="339"/>
    <s v="SUMINISTRO ARTICULOS DE HIGIENE -BOBINAS PAPEL SECAMANOS- PARA CPM, CONCEJALÍA Y SECRETARÍA EJECUTIVA. COVID-19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199"/>
  </r>
  <r>
    <n v="220210001386"/>
    <s v="AD"/>
    <d v="2021-02-01T00:00:00"/>
    <n v="22021002145"/>
    <s v="2021 09 3341 22699"/>
    <n v="185.13"/>
    <x v="340"/>
    <s v="GASTO VISITA Y PRESUPUESTO PARA LA PUESTA EN MARCHA DE LA PUERTA AUTOMATICA DE GALERIAS VALLADOLID"/>
    <s v="220"/>
    <s v="ANTZUOLA"/>
    <s v="GUIPUZCOA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210006016"/>
    <s v="AD"/>
    <d v="2021-02-24T00:00:00"/>
    <n v="22021002971"/>
    <s v="2021 03 9241 22199"/>
    <n v="194.5"/>
    <x v="341"/>
    <s v="PIZARRA VERDE (2x1m, 2 UDS.) PARA CM SANTIAGO LÓPEZ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99"/>
  </r>
  <r>
    <n v="220209000586"/>
    <s v="AD"/>
    <d v="2021-01-02T00:00:00"/>
    <n v="22021000605"/>
    <s v="2021 10 2412 22100"/>
    <n v="13500"/>
    <x v="299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6037"/>
    <s v="AD"/>
    <d v="2021-02-24T00:00:00"/>
    <n v="22021002918"/>
    <s v="2021 04 9231 22699"/>
    <n v="199.65"/>
    <x v="342"/>
    <s v="WEB.VALLADOLIDENCIFRAS.ES - DOMINIO Y ALOJAMIENTO AÑO 2021 - SERV. INFORMACION Y ADMON. ELECTRON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699"/>
  </r>
  <r>
    <n v="220210004219"/>
    <s v="AD"/>
    <d v="2021-02-18T00:00:00"/>
    <n v="22021002627"/>
    <s v="2021 05 4331 213"/>
    <n v="355.52"/>
    <x v="263"/>
    <s v="MANTENIMIENTO INTEGRAL DEL SISTEMA DE SEGURIDAD Y ALARMA. REVISIONES PERIÓDICAS. DURACIÓN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199000589"/>
    <s v="AD"/>
    <d v="2021-01-02T00:00:00"/>
    <n v="22021000163"/>
    <s v="2021 03 9241 213"/>
    <n v="77.37"/>
    <x v="343"/>
    <s v="PRÓRROGA CONTRATO MANTENIMIENTO EXTINTORES Y SISTEMAS CONTRA INCENDIO. LOTE 4"/>
    <s v="220"/>
    <s v="ZARATAN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2850"/>
    <s v="AD"/>
    <d v="2021-02-11T00:00:00"/>
    <n v="22021002250"/>
    <s v="2021 03 9241 213"/>
    <n v="780.75"/>
    <x v="343"/>
    <s v="PRÓRROGA LOTE 4 (DEL 12/01/21 AL 30/04/21) CONTRATO MANTENIMIENTO EXTINTORES CENTROS SPC"/>
    <s v="220"/>
    <s v="ZARATAN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5247"/>
    <s v="D"/>
    <d v="2021-02-22T00:00:00"/>
    <n v="22021002228"/>
    <s v="2021 06 3232 212"/>
    <n v="213.59"/>
    <x v="344"/>
    <s v="ARTICULADA DIESEL 16m / TRANSP. ENTREGA-RECOGIDA / G.RESID/ CONSUMO A (6) ///  C.P. TERESA IÑIGO DE TORO (C/MORENA)"/>
    <s v="300"/>
    <s v="LAGUNA DE DUERO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276"/>
    <s v="D"/>
    <d v="2021-02-22T00:00:00"/>
    <n v="22021002211"/>
    <s v="2021 06 3232 22799"/>
    <n v="45980"/>
    <x v="213"/>
    <s v="CONTRATO CENTRALIZADO. ADJUDICACION CELADURIA COLEGIOS PÚBLICOS. AÑO 2021 Y DEL 01 DE ENERO A 31 DE JULIO DE 2022.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0034852"/>
    <s v="AD"/>
    <d v="2021-03-29T00:00:00"/>
    <n v="22019008819"/>
    <s v="2021 08 1651 619"/>
    <n v="44210.95"/>
    <x v="345"/>
    <s v="Expte. 38/2019  Adjudicacion Obras de renovación instalación de alumbrado por tecnología LED en Poligono San Cristóbal.-"/>
    <s v="220"/>
    <s v="BARCELONA"/>
    <s v="BARCELONA"/>
    <x v="2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9000720"/>
    <s v="AD"/>
    <d v="2021-01-02T00:00:00"/>
    <n v="22021000457"/>
    <s v="2021 05 4331 22700"/>
    <n v="43297.08"/>
    <x v="283"/>
    <s v="Contrato centralizado de limpieza dependencias municipales para 2021 y 2022. Edificio Agencia de Innovación."/>
    <s v="220"/>
    <s v="LOGROÑO"/>
    <s v="LA RIOJ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00"/>
  </r>
  <r>
    <n v="220209000686"/>
    <s v="AD"/>
    <d v="2021-01-02T00:00:00"/>
    <n v="22021000430"/>
    <s v="2021 03 9241 22799"/>
    <n v="40277.06"/>
    <x v="346"/>
    <s v="ESCUELA DE PARTICIPACION CIUDADANA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4122"/>
    <s v="D"/>
    <d v="2021-02-17T00:00:00"/>
    <n v="22021002146"/>
    <s v="2021 07 1711 214"/>
    <n v="47.88"/>
    <x v="347"/>
    <s v="ACUERDO MARCO 2017/36, RECAMBI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04565"/>
    <s v="D"/>
    <d v="2021-02-19T00:00:00"/>
    <n v="22021002146"/>
    <s v="2021 07 1711 214"/>
    <n v="26.62"/>
    <x v="347"/>
    <s v="ACUERDO MARCO 2017/36, RECAMBIOS DE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05499"/>
    <s v="D"/>
    <d v="2021-02-23T00:00:00"/>
    <n v="22021001967"/>
    <s v="2021 11 1321 214"/>
    <n v="220.99"/>
    <x v="347"/>
    <s v="ACUERDO MARCO.SUMINISTRO  DE MATERIAL PARA TALLER DE REPARACIÓN DE AUTOMÓVILE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19"/>
    <s v="D"/>
    <d v="2021-02-23T00:00:00"/>
    <n v="22021002048"/>
    <s v="2021 11 1621 214"/>
    <n v="208.42"/>
    <x v="348"/>
    <s v="RAC MARCO EXP V36-2017: RADIADOR RECONSTRUIDO REPARAR VEHICULO E8109BFB DEL SERV.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88"/>
    <s v="D"/>
    <d v="2021-02-23T00:00:00"/>
    <n v="22021002048"/>
    <s v="2021 11 1621 214"/>
    <n v="257.16000000000003"/>
    <x v="348"/>
    <s v="ACUERDO MARCO EXP V36-2017: RADIADOR INTERCAMBIO - RENAULT REPARACION VEHICULO 6003FPZ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09000587"/>
    <s v="AD"/>
    <d v="2021-01-02T00:00:00"/>
    <n v="22021000606"/>
    <s v="2021 06 3321 22100"/>
    <n v="5000"/>
    <x v="299"/>
    <s v="S.E. 45/2020 (P.S. 2 EXPTE S.E. 13/2019) CONTRATO CENTRALIZADO SUMINISTRO ENERGIA ELECTRICA. BIBLIOTECAS PUBLICAS. 2021"/>
    <s v="220"/>
    <s v="BILBAO"/>
    <s v="VIZCAYA"/>
    <x v="1"/>
    <s v="PrAbier - Procedimiento Abierto"/>
    <s v="UniC - Único Criterio"/>
    <x v="1"/>
    <x v="0"/>
    <s v="2"/>
    <s v="2. Gastos corrientes en bienes y servicios"/>
    <s v="06"/>
    <x v="0"/>
    <s v="3321"/>
    <s v="3321. Bibliotecas públicas"/>
    <s v="22"/>
    <s v="22100"/>
  </r>
  <r>
    <n v="220209000588"/>
    <s v="AD"/>
    <d v="2021-01-02T00:00:00"/>
    <n v="22021000607"/>
    <s v="2021 10 2311 22100"/>
    <n v="21200"/>
    <x v="299"/>
    <s v="PRÓRROGA CONTRATO DE SUMINISTRO DE ENERGIA ELECTRICA EN CEA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09000559"/>
    <s v="AD"/>
    <d v="2021-01-02T00:00:00"/>
    <n v="22021000590"/>
    <s v="2021 04 9204 216"/>
    <n v="37893.620000000003"/>
    <x v="349"/>
    <s v="MANTENIMIENTO DE LA RED DE VOZ Y DATOS DEL AYUNTAMIENTO DE VALLADOLID"/>
    <s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47933"/>
    <s v="AD"/>
    <d v="2021-03-29T00:00:00"/>
    <n v="22019005727"/>
    <s v="2021 02 1511 619"/>
    <n v="36384.699999999997"/>
    <x v="350"/>
    <s v="ADJUDICAR EXPEDIENTE SERVICIOS REDAC.PROYECTO URBANIZACIÓN CALLE SALUD"/>
    <s v="220"/>
    <s v="LEON"/>
    <s v="LEON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73894"/>
    <s v="AD"/>
    <d v="2021-03-29T00:00:00"/>
    <n v="22019007657"/>
    <s v="2021 11 1361 632"/>
    <n v="35513.14"/>
    <x v="351"/>
    <s v="PROYECTO IFS 2019: VARIAS ACTUACIONES EN VESTUARIOS, DUCHAS Y ASEOS EN CAMPO DE FORMACIÓN DE EL REBOLLAR. S.E.I.S. Y P.C"/>
    <s v="220"/>
    <s v="VALLADOLID"/>
    <s v="VALLADOLID"/>
    <x v="2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09000060"/>
    <s v="AD"/>
    <d v="2021-01-02T00:00:00"/>
    <n v="22021000196"/>
    <s v="2021 04 9204 22002"/>
    <n v="9395.6"/>
    <x v="352"/>
    <s v="SUMINISTRO DE FUNGIBLES DE IMPRESIÓN ORIGINALES, LOTE 1"/>
    <s v="220"/>
    <s v="BASAURI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708"/>
    <s v="AD"/>
    <d v="2021-01-02T00:00:00"/>
    <n v="22021000445"/>
    <s v="2021 04 9204 22002"/>
    <n v="17000"/>
    <x v="352"/>
    <s v="SUMINISTRO DE FUNGIBLES DE IMPRESIÓN ORIGINALES, LOTE 1 (REAJUSTE DE ANUALIDADES)"/>
    <s v="220"/>
    <s v="BASAURI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589"/>
    <s v="AD"/>
    <d v="2021-01-02T00:00:00"/>
    <n v="22021000608"/>
    <s v="2021 10 2311 22100"/>
    <n v="8800"/>
    <x v="299"/>
    <s v="PRÓRROGA CONTRATO DE SUMINISTRO DE ENERGIA ELECTRICA EN COMEDOR SOCIAL 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09000590"/>
    <s v="AD"/>
    <d v="2021-01-02T00:00:00"/>
    <n v="22021000609"/>
    <s v="2021 09 4321 22100"/>
    <n v="2000"/>
    <x v="299"/>
    <s v="PRORROGA CONTRATO SUMINISTRO ENERGIA ELECTRICA PARA ALBERGUE PEREGRINOS Y PANTALLA PLAZA ALBERTO FERNANDEZ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100"/>
  </r>
  <r>
    <n v="220209000591"/>
    <s v="AD"/>
    <d v="2021-01-02T00:00:00"/>
    <n v="22021000610"/>
    <s v="2021 04 9204 22100"/>
    <n v="85000"/>
    <x v="299"/>
    <s v="SUMINISTRO ENERGÍA ELÉCTRICA EDIFICIO ENRIQUE IV, PRÓRROGA"/>
    <s v="220"/>
    <s v="BILBAO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100"/>
  </r>
  <r>
    <n v="220209000592"/>
    <s v="AD"/>
    <d v="2021-01-02T00:00:00"/>
    <n v="22021000611"/>
    <s v="2021 07 1721 22100"/>
    <n v="20000"/>
    <x v="299"/>
    <s v="PRÓRROGA AÑO 2021 CONTRATO SUMINISTRO ENERGÍA ELÉCTRICA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00"/>
  </r>
  <r>
    <n v="220209000593"/>
    <s v="AD"/>
    <d v="2021-01-02T00:00:00"/>
    <n v="22021000552"/>
    <s v="2021 11 1361 22100"/>
    <n v="41000"/>
    <x v="299"/>
    <s v="PRÓRROGA CONTRATO SUMINISTRO DE ENERGÍA ELÉCTRICA DE 1 ENERO A 31 DICIEMBRE 2021. S.E.I.S. Y P.C.- EXPTE: S.E.45/2020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0"/>
  </r>
  <r>
    <n v="220209000594"/>
    <s v="AD"/>
    <d v="2021-01-02T00:00:00"/>
    <n v="22021000612"/>
    <s v="2021 07 1701 22100"/>
    <n v="13700"/>
    <x v="299"/>
    <s v="CONTRATO SUMINISTRO ENERGIA ELECTRICA 2021.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0"/>
  </r>
  <r>
    <n v="220209000595"/>
    <s v="AD"/>
    <d v="2021-01-02T00:00:00"/>
    <n v="22021000613"/>
    <s v="2021 07 1701 22100"/>
    <n v="8000"/>
    <x v="299"/>
    <s v="CONTRATO SUMINISTRO ENERGIA ELECTRICA. &quot;&quot;XX AÑOS DE PAZ&quot;&quot; 2021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0"/>
  </r>
  <r>
    <n v="220209000596"/>
    <s v="AD"/>
    <d v="2021-01-02T00:00:00"/>
    <n v="22021000614"/>
    <s v="2021 11 1621 22100"/>
    <n v="35000"/>
    <x v="299"/>
    <s v="PRORROGA CONTRATO SUMINISTRO ENERGIA ELECTRICA SERVICIO LIMPIEZA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0"/>
  </r>
  <r>
    <n v="220209000597"/>
    <s v="AD"/>
    <d v="2021-01-02T00:00:00"/>
    <n v="22021000615"/>
    <s v="2021 11 1631 22100"/>
    <n v="55000"/>
    <x v="299"/>
    <s v="PRORROGA CONTRATO SUMINISTRO ENERGIA ELECTRICA Sº LIMPIEZA VIARIA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0"/>
  </r>
  <r>
    <n v="220209000598"/>
    <s v="AD"/>
    <d v="2021-01-02T00:00:00"/>
    <n v="22021000616"/>
    <s v="2021 08 1651 22100"/>
    <n v="2590000"/>
    <x v="299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2"/>
    <s v="22100"/>
  </r>
  <r>
    <n v="220209000599"/>
    <s v="AD"/>
    <d v="2021-01-02T00:00:00"/>
    <n v="22021000617"/>
    <s v="2021 11 3111 22100"/>
    <n v="16000"/>
    <x v="299"/>
    <s v="PRORROGA CONTRATO SUMINISTRO ENERGIA ELECTRICA 2021 - SALUD PUBLICA. EXPTE. SE.13/2019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0"/>
  </r>
  <r>
    <n v="220210004546"/>
    <s v="D"/>
    <d v="2021-02-19T00:00:00"/>
    <n v="22021001275"/>
    <s v="2021 07 1711 22199"/>
    <n v="116.23"/>
    <x v="353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542"/>
    <s v="D"/>
    <d v="2021-02-23T00:00:00"/>
    <n v="22021002052"/>
    <s v="2021 11 1621 22199"/>
    <n v="907.93"/>
    <x v="353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616"/>
    <s v="D"/>
    <d v="2021-02-23T00:00:00"/>
    <n v="22021002057"/>
    <s v="2021 11 1631 22199"/>
    <n v="156.82"/>
    <x v="353"/>
    <s v="AC MARCO EXP V36-2017: SUMINISTRO PALAS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09000033"/>
    <s v="AD"/>
    <d v="2021-01-02T00:00:00"/>
    <n v="22021000185"/>
    <s v="2021 10 2312 22799"/>
    <n v="35310"/>
    <x v="354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792"/>
    <s v="AD"/>
    <d v="2021-01-02T00:00:00"/>
    <n v="22021000507"/>
    <s v="2021 10 2312 213"/>
    <n v="217.8"/>
    <x v="355"/>
    <s v="MANTENIMIENTO DE SISTEMA DE CCTV CÁMARAS EXTERIORES EN CPM HUERTA DEL REY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3"/>
    <s v="AD"/>
    <d v="2021-01-02T00:00:00"/>
    <n v="22021000508"/>
    <s v="2021 10 2312 213"/>
    <n v="217.8"/>
    <x v="355"/>
    <s v="MANTENIMIENTO DEL SISTEMA CCTV CÁMARAS EXTERIORES EN CPM DELICIAS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1020"/>
    <s v="AD"/>
    <d v="2021-01-27T00:00:00"/>
    <n v="22021002018"/>
    <s v="2021 11 1321 22699"/>
    <n v="219.2"/>
    <x v="356"/>
    <s v="SUMINISTRO ANUAL DE GAS PARA LAS PISTOLAS DE LA GALERIA DE TIRO VIRTUAL."/>
    <s v="220"/>
    <s v="BARCELONA"/>
    <s v="BARCELONA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0047"/>
    <s v="AD"/>
    <d v="2021-03-17T00:00:00"/>
    <n v="22021003396"/>
    <s v="2021 07 1721 22199"/>
    <n v="223.27"/>
    <x v="357"/>
    <s v="ADQUISICION DE BIDONES PARA CAPTADORES DEL LABORATORIO RED DE CONTROL ATMOSFERICO. SERVICIO DE MEDIO AMBIENTE."/>
    <s v="220"/>
    <s v="COLLBATO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6959"/>
    <s v="AD"/>
    <d v="2021-03-04T00:00:00"/>
    <n v="22021003151"/>
    <s v="2021 10 2312 22699"/>
    <n v="223.85"/>
    <x v="358"/>
    <s v="IMPRESION DEL LIBRO CUENTO LAS FUENTESIV, 150 UNIDADES- INICIATIVAS SOCIALES CPM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5624"/>
    <s v="ADO"/>
    <d v="2021-02-23T00:00:00"/>
    <n v="22021003008"/>
    <s v="2021 03 9241 213"/>
    <n v="223.85"/>
    <x v="272"/>
    <s v="INSPECCIÓN PERIÓDICA ASCENSOR/ES EN C.C.:  PZA JUAN AUSTRIA - PTE LA REINA - PZA BIÓLOGO - DELICIAS - JUAN AUSTRIA"/>
    <s v="24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8645"/>
    <s v="ADO"/>
    <d v="2021-03-11T00:00:00"/>
    <n v="22021003290"/>
    <s v="2021 04 9202 22607"/>
    <n v="224"/>
    <x v="359"/>
    <s v="SERVICIOS MÉDICOS PARA LAS PRUEBAS FÍSICAS DE LA OPOSICIÓN MECÁNICO - CONDUCTOR BOMBEROS (7 HORAS EL DÍA 21/10/2020)"/>
    <s v="240"/>
    <s v="SIMANCAS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9000764"/>
    <s v="AD"/>
    <d v="2021-01-02T00:00:00"/>
    <n v="22021000176"/>
    <s v="2021 10 2312 22799"/>
    <n v="763282.96"/>
    <x v="360"/>
    <s v="CONTRATACION SERVICIO DE ESTANCIAS DIURNAS 2020,2021 Y ENE-NOV 2022- LOTE 1 ATENCION GENERAL SED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199000765"/>
    <s v="AD"/>
    <d v="2021-01-02T00:00:00"/>
    <n v="22021000177"/>
    <s v="2021 10 2312 22799"/>
    <n v="109040.42"/>
    <x v="360"/>
    <s v="CONTRATACION SERVICIO DE ESTANCIAS DIURNAS CPM RONDILLA 2020,2021 Y ENE-NOV 2022- LOTE 1 ATENCION GENERAL SED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01182"/>
    <s v="AD"/>
    <d v="2021-01-29T00:00:00"/>
    <n v="22021001368"/>
    <s v="2021 11 1361 22199"/>
    <n v="232.13"/>
    <x v="361"/>
    <s v="Repuesto de lámparas estroboscópicas para luminarias de emergencia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038"/>
    <s v="ADO"/>
    <d v="2021-01-19T00:00:00"/>
    <n v="22021000720"/>
    <s v="2021 11 1351 224"/>
    <n v="233"/>
    <x v="362"/>
    <s v="ACCIDENTES COLECTIVOS|&quot;&quot;PÓLIZA&quot;&quot;:0551780088803|&quot;&quot;RECIBO&quot;&quot;:8221299862|&quot;&quot;RIESGO&quot;&quot;: SUMAS GRUPOS/ DE 31-12-20 A 31-12-21"/>
    <s v="24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09000385"/>
    <s v="AD"/>
    <d v="2021-01-02T00:00:00"/>
    <n v="22021000277"/>
    <s v="2021 07 1711 22103"/>
    <n v="35000"/>
    <x v="363"/>
    <s v="PRORROGA CONTRATO SUMINISTRO DE GASOLINA AL SERVICIO DE PARQUES Y JARDINES.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3"/>
  </r>
  <r>
    <n v="220209000600"/>
    <s v="AD"/>
    <d v="2021-01-02T00:00:00"/>
    <n v="22021000618"/>
    <s v="2021 05 4315 22100"/>
    <n v="5500"/>
    <x v="299"/>
    <s v="PRORROGA CONTRATO SUMINISTRO ENERGIA ELECTRICA 2021 - CONSUMO - OMIC EXPTE. SE. 13/2019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01"/>
    <s v="AD"/>
    <d v="2021-01-02T00:00:00"/>
    <n v="22021000619"/>
    <s v="2021 03 9241 22100"/>
    <n v="480000"/>
    <x v="299"/>
    <s v="ENERGIA ELECTRICA SERVICIO DE PARTICIPACION CIUDADANA"/>
    <s v="220"/>
    <s v="BILBAO"/>
    <s v="VIZCAY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0"/>
  </r>
  <r>
    <n v="220210010362"/>
    <s v="AD"/>
    <d v="2021-03-18T00:00:00"/>
    <n v="22021003343"/>
    <s v="2021 08 1651 213"/>
    <n v="405.31"/>
    <x v="263"/>
    <s v="Mantenimiento del sistema de vigilancia y alarma en instalaciones del Parque de Nave de Alumbrado. -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1"/>
    <s v="213"/>
  </r>
  <r>
    <n v="220210003756"/>
    <s v="AD"/>
    <d v="2021-02-16T00:00:00"/>
    <n v="22021002620"/>
    <s v="2021 08 1532 213"/>
    <n v="882.82"/>
    <x v="263"/>
    <s v="Mantenimiento sistema vigilancia y alarma de instalaciones del Parque de Conservación de Vías Públicas, C/ Títulos 51.-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2395"/>
    <s v="AD"/>
    <d v="2021-02-08T00:00:00"/>
    <n v="22021002363"/>
    <s v="2021 04 9341 22000"/>
    <n v="240.19"/>
    <x v="300"/>
    <s v="10000 SOBRES VENTANILLA DERECHA SECCIÓN PROCEDIMIENTO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000"/>
  </r>
  <r>
    <n v="220210006976"/>
    <s v="AD"/>
    <d v="2021-03-04T00:00:00"/>
    <n v="22021003229"/>
    <s v="2021 02 9332 212"/>
    <n v="240.79"/>
    <x v="364"/>
    <s v="ADQ.MATERIAL ELÉCTRICO PARA TALLER DE CERRAJERÍA"/>
    <s v="220"/>
    <s v="PALAU-SOLITA I PLEGAMANS"/>
    <s v="BARCELONA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00020954"/>
    <s v="AD"/>
    <d v="2021-03-29T00:00:00"/>
    <n v="22020000876"/>
    <s v="2021 05 4331 609"/>
    <n v="34638.559999999998"/>
    <x v="365"/>
    <s v="CONTRATO DE OBRAS DE INFRAESTRUCTURA VERDE: TOLDOS VEGETALES EN LA CALLE SANTA MARÍA. PROYECTO URBAN GreenUP"/>
    <s v="220"/>
    <s v="MADRID"/>
    <s v="MADR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09000463"/>
    <s v="AD"/>
    <d v="2021-01-02T00:00:00"/>
    <n v="22021000314"/>
    <s v="2021 06 3231 22799"/>
    <n v="191840"/>
    <x v="366"/>
    <s v="EXPTE. SE-EIJI 10/2020. CTTO GESTION EIM EL TOBOGAN LOTE 6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10010045"/>
    <s v="AD"/>
    <d v="2021-03-17T00:00:00"/>
    <n v="22021003452"/>
    <s v="2021 04 3121 22199"/>
    <n v="245.04"/>
    <x v="367"/>
    <s v="Suministro auriculares para reuniones On-Line (7 unidades). SERVICIO DE PREVENCION Y SALUD LABORAL"/>
    <s v="220"/>
    <s v="VALDESTILLAS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99"/>
  </r>
  <r>
    <n v="220210010371"/>
    <s v="AD"/>
    <d v="2021-03-19T00:00:00"/>
    <n v="22021003410"/>
    <s v="2021 01 9203 22110"/>
    <n v="252.67"/>
    <x v="313"/>
    <s v="ADQUISICION MATERIAL DE LIMPIEZA, R.I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110"/>
  </r>
  <r>
    <n v="220210002397"/>
    <s v="AD"/>
    <d v="2021-02-08T00:00:00"/>
    <n v="22021002393"/>
    <s v="2021 08 1532 619"/>
    <n v="253.68"/>
    <x v="368"/>
    <s v="Estudio de Seguridad y Salud del proyecto de  Urbanización exterior en las instalaciones municipales del SEPI.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210000544"/>
    <s v="AD"/>
    <d v="2021-01-25T00:00:00"/>
    <n v="22021001926"/>
    <s v="2021 11 1321 22799"/>
    <n v="260.2"/>
    <x v="280"/>
    <s v="REFUERZO EN SERVICIOS DE RETIRADA DE VEHÍCULOS DIA 9-1-2021 POR INCLEMENCIAS METEOROLÓGICAS."/>
    <s v="220"/>
    <s v="SEGOVIA"/>
    <s v="SEGOVI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99"/>
  </r>
  <r>
    <n v="220210006032"/>
    <s v="AD"/>
    <d v="2021-02-24T00:00:00"/>
    <n v="22021003000"/>
    <s v="2021 11 1621 213"/>
    <n v="268.5"/>
    <x v="334"/>
    <s v="SUMINISTRO BOMBA PARA DEPÓSITO DE AD BLUE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10675"/>
    <s v="AD"/>
    <d v="2021-03-23T00:00:00"/>
    <n v="22021003568"/>
    <s v="2021 11 3111 22799"/>
    <n v="275"/>
    <x v="369"/>
    <s v="TRANSPORTE Y ELIMINACION DE EQUINO MUERTO, ENCONTRADO SIN PROPIETARIO IDENTIFICADO EN TERMINO MUNICIPAL VALLADOLID 1 MZ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799"/>
  </r>
  <r>
    <n v="220210002869"/>
    <s v="AD"/>
    <d v="2021-02-11T00:00:00"/>
    <n v="22021002575"/>
    <s v="2021 03 9241 22602"/>
    <n v="275.8"/>
    <x v="370"/>
    <s v="CARTELES EXPOSICIONES EN CENTROS CÍVICOS. PERÍODO 16/01/21- 31/03/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602"/>
    <s v="AD"/>
    <d v="2021-01-02T00:00:00"/>
    <n v="22021000620"/>
    <s v="2021 08 1341 22100"/>
    <n v="210000"/>
    <x v="299"/>
    <s v="ENERGÍA ELÉCTRICA 2021_CENTRO MOVILIDAD URBANA"/>
    <s v="220"/>
    <s v="BILBAO"/>
    <s v="VIZCAYA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100"/>
  </r>
  <r>
    <n v="220209000603"/>
    <s v="AD"/>
    <d v="2021-01-02T00:00:00"/>
    <n v="22021000621"/>
    <s v="2021 06 2314 22100"/>
    <n v="65000"/>
    <x v="299"/>
    <s v="PRÓRROGA SUMINISTRO ENERGÍA ELÉCTRICA ESPACIOS JÓVENES Y PINAR DE ANTEQUERA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100"/>
  </r>
  <r>
    <n v="220210001917"/>
    <s v="AD"/>
    <d v="2021-02-04T00:00:00"/>
    <n v="22021002097"/>
    <s v="2021 03 9241 22602"/>
    <n v="276"/>
    <x v="371"/>
    <s v="MASCARILLAS PUBLICITARIAS PRESUPUESTOS PARTICIPATIVOS"/>
    <s v="220"/>
    <s v="LA CISTÉRNIGA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525"/>
    <s v="AD"/>
    <d v="2021-01-02T00:00:00"/>
    <n v="22021000563"/>
    <s v="2021 06 3261 22700"/>
    <n v="9610.64"/>
    <x v="284"/>
    <s v="PR-SE 31/2020. CONTRATO CENTRALIZADO DE LIMPIEZA EDIFICIOS MUNICIPALES. AREA 06.ESCUELA MUNICIPAL DE MUSICA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00"/>
  </r>
  <r>
    <n v="220209000526"/>
    <s v="AD"/>
    <d v="2021-01-02T00:00:00"/>
    <n v="22021000564"/>
    <s v="2021 06 3231 22700"/>
    <n v="213098.75"/>
    <x v="284"/>
    <s v="PR-SE 31/2020. CONTRATO CENTRALIZADO DE LIMPIEZA EDIFICIOS MUNICIPALES. AREA 06. ESCUELAS INFANTILES MUNICIPALES.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00"/>
  </r>
  <r>
    <n v="220209000554"/>
    <s v="AD"/>
    <d v="2021-01-02T00:00:00"/>
    <n v="22021000585"/>
    <s v="2021 06 2315 22700"/>
    <n v="6165.6"/>
    <x v="284"/>
    <s v="PR-SE 31/2020. CONTRATO CENTRALIZADO LIMPIEZA EDIFICIOS MUNICIPALES. AREA 6. CENTRO MUNICIPAL DE LA IGUALDAD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00"/>
  </r>
  <r>
    <n v="220209000555"/>
    <s v="AD"/>
    <d v="2021-01-02T00:00:00"/>
    <n v="22021000586"/>
    <s v="2021 06 2314 22700"/>
    <n v="55569.06"/>
    <x v="284"/>
    <s v="PR-SE 31/2020. CONTRATO CENTRALIZADO DE LIMPIEZA EDIFICIOS MUNICIPALES. AREA 06. ESPACIOS JOVENES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00"/>
  </r>
  <r>
    <n v="220209000562"/>
    <s v="AD"/>
    <d v="2021-01-02T00:00:00"/>
    <n v="22021000592"/>
    <s v="2021 06 3321 22700"/>
    <n v="16679.509999999998"/>
    <x v="284"/>
    <s v="PR-SE 31/2020. CONTRATO CENTRALIZADO DE LIMPIEZA EDIFICIOS MUNICIPALES. AREA 06.BIBLIOTECAS PUBLICAS MUNICIPALES.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700"/>
  </r>
  <r>
    <n v="220209000604"/>
    <s v="AD"/>
    <d v="2021-01-02T00:00:00"/>
    <n v="22021000622"/>
    <s v="2021 05 4331 22100"/>
    <n v="25000"/>
    <x v="299"/>
    <s v="Contrato de suministro de energia eléctica - Tramitación Centralizada. Agencia de Innovación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100"/>
  </r>
  <r>
    <n v="220209000605"/>
    <s v="AD"/>
    <d v="2021-01-02T00:00:00"/>
    <n v="22021000623"/>
    <s v="2021 05 4331 22100"/>
    <n v="25000"/>
    <x v="299"/>
    <s v="Ampliación de contrato de Suministro de Electricidad por ampliacion de edificio de Agencia de Innovación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100"/>
  </r>
  <r>
    <n v="220209000606"/>
    <s v="AD"/>
    <d v="2021-01-02T00:00:00"/>
    <n v="22021000624"/>
    <s v="2021 02 9332 22100"/>
    <n v="180000"/>
    <x v="299"/>
    <s v="PRIMERA PRÓRROGA CONTRATO SUMINISTRO ENERGÍA ELÉCTRICA EDIFICIIOS ÁREA 02"/>
    <s v="220"/>
    <s v="BILBAO"/>
    <s v="VIZCAYA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0"/>
  </r>
  <r>
    <n v="220199000766"/>
    <s v="AD"/>
    <d v="2021-01-02T00:00:00"/>
    <n v="22021000178"/>
    <s v="2021 10 2312 22799"/>
    <n v="115082.24000000001"/>
    <x v="279"/>
    <s v="CONTRATACION SERVICIO DE COMIDAS EN ESTANCIAS DIURNAS 2020,2021 Y ENE-NOV 2022- LOTE 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199000767"/>
    <s v="AD"/>
    <d v="2021-01-02T00:00:00"/>
    <n v="22021000179"/>
    <s v="2021 10 2312 22799"/>
    <n v="16440.32"/>
    <x v="279"/>
    <s v="CONTRATACION SERVICIO DE ESTANCIAS DIURNAS DEL CPM RONDILLA 2020,2021 Y ENE-NOV 2022- LOTE 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367"/>
    <s v="AD"/>
    <d v="2021-01-02T00:00:00"/>
    <n v="22021000272"/>
    <s v="2021 10 2311 22799"/>
    <n v="1258400"/>
    <x v="279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0517"/>
    <s v="AD"/>
    <d v="2021-01-25T00:00:00"/>
    <n v="22021000769"/>
    <s v="2021 10 2412 22100"/>
    <n v="6000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4001"/>
    <s v="AD"/>
    <d v="2021-02-17T00:00:00"/>
    <n v="22021002688"/>
    <s v="2021 06 2314 213"/>
    <n v="278.61"/>
    <x v="322"/>
    <s v="Mantenimiento y sustitución de teléfono en Espacio Joven Zona Sur / 1 DÍA"/>
    <s v="220"/>
    <s v="MADRID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1"/>
    <s v="213"/>
  </r>
  <r>
    <n v="220210008473"/>
    <s v="ADO"/>
    <d v="2021-03-11T00:00:00"/>
    <n v="22021003240"/>
    <s v="2021 04 9202 22607"/>
    <n v="287.39999999999998"/>
    <x v="372"/>
    <s v="Utilización de Instalaciones Deportivas Mpales para Pruebas Físicas de Oficiales de la Policia Mpal / DIA: 05-02-21 /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7167"/>
    <s v="AD"/>
    <d v="2021-03-08T00:00:00"/>
    <n v="22021002766"/>
    <s v="2021 01 9206 22001"/>
    <n v="295.36"/>
    <x v="373"/>
    <s v="SUSCRIPCIÓN ANUAL ARCHIVO MUNICIPAL A REVISTA &quot;&quot;DERECHO URBANÍSTICO Y MEDIO AMBIENTE&quot;&quot;, DE 01/01/2021 A 31/12/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13185"/>
    <s v="AD"/>
    <d v="2021-03-31T00:00:00"/>
    <n v="22021003716"/>
    <s v="2021 11 3111 214"/>
    <n v="300"/>
    <x v="374"/>
    <s v="LAVADO DE VEHICULOS DEL SERVICIO SALUD PUBLICA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00499"/>
    <s v="AD"/>
    <d v="2021-01-25T00:00:00"/>
    <n v="22021001283"/>
    <s v="2021 07 1711 214"/>
    <n v="300"/>
    <x v="375"/>
    <s v="LAVADO DE VEHICULO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0517"/>
    <s v="AD"/>
    <d v="2021-01-25T00:00:00"/>
    <n v="22021000768"/>
    <s v="2021 10 2412 22100"/>
    <n v="2625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09000791"/>
    <s v="AD"/>
    <d v="2021-01-02T00:00:00"/>
    <n v="22021000506"/>
    <s v="2021 03 9241 22701"/>
    <n v="85474.3"/>
    <x v="376"/>
    <s v="CELADURIA OTROS CENTROS DEPENDIENTES DE P. CIUDADANA LOTE 4 2021 2022"/>
    <s v="220"/>
    <s v="EL PINAR DE ANTEQUERA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02866"/>
    <s v="AD"/>
    <d v="2021-02-11T00:00:00"/>
    <n v="22021002492"/>
    <s v="2021 06 2315 22611"/>
    <n v="300"/>
    <x v="377"/>
    <s v="Taller cuentacuentos &quot;&quot;¿Me cambias un cuento?&quot;&quot;en  el Centro Municipal de la Igualdad en el mes de noviembre -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0517"/>
    <s v="AD"/>
    <d v="2021-01-25T00:00:00"/>
    <n v="22021000767"/>
    <s v="2021 10 2412 22100"/>
    <n v="2625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17"/>
    <s v="AD"/>
    <d v="2021-01-25T00:00:00"/>
    <n v="22021000770"/>
    <s v="2021 10 2412 22100"/>
    <n v="2250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22"/>
    <s v="AD/"/>
    <d v="2021-01-25T00:00:00"/>
    <n v="22021000605"/>
    <s v="2021 10 2412 22100"/>
    <n v="-13500"/>
    <x v="299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24"/>
    <s v="AD"/>
    <d v="2021-01-25T00:00:00"/>
    <n v="22021001878"/>
    <s v="2021 05 4314 22100"/>
    <n v="9000"/>
    <x v="299"/>
    <s v="PRORROGA DEL CONTRATO DE SUMINISTRO DE ENERGIA ELECTRICA PARA DEPENDENCIAS MUNICIPALES Y OTRAS ENTIDADES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14"/>
    <s v="4314. Fomento del comercio"/>
    <s v="22"/>
    <s v="22100"/>
  </r>
  <r>
    <n v="220210007186"/>
    <s v="AD"/>
    <d v="2021-03-08T00:00:00"/>
    <n v="22021002645"/>
    <s v="2021 10 2311 22100"/>
    <n v="14000"/>
    <x v="299"/>
    <s v="ampliación contrato suministro energ.electrica Centro Integrado-año 2021-COVID-19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10006563"/>
    <s v="AD"/>
    <d v="2021-03-01T00:00:00"/>
    <n v="22021003023"/>
    <s v="2021 10 2412 22110"/>
    <n v="3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690"/>
    <s v="AD"/>
    <d v="2021-01-02T00:00:00"/>
    <n v="22021000435"/>
    <s v="2021 02 9332 22700"/>
    <n v="52213.98"/>
    <x v="283"/>
    <s v="ADJ. (LOTE 2) SERVICIO LIMPIEZA DE DEPENDENCIAS MUNICIPALES ARCHIVO, EDIF.SALUD LAB.C.MÉDICO FLORES,  AÑOS 2021 Y 2022"/>
    <s v="220"/>
    <s v="LOGROÑO"/>
    <s v="LA RIOJA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700"/>
  </r>
  <r>
    <n v="220210006563"/>
    <s v="AD"/>
    <d v="2021-03-01T00:00:00"/>
    <n v="22021003026"/>
    <s v="2021 10 2412 22110"/>
    <n v="3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10007121"/>
    <s v="AD"/>
    <d v="2021-03-05T00:00:00"/>
    <n v="22021003183"/>
    <s v="2021 10 2412 22001"/>
    <n v="301.2"/>
    <x v="378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001"/>
  </r>
  <r>
    <n v="220210007123"/>
    <s v="AD"/>
    <d v="2021-03-05T00:00:00"/>
    <n v="22021003193"/>
    <s v="2021 10 2312 22617"/>
    <n v="302.5"/>
    <x v="379"/>
    <s v="3 SEÑALES DE ACCESIBILIDAD, PARA SALA DE CONVIVENCIA,  SALA REUNIONES Y  EN SALA Nº 4 DEL CPM VICTORIA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7"/>
  </r>
  <r>
    <n v="220210008417"/>
    <s v="AD"/>
    <d v="2021-03-11T00:00:00"/>
    <n v="22021002878"/>
    <s v="2021 11 3111 22199"/>
    <n v="302.74"/>
    <x v="380"/>
    <s v="SUMINISTRO 74 TARJETAS PVC - CARNET CONTROL POBLACIONES FELINAS-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0495"/>
    <s v="AD"/>
    <d v="2021-01-25T00:00:00"/>
    <n v="22021001278"/>
    <s v="2021 07 1711 22799"/>
    <n v="1000"/>
    <x v="263"/>
    <s v="MANTENIMIENTO SISTEMA SEGURIDAD NAVES DE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0491"/>
    <s v="AD"/>
    <d v="2021-01-25T00:00:00"/>
    <n v="22021001242"/>
    <s v="2021 10 2312 22617"/>
    <n v="338.8"/>
    <x v="379"/>
    <s v="MEJORAS EN LA ACESIBILIDAD INTEGRAL DEL CPM VICTORIA,  SE HAN PUESTO  SEÑALES  CON MEDIDAS ESPECIALE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7"/>
  </r>
  <r>
    <n v="220210008408"/>
    <s v="AD"/>
    <d v="2021-03-11T00:00:00"/>
    <n v="22021003259"/>
    <s v="2021 01 9203 214"/>
    <n v="342.65"/>
    <x v="381"/>
    <s v="REPARACION VEHICULO OFICIAL RENAULT LAGUNA 0908 GKZ, UNIDAD DE RÉGIMEN INTERIOR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4"/>
  </r>
  <r>
    <n v="220210000487"/>
    <s v="AD"/>
    <d v="2021-01-25T00:00:00"/>
    <n v="22021001233"/>
    <s v="2021 07 1711 22199"/>
    <n v="350"/>
    <x v="382"/>
    <s v="SUMINISTRO DE MATERIAL INFORMATICO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6964"/>
    <s v="AD"/>
    <d v="2021-03-04T00:00:00"/>
    <n v="22021002015"/>
    <s v="2021 10 2311 22200"/>
    <n v="350"/>
    <x v="322"/>
    <s v="Ampliación contrato consumo para 10 terminales durante el 2021. COVID-19"/>
    <s v="220"/>
    <s v="MADRID"/>
    <s v="MADR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200"/>
  </r>
  <r>
    <n v="220210012793"/>
    <s v="AD"/>
    <d v="2021-03-25T00:00:00"/>
    <n v="22021003512"/>
    <s v="2021 06 2315 22611"/>
    <n v="350.9"/>
    <x v="383"/>
    <s v="Taller urbanismo con perspectiva de género en Centro Municipal de la Igualdad 2021 en abril y mayo / 2 MESE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1383"/>
    <s v="AD"/>
    <d v="2021-02-01T00:00:00"/>
    <n v="22021002086"/>
    <s v="2021 07 1721 213"/>
    <n v="1000"/>
    <x v="263"/>
    <s v="MANTENIMIENTO DEL SISTEMA DE SEGURIDAD DEL CENTRO MUNICIPAL DE ACÚSTIC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0195"/>
    <s v="AD"/>
    <d v="2021-01-20T00:00:00"/>
    <n v="22021000637"/>
    <s v="2021 10 2311 22700"/>
    <n v="356.95"/>
    <x v="384"/>
    <s v="Limpieza Local de calle Pato 3 para puesta a disp. de equipo de intervención familiar y de dos trabajadoras sociales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00"/>
  </r>
  <r>
    <n v="220209000229"/>
    <s v="AD"/>
    <d v="2021-01-02T00:00:00"/>
    <n v="22021000244"/>
    <s v="2021 07 1701 22706"/>
    <n v="48380"/>
    <x v="385"/>
    <s v="CONTRATO SERVICIOS DESARROLLO PROGRAMAS DE EDUCACION AMBIENTAL.. LOTE 1. COORD. Y DES. RED HUERTOS URBANOS. V.25/2019."/>
    <s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06"/>
  </r>
  <r>
    <n v="220210003654"/>
    <s v="AD"/>
    <d v="2021-02-16T00:00:00"/>
    <n v="22021002648"/>
    <s v="2021 11 1361 22199"/>
    <n v="363"/>
    <x v="386"/>
    <s v="Contenedor para retirada de material desuso; Servicio de Extinción de Incendios, Salvamento y Protección Civil."/>
    <s v="220"/>
    <s v="TORDESILLAS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17"/>
    <s v="AD"/>
    <d v="2021-03-05T00:00:00"/>
    <n v="22021003143"/>
    <s v="2021 07 1721 213"/>
    <n v="381.49"/>
    <x v="387"/>
    <s v="MANTENIMIENTO DE LA DESINFECTADORA DEL LABORATORIO DE LA RCCVA. SERVICIO MEDIO AMBIENTE"/>
    <s v="220"/>
    <s v="SALAMANCA"/>
    <s v="SALAMANC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8472"/>
    <s v="ADO"/>
    <d v="2021-03-11T00:00:00"/>
    <n v="22021003239"/>
    <s v="2021 04 9202 22607"/>
    <n v="387.4"/>
    <x v="388"/>
    <s v="A.E. USO ESPACIOS F. ECONÓMICAS- AULARIO ESGUEVA // OPOSICIÓN AYTO // PERSONAL Y LIMPIEZA // DIA: 01-02-2021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377"/>
    <s v="AD"/>
    <d v="2021-02-01T00:00:00"/>
    <n v="22021002081"/>
    <s v="2021 05 4331 22799"/>
    <n v="394.46"/>
    <x v="380"/>
    <s v="EMISION DISTINTIVOS DE VEHICULO ELECTRICO, CATEGORIA VELID,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10002883"/>
    <s v="AD"/>
    <d v="2021-02-11T00:00:00"/>
    <n v="22021002529"/>
    <s v="2021 11 1321 213"/>
    <n v="398.8"/>
    <x v="282"/>
    <s v="INSTALACIÓN PROTERO AUTOMÁTICO PUERTA TRASERA DEPENDENCIAS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71"/>
    <s v="AD"/>
    <d v="2021-03-31T00:00:00"/>
    <n v="22021003577"/>
    <s v="2021 06 2315 22799"/>
    <n v="400"/>
    <x v="389"/>
    <s v="Asistencia a la mesa redonda &quot;&quot;Las Leonas de Castilla&quot;&quot; el día 12/03/2021 por día internacional de la mujer / 1 DÍA"/>
    <s v="220"/>
    <s v="VALLADOLID"/>
    <s v="VALLADOLID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2694"/>
    <s v="AD"/>
    <d v="2021-03-25T00:00:00"/>
    <n v="22021003476"/>
    <s v="2021 11 1361 22104"/>
    <n v="401.72"/>
    <x v="390"/>
    <s v="Casco específico para un bombero, por circunstancias especiales; SEISYPC."/>
    <s v="220"/>
    <s v="CAMPO REAL"/>
    <s v="MADR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04"/>
  </r>
  <r>
    <n v="220209000151"/>
    <s v="AD"/>
    <d v="2021-01-02T00:00:00"/>
    <n v="22021000221"/>
    <s v="2021 05 4331 22799"/>
    <n v="5400"/>
    <x v="26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881"/>
    <s v="AD"/>
    <d v="2021-02-11T00:00:00"/>
    <n v="22021002392"/>
    <s v="2021 11 1321 213"/>
    <n v="1000"/>
    <x v="263"/>
    <s v="ACCIONES CORRECTIVAS EQUIPOS ELECTRÓNICOS SEGURIDAD Y VIGILANCIA DEPENDENCIAS POLICÍA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0515"/>
    <s v="AD"/>
    <d v="2021-01-25T00:00:00"/>
    <n v="22021001702"/>
    <s v="2021 03 9241 213"/>
    <n v="405.35"/>
    <x v="272"/>
    <s v="INSPECCIÓN PERIÓDICA DE BAJA TENSIÓN DE  CENTROS DEPENDIENTES DEL SPC (JL MOSQUERA, CASA CUNA, JM LUELMO Y PARQUESOL)"/>
    <s v="22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2885"/>
    <s v="AD"/>
    <d v="2021-02-11T00:00:00"/>
    <n v="22021002152"/>
    <s v="2021 05 4331 22799"/>
    <n v="5400"/>
    <x v="267"/>
    <s v="1 CONVOCATORIA CONTRATO BASADO EN ACUERDO MARCO SERVICIOS CESIÓN DE DTOS DE USO DE VEHÍCULOS ELÉC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10676"/>
    <s v="AD"/>
    <d v="2021-03-23T00:00:00"/>
    <n v="22021003570"/>
    <s v="2021 11 3111 22106"/>
    <n v="428.04"/>
    <x v="391"/>
    <s v="CONTENEDORES HIGIÉNICOS DE LOS EDIFICIOS DE CASA DEL BARCO. 2021"/>
    <s v="220"/>
    <s v="SAN FERNANDO DE HENARES"/>
    <s v="MADR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09000783"/>
    <s v="AD"/>
    <d v="2021-01-02T00:00:00"/>
    <n v="22021002466"/>
    <s v="2021 05 4331 22799"/>
    <n v="10785.09"/>
    <x v="392"/>
    <s v="LOTE 7: Contratación 2020 Serv. de formación y acompañamiento para el emprendimiento CREA y la empleabilidad REINNOVATE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533"/>
    <s v="AD"/>
    <d v="2021-01-02T00:00:00"/>
    <n v="22021000568"/>
    <s v="2021 11 3111 22103"/>
    <n v="2700"/>
    <x v="252"/>
    <s v="CONTRATO DE SUMINISTRO DE GASOLEO PARA LOS VEHÍCULOS DEL SERVICIO DE SALUD DURANTE LOS AÑOS 2021 Y 2022 - LOTE 4"/>
    <s v="220"/>
    <s v="MADRID"/>
    <s v="MADRID"/>
    <x v="1"/>
    <s v="PrAbier - Procedimiento Abierto"/>
    <s v="UniC - Único Criterio"/>
    <x v="1"/>
    <x v="0"/>
    <s v="2"/>
    <s v="2. Gastos corrientes en bienes y servicios"/>
    <s v="11"/>
    <x v="5"/>
    <s v="3111"/>
    <s v="3111. Protección de la salubridad pública"/>
    <s v="22"/>
    <s v="22103"/>
  </r>
  <r>
    <n v="220210002852"/>
    <s v="AD"/>
    <d v="2021-02-11T00:00:00"/>
    <n v="22021002252"/>
    <s v="2021 10 2311 22699"/>
    <n v="431.97"/>
    <x v="300"/>
    <s v="RESMA CARTULINA &quot;&quot;SUPRA AMARILLA&quot;&quot; CARPETAS HISTORIA SOCIAL&quot;&quot; DIVERSOS CEAS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0505"/>
    <s v="AD"/>
    <d v="2021-01-25T00:00:00"/>
    <n v="22021001678"/>
    <s v="2021 03 9241 22609"/>
    <n v="440"/>
    <x v="393"/>
    <s v="ACTUACIÓN EN CC ZONA SUR ENERO 2021"/>
    <s v="220"/>
    <s v="VALDESTILLA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7178"/>
    <s v="AD"/>
    <d v="2021-03-08T00:00:00"/>
    <n v="22021003247"/>
    <s v="2021 03 9241 22609"/>
    <n v="440"/>
    <x v="394"/>
    <s v="ACTUACIÓN EN CC PILARICA DÍA 04/01/2021. PROGRAMA MFS NAVIDAD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6013"/>
    <s v="AD"/>
    <d v="2021-02-24T00:00:00"/>
    <n v="22021002968"/>
    <s v="2021 03 9241 22609"/>
    <n v="440"/>
    <x v="395"/>
    <s v="ACTUACIÓN EN CC JOSÉ MARÍA LUELMO EL DÍA 4 ENERO 2021"/>
    <s v="220"/>
    <s v="MANZANILL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5267"/>
    <s v="AD"/>
    <d v="2021-02-22T00:00:00"/>
    <n v="22021002919"/>
    <s v="2021 06 3321 22001"/>
    <n v="458.1"/>
    <x v="396"/>
    <s v="SUSCRIPCIÓN A VARIAS REVISTAS PARA LAS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271"/>
    <s v="AD"/>
    <d v="2021-01-02T00:00:00"/>
    <n v="22021000253"/>
    <s v="2021 05 4331 22799"/>
    <n v="471.9"/>
    <x v="397"/>
    <s v="CÓDIGO PROYECTO: 2018/3/2411/2/1. SERVICIO DE AUDITORÍA Y CONTROL EXTERNO DEL PROYECTO EUROPEO &quot;&quot;PGI05173, PE4TRANS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0207"/>
    <s v="AD"/>
    <d v="2021-01-20T00:00:00"/>
    <n v="22021000952"/>
    <s v="2021 03 9241 22602"/>
    <n v="1512.5"/>
    <x v="398"/>
    <s v="PUBLICIDAD EN RADIO MARCA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2696"/>
    <s v="AD"/>
    <d v="2021-02-10T00:00:00"/>
    <n v="22021002186"/>
    <s v="2021 05 4331 22799"/>
    <n v="471.9"/>
    <x v="397"/>
    <s v="2018/3/2411/1/1 - Contratacion servicios auditoría y control externo de los proyectos europeos CIUDADES_CENCYL Y P4TRANS"/>
    <s v="220"/>
    <s v="VALLADOLID"/>
    <s v="VALLADOLID"/>
    <x v="0"/>
    <s v="PrAbier - Procedimiento Abierto"/>
    <s v="UniC - Único Criterio"/>
    <x v="1"/>
    <x v="0"/>
    <s v="2"/>
    <s v="2. Gastos corrientes en bienes y servicios"/>
    <s v="05"/>
    <x v="6"/>
    <s v="4331"/>
    <s v="4331. Desarrollo empresarial"/>
    <s v="22"/>
    <s v="22799"/>
  </r>
  <r>
    <n v="220210002697"/>
    <s v="AD"/>
    <d v="2021-02-10T00:00:00"/>
    <n v="22021002187"/>
    <s v="2021 05 4331 22799"/>
    <n v="471.9"/>
    <x v="397"/>
    <s v="2018/2/2411/2/1 - Contratacion de servicios de auditoría y control externo de los proyectos europeos CENCYL+ y P4TRANS"/>
    <s v="220"/>
    <s v="VALLADOLID"/>
    <s v="VALLADOLID"/>
    <x v="0"/>
    <s v="PrAbier - Procedimiento Abierto"/>
    <s v="UniC - Único Criterio"/>
    <x v="1"/>
    <x v="0"/>
    <s v="2"/>
    <s v="2. Gastos corrientes en bienes y servicios"/>
    <s v="05"/>
    <x v="6"/>
    <s v="4331"/>
    <s v="4331. Desarrollo empresarial"/>
    <s v="22"/>
    <s v="22799"/>
  </r>
  <r>
    <n v="220210002402"/>
    <s v="AD"/>
    <d v="2021-02-08T00:00:00"/>
    <n v="22021002183"/>
    <s v="2021 03 9241 22609"/>
    <n v="484"/>
    <x v="399"/>
    <s v="ACTUACIÓN DIA 03/01/2021 EN CIC CONDE ANSÚR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1392"/>
    <s v="AD"/>
    <d v="2021-02-01T00:00:00"/>
    <n v="22021002180"/>
    <s v="2021 11 1321 213"/>
    <n v="484"/>
    <x v="400"/>
    <s v="REVISIÓN ANUAL DE MAQUINARIA DEL TALLER DE REPARACIONES DE VEHÍCULOS DE POLICÍA MUNICIPAL."/>
    <s v="220"/>
    <s v="VILLAMARTIN DE CAMPOS"/>
    <s v="PALENCI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7184"/>
    <s v="AD"/>
    <d v="2021-03-08T00:00:00"/>
    <n v="22021003299"/>
    <s v="2021 11 1361 22199"/>
    <n v="485.21"/>
    <x v="401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10643"/>
    <s v="AD"/>
    <d v="2021-03-23T00:00:00"/>
    <n v="22021003532"/>
    <s v="2021 11 1361 22199"/>
    <n v="490.05"/>
    <x v="401"/>
    <s v="Carnets corporativos, números en vinilo personalizados, escudos y textos para termosellar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206"/>
    <s v="AD"/>
    <d v="2021-01-20T00:00:00"/>
    <n v="22021000951"/>
    <s v="2021 03 9241 22602"/>
    <n v="907.5"/>
    <x v="402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6036"/>
    <s v="AD"/>
    <d v="2021-02-24T00:00:00"/>
    <n v="22021002993"/>
    <s v="2021 08 1532 210"/>
    <n v="496.1"/>
    <x v="403"/>
    <s v="Suministro de 69 envases de aglomerado sintético de 25 kg.+2 garrafas de emulsión bituminosa estabilizada de 20 L."/>
    <s v="220"/>
    <s v="LERIDA"/>
    <s v="LERID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2893"/>
    <s v="AD"/>
    <d v="2021-03-29T00:00:00"/>
    <n v="22021003686"/>
    <s v="2021 06 3232 22799"/>
    <n v="497.27"/>
    <x v="404"/>
    <s v="REVISION Y EMISION DE CERTIFICADO DE LAS LINEAS DE VIDA UBICADAS EN EL COLEGIO DE EDUCACION ESPECIAL UBICADO EN COVARES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10001384"/>
    <s v="AD"/>
    <d v="2021-02-01T00:00:00"/>
    <n v="22021002092"/>
    <s v="2021 07 1721 214"/>
    <n v="500"/>
    <x v="374"/>
    <s v="SERVICIO DE LAVADO DE LOS COCHES DEL SERVICIO DE MEDIO AMBIENTE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4"/>
  </r>
  <r>
    <n v="220209000736"/>
    <s v="AD"/>
    <d v="2021-01-02T00:00:00"/>
    <n v="22021000468"/>
    <s v="2021 08 1651 213"/>
    <n v="28239.81"/>
    <x v="405"/>
    <s v="Prórroga Contrato Suministro Lámparas (LOTE 2) del 01.01.2021 a 10.08.2021.Fusión por absorción de la empresa HISPANOFIL"/>
    <s v="220"/>
    <s v="LEGANES"/>
    <s v="MADRID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10007185"/>
    <s v="AD"/>
    <d v="2021-03-08T00:00:00"/>
    <n v="22021003357"/>
    <s v="2021 06 3231 212"/>
    <n v="500"/>
    <x v="270"/>
    <s v="SUMINISTRO DE PINTURA AL CENTRO DE MANTENIMIENTO PARA LAS NECESIDADES QUE APAREZCAN EN LAS ESCUELAS INFANTILES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2"/>
  </r>
  <r>
    <n v="220210002601"/>
    <s v="AD"/>
    <d v="2021-02-09T00:00:00"/>
    <n v="22021002182"/>
    <s v="2021 11 3111 213"/>
    <n v="500"/>
    <x v="406"/>
    <s v="MANTENIMIENTO PREVENTIVO Y CORRECTIVO PLACAS SOLARES Y CALDERA BIOMASA CMPA"/>
    <s v="220"/>
    <s v="BOECILLO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7103"/>
    <s v="AD"/>
    <d v="2021-03-05T00:00:00"/>
    <n v="22021003110"/>
    <s v="2021 11 1321 22699"/>
    <n v="500"/>
    <x v="300"/>
    <s v="ADQUISICIÓN DE PAPEL PARA LA IMPRENTA DESTINADO A LA ELABORACIÓN DE FORMULARIOS PARA LA POLICÍA MUNICIPAL-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408"/>
    <s v="ADO"/>
    <d v="2021-01-21T00:00:00"/>
    <n v="22021001260"/>
    <s v="2021 04 9341 22699"/>
    <n v="513.99"/>
    <x v="407"/>
    <s v="Facturación Mes de Diciembre de 2020- Comisión s/las Vtas de 302.346,38 euros/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210000502"/>
    <s v="AD"/>
    <d v="2021-01-25T00:00:00"/>
    <n v="22021001674"/>
    <s v="2021 03 9241 212"/>
    <n v="532.4"/>
    <x v="408"/>
    <s v="REPARACIÓN PUERTA ACCESO PLANTA SÓTANO CC JOSÉ LUIS MOSQUERA (SPC 88/2020)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456"/>
    <s v="ADO"/>
    <d v="2021-02-08T00:00:00"/>
    <n v="22021002226"/>
    <s v="2021 10 2312 216"/>
    <n v="533.20000000000005"/>
    <x v="409"/>
    <s v="SERVICIO DE MANTENIMIENTO  EQUIPOS INFORMATICOS (SESS 12/19)  MES DICIEMBRE2020 DEL CPM FRAY LUIS, ARCA, Z.ESTE Y HUERTA"/>
    <s v="24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6"/>
  </r>
  <r>
    <n v="220210000197"/>
    <s v="AD"/>
    <d v="2021-01-20T00:00:00"/>
    <n v="22021000673"/>
    <s v="2021 09 3341 22199"/>
    <n v="391.87"/>
    <x v="410"/>
    <s v="SUMINISTRO E INSTALACION DE MATERIAL PARA LOS ASEOS DEL CENTRO GALERIAS VALLADOLID"/>
    <s v="220"/>
    <s v="VALDELAFUENTE"/>
    <s v="LEON"/>
    <x v="1"/>
    <s v="PrAbier - Procedimiento Abierto"/>
    <s v="SinC - Sin Criterio"/>
    <x v="2"/>
    <x v="0"/>
    <s v="2"/>
    <s v="2. Gastos corrientes en bienes y servicios"/>
    <s v="09"/>
    <x v="1"/>
    <s v="3341"/>
    <s v="3341. Coordinación de políticas culturales"/>
    <s v="22"/>
    <s v="22199"/>
  </r>
  <r>
    <n v="220210001394"/>
    <s v="AD"/>
    <d v="2021-02-01T00:00:00"/>
    <n v="22021002120"/>
    <s v="2021 06 2315 213"/>
    <n v="14.7"/>
    <x v="410"/>
    <s v="Reparación de Mecanismo inodoro Centro Municipal de Igualdad / 1 día"/>
    <s v="220"/>
    <s v="VALDELAFUENTE"/>
    <s v="LEON"/>
    <x v="0"/>
    <s v="PrAbier - Procedimiento Abierto"/>
    <s v="SinC - Sin Criterio"/>
    <x v="2"/>
    <x v="0"/>
    <s v="2"/>
    <s v="2. Gastos corrientes en bienes y servicios"/>
    <s v="06"/>
    <x v="0"/>
    <s v="2315"/>
    <s v="2315. Políticas de Igualdad e infancia"/>
    <s v="21"/>
    <s v="213"/>
  </r>
  <r>
    <n v="220210013202"/>
    <s v="ADO"/>
    <d v="2021-03-31T00:00:00"/>
    <n v="22021003688"/>
    <s v="2021 09 4321 213"/>
    <n v="115.91"/>
    <x v="410"/>
    <s v="REPARACION URGENTE DE UNA FUGA DE AGUA EN EL ALBERGUE DE PEREGRINOS DE PUENTE DUERO. ENERO 2021"/>
    <s v="240"/>
    <s v="VALDELAFUENTE"/>
    <s v="LEON"/>
    <x v="1"/>
    <s v="PrAbier - Procedimiento Abierto"/>
    <s v="SinC - Sin Criterio"/>
    <x v="2"/>
    <x v="0"/>
    <s v="2"/>
    <s v="2. Gastos corrientes en bienes y servicios"/>
    <s v="09"/>
    <x v="1"/>
    <s v="4321"/>
    <s v="4321. Turismo"/>
    <s v="21"/>
    <s v="213"/>
  </r>
  <r>
    <n v="220210002485"/>
    <s v="D"/>
    <d v="2021-02-08T00:00:00"/>
    <n v="22021002228"/>
    <s v="2021 06 3232 212"/>
    <n v="869.24"/>
    <x v="410"/>
    <s v="SUMINISTROS PARA EL MANTENIMIENTO DE LOS COLEGIOS PÚBLICOS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489"/>
    <s v="D"/>
    <d v="2021-02-08T00:00:00"/>
    <n v="22021002228"/>
    <s v="2021 06 3232 212"/>
    <n v="63"/>
    <x v="410"/>
    <s v="CP IGNACIO MARTIN BARO ////FOMI-MECANISMO UNIVERS TYFON3G 10 /////CP PONCE DE LEON / VALVULA-ENLACE-DF SIFON-.....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984"/>
    <s v="D"/>
    <d v="2021-02-11T00:00:00"/>
    <n v="22021002088"/>
    <s v="2021 03 9241 212"/>
    <n v="742.31"/>
    <x v="410"/>
    <s v="SUMINISTROS PARA EL CC BAILARÍN VICENTE ESCUDERO/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2991"/>
    <s v="D"/>
    <d v="2021-02-11T00:00:00"/>
    <n v="22021002088"/>
    <s v="2021 03 9241 212"/>
    <n v="37.03"/>
    <x v="410"/>
    <s v="FOMI-MECANISMO UNIVERS TYFON3G 10 /// DESTINO: C.C. ESGUEV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80"/>
    <s v="D"/>
    <d v="2021-02-11T00:00:00"/>
    <n v="22021002228"/>
    <s v="2021 06 3232 212"/>
    <n v="963.74"/>
    <x v="410"/>
    <s v="REPUESTOS Y PIEZAS: CP IGNACIO M.B./ CP MIGUEL ISCAR/ ALLUE MOER/ CP FCO QUEVEDO/ CP PABLO PICASSO/ CP FEDERICO Gª LORCA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190"/>
    <s v="D"/>
    <d v="2021-02-12T00:00:00"/>
    <n v="22021001039"/>
    <s v="2021 10 2312 212"/>
    <n v="190.61"/>
    <x v="410"/>
    <s v="MANTENIMIENTO, SUMINISTROS PARA EL MANTENIMIENTO DEL CPM FRAY LUIS DE LEÓN/ CPM ZONA SUR-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192"/>
    <s v="D"/>
    <d v="2021-02-12T00:00:00"/>
    <n v="22021001038"/>
    <s v="2021 10 2312 212"/>
    <n v="19.75"/>
    <x v="410"/>
    <s v="(MANTEN. REPARACION DE  MANGUITO, CODO 90º,GRIFO MANGUERA/LLAVE MINI, ABRAZADERA,TIRAFONDODEL CPM RONDILLA- DURACION1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283"/>
    <s v="D"/>
    <d v="2021-02-12T00:00:00"/>
    <n v="22021002225"/>
    <s v="2021 06 3231 212"/>
    <n v="277.91000000000003"/>
    <x v="410"/>
    <s v="GENEBRE-COLUMNA PRELAVADO 1819 04 (EIM LA COMETA). EN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5225"/>
    <s v="D"/>
    <d v="2021-02-22T00:00:00"/>
    <n v="22021002369"/>
    <s v="2021 02 9332 212"/>
    <n v="220"/>
    <x v="410"/>
    <s v="TERMO COINTRA TNC-50 PLUS SLIM / LATIGUILLO FLEX. HH 1/2 35 / LATIGUILLO FLEX (EDIFICIO SANTA ANA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5245"/>
    <s v="D"/>
    <d v="2021-02-22T00:00:00"/>
    <n v="22021002228"/>
    <s v="2021 06 3232 212"/>
    <n v="574.85"/>
    <x v="410"/>
    <s v="REPUESTOS Y PIEZAS PARA C.P.: VICENTE ALEX.- IGNACION M.B.- MIGUEL D.- LEON F.- PQ ALAMEDA- MACIAS P.- JOSE ZOR.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486"/>
    <s v="D"/>
    <d v="2021-02-23T00:00:00"/>
    <n v="22021001968"/>
    <s v="2021 11 1321 22199"/>
    <n v="47.34"/>
    <x v="410"/>
    <s v="ACUERDO MARCO. SUMINISTRO DE MATERIALES DE FONTANERÍA PARA DEPENDENCIAS POLICÍA MUNICIPAL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07"/>
    <s v="D"/>
    <d v="2021-02-23T00:00:00"/>
    <n v="22021002006"/>
    <s v="2021 11 3111 22199"/>
    <n v="2.89"/>
    <x v="410"/>
    <s v="A.M. V.36/2017 VALVULA ESF.GENEBRE 1/2 (DEPÓSITO CANINO)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49"/>
    <s v="D"/>
    <d v="2021-02-23T00:00:00"/>
    <n v="22021002052"/>
    <s v="2021 11 1621 22199"/>
    <n v="126.77"/>
    <x v="410"/>
    <s v="AC MARCO EXP. V36-2017: MATERIAL FONTANERIA PARA EL Sº DE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3"/>
    <s v="D"/>
    <d v="2021-02-23T00:00:00"/>
    <n v="22021002052"/>
    <s v="2021 11 1621 22199"/>
    <n v="429.28"/>
    <x v="410"/>
    <s v="AC MARCO EXP V36-2017: SUMINISTRO MATERIAL FONTANERIA PARA VESTUARIOS SERVICIO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5"/>
    <s v="D"/>
    <d v="2021-02-23T00:00:00"/>
    <n v="22021002052"/>
    <s v="2021 11 1621 22199"/>
    <n v="423.11"/>
    <x v="410"/>
    <s v="AC MARCO EXP V36-2017: SUMINISTROS PARA EL SERVICIO LIMPIEZA, C/ TOPACIO, JUAN DE AUSTRIA , C/ CADENAS DE SAN GREGOR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71"/>
    <s v="D"/>
    <d v="2021-02-23T00:00:00"/>
    <n v="22021002088"/>
    <s v="2021 03 9241 212"/>
    <n v="638.05999999999995"/>
    <x v="410"/>
    <s v="SUMINISTROS PARA CC JOSE LUIS MOSQUERA/ CC DELICIAS/ CIC CONDE ANSÚREZ/ CC JUAN DE AUSTRIA/ CNTRO INTEGRADO ZONA ESTE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5573"/>
    <s v="D"/>
    <d v="2021-02-23T00:00:00"/>
    <n v="22021002088"/>
    <s v="2021 03 9241 212"/>
    <n v="23"/>
    <x v="410"/>
    <s v="DOSIFICADOR JABON VISION 1,4LT //////    DESTINO:  / CIC CONDE ANSUREZ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020"/>
    <s v="AD"/>
    <d v="2021-02-17T00:00:00"/>
    <n v="22021002502"/>
    <s v="2021 06 2315 213"/>
    <n v="1070.27"/>
    <x v="263"/>
    <s v="Mantenimiento del sistema de seguridad del Centro Municipal de la Igualdad en 2021 - 02/02/2021 a 31/01/2022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5600"/>
    <s v="D"/>
    <d v="2021-02-23T00:00:00"/>
    <n v="22021002056"/>
    <s v="2021 11 1631 22110"/>
    <n v="920.21"/>
    <x v="411"/>
    <s v="AC MARCO EXP. V36-2017: SUMINISTRO BOLSAS PARA REPARTO DE FUNDENTES (S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5602"/>
    <s v="D"/>
    <d v="2021-02-23T00:00:00"/>
    <n v="22021002057"/>
    <s v="2021 11 1631 22199"/>
    <n v="1229.19"/>
    <x v="411"/>
    <s v="AC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20"/>
    <s v="D"/>
    <d v="2021-02-23T00:00:00"/>
    <n v="22021002056"/>
    <s v="2021 11 1631 22110"/>
    <n v="1266.27"/>
    <x v="411"/>
    <s v="AC MARCO EXP. V36-2017: CONJUNTO 6.800 BOLSAS VERDE 60X90 G-400 PARA REPARTO DE SAL DIVERSAS UBICACIONES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5622"/>
    <s v="D"/>
    <d v="2021-02-23T00:00:00"/>
    <n v="22021002057"/>
    <s v="2021 11 1631 22199"/>
    <n v="1054.6099999999999"/>
    <x v="411"/>
    <s v="AC MARCO EXP. V36-2017: SUMINISTROS NECESARIOS PARA L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518"/>
    <s v="D"/>
    <d v="2021-02-26T00:00:00"/>
    <n v="22021002052"/>
    <s v="2021 11 1621 22199"/>
    <n v="246.71"/>
    <x v="411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09000448"/>
    <s v="AD"/>
    <d v="2021-01-02T00:00:00"/>
    <n v="22021000307"/>
    <s v="2021 10 2311 22199"/>
    <n v="550"/>
    <x v="412"/>
    <s v="PRORROGA CTTO SUMINISTRO DE PRODUCTOS DE APOYO A LAS PERSONAS USUARIAS DE SAD HASTA JUNIO 2021"/>
    <s v="220"/>
    <s v="VALLADOLID"/>
    <s v="VALLADOLID"/>
    <x v="1"/>
    <s v="PrAbier - Procedimiento Abierto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09000390"/>
    <s v="AD"/>
    <d v="2021-01-02T00:00:00"/>
    <n v="22021000282"/>
    <s v="2021 10 2412 22103"/>
    <n v="550"/>
    <x v="363"/>
    <s v="PRORROGA CONTRATO SUMINISTRO DE GASOLINA PARA MAQUINARIA DEL CENTRO DE FORMACION JACINTO BENAVENTE DE 1-1 A 31-12-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0407"/>
    <s v="ADO"/>
    <d v="2021-01-21T00:00:00"/>
    <n v="22021001259"/>
    <s v="2021 04 9341 22699"/>
    <n v="555.6"/>
    <x v="407"/>
    <s v="Facturación Noviembre de 2020 // Comisión s/las Ventas de 326.825,11 euros ///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210002410"/>
    <s v="AD"/>
    <d v="2021-02-08T00:00:00"/>
    <n v="22021002315"/>
    <s v="2021 11 1321 214"/>
    <n v="1868.55"/>
    <x v="381"/>
    <s v="REPARACIÓN DE VEHÍCULOS POLICÍA ( 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509"/>
    <s v="D"/>
    <d v="2021-02-26T00:00:00"/>
    <n v="22021002378"/>
    <s v="2021 02 9332 214"/>
    <n v="227.14"/>
    <x v="381"/>
    <s v="ACUERDO MARCO_VA3249T: TAPA TERMOSTATO/ MANGUITO SUPERIOR RADIADOR7  ANTICONGELANTE/ COPELA AMORTIGUADOR/ PASTA JUNTA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8571"/>
    <s v="D"/>
    <d v="2021-03-11T00:00:00"/>
    <n v="22021002228"/>
    <s v="2021 06 3232 212"/>
    <n v="568.4"/>
    <x v="270"/>
    <s v="SUMINISTRO DE MATERIAL DE PINTURA //// DESTINO: EDUCACIÓN"/>
    <s v="30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757"/>
    <s v="AD"/>
    <d v="2021-02-16T00:00:00"/>
    <n v="22021002619"/>
    <s v="2021 11 1621 213"/>
    <n v="580.79999999999995"/>
    <x v="413"/>
    <s v="REVISIÓN JUEGO COLUMNAS ELEVADORAS PARA VEHÍCULOS EN EL TALLER MECÁNICO DEL Sº LIMPIEZA"/>
    <s v="220"/>
    <s v="COSLADA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199000280"/>
    <s v="AD"/>
    <d v="2021-01-02T00:00:00"/>
    <n v="22021000696"/>
    <s v="2021 07 1711 610"/>
    <n v="45375"/>
    <x v="414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06043"/>
    <s v="AD"/>
    <d v="2021-02-24T00:00:00"/>
    <n v="22021002762"/>
    <s v="2021 10 2312 212"/>
    <n v="582.4"/>
    <x v="415"/>
    <s v="JUEGO SOPORTES  EXTENSIBLESY TAPAS   PARA PARED O TECHO PARA PONER LOS STORES DEL CPM RONDILLA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2357"/>
    <s v="AD"/>
    <d v="2021-02-04T00:00:00"/>
    <n v="22021002077"/>
    <s v="2021 02 9332 213"/>
    <n v="592.20000000000005"/>
    <x v="320"/>
    <s v="CONTRATO MANTENIMIENTO INSTALACIONES L3: GRUPOS ELECTROGENOS, PRIMER SEMESTRE 2021"/>
    <s v="220"/>
    <s v="VALLADOLID"/>
    <s v="MADR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1913"/>
    <s v="AD"/>
    <d v="2021-02-04T00:00:00"/>
    <n v="22021002204"/>
    <s v="2021 11 1361 22199"/>
    <n v="595.32000000000005"/>
    <x v="416"/>
    <s v="Líquido para hacer humo para prácticas; Servicio de Extinción de Incendios, Salvamento y Protección Civil."/>
    <s v="220"/>
    <s v="LAGUNA DE DUERO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8406"/>
    <s v="AD"/>
    <d v="2021-03-11T00:00:00"/>
    <n v="22021003358"/>
    <s v="2021 11 1361 22199"/>
    <n v="600"/>
    <x v="417"/>
    <s v="Suministro anual de aditivo Ad_blue para vehículos diesel; SEISYPC."/>
    <s v="220"/>
    <s v="LA CISTERNIGA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413"/>
    <s v="AD"/>
    <d v="2021-02-08T00:00:00"/>
    <n v="22021002347"/>
    <s v="2021 11 1321 213"/>
    <n v="600"/>
    <x v="418"/>
    <s v="MATERIALES AUDIOVISUALES COMPLEMENTARIOS PARA LA ACADEMIA DE POLICÍA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1358"/>
    <s v="AD"/>
    <d v="2021-02-01T00:00:00"/>
    <n v="22021001247"/>
    <s v="2021 11 1631 214"/>
    <n v="600"/>
    <x v="419"/>
    <s v="SUMINISTRO DE REPUESTOS NEUMÁTICOS PARA REPARACION VEHICULOS LIMPIEZA VIARI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6955"/>
    <s v="AD"/>
    <d v="2021-03-04T00:00:00"/>
    <n v="22021003122"/>
    <s v="2021 04 9231 22199"/>
    <n v="604.52"/>
    <x v="420"/>
    <s v="ADQUISICION DE MEDIDORES DE CO2 PARA EL SERV. DE INFORMACION Y ADMINISTRACION ELECTRONICA"/>
    <s v="220"/>
    <s v="BARCELONA"/>
    <s v="BARCELONA"/>
    <x v="1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199"/>
  </r>
  <r>
    <n v="220210002432"/>
    <s v="AD"/>
    <d v="2021-02-08T00:00:00"/>
    <n v="22021002272"/>
    <s v="2021 11 1361 22199"/>
    <n v="605"/>
    <x v="421"/>
    <s v="2 termómetros digitales y diverso material sanitario básico para la reposición de los botiquines ambos parques;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9385"/>
    <s v="AD"/>
    <d v="2021-03-15T00:00:00"/>
    <n v="22021003397"/>
    <s v="2021 11 1361 22199"/>
    <n v="605"/>
    <x v="422"/>
    <s v="Simuladores para prácticas de técnicas de apertura de cierres; SEISYPC."/>
    <s v="220"/>
    <s v="ALDEAMAYOR DE SAN MARTÍN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222"/>
    <s v="AD"/>
    <d v="2021-01-20T00:00:00"/>
    <n v="22021000672"/>
    <s v="2021 04 9204 213"/>
    <n v="895.4"/>
    <x v="423"/>
    <s v="MANTENIMIENTO DE LAS INSTALACIONES DE FONTANERÍA, SANEAMIENTO E INSTALACIÓN SOLAR DEL CDIT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2396"/>
    <s v="AD"/>
    <d v="2021-02-08T00:00:00"/>
    <n v="22021002391"/>
    <s v="2021 08 1651 22199"/>
    <n v="605"/>
    <x v="270"/>
    <s v="Suministro de pinturas de todo tipo, disolventes, herramientas, cintas, señales, etc.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2"/>
    <s v="22199"/>
  </r>
  <r>
    <n v="220210001387"/>
    <s v="AD"/>
    <d v="2021-02-01T00:00:00"/>
    <n v="22021002170"/>
    <s v="2021 11 1621 213"/>
    <n v="3507"/>
    <x v="423"/>
    <s v="CONTRATO MANTENIMIENTO INSTALACIONES DE CLIMATIZACIÓN, CALEFACIÓN Y ACS DEL Sº DE LIMPIEZA EN C/ TOPACIO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4227"/>
    <s v="AD"/>
    <d v="2021-02-18T00:00:00"/>
    <n v="22021002818"/>
    <s v="2021 05 4331 213"/>
    <n v="4239.84"/>
    <x v="423"/>
    <s v="CONTRATO DE MANTENIMIENTO PREVENTIVO Y CORRECTIVO DE LAS INSTALACIONES DE CLIMATIZACIÓN Y DOMÓTICA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4218"/>
    <s v="AD"/>
    <d v="2021-02-18T00:00:00"/>
    <n v="22021002625"/>
    <s v="2021 05 4331 22699"/>
    <n v="605"/>
    <x v="424"/>
    <s v="DESPLAZAMIENTO DEL TOTEM PARA ATENCIÓN AL CIUDADANO, DEL PROYECTO S2CITY, A CAUSA DE LAS OBRAS EN EN EDIFICIO AGENCIA."/>
    <s v="220"/>
    <s v="BARCELONA"/>
    <s v="BARCELONA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10002408"/>
    <s v="AD"/>
    <d v="2021-02-08T00:00:00"/>
    <n v="22021002307"/>
    <s v="2021 11 3111 214"/>
    <n v="606.85"/>
    <x v="289"/>
    <s v="REPARACION VEHICULOS - 1672DMP y 0521BBH -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09596"/>
    <s v="AD"/>
    <d v="2021-03-16T00:00:00"/>
    <n v="22021003420"/>
    <s v="2021 03 9241 22602"/>
    <n v="607.41999999999996"/>
    <x v="358"/>
    <s v="Encuadernación revista &quot;&quot;La cuadrilla en la Valladolid comunera&quot;&quot;, tamaño A5, 7.000 unidade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7168"/>
    <s v="AD"/>
    <d v="2021-03-08T00:00:00"/>
    <n v="22021002768"/>
    <s v="2021 01 9206 22001"/>
    <n v="608"/>
    <x v="425"/>
    <s v="2 SUSCRIPCIONES ANUALES ARCHIVO MUNICIPAL A REVISTA &quot;&quot;TRIBUTOS LOCALES&quot;&quot;, AÑO 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9000320"/>
    <s v="AD"/>
    <d v="2021-01-02T00:00:00"/>
    <n v="22021000266"/>
    <s v="2021 04 9204 22200"/>
    <n v="7199.5"/>
    <x v="426"/>
    <s v="CONEXIÓN REDUNDANTE A INTERNET. LOTE 1, PRÓRROGA"/>
    <s v="220"/>
    <s v="TOLEDO"/>
    <s v="TOLEDO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10000406"/>
    <s v="ADO"/>
    <d v="2021-01-21T00:00:00"/>
    <n v="22021001258"/>
    <s v="2021 04 9341 22699"/>
    <n v="620.30999999999995"/>
    <x v="407"/>
    <s v="Facturación de Octubre de 2020 // Comisión s/las ventas de 364.883,80 euros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199000360"/>
    <s v="AD"/>
    <d v="2021-01-02T00:00:00"/>
    <n v="22021000705"/>
    <s v="2021 08 1341 619"/>
    <n v="116666.68"/>
    <x v="427"/>
    <s v="REAJUSTE ANUALIDADES CONTRATO SEÑALIZACION VIAL LOTE 1"/>
    <s v="220"/>
    <s v="GUARROMAN"/>
    <s v="JAEN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7104"/>
    <s v="AD"/>
    <d v="2021-03-05T00:00:00"/>
    <n v="22021003067"/>
    <s v="2021 01 9203 214"/>
    <n v="657.49"/>
    <x v="381"/>
    <s v="REPARACION VEHÍCULOS UNIDAD DE RÉGIMEN INTERIOR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4"/>
  </r>
  <r>
    <n v="220210000528"/>
    <s v="AD"/>
    <d v="2021-01-25T00:00:00"/>
    <n v="22021000897"/>
    <s v="2021 10 2412 22103"/>
    <n v="666.68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1380"/>
    <s v="AD"/>
    <d v="2021-02-01T00:00:00"/>
    <n v="22021002090"/>
    <s v="2021 05 4331 204"/>
    <n v="676.36"/>
    <x v="326"/>
    <s v="ALQUILER DE BATERIA PARA EL RENAULT TWIZY TECHNIC, MATRICULA 2499HKJ, DURANTE EL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4"/>
  </r>
  <r>
    <n v="220210000204"/>
    <s v="AD"/>
    <d v="2021-01-20T00:00:00"/>
    <n v="22021000949"/>
    <s v="2021 03 9241 22602"/>
    <n v="1815"/>
    <x v="428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41"/>
    <s v="AD"/>
    <d v="2021-01-25T00:00:00"/>
    <n v="22021001187"/>
    <s v="2021 05 4331 22602"/>
    <n v="1500"/>
    <x v="428"/>
    <s v="CAMPAÑA DIFUSION CONVOCATORIA SUBVENCIONES REACTIVA DIGITAL. CONTRATACION INSERCIONES PUBLICITARIAS EN RADIO LOCAL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04225"/>
    <s v="AD"/>
    <d v="2021-02-18T00:00:00"/>
    <n v="22021002821"/>
    <s v="2021 11 1361 213"/>
    <n v="677.6"/>
    <x v="231"/>
    <s v="Fabricación de una pieza mecanizada para la cisterna de prácticas de MMPP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12885"/>
    <s v="AD"/>
    <d v="2021-03-29T00:00:00"/>
    <n v="22021003637"/>
    <s v="2021 10 2311 22199"/>
    <n v="174.24"/>
    <x v="339"/>
    <s v="COMPRA DE BOBINAS SECAMANOS PARA USUARIOS DE PROYECTOS SOCIOEDUCATIVOS. 2021.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09000118"/>
    <s v="AD"/>
    <d v="2021-01-02T00:00:00"/>
    <n v="22021000104"/>
    <s v="2021 05 4331 22799"/>
    <n v="695.19"/>
    <x v="397"/>
    <s v="CÓDIGO PROYECTO: 2019/3/2411/3/1. CONTRATO AUDITORÍA EXTERNA FINAL. EXPDTE. AI-26/2019. PROYECTO CIRCULAR LABS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19"/>
    <s v="AD"/>
    <d v="2021-01-02T00:00:00"/>
    <n v="22021000105"/>
    <s v="2021 05 4331 22799"/>
    <n v="695.19"/>
    <x v="397"/>
    <s v="CÓDIGO PROYECTO: 2019/3/2411/1/1. CONTRATO AUDITORÍA EXTERNA PROY. EUROPEOS. EXPDTE. AI-26/2019. CIUDADES VERDES CENCYL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20"/>
    <s v="AD"/>
    <d v="2021-01-02T00:00:00"/>
    <n v="22021000106"/>
    <s v="2021 05 4331 22799"/>
    <n v="695.19"/>
    <x v="397"/>
    <s v="CÓDIGO PROYECTO: 2019/3/2411/2/1. CONTRATO AUDITORÍA EXTERNA FINAL. PROY. EUROPEOS. EXPDTE.: AI-26/2019. INDNATURE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3987"/>
    <s v="AD"/>
    <d v="2021-02-17T00:00:00"/>
    <n v="22021002533"/>
    <s v="2021 07 1721 214"/>
    <n v="700"/>
    <x v="261"/>
    <s v="TRES REVISIONES DE LOS COCHES DEL SERVICIO DE MEDIO AMBIENTE EN LA CASA OFICIAL TOYOT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4"/>
  </r>
  <r>
    <n v="220210012697"/>
    <s v="AD"/>
    <d v="2021-03-25T00:00:00"/>
    <n v="22021003403"/>
    <s v="2021 11 1361 22199"/>
    <n v="703.37"/>
    <x v="273"/>
    <s v="Dos cubiertas de las ruedas delanteras del vehículo FSV-5, por deterioro, desgaste y envejecimiento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6060"/>
    <s v="AD"/>
    <d v="2021-02-24T00:00:00"/>
    <n v="22021002883"/>
    <s v="2021 06 3321 22001"/>
    <n v="714.7"/>
    <x v="429"/>
    <s v="SUSCRIPCIÓN A VARIAS REVISTAS PARA LAS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761"/>
    <s v="AD"/>
    <d v="2021-01-02T00:00:00"/>
    <n v="22021000485"/>
    <s v="2021 10 2311 22799"/>
    <n v="720.1"/>
    <x v="379"/>
    <s v="CONTRATO DE MANTENIMIENTO DE ZONAS VERDES EN COMEDOR SOCIAL-CAI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8431"/>
    <s v="AD"/>
    <d v="2021-03-11T00:00:00"/>
    <n v="22021003355"/>
    <s v="2021 02 9332 212"/>
    <n v="721.16"/>
    <x v="430"/>
    <s v="LIJADO Y BARNIZADO PARQUET DESPACHO PORTAVOZ GRUPO MUNICIPAL PSOE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00870"/>
    <s v="ADO"/>
    <d v="2021-01-26T00:00:00"/>
    <n v="22021001416"/>
    <s v="2021 06 3232 22700"/>
    <n v="731.75"/>
    <x v="284"/>
    <s v="SERVICIO DE LIMPIEZA DE PEGAMENTO EN LA ENTRADA DEL CEIP SAN FERNANDO // REALIZADO EL DÍA 23/12/2020"/>
    <s v="24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210006960"/>
    <s v="AD"/>
    <d v="2021-03-04T00:00:00"/>
    <n v="22021003154"/>
    <s v="2021 03 9241 22700"/>
    <n v="743.18"/>
    <x v="213"/>
    <s v="LIMPIEZA EXTERIOR: PODAS, PLANTACIÓN... EN CM CONDE ANSÚREZ, PINAR ANTEQUERA Y PUENTE DUERO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00528"/>
    <s v="AD"/>
    <d v="2021-01-25T00:00:00"/>
    <n v="22021000894"/>
    <s v="2021 10 2412 22103"/>
    <n v="777.77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849"/>
    <s v="AD"/>
    <d v="2021-01-02T00:00:00"/>
    <n v="22021001427"/>
    <s v="2021 04 9321 641"/>
    <n v="115095.2"/>
    <x v="424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4"/>
    <x v="0"/>
    <s v="6"/>
    <s v="6. Inversiones reales"/>
    <s v="04"/>
    <x v="3"/>
    <s v="9321"/>
    <s v="9321. Gestión de ingresos e inspección"/>
    <s v="64"/>
    <s v="641"/>
  </r>
  <r>
    <n v="220210000528"/>
    <s v="AD"/>
    <d v="2021-01-25T00:00:00"/>
    <n v="22021000895"/>
    <s v="2021 10 2412 22103"/>
    <n v="777.78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747"/>
    <s v="AD"/>
    <d v="2021-01-02T00:00:00"/>
    <n v="22021000472"/>
    <s v="2021 06 3232 213"/>
    <n v="389.3"/>
    <x v="431"/>
    <s v="CTTO MANTENIMIENTO ASCENSORES COLEGIOS MUNICIPALES 2021 Y 2022 LOTE 4 INSPECCION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49"/>
    <s v="AD"/>
    <d v="2021-01-02T00:00:00"/>
    <n v="22021000474"/>
    <s v="2021 06 3261 213"/>
    <n v="0.01"/>
    <x v="431"/>
    <s v="CTTO MANTENIMIENTO ASCENSORES EM MUSICA MARIANO DE LAS HERAS 2022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751"/>
    <s v="AD"/>
    <d v="2021-01-02T00:00:00"/>
    <n v="22021000476"/>
    <s v="2021 06 3231 213"/>
    <n v="64.88"/>
    <x v="431"/>
    <s v="CTTO MANTENIMIENTO ASCENSORES EIM LA COMETA 2021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31"/>
    <s v="3231. Escuelas infantiles"/>
    <s v="21"/>
    <s v="213"/>
  </r>
  <r>
    <n v="220209000754"/>
    <s v="AD"/>
    <d v="2021-01-02T00:00:00"/>
    <n v="22021000479"/>
    <s v="2021 06 2314 213"/>
    <n v="64.88"/>
    <x v="431"/>
    <s v="CTTO MANTENIMIENTO ASCENSORES ESPACIO JOVEN NORTE Y SUR 2021 Y 2022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09000756"/>
    <s v="AD"/>
    <d v="2021-01-02T00:00:00"/>
    <n v="22021000481"/>
    <s v="2021 02 9332 213"/>
    <n v="324.41000000000003"/>
    <x v="431"/>
    <s v="ADJ. EXPTE. INSPECCIÓN TÉCNICA ASCENSORES URBANISMO (OCAS) LOTE 4"/>
    <s v="220"/>
    <s v="TRES CANTOS"/>
    <s v="MADR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6563"/>
    <s v="AD"/>
    <d v="2021-03-01T00:00:00"/>
    <n v="22021003024"/>
    <s v="2021 10 2412 22110"/>
    <n v="8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784"/>
    <s v="AD"/>
    <d v="2021-01-02T00:00:00"/>
    <n v="22021000500"/>
    <s v="2021 03 9241 22701"/>
    <n v="23388.75"/>
    <x v="432"/>
    <s v="AMPLIACIÓN CONTRATO CELADURIA LOTE 1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09000785"/>
    <s v="AD"/>
    <d v="2021-01-02T00:00:00"/>
    <n v="22021000501"/>
    <s v="2021 03 9241 22701"/>
    <n v="4865.55"/>
    <x v="432"/>
    <s v="AMPLIACIÓN CONTRATO CELADURIA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01030"/>
    <s v="AD"/>
    <d v="2021-01-27T00:00:00"/>
    <n v="22021001930"/>
    <s v="2021 11 1321 22699"/>
    <n v="816.67"/>
    <x v="433"/>
    <s v="ADQUISICIÓN DE ROPA DEPORTIVA PARA EL EQUIPO DE ATLETISMO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09000790"/>
    <s v="AD"/>
    <d v="2021-01-02T00:00:00"/>
    <n v="22021000505"/>
    <s v="2021 03 9241 22701"/>
    <n v="217343.65"/>
    <x v="434"/>
    <s v="CELADURIA CENTROS CIVICOS LOTE 3 2021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12883"/>
    <s v="AD"/>
    <d v="2021-03-29T00:00:00"/>
    <n v="22021003666"/>
    <s v="2021 11 1361 22199"/>
    <n v="818.02"/>
    <x v="435"/>
    <s v="Bifurcaciones gama roja de 70/45/45 (6 unid) y 45/25/25 (3 unid); SEISYPC."/>
    <s v="220"/>
    <s v="VITORIA"/>
    <s v="ALAVA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1376"/>
    <s v="AD"/>
    <d v="2021-02-01T00:00:00"/>
    <n v="22021001881"/>
    <s v="2021 11 1361 22199"/>
    <n v="847"/>
    <x v="436"/>
    <s v="Reparaciones de diversos materiales en el zapatero BROCHE DE ORO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09000106"/>
    <s v="AD"/>
    <d v="2021-01-02T00:00:00"/>
    <n v="22021000092"/>
    <s v="2021 11 1361 22200"/>
    <n v="822.48"/>
    <x v="437"/>
    <s v="SEGUNDA PRÓRROGA DEL CONTRATO EXPEDIENTE SE-PC 40/2016 CORRESPONDIENTE AL SERVICIO TELECOMUNICACIONES. LOTE 1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200"/>
  </r>
  <r>
    <n v="220209000107"/>
    <s v="AD"/>
    <d v="2021-01-02T00:00:00"/>
    <n v="22021000093"/>
    <s v="2021 11 1321 22200"/>
    <n v="7152.99"/>
    <x v="437"/>
    <s v="2ª  PRÓRROGA CONTRATO TELECOMUNICACIONES EXPTE P-26/2014. LOTE Nº 1. 1º SEMESTRE 2021 POLICÍA MUNICIPAL.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200"/>
  </r>
  <r>
    <n v="220209000653"/>
    <s v="AD"/>
    <d v="2021-01-02T00:00:00"/>
    <n v="22021000415"/>
    <s v="2021 11 1631 22700"/>
    <n v="871.2"/>
    <x v="438"/>
    <s v="DESRATIZACIÓN DE LAS INSTALACIONE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700"/>
  </r>
  <r>
    <n v="220210003753"/>
    <s v="AD"/>
    <d v="2021-02-16T00:00:00"/>
    <n v="22021002611"/>
    <s v="2021 07 1701 213"/>
    <n v="2885.81"/>
    <x v="263"/>
    <s v="Seguridad y alarma de la Casa del Barco, Edificio Anexo. Periodo 01-01 a 31-12-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12703"/>
    <s v="AD"/>
    <d v="2021-03-25T00:00:00"/>
    <n v="22021003544"/>
    <s v="2021 10 2311 22199"/>
    <n v="687.05"/>
    <x v="339"/>
    <s v="Suministro de 91 cajas de mascarillas higiénicas infantiles para usuarios de los proyectos socioeducativos 2021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10000327"/>
    <s v="AD"/>
    <d v="2021-01-21T00:00:00"/>
    <n v="22021001172"/>
    <s v="2021 10 2311 22799"/>
    <n v="907.5"/>
    <x v="213"/>
    <s v="Impresión y ensobrado de notificaciones Intervención Social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6012"/>
    <s v="AD"/>
    <d v="2021-02-24T00:00:00"/>
    <n v="22021002967"/>
    <s v="2021 03 9241 22699"/>
    <n v="907.5"/>
    <x v="439"/>
    <s v="SERVICIO DE RETRANSMISION EN STREAMING PRESUPUESTOS PARTICIPATIVO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9000115"/>
    <s v="AD"/>
    <d v="2021-01-02T00:00:00"/>
    <n v="22021000101"/>
    <s v="2021 04 9204 22200"/>
    <n v="132236.47"/>
    <x v="437"/>
    <s v="PRÓRROGA CONTRA TELEFONÍA FIJA Y DATOS - LOTE 1 - DE ENERO A JUNIO DE 2021 - DTIC"/>
    <s v="220"/>
    <s v="MADRID"/>
    <s v="MADRID"/>
    <x v="0"/>
    <s v="PrAbier - Procedimiento Abierto"/>
    <s v="SinC - Sin 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10009588"/>
    <s v="AD"/>
    <d v="2021-03-16T00:00:00"/>
    <n v="22021003367"/>
    <s v="2021 04 9231 22000"/>
    <n v="907.5"/>
    <x v="440"/>
    <s v="PAPEL PARA AVISOS DE RECIBO DE NOTIFICACIONES ADMINISTRATIVAS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000"/>
  </r>
  <r>
    <n v="220209000282"/>
    <s v="AD"/>
    <d v="2021-01-02T00:00:00"/>
    <n v="22021000259"/>
    <s v="2021 05 4331 213"/>
    <n v="914.76"/>
    <x v="441"/>
    <s v="Mantenimiento por un año del ascensor en edificio Calle Vega Sicilia, 2 . Julio 2020 a jun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1022"/>
    <s v="AD"/>
    <d v="2021-01-27T00:00:00"/>
    <n v="22021002025"/>
    <s v="2021 11 1321 213"/>
    <n v="943.8"/>
    <x v="442"/>
    <s v="REPARACIÓN DE MOTOR EN LA GALERIA DE TIRO VIRTUAL."/>
    <s v="220"/>
    <s v="RENTERIA"/>
    <s v="GUIPUZCO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4242"/>
    <s v="AD"/>
    <d v="2021-02-18T00:00:00"/>
    <n v="22021002746"/>
    <s v="2021 02 9332 213"/>
    <n v="948.64"/>
    <x v="443"/>
    <s v="REPARACIÓN SISTEMA CLIMATIZACIÓN IMPRENTA MUNICIPAL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7121"/>
    <s v="AD"/>
    <d v="2021-03-05T00:00:00"/>
    <n v="22021003182"/>
    <s v="2021 10 2412 22001"/>
    <n v="949.2"/>
    <x v="378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001"/>
  </r>
  <r>
    <n v="220210002870"/>
    <s v="AD"/>
    <d v="2021-02-11T00:00:00"/>
    <n v="22021002576"/>
    <s v="2021 03 9241 22700"/>
    <n v="976"/>
    <x v="213"/>
    <s v="LIMPIEZA LOCAL AV EL PARQUE RONDILLA// LIMPIEZA GENERAL TRAS OBRA CM LA OVERUELA//RETIRADA RESIDUOS CM SANTIAGO LÓP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06442"/>
    <s v="AD"/>
    <d v="2021-02-25T00:00:00"/>
    <n v="22021003049"/>
    <s v="2021 02 9332 212"/>
    <n v="1000"/>
    <x v="444"/>
    <s v="SUMINISTRO Y LLENADO DE BOMBONAS GAS  PARA FRAGUA CENTRO DE MANTENIMIENT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07095"/>
    <s v="D"/>
    <d v="2021-03-05T00:00:00"/>
    <n v="22021002228"/>
    <s v="2021 06 3232 212"/>
    <n v="10.24"/>
    <x v="161"/>
    <s v="ALBARAN AV20/005466: MTS.CADENA GALVANIZADA DE 5.00mm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498"/>
    <s v="AD"/>
    <d v="2021-01-25T00:00:00"/>
    <n v="22021001281"/>
    <s v="2021 07 1711 22799"/>
    <n v="1000"/>
    <x v="445"/>
    <s v="TRABAJOS DE SOLDADURA EN MAQUINARIA Y VEHICULOS."/>
    <s v="220"/>
    <s v="LA CISTERNIG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10509"/>
    <s v="AD"/>
    <d v="2021-03-22T00:00:00"/>
    <n v="22021003588"/>
    <s v="2021 09 3341 22701"/>
    <n v="5408.71"/>
    <x v="263"/>
    <s v="CONTRATO MENOR DEL SERVICIO DE INSTALACIÓN Y MANTENIMIENTO DEL SISTEMA DE SEGURIDAD DEL CENTRO GALERÍAS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01"/>
  </r>
  <r>
    <n v="220210001369"/>
    <s v="AD"/>
    <d v="2021-02-01T00:00:00"/>
    <n v="22021002070"/>
    <s v="2021 11 1321 213"/>
    <n v="6466.56"/>
    <x v="263"/>
    <s v="MANTENIMIENTO EQUIPOS ELECTRÓNICOS DE SEGURIDAD Y VIGILANCIA DE LAS DEPENDENCIAS DE POLIC.IA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8426"/>
    <s v="AD"/>
    <d v="2021-03-11T00:00:00"/>
    <n v="22021003361"/>
    <s v="2021 02 9332 213"/>
    <n v="7071.2"/>
    <x v="263"/>
    <s v="MANTENIMIENTO SEGURIDAD EN LOS EDIFICIOS MUNICIPALES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492"/>
    <s v="AD"/>
    <d v="2021-01-25T00:00:00"/>
    <n v="22021001249"/>
    <s v="2021 07 1711 22106"/>
    <n v="1000"/>
    <x v="421"/>
    <s v="SUMINISTRO DE PRODUCTOS FARMACEUTICOS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06"/>
  </r>
  <r>
    <n v="220210006474"/>
    <s v="D"/>
    <d v="2021-02-26T00:00:00"/>
    <n v="22021002227"/>
    <s v="2021 06 3321 212"/>
    <n v="27.59"/>
    <x v="410"/>
    <s v="DOSICO-DISPENS PAPEL ESTANDA INOX (1) //////  DESTINO: BIBLIOTECA CC J.L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321"/>
    <s v="3321. Bibliotecas públicas"/>
    <s v="21"/>
    <s v="212"/>
  </r>
  <r>
    <n v="220210001183"/>
    <s v="AD"/>
    <d v="2021-01-29T00:00:00"/>
    <n v="22021001961"/>
    <s v="2021 05 4314 22602"/>
    <n v="1815"/>
    <x v="446"/>
    <s v="CAMPAÑA VALLADOLID CIUDAD PROXIMA EN EL DÍA DE VALLADOLID. ACUERDO MARCO DE INSERCIONES EN MEDIOS DE COMUNICACIÓN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14"/>
    <s v="4314. Fomento del comercio"/>
    <s v="22"/>
    <s v="22602"/>
  </r>
  <r>
    <n v="220210013188"/>
    <s v="AD"/>
    <d v="2021-03-31T00:00:00"/>
    <n v="22021003691"/>
    <s v="2021 02 9332 213"/>
    <n v="1000"/>
    <x v="270"/>
    <s v="ADQUISICIÓN DE TODO TIPO DE PINTURA PARA EL MANTENIMIENTO DE EDIFICIOS ADSCRITOS AL ÁREA DE URBANISM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5191"/>
    <s v="AD"/>
    <d v="2021-02-19T00:00:00"/>
    <n v="22021002635"/>
    <s v="2021 05 4314 22104"/>
    <n v="813.12"/>
    <x v="447"/>
    <s v="SUMINISTRO DE VESTUARIO PARA VIGILANTES DE MERCADOS: ZAPATOS"/>
    <s v="220"/>
    <s v="MALAGA"/>
    <s v="MALAGA"/>
    <x v="1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104"/>
  </r>
  <r>
    <n v="220210002355"/>
    <s v="AD"/>
    <d v="2021-02-04T00:00:00"/>
    <n v="22021002066"/>
    <s v="2021 10 2412 22199"/>
    <n v="1000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09000392"/>
    <s v="AD"/>
    <d v="2021-01-02T00:00:00"/>
    <n v="22021000284"/>
    <s v="2021 07 1721 22103"/>
    <n v="1000"/>
    <x v="363"/>
    <s v="PRORROGA AÑO 2021 CONTRATO SUMINISTRO GASOLINA 95º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03"/>
  </r>
  <r>
    <n v="220210006953"/>
    <s v="AD"/>
    <d v="2021-03-04T00:00:00"/>
    <n v="22021003064"/>
    <s v="2021 07 1711 213"/>
    <n v="1000"/>
    <x v="449"/>
    <s v="REPARACION DE MAQUINARIA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12879"/>
    <s v="AD"/>
    <d v="2021-03-29T00:00:00"/>
    <n v="22021003662"/>
    <s v="2021 11 1321 22699"/>
    <n v="1059"/>
    <x v="450"/>
    <s v="IMPORTE 10 CERTIFICADOS MÉDICOS PARA MANEJO DE DRONES PARA  PERSONAL DE POLICÍA QUE HA REALIZADO EL CURSO CORRESPONDIENT"/>
    <s v="220"/>
    <s v="SALAMANCA"/>
    <s v="SALAMANC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09000771"/>
    <s v="AD"/>
    <d v="2021-01-02T00:00:00"/>
    <n v="22021000495"/>
    <s v="2021 06 3231 213"/>
    <n v="7199.5"/>
    <x v="263"/>
    <s v="CTTO MANTENIMIENTO SISTEMAS DE SEGURIDAD ESCUELAS INFANTILES, CASAS DE NIÑOS/AS, EDUCACIÓN DE ADULTOS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3"/>
  </r>
  <r>
    <n v="220210007130"/>
    <s v="AD"/>
    <d v="2021-03-05T00:00:00"/>
    <n v="22021003226"/>
    <s v="2021 10 2312 22700"/>
    <n v="1076.9000000000001"/>
    <x v="451"/>
    <s v="LIMPIEZA CANALONES DEL CPM ZONA ESTE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00"/>
  </r>
  <r>
    <n v="220210007170"/>
    <s v="AD"/>
    <d v="2021-03-08T00:00:00"/>
    <n v="22021002771"/>
    <s v="2021 01 9206 22799"/>
    <n v="1584"/>
    <x v="213"/>
    <s v="CONTRATO DE RECOGIDA DE PAPEL PARA RECICLAR Y PARA DESTRUIR, CON CERTIFICADO MENSUAL, DE ENERO A DICIEMBRE DE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09000108"/>
    <s v="AD"/>
    <d v="2021-01-02T00:00:00"/>
    <n v="22021000094"/>
    <s v="2021 11 1321 22200"/>
    <n v="1277.4000000000001"/>
    <x v="452"/>
    <s v="2ª PRÓRROGA CONTRATO SERVICIO DE TELECOMUNICACIONES EXPTE. P-26/2014. LOTE Nº 2 . 1º SEMESTRE 2021 POLICIA MUNICIPAL.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200"/>
  </r>
  <r>
    <n v="220209000116"/>
    <s v="AD"/>
    <d v="2021-01-02T00:00:00"/>
    <n v="22021000102"/>
    <s v="2021 04 9204 22200"/>
    <n v="32546.58"/>
    <x v="452"/>
    <s v="PRÓRROGA CONTRATO TELEFONÍA MÓVIL, LOTE 2, DE ENERO A JUNIO"/>
    <s v="220"/>
    <s v="MADRID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09000383"/>
    <s v="AD"/>
    <d v="2021-01-02T00:00:00"/>
    <n v="22021000276"/>
    <s v="2021 01 9203 22103"/>
    <n v="1100"/>
    <x v="363"/>
    <s v="PREVISION GASTO SUMINISTRO GASOLINA AÑO 2021, R.I."/>
    <s v="220"/>
    <s v="MADRID"/>
    <s v="MADR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103"/>
  </r>
  <r>
    <n v="220210001017"/>
    <s v="AD"/>
    <d v="2021-01-27T00:00:00"/>
    <n v="22021001914"/>
    <s v="2021 10 2312 22199"/>
    <n v="245"/>
    <x v="453"/>
    <s v="SIETE ESTUFAS HALOGENAS PARA LA OFICINA N 29 DE SAN BENITO- INICITIVAS SOCIALE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199"/>
  </r>
  <r>
    <n v="220210006042"/>
    <s v="AD"/>
    <d v="2021-02-24T00:00:00"/>
    <n v="22021002820"/>
    <s v="2021 10 2311 633"/>
    <n v="350"/>
    <x v="453"/>
    <s v="Compra de lavadora para el Centro Integrado (actual albergue municipal) ENERO 2021"/>
    <s v="220"/>
    <s v="VALLADOLID"/>
    <s v="VALLADOLID"/>
    <x v="1"/>
    <s v="AdDirec - Adjudicación Directa"/>
    <s v="SinC - Sin Criterio"/>
    <x v="0"/>
    <x v="0"/>
    <s v="6"/>
    <s v="6. Inversiones reales"/>
    <s v="10"/>
    <x v="8"/>
    <s v="2311"/>
    <s v="2311. Intervención social"/>
    <s v="63"/>
    <s v="633"/>
  </r>
  <r>
    <n v="220209000552"/>
    <s v="AD"/>
    <d v="2021-01-02T00:00:00"/>
    <n v="22021000583"/>
    <s v="2021 03 9241 22104"/>
    <n v="3172.93"/>
    <x v="447"/>
    <s v="VESTUARIO LOTE 2 2021 P CIUDADANA"/>
    <s v="220"/>
    <s v="MALAGA"/>
    <s v="MALAG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4"/>
  </r>
  <r>
    <n v="220210002354"/>
    <s v="AD"/>
    <d v="2021-02-04T00:00:00"/>
    <n v="22021002033"/>
    <s v="2021 10 2312 223"/>
    <n v="1119.25"/>
    <x v="454"/>
    <s v="MOVILIZACION DE MOBILIARIO, ARCHIVOS, ETCC ENTRE LA PLANTA BAJA Y LA PRIMERA PLANTA DEL CPM RONDILL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3"/>
  </r>
  <r>
    <n v="220210005269"/>
    <s v="AD"/>
    <d v="2021-02-22T00:00:00"/>
    <n v="22021002867"/>
    <s v="2021 10 2311 22699"/>
    <n v="1145.04"/>
    <x v="339"/>
    <s v="Suministro de productos higiénicos para Centro Integrado. 2021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1916"/>
    <s v="AD"/>
    <d v="2021-02-04T00:00:00"/>
    <n v="22021002096"/>
    <s v="2021 03 9241 22110"/>
    <n v="1161.29"/>
    <x v="313"/>
    <s v="COVID-19: SUMINISTRO DE DETERGENTE DESINFECTANTE PARA CENTROS SERVICIO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10"/>
  </r>
  <r>
    <n v="220210002355"/>
    <s v="AD"/>
    <d v="2021-02-04T00:00:00"/>
    <n v="22021002063"/>
    <s v="2021 10 2412 22199"/>
    <n v="1166.6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2355"/>
    <s v="AD"/>
    <d v="2021-02-04T00:00:00"/>
    <n v="22021002065"/>
    <s v="2021 10 2412 22199"/>
    <n v="1166.6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6041"/>
    <s v="AD"/>
    <d v="2021-02-24T00:00:00"/>
    <n v="22021002826"/>
    <s v="2021 01 9205 213"/>
    <n v="1170.3"/>
    <x v="455"/>
    <s v="ADJUDICACIÓN REPARACIÓN MÁQUINA ALZADORA DE LA IMPRENTA MUNICIPAL"/>
    <s v="220"/>
    <s v="SANT FELIU DE LLOBREGAT"/>
    <s v="BARCELONA"/>
    <x v="0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1"/>
    <s v="213"/>
  </r>
  <r>
    <n v="220210007174"/>
    <s v="AD"/>
    <d v="2021-03-08T00:00:00"/>
    <n v="22021003185"/>
    <s v="2021 01 9206 22001"/>
    <n v="1185"/>
    <x v="456"/>
    <s v="SUSCRIPCIÓN BASES DE DATOS INFORMACIÓN CONCURSAL: &quot;&quot;USUARIO PROFESIONAL&quot;&quot; E &quot;&quot;INFORME DIARIO&quot;&quot;. DE AGOSTO 2021 A AGOSTO 2022"/>
    <s v="220"/>
    <s v="BOECILLO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3648"/>
    <s v="AD"/>
    <d v="2021-02-16T00:00:00"/>
    <n v="22021002596"/>
    <s v="2021 11 1321 214"/>
    <n v="1604.43"/>
    <x v="289"/>
    <s v="REPARACIÓN VEHÍCULOS DE POLICÍA (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75"/>
    <s v="AD"/>
    <d v="2021-02-01T00:00:00"/>
    <n v="22021002005"/>
    <s v="2021 04 9321 22799"/>
    <n v="1187.6300000000001"/>
    <x v="457"/>
    <s v="Confecció de 150 ejemplares de libros de las ORDENANZAS FISCALES 2021"/>
    <s v="220"/>
    <s v="RENEDO DE ESGUEVA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1243"/>
    <s v="AD"/>
    <d v="2021-01-29T00:00:00"/>
    <n v="22021001969"/>
    <s v="2021 02 1511 22706"/>
    <n v="1210"/>
    <x v="458"/>
    <s v="Infografías proyecto nuevo Parque Agroalimentari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06"/>
  </r>
  <r>
    <n v="220210001379"/>
    <s v="AD"/>
    <d v="2021-02-01T00:00:00"/>
    <n v="22021002087"/>
    <s v="2021 05 4331 22602"/>
    <n v="1210"/>
    <x v="459"/>
    <s v="ENTREVISTA PARA EXPLICAR LAS MEDIDAS DE PROMOCION Y APOYO AL DESARROLLO ECONOMICO, EN RADIO INTERECONOMIA, DIFUS. NACION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2"/>
  </r>
  <r>
    <n v="220210006451"/>
    <s v="AD"/>
    <d v="2021-02-26T00:00:00"/>
    <n v="22021002912"/>
    <s v="2021 09 3341 213"/>
    <n v="1246.3"/>
    <x v="460"/>
    <s v="Contrato menor labores impermeabilización y sellado de chimenea de Galerías Valladolid"/>
    <s v="220"/>
    <s v="ARROYO DE LA ENCOMIENDA"/>
    <s v="VALLADOLID"/>
    <x v="2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9000447"/>
    <s v="AD"/>
    <d v="2021-01-02T00:00:00"/>
    <n v="22021000306"/>
    <s v="2021 10 2311 215"/>
    <n v="1250"/>
    <x v="412"/>
    <s v="PRORROGA CTTO SERVICIO REPARACION DE PRODUCTOS DE APOYO A LAS PERSONAS USUARIAS DE SAD HASTA JUNIO 2021"/>
    <s v="220"/>
    <s v="VALLADOLID"/>
    <s v="VALLADOLID"/>
    <x v="0"/>
    <s v="PrAbier - Procedimiento Abierto"/>
    <s v="SinC - Sin Criterio"/>
    <x v="1"/>
    <x v="0"/>
    <s v="2"/>
    <s v="2. Gastos corrientes en bienes y servicios"/>
    <s v="10"/>
    <x v="8"/>
    <s v="2311"/>
    <s v="2311. Intervención social"/>
    <s v="21"/>
    <s v="215"/>
  </r>
  <r>
    <n v="220210007120"/>
    <s v="AD"/>
    <d v="2021-03-05T00:00:00"/>
    <n v="22021003180"/>
    <s v="2021 10 2412 22699"/>
    <n v="1269.6400000000001"/>
    <x v="461"/>
    <s v="MATERIAL SANITARIO PARA EL CURSO DE V. CUIDA IV DEL C. DE FORMACION PARA EL EMPLEO DEL 15 DE FEBRERO AL 14 DE AGOSTO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699"/>
  </r>
  <r>
    <n v="220209000685"/>
    <s v="AD"/>
    <d v="2021-01-02T00:00:00"/>
    <n v="22021000429"/>
    <s v="2021 06 3261 22103"/>
    <n v="1300"/>
    <x v="252"/>
    <s v="CONTRATO SUMINISTRO DE GASOLEO. SUMINISTRO CENTRALIZADO. AÑOS 2021 Y 2022. VEHICULO VINCULADO A LA CONCEJALIA EDUCACION"/>
    <s v="220"/>
    <s v="MADRID"/>
    <s v="MADRID"/>
    <x v="1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2"/>
    <s v="22103"/>
  </r>
  <r>
    <n v="220210006961"/>
    <s v="AD"/>
    <d v="2021-03-04T00:00:00"/>
    <n v="22021003158"/>
    <s v="2021 11 3111 213"/>
    <n v="1300.76"/>
    <x v="462"/>
    <s v="CONTRATO DE MANTENIMIENTO DE HORNO INCINERADOR DEL CMPA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09000391"/>
    <s v="AD"/>
    <d v="2021-01-02T00:00:00"/>
    <n v="22021000283"/>
    <s v="2021 11 3111 22103"/>
    <n v="1320"/>
    <x v="363"/>
    <s v="PRORROGA CONTRATO SUMINISTRO GASOLINA 95º VEHÍCULOS DEL SERVICIO DE SALUD Y CONSUMO AÑO 2021. EXPTE. SE 18/2018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3"/>
  </r>
  <r>
    <n v="220209000695"/>
    <s v="AD"/>
    <d v="2021-01-02T00:00:00"/>
    <n v="22021000439"/>
    <s v="2021 10 2312 213"/>
    <n v="1331"/>
    <x v="333"/>
    <s v="MANTENIMIENTO ASCENSOR ( ORONA) DEL CPM RONDILLA DE ENERO A NOVIEMBRE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13174"/>
    <s v="AD"/>
    <d v="2021-03-31T00:00:00"/>
    <n v="22021003492"/>
    <s v="2021 05 4331 609"/>
    <n v="1391.5"/>
    <x v="463"/>
    <s v="CONTROL ARQUEOLÓGICO ANEXO A EJECUCIÓN DE INTERVENCIONES DEL PROYECTO URBAN GREENUP INTEGRADAS EN EL CORREDOR VERDE"/>
    <s v="220"/>
    <s v="LA CISTÉRNIGA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01400"/>
    <s v="ADO"/>
    <d v="2021-02-02T00:00:00"/>
    <n v="22021001891"/>
    <s v="2021 06 2315 22799"/>
    <n v="1402.63"/>
    <x v="376"/>
    <s v="Servicio de Celaduría en el Centro Municipal de la Igualdad del Ayuntamiento de Valladolid // MES DICIEMBRE 2020"/>
    <s v="240"/>
    <s v="EL PINAR DE ANTEQUERA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6057"/>
    <s v="AD"/>
    <d v="2021-02-24T00:00:00"/>
    <n v="22021002941"/>
    <s v="2021 06 3321 22001"/>
    <n v="1405.4"/>
    <x v="464"/>
    <s v="SUMINISTRO DE VARIAS REVISTAS PARA LAS BIBLIOTECAS MUNICIPALES. AÑO 2021"/>
    <s v="220"/>
    <s v="BARCELONA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755"/>
    <s v="AD"/>
    <d v="2021-01-02T00:00:00"/>
    <n v="22021000480"/>
    <s v="2021 02 9332 213"/>
    <n v="5323.03"/>
    <x v="465"/>
    <s v="ADJ.. EXPTE. MANTENIMIENTO ASCENSORES LOTE 3"/>
    <s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09000844"/>
    <s v="AD"/>
    <d v="2021-01-02T00:00:00"/>
    <n v="22021001295"/>
    <s v="2021 08 1532 619"/>
    <n v="3000000"/>
    <x v="466"/>
    <s v="PRIMERA PRORROGA Contrato Conserv.Reparación y Reforma de Infraestructuras en el municipio de Valladolid. Lote 1.-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1361"/>
    <s v="AD"/>
    <d v="2021-02-01T00:00:00"/>
    <n v="22021001299"/>
    <s v="2021 11 1621 213"/>
    <n v="1410"/>
    <x v="467"/>
    <s v="MANTENMIENTO MÁQUINA LIMPIEZA PIEZAS TALLER  MECANICO DEL SERVICIO DE LIMPIEZA"/>
    <s v="220"/>
    <s v="COSLADA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872"/>
    <s v="AD"/>
    <d v="2021-02-11T00:00:00"/>
    <n v="22021001972"/>
    <s v="2021 04 3121 22199"/>
    <n v="1425"/>
    <x v="468"/>
    <s v="Suministro contenedores residuos biológicos (agujas y jeringas). AÑO 2021. SERVICIO DE PREVENCIÓN Y SALUD LABORAL"/>
    <s v="220"/>
    <s v="ALDEAMAYOR DE SAN MARTÍN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99"/>
  </r>
  <r>
    <n v="220209000697"/>
    <s v="AD"/>
    <d v="2021-01-02T00:00:00"/>
    <n v="22021000748"/>
    <s v="2021 04 9204 641"/>
    <n v="1442.93"/>
    <x v="469"/>
    <s v="CONTRATACIÓN DE 10 LICENCIAS DE LA APLICACIÓN FILEMAKER CON DESTINO EL SERVICIO DE EXTINCIÓN DE INCENDIOS"/>
    <s v="220"/>
    <s v="MADRID"/>
    <s v="MADRID"/>
    <x v="1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09000858"/>
    <s v="AD"/>
    <d v="2021-01-02T00:00:00"/>
    <n v="22021002849"/>
    <s v="2021 04 9331 224"/>
    <n v="46640.83"/>
    <x v="470"/>
    <s v="CONTINUACIÓN EJEC. CONTR. SEGUROS VARIOS RAMOS AYTO VALL Y OTRAS ENTS SECTOR PÚB.-LOTE 1 Resp Civil  -Enero a Marzo 2021"/>
    <s v="220"/>
    <s v="BARCELONA"/>
    <s v="BARCELON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10006157"/>
    <s v="AD"/>
    <d v="2021-02-25T00:00:00"/>
    <n v="22021002091"/>
    <s v="2021 04 9331 224"/>
    <n v="356.02"/>
    <x v="470"/>
    <s v="ACTUALIZACIÓN PRIMA AMPLIACIÓN SEGURO RESPONSABILIDAD CIVIL (LOTE 1) AYUNTAMIENTO-Enero a Marzo 2021 (Exp. 93/2016 PS 14"/>
    <s v="220"/>
    <s v="BARCELONA"/>
    <s v="BARCELON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189000646"/>
    <s v="AD"/>
    <d v="2021-03-29T00:00:00"/>
    <n v="22020000522"/>
    <s v="2021 04 9204 216"/>
    <n v="42768.75"/>
    <x v="331"/>
    <s v="ASISTENCIA TÉCNICA OPERACIÓN, CAU, Y MANTENIMIENTO  DEL SOFTWARE DE BASE Y COMUNICACIONES.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1399"/>
    <s v="ADO"/>
    <d v="2021-02-02T00:00:00"/>
    <n v="22021001688"/>
    <s v="2021 11 1351 224"/>
    <n v="1447.75"/>
    <x v="471"/>
    <s v="Póliza seguro ACC_PROTECCION CIVIL VOLUNTARIOS REN 2020-21"/>
    <s v="24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8412"/>
    <s v="AD"/>
    <d v="2021-03-11T00:00:00"/>
    <n v="22021003273"/>
    <s v="2021 08 1341 619"/>
    <n v="6292"/>
    <x v="250"/>
    <s v="TRABAJOS DE CONTROL DE CALIDAD EN CONTRATOS DE MOVILIDAD URBANA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0050000"/>
    <s v="AD"/>
    <d v="2021-03-29T00:00:00"/>
    <n v="22020005008"/>
    <s v="2021 03 9241 625"/>
    <n v="101.62"/>
    <x v="251"/>
    <s v="COORDINACION SEGURIDAD Y SALUD REFORMA COCINA CC ZONA SUR JUAN DE AUSTRIA"/>
    <s v="220"/>
    <s v="MADRID"/>
    <s v="MADRID"/>
    <x v="0"/>
    <s v="AdDirec - Adjudicación Directa"/>
    <s v="SinC - Sin Criterio"/>
    <x v="0"/>
    <x v="0"/>
    <s v="6"/>
    <s v="6. Inversiones reales"/>
    <s v="03"/>
    <x v="2"/>
    <s v="9241"/>
    <s v="9241. Participación ciudadana"/>
    <s v="62"/>
    <s v="625"/>
  </r>
  <r>
    <n v="220200052710"/>
    <s v="AD"/>
    <d v="2021-03-29T00:00:00"/>
    <n v="22020006491"/>
    <s v="2021 08 1651 619"/>
    <n v="92.81"/>
    <x v="251"/>
    <s v="Coordinación Seguridad y Salud en Obras de remodelación del alumbrado público de la zona Plaza del Ejército.-"/>
    <s v="220"/>
    <s v="MADRID"/>
    <s v="MADRID"/>
    <x v="0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8450"/>
    <s v="AD"/>
    <d v="2021-03-11T00:00:00"/>
    <n v="22021003347"/>
    <s v="2021 02 1511 609"/>
    <n v="3557.1"/>
    <x v="250"/>
    <s v="ESTUDIO GEOTÉCNICO INMEDIACIONES DE LAS ACEÑAS DEL PUENTE MAYOR"/>
    <s v="220"/>
    <s v="ZARATAN"/>
    <s v="VALLADOLID"/>
    <x v="0"/>
    <s v="AdDirec - Adjudicación Directa"/>
    <s v="SinC - Sin Criterio"/>
    <x v="0"/>
    <x v="0"/>
    <s v="6"/>
    <s v="6. Inversiones reales"/>
    <s v="02"/>
    <x v="10"/>
    <s v="1511"/>
    <s v="1511. Planficación y gestión del urbanismo"/>
    <s v="60"/>
    <s v="609"/>
  </r>
  <r>
    <n v="220190058488"/>
    <s v="AD"/>
    <d v="2021-03-29T00:00:00"/>
    <n v="22019009562"/>
    <s v="2021 08 1532 619"/>
    <n v="3630"/>
    <x v="122"/>
    <s v="Confección proyecto de integración y mejora de las riberas del rio Pisuerga.Fase 4.3 Reelaborar proyecto previo.180 dias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190056376"/>
    <s v="AD"/>
    <d v="2021-03-29T00:00:00"/>
    <n v="22019007498"/>
    <s v="2021 05 9339 632"/>
    <n v="13602.37"/>
    <x v="250"/>
    <s v="CONTROL DE CALIDAD OBRAS AMPLIACIÓN AGENCIA INNOVACIÓN"/>
    <s v="220"/>
    <s v="ZARATAN"/>
    <s v="VALLADOL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10002381"/>
    <s v="AD"/>
    <d v="2021-02-08T00:00:00"/>
    <n v="22021002288"/>
    <s v="2021 08 1532 210"/>
    <n v="1452"/>
    <x v="356"/>
    <s v="Recarga periódica de las botellas de O2 y de Ar/CO2 para los equipos de oxicorte.-"/>
    <s v="220"/>
    <s v="BARCELONA"/>
    <s v="BARCELON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00016732"/>
    <s v="AD"/>
    <d v="2021-03-29T00:00:00"/>
    <n v="22020002100"/>
    <s v="2021 02 1511 609"/>
    <n v="457020.45"/>
    <x v="282"/>
    <s v="ADJUDICACIÓN OBRAS  LOTE II DEL ARU 29 DE OCTUBRE FASE II"/>
    <s v="220"/>
    <s v="MEDINA DEL CAMPO"/>
    <s v="VALLADOLID"/>
    <x v="2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3"/>
    <s v="AD"/>
    <d v="2021-03-29T00:00:00"/>
    <n v="22020002100"/>
    <s v="2021 02 1511 609"/>
    <n v="10410.219999999999"/>
    <x v="250"/>
    <s v="ADJUDICAR CONTROL CALIDAD LOTE II DEL  ARU 29 DE OCTUBRE FASE II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4"/>
    <s v="AD"/>
    <d v="2021-03-29T00:00:00"/>
    <n v="22020002100"/>
    <s v="2021 02 1511 609"/>
    <n v="1452.21"/>
    <x v="251"/>
    <s v="ADJUDICAR SEGURIDAD Y SALUD LOTE II DEL ARU 29 DE OCTUBRE FASE II (EXPTE. 5/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5"/>
    <s v="AD"/>
    <d v="2021-03-29T00:00:00"/>
    <n v="22020002100"/>
    <s v="2021 02 1511 609"/>
    <n v="362459.98"/>
    <x v="165"/>
    <s v="ADJUDICAR CONTRATO DE  REURBANIZACIÓN LOTE IV DEL  ARU 29 DE OCTUBRE FASE II (EXPTE. 5/19)"/>
    <s v="220"/>
    <s v="MEDINA DEL CAMPO"/>
    <s v="VALLADOLID"/>
    <x v="2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6"/>
    <s v="AD"/>
    <d v="2021-03-29T00:00:00"/>
    <n v="22020002100"/>
    <s v="2021 02 1511 609"/>
    <n v="6041.58"/>
    <x v="250"/>
    <s v="ADJUDICAR CONTROL CALIDAD LOTE IV REURBANIZACIÓN  FASE II ARU 29 DE OCTUBRE(EXPTE.5/19)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7"/>
    <s v="AD"/>
    <d v="2021-03-29T00:00:00"/>
    <n v="22020002100"/>
    <s v="2021 02 1511 609"/>
    <n v="1153.3800000000001"/>
    <x v="251"/>
    <s v="ADJUDICAR SEGURIDAD Y SALUD LOTE IV REURBANIZACIÓN  FASE II ARU 29 DE OCTUBRE (EXPTE.5/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10008644"/>
    <s v="ADO"/>
    <d v="2021-03-11T00:00:00"/>
    <n v="22021003289"/>
    <s v="2021 11 1361 22103"/>
    <n v="1466.64"/>
    <x v="472"/>
    <s v="GASOLEO A ( 1.700  ) /// MES OCTUBRE DE 2020;SERVICIO DE EXTINCIÓN DE INCENDIOS, SALVAMENTO Y PROTECCIÓN CIVIL."/>
    <s v="240"/>
    <s v="RUBENA"/>
    <s v="BURGOS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0024358"/>
    <s v="AD"/>
    <d v="2021-03-29T00:00:00"/>
    <n v="22020002750"/>
    <s v="2021 08 1532 619"/>
    <n v="981023.8"/>
    <x v="466"/>
    <s v="Contrato de conservación Vías Públicas. Lote 1. Actuaciones de Presupuestos Participativos 2020.-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24359"/>
    <s v="AD"/>
    <d v="2021-03-29T00:00:00"/>
    <n v="22020002751"/>
    <s v="2021 08 1532 619"/>
    <n v="1904.28"/>
    <x v="250"/>
    <s v="CONTROL DE CALIDAD. Contrato Conservación de Vías Públicas. Lote 1. Presupuestos Participativos de 2020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24360"/>
    <s v="AD"/>
    <d v="2021-03-29T00:00:00"/>
    <n v="22020002752"/>
    <s v="2021 08 1532 619"/>
    <n v="441.04"/>
    <x v="251"/>
    <s v="COORDINACIÓN SEGURIDAD Y SALUD.Contrato conservación Vías Públicas.Lote 1. Ptos. Participativos 2020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190058090"/>
    <s v="AD"/>
    <d v="2021-03-29T00:00:00"/>
    <n v="22019009148"/>
    <s v="2021 11 1621 622"/>
    <n v="23553.83"/>
    <x v="250"/>
    <s v="CONTROL CALIDAD OBRA CONNSTRUCCION LAVADERO VEHICULOS Y APARCAMIENTO SERVICIO LIMPIEZA"/>
    <s v="220"/>
    <s v="ZARATAN"/>
    <s v="VALLADOLID"/>
    <x v="0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00027566"/>
    <s v="AD"/>
    <d v="2021-03-29T00:00:00"/>
    <n v="22019005585"/>
    <s v="2021 11 1621 634"/>
    <n v="213686"/>
    <x v="473"/>
    <s v="SUMINSITRO VEHÍCULO RECOLECTOR RECOGIDA CARGA TRASERA 13 M3 CAPACIDAD (LOTE 2)"/>
    <s v="220"/>
    <s v="TARREGA"/>
    <s v="LERIDA"/>
    <x v="1"/>
    <s v="PrAbier - Procedimiento Abierto"/>
    <s v="MultiC - MultiCriterio"/>
    <x v="1"/>
    <x v="0"/>
    <s v="6"/>
    <s v="6. Inversiones reales"/>
    <s v="11"/>
    <x v="5"/>
    <s v="1621"/>
    <s v="1621. Servicio de limpieza"/>
    <s v="63"/>
    <s v="634"/>
  </r>
  <r>
    <n v="220199000709"/>
    <s v="AD"/>
    <d v="2021-03-29T00:00:00"/>
    <n v="22020000094"/>
    <s v="2021 05 4331 609"/>
    <n v="56.77"/>
    <x v="250"/>
    <s v="CONTRATO DE OBRAS DE INFRAESTRUCTURA VERDE: TOLDOS VEGETALES EN LA CALLE SANTA MARÍA. PROYECTO URBAN GreenUP"/>
    <s v="220"/>
    <s v="ZARATAN"/>
    <s v="VALLADOL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00024943"/>
    <s v="AD"/>
    <d v="2021-03-29T00:00:00"/>
    <n v="22020003683"/>
    <s v="2021 10 2312 622"/>
    <n v="2535.6999999999998"/>
    <x v="250"/>
    <s v="CONTROL DE CALIDAD DE LA OBRA: CONSTRUCCION NUEVA DEL CPM PARQUESOL CON U.ESTANCIAS DIURNAS-AÑO 2020-DURACION 2020-2022"/>
    <s v="220"/>
    <s v="ZARATAN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0028146"/>
    <s v="AD"/>
    <d v="2021-03-29T00:00:00"/>
    <n v="22020003863"/>
    <s v="2021 03 9241 632"/>
    <n v="88.35"/>
    <x v="250"/>
    <s v="CONTROL CALIDAD REFORMA BAÑOS CIC EL EMPECINADO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210010646"/>
    <s v="AD"/>
    <d v="2021-03-23T00:00:00"/>
    <n v="22021003465"/>
    <s v="2021 07 1721 213"/>
    <n v="1470.49"/>
    <x v="474"/>
    <s v="CALIBRACION ANUAL DE PATRON DE OZONO DE LA RCCVA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9594"/>
    <s v="AD"/>
    <d v="2021-03-16T00:00:00"/>
    <n v="22021003439"/>
    <s v="2021 07 1701 224"/>
    <n v="1475.78"/>
    <x v="471"/>
    <s v="POLIZA SEGURO DE HUERTOS ECOLOGICOS PARA DESEMPLEADOS PERIOD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2"/>
    <s v="224"/>
  </r>
  <r>
    <n v="220210008407"/>
    <s v="AD"/>
    <d v="2021-03-11T00:00:00"/>
    <n v="22021003359"/>
    <s v="2021 11 1621 22706"/>
    <n v="36.630000000000003"/>
    <x v="251"/>
    <s v="SERVICIO COORDINACION SEGURIDAD Y SALUD OBRAS INSTALACION TORRES CARGA VEHICULOS ELECTRICOS Sº LIMPIEZA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6"/>
  </r>
  <r>
    <n v="220209000117"/>
    <s v="AD"/>
    <d v="2021-01-02T00:00:00"/>
    <n v="22021000103"/>
    <s v="2021 09 3341 22200"/>
    <n v="1492.8"/>
    <x v="452"/>
    <s v="PRÓRROGA DEL CONTRATO DE SUMINISTRO DEL S. DE TELECOMUNICACIONES DEL AYUNTAMIENTO DE VALLADOLID-GASTO ÁREA CULTURA"/>
    <s v="220"/>
    <s v="MADRID"/>
    <s v="MADR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200"/>
  </r>
  <r>
    <n v="220200030849"/>
    <s v="AD"/>
    <d v="2021-03-29T00:00:00"/>
    <n v="22019005585"/>
    <s v="2021 11 1621 634"/>
    <n v="934202.28"/>
    <x v="475"/>
    <s v="SUMINSITRO VEHICULOS: 3 VEHÍCULOS RECOGIDA CARGA LATERAL (LOTE 1) PARA EL SERVICIO DE LIMPIEZA"/>
    <s v="220"/>
    <s v="TORREJÓN DE ARDOZ"/>
    <s v="MADRID"/>
    <x v="1"/>
    <s v="PrAbier - Procedimiento Abierto"/>
    <s v="MultiC - MultiCriterio"/>
    <x v="1"/>
    <x v="0"/>
    <s v="6"/>
    <s v="6. Inversiones reales"/>
    <s v="11"/>
    <x v="5"/>
    <s v="1621"/>
    <s v="1621. Servicio de limpieza"/>
    <s v="63"/>
    <s v="634"/>
  </r>
  <r>
    <n v="220210012683"/>
    <s v="AD"/>
    <d v="2021-03-25T00:00:00"/>
    <n v="22021003451"/>
    <s v="2021 06 2315 22611"/>
    <n v="1495.56"/>
    <x v="401"/>
    <s v="Suministro de mascarillas publicitarias para su difusión en II Congreso Internac. de Territorios de la Memoria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3995"/>
    <s v="AD"/>
    <d v="2021-02-17T00:00:00"/>
    <n v="22021002568"/>
    <s v="2021 07 1721 22112"/>
    <n v="1500"/>
    <x v="476"/>
    <s v="FILTROS PARA ELIMINAR HIDROCARBUROS DE LAS BOTELLAS ALIMENTACION EQUIPOS DEL LABORATORIO DE LA RCCVA. SERVICIO MEDIO AMB"/>
    <s v="220"/>
    <s v="SAN CUGAT DEL VALLES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13222"/>
    <s v="AD"/>
    <d v="2021-03-31T00:00:00"/>
    <n v="22021003694"/>
    <s v="2021 11 1631 204"/>
    <n v="1500"/>
    <x v="477"/>
    <s v="SERVICIOS DE GRUAS PARA TRASLADO DE VEHÍCULOS AVERIADOS DEL SERVICIO DE LIMPIEZA VIARIA"/>
    <s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0"/>
    <s v="204"/>
  </r>
  <r>
    <n v="220210003989"/>
    <s v="AD"/>
    <d v="2021-02-17T00:00:00"/>
    <n v="22021002553"/>
    <s v="2021 07 1721 223"/>
    <n v="1500"/>
    <x v="269"/>
    <s v="TRANSPORTE DE MATERIAL DE LA RED. SERVICIO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3"/>
  </r>
  <r>
    <n v="220200034850"/>
    <s v="AD"/>
    <d v="2021-03-29T00:00:00"/>
    <n v="22019005889"/>
    <s v="2021 08 1532 622"/>
    <n v="24896.959999999999"/>
    <x v="478"/>
    <s v="LOTE 1: EDIFICACION. Redacción Proyecto construcción FASE II de instalaciones municipales del SEPI. Expte. 19/2019 SEMEU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2"/>
    <s v="622"/>
  </r>
  <r>
    <n v="220200034851"/>
    <s v="AD"/>
    <d v="2021-03-29T00:00:00"/>
    <n v="22019005889"/>
    <s v="2021 08 1532 622"/>
    <n v="13189"/>
    <x v="478"/>
    <s v="LOTE 2: URBANIZACION. Redacción Proyecto construcción FASE II de instalaciones municipales del SEPI, Expte. 19/2019 SEME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2"/>
    <s v="622"/>
  </r>
  <r>
    <n v="220210000209"/>
    <s v="AD"/>
    <d v="2021-01-20T00:00:00"/>
    <n v="22021000954"/>
    <s v="2021 03 9241 22602"/>
    <n v="2420"/>
    <x v="479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39"/>
    <s v="AD"/>
    <d v="2021-01-25T00:00:00"/>
    <n v="22021001185"/>
    <s v="2021 05 4331 22602"/>
    <n v="2000"/>
    <x v="479"/>
    <s v="CAMPAÑA DIFUSION CONVOCATORIA SUBVENCIONES REACTIVA DIGITAL. CONTRATACION INSERCIONES PUBLICITARIAS EN RADIO LOCAL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00028149"/>
    <s v="AD"/>
    <d v="2021-03-29T00:00:00"/>
    <n v="22020003864"/>
    <s v="2021 03 9241 632"/>
    <n v="695.57"/>
    <x v="250"/>
    <s v="CONTROL CALIDAD OBRA INSONORIZACIÓN DOS SALAS CC JOSE MARIA LUELMO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190056377"/>
    <s v="AD"/>
    <d v="2021-03-29T00:00:00"/>
    <n v="22019007499"/>
    <s v="2021 05 9339 632"/>
    <n v="1123.26"/>
    <x v="251"/>
    <s v="COORDINACIÓN SEGURIDAD Y SALUD OBRAS AMPLIACIÓN AGENCIA DE INNOVACIÓN"/>
    <s v="220"/>
    <s v="MADRID"/>
    <s v="MADR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0028156"/>
    <s v="AD"/>
    <d v="2021-03-29T00:00:00"/>
    <n v="22020003867"/>
    <s v="2021 03 9241 632"/>
    <n v="102.5"/>
    <x v="250"/>
    <s v="CONTROL CALIDAD OBRA INSONORIZACION SALA ASOCIACION FAMILIAR DELICIAS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190058089"/>
    <s v="AD"/>
    <d v="2021-03-29T00:00:00"/>
    <n v="22019005626"/>
    <s v="2021 11 1621 622"/>
    <n v="1147.94"/>
    <x v="251"/>
    <s v="COORDINACIÓN SEG. Y SALUD LABORAL CONTRATO OBRA CONSTRUCCIÓN LAVADERO VEHICULOS Y APARCAMIENTO PARA Sº LIMPIEZA"/>
    <s v="220"/>
    <s v="MADRID"/>
    <s v="MADRID"/>
    <x v="0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09000386"/>
    <s v="AD"/>
    <d v="2021-01-02T00:00:00"/>
    <n v="22021000278"/>
    <s v="2021 11 1361 22103"/>
    <n v="1500"/>
    <x v="363"/>
    <s v="PRORROGA DE CONTRATO DE SUMINISTRO DE GASOLINA 95 DEL 1 DE ENERO AL 31 DE DICIEMBRE DE 2021 PARA SEIS  Y PC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0035869"/>
    <s v="AD"/>
    <d v="2021-03-29T00:00:00"/>
    <n v="22019008819"/>
    <s v="2021 08 1651 619"/>
    <n v="788.12"/>
    <x v="250"/>
    <s v="Control de Calidad en  Obras de renovación de la instalación de alumbrado por tecnología LED en Poligono San Cristóbal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0029107"/>
    <s v="AD"/>
    <d v="2021-03-29T00:00:00"/>
    <n v="22019005726"/>
    <s v="2021 08 1532 619"/>
    <n v="42.26"/>
    <x v="251"/>
    <s v="SERVICIO DE COORDINACIÓN DE SEGURIDAD Y SALUD EN OBRAS DE  URBANIZACIÓN DE LA CALLE ARALIA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65602"/>
    <s v="AD"/>
    <d v="2021-03-29T00:00:00"/>
    <n v="22019005624"/>
    <s v="2021 11 1621 622"/>
    <n v="1512.5"/>
    <x v="480"/>
    <s v="GASTOS ARQUITECTO CONTRATO OBRA CONSTRUCCION LAVADERO VEHICULOS P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00065601"/>
    <s v="AD"/>
    <d v="2021-03-29T00:00:00"/>
    <n v="22019005624"/>
    <s v="2021 11 1621 622"/>
    <n v="1512.5"/>
    <x v="481"/>
    <s v="GASTOS APAREJADOR CONTRATO OBRA CONSTRUCCION LAVADERO VEHICULOS 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10003992"/>
    <s v="AD"/>
    <d v="2021-02-17T00:00:00"/>
    <n v="22021002565"/>
    <s v="2021 07 1721 22706"/>
    <n v="1512.5"/>
    <x v="482"/>
    <s v="MANTENIMIENTO SERVICOR Y LICENCIA INFORMATICA APP VALLAAIRE. SERVICIO DE MEDIO AMBIENTE"/>
    <s v="220"/>
    <s v="PALENCIA"/>
    <s v="PALENCI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06"/>
  </r>
  <r>
    <n v="220200065600"/>
    <s v="AD"/>
    <d v="2021-03-29T00:00:00"/>
    <n v="22019005624"/>
    <s v="2021 11 1621 622"/>
    <n v="1512.5"/>
    <x v="483"/>
    <s v="GASTOS DIRECCIÓN OBRA CONSTRUCCION LAVADERO VEHICULOS P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10003988"/>
    <s v="AD"/>
    <d v="2021-02-17T00:00:00"/>
    <n v="22021002550"/>
    <s v="2021 07 1721 22799"/>
    <n v="1512.5"/>
    <x v="484"/>
    <s v="REALIZACION DE LA AUDITORIA INTERNA DE LA RCCVA. SERVICIO MEDIO AMBIENTE."/>
    <s v="220"/>
    <s v="OVIEDO"/>
    <s v="ASTURIAS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10005266"/>
    <s v="AD"/>
    <d v="2021-02-22T00:00:00"/>
    <n v="22021002916"/>
    <s v="2021 06 3321 22001"/>
    <n v="1546.04"/>
    <x v="485"/>
    <s v="SUSCRIPCIÓN A VARIAS REVISTAS PARA LA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3656"/>
    <s v="AD"/>
    <d v="2021-02-16T00:00:00"/>
    <n v="22021002591"/>
    <s v="2021 11 1361 632"/>
    <n v="1551.22"/>
    <x v="254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0"/>
    <x v="0"/>
    <s v="6"/>
    <s v="6. Inversiones reales"/>
    <s v="11"/>
    <x v="5"/>
    <s v="1361"/>
    <s v="1361. Prevención y extinción de incencios"/>
    <s v="63"/>
    <s v="632"/>
  </r>
  <r>
    <n v="220210007182"/>
    <s v="AD"/>
    <d v="2021-03-08T00:00:00"/>
    <n v="22021003254"/>
    <s v="2021 11 1361 22199"/>
    <n v="1551.22"/>
    <x v="254"/>
    <s v="Estudio y modificación actualización del proyecto de la segunda fase reforma del Parque de Bomberos de Canterac; SEISYPC"/>
    <s v="220"/>
    <s v="FUENSALDAÑA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06"/>
    <s v="AD"/>
    <d v="2021-03-05T00:00:00"/>
    <n v="22021002966"/>
    <s v="2021 01 9203 22699"/>
    <n v="1573"/>
    <x v="486"/>
    <s v="PLACA CON PLANO Y TEXTO IGLESIA PENITENCIAL DE JESUS"/>
    <s v="220"/>
    <s v="SAN MIGUEL DEL PINO"/>
    <s v="VALLADOLID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699"/>
  </r>
  <r>
    <n v="220210006020"/>
    <s v="AD"/>
    <d v="2021-02-24T00:00:00"/>
    <n v="22021002692"/>
    <s v="2021 03 9241 22700"/>
    <n v="1919.22"/>
    <x v="213"/>
    <s v="SERVICIO DE LIMPIEZA GENERAL EN EL CM SANTIAGO LÓP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12792"/>
    <s v="AD"/>
    <d v="2021-03-25T00:00:00"/>
    <n v="22021003438"/>
    <s v="2021 06 2314 22613"/>
    <n v="1585.1"/>
    <x v="342"/>
    <s v="DISEÑO, MAQUETACIÓN Y ARTE DEL IV PLAN DE JUVENTUD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13"/>
  </r>
  <r>
    <n v="220200037404"/>
    <s v="AD"/>
    <d v="2021-03-29T00:00:00"/>
    <n v="22019008560"/>
    <s v="2021 08 1532 619"/>
    <n v="198.54"/>
    <x v="250"/>
    <s v="Servicio de CONTROL DE CALIDAD EN OBRAS DE  URBANIZACIÓN CALLE COSTA RICA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35870"/>
    <s v="AD"/>
    <d v="2021-03-29T00:00:00"/>
    <n v="22019008819"/>
    <s v="2021 08 1651 619"/>
    <n v="69.89"/>
    <x v="251"/>
    <s v="Coordinación SEG y SALUD  Obras de renovación instalación de alumbrado por tecnología LED en Poligono San Cristóbal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0047923"/>
    <s v="AD"/>
    <d v="2021-03-29T00:00:00"/>
    <n v="22019005725"/>
    <s v="2021 02 1511 619"/>
    <n v="27134.25"/>
    <x v="350"/>
    <s v="REDAC.PROYECTO CONSTRUCCIÓN DE ACERA Y CARRIL BICI EN CTRA. DE FUENSALDAÑA, INCLUIDO ESTUDIO GEOTÉCNICO (LOTE I)"/>
    <s v="220"/>
    <s v="LEON"/>
    <s v="LEON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47924"/>
    <s v="AD"/>
    <d v="2021-03-29T00:00:00"/>
    <n v="22019005724"/>
    <s v="2021 02 1511 619"/>
    <n v="36195.46"/>
    <x v="122"/>
    <s v="REDAC.PROYECTO URBANIZACIÓN CAMINO VIEJO DE SIMANCAS (LOTE II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47925"/>
    <s v="AD"/>
    <d v="2021-03-29T00:00:00"/>
    <n v="22019005729"/>
    <s v="2021 02 1511 619"/>
    <n v="36700.51"/>
    <x v="122"/>
    <s v="REDAC. PROYECTO MEJORA SEGURIDAD VIAL CARRETERA DE MADRID (LOTE III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10001557"/>
    <s v="AD"/>
    <d v="2021-02-02T00:00:00"/>
    <n v="22021001561"/>
    <s v="2021 01 9207 22001"/>
    <n v="1610"/>
    <x v="487"/>
    <s v="SUMINISTRO DIARIO DE PRENSA PARA ALCALDÍA, GABINETE DE GOBIERNO Y MEDIOS DE COMUNICACIÓN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00047932"/>
    <s v="AD"/>
    <d v="2021-03-29T00:00:00"/>
    <n v="22019005728"/>
    <s v="2021 02 1511 619"/>
    <n v="37471.279999999999"/>
    <x v="122"/>
    <s v="ADJ.LOTE 2 REDAC. PROYECTO  REURBANIZACIÓN CALLE DANIEL DEL OLMO Y PRIMER TRAMO AVDA. NORTE CASTILLA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10002861"/>
    <s v="AD"/>
    <d v="2021-02-11T00:00:00"/>
    <n v="22021002377"/>
    <s v="2021 10 2311 22199"/>
    <n v="1611.72"/>
    <x v="339"/>
    <s v="SUMINISTRO PRODUCTO HIGIENE-BOBINAS PAPEL SECAMANOS- PARA CEAS.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00048354"/>
    <s v="AD"/>
    <d v="2021-03-29T00:00:00"/>
    <n v="22020004209"/>
    <s v="2021 02 9332 632"/>
    <n v="23861.919999999998"/>
    <x v="488"/>
    <s v="ADJ.REDAC.ESTUDIO TECNICO DE REV.,ACTUAC., Y REFORMA INSTALACIONES GENERALES EDIFICIO C. CONSISTORIAL (LOTE 1)"/>
    <s v="220"/>
    <s v="NAVALMORAL DE LA MATA"/>
    <s v="CACERES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48355"/>
    <s v="AD"/>
    <d v="2021-03-29T00:00:00"/>
    <n v="22020004209"/>
    <s v="2021 02 9332 632"/>
    <n v="30685.599999999999"/>
    <x v="489"/>
    <s v="ADJ.REDAC.ESTUD.TÉCNICO DE REV., ACTUAL. Y REFORM. INSTALAC.GENERALES EDIFICIO MUNICIPAL SAN BENITO(LOTE 2)"/>
    <s v="220"/>
    <s v="CORVERA"/>
    <s v="ASTURIAS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48356"/>
    <s v="AD"/>
    <d v="2021-03-29T00:00:00"/>
    <n v="22020004209"/>
    <s v="2021 02 9332 632"/>
    <n v="9655.7999999999993"/>
    <x v="490"/>
    <s v="ADJ. REDAC.ESTUD.TÉCNICO DE REVIS., ACTUAL. Y REFORMA INSTAL.GENERALES DEL  EDIFICIO ARCHIVO MUNICIPAL(LOTE 3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37775"/>
    <s v="AD"/>
    <d v="2021-03-29T00:00:00"/>
    <n v="22020000032"/>
    <s v="2021 02 9332 632"/>
    <n v="6089.4"/>
    <x v="250"/>
    <s v="CONTROL DE CALIDAD.OBRA DE SUSTITUCIÓN DE LAS CARPINTERÍAS DEL CLAUSTRO DE SAN BENITO DE VALLADOLID (EXPTE. 26/2019)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37405"/>
    <s v="AD"/>
    <d v="2021-03-29T00:00:00"/>
    <n v="22019008560"/>
    <s v="2021 08 1532 619"/>
    <n v="487.86"/>
    <x v="251"/>
    <s v="Servicio de SEGURIDAD Y SALUD EN OBRAS DE  URBANIZACIÓN CALLE COSTA RICA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49890"/>
    <s v="AD"/>
    <d v="2021-03-29T00:00:00"/>
    <n v="22020006213"/>
    <s v="2021 10 2311 632"/>
    <n v="20925.22"/>
    <x v="120"/>
    <s v="REFORMA BAÑOS CENTRO INTEGRADO-ALBERGUE"/>
    <s v="220"/>
    <s v="VALLADOLID"/>
    <s v="VALLADOLID"/>
    <x v="2"/>
    <s v="AdDirec - Adjudicación Directa"/>
    <s v="SinC - Sin Criterio"/>
    <x v="0"/>
    <x v="0"/>
    <s v="6"/>
    <s v="6. Inversiones reales"/>
    <s v="10"/>
    <x v="8"/>
    <s v="2311"/>
    <s v="2311. Intervención social"/>
    <s v="63"/>
    <s v="632"/>
  </r>
  <r>
    <n v="220200049892"/>
    <s v="AD"/>
    <d v="2021-03-29T00:00:00"/>
    <n v="22020006215"/>
    <s v="2021 10 2311 632"/>
    <n v="300.56"/>
    <x v="0"/>
    <s v="REFORMA BAÑOS CENTRO INTEGRADO - ALBERGUE"/>
    <s v="220"/>
    <s v="VALLADOLID"/>
    <s v="VALLADOLID"/>
    <x v="2"/>
    <s v="AdDirec - Adjudicación Directa"/>
    <s v="SinC - Sin Criterio"/>
    <x v="0"/>
    <x v="0"/>
    <s v="6"/>
    <s v="6. Inversiones reales"/>
    <s v="10"/>
    <x v="8"/>
    <s v="2311"/>
    <s v="2311. Intervención social"/>
    <s v="63"/>
    <s v="632"/>
  </r>
  <r>
    <n v="220210010647"/>
    <s v="AD"/>
    <d v="2021-03-23T00:00:00"/>
    <n v="22021003466"/>
    <s v="2021 07 1721 22799"/>
    <n v="1650"/>
    <x v="491"/>
    <s v="VARIAS INTERVENCIONES ELECTRICAS EN LA RED DE CONTROL ATMOSFERICO. SERVICIO DE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00037776"/>
    <s v="AD"/>
    <d v="2021-03-29T00:00:00"/>
    <n v="22020000032"/>
    <s v="2021 02 9332 632"/>
    <n v="1125.32"/>
    <x v="251"/>
    <s v="SEGURIDAD Y SALUD .OBRA DE SUSTITUCIÓN DE LAS CARPINTERÍAS DEL CLAUSTRO DE SAN BENITO DE VALLADOLID (EXPTE. 26/20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1385"/>
    <s v="AD"/>
    <d v="2021-02-01T00:00:00"/>
    <n v="22021002093"/>
    <s v="2021 11 1321 213"/>
    <n v="1742.4"/>
    <x v="431"/>
    <s v="INSPECCIÓN PERIÓDICA INSTALACIONES ELÉCTRICAS DE BAJA TENSIÓN DE POLICÍA MUNICIPAL EJERCICIO 2021.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0044943"/>
    <s v="AD"/>
    <d v="2021-03-29T00:00:00"/>
    <n v="22020003694"/>
    <s v="2021 06 3321 622"/>
    <n v="2491.14"/>
    <x v="250"/>
    <s v="EXPTE. 10S-SS-55/20. CONTROL DE CALIDAD. OBRA NUEVA. BIBLIOTECA EN PARCELA 143-F DE PARQUESOL"/>
    <s v="220"/>
    <s v="ZARATAN"/>
    <s v="VALLADOLID"/>
    <x v="0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4944"/>
    <s v="AD"/>
    <d v="2021-03-29T00:00:00"/>
    <n v="22020003695"/>
    <s v="2021 06 3321 622"/>
    <n v="453.74"/>
    <x v="251"/>
    <s v="EXPTE. 10S-SS-55/20. ESTUDIO DE SEGURIDAD Y SALUD. OBRA NUEVA. BIBLIOTECA EN PARCELA 143-F DE PARQUESOL"/>
    <s v="220"/>
    <s v="MADRID"/>
    <s v="MADRID"/>
    <x v="0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9883"/>
    <s v="AD"/>
    <d v="2021-03-29T00:00:00"/>
    <n v="22019007679"/>
    <s v="2021 11 1321 632"/>
    <n v="205.63"/>
    <x v="251"/>
    <s v="COORDINACION DE SEGURIDAD Y SALUD ACTUACIÓN EN ENVOLVENTE DEL EDIFICIO DISTRITO 4º POLICÍA MUNICIPAL . CTRA. RUEDA."/>
    <s v="220"/>
    <s v="MADRID"/>
    <s v="MADRID"/>
    <x v="0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6046"/>
    <s v="AD"/>
    <d v="2021-02-24T00:00:00"/>
    <n v="22021002693"/>
    <s v="2021 10 2312 22699"/>
    <n v="1754.5"/>
    <x v="430"/>
    <s v="STORES , 10 UNIDADES PARA LA ZONA DE LAS E. DIURNAS DEL CPM ARCA REAL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00052869"/>
    <s v="AD"/>
    <d v="2021-03-29T00:00:00"/>
    <n v="22019007301"/>
    <s v="2021 07 1721 623"/>
    <n v="8657.5499999999993"/>
    <x v="423"/>
    <s v="SUMINISTRO BOMBA DE ALTA EFICIENCIA"/>
    <s v="220"/>
    <s v="VALLADOLID"/>
    <s v="VALLADOLID"/>
    <x v="1"/>
    <s v="AdDirec - Adjudicación Directa"/>
    <s v="SinC - Sin Criterio"/>
    <x v="0"/>
    <x v="0"/>
    <s v="6"/>
    <s v="6. Inversiones reales"/>
    <s v="07"/>
    <x v="7"/>
    <s v="1721"/>
    <s v="1721. Protección del medio ambiente"/>
    <s v="62"/>
    <s v="623"/>
  </r>
  <r>
    <n v="220210000340"/>
    <s v="AD"/>
    <d v="2021-01-21T00:00:00"/>
    <n v="22021001274"/>
    <s v="2021 08 1532 204"/>
    <n v="1754.92"/>
    <x v="492"/>
    <s v="Alquier de un vehículo todo-camino durante 4 meses, hasta que se materialice la compra definitiva del citado vehículo.-"/>
    <s v="220"/>
    <s v="GETAFE"/>
    <s v="MADR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00055015"/>
    <s v="AD"/>
    <d v="2021-03-29T00:00:00"/>
    <n v="22019005715"/>
    <s v="2021 08 1532 609"/>
    <n v="22022"/>
    <x v="207"/>
    <s v="LOTE 1.-LADERA NORTE:  IFS-2019 Redaccion de proyecto Instalación Elevadores Urbanos en Barrio de Parquesol.-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00055016"/>
    <s v="AD"/>
    <d v="2021-03-29T00:00:00"/>
    <n v="22019005715"/>
    <s v="2021 08 1532 609"/>
    <n v="19602"/>
    <x v="207"/>
    <s v="LOTE 2.-LADERA ESTE: IFS-2019 Redacción de proyecto Instalación Elevadores Urbanos en Barrio de Parquesol.-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10004586"/>
    <s v="ADO"/>
    <d v="2021-02-19T00:00:00"/>
    <n v="22021002925"/>
    <s v="2021 03 9241 22699"/>
    <n v="1758.25"/>
    <x v="493"/>
    <s v="SERV. TRANSP. ENTREGA-RECOGIDA DE MOBILIARIO /// EN AAVV. STOS PILARICA- Bº GIRON- PARQUE  RONDILLA //  AÑO 2020"/>
    <s v="24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0051503"/>
    <s v="AD"/>
    <d v="2021-03-29T00:00:00"/>
    <n v="22019007677"/>
    <s v="2021 11 1321 632"/>
    <n v="1041.72"/>
    <x v="251"/>
    <s v="COORDINACIÓN DE SEGURIDAD Y SALUD REFORMA EDIFICIO JEFATURA DE POLICÍA MUNICIPAL. FASE 1ª."/>
    <s v="220"/>
    <s v="MADRID"/>
    <s v="MADR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0062263"/>
    <s v="AD"/>
    <d v="2021-03-29T00:00:00"/>
    <n v="22020006451"/>
    <s v="2021 07 1711 619"/>
    <n v="309.17"/>
    <x v="251"/>
    <s v="COORDINACION SEGURIDAD Y SALUD, ARREGLO PASEOS AVDA. SALAMANCA Y ESCALERAS ACCESO A PARQUE MEDIODI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9000242"/>
    <s v="AD"/>
    <d v="2021-01-02T00:00:00"/>
    <n v="22021000249"/>
    <s v="2021 09 3341 22701"/>
    <n v="103.38"/>
    <x v="263"/>
    <s v="SERVICIO DE MANTENIMIENTO DE LOS SISTEMAS DE SEGURIDAD Y ALARMA DE LA CÚPULA DEL MILENIO (1 AÑO)"/>
    <s v="220"/>
    <s v="VALLADOLID"/>
    <s v="VALLADOLID"/>
    <x v="0"/>
    <s v="PrAbier - Procedimiento Abierto"/>
    <s v="SinC - Sin Criterio"/>
    <x v="1"/>
    <x v="0"/>
    <s v="2"/>
    <s v="2. Gastos corrientes en bienes y servicios"/>
    <s v="09"/>
    <x v="1"/>
    <s v="3341"/>
    <s v="3341. Coordinación de políticas culturales"/>
    <s v="22"/>
    <s v="22701"/>
  </r>
  <r>
    <n v="220210010511"/>
    <s v="AD"/>
    <d v="2021-03-22T00:00:00"/>
    <n v="22021003371"/>
    <s v="2021 06 2315 22799"/>
    <n v="1777.65"/>
    <x v="376"/>
    <s v="Servicio de Celaduría prestado en el Centro Municipal de la Igualdad durante los meses de enero y febrero / 2 MESES"/>
    <s v="220"/>
    <s v="EL PINAR DE ANTEQUERA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0528"/>
    <s v="AD"/>
    <d v="2021-01-25T00:00:00"/>
    <n v="22021000896"/>
    <s v="2021 10 2412 22103"/>
    <n v="1777.77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199000476"/>
    <s v="AD"/>
    <d v="2021-01-02T00:00:00"/>
    <n v="22021000078"/>
    <s v="2021 04 9204 216"/>
    <n v="1808.22"/>
    <x v="349"/>
    <s v="MANTENIMIENTO DE LA TELEFONÍA Y DATOS, (PRÓRROGA)"/>
    <s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63427"/>
    <s v="AD"/>
    <d v="2021-03-29T00:00:00"/>
    <n v="22020006806"/>
    <s v="2021 03 9241 632"/>
    <n v="17583.3"/>
    <x v="120"/>
    <s v="SUSTITUCIÓN CARPINTERÍA EXTERIOR DE VENTANAS DE LA BIBLIOTECA DEL CC PILARICA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0062264"/>
    <s v="AD"/>
    <d v="2021-03-29T00:00:00"/>
    <n v="22020006452"/>
    <s v="2021 07 1711 619"/>
    <n v="99.28"/>
    <x v="251"/>
    <s v="COORDINACION SEGURIDAD Y SALUD, MEJORAS EN EL ENTORNO DEL LAV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12685"/>
    <s v="AD"/>
    <d v="2021-03-25T00:00:00"/>
    <n v="22021003459"/>
    <s v="2021 06 2315 22611"/>
    <n v="1809.2"/>
    <x v="494"/>
    <s v="Diseño de cartelería para Campaña de Igualdad 8M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7181"/>
    <s v="AD"/>
    <d v="2021-03-08T00:00:00"/>
    <n v="22021003328"/>
    <s v="2021 03 9241 22602"/>
    <n v="1883.97"/>
    <x v="370"/>
    <s v="DISEÑO Y MAQUETACIÓN DIGITAL DE CARTELES Y CARPETAS DE LAS MUESTRAS DE TEATRO VECINAL Y CULTURA TRADICIONAL 20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828"/>
    <s v="AD"/>
    <d v="2021-01-02T00:00:00"/>
    <n v="22021001160"/>
    <s v="2021 04 9204 216"/>
    <n v="1886.63"/>
    <x v="495"/>
    <s v="MANTENIMIENTO Y ASISTENCIA TÉCNICA DEL SOFTWARE KNOSYS"/>
    <s v="220"/>
    <s v="SAN SEBASTIAN DE LOS REYES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6"/>
  </r>
  <r>
    <n v="220209000651"/>
    <s v="AD"/>
    <d v="2021-01-02T00:00:00"/>
    <n v="22021002457"/>
    <s v="2021 08 1651 22700"/>
    <n v="1087.25"/>
    <x v="213"/>
    <s v="Limpieza de las dependencias del Centro de Alumbrado Público. AÑOS 2021 y 2022.-"/>
    <s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2"/>
    <s v="22700"/>
  </r>
  <r>
    <n v="220209000238"/>
    <s v="AD"/>
    <d v="2021-01-02T00:00:00"/>
    <n v="22021000246"/>
    <s v="2021 09 3301 22799"/>
    <n v="1936"/>
    <x v="496"/>
    <s v="REALIZACION CATALOGO LOCALIZACIONES COMO ESPACIOS DE RODAJE DISPONIBLES PARA PRODUCTORAS QUE RUEDEN EN VALLADOLID. 2021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99"/>
  </r>
  <r>
    <n v="220210001914"/>
    <s v="AD"/>
    <d v="2021-02-04T00:00:00"/>
    <n v="22021002148"/>
    <s v="2021 02 9332 213"/>
    <n v="1950.91"/>
    <x v="497"/>
    <s v="Contrato menor mantenimiento instalación control acceso edificios Archivo Mpal ejercicio 2021"/>
    <s v="220"/>
    <s v="BARCELONA"/>
    <s v="BARCELONA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54"/>
    <s v="AD"/>
    <d v="2021-02-11T00:00:00"/>
    <n v="22021002294"/>
    <s v="2021 04 3121 22106"/>
    <n v="2000"/>
    <x v="498"/>
    <s v="Adqusiicon vacunas GSK de Hepatitis B y Tétanos para revacunar a empleados del Ayto. Departamento de Preevención y Salud"/>
    <s v="220"/>
    <s v="TRES CANTOS"/>
    <s v="MADR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00071538"/>
    <s v="AD"/>
    <d v="2021-03-29T00:00:00"/>
    <n v="22020007416"/>
    <s v="2021 06 3321 625"/>
    <n v="1739"/>
    <x v="499"/>
    <s v="ADQUISICIÓN ESTANTERÍAS CON DESTINO A LOS PUNTOS DE LECTURA"/>
    <s v="220"/>
    <s v="VALLADOLID"/>
    <s v="VALLADOLID"/>
    <x v="1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5"/>
  </r>
  <r>
    <n v="220200071764"/>
    <s v="AD"/>
    <d v="2021-03-29T00:00:00"/>
    <n v="22020007283"/>
    <s v="2021 01 9205 623"/>
    <n v="8530.5"/>
    <x v="500"/>
    <s v="ADJUDICACIÓN SUMINISTRO MÁQUINA TRASPALETA ELÉCTRICA CON ELEVACIÓN PARA LA IMPRENTA"/>
    <s v="220"/>
    <s v="VALLADOLID"/>
    <s v="VALLADOLID"/>
    <x v="1"/>
    <s v="AdDirec - Adjudicación Directa"/>
    <s v="SinC - Sin Criterio"/>
    <x v="0"/>
    <x v="0"/>
    <s v="6"/>
    <s v="6. Inversiones reales"/>
    <s v="01"/>
    <x v="4"/>
    <s v="9205"/>
    <s v="9205. Imprenta municipal"/>
    <s v="62"/>
    <s v="623"/>
  </r>
  <r>
    <n v="220200049882"/>
    <s v="AD"/>
    <d v="2021-03-29T00:00:00"/>
    <n v="22019007679"/>
    <s v="2021 11 1321 632"/>
    <n v="351"/>
    <x v="250"/>
    <s v="CONTROL DE CALIDAD ACTUACIÓN EN ENVOLVENTE DEL EDIFICIO DISTRITO 4º POLICÍA MUNICIPAL . CTRA. RUEDA."/>
    <s v="220"/>
    <s v="ZARATAN"/>
    <s v="VALLADOLID"/>
    <x v="0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0063428"/>
    <s v="AD"/>
    <d v="2021-03-29T00:00:00"/>
    <n v="22020005826"/>
    <s v="2021 07 1711 619"/>
    <n v="91.53"/>
    <x v="251"/>
    <s v="COORDINACION SEGURIDAD Y SALUD, EJECUCION CORREDOR VERDE ENTRE COVARESA Y PINAR DE ANTEQUER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12889"/>
    <s v="AD"/>
    <d v="2021-03-29T00:00:00"/>
    <n v="22021003676"/>
    <s v="2021 04 3121 22799"/>
    <n v="2000"/>
    <x v="367"/>
    <s v="Calibraciones equipos médicos. Departamento de Prevención y Salud Laboral"/>
    <s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99"/>
  </r>
  <r>
    <n v="220210001353"/>
    <s v="AD"/>
    <d v="2021-02-01T00:00:00"/>
    <n v="22021000832"/>
    <s v="2021 11 1621 22700"/>
    <n v="2000"/>
    <x v="278"/>
    <s v="SERVICIOS DE LIMPIEZA DE FOSA SEPTICA DEL VESTUARIO DE ZONA DE &quot;&quot;PAQUE MORERAS&quot;&quot;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10009395"/>
    <s v="AD"/>
    <d v="2021-03-15T00:00:00"/>
    <n v="22021003434"/>
    <s v="2021 11 1321 22699"/>
    <n v="2000"/>
    <x v="501"/>
    <s v="ADQUISICIÓN DE KITS DETECTORES DE DROGAS Y TUBOS DE ENSAYO PARA TRASLADO.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500"/>
    <s v="AD"/>
    <d v="2021-01-25T00:00:00"/>
    <n v="22021001284"/>
    <s v="2021 07 1711 214"/>
    <n v="2000"/>
    <x v="502"/>
    <s v="TRABAJOS EN VEHICULOS DE JARDINES."/>
    <s v="220"/>
    <s v="ALDEAMAYOR DE SAN MARTIN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09000393"/>
    <s v="AD"/>
    <d v="2021-01-02T00:00:00"/>
    <n v="22021000285"/>
    <s v="2021 08 1341 22103"/>
    <n v="2000"/>
    <x v="363"/>
    <s v="Gasolina vehículos CMU AÑO 2021"/>
    <s v="220"/>
    <s v="MADRID"/>
    <s v="MADR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103"/>
  </r>
  <r>
    <n v="220200029105"/>
    <s v="AD"/>
    <d v="2021-03-29T00:00:00"/>
    <n v="22019005726"/>
    <s v="2021 08 1532 619"/>
    <n v="2001.76"/>
    <x v="503"/>
    <s v="OBRAS DE URBANIZACIÓN DE LA CALLE ARALIA.-"/>
    <s v="220"/>
    <s v="ZAMORA"/>
    <s v="ZAMORA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6017"/>
    <s v="AD"/>
    <d v="2021-02-24T00:00:00"/>
    <n v="22021002975"/>
    <s v="2021 03 9241 22602"/>
    <n v="2049.89"/>
    <x v="380"/>
    <s v="1200 GUIAS, 1200 FOLLETOS, 1 ROLL-UP EN LONA, 60 CARTELES, 10 MASCARILLAS A COLOR. PRESENTACION PRESUPUESTOS PPTVOS.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1372"/>
    <s v="AD"/>
    <d v="2021-02-01T00:00:00"/>
    <n v="22021002074"/>
    <s v="2021 11 1321 213"/>
    <n v="2051.9699999999998"/>
    <x v="333"/>
    <s v="MANTENIMIENTO ASCENSOR EDIFICIO DISTRITO TERCERO DE POLICIA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0526"/>
    <s v="AD"/>
    <d v="2021-01-25T00:00:00"/>
    <n v="22021000679"/>
    <s v="2021 10 2412 213"/>
    <n v="20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6064"/>
    <s v="AD"/>
    <d v="2021-02-24T00:00:00"/>
    <n v="22021002869"/>
    <s v="2021 09 3301 22706"/>
    <n v="2178"/>
    <x v="463"/>
    <s v="SEGUIMIENTO ARQUEOLOGICO TRABAJOS INVESTIGACIÓN GEOFÍSICA SUBSUELO DEL LOCAL SITO EN CALLE CONSTITUCIÓN, 10 - 4 MESES"/>
    <s v="220"/>
    <s v="LA CISTÉRNIGA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06"/>
  </r>
  <r>
    <n v="220210001915"/>
    <s v="AD"/>
    <d v="2021-02-04T00:00:00"/>
    <n v="22021002080"/>
    <s v="2021 03 9241 213"/>
    <n v="2198.17"/>
    <x v="504"/>
    <s v="INSTALACIÓN ELÉCTRICA EN PISTA DEPORTIVA CM LA OVERUELA"/>
    <s v="220"/>
    <s v="CISTÉ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8451"/>
    <s v="AD"/>
    <d v="2021-03-11T00:00:00"/>
    <n v="22021003350"/>
    <s v="2021 06 3232 22799"/>
    <n v="2200"/>
    <x v="344"/>
    <s v="SUMINISTRO DE PLATAFORMAS ELEVADORAS PARA PROCEDER A LAS REPARACIONES DE TEJADOS Y CANALONES EN CEIP PÚBLICOS. 10 MESES."/>
    <s v="220"/>
    <s v="LAGUNA DE DUERO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10006567"/>
    <s v="AD"/>
    <d v="2021-03-01T00:00:00"/>
    <n v="22021003045"/>
    <s v="2021 04 9209 625"/>
    <n v="511.83"/>
    <x v="505"/>
    <s v="ADQUISICIÓN DE MOBILIARIO CON DESTINO AL DEPARTAMENTO DE PREVENCIÓN Y SALUD LABORAL (3 TABURETES ALTOS)."/>
    <s v="220"/>
    <s v="VALLADOLID"/>
    <s v="VALLADOLID"/>
    <x v="1"/>
    <s v="AdDirec - Adjudicación Directa"/>
    <s v="SinC - Sin Criterio"/>
    <x v="0"/>
    <x v="0"/>
    <s v="6"/>
    <s v="6. Inversiones reales"/>
    <s v="04"/>
    <x v="3"/>
    <s v="9209"/>
    <s v="9209. Dirección del area de hacienda y función pública"/>
    <s v="62"/>
    <s v="625"/>
  </r>
  <r>
    <n v="220210010515"/>
    <s v="AD"/>
    <d v="2021-03-22T00:00:00"/>
    <n v="22021003515"/>
    <s v="2021 02 1501 203"/>
    <n v="2211.84"/>
    <x v="506"/>
    <s v="ALQUILER PLOTTER ESCANER SERVICIO CARTOGRAFÍA"/>
    <s v="220"/>
    <s v="LAS ROZAS"/>
    <s v="MADRID"/>
    <x v="0"/>
    <s v="AdDirec - Adjudicación Directa"/>
    <s v="SinC - Sin Criterio"/>
    <x v="0"/>
    <x v="0"/>
    <s v="2"/>
    <s v="2. Gastos corrientes en bienes y servicios"/>
    <s v="02"/>
    <x v="10"/>
    <s v="1501"/>
    <s v="1501. Dirección del área de urbanismo"/>
    <s v="20"/>
    <s v="203"/>
  </r>
  <r>
    <n v="220210006574"/>
    <s v="AD"/>
    <d v="2021-03-01T00:00:00"/>
    <n v="22021002973"/>
    <s v="2021 01 9207 22602"/>
    <n v="2178"/>
    <x v="507"/>
    <s v="COVID-19: INSERTAR PUBLICIDAD EN REVISTA MÁS TRIBUNA EFECTOS PANDEMIA EN CASTILLA Y LEÓN UN AÑO DESPUÉS"/>
    <s v="220"/>
    <s v="SALAMANCA"/>
    <s v="SALAMANCA"/>
    <x v="0"/>
    <s v="PrAbier - Procedimiento Abierto"/>
    <s v="MultiC - MultiCriterio"/>
    <x v="2"/>
    <x v="0"/>
    <s v="2"/>
    <s v="2. Gastos corrientes en bienes y servicios"/>
    <s v="01"/>
    <x v="4"/>
    <s v="9207"/>
    <s v="9207. Gobierno y relaciones"/>
    <s v="22"/>
    <s v="22602"/>
  </r>
  <r>
    <n v="220200033373"/>
    <s v="AD"/>
    <d v="2021-03-29T00:00:00"/>
    <n v="22020004800"/>
    <s v="2021 02 9332 632"/>
    <n v="2241.2800000000002"/>
    <x v="320"/>
    <s v="INSTALACION TERMICA DE CLIMATIZACIÓN DEL ARCHIVO MUNICIPAL"/>
    <s v="220"/>
    <s v="VALLADOLID"/>
    <s v="MADR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10006576"/>
    <s v="AD"/>
    <d v="2021-03-01T00:00:00"/>
    <n v="22021002275"/>
    <s v="2021 03 9241 213"/>
    <n v="4573.92"/>
    <x v="263"/>
    <s v="PRÓRROGA LOTE 7 (DEL 27/02/21 AL 30/04/21) CONTRATO MANTENIMIENTO ALARMAS CENTROS SPC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6061"/>
    <s v="AD"/>
    <d v="2021-02-24T00:00:00"/>
    <n v="22021002884"/>
    <s v="2021 06 3321 22199"/>
    <n v="2300"/>
    <x v="341"/>
    <s v="SUMINISTRO DE MATERIALES DE OFICINA PARA LAS BIBLIOTECAS MUNICIPALES. PLAZO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199"/>
  </r>
  <r>
    <n v="220210009389"/>
    <s v="AD"/>
    <d v="2021-03-15T00:00:00"/>
    <n v="22021003418"/>
    <s v="2021 11 1321 22706"/>
    <n v="2420"/>
    <x v="508"/>
    <s v="SERV. TECN. REDACCIÓN PROYECTO EJECUCIÓN REFORMA Y AMPLIACIÓN VESTUARIOS EDIF. ANEXO DEPEND.  DISTRITO 4º POLICÍA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10005604"/>
    <s v="D"/>
    <d v="2021-02-23T00:00:00"/>
    <n v="22021002057"/>
    <s v="2021 11 1631 22199"/>
    <n v="606.86"/>
    <x v="82"/>
    <s v="AC MARCO EXP. V36-2017: SUMINISTROS ELÉCTRIC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696"/>
    <s v="ADO"/>
    <d v="2021-03-02T00:00:00"/>
    <n v="22021003147"/>
    <s v="2021 02 9332 213"/>
    <n v="581.70000000000005"/>
    <x v="160"/>
    <s v="Mantenimiento Instalaciones Edificio Santa Ana - LOTE 4 (Nº EXPTE: 11/2020) // MES DICIEMBRE 2020"/>
    <s v="240"/>
    <s v="ALBACETE"/>
    <s v="ALBACETE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6697"/>
    <s v="ADO"/>
    <d v="2021-03-02T00:00:00"/>
    <n v="22021003148"/>
    <s v="2021 02 9332 213"/>
    <n v="581.70000000000005"/>
    <x v="160"/>
    <s v="Mantenimiento Equipos de aire acondicionado Archivo municipal - LOTE 3 (EXPTE: 11/2020) // MES DICIEMBRE"/>
    <s v="240"/>
    <s v="ALBACETE"/>
    <s v="ALBACETE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5612"/>
    <s v="D"/>
    <d v="2021-02-23T00:00:00"/>
    <n v="22021002057"/>
    <s v="2021 11 1631 22199"/>
    <n v="378.77"/>
    <x v="82"/>
    <s v="AC MARCO EXP. V36-2017 MATERIAL ELELCTRICO PARA PUNTO LIMPIO SITO EN C/ VALLE DE ARN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680"/>
    <s v="D"/>
    <d v="2021-03-02T00:00:00"/>
    <n v="22021002227"/>
    <s v="2021 06 3321 212"/>
    <n v="77.790000000000006"/>
    <x v="82"/>
    <s v="BALIZA LED ZEMPER VIGIA NP 5LM 3H LVA-0011 ALUMINIO ( 6 UNIDADES ) /// DESTINO: BIBLIOTECA ZONA ESTE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6698"/>
    <s v="D"/>
    <d v="2021-03-02T00:00:00"/>
    <n v="22021002006"/>
    <s v="2021 11 3111 22199"/>
    <n v="428.44"/>
    <x v="82"/>
    <s v="A.M V.36/2017 OTRO SUMINISTROCONGE HORIZ EDESA EZH2014 / BASE GEW GW66208N 3P+T 16A 415V 6H VERT. IP67 (DEPÓSITO CANIN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0526"/>
    <s v="AD"/>
    <d v="2021-01-25T00:00:00"/>
    <n v="22021000676"/>
    <s v="2021 10 2412 213"/>
    <n v="238.8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10751"/>
    <s v="D"/>
    <d v="2021-03-23T00:00:00"/>
    <n v="22021002006"/>
    <s v="2021 11 3111 22199"/>
    <n v="48.3"/>
    <x v="188"/>
    <s v="AM V.36/2017 CERRADURA TESA 2030 60 RHN 1/2 (1 UNIDAD)   /  DESTINO: PISO EUSEBIO GONZALEZ, Nº 12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0518"/>
    <s v="AD"/>
    <d v="2021-01-25T00:00:00"/>
    <n v="22021000781"/>
    <s v="2021 11 1621 214"/>
    <n v="2500"/>
    <x v="475"/>
    <s v="SUMINISTRO REPUESTOS REPARACION EQUIPOS RECOLECTORES MODELO GEESINK VEHÍCULOS Sº LIMPIEZA"/>
    <s v="220"/>
    <s v="TORREJÓN DE ARDOZ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0485"/>
    <s v="AD"/>
    <d v="2021-01-25T00:00:00"/>
    <n v="22021001230"/>
    <s v="2021 07 1711 22113"/>
    <n v="2500"/>
    <x v="509"/>
    <s v="PRODUCTOS DE ALIMENTACIÓN ANIMAL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13"/>
  </r>
  <r>
    <n v="220209000553"/>
    <s v="AD"/>
    <d v="2021-01-02T00:00:00"/>
    <n v="22021000584"/>
    <s v="2021 06 3232 22104"/>
    <n v="4500"/>
    <x v="447"/>
    <s v="CONTRATO CENTRALIZADO VESTUARIO. PORTEROS COLEGIOS PUBLICOS. AÑO 2021. LOTE 2. CALZADO"/>
    <s v="220"/>
    <s v="MALAGA"/>
    <s v="MALAGA"/>
    <x v="1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4"/>
  </r>
  <r>
    <n v="220209000564"/>
    <s v="AD"/>
    <d v="2021-01-02T00:00:00"/>
    <n v="22021000593"/>
    <s v="2021 05 4315 22100"/>
    <n v="1039.44"/>
    <x v="447"/>
    <s v="VESTUARIO DE TRABAJO PARA EL PERSONAL DEL SERVICIO DE SALUD Y CONSUIMO - LOTE 2 CALZADO"/>
    <s v="220"/>
    <s v="MALAGA"/>
    <s v="MALAG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13"/>
    <s v="AD"/>
    <d v="2021-01-02T00:00:00"/>
    <n v="22021000631"/>
    <s v="2021 10 2311 22104"/>
    <n v="326.60000000000002"/>
    <x v="447"/>
    <s v="CONTRATO VESTUARIO AÑO 2021 (CONTRATO 20 Y 21) SERV.INTERVENCION SOCIAL. LOTE 2 CALZADO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4"/>
  </r>
  <r>
    <n v="220209000644"/>
    <s v="AD"/>
    <d v="2021-01-02T00:00:00"/>
    <n v="22021000408"/>
    <s v="2021 10 2312 22104"/>
    <n v="1331"/>
    <x v="447"/>
    <s v="VESTUARIO LOTE 2 ZAPATOS DE LOS CPM TRANSFERIDOS PARA EL AÑO 2021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09000645"/>
    <s v="AD"/>
    <d v="2021-01-02T00:00:00"/>
    <n v="22021000409"/>
    <s v="2021 10 2312 22104"/>
    <n v="847"/>
    <x v="447"/>
    <s v="VESTUARIO, LOTE2, ZAPATOS DE LOS CPM SIN TRANSFERIR PARA 2021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01352"/>
    <s v="AD"/>
    <d v="2021-02-01T00:00:00"/>
    <n v="22021000825"/>
    <s v="2021 11 1621 214"/>
    <n v="2500"/>
    <x v="510"/>
    <s v="SUMINISTRO REPUESTOS ELECTRONOCOS REPARACION RECOLECTORES VEHICULOS Sº LIMPIEZA"/>
    <s v="220"/>
    <s v="ZARATAN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179000245"/>
    <s v="AD"/>
    <d v="2021-01-02T00:00:00"/>
    <n v="22021000118"/>
    <s v="2021 09 3341 22799"/>
    <n v="2555.52"/>
    <x v="213"/>
    <s v="CONTRATO SERVICIO DE DISTRIBUCION COMERCIAL, ALMACENAJE Y CUSTODIA REMANENTES PUBLICACIONES COMERCIALES AYTO. VA 2018-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9139"/>
    <s v="AD"/>
    <d v="2021-03-12T00:00:00"/>
    <n v="22021003375"/>
    <s v="2021 05 4331 22606"/>
    <n v="2597.5"/>
    <x v="346"/>
    <s v="CONTRATO DE ORGANIZACIÓN, GESTIÓN COORDINACIÓN Y EJECUCIÓN DE JORNADA ONLINE DE METABOLISMO URBANO Y DINAMIZACION EMPRES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6"/>
  </r>
  <r>
    <n v="220210001362"/>
    <s v="AD"/>
    <d v="2021-02-01T00:00:00"/>
    <n v="22021001300"/>
    <s v="2021 11 1621 213"/>
    <n v="2610.56"/>
    <x v="333"/>
    <s v="MANTENIMIENTO ASCENSOR INSTALACIONES SERVICIO DE LIMPIEZA C/ TOPACIO, 63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355"/>
    <s v="AD"/>
    <d v="2021-02-04T00:00:00"/>
    <n v="22021002064"/>
    <s v="2021 10 2412 22199"/>
    <n v="2666.66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4011"/>
    <s v="AD"/>
    <d v="2021-02-17T00:00:00"/>
    <n v="22021002560"/>
    <s v="2021 07 1721 213"/>
    <n v="2700"/>
    <x v="511"/>
    <s v="REPARACIONES DE LOS EQUIPOS DE AGUA ULTRAPURA DEL LABORATORIO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9386"/>
    <s v="AD"/>
    <d v="2021-03-15T00:00:00"/>
    <n v="22021003421"/>
    <s v="2021 03 9241 212"/>
    <n v="2711.61"/>
    <x v="512"/>
    <s v="TRABAJOS DE PINTURA, MANO DE OBRA Y MATERIALES, EN CC RONDILLA (830 m2).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4255"/>
    <s v="AD"/>
    <d v="2021-02-18T00:00:00"/>
    <n v="22021002745"/>
    <s v="2021 02 9332 632"/>
    <n v="2714.22"/>
    <x v="513"/>
    <s v="REPARACIÓN REVESTIMIENTO INFERIOR DEL FORJADO EXISTENTE SOBRE EL PÓRTICO ENTRADA CASA CONSISTORIAL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10006975"/>
    <s v="AD"/>
    <d v="2021-03-04T00:00:00"/>
    <n v="22021003220"/>
    <s v="2021 02 9332 212"/>
    <n v="568.70000000000005"/>
    <x v="119"/>
    <s v="DETECTAR AVERIA (FUGA DE AGUA) INSTALACIÓN CALEFACCIÓN EDIF.MUNICIPAL SAN BENITO (PUERTA 40).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12882"/>
    <s v="AD"/>
    <d v="2021-03-29T00:00:00"/>
    <n v="22021003665"/>
    <s v="2021 11 1621 214"/>
    <n v="2730"/>
    <x v="514"/>
    <s v="VINILADO LATERALES RECOLECTOR VEHICULOS SCANIA Y ROTULACIONES VEHCIULOS DEL SERVICIO DE LIMPIEZA"/>
    <s v="220"/>
    <s v="ZARATAN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6450"/>
    <s v="AD"/>
    <d v="2021-02-26T00:00:00"/>
    <n v="22021002528"/>
    <s v="2021 09 3341 22699"/>
    <n v="2783"/>
    <x v="515"/>
    <s v="CONTRATO REALIZACIÓN DE VIDEO Y BOOK FOTOGRAFÍAS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210007126"/>
    <s v="AD"/>
    <d v="2021-03-05T00:00:00"/>
    <n v="22021003203"/>
    <s v="2021 11 1621 213"/>
    <n v="2800"/>
    <x v="343"/>
    <s v="MANTENIMIENTO DE INSTALACIONES CONTRA INCENDIOS DEL SERVICIO DE LIMPIEZA"/>
    <s v="220"/>
    <s v="ZARATAN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6981"/>
    <s v="AD"/>
    <d v="2021-03-04T00:00:00"/>
    <n v="22021002965"/>
    <s v="2021 10 2311 22799"/>
    <n v="375000"/>
    <x v="279"/>
    <s v="CONTRATO AYUDA A DOMICILIO-LOTE 2 COMIDAS SAD-COVID-19- AÑO 2021.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7180"/>
    <s v="AD"/>
    <d v="2021-03-08T00:00:00"/>
    <n v="22021003327"/>
    <s v="2021 03 9241 22602"/>
    <n v="2880"/>
    <x v="370"/>
    <s v="DISEÑO Y MAQUETACIÓN DIGITAL DE CARTELES Y FLYERS DE LAS EXPOSICIONES PROGRAMADAS EN LOS 13 CENTROS CIVICOS AÑO 20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6985"/>
    <s v="D"/>
    <d v="2021-03-04T00:00:00"/>
    <n v="22021001285"/>
    <s v="2021 06 2314 22799"/>
    <n v="207428.52"/>
    <x v="31"/>
    <s v="SE-EIJI 6/2020. P.S. 4- CONTRATO DINAMIZACIÓN ESPACIO JOVEN NORTE LOTE 1. REAJUSTE DE ANUALIDADES AÑO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6990"/>
    <s v="ADO"/>
    <d v="2021-03-05T00:00:00"/>
    <n v="22021002875"/>
    <s v="2021 10 2311 213"/>
    <n v="56.8"/>
    <x v="27"/>
    <s v="F-766. ALPA. COPIAS COLOR Y NEGRO (460+4.384) / R319Z00988 -FC011347 / DE 01-10-120 A 31-12-20 / CEAS HOSPITAL PTA.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629"/>
    <s v="AD"/>
    <d v="2021-01-02T00:00:00"/>
    <n v="22021000404"/>
    <s v="2021 10 2316 22799"/>
    <n v="2880"/>
    <x v="516"/>
    <s v="Talleres de prev. de la intolerancia y los delitos de odio en Centros de Educación Sec. e Institutos. Enero a May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6"/>
    <s v="2316. Mediación comunitaria"/>
    <s v="22"/>
    <s v="22799"/>
  </r>
  <r>
    <n v="220210000526"/>
    <s v="AD"/>
    <d v="2021-01-25T00:00:00"/>
    <n v="22021000677"/>
    <s v="2021 10 2412 213"/>
    <n v="238.8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7008"/>
    <s v="ADO"/>
    <d v="2021-03-05T00:00:00"/>
    <n v="22021002945"/>
    <s v="2021 10 2311 213"/>
    <n v="27.06"/>
    <x v="27"/>
    <s v="F-688. ALPA. COPIAS M3655 / R4Q9Z32149 -FC011331 (3.671)  DE 01-10-20  A  04-01-21. CEAS BARRIO ESPAÑ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09"/>
    <s v="ADO"/>
    <d v="2021-03-05T00:00:00"/>
    <n v="22021002947"/>
    <s v="2021 10 2311 213"/>
    <n v="68.33"/>
    <x v="27"/>
    <s v="F-694. ALPA. COPIAS M3655 / R4Q9Z32175 -FC011317 (9.273) / DE 01-10-20  A  04-01-21. CEAS HOSPITAL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10"/>
    <s v="ADO"/>
    <d v="2021-03-05T00:00:00"/>
    <n v="22021002948"/>
    <s v="2021 10 2311 213"/>
    <n v="124.03"/>
    <x v="27"/>
    <s v="F-740. ALPA. COPIAS COLOR Y NEGRO/ R319Z00680 -FC011345 / DE 01-10-20 A 04-01-21/  CC JOSE LUIS MOSQUERA, PTA BJ (CEAS)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11"/>
    <s v="ADO"/>
    <d v="2021-03-05T00:00:00"/>
    <n v="22021002952"/>
    <s v="2021 10 2412 213"/>
    <n v="164.86"/>
    <x v="27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7011"/>
    <s v="ADO"/>
    <d v="2021-03-05T00:00:00"/>
    <n v="22021002953"/>
    <s v="2021 10 2412 213"/>
    <n v="32.979999999999997"/>
    <x v="27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7012"/>
    <s v="ADO"/>
    <d v="2021-03-05T00:00:00"/>
    <n v="22021002955"/>
    <s v="2021 10 2312 213"/>
    <n v="77.45"/>
    <x v="27"/>
    <s v="COPIAS M3655 / R4Q9Z32280 -FC011333 (10.510)/ DE 01-10-20 A 04-01-21/  CPM ZONA SUR PTA. 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7014"/>
    <s v="ADO"/>
    <d v="2021-03-05T00:00:00"/>
    <n v="22021002963"/>
    <s v="2021 10 2311 213"/>
    <n v="843.6"/>
    <x v="27"/>
    <s v="CORRECTA APLICACION PAGO FRAS. POR ALQUILERES 4º TRIMESTRE,  FOTOCOPIADOS INTERVENCION  SOCIAL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63"/>
    <s v="D"/>
    <d v="2021-03-05T00:00:00"/>
    <n v="22021002144"/>
    <s v="2021 10 2311 212"/>
    <n v="55.18"/>
    <x v="410"/>
    <s v="F-1843. SUMINISTROS GARCICHAO, S.L. 2 UD DISPENSADOR PAPEL ESTANDA INOX (CEAS SAN AGUSTÍN).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7020"/>
    <s v="D"/>
    <d v="2021-03-05T00:00:00"/>
    <n v="22021001038"/>
    <s v="2021 10 2312 212"/>
    <n v="51"/>
    <x v="410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7025"/>
    <s v="ADO"/>
    <d v="2021-03-05T00:00:00"/>
    <n v="22021003048"/>
    <s v="2021 10 2316 213"/>
    <n v="84.36"/>
    <x v="27"/>
    <s v="F-365. ALPA. ALQUILER TRIMESTRAL 01/10/2020 - 31/12/2020  N.SERIE: R4Q9Z32155 - FC011393. UBICACION: CAI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3650"/>
    <s v="AD"/>
    <d v="2021-02-16T00:00:00"/>
    <n v="22021002600"/>
    <s v="2021 11 1361 22199"/>
    <n v="2925.78"/>
    <x v="517"/>
    <s v="Espumógeno Bio For N (620 l.) para extinción de incendios de clase A y B para intervenciones; SEISYPC.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030"/>
    <s v="ADO"/>
    <d v="2021-03-05T00:00:00"/>
    <n v="22021003061"/>
    <s v="2021 10 2311 213"/>
    <n v="1148.8800000000001"/>
    <x v="27"/>
    <s v="CORRECTA APLICACION PAGO FRAS, ALQUILER Y COPIAS CUARTO TRIMESTRE 2020, MAQUINAS INTERVENCION SOCIAL.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6702"/>
    <s v="D"/>
    <d v="2021-03-02T00:00:00"/>
    <n v="22021002089"/>
    <s v="2021 03 9241 213"/>
    <n v="88.02"/>
    <x v="82"/>
    <s v="EMERGEN LEGRAND / MARCO LEGRAND EMPOTRAR (CC PARQUESOL) / DETECTOR LEGRAND (CC J.LUIS MOSQUER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7053"/>
    <s v="D"/>
    <d v="2021-03-05T00:00:00"/>
    <n v="22021001962"/>
    <s v="2021 07 1721 22199"/>
    <n v="198.89"/>
    <x v="285"/>
    <s v="GUANTE MONO USO SHOWA / GUANTE NITRILO BIODEG. / ZUECO UNISEX / BATA MUJER M/L /  MASCARILLA REUT ./ CLICK CARTUCHO. A.M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99"/>
  </r>
  <r>
    <n v="220210006706"/>
    <s v="D"/>
    <d v="2021-03-02T00:00:00"/>
    <n v="22021002371"/>
    <s v="2021 02 9332 212"/>
    <n v="30.73"/>
    <x v="82"/>
    <s v="CALEFACTOR SYP TL-39V VERTIC. IP21 (ACOP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00032692"/>
    <s v="AD"/>
    <d v="2021-03-29T00:00:00"/>
    <n v="22020001016"/>
    <s v="2021 10 2311 625"/>
    <n v="2975.4"/>
    <x v="412"/>
    <s v="PRORROGA CTTO INVERSION EN PRODUCTOS DE APOYO A LAS PERSONAS USUARIAS DE SAD-JUL A DIC"/>
    <s v="220"/>
    <s v="VALLADOLID"/>
    <s v="VALLADOLID"/>
    <x v="1"/>
    <s v="PrAbier - Procedimiento Abierto"/>
    <s v="MultiC - MultiCriterio"/>
    <x v="1"/>
    <x v="0"/>
    <s v="6"/>
    <s v="6. Inversiones reales"/>
    <s v="10"/>
    <x v="8"/>
    <s v="2311"/>
    <s v="2311. Intervención social"/>
    <s v="62"/>
    <s v="625"/>
  </r>
  <r>
    <n v="220210007145"/>
    <s v="AD"/>
    <d v="2021-03-05T00:00:00"/>
    <n v="22021003145"/>
    <s v="2021 07 1711 214"/>
    <n v="3000"/>
    <x v="518"/>
    <s v="REPARACION E INSTALACION DE NEUMATICOS,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1349"/>
    <s v="AD"/>
    <d v="2021-02-01T00:00:00"/>
    <n v="22021000779"/>
    <s v="2021 11 1621 22199"/>
    <n v="3000"/>
    <x v="270"/>
    <s v="SUMINISTRO MATERIAL PINTURA PARA EL SERVICIO DE LIMPIEZ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199"/>
  </r>
  <r>
    <n v="220209000145"/>
    <s v="AD"/>
    <d v="2021-01-02T00:00:00"/>
    <n v="22021000215"/>
    <s v="2021 05 4331 22799"/>
    <n v="1800"/>
    <x v="326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12877"/>
    <s v="AD"/>
    <d v="2021-03-29T00:00:00"/>
    <n v="22021003657"/>
    <s v="2021 11 1621 214"/>
    <n v="3000"/>
    <x v="519"/>
    <s v="MECANIZADO DE PIEZAS PARA RECOLECTORES Y BARREDORA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7100"/>
    <s v="AD"/>
    <d v="2021-03-05T00:00:00"/>
    <n v="22021003160"/>
    <s v="2021 11 1321 214"/>
    <n v="96.29"/>
    <x v="96"/>
    <s v="REPARACIÓN DE VEHÍCULO DE POLICÍA MUNICIPAL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7101"/>
    <s v="AD"/>
    <d v="2021-03-05T00:00:00"/>
    <n v="22021003161"/>
    <s v="2021 11 1321 214"/>
    <n v="78.569999999999993"/>
    <x v="215"/>
    <s v="REPARACIÓN VEHÍCULO 9447HMT DE POLICÍA MUNICIPAL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7102"/>
    <s v="AD"/>
    <d v="2021-03-05T00:00:00"/>
    <n v="22021003162"/>
    <s v="2021 11 1321 214"/>
    <n v="65.3"/>
    <x v="326"/>
    <s v="REPARACIÓN VEHÍCULO 3999JKP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88"/>
    <s v="AD"/>
    <d v="2021-02-01T00:00:00"/>
    <n v="22021002171"/>
    <s v="2021 11 1621 214"/>
    <n v="3000"/>
    <x v="520"/>
    <s v="SUMINISTRO REPUESTOS PARA REPARACION CAJAS DE CAMBIOS AUTOMATICAS MARCA ALLISON DE VEHICULOS DEL Sº LIMPIEZA"/>
    <s v="220"/>
    <s v="COSLADA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1370"/>
    <s v="AD"/>
    <d v="2021-02-01T00:00:00"/>
    <n v="22021002071"/>
    <s v="2021 11 1321 213"/>
    <n v="3005.64"/>
    <x v="521"/>
    <s v="MANTENIMIENTO E INSPECCIONES DE SEGURIDAD RADIOLÓGICA EN ESCANER DE PAQUETERÍA C. CONSISTORIAL 2021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4233"/>
    <s v="AD"/>
    <d v="2021-02-18T00:00:00"/>
    <n v="22021002763"/>
    <s v="2021 11 3111 22799"/>
    <n v="3024"/>
    <x v="522"/>
    <s v="CONTRATO SERVICIO ADIESTRADOR/EDUCADOR CANINO EN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799"/>
  </r>
  <r>
    <n v="220210007116"/>
    <s v="AD"/>
    <d v="2021-03-05T00:00:00"/>
    <n v="22021003142"/>
    <s v="2021 07 1721 22112"/>
    <n v="3025"/>
    <x v="523"/>
    <s v="CONTROL APLICACION DATLOGGER PARA SEGUIMIENTO INSTALACIONES AUTOCONSUMO CONTADORES DE 15 EDIFICIOS MUNICIPALES. SERV. MA"/>
    <s v="220"/>
    <s v="ZAMORA"/>
    <s v="ZAMOR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13045"/>
    <s v="D"/>
    <d v="2021-03-30T00:00:00"/>
    <n v="22021002144"/>
    <s v="2021 10 2311 212"/>
    <n v="16.170000000000002"/>
    <x v="216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7109"/>
    <s v="AD"/>
    <d v="2021-03-05T00:00:00"/>
    <n v="22021002462"/>
    <s v="2021 06 3232 22700"/>
    <n v="246723.84"/>
    <x v="246"/>
    <s v="PR-SE 100/2020. AMPLIACION CONTRATO LIMPIEZA, LOTE 6, COLEGIOS PUBLICOS. LIMPIEZAS EXTRAORDINARIAS COVID. 11/01 A 23/06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209000729"/>
    <s v="AD"/>
    <d v="2021-01-02T00:00:00"/>
    <n v="22021000464"/>
    <s v="2021 01 9203 22103"/>
    <n v="3100"/>
    <x v="252"/>
    <s v="ADJUDICACION CONTRATO GASÓLEO AÑO 2021 Y AÑO 2022 VEHICULOS UNIDAD DE REGIMEN INTERIOR"/>
    <s v="220"/>
    <s v="MADRID"/>
    <s v="MADR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3"/>
  </r>
  <r>
    <n v="220210006035"/>
    <s v="AD"/>
    <d v="2021-02-24T00:00:00"/>
    <n v="22021003016"/>
    <s v="2021 04 3121 22799"/>
    <n v="3200"/>
    <x v="524"/>
    <s v="Limpieza de batas, pijamas y sábanas de uso sanitario. Departamento de Prevención y Salud Laboral"/>
    <s v="220"/>
    <s v="LAGUNA DE DUERO"/>
    <s v="VALLADOL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99"/>
  </r>
  <r>
    <n v="220209000449"/>
    <s v="AD"/>
    <d v="2021-01-02T00:00:00"/>
    <n v="22021000308"/>
    <s v="2021 10 2311 625"/>
    <n v="3330"/>
    <x v="412"/>
    <s v="PRORROGA CTTO INVERSION EN PRODUCTOS DE APOYO A LAS PERSONAS USUARIAS DE SAD HASTA JUNIO 2021"/>
    <s v="220"/>
    <s v="VALLADOLID"/>
    <s v="VALLADOLID"/>
    <x v="1"/>
    <s v="PrAbier - Procedimiento Abierto"/>
    <s v="SinC - Sin Criterio"/>
    <x v="1"/>
    <x v="0"/>
    <s v="6"/>
    <s v="6. Inversiones reales"/>
    <s v="10"/>
    <x v="8"/>
    <s v="2311"/>
    <s v="2311. Intervención social"/>
    <s v="62"/>
    <s v="625"/>
  </r>
  <r>
    <n v="220210010355"/>
    <s v="AD"/>
    <d v="2021-03-18T00:00:00"/>
    <n v="22021003496"/>
    <s v="2021 11 1321 22700"/>
    <n v="3525.75"/>
    <x v="282"/>
    <s v="LIMPIEZA DEL HORMIGÓN DEL VALLADO EXTERIOR E HIDROFUGADO EN EDIFICIO DEL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0"/>
  </r>
  <r>
    <n v="220210002382"/>
    <s v="AD"/>
    <d v="2021-02-08T00:00:00"/>
    <n v="22021002293"/>
    <s v="2021 08 1532 204"/>
    <n v="3630"/>
    <x v="52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10002382"/>
    <s v="AD"/>
    <d v="2021-02-08T00:00:00"/>
    <n v="22021002292"/>
    <s v="2021 08 1532 203"/>
    <n v="3630"/>
    <x v="52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190"/>
    <s v="AD"/>
    <d v="2021-02-19T00:00:00"/>
    <n v="22021002649"/>
    <s v="2021 05 4314 22799"/>
    <n v="3720.75"/>
    <x v="526"/>
    <s v="ELABORACIÓN DE MASCARILLAS HIGIÉNICAS REUTILIZABLES. CAMPAÑA DE PROMOCIÓN DE LOS MERCADOS MUNICIPALES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99"/>
  </r>
  <r>
    <n v="220210003633"/>
    <s v="AD"/>
    <d v="2021-02-16T00:00:00"/>
    <n v="22021002234"/>
    <s v="2021 06 2314 22602"/>
    <n v="3746.16"/>
    <x v="527"/>
    <s v="Elaboración de diferentes soportes divulgativos de Juventud e Igualdad para Universidad de Valladolid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7122"/>
    <s v="AD"/>
    <d v="2021-03-05T00:00:00"/>
    <n v="22021003188"/>
    <s v="2021 07 1711 203"/>
    <n v="4000"/>
    <x v="91"/>
    <s v="ALQUILER DE PLATAFORMAS Y OTROS ELEMENTOS.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0"/>
    <s v="203"/>
  </r>
  <r>
    <n v="220210002884"/>
    <s v="AD"/>
    <d v="2021-02-11T00:00:00"/>
    <n v="22021002119"/>
    <s v="2021 01 9205 22199"/>
    <n v="3781.25"/>
    <x v="300"/>
    <s v="ADJUDICACIÓN SUMINISTRO DE PAPEL Y SOBRES DE DIVERSOS TIPOS Y FORMATOS AÑO 2021 PARA IMPRENTA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2446"/>
    <s v="ADO"/>
    <d v="2021-02-08T00:00:00"/>
    <n v="22021002188"/>
    <s v="2021 11 1321 22199"/>
    <n v="3850.7"/>
    <x v="313"/>
    <s v="COVID-19   SUMINISTROS PISTOLA VERS/ GORRO POLIP./ SERVILLETAS/ DESINFECTAN USOL-16/ BOTELLA/ ETIQUETA PEQUEÑA."/>
    <s v="24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7125"/>
    <s v="AD"/>
    <d v="2021-03-05T00:00:00"/>
    <n v="22021003200"/>
    <s v="2021 10 2312 213"/>
    <n v="273.45999999999998"/>
    <x v="423"/>
    <s v="CHIMENEA  INOX Y SOMBRERETE PARA LA CALEFACCION  DEL CPM DELICIA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815"/>
    <s v="AD"/>
    <d v="2021-01-02T00:00:00"/>
    <n v="22021000753"/>
    <s v="2021 07 1721 213"/>
    <n v="3872"/>
    <x v="528"/>
    <s v="CALIBRACIONES SONÓMETROS MEDIO AMBIENTE. EXPEDIENTE VS 7/2020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1"/>
    <s v="213"/>
  </r>
  <r>
    <n v="220210010508"/>
    <s v="AD"/>
    <d v="2021-03-22T00:00:00"/>
    <n v="22021002704"/>
    <s v="2021 01 9203 22799"/>
    <n v="3960"/>
    <x v="529"/>
    <s v="RECOGIDA DE PAPEL Y CARTON CASA CONSISTORIAL, SAN BENITO Y SANTA ANA,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799"/>
  </r>
  <r>
    <n v="220210002878"/>
    <s v="AD"/>
    <d v="2021-02-11T00:00:00"/>
    <n v="22021002482"/>
    <s v="2021 08 1301 22706"/>
    <n v="3984.45"/>
    <x v="530"/>
    <s v="Contrato servicio de asistencia técnica de un ingeniero técnico industrial para el Centro de Alumbrado (saldo 2021)"/>
    <s v="220"/>
    <s v="ALDEAMAYOR DE SAN MARTÍN"/>
    <s v="VALLADOLID"/>
    <x v="0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706"/>
  </r>
  <r>
    <n v="220209000703"/>
    <s v="AD"/>
    <d v="2021-01-02T00:00:00"/>
    <n v="22021000444"/>
    <s v="2021 10 2311 22799"/>
    <n v="4000"/>
    <x v="317"/>
    <s v="Servicio de celaduría en COMEDOR SOCIAL de 1/1/2021 A 31/7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534"/>
    <s v="AD"/>
    <d v="2021-01-02T00:00:00"/>
    <n v="22021000569"/>
    <s v="2021 10 2412 22103"/>
    <n v="4000"/>
    <x v="252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7129"/>
    <s v="AD"/>
    <d v="2021-03-05T00:00:00"/>
    <n v="22021003218"/>
    <s v="2021 11 1621 22706"/>
    <n v="4031.72"/>
    <x v="531"/>
    <s v="SERVICIO ANUAL TRANSMISION DE DATOS DE 14 EQUIPOS GPS INSTALADOS EN VEHÍCULO DEL Sº DE LIMPIEZA AÑO 2020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6"/>
  </r>
  <r>
    <n v="220210007133"/>
    <s v="AD"/>
    <d v="2021-03-05T00:00:00"/>
    <n v="22021003235"/>
    <s v="2021 04 9204 213"/>
    <n v="1064.8"/>
    <x v="128"/>
    <s v="MANTENIMIENTO DE LOS SISTEMAS DE DETECCIÓN Y EXTINCIÓN DE INCENDIOS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7138"/>
    <s v="AD"/>
    <d v="2021-03-05T00:00:00"/>
    <n v="22021003249"/>
    <s v="2021 04 9204 213"/>
    <n v="2008.6"/>
    <x v="52"/>
    <s v="MANTENIMIENTO DEL ASCENSOR Y PLATAFORMA ELEVADORA INDUSTRIAL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1364"/>
    <s v="AD"/>
    <d v="2021-02-01T00:00:00"/>
    <n v="22021001235"/>
    <s v="2021 08 1532 22103"/>
    <n v="1346.13"/>
    <x v="149"/>
    <s v="Suministro 2.500 litros gasóleo C para la caldera del nuevo Parque de Conservación de Vías Públicas, en C/ Títulos 5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9598"/>
    <s v="AD"/>
    <d v="2021-03-16T00:00:00"/>
    <n v="22021003250"/>
    <s v="2021 10 2312 212"/>
    <n v="4103.71"/>
    <x v="451"/>
    <s v="REPARACION CUBIERTA DEL CPM ZONA ESTE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7141"/>
    <s v="AD"/>
    <d v="2021-03-05T00:00:00"/>
    <n v="22021003224"/>
    <s v="2021 05 4331 214"/>
    <n v="489.48"/>
    <x v="48"/>
    <s v="REPARACIÓN DEL VEHICULO RENAULT ZOE 6048JPN"/>
    <s v="220"/>
    <s v="ARROYO DE LA ENCOMIENDA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4"/>
  </r>
  <r>
    <n v="220210007142"/>
    <s v="AD"/>
    <d v="2021-03-05T00:00:00"/>
    <n v="22021003221"/>
    <s v="2021 05 4331 22799"/>
    <n v="54.45"/>
    <x v="146"/>
    <s v="Traslado dominio retornoavalladolid.es / Traslado dominio innvid.es / Traslado dominio revalladolid.es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10007143"/>
    <s v="AD"/>
    <d v="2021-03-05T00:00:00"/>
    <n v="22021003130"/>
    <s v="2021 07 1721 22112"/>
    <n v="244.9"/>
    <x v="95"/>
    <s v="COMPRA DE UNOS AURICULARES PARA TELEFONIA. SERVICIO DE MEDIO AMBIENTE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07144"/>
    <s v="AD"/>
    <d v="2021-03-05T00:00:00"/>
    <n v="22021003165"/>
    <s v="2021 11 1361 203"/>
    <n v="299.8"/>
    <x v="91"/>
    <s v="Alquiler de carretilla elevadora para descarga de material; SEISYPC.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0"/>
    <s v="203"/>
  </r>
  <r>
    <n v="220209000824"/>
    <s v="AD"/>
    <d v="2021-01-02T00:00:00"/>
    <n v="22021002295"/>
    <s v="2021 05 4331 22706"/>
    <n v="4174.5"/>
    <x v="532"/>
    <s v="CONTRATO DE SERVICIOS PARA REALIZACIÓN DE PROPUESTA DEL AYUNTAMIENTO DE VALLADOLID EN EL MARCO DEL PACTO VERDE EUROPEO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7161"/>
    <s v="AD"/>
    <d v="2021-03-08T00:00:00"/>
    <n v="22021003176"/>
    <s v="2021 11 1321 213"/>
    <n v="1000"/>
    <x v="61"/>
    <s v="TRATAMIENTOS DE DESINFECCIÓN DEPENDENCIAS Y VEHÍCULO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7162"/>
    <s v="AD"/>
    <d v="2021-03-08T00:00:00"/>
    <n v="22021003317"/>
    <s v="2021 11 1321 22706"/>
    <n v="3782.46"/>
    <x v="533"/>
    <s v="REALIZACIÓN DE AUDITORÍA DE CALIDAD 9001 EN EL SERVICIO DE POLICÍA MUNICIPAL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09000716"/>
    <s v="AD"/>
    <d v="2021-01-02T00:00:00"/>
    <n v="22021000453"/>
    <s v="2021 10 2412 22700"/>
    <n v="4198.92"/>
    <x v="213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10007164"/>
    <s v="AD"/>
    <d v="2021-03-08T00:00:00"/>
    <n v="22021003351"/>
    <s v="2021 11 1321 214"/>
    <n v="857.22"/>
    <x v="381"/>
    <s v="REPARACIÓN DE VARIOS VEHÍCULOS DE POLICÍA ( 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91"/>
    <s v="AD"/>
    <d v="2021-02-01T00:00:00"/>
    <n v="22021002244"/>
    <s v="2021 08 1532 210"/>
    <n v="4235"/>
    <x v="534"/>
    <s v="Suministro de áridos (arena lavada,  arena mina,  piñón, gravas...)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7166"/>
    <s v="AD"/>
    <d v="2021-03-08T00:00:00"/>
    <n v="22021003354"/>
    <s v="2021 11 1321 22199"/>
    <n v="1500"/>
    <x v="95"/>
    <s v="MATERIAL AUDIOVISUAL PARA EL CENTRO DE OPERACIONES DE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09000711"/>
    <s v="AD"/>
    <d v="2021-01-02T00:00:00"/>
    <n v="22021000448"/>
    <s v="2021 10 2412 22799"/>
    <n v="4246.96"/>
    <x v="317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2886"/>
    <s v="AD"/>
    <d v="2021-02-11T00:00:00"/>
    <n v="22021002282"/>
    <s v="2021 06 2314 22602"/>
    <n v="4300"/>
    <x v="526"/>
    <s v="Suministro de mascarillas publicitarias para su difusión en campaña de inauguración del Espacio joven Norte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7169"/>
    <s v="AD"/>
    <d v="2021-03-08T00:00:00"/>
    <n v="22021002769"/>
    <s v="2021 01 9206 22001"/>
    <n v="705.67"/>
    <x v="535"/>
    <s v="DOS SUSCRIPCIONES ANUALES A BASE DE DATOS &quot;&quot;PROYECTO CSP1&quot;&quot;, del 01/01/2021 al 31/12/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4014"/>
    <s v="AD"/>
    <d v="2021-02-17T00:00:00"/>
    <n v="22021002506"/>
    <s v="2021 06 2314 212"/>
    <n v="4369.3900000000003"/>
    <x v="536"/>
    <s v="Reparación de desperfectos en Área Recreativa del Pinar de Antequera / 1 MES"/>
    <s v="220"/>
    <s v="AVILA"/>
    <s v="AVILA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1"/>
    <s v="212"/>
  </r>
  <r>
    <n v="220210005221"/>
    <s v="D"/>
    <d v="2021-02-22T00:00:00"/>
    <n v="22021002374"/>
    <s v="2021 02 9332 212"/>
    <n v="112.77"/>
    <x v="314"/>
    <s v="LIJA RTHL ANCHO 120 GRANO DE 60 A180 (50) /// RETIRA EL TÉCN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0337"/>
    <s v="AD"/>
    <d v="2021-01-21T00:00:00"/>
    <n v="22021001240"/>
    <s v="2021 09 3341 22799"/>
    <n v="4504"/>
    <x v="537"/>
    <s v="CONTRATO TALLER DE CINE EN EL MARCO DEL PROYECTO PAJARILLOS EDUCA (5 MESES)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199000098"/>
    <s v="AD"/>
    <d v="2021-01-02T00:00:00"/>
    <n v="22021000124"/>
    <s v="2021 11 1621 22799"/>
    <n v="4546.4399999999996"/>
    <x v="278"/>
    <s v="REAJUSTE ANUALIDADES CONTRATO EXPLOTACIÓN PUNTO LIMPIO C/ VALLE DE ARAN  DE1 1-1-2020 AL 22-1-2021 (INCLUSIVE)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09000523"/>
    <s v="AD"/>
    <d v="2021-01-02T00:00:00"/>
    <n v="22021000561"/>
    <s v="2021 04 9204 22200"/>
    <n v="4779.5"/>
    <x v="332"/>
    <s v="CONTRATACIÓN DEL SERVICIO DE ACCESO A INTERNET SIMÉTRICO PARA SISTEMA DE VIDEOCONFERENCIA DEL AYTO DE VALLADOLID"/>
    <s v="220"/>
    <s v="POZUELO DE ALARCON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2"/>
    <s v="22200"/>
  </r>
  <r>
    <n v="220210007176"/>
    <s v="AD"/>
    <d v="2021-03-08T00:00:00"/>
    <n v="22021003222"/>
    <s v="2021 03 9241 203"/>
    <n v="907.5"/>
    <x v="538"/>
    <s v="ALQUILER DE VALLAS PROTECCIÓN ENTORNO CC CAMPILLO DESDE 22- FEB A 22- MAYO 2021 (TRES MESES)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0"/>
    <s v="203"/>
  </r>
  <r>
    <n v="220210002386"/>
    <s v="AD"/>
    <d v="2021-02-08T00:00:00"/>
    <n v="22021002185"/>
    <s v="2021 03 9200 22602"/>
    <n v="4808.5"/>
    <x v="539"/>
    <s v="MASCARILLAS TOTALMENTE PERSONALIZAD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00"/>
    <s v="9200. Dirección del area de participación ciudadana"/>
    <s v="22"/>
    <s v="22602"/>
  </r>
  <r>
    <n v="220210002399"/>
    <s v="AD"/>
    <d v="2021-02-08T00:00:00"/>
    <n v="22021002285"/>
    <s v="2021 08 1532 210"/>
    <n v="4840"/>
    <x v="540"/>
    <s v="Suministro de áridos reciclados (especialmente zahorras) y recepción de escombro a granel, con retirada según necesidade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4232"/>
    <s v="AD"/>
    <d v="2021-02-18T00:00:00"/>
    <n v="22021002803"/>
    <s v="2021 11 1621 634"/>
    <n v="4840"/>
    <x v="541"/>
    <s v="REVISIONES Y REPARACIONES DE TACÓGRAFO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713"/>
    <s v="AD"/>
    <d v="2021-01-02T00:00:00"/>
    <n v="22021000450"/>
    <s v="2021 10 2412 22700"/>
    <n v="4898.7700000000004"/>
    <x v="213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15"/>
    <s v="AD"/>
    <d v="2021-01-02T00:00:00"/>
    <n v="22021000452"/>
    <s v="2021 10 2412 22700"/>
    <n v="4898.8"/>
    <x v="213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09"/>
    <s v="AD"/>
    <d v="2021-01-02T00:00:00"/>
    <n v="22021000446"/>
    <s v="2021 10 2412 22799"/>
    <n v="4954.83"/>
    <x v="317"/>
    <s v="SERVICIO CELADURIA DEL CFE DEL 1/1/ 2021 AL 31/7/ 2022 ASIGNACIÓN A PM VALLADOLID CUIDA IV (1/2 A 31/7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09000712"/>
    <s v="AD"/>
    <d v="2021-01-02T00:00:00"/>
    <n v="22021000449"/>
    <s v="2021 10 2412 22799"/>
    <n v="4954.83"/>
    <x v="317"/>
    <s v="SERVICIO DE CELADURÍA DEL CFE DEL 1/1/2021 AL 31/7/2022 ASIGNACIÓN A PM PARQUES Y JARDINES (1/2/2021 A 31/5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1363"/>
    <s v="AD"/>
    <d v="2021-02-01T00:00:00"/>
    <n v="22021001302"/>
    <s v="2021 11 1621 214"/>
    <n v="5000"/>
    <x v="542"/>
    <s v="TRABAJOS EN MATERIAL FERRICO PARA LA REPARACION DE VEHICULOS DEL SERVICIO DE LIMPIEZA"/>
    <s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09000504"/>
    <s v="AD"/>
    <d v="2021-01-02T00:00:00"/>
    <n v="22021000771"/>
    <s v="2021 05 4331 22699"/>
    <n v="5000"/>
    <x v="543"/>
    <s v="Contratacion TPV con destino a recargas para tarjeta ciudadana para cumplir con los requerimientos del proyecto S2CITY"/>
    <s v="220"/>
    <s v="San Sebastian de los Reyes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10010236"/>
    <s v="AD"/>
    <d v="2021-03-18T00:00:00"/>
    <n v="22021003408"/>
    <s v="2021 10 2312 213"/>
    <n v="1445.95"/>
    <x v="423"/>
    <s v="SUMINISTRO E INSTALACION DE BOMBA DE CALEFACCION DEL CPM ZONA SUR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7187"/>
    <s v="AD"/>
    <d v="2021-03-08T00:00:00"/>
    <n v="22021000130"/>
    <s v="2021 05 4331 22799"/>
    <n v="19357.580000000002"/>
    <x v="544"/>
    <s v="LOTE 1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88"/>
    <s v="AD"/>
    <d v="2021-03-08T00:00:00"/>
    <n v="22021000131"/>
    <s v="2021 05 4331 22799"/>
    <n v="20328"/>
    <x v="544"/>
    <s v="LOTE 2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89"/>
    <s v="AD"/>
    <d v="2021-03-08T00:00:00"/>
    <n v="22021000132"/>
    <s v="2021 05 4331 22799"/>
    <n v="20564.189999999999"/>
    <x v="545"/>
    <s v="LOTE 3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0"/>
    <s v="AD"/>
    <d v="2021-03-08T00:00:00"/>
    <n v="22021000133"/>
    <s v="2021 05 4331 22799"/>
    <n v="17093.63"/>
    <x v="545"/>
    <s v="LOTE 4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1"/>
    <s v="AD"/>
    <d v="2021-03-08T00:00:00"/>
    <n v="22021000134"/>
    <s v="2021 05 4331 22799"/>
    <n v="14637.37"/>
    <x v="546"/>
    <s v="LOTE 5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2"/>
    <s v="AD"/>
    <d v="2021-03-08T00:00:00"/>
    <n v="22021000135"/>
    <s v="2021 05 4331 22799"/>
    <n v="10799.25"/>
    <x v="545"/>
    <s v="LOTE 6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3"/>
    <s v="AD"/>
    <d v="2021-03-08T00:00:00"/>
    <n v="22021000137"/>
    <s v="2021 05 4331 22799"/>
    <n v="10785.09"/>
    <x v="392"/>
    <s v="LOTE 7 PRORROGA DEL CONTRATO DE SERVICIOS GENERALES DE FORMACIÓN Y ACOMPAÑAMIENTO CREA 2021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4"/>
    <s v="AD"/>
    <d v="2021-03-08T00:00:00"/>
    <n v="22021002647"/>
    <s v="2021 10 2311 22102"/>
    <n v="8000"/>
    <x v="205"/>
    <s v="ampliación contrato suministro gas Centro Integrado-año 2021-COVID-19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210003991"/>
    <s v="AD"/>
    <d v="2021-02-17T00:00:00"/>
    <n v="22021002563"/>
    <s v="2021 07 1721 22199"/>
    <n v="5000"/>
    <x v="547"/>
    <s v="SUMINISTRO DE MATERIAL PARA EL LABORATORIO DE LA RED A LA EMPRESA SCHARLAB, S.L. SERVICIO DE MEDIO AMBIENTE"/>
    <s v="220"/>
    <s v="SENTMENAT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6457"/>
    <s v="AD"/>
    <d v="2021-02-26T00:00:00"/>
    <n v="22021002151"/>
    <s v="2021 05 4331 609"/>
    <n v="5015.45"/>
    <x v="548"/>
    <s v="CONTRATO DE SERVICIOS DE REDACCIÓN DE PROYECTO Y DIRECCIÓN DE OBRA &quot;&quot;&quot;&quot;CORREDOR VERDE&quot;&quot;&quot;&quot; PROYECTO URBAN GREEN UP"/>
    <s v="220"/>
    <s v="VILLAMURIEL DE CERRATO"/>
    <s v="PALENCIA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12890"/>
    <s v="AD"/>
    <d v="2021-03-29T00:00:00"/>
    <n v="22021003660"/>
    <s v="2021 05 4331 213"/>
    <n v="859.1"/>
    <x v="423"/>
    <s v="Reparación de sistema de climatización de la Agencia de Innov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7203"/>
    <s v="AD"/>
    <d v="2021-03-08T00:00:00"/>
    <n v="22021002237"/>
    <s v="2021 05 4331 22799"/>
    <n v="10785.09"/>
    <x v="392"/>
    <s v="LOTE 7:Reajust Contratación 2020 Serv. de formación y acompañamiento para emprendimiento CREA y empleabilidad REINNOVATE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211"/>
    <s v="D"/>
    <d v="2021-03-09T00:00:00"/>
    <n v="22021002059"/>
    <s v="2021 11 1361 22199"/>
    <n v="15.73"/>
    <x v="161"/>
    <s v="ACUERDO MARCO V. 36/2017; LOTE 1; ALBARAN AV20/005211: BLISTER SIERRA DE CALAR T111 BASIC WOOD (NAVE PC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3"/>
    <s v="D"/>
    <d v="2021-03-09T00:00:00"/>
    <n v="22021002059"/>
    <s v="2021 11 1361 22199"/>
    <n v="14.34"/>
    <x v="347"/>
    <s v="ACUERDO MARCO V.36/2017; LOTE 10; RELÉ INVERSOR/MINIFUS SERIE 45, ENCHUF. 7.5A/lampara Festoon C5W Standard 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5"/>
    <s v="D"/>
    <d v="2021-03-09T00:00:00"/>
    <n v="22021002059"/>
    <s v="2021 11 1361 22199"/>
    <n v="565.79999999999995"/>
    <x v="168"/>
    <s v="ACUERDO MARCO; EXPTE. V.36/2017; LOTE 6; Equipo Motorola DP3441E 5W VHF 32 canales cuerpo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7"/>
    <s v="D"/>
    <d v="2021-03-09T00:00:00"/>
    <n v="22021002059"/>
    <s v="2021 11 1361 22199"/>
    <n v="257.20999999999998"/>
    <x v="238"/>
    <s v="ACUERDO MARCO EXPTE  V.36/2017; LOTE 8 ;ANGULOS 60X60X6 A 6M/CORTES ANGULOS CHAPA LAMIN/CIRCUITOS CHAPA (2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9"/>
    <s v="D"/>
    <d v="2021-03-09T00:00:00"/>
    <n v="22021002059"/>
    <s v="2021 11 1361 22199"/>
    <n v="732.58"/>
    <x v="285"/>
    <s v="ACUERDO MARCO EXP.: V36/2017; LOTE 1; EXTRAC OREJUELAS VASO LARGO HEXAG/AMOLAD PROF/ABRAZ/ENCHUFE/AMOLAD/ RUE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051"/>
    <s v="D"/>
    <d v="2021-03-05T00:00:00"/>
    <n v="22021001256"/>
    <s v="2021 07 1721 22112"/>
    <n v="63.65"/>
    <x v="82"/>
    <s v="LUMINARIA SIMON 684 NW 60X60 UGR&lt;19 39W  ( 2 UNIDADES)/ TASA ECORAEE (2) /// DESTINO: CASA DEL BARCO  (ACUERDO MAR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12"/>
  </r>
  <r>
    <n v="220210007056"/>
    <s v="D"/>
    <d v="2021-03-05T00:00:00"/>
    <n v="22021001275"/>
    <s v="2021 07 1711 22199"/>
    <n v="62.75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020"/>
    <s v="D"/>
    <d v="2021-03-05T00:00:00"/>
    <n v="22021001039"/>
    <s v="2021 10 2312 212"/>
    <n v="46.76"/>
    <x v="410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7227"/>
    <s v="D"/>
    <d v="2021-03-09T00:00:00"/>
    <n v="22021002059"/>
    <s v="2021 11 1361 22199"/>
    <n v="44.35"/>
    <x v="216"/>
    <s v="ACUERDO MARCO; EXPTE.: V.36/2017;LOTE8; 2 PINZA MASA SOLTER 400A CHAPA/5 CRC LUBRICANTE GRAFITO P/CERRADURAS15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21"/>
    <s v="D"/>
    <d v="2021-03-09T00:00:00"/>
    <n v="22021002059"/>
    <s v="2021 11 1361 22199"/>
    <n v="28.11"/>
    <x v="82"/>
    <s v="ACUERDO MARCO EXPTE.: V36/2017; LOTE 6LAMP  PH PLUSLN LARG/ CLAVIJA FENOPL GOMA NEG/TERMINAL CEMBRE/ZerolH FLEX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1"/>
    <s v="D"/>
    <d v="2021-03-09T00:00:00"/>
    <n v="22021002059"/>
    <s v="2021 11 1361 22199"/>
    <n v="497.37"/>
    <x v="285"/>
    <s v="ACUERDO MARCO; EXPTE V.36/2017; LOTE 1; SUMINISTROS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3"/>
    <s v="D"/>
    <d v="2021-03-09T00:00:00"/>
    <n v="22021002059"/>
    <s v="2021 11 1361 22199"/>
    <n v="178.48"/>
    <x v="353"/>
    <s v="ACUERDO MARCO; EXPTE. V.36/2017; LOTE 1; FINISH LAVAVAJILLAS POWERBALL (PEDIDO DE 22/01/2021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5"/>
    <s v="D"/>
    <d v="2021-03-09T00:00:00"/>
    <n v="22021002059"/>
    <s v="2021 11 1361 22199"/>
    <n v="2740.89"/>
    <x v="168"/>
    <s v="ACUERDO MARCO; EXPTE. V.36/2017; LOTE 6; Equipo Motorola DP3441E VHF 32 Canales Cuerpo (2)/ Sensor CO2 (4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7"/>
    <s v="D"/>
    <d v="2021-03-09T00:00:00"/>
    <n v="22021002059"/>
    <s v="2021 11 1361 22199"/>
    <n v="931.82"/>
    <x v="347"/>
    <s v="ACUERDO MARCO; EXP.:V.36/2017; LOTE 10; 60 SEPIOLITA 20 KG/10 Lampara 24v R10W Standard BA15s/BATERIA 180AH (2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9"/>
    <s v="D"/>
    <d v="2021-03-09T00:00:00"/>
    <n v="22021002059"/>
    <s v="2021 11 1361 22199"/>
    <n v="726.44"/>
    <x v="161"/>
    <s v="ACUERDO MARCO; EXPTE::V.36/2017; LOTE 1ALB: AV21/00755 -572-420/SAB  FUNDA ALMOH MANTA/DESENCOF.LAVA/DISCO CORTE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25"/>
    <s v="D"/>
    <d v="2021-03-09T00:00:00"/>
    <n v="22021002059"/>
    <s v="2021 11 1361 22199"/>
    <n v="133.34"/>
    <x v="410"/>
    <s v="ACUERDO MARCO EXPTE.: V.36/2017; LOTE 1; SOPORTE DUCHA ARITCULADO/ FLEXO DUCHA EXTENSIBLE/TELEDUCHA CROMETTA;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3"/>
    <s v="D"/>
    <d v="2021-03-09T00:00:00"/>
    <n v="22021002059"/>
    <s v="2021 11 1361 22199"/>
    <n v="561.05999999999995"/>
    <x v="114"/>
    <s v="ACUERDO MARCO;  EXPTE. V.36/2017; LOTE 1; SUMINISTRO DE MATERIALES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5"/>
    <s v="D"/>
    <d v="2021-03-09T00:00:00"/>
    <n v="22021002059"/>
    <s v="2021 11 1361 22199"/>
    <n v="173.65"/>
    <x v="114"/>
    <s v="ACUERDO MARCO; EXPTE.: V.36/2017; LOTE 1;SIERRA S1157CHM VEHICLE RESCUE - 10 UDS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7"/>
    <s v="D"/>
    <d v="2021-03-09T00:00:00"/>
    <n v="22021002059"/>
    <s v="2021 11 1361 22199"/>
    <n v="5.05"/>
    <x v="114"/>
    <s v="ACUERDO MARCO; EXPTE.: V.36/2017;LOTE 1; BLISTER PILA CR2032 ( 3 UNIDADES 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9"/>
    <s v="D"/>
    <d v="2021-03-09T00:00:00"/>
    <n v="22021002059"/>
    <s v="2021 11 1361 22199"/>
    <n v="119.79"/>
    <x v="114"/>
    <s v="ACUERDO MARCO; EXPTE. : V.36/2017; LOTE 1; ESCALERA MULTIUSO SINEX 4X4 ALUMINIO - 1 U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1"/>
    <s v="D"/>
    <d v="2021-03-09T00:00:00"/>
    <n v="22021002059"/>
    <s v="2021 11 1361 22199"/>
    <n v="24.33"/>
    <x v="114"/>
    <s v="ACUERDO MARCO; EXPTE.: V.36/2017; LOTE 1; CAJA HERRAMIENTAS PLASTICO N34 ( 1 UNIDAD 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3"/>
    <s v="D"/>
    <d v="2021-03-09T00:00:00"/>
    <n v="22021002059"/>
    <s v="2021 11 1361 22199"/>
    <n v="602.22"/>
    <x v="114"/>
    <s v="ACUERDO MARCO; EXPTE. V.36/2017; LOTE 1; ZAPATO DELFIN S3 CI HI HRO WR SRC MF (9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5"/>
    <s v="D"/>
    <d v="2021-03-09T00:00:00"/>
    <n v="22021002059"/>
    <s v="2021 11 1361 22199"/>
    <n v="28.48"/>
    <x v="114"/>
    <s v="ACUERDO MARCO; EXPTE. : V.36/2017; LOTE 1;11 UD - PULVERIZADOR 600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7"/>
    <s v="D"/>
    <d v="2021-03-09T00:00:00"/>
    <n v="22021002059"/>
    <s v="2021 11 1361 22199"/>
    <n v="25.64"/>
    <x v="114"/>
    <s v="ACUERDO MARCO; EXPTE.: V.36/2017; LOTE 1; CAJA HERRAMIENTAS 450 E ( 1 UNIDAD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63"/>
    <s v="D"/>
    <d v="2021-03-09T00:00:00"/>
    <n v="22021002048"/>
    <s v="2021 11 1621 214"/>
    <n v="1796.84"/>
    <x v="110"/>
    <s v="AC MARCO EXP V36-2017: REPUESTOS REPARACIÓ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7265"/>
    <s v="D"/>
    <d v="2021-03-09T00:00:00"/>
    <n v="22021002052"/>
    <s v="2021 11 1621 22199"/>
    <n v="3430.35"/>
    <x v="423"/>
    <s v="AC MARCO EXP V36-2017: BOMBA PARA REPARACIÓN LINEA DE AEROTERMOS DEL TALLER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7277"/>
    <s v="ADO"/>
    <d v="2021-03-09T00:00:00"/>
    <n v="22021003271"/>
    <s v="2021 01 9206 213"/>
    <n v="32.1"/>
    <x v="27"/>
    <s v="COPIAS 4012 (4.356)/  R3T9Z31007 -FC011424 / DE 01-10-20 A 31-12-20 /  ARCIVO MPAL SECC.ATTº PPUBLICO PTA BJA- CAPILLA"/>
    <s v="240"/>
    <s v="VALLADOLID"/>
    <s v="VALLADOLID"/>
    <x v="0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7278"/>
    <s v="ADO"/>
    <d v="2021-03-09T00:00:00"/>
    <n v="22021003272"/>
    <s v="2021 01 9206 213"/>
    <n v="63.76"/>
    <x v="27"/>
    <s v="COPIAS 01/10/2020 - 31/12/2020 // N.SERIE: RFC9Y20437 - FC011384 // ARCHIVO MUNICIPAL, REPROGRAFÍA, PLTA 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7223"/>
    <s v="D"/>
    <d v="2021-03-09T00:00:00"/>
    <n v="22021002059"/>
    <s v="2021 11 1361 22199"/>
    <n v="409.96"/>
    <x v="82"/>
    <s v="ACUERDO MARCO EXPTE V36/2017; LOTE 6; 2 UD - ENROLLADOR COMA 270.37.512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90"/>
    <s v="D"/>
    <d v="2021-03-09T00:00:00"/>
    <n v="22021001275"/>
    <s v="2021 07 1711 22199"/>
    <n v="25.49"/>
    <x v="270"/>
    <s v="ACUERDO MARCO 2017/36, PINTURA PARA OFICINAS CASA DEL BAR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293"/>
    <s v="D"/>
    <d v="2021-03-09T00:00:00"/>
    <n v="22021001275"/>
    <s v="2021 07 1711 22199"/>
    <n v="1364"/>
    <x v="549"/>
    <s v="ACUERDO MARCO 2017/36,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229"/>
    <s v="D"/>
    <d v="2021-03-09T00:00:00"/>
    <n v="22021002059"/>
    <s v="2021 11 1361 22199"/>
    <n v="81.239999999999995"/>
    <x v="82"/>
    <s v="ACUERDO MARCO; EXPTE.: V.36/2017; LOTE 6; ARMARIO IDE METAL / BASE 4TO LEGRAND C/Cable 1,5M 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2760"/>
    <s v="ADO"/>
    <d v="2021-02-10T00:00:00"/>
    <n v="22021001313"/>
    <s v="2021 07 1711 610"/>
    <n v="5041.63"/>
    <x v="414"/>
    <s v="CONTROL DE CALIDAD DE LA CERTIFICACION Nº 12, MANTENIMIENTO JARDINES ZONAS SUR Y ESTE, DICIEMBRE."/>
    <s v="24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07313"/>
    <s v="D"/>
    <d v="2021-03-09T00:00:00"/>
    <n v="22021001967"/>
    <s v="2021 11 1321 214"/>
    <n v="656.24"/>
    <x v="303"/>
    <s v="ACUERDO MARCO. SUMINISTRO REPUESTOS PARA EL TALLER DE REPARACIÓN DE VEHÍCULOS DE L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7333"/>
    <s v="D"/>
    <d v="2021-03-09T00:00:00"/>
    <n v="22021000542"/>
    <s v="2021 08 1341 22699"/>
    <n v="71.11"/>
    <x v="188"/>
    <s v="ACUERDO MARCO_ORTIZ_ RUEDA 1-0214 30D (18) / PLACA UNION (8)/ PROTC.PATAS(50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335"/>
    <s v="D"/>
    <d v="2021-03-09T00:00:00"/>
    <n v="22021000542"/>
    <s v="2021 08 1341 22699"/>
    <n v="62.91"/>
    <x v="114"/>
    <s v="ACUERDO MARCO_COMERCIAL ULSA_CAZADORA TRAFIC M/DESM. AMARILLO T-L - 1 UD / ZAPATO CIPRES S1 NO METAL - 1 UD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337"/>
    <s v="D"/>
    <d v="2021-03-09T00:00:00"/>
    <n v="22021000547"/>
    <s v="2021 08 1341 214"/>
    <n v="433.68"/>
    <x v="381"/>
    <s v="ACUERDO MARCO_2543HTB: ACEITE, ECOTASA, ARANDELA,FILTRO ACEITE, ESCOBILLAS RUEDAS TRAS,LAVADO EXTERIOR E INTERIOR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39"/>
    <s v="D"/>
    <d v="2021-03-09T00:00:00"/>
    <n v="22021000547"/>
    <s v="2021 08 1341 214"/>
    <n v="381.38"/>
    <x v="381"/>
    <s v="ACUERDO MARCO_7614-GSB: ACEITE 5W30-FILTROS: ACEITE-AIRE-LIQUIDO DE FRENOS-ESCOBILLAS DELANTERAS,LAVADO EXTER.-INTER.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41"/>
    <s v="D"/>
    <d v="2021-03-09T00:00:00"/>
    <n v="22021000547"/>
    <s v="2021 08 1341 214"/>
    <n v="376.69"/>
    <x v="381"/>
    <s v="ACUERDO MARCO_7576GSB: CAMBIO ACEITE MOTOR/ FILTRO/ ARANDELA/ LIQUIDO DE FRENOS/ LAVADO/ ESCOBILLAS/ RUEDAS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43"/>
    <s v="D"/>
    <d v="2021-03-09T00:00:00"/>
    <n v="22021000547"/>
    <s v="2021 08 1341 214"/>
    <n v="18.559999999999999"/>
    <x v="381"/>
    <s v="ACUERDO MARCO_7614GSB: SUSTITUIR LIMPIAPARABRISAS TRASERO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284"/>
    <s v="D"/>
    <d v="2021-03-09T00:00:00"/>
    <n v="22021002228"/>
    <s v="2021 06 3232 212"/>
    <n v="120.53"/>
    <x v="82"/>
    <s v="ASTRONOMICO THEBEN+TASA ECORAEE ////  DESTINO: ESCUELA DE MUSICA ( EDUCACIÓN ) /// (F/2020/12038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536"/>
    <s v="AD"/>
    <d v="2021-01-25T00:00:00"/>
    <n v="22021001367"/>
    <s v="2021 04 9321 22799"/>
    <n v="5140"/>
    <x v="310"/>
    <s v="Reparto y buzoneo de 150.000 trípticos de la &quot;&quot;GUÍA DEL CONTRIBUYENTE 2021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2"/>
    <s v="22799"/>
  </r>
  <r>
    <n v="220210007968"/>
    <s v="AD"/>
    <d v="2021-03-09T00:00:00"/>
    <n v="22021003341"/>
    <s v="2021 05 4331 22706"/>
    <n v="726"/>
    <x v="550"/>
    <s v="DISEÑO DE MATERIALES GRÁFICOS PARA LA DIFUSIÓN DE LOS CURSOS CELEBRADOS DENTRO DEL PROGRAMA CREA"/>
    <s v="220"/>
    <s v="LEON"/>
    <s v="LEON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7971"/>
    <s v="REIN"/>
    <d v="2021-03-09T00:00:00"/>
    <n v="22021000232"/>
    <s v="2021 04 3121 213"/>
    <n v="-84.36"/>
    <x v="27"/>
    <s v="ALQUILER KYOCERA 358 /  R319Z00938 - FC011337 / PREVENCION Y SALUD // DEL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7973"/>
    <s v="REIN"/>
    <d v="2021-03-09T00:00:00"/>
    <n v="22021000066"/>
    <s v="2021 10 2311 213"/>
    <n v="-161.72"/>
    <x v="27"/>
    <s v="F-427. ALPA. ALQUILER 01/10/2020 - 31/12/2020. N.SERIE: R3T9Z31014 - FC011428. CEAS CAMPO GRANDE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4"/>
    <s v="REIN"/>
    <d v="2021-03-09T00:00:00"/>
    <n v="22021000066"/>
    <s v="2021 10 2311 213"/>
    <n v="-161.72"/>
    <x v="27"/>
    <s v="F-428. ALPA. ALQUILER R3T9Z31056 - FC011390. CEAS JUAN DE AUSTRIA. DEL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5"/>
    <s v="REIN"/>
    <d v="2021-03-09T00:00:00"/>
    <n v="22021000066"/>
    <s v="2021 10 2311 213"/>
    <n v="-161.72"/>
    <x v="27"/>
    <s v="F-430. ALPA. ALQUILER R3T9Z31057 - FC011427. CEAS JUAN DE AUSTRIA . DE 01-10-20 A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6"/>
    <s v="REIN"/>
    <d v="2021-03-09T00:00:00"/>
    <n v="22021000066"/>
    <s v="2021 10 2311 213"/>
    <n v="-161.72"/>
    <x v="27"/>
    <s v="F-440. ALPA. ALQUILER R3T9Z31146 - FC011391. CEAS CENTRO. DE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7"/>
    <s v="REIN"/>
    <d v="2021-03-09T00:00:00"/>
    <n v="22021000066"/>
    <s v="2021 10 2311 213"/>
    <n v="-161.72"/>
    <x v="27"/>
    <s v="F-447. ALPA. ALQUILER 01/10/2020 - 31/12/2020. N.SERIE: R3T9Y27413 - FC011361. SAN BENITO, PUER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8"/>
    <s v="REIN"/>
    <d v="2021-03-09T00:00:00"/>
    <n v="22021000066"/>
    <s v="2021 10 2311 213"/>
    <n v="-197.84"/>
    <x v="27"/>
    <s v="F-457. ALPA. ALQUILER 01/10/2020 - 31/12/2020. N.SERIE: RFC9Y20435 - FC011429. UBICACION: CEAS LA VICTORIA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9"/>
    <s v="REIN"/>
    <d v="2021-03-09T00:00:00"/>
    <n v="22021000066"/>
    <s v="2021 10 2311 213"/>
    <n v="-33.76"/>
    <x v="27"/>
    <s v="F-683. ALPA. COPIAS 01/10/2020 - 04/01/2021. N.SERIE: R4Q9Z32182 - FC011330. CEAS BELEN PILARICA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0"/>
    <s v="REIN"/>
    <d v="2021-03-09T00:00:00"/>
    <n v="22021000066"/>
    <s v="2021 10 2311 213"/>
    <n v="-31.68"/>
    <x v="27"/>
    <s v="F-762. ALPA. COPIAS COLOR Y NEGRO R319Z00982 -FC011422. DE 01-10-20 A 31-12-20. SAN BENITO P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1"/>
    <s v="REIN"/>
    <d v="2021-03-09T00:00:00"/>
    <n v="22021000066"/>
    <s v="2021 10 2311 213"/>
    <n v="-52.57"/>
    <x v="27"/>
    <s v="F-769. ALPA. COPIAS 01/10/2020 - 31/12/2020 N.SERIE: R319Z01005 - FC011348. SAN BENITO PUERTA 2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2"/>
    <s v="REIN"/>
    <d v="2021-03-09T00:00:00"/>
    <n v="22021000066"/>
    <s v="2021 10 2311 213"/>
    <n v="-17.86"/>
    <x v="27"/>
    <s v="F-ALPA. COPIAS 01/10/2020 - 31/12/2020 N.SERIE: R4Q9Z32181 - FC011318. CEAS PAJARILLOS ALTOS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3"/>
    <s v="REIN"/>
    <d v="2021-03-09T00:00:00"/>
    <n v="22021000066"/>
    <s v="2021 10 2311 213"/>
    <n v="-6.57"/>
    <x v="27"/>
    <s v="F-772. ALPA. COPIAS R3T9Y27413 -FC011361 DE 01-10-20 A 31-12-20 SAN BENITO PUER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2"/>
    <s v="AD"/>
    <d v="2021-01-02T00:00:00"/>
    <n v="22021000202"/>
    <s v="2021 03 9241 22799"/>
    <n v="5212.7299999999996"/>
    <x v="551"/>
    <s v="PRORROGA SERVICIO ASESORAMIENTO PRESUPUESTOS PARTICIPATIVOS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7985"/>
    <s v="AD"/>
    <d v="2021-03-09T00:00:00"/>
    <n v="22021003264"/>
    <s v="2021 02 9332 213"/>
    <n v="1309.02"/>
    <x v="126"/>
    <s v="MANTENIMIENTO INSTALACIONES CLIMATIZACIÓN EDIFIC.SAN BENI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371"/>
    <s v="AD"/>
    <d v="2021-01-02T00:00:00"/>
    <n v="22021000274"/>
    <s v="2021 11 1361 213"/>
    <n v="3726.8"/>
    <x v="423"/>
    <s v="2ª PRÓRROGA CONTRATO SERV. MANTEN. Y CONSERV INSTALAC TÉRMICAS EDIFICIOS S.E.I.S. PRESTACIONE BÁSICAS 01/01 A 30/11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241"/>
    <s v="AD"/>
    <d v="2021-01-02T00:00:00"/>
    <n v="22021000248"/>
    <s v="2021 04 9204 22200"/>
    <n v="5308.88"/>
    <x v="552"/>
    <s v="SERVICIOS DE CONEXIÓN REMOTA A LA RED PRIVADA DEL AYUNTAMIENTO DE VALLADOLID (COVID-19)"/>
    <s v="22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2"/>
    <s v="22200"/>
  </r>
  <r>
    <n v="220210000526"/>
    <s v="AD"/>
    <d v="2021-01-25T00:00:00"/>
    <n v="22021000678"/>
    <s v="2021 10 2412 213"/>
    <n v="545.91999999999996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0073893"/>
    <s v="AD"/>
    <d v="2021-03-29T00:00:00"/>
    <n v="22019007657"/>
    <s v="2021 11 1361 632"/>
    <n v="226.39"/>
    <x v="251"/>
    <s v="PROYECTO IFS 2019/COORDINACION SEGURIDAD Y SALUD OBRA VESTUARIOS, DUCHAS Y ASEOS CAMPO FORMACIÓN EL REBOLLAR/SEISPC"/>
    <s v="220"/>
    <s v="MADRID"/>
    <s v="MADRID"/>
    <x v="0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10006056"/>
    <s v="AD"/>
    <d v="2021-02-24T00:00:00"/>
    <n v="22021002920"/>
    <s v="2021 05 4331 213"/>
    <n v="5418.38"/>
    <x v="349"/>
    <s v="DESCONEXIÓN Y DESMONTAJE CONEXIONES ELÉCTRICAS Y DE INTERNET, CON MOTIVO DE LAS OBRAS EN LA AGENCIA DE INNOVACIÓN."/>
    <s v="220"/>
    <s v="ALDEAMAYOR DE SAN MARTIN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3634"/>
    <s v="AD"/>
    <d v="2021-02-16T00:00:00"/>
    <n v="22021002339"/>
    <s v="2021 01 9205 22199"/>
    <n v="5554.14"/>
    <x v="553"/>
    <s v="ADJUDICACIÓN SUMINISTRO TINTAS OFFSET Y OTROS MATERIALES PARA TRABAJOS DE IMPRENTA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8411"/>
    <s v="AD"/>
    <d v="2021-03-11T00:00:00"/>
    <n v="22021003253"/>
    <s v="2021 02 1511 22799"/>
    <n v="7260"/>
    <x v="99"/>
    <s v="DISEÑO PROGRAMA FOMENTO ALQUILER LOCALES COMERCIALES,CREAC.BASE DATOS, BÚSQUEDA REFERENTES."/>
    <s v="220"/>
    <s v="BOECILLO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99"/>
  </r>
  <r>
    <n v="220200051502"/>
    <s v="AD"/>
    <d v="2021-03-29T00:00:00"/>
    <n v="22019007677"/>
    <s v="2021 11 1321 632"/>
    <n v="5637"/>
    <x v="250"/>
    <s v="CONTROL DE CALIDAD OBRAS DE ADAPTACIÓN  EDIFICIO JEFATURA DE POLICÍA MUNICIPAL. FASE 1ª."/>
    <s v="220"/>
    <s v="ZARATAN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8413"/>
    <s v="D"/>
    <d v="2021-03-11T00:00:00"/>
    <n v="22021002489"/>
    <s v="2021 04 9202 16205"/>
    <n v="147609.39000000001"/>
    <x v="554"/>
    <s v="CONTRATACIÓN LOTE 6, SUSCRIPCIÓN PÓLIZA SEGURO VIDA Y ACCIDENTES EMPLEADOS Y MIEMBROS CORPORACIÓN. AÑO 2021."/>
    <s v="300"/>
    <s v="MADRID"/>
    <s v="MADRID"/>
    <x v="0"/>
    <s v="PrAbier - Procedimiento Abierto"/>
    <s v="MultiC - MultiCriterio"/>
    <x v="1"/>
    <x v="0"/>
    <s v="1"/>
    <s v="1. Gastos de personal"/>
    <s v="04"/>
    <x v="3"/>
    <s v="9202"/>
    <s v="9202. Gestión de recursos humanos"/>
    <s v="16"/>
    <s v="16205"/>
  </r>
  <r>
    <n v="220210008418"/>
    <s v="AD"/>
    <d v="2021-03-11T00:00:00"/>
    <n v="22021002754"/>
    <s v="2021 01 9203 22000"/>
    <n v="1625.87"/>
    <x v="88"/>
    <s v="AD REAJUSTE ANUALIDADES CONTRATO MATERIAL ORDINARIO NO INVENTARIABLE LOTE 1"/>
    <s v="220"/>
    <s v="BURGOS"/>
    <s v="BURGOS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19"/>
    <s v="AD"/>
    <d v="2021-03-11T00:00:00"/>
    <n v="22021002755"/>
    <s v="2021 01 9203 22000"/>
    <n v="8613.85"/>
    <x v="88"/>
    <s v="AD REAJUSTE ANUALIDADES CONTRATO MATERIAL ORDINARIO NO INVENTARIABLE LOTE 4"/>
    <s v="220"/>
    <s v="BURGOS"/>
    <s v="BURGOS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0"/>
    <s v="AD"/>
    <d v="2021-03-11T00:00:00"/>
    <n v="22021002757"/>
    <s v="2021 01 9203 22000"/>
    <n v="4033.23"/>
    <x v="93"/>
    <s v="AD REAJUSTE ANUALIDADES CONTRATO MATERIAL ORDINARIO NO INVENTARIBLE LOTE 2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1"/>
    <s v="AD"/>
    <d v="2021-03-11T00:00:00"/>
    <n v="22021002758"/>
    <s v="2021 01 9203 22000"/>
    <n v="6372.42"/>
    <x v="93"/>
    <s v="AD REAJUSTE ANUALIDADES CONTRATO MATERIAL ORDINARIO NO INVENTARIBALE LOTE 3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2"/>
    <s v="AD"/>
    <d v="2021-03-11T00:00:00"/>
    <n v="22021002759"/>
    <s v="2021 01 9203 22000"/>
    <n v="12524.15"/>
    <x v="93"/>
    <s v="AD REAJUSTE ANUALIDADES CONTRATO MATERIAL ORDINARIO NO INVENTARIABLE, LOTE 5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3"/>
    <s v="AD"/>
    <d v="2021-03-11T00:00:00"/>
    <n v="22021002760"/>
    <s v="2021 01 9203 22000"/>
    <n v="14983.57"/>
    <x v="46"/>
    <s v="AD REAJUSTE ANUALIDADES CONTRATO MATERIAL ORDINARIO NO INVENTARIABLE LOTE 6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10354"/>
    <s v="AD"/>
    <d v="2021-03-18T00:00:00"/>
    <n v="22021003493"/>
    <s v="2021 11 1321 212"/>
    <n v="5647.02"/>
    <x v="282"/>
    <s v="PINTURA EN CERRAJERÍA Y RAMPA DE ACCESO A GARAJE DEPENDENCIAS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2"/>
  </r>
  <r>
    <n v="220210003655"/>
    <s v="AD"/>
    <d v="2021-02-16T00:00:00"/>
    <n v="22021002583"/>
    <s v="2021 01 9203 213"/>
    <n v="5717.25"/>
    <x v="555"/>
    <s v="MANTENIMIENTO RELOJ TORREON CASA CONSISTORIA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00047926"/>
    <s v="AD"/>
    <d v="2021-03-29T00:00:00"/>
    <n v="22020006026"/>
    <s v="2021 08 1341 609"/>
    <n v="5808"/>
    <x v="556"/>
    <s v="CONTRATO MENOR ADJUDICACIÓN SERVICIOS TÉCNICOS PROYECTO TRAMOS CICLABLES PASEO ISABEL LA CATÓLICA_PARTIP'2020"/>
    <s v="220"/>
    <s v="SALAMANCA"/>
    <s v="SALAMANCA"/>
    <x v="0"/>
    <s v="AdDirec - Adjudicación Directa"/>
    <s v="SinC - Sin Criterio"/>
    <x v="0"/>
    <x v="0"/>
    <s v="6"/>
    <s v="6. Inversiones reales"/>
    <s v="08"/>
    <x v="9"/>
    <s v="1341"/>
    <s v="1341. Movilidad"/>
    <s v="60"/>
    <s v="609"/>
  </r>
  <r>
    <n v="220210008430"/>
    <s v="AD"/>
    <d v="2021-03-11T00:00:00"/>
    <n v="22021003370"/>
    <s v="2021 02 9332 213"/>
    <n v="2342.44"/>
    <x v="128"/>
    <s v="MANTENIMIENTO EXTINTORES EDIFICIOS MUNICIPALES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0043317"/>
    <s v="AD"/>
    <d v="2021-03-29T00:00:00"/>
    <n v="22019008560"/>
    <s v="2021 08 1532 619"/>
    <n v="5885.84"/>
    <x v="295"/>
    <s v="COMPLEMENTARIO A LA OBRA DE  URBANIZACIÓN CALLE COSTA RICA.- Expte. 36/2019 SEMEU"/>
    <s v="220"/>
    <s v="TORDESILLAS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0488"/>
    <s v="AD"/>
    <d v="2021-01-25T00:00:00"/>
    <n v="22021001234"/>
    <s v="2021 07 1711 22799"/>
    <n v="5900"/>
    <x v="534"/>
    <s v="SUMINISTRO DE TIERRA VEGETAL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2403"/>
    <s v="AD"/>
    <d v="2021-02-08T00:00:00"/>
    <n v="22021002184"/>
    <s v="2021 03 9241 22602"/>
    <n v="5962.5"/>
    <x v="526"/>
    <s v="MASCARILLAS HIGIÉNICAS  PUBLICITARIAS PRESUPUESTOS PARTICIPATIVOS (2250 Uds.)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0073892"/>
    <s v="AD"/>
    <d v="2021-03-29T00:00:00"/>
    <n v="22019007657"/>
    <s v="2021 11 1361 632"/>
    <n v="1284.1099999999999"/>
    <x v="250"/>
    <s v="PROYECTO IFS 2019: CONTROL DE CALIDAD DE OBRA VESTUARIOS, DUCHAS Y ASEOS CAMPO DE FORMACIÓN DE EL REBOLLAR/SEISPC"/>
    <s v="220"/>
    <s v="ZARATAN"/>
    <s v="VALLADOLID"/>
    <x v="0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09000372"/>
    <s v="AD"/>
    <d v="2021-01-02T00:00:00"/>
    <n v="22021000275"/>
    <s v="2021 11 1361 213"/>
    <n v="4583.33"/>
    <x v="423"/>
    <s v="2ª PRÓRROGA CONTRATO SERV MANTEN Y CONSERVAC INSTALAC TÉRMICAS EDIFICIOS S.E.I.S. PRESTAC. COMPLEMENT.01/01 A 30/11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1350"/>
    <s v="AD"/>
    <d v="2021-02-01T00:00:00"/>
    <n v="22021000780"/>
    <s v="2021 11 1621 214"/>
    <n v="6000"/>
    <x v="473"/>
    <s v="SUMINISTRO REPUESTOS REPARACION EQUIPOS MODELO ROS ROCA DE VEHÍCULOS DEL Sº DE LIMPIEZA"/>
    <s v="220"/>
    <s v="TARREGA"/>
    <s v="LERID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8453"/>
    <s v="AD"/>
    <d v="2021-03-11T00:00:00"/>
    <n v="22021003365"/>
    <s v="2021 04 9202 22607"/>
    <n v="700"/>
    <x v="557"/>
    <s v="CRONÓMETRADORES PARA PRUEBAS PARA PROVISION DE 14 OFICIALES P.M."/>
    <s v="220"/>
    <s v="PALENCIA"/>
    <s v="PALENCI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357"/>
    <s v="AD"/>
    <d v="2021-02-01T00:00:00"/>
    <n v="22021001246"/>
    <s v="2021 11 1631 214"/>
    <n v="6000"/>
    <x v="558"/>
    <s v="SUMINISTRO REPUESTOS PARA REPARACION BARREDORAS RAVO, ELGI, MATHIEU  (DISTIBUIDOR EN ESPAÑA DE LA MARCA)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12899"/>
    <s v="AD"/>
    <d v="2021-03-29T00:00:00"/>
    <n v="22021003205"/>
    <s v="2021 05 4331 22602"/>
    <n v="14520"/>
    <x v="162"/>
    <s v="Publicación de dos páginas en el suplemento mensual INNOVA+ de El Norte de Castilla en 2021"/>
    <s v="23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09000406"/>
    <s v="AD"/>
    <d v="2021-01-02T00:00:00"/>
    <n v="22021000292"/>
    <s v="2021 11 1361 213"/>
    <n v="3726.8"/>
    <x v="423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389"/>
    <s v="AD"/>
    <d v="2021-01-02T00:00:00"/>
    <n v="22021000281"/>
    <s v="2021 02 9332 22103"/>
    <n v="6000"/>
    <x v="363"/>
    <s v="PRÓRROGA CONTRATO SUMINISTRO GASOLINA 95º. EXPTE. SE.18/2018 DESDE 1.01/ AL 31.12.2021"/>
    <s v="220"/>
    <s v="MADRID"/>
    <s v="MADRID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3"/>
  </r>
  <r>
    <n v="220209000394"/>
    <s v="AD"/>
    <d v="2021-01-02T00:00:00"/>
    <n v="22021000286"/>
    <s v="2021 08 1532 22103"/>
    <n v="6000"/>
    <x v="363"/>
    <s v="SUMINISTRO DE GASOLINA PARA EL AÑO 2021"/>
    <s v="220"/>
    <s v="MADRID"/>
    <s v="MADR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8477"/>
    <s v="D"/>
    <d v="2021-03-11T00:00:00"/>
    <n v="22021002088"/>
    <s v="2021 03 9241 212"/>
    <n v="816.2"/>
    <x v="559"/>
    <s v="Rect. FV 2001210011 / kentia 1,50/1,75 / antirium M17 / ANSEVIERA m17 / aucuba japonica M15 para CC José Luis Mosquera"/>
    <s v="300"/>
    <s v="PEÑAFIEL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7241"/>
    <s v="D"/>
    <d v="2021-03-09T00:00:00"/>
    <n v="22021002059"/>
    <s v="2021 11 1361 22199"/>
    <n v="25.11"/>
    <x v="410"/>
    <s v="ACUERDO MARCO; EXPTE. V. 36/2017; LOTE 4; COLLAK-DESATASCADOR 1 LT ACIDO ( 4 UNID); 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482"/>
    <s v="D"/>
    <d v="2021-03-11T00:00:00"/>
    <n v="22021002228"/>
    <s v="2021 06 3232 212"/>
    <n v="27.14"/>
    <x v="161"/>
    <s v="ALB. AV21/01082 DE 22/02/2021: BLISTER HOJA SIERRAS DE SABLE 5 UD (C.P. JOSE ZORRILLA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407"/>
    <s v="AD"/>
    <d v="2021-01-02T00:00:00"/>
    <n v="22021000293"/>
    <s v="2021 11 1361 213"/>
    <n v="4583.33"/>
    <x v="423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7297"/>
    <s v="D"/>
    <d v="2021-03-09T00:00:00"/>
    <n v="22021002133"/>
    <s v="2021 08 1651 22199"/>
    <n v="413.46"/>
    <x v="82"/>
    <s v="PORTALAMP. BJC 2003 E27  M10X1 (ALUMBRADO PÚBL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07347"/>
    <s v="D"/>
    <d v="2021-03-09T00:00:00"/>
    <n v="22021001966"/>
    <s v="2021 11 1321 213"/>
    <n v="74.900000000000006"/>
    <x v="82"/>
    <s v="ACUERDO MARCO. SUMINISTRO DE MATERIAL ELECTRICO PARA DEPENDENCIA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8489"/>
    <s v="D"/>
    <d v="2021-03-11T00:00:00"/>
    <n v="22021002089"/>
    <s v="2021 03 9241 213"/>
    <n v="9.1"/>
    <x v="82"/>
    <s v="CONMUTADOR NIESSEN 8102 MECANISMO (2)  /  BASTIDOR 1E NIESSEN (1) / MARCO NIESSEN (1)/// DESTINO: C.C.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493"/>
    <s v="D"/>
    <d v="2021-03-11T00:00:00"/>
    <n v="22021002089"/>
    <s v="2021 03 9241 213"/>
    <n v="2288.92"/>
    <x v="82"/>
    <s v="SUMINISTRO DE MATERIAL ELÉCTRICO PARA CC PARQUESOL/ CC AV.PALENCIA/ C.MPAL LAS FLOR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505"/>
    <s v="D"/>
    <d v="2021-03-11T00:00:00"/>
    <n v="22021002089"/>
    <s v="2021 03 9241 213"/>
    <n v="53.88"/>
    <x v="161"/>
    <s v="ALB. AV21/01169 DE 26/02/2021: BUZON CASTILLO NEGRO (EDIFICIO SEGUNDO MONTE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09000731"/>
    <s v="AD"/>
    <d v="2021-01-02T00:00:00"/>
    <n v="22021000465"/>
    <s v="2021 10 2312 213"/>
    <n v="2160"/>
    <x v="423"/>
    <s v="MANTENIMIENTO CALEFACCION DE LOS CPM NO TRANSFERIDOS PARA EL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8495"/>
    <s v="D"/>
    <d v="2021-03-11T00:00:00"/>
    <n v="22021002089"/>
    <s v="2021 03 9241 213"/>
    <n v="176.57"/>
    <x v="82"/>
    <s v="SUMINISTRO MATERIAL ELECTRICIDAD /// DESTINOS: C.C.BAILARIN V.ESCUDERO- C.C.CASA CUNA // (F/2020/1055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480"/>
    <s v="D"/>
    <d v="2021-03-11T00:00:00"/>
    <n v="22021002228"/>
    <s v="2021 06 3232 212"/>
    <n v="840.21"/>
    <x v="410"/>
    <s v="SUMINISTROS PARA LOS CP TERESA ÍÑIGO DE TORO/ CP TIERNO GALVÁN/ CP IGNACIO MARTÍN BARÓ/ CP CONSTANZA MARTÍN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763"/>
    <s v="AD"/>
    <d v="2021-01-02T00:00:00"/>
    <n v="22021000487"/>
    <s v="2021 10 2311 213"/>
    <n v="1644.72"/>
    <x v="423"/>
    <s v="CONTRATO DE MANTENIMIENTO DE CALEFACCIÓN, CLIMAT. Y ACS EN CEAS  PARA EL  AÑO 2021.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823"/>
    <s v="AD"/>
    <d v="2021-01-02T00:00:00"/>
    <n v="22021001159"/>
    <s v="2021 05 4331 22706"/>
    <n v="6050"/>
    <x v="560"/>
    <s v="CONTRATO DE REDACCIÓN, COORD. Y GESTIÓN DE PROPUESTA DEL AYUNTAMIENTO DE VALLADOLID A &quot;&quot;REGIONES DE UE RESILENTES &quot;&quot;"/>
    <s v="220"/>
    <s v="ROZAS DE MADRID (LAS)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5268"/>
    <s v="AD"/>
    <d v="2021-02-22T00:00:00"/>
    <n v="22021002840"/>
    <s v="2021 05 4314 22706"/>
    <n v="6050"/>
    <x v="561"/>
    <s v="VALORACIÓN CANON UTILIZACIÓN PRIVATIVA ESPACIO BAJO RASANTE PARA SUP. COMERCIAL. MERCADO VAL Y PUESTOS 4, 5, 12, 13 Y 15"/>
    <s v="220"/>
    <s v="LEON"/>
    <s v="LEON"/>
    <x v="0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06"/>
  </r>
  <r>
    <n v="220210010356"/>
    <s v="AD"/>
    <d v="2021-03-18T00:00:00"/>
    <n v="22021003491"/>
    <s v="2021 03 9241 22699"/>
    <n v="6050"/>
    <x v="562"/>
    <s v="PROVISIÓN DE CONTENIDOS PARA EL SISTEMA DE PANTALLAS INFORMATIVAS (PICC) INSTALADAS EN LOS CENTROS CÍVICOS"/>
    <s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0042276"/>
    <s v="AD"/>
    <d v="2021-03-29T00:00:00"/>
    <n v="22020004492"/>
    <s v="2021 08 1341 619"/>
    <n v="6096.8"/>
    <x v="260"/>
    <s v="2ª PRÓRROGA CONTRATO &quot;&quot;GESTIÓN INTEGRAL SISTEMA CENTRALIZADO DE CONTROL DE TRÁFICO DE VALLADOLID&quot;&quot;_Sept-Dic'2020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698"/>
    <s v="AD"/>
    <d v="2021-01-02T00:00:00"/>
    <n v="22021002459"/>
    <s v="2021 08 1532 22700"/>
    <n v="6161.09"/>
    <x v="213"/>
    <s v="Limpieza de las  dependencias del Parque de Vías Públicas. AÑOS 2021 y 2022.-"/>
    <s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700"/>
  </r>
  <r>
    <n v="220210000548"/>
    <s v="D"/>
    <d v="2021-01-25T00:00:00"/>
    <n v="22021001096"/>
    <s v="2021 10 2312 216"/>
    <n v="6398.4"/>
    <x v="409"/>
    <s v="MANTENIMIENTO Y REPARACION DE EQUIPOS  INFORMATICOS DE CPMS ARCA R,Z.ES.HTA,FRAY L. AÑO 2021 (533,20 E/M)EXPTE.SESS12/19"/>
    <s v="30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6"/>
  </r>
  <r>
    <n v="220210008646"/>
    <s v="ADO"/>
    <d v="2021-03-11T00:00:00"/>
    <n v="22021003291"/>
    <s v="2021 04 9202 22607"/>
    <n v="192"/>
    <x v="563"/>
    <s v="COBERTURA MÉDICA OPOSICIÓN 11 MECÁNICO - BOMBERO (6 HORAS EL DÍA 20/10/2020)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727"/>
    <s v="AD"/>
    <d v="2021-01-02T00:00:00"/>
    <n v="22021000462"/>
    <s v="2021 10 2312 213"/>
    <n v="1774.5"/>
    <x v="263"/>
    <s v="MANTENIMIENTO DEL SISTEMA DE SEGURIDAD DE LOS CPM TRANSFERIDOS EN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8503"/>
    <s v="D"/>
    <d v="2021-03-11T00:00:00"/>
    <n v="22021002089"/>
    <s v="2021 03 9241 213"/>
    <n v="116.88"/>
    <x v="82"/>
    <s v="ASTRONÓMICO THEBEN SELEKTA Y TASA ECORAEE PARA CM PUENTE DUERO (DESCONTADO ABON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650"/>
    <s v="D"/>
    <d v="2021-03-11T00:00:00"/>
    <n v="22021002059"/>
    <s v="2021 11 1361 22199"/>
    <n v="196.13"/>
    <x v="25"/>
    <s v="ACUERDO MARCO EXPTE. V.36_2017; LOTE 10; HELLA PLAFON LUZ (1 UD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519"/>
    <s v="D"/>
    <d v="2021-03-11T00:00:00"/>
    <n v="22021002143"/>
    <s v="2021 10 2311 212"/>
    <n v="34.130000000000003"/>
    <x v="410"/>
    <s v="F-2129. SUMINISTROS GARCICHAO, S.L. VIVIENDA C/ SOTO, 58, 1ªA. ASIENTO VICTORIA ACERO BLANCO.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665"/>
    <s v="D"/>
    <d v="2021-03-11T00:00:00"/>
    <n v="22021002052"/>
    <s v="2021 11 1621 22199"/>
    <n v="20.45"/>
    <x v="210"/>
    <s v="AC MARCO EXP V36-2017: MATERIAL ELECTRICO PARA PUNTO LIMPIO DE C/ VALLE DE ARAN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514"/>
    <s v="D"/>
    <d v="2021-03-11T00:00:00"/>
    <n v="22021002089"/>
    <s v="2021 03 9241 213"/>
    <n v="175.79"/>
    <x v="82"/>
    <s v="BASE SCH NIESSEN/ LÁMPARA/ TASA ECORAEE/ LUMINARIA SIMON/ LATIGUILLO OPENETICS (CC PARQUESOL,CC PILARICA,CC N.A.CHACÓ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671"/>
    <s v="D"/>
    <d v="2021-03-11T00:00:00"/>
    <n v="22021002052"/>
    <s v="2021 11 1621 22199"/>
    <n v="636.52"/>
    <x v="353"/>
    <s v="AC MARCO EXP V36-2017: SUMINISTROS VARI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682"/>
    <s v="D"/>
    <d v="2021-03-11T00:00:00"/>
    <n v="22021002057"/>
    <s v="2021 11 1631 22199"/>
    <n v="1453.15"/>
    <x v="353"/>
    <s v="AC MARCO EXP V36-2017:  CEPILLOS, ESCOBIJOS Y PALAS ALUMINIO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8648"/>
    <s v="D"/>
    <d v="2021-03-11T00:00:00"/>
    <n v="22021002059"/>
    <s v="2021 11 1361 22199"/>
    <n v="56.71"/>
    <x v="82"/>
    <s v="ACUERDO MARCO EXPTE, V.36_2017; LOTE 6; ARMARIO IDE GN302520 METAL 300X250 IP66  (1 UNIDAD )/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687"/>
    <s v="D"/>
    <d v="2021-03-11T00:00:00"/>
    <n v="22021002057"/>
    <s v="2021 11 1631 22199"/>
    <n v="1125.4100000000001"/>
    <x v="411"/>
    <s v="AC MARCO EXP V36-2017: SUMINISTROS INDUSTRIALES PARA 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09000671"/>
    <s v="AD"/>
    <d v="2021-01-02T00:00:00"/>
    <n v="22021000528"/>
    <s v="2021 07 1711 619"/>
    <n v="64626.69"/>
    <x v="564"/>
    <s v="ACUERDO MARCO V6/2020, MEJORA DE INSTALACIONES DE JUEGOS INFANTILES EN DIVERSAS ZONAS DE LA CIUDAD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09000672"/>
    <s v="AD"/>
    <d v="2021-01-02T00:00:00"/>
    <n v="22021000529"/>
    <s v="2021 07 1711 619"/>
    <n v="20943.03"/>
    <x v="564"/>
    <s v="ACUERDO MARCO V6/2020, MEJORAS EN EL ENTORNO DEL LAV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37"/>
    <s v="D"/>
    <d v="2021-03-11T00:00:00"/>
    <n v="22021001968"/>
    <s v="2021 11 1321 22199"/>
    <n v="263.3"/>
    <x v="114"/>
    <s v="ACUERDO MARCO. SUMINISTRO DE MATERIAL DE MANTENIMIENTO Y FERRETERI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8739"/>
    <s v="D"/>
    <d v="2021-03-11T00:00:00"/>
    <n v="22021001966"/>
    <s v="2021 11 1321 213"/>
    <n v="150.94999999999999"/>
    <x v="168"/>
    <s v="ACUERDO MARCO. SUMINISTRO DE MATERIAL ELECTRÓNICA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8741"/>
    <s v="D"/>
    <d v="2021-03-11T00:00:00"/>
    <n v="22021002059"/>
    <s v="2021 11 1361 22199"/>
    <n v="118.86"/>
    <x v="114"/>
    <s v="ACUERDO MARCO; EXPTE.:V.36_2017; LOTE 1;CINTA AISL/DESTORN/ROLLO ALAMBRE/JGO LLAVES/TENAZAS/ALICATES/DESENCOFR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743"/>
    <s v="D"/>
    <d v="2021-03-11T00:00:00"/>
    <n v="22021002059"/>
    <s v="2021 11 1361 22199"/>
    <n v="186.24"/>
    <x v="114"/>
    <s v="ACUERDO MARCO EXPTE. V.36_2017;LOTE 1; SIERRA S1157CHM VEHICLE RESCUE (10 UDS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09000673"/>
    <s v="AD"/>
    <d v="2021-01-02T00:00:00"/>
    <n v="22021000530"/>
    <s v="2021 07 1711 619"/>
    <n v="77586.649999999994"/>
    <x v="564"/>
    <s v="ACUERDO MARCO V6/2020, ARREGLOS EN PLAZA ELIPTIC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663"/>
    <s v="D"/>
    <d v="2021-03-11T00:00:00"/>
    <n v="22021002052"/>
    <s v="2021 11 1621 22199"/>
    <n v="41.42"/>
    <x v="410"/>
    <s v="AC MARCO EXP V36-2017: MATERIAL FONTANERIA PARA VESTUARIO JARDOIN BOTANIC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667"/>
    <s v="D"/>
    <d v="2021-03-11T00:00:00"/>
    <n v="22021002052"/>
    <s v="2021 11 1621 22199"/>
    <n v="32.75"/>
    <x v="82"/>
    <s v="ACUERDO MARCO EXP V36-2017. MATERAIL ELECTRICO, DESTINO: 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09000674"/>
    <s v="AD"/>
    <d v="2021-01-02T00:00:00"/>
    <n v="22021000531"/>
    <s v="2021 07 1711 619"/>
    <n v="46641.32"/>
    <x v="564"/>
    <s v="ACUERDO MARCO V6/2020, ARREGLO PASEOS AVDA. SALAMANCA Y ESCALERAS ACCESO A PARQUE MEDIODI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85"/>
    <s v="D"/>
    <d v="2021-03-11T00:00:00"/>
    <n v="22021002369"/>
    <s v="2021 02 9332 212"/>
    <n v="23"/>
    <x v="410"/>
    <s v="DOSIFICADOR JABON VISION 1,4LT (SAN BENITO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685"/>
    <s v="D"/>
    <d v="2021-03-11T00:00:00"/>
    <n v="22021002057"/>
    <s v="2021 11 1631 22199"/>
    <n v="4.82"/>
    <x v="82"/>
    <s v="AC MARCO EXP V36-2017: LA´MPARA PARA VESTUARIOS LIMPIEZA (JARDIN BOTÁN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7118"/>
    <s v="AD"/>
    <d v="2021-03-05T00:00:00"/>
    <n v="22021003171"/>
    <s v="2021 06 2315 22611"/>
    <n v="6500"/>
    <x v="565"/>
    <s v="Actividades de mediación cultural y lecturas compartidas a desarrollar durante el año 2021 / Hasta diciembre de 2021"/>
    <s v="220"/>
    <s v="SAN MIGUEL DEL PIN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10516"/>
    <s v="AD"/>
    <d v="2021-03-22T00:00:00"/>
    <n v="22021003542"/>
    <s v="2021 03 9241 212"/>
    <n v="6506.37"/>
    <x v="566"/>
    <s v="TRABAJOS DE PINTURA EN CENTRO SEGUNDO MONTE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6982"/>
    <s v="AD/"/>
    <d v="2021-03-04T00:00:00"/>
    <n v="22021000566"/>
    <s v="2021 11 1621 22103"/>
    <n v="-120000"/>
    <x v="149"/>
    <s v="LIBERACIÓN DE CREDITO A LA PARTIDA  11 / 1621 / 22103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3"/>
  </r>
  <r>
    <n v="220210007099"/>
    <s v="AD"/>
    <d v="2021-03-05T00:00:00"/>
    <n v="22021003198"/>
    <s v="2021 11 1321 213"/>
    <n v="6647.2"/>
    <x v="442"/>
    <s v="REPARACIÓN DE MOTORES Y ELECTROFRENO DE LA MÁQUINA DE TIRO DE  LA GALERÍA DE TIRO DE POLICIA."/>
    <s v="220"/>
    <s v="RENTERIA"/>
    <s v="GUIPUZCO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0028357"/>
    <s v="AD"/>
    <d v="2021-03-29T00:00:00"/>
    <n v="22020004439"/>
    <s v="2021 02 1511 619"/>
    <n v="6655"/>
    <x v="567"/>
    <s v="ASISTENCIA TECNICA MODELADO CON TECNOLOGÍA BIM(BUILDING INFORMATION MODELING) EN CRTA.FUENSALDAÑA"/>
    <s v="220"/>
    <s v="MADRID"/>
    <s v="MADRID"/>
    <x v="0"/>
    <s v="AdDirec - Adjudicación Directa"/>
    <s v="SinC - Sin Criterio"/>
    <x v="0"/>
    <x v="0"/>
    <s v="6"/>
    <s v="6. Inversiones reales"/>
    <s v="02"/>
    <x v="10"/>
    <s v="1511"/>
    <s v="1511. Planficación y gestión del urbanismo"/>
    <s v="61"/>
    <s v="619"/>
  </r>
  <r>
    <n v="220210009383"/>
    <s v="AD"/>
    <d v="2021-03-15T00:00:00"/>
    <n v="22021003401"/>
    <s v="2021 04 9202 22607"/>
    <n v="500"/>
    <x v="557"/>
    <s v="CONTROL DE CRONOMETRADORES PROVISIÓN DE 2 INSPECTORES P.M. EN PROMOCIÓN INTERNA. -mjsi."/>
    <s v="220"/>
    <s v="PALENCIA"/>
    <s v="PALENCI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6562"/>
    <s v="AD"/>
    <d v="2021-03-01T00:00:00"/>
    <n v="22021002951"/>
    <s v="2021 06 2314 22701"/>
    <n v="6674.43"/>
    <x v="568"/>
    <s v="REVISION DE SISTEMAS DE LAS INSTALACIONES DE SEGURIDAD  PINAR DE ANTEQUERA PARA PREVENCION DEL VANDALISMO 1 MES"/>
    <s v="220"/>
    <s v="NAVALCARNE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01025"/>
    <s v="AD"/>
    <d v="2021-01-27T00:00:00"/>
    <n v="22021002032"/>
    <s v="2021 01 9205 22199"/>
    <n v="6704.61"/>
    <x v="569"/>
    <s v="SUMINISTRO TÓNER, TINTAS Y MATERIAL TÉCNICO PARA TRABAJOS IMPRESIÓN EN LA IMPRENTA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9387"/>
    <s v="AD"/>
    <d v="2021-03-15T00:00:00"/>
    <n v="22021003427"/>
    <s v="2021 01 9206 22199"/>
    <n v="32.65"/>
    <x v="210"/>
    <s v="Lámpara MASTER PL-C 18W/840/2P para sustitución en el Archivo Municipal."/>
    <s v="220"/>
    <s v="BARCELONA"/>
    <s v="BARCELONA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09388"/>
    <s v="AD"/>
    <d v="2021-03-15T00:00:00"/>
    <n v="22021003429"/>
    <s v="2021 01 9206 623"/>
    <n v="1034.55"/>
    <x v="505"/>
    <s v="Adquisición de 3 carros porta documentos de acero y con ruedas de goma, para el Archivo Municipal."/>
    <s v="220"/>
    <s v="VALLADOLID"/>
    <s v="VALLADOLID"/>
    <x v="1"/>
    <s v="AdDirec - Adjudicación Directa"/>
    <s v="SinC - Sin Criterio"/>
    <x v="0"/>
    <x v="0"/>
    <s v="6"/>
    <s v="6. Inversiones reales"/>
    <s v="01"/>
    <x v="4"/>
    <s v="9206"/>
    <s v="9206. Archivo municipal"/>
    <s v="62"/>
    <s v="623"/>
  </r>
  <r>
    <n v="220210003990"/>
    <s v="AD"/>
    <d v="2021-02-17T00:00:00"/>
    <n v="22021002562"/>
    <s v="2021 07 1721 22199"/>
    <n v="7000"/>
    <x v="420"/>
    <s v="SUMINISTRO DE MATERIAL A LA EMPRESA VIDRA FOC PARA EL LABORATORIO. SERVICIO DE MEDIO AMBIENTE"/>
    <s v="220"/>
    <s v="BARCELONA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9391"/>
    <s v="AD"/>
    <d v="2021-03-15T00:00:00"/>
    <n v="22021003372"/>
    <s v="2021 02 9332 213"/>
    <n v="1458.59"/>
    <x v="126"/>
    <s v="MANTENIMIENTO INSTALACIÓN CALEFACCIÓN EDIFICO SAN BENITO (PEQUEÑAS AVERIAS)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762"/>
    <s v="AD"/>
    <d v="2021-01-02T00:00:00"/>
    <n v="22021000486"/>
    <s v="2021 10 2311 213"/>
    <n v="2122.4"/>
    <x v="263"/>
    <s v="CONTRATO DE MANTENIMIENTO SISTEMA SEGURIDAD CEAS BEL., DEL-ARG, CENTRO, EIF Y JEF.ZON., C.INTEGRADO -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678"/>
    <s v="AD"/>
    <d v="2021-01-02T00:00:00"/>
    <n v="22021000533"/>
    <s v="2021 07 1711 619"/>
    <n v="89583.26"/>
    <x v="564"/>
    <s v="MEJORAS, IL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7119"/>
    <s v="AD"/>
    <d v="2021-03-05T00:00:00"/>
    <n v="22021003174"/>
    <s v="2021 08 1341 22706"/>
    <n v="7108.75"/>
    <x v="570"/>
    <s v="ASISTENCIA TÉCNICA ACTUALIZACIÓN-COMPOSICIÓN DEL DOCUMENTO ESTRATÉGICO  PIMUSSVA PARA TRAMITACIÓN DE APROBACIÓN INICIAL"/>
    <s v="220"/>
    <s v="MADRID"/>
    <s v="MADRID"/>
    <x v="0"/>
    <s v="AdDirec - Adjudicación Directa"/>
    <s v="SinC - Sin Criterio"/>
    <x v="0"/>
    <x v="0"/>
    <s v="2"/>
    <s v="2. Gastos corrientes en bienes y servicios"/>
    <s v="08"/>
    <x v="9"/>
    <s v="1341"/>
    <s v="1341. Movilidad"/>
    <s v="22"/>
    <s v="22706"/>
  </r>
  <r>
    <n v="220210007195"/>
    <s v="AD"/>
    <d v="2021-03-08T00:00:00"/>
    <n v="22021003065"/>
    <s v="2021 01 9206 22799"/>
    <n v="7139"/>
    <x v="571"/>
    <s v="DESCRIPCIÓN DEL FONDO DOCUMENTAL &quot;&quot;ARCHIVO GASPAR NÚÑEZ DE ARCE&quot;&quot;, DEPOSITADO EN EL ARCHIVO MUNICIPAL EL AÑO 2019.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10009396"/>
    <s v="AD"/>
    <d v="2021-03-15T00:00:00"/>
    <n v="22021003456"/>
    <s v="2021 11 1321 22699"/>
    <n v="529.53"/>
    <x v="572"/>
    <s v="CERTIFICACIÓN DE VERIFICACIÓN  PERIÓDICA DE ETILÓMETRO DE POLICÍA MUNICIPAL.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9397"/>
    <s v="AD"/>
    <d v="2021-03-15T00:00:00"/>
    <n v="22021003393"/>
    <s v="2021 01 9207 22001"/>
    <n v="104"/>
    <x v="446"/>
    <s v="RENOVACIÓN SUSCRIPCIÓN ANUAL PERIÓDICO EL DÍA DE VALLADOLID - UNIDAD DE MEDIOS DE COMUNICACIÓN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9398"/>
    <s v="AD"/>
    <d v="2021-03-15T00:00:00"/>
    <n v="22021003411"/>
    <s v="2021 11 1321 22103"/>
    <n v="73.37"/>
    <x v="28"/>
    <s v="REPOSTAJE FE VEHÍCULO DE REPOSICIÓN ENVIADO POR LA EMPRESA DE RENTING A POLICÍA MUNICIPAL."/>
    <s v="220"/>
    <s v="LAS ROZAS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3"/>
  </r>
  <r>
    <n v="220209000728"/>
    <s v="AD"/>
    <d v="2021-01-02T00:00:00"/>
    <n v="22021000463"/>
    <s v="2021 10 2312 213"/>
    <n v="2477"/>
    <x v="263"/>
    <s v="MANTENIMIENTO DEL AÑO 2021 DEL SISTEMA DE SEGURIDAD DE LOS CPM NO TRANSFERIDOS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0062285"/>
    <s v="AD"/>
    <d v="2021-03-29T00:00:00"/>
    <n v="22020005818"/>
    <s v="2021 07 1711 619"/>
    <n v="191229.33"/>
    <x v="564"/>
    <s v="MEJORAS, IL.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87"/>
    <s v="D"/>
    <d v="2021-03-11T00:00:00"/>
    <n v="22021002371"/>
    <s v="2021 02 9332 212"/>
    <n v="26.2"/>
    <x v="82"/>
    <s v="EXTRACTO SYP EDM-100 S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1024"/>
    <s v="AD"/>
    <d v="2021-01-27T00:00:00"/>
    <n v="22021002031"/>
    <s v="2021 01 9205 22199"/>
    <n v="7199.5"/>
    <x v="358"/>
    <s v="SUMINISTRO MATERIAL DE CARTONAJE Y REALIZACIÓN TRABAJOS MANIPULACIÓN Y ENCUADERNACIÓN ARTES GRÁFICAS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9419"/>
    <s v="D"/>
    <d v="2021-03-16T00:00:00"/>
    <n v="22021002369"/>
    <s v="2021 02 9332 212"/>
    <n v="169.34"/>
    <x v="161"/>
    <s v="ALB. AV21/01133 DE 24/02/2021 - AV21/01081 DE 22/02/2021 - AV21/00763 DE 08/02/2021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792"/>
    <s v="D"/>
    <d v="2021-03-11T00:00:00"/>
    <n v="22021002369"/>
    <s v="2021 02 9332 212"/>
    <n v="282.43"/>
    <x v="410"/>
    <s v="SUMINISTRO DE REPUESTOS ////  DESTINOS:  CASA CONSISTORIAL  Y EDIFICIO SANTA ANA.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9439"/>
    <s v="D"/>
    <d v="2021-03-16T00:00:00"/>
    <n v="22021002088"/>
    <s v="2021 03 9241 212"/>
    <n v="370.08"/>
    <x v="314"/>
    <s v="AGLOMERADO / COLA / ROLLO CORCHO //////// C. C. DELICIAS / C.C. CANAL DE CASTILLA / CIC EMPECIN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471"/>
    <s v="D"/>
    <d v="2021-02-26T00:00:00"/>
    <n v="22021002449"/>
    <s v="2021 07 1711 619"/>
    <n v="747.49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9445"/>
    <s v="D"/>
    <d v="2021-03-16T00:00:00"/>
    <n v="22021000542"/>
    <s v="2021 08 1341 22699"/>
    <n v="13.42"/>
    <x v="114"/>
    <s v="ACUERDO MARCO_FLEXOMETRO SINEX / BAYETA MICROFIBRA 4 UDS MARUJAS / GUANTE TKE04 BLANCO T-9 (2 UD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163"/>
    <s v="AD"/>
    <d v="2021-03-08T00:00:00"/>
    <n v="22021003338"/>
    <s v="2021 11 1321 213"/>
    <n v="7226.12"/>
    <x v="573"/>
    <s v="MANTENIMIENTO PREVENTIVO DE LA GALERÍA DE TIRO VIRTUAL DE LA POLICÍA MUNICIPAL."/>
    <s v="220"/>
    <s v="ALCOBENDA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9590"/>
    <s v="AD"/>
    <d v="2021-03-16T00:00:00"/>
    <n v="22021002972"/>
    <s v="2021 03 9241 22602"/>
    <n v="484"/>
    <x v="574"/>
    <s v="LA JUNGLA RADIO. EMISIÓN 6 CUÑAS DIARIAS+INFORMACIÓN EN REDES SOCIALES (DEL 20/01/21 AL 02/02/21) CAMPAÑA PPTOS PARTICIP"/>
    <s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9933"/>
    <s v="AD"/>
    <d v="2021-03-17T00:00:00"/>
    <n v="22021003419"/>
    <s v="2021 04 9204 641"/>
    <n v="7247.9"/>
    <x v="575"/>
    <s v="ASISTENCIA TÉC  PARA LA INSTALACIÓN DE LA PLATAFORMA DE ADMINISTRACIÓN ELECTRÓNICA MOAD EN EL AYUNTAMIENTO DE VALLADOLID"/>
    <s v="220"/>
    <s v="SEVILLA"/>
    <s v="SEVILLA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6561"/>
    <s v="AD"/>
    <d v="2021-03-01T00:00:00"/>
    <n v="22021002772"/>
    <s v="2021 01 9206 22799"/>
    <n v="7251.76"/>
    <x v="281"/>
    <s v="SERVICIO DE APOYO BIBLIOTECARIO A AL BIBLIOTECA DEL ARCHIVO MUNICIPAL, AÑO 2021"/>
    <s v="220"/>
    <s v="SANTOVENIA DE PISUERGA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10010043"/>
    <s v="AD"/>
    <d v="2021-03-17T00:00:00"/>
    <n v="22021002825"/>
    <s v="2021 10 2312 22799"/>
    <n v="7254"/>
    <x v="379"/>
    <s v="MANTENIMIENTO DE LAS ZONAS VERDES DEL CPM DELICIAS Y RONDILLA DEL 01/01/2021 AL 30/06/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9597"/>
    <s v="AD"/>
    <d v="2021-03-16T00:00:00"/>
    <n v="22021003424"/>
    <s v="2021 02 9332 213"/>
    <n v="601.55999999999995"/>
    <x v="126"/>
    <s v="REPARACIÓN AVERIAS  CLIMATIZACIÓN EN LOS EDIFICIOS MUNICIPALES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196"/>
    <s v="AD"/>
    <d v="2021-01-20T00:00:00"/>
    <n v="22021000650"/>
    <s v="2021 10 2311 22799"/>
    <n v="7256.31"/>
    <x v="576"/>
    <s v="SERVICIO REPARTO E INTERCAMBIO DE DOCUMENTACION ENTRE SERV.CENTRALES INT.SOCIAL Y CENTROS DEPENDIENTES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6054"/>
    <s v="AD"/>
    <d v="2021-02-24T00:00:00"/>
    <n v="22021002613"/>
    <s v="2021 07 1711 619"/>
    <n v="7258.19"/>
    <x v="577"/>
    <s v="SUMINISTRO DE ELEMENTOS DE SEGURIDAD Y SEÑALIZACION PARA DIVERSOS PARQUES DE LA CIUDAD."/>
    <s v="220"/>
    <s v="ELDA"/>
    <s v="ALICANTE"/>
    <x v="1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9934"/>
    <s v="AD"/>
    <d v="2021-03-17T00:00:00"/>
    <n v="22021002520"/>
    <s v="2021 02 1501 619"/>
    <n v="60500"/>
    <x v="0"/>
    <s v="ADJUDICAR CONTRATO SEGURIDAD Y SALUD  LOTE 1 &quot;&quot;EDIFICACIONES&quot;&quot;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01"/>
    <s v="1501. Dirección del área de urbanismo"/>
    <s v="61"/>
    <s v="619"/>
  </r>
  <r>
    <n v="220210003986"/>
    <s v="AD"/>
    <d v="2021-02-17T00:00:00"/>
    <n v="22021002527"/>
    <s v="2021 07 1721 213"/>
    <n v="7260"/>
    <x v="578"/>
    <s v="MANTENIMIENTO DE ROBOT POR PARTE DE GILSON INTERNACIONAL. SERVICIO MEDIO AMBIENTE"/>
    <s v="220"/>
    <s v="SAN FERNANDO DE HENARES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7179"/>
    <s v="AD"/>
    <d v="2021-03-08T00:00:00"/>
    <n v="22021003300"/>
    <s v="2021 03 9241 213"/>
    <n v="7260"/>
    <x v="491"/>
    <s v="Contratación de instalaciones de toma eléctrica temporal para dar servicio a distintos eventos programados durante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6956"/>
    <s v="AD"/>
    <d v="2021-03-04T00:00:00"/>
    <n v="22021003135"/>
    <s v="2021 06 2315 22611"/>
    <n v="7260"/>
    <x v="579"/>
    <s v="Varios talleres de Igualdad a ejecutar en el Centro Municipal de la Igualdad durante 2021 / HASTA DICIEMBRE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4224"/>
    <s v="AD"/>
    <d v="2021-02-18T00:00:00"/>
    <n v="22021002828"/>
    <s v="2021 06 2315 22611"/>
    <n v="7260"/>
    <x v="380"/>
    <s v="Diseño e impresión de materiales para Campaña de Igualdad en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6949"/>
    <s v="AD"/>
    <d v="2021-03-04T00:00:00"/>
    <n v="22021003058"/>
    <s v="2021 06 2314 22602"/>
    <n v="7260"/>
    <x v="380"/>
    <s v="Diseño e impresión de materiales para Plan de Juventud en 2021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0543"/>
    <s v="AD"/>
    <d v="2021-01-25T00:00:00"/>
    <n v="22021001098"/>
    <s v="2021 05 4331 22602"/>
    <n v="999.46"/>
    <x v="507"/>
    <s v="CAMPAÑA DIFUSION CONVOCATORIA SUBVENCIONES REACTIVA DIGITAL - PRENSA DIGITAL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09406"/>
    <s v="D"/>
    <d v="2021-03-16T00:00:00"/>
    <n v="22021002006"/>
    <s v="2021 11 3111 22199"/>
    <n v="300.99"/>
    <x v="82"/>
    <s v="AM V. 26/2017FRIGORIF TEKA FTM327 245Lt 159x55x55 2PTA / LAMPARA *PH + TASA ECORAEE (10+10) /// DESTINO: PROT. SALUD PUB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0071"/>
    <s v="D"/>
    <d v="2021-03-18T00:00:00"/>
    <n v="22021002143"/>
    <s v="2021 10 2311 212"/>
    <n v="26.86"/>
    <x v="82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071"/>
    <s v="D"/>
    <d v="2021-03-18T00:00:00"/>
    <n v="22021002144"/>
    <s v="2021 10 2311 212"/>
    <n v="73.81"/>
    <x v="82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100"/>
    <s v="D"/>
    <d v="2021-03-18T00:00:00"/>
    <n v="22021001038"/>
    <s v="2021 10 2312 212"/>
    <n v="495.95"/>
    <x v="82"/>
    <s v="MANTENENTO, MPLAFON LED+TASA / DOWNLIGHT+TASA (6+6) / DIFERENCIAL (2) / MAGNETOT (2)/ CPM PTE COLGA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10117"/>
    <s v="D"/>
    <d v="2021-03-18T00:00:00"/>
    <n v="22021002052"/>
    <s v="2021 11 1621 22199"/>
    <n v="291.08"/>
    <x v="285"/>
    <s v="AC MARCO EXP.. V36-2017: SUMINISTROS VARIOS ////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0119"/>
    <s v="D"/>
    <d v="2021-03-18T00:00:00"/>
    <n v="22021002048"/>
    <s v="2021 11 1621 214"/>
    <n v="532.4"/>
    <x v="304"/>
    <s v="ACUERDO MARCO EXP V36-2017: NTICONGELANTE 3000 50% 185 K  ( 2 UNIDADES 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21"/>
    <s v="D"/>
    <d v="2021-03-18T00:00:00"/>
    <n v="22021002048"/>
    <s v="2021 11 1621 214"/>
    <n v="132.31"/>
    <x v="304"/>
    <s v="AC MARCO EXP V36-2017: FILTRO HIDRAULICO CR-330/03  ( 3 UNIDADES ) PARA VEHIUC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23"/>
    <s v="D"/>
    <d v="2021-03-18T00:00:00"/>
    <n v="22021002049"/>
    <s v="2021 11 1621 22103"/>
    <n v="562.65"/>
    <x v="304"/>
    <s v="ACUERDO MARCO EXP V36-2017: ADBLUE A GRANEL  (1.500), ADITIVO GASOIL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10125"/>
    <s v="D"/>
    <d v="2021-03-18T00:00:00"/>
    <n v="22021002049"/>
    <s v="2021 11 1621 22103"/>
    <n v="2633.29"/>
    <x v="304"/>
    <s v="AC MARCO EXP V36-2017: LUBRICANTES PARA MOTORES Y CIRCUITOS HIDRÁULICOS DE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10129"/>
    <s v="D"/>
    <d v="2021-03-18T00:00:00"/>
    <n v="22021002048"/>
    <s v="2021 11 1621 214"/>
    <n v="1513.52"/>
    <x v="25"/>
    <s v="AC MARCO EXP V36-2017: REPUESTOS PARA REPARACIONES EN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35"/>
    <s v="D"/>
    <d v="2021-03-18T00:00:00"/>
    <n v="22021002056"/>
    <s v="2021 11 1631 22110"/>
    <n v="612.02"/>
    <x v="285"/>
    <s v="AC MARCO EXP V36-2017: DESENGRASNTES PARA LIMPIEZADE VIALES, MOBILIARIO URBANO Y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10137"/>
    <s v="D"/>
    <d v="2021-03-18T00:00:00"/>
    <n v="22021002057"/>
    <s v="2021 11 1631 22199"/>
    <n v="364.31"/>
    <x v="110"/>
    <s v="AC MARCO EXP V36-2017: RECOGEDORES PLEGLAB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1421"/>
    <s v="ADO"/>
    <d v="2021-02-02T00:00:00"/>
    <n v="22021002061"/>
    <s v="2021 05 4315 22602"/>
    <n v="998.25"/>
    <x v="507"/>
    <s v="INSERCION PUBLICITARIA TRIBUNAVALLADOLID.COM-Campaña: Dif. Mercadillos Mpales-Banner -Del 22 al 30 diciembre AM30/2018"/>
    <s v="24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15"/>
    <s v="4315. Actuaciones en materia de consumo"/>
    <s v="22"/>
    <s v="22602"/>
  </r>
  <r>
    <n v="220210005189"/>
    <s v="AD"/>
    <d v="2021-02-19T00:00:00"/>
    <n v="22021002639"/>
    <s v="2021 05 4314 22602"/>
    <n v="1815"/>
    <x v="507"/>
    <s v="CONTRATACION INSERCIONES PUBLICITARIAS EN TRIBUNA DIGITAL. CAMPAÑA  NAVIDAD DIFUSIÓN MERCADOS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14"/>
    <s v="4314. Fomento del comercio"/>
    <s v="22"/>
    <s v="22602"/>
  </r>
  <r>
    <n v="220210010169"/>
    <s v="D"/>
    <d v="2021-03-18T00:00:00"/>
    <n v="22021001181"/>
    <s v="2021 10 2412 22199"/>
    <n v="211"/>
    <x v="161"/>
    <s v="MATERIAL PARA EL CENTRO DE FORMACION PARA EL EMPLEO, PARA EL CURSO DE  PARQUES  Y JARDINES II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71"/>
    <s v="D"/>
    <d v="2021-03-18T00:00:00"/>
    <n v="22021001183"/>
    <s v="2021 10 2412 22199"/>
    <n v="227.26"/>
    <x v="161"/>
    <s v="MATERIAL PARA EL C.DE FORMACION PARA EL EMPLEO PARA EL CURSO,: 47/0014/2020 / CURSO: PINTURA DECORATIVA III- DURAC-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73"/>
    <s v="D"/>
    <d v="2021-03-18T00:00:00"/>
    <n v="22021001169"/>
    <s v="2021 10 2412 212"/>
    <n v="23.09"/>
    <x v="161"/>
    <s v="MANTEN. MATERIAL : 5 UDS - BOTE ESPUMA POLIURETANO 750MLPARA EL (CENTRO J.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9442"/>
    <s v="D"/>
    <d v="2021-03-16T00:00:00"/>
    <n v="22021002088"/>
    <s v="2021 03 9241 212"/>
    <n v="73.58"/>
    <x v="191"/>
    <s v="ALB.21-202328: PEGAMENTO PVC/ LIQUIDO LIMPIADOR/ MANGUITO/ CODOS/ TE/ MANGUITO EVACUAC./ SACO RAFIA (CC JOSE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179"/>
    <s v="D"/>
    <d v="2021-03-18T00:00:00"/>
    <n v="22021001968"/>
    <s v="2021 11 1321 22199"/>
    <n v="160.22"/>
    <x v="314"/>
    <s v="ACUERDO MARCO. SUMINISTRO 12,50 UDS - TABLERO CONTR.PINO II/III 15MM"/>
    <s v="300"/>
    <s v="VALLADOLID"/>
    <s v="VALLADOLID"/>
    <x v="1"/>
    <s v="PrAbier - Procedimiento Abierto"/>
    <s v="SinC - Sin Criterio"/>
    <x v="2"/>
    <x v="0"/>
    <s v="2"/>
    <s v="2. Gastos corrientes en bienes y servicios"/>
    <s v="11"/>
    <x v="5"/>
    <s v="1321"/>
    <s v="1321. Policía municipal"/>
    <s v="22"/>
    <s v="22199"/>
  </r>
  <r>
    <n v="220210010182"/>
    <s v="D"/>
    <d v="2021-03-18T00:00:00"/>
    <n v="22021001275"/>
    <s v="2021 07 1711 22199"/>
    <n v="64.069999999999993"/>
    <x v="114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184"/>
    <s v="D"/>
    <d v="2021-03-18T00:00:00"/>
    <n v="22021001276"/>
    <s v="2021 07 1711 22106"/>
    <n v="396"/>
    <x v="580"/>
    <s v="ACUERDO MARCO 2017/36, PRODUCTOS FITOSANITARIOS."/>
    <s v="300"/>
    <s v="TORDESILLAS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06"/>
  </r>
  <r>
    <n v="220210010188"/>
    <s v="D"/>
    <d v="2021-03-18T00:00:00"/>
    <n v="22021001275"/>
    <s v="2021 07 1711 22199"/>
    <n v="54.45"/>
    <x v="271"/>
    <s v="ACUERDO MARCO 2017/36, ADQUISICION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046"/>
    <s v="AD"/>
    <d v="2021-03-17T00:00:00"/>
    <n v="22021003301"/>
    <s v="2021 06 2315 22611"/>
    <n v="7260"/>
    <x v="581"/>
    <s v="Talleres prácticos de igualdad en Centro Municipal de la Igualdad en 2021 / Hasta diciembre 2021"/>
    <s v="220"/>
    <s v="MADRID"/>
    <s v="MADR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10210"/>
    <s v="D"/>
    <d v="2021-03-18T00:00:00"/>
    <n v="22021002378"/>
    <s v="2021 02 9332 214"/>
    <n v="1811.82"/>
    <x v="381"/>
    <s v="ACUERDO MARCO_8346KZY_VA9917Y_8367JKB_0701DKW_VA2712U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10175"/>
    <s v="D"/>
    <d v="2021-03-18T00:00:00"/>
    <n v="22021001181"/>
    <s v="2021 10 2412 22199"/>
    <n v="47.31"/>
    <x v="191"/>
    <s v="MATERIAL, MACHÓN, ENLACE HEMBRA, PUNZÓN,FILTRO, DEL C FORMACIÓN  CURSO DE    PARQUES  Y JARDINES II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05"/>
    <s v="D"/>
    <d v="2021-03-18T00:00:00"/>
    <n v="22021001038"/>
    <s v="2021 10 2312 212"/>
    <n v="118.62"/>
    <x v="82"/>
    <s v="LAMPARA *PH SON-T PLUS + TASA/ LAMPARA PH TORNAD + TASA ECORAEE (5+5) /// DESTINO: CPM DELICIAS-DURACION 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2882"/>
    <s v="AD"/>
    <d v="2021-02-11T00:00:00"/>
    <n v="22021002394"/>
    <s v="2021 06 3232 212"/>
    <n v="7260"/>
    <x v="582"/>
    <s v="MATERIAL DE PINTURA PATA ATENDER LAS NECESIDADES DE REPARACIONES EN COLEGIOS PÚBLICOS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9435"/>
    <s v="D"/>
    <d v="2021-03-16T00:00:00"/>
    <n v="22021002089"/>
    <s v="2021 03 9241 213"/>
    <n v="38.89"/>
    <x v="410"/>
    <s v="GENEBRE-DOSIFICADOR DESINFE AUTOM ( 1 UNIDAD ) CC JOSÉ MARÍA LUELMO      /   DESTINO: CC JOSE MARIA LUELMO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10223"/>
    <s v="D"/>
    <d v="2021-03-18T00:00:00"/>
    <n v="22021002128"/>
    <s v="2021 10 2312 22799"/>
    <n v="1200"/>
    <x v="583"/>
    <s v="ADJUDICACION TALLER SENSIBILIZACION LOTE 1 ACCESIBILIDAD-32 E/H-DESDE FORMALIZACION A DIC 2021"/>
    <s v="30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24"/>
    <s v="D"/>
    <d v="2021-03-18T00:00:00"/>
    <n v="22021002128"/>
    <s v="2021 10 2312 22799"/>
    <n v="2596"/>
    <x v="230"/>
    <s v="ADJUDICACION lote 2 TALLER EDUCATIVO SOBRE COMERCIO JUSTO-PLAN COOP.-29,50 E/H-DESDE FORMALIZACION A DIC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25"/>
    <s v="D"/>
    <d v="2021-03-18T00:00:00"/>
    <n v="22021002129"/>
    <s v="2021 10 2312 22799"/>
    <n v="8684"/>
    <x v="230"/>
    <s v="ADJUDICACION lote 3 TALLER EDUCATIVO PREVENCION USO INADECUADO TIC.-29,50 E/H-DESDE FORMALIZACION A DIC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12"/>
    <s v="D"/>
    <d v="2021-03-18T00:00:00"/>
    <n v="22021002369"/>
    <s v="2021 02 9332 212"/>
    <n v="9.76"/>
    <x v="191"/>
    <s v="ALB: 21-201268 ////// GRIFO DE BOLA MANGUERA 1/2&quot;&quot; (3) //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2603"/>
    <s v="AD"/>
    <d v="2021-02-09T00:00:00"/>
    <n v="22021002004"/>
    <s v="2021 06 2314 22701"/>
    <n v="7260"/>
    <x v="568"/>
    <s v="Servicio transitorio de Seguridad Zona Recreativa Pinar de Antequera para prevención del vandalismo / 15 días"/>
    <s v="220"/>
    <s v="NAVALCARNE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10233"/>
    <s v="AD"/>
    <d v="2021-03-18T00:00:00"/>
    <n v="22021003478"/>
    <s v="2021 10 2412 22199"/>
    <n v="166.32"/>
    <x v="98"/>
    <s v="PLANTAS INTERIOR PARA SAN BENITO Y CPM RONDILLA PARA LOS ALUMNOS DEL CURSODE PARQUES Y JARDINES- DURAC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0234"/>
    <s v="AD"/>
    <d v="2021-03-18T00:00:00"/>
    <n v="22021003486"/>
    <s v="2021 10 2412 203"/>
    <n v="341.22"/>
    <x v="91"/>
    <s v="ALQUILER BRAZO ARTICULADO  PARA EL C. DE FORMACION PARA EL EMPLEO, CURSO DE PARQUES Y JARDINES DEL 22/02 AL 24/02/2021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0"/>
    <s v="203"/>
  </r>
  <r>
    <n v="220210010235"/>
    <s v="AD"/>
    <d v="2021-03-18T00:00:00"/>
    <n v="22021003407"/>
    <s v="2021 10 2312 213"/>
    <n v="108.9"/>
    <x v="52"/>
    <s v="INSPECCION PERIODICA OCA CON S.C.I. DEL APARATO ELEVADOR DEL CPM RONDILLA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64"/>
    <s v="AD"/>
    <d v="2021-01-02T00:00:00"/>
    <n v="22021000488"/>
    <s v="2021 10 2311 213"/>
    <n v="234.96"/>
    <x v="423"/>
    <s v="CONTRATO DE MANTENIMIENTO DE CALEFACCIÓN, CLIMAT. Y ACS EN COMEDOR SOCIAL  PARA AÑO 2021.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0542"/>
    <s v="AD"/>
    <d v="2021-01-25T00:00:00"/>
    <n v="22021001097"/>
    <s v="2021 06 3232 212"/>
    <n v="7260"/>
    <x v="270"/>
    <s v="SUMINISTRO DE PINTURA Y DIVERSOS MATERIALES PARA PINTAR EN COLEGIOS PÚBLICOS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412"/>
    <s v="AD"/>
    <d v="2021-02-08T00:00:00"/>
    <n v="22021002342"/>
    <s v="2021 06 3232 22799"/>
    <n v="7260"/>
    <x v="213"/>
    <s v="MANTENIMIENTO Y SUSTITUCIÓN DE ELEMENTOS DE JARDINERÍA EN COLEGIOS.P. DE VALLADOLID FUERA DE CONTRATO.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9000623"/>
    <s v="AD"/>
    <d v="2021-01-02T00:00:00"/>
    <n v="22021000745"/>
    <s v="2021 04 9204 641"/>
    <n v="7356.8"/>
    <x v="495"/>
    <s v="DESARROLLO DE UN VISUALIZADOR WEB KNOSYS PARA INCLUIR EN LA APLICACIÓN WEB DE CONSULTA ACTUAL"/>
    <s v="220"/>
    <s v="SAN SEBASTIAN DE LOS REYES"/>
    <s v="MADRID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09000696"/>
    <s v="AD"/>
    <d v="2021-01-02T00:00:00"/>
    <n v="22021000440"/>
    <s v="2021 04 9204 22700"/>
    <n v="7510.47"/>
    <x v="324"/>
    <s v="LIMPIEZA DEL CENTRO DE DIFUSIÓN TECNOLÓGICA, (CDIT)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700"/>
  </r>
  <r>
    <n v="220210010214"/>
    <s v="D"/>
    <d v="2021-03-18T00:00:00"/>
    <n v="22021002371"/>
    <s v="2021 02 9332 212"/>
    <n v="55.54"/>
    <x v="82"/>
    <s v="10 UDS - CONMUTADOR NIESSEN 1502 BL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0290"/>
    <s v="D"/>
    <d v="2021-03-18T00:00:00"/>
    <n v="22021002133"/>
    <s v="2021 08 1651 22199"/>
    <n v="123"/>
    <x v="411"/>
    <s v="BROCA/ TUERCA/ ARANDELA/ LLAVE PLANA/ LLAVE PARA CAMBINA DE CONTROL/ LLAVE L/ LLAVE PLANA/ JUEGO LLAVES ALLEN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10318"/>
    <s v="D"/>
    <d v="2021-03-18T00:00:00"/>
    <n v="22021002088"/>
    <s v="2021 03 9241 212"/>
    <n v="8.99"/>
    <x v="191"/>
    <s v="ALB: 21-202354 /////  MANGUITO EVACUACION DN 110 (4 UNIDADES) /// DESTINO: C.C. JOSE M.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321"/>
    <s v="D"/>
    <d v="2021-03-18T00:00:00"/>
    <n v="22021001038"/>
    <s v="2021 10 2312 212"/>
    <n v="20.81"/>
    <x v="82"/>
    <s v="MANTENIMIENTO, REPARACIONES, DOWL.MINI NORMALIT EHM14B LED 11W 4000K BL (CPM SAN JUAN)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09000772"/>
    <s v="AD"/>
    <d v="2021-01-02T00:00:00"/>
    <n v="22021000496"/>
    <s v="2021 09 3341 22700"/>
    <n v="7946.07"/>
    <x v="324"/>
    <s v="Contrato de limpieza de la Cúpula del Milenio dentro del contrato &quot;&quot;Centralizado de limpieza de dependencias municipales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00"/>
  </r>
  <r>
    <n v="220200065527"/>
    <s v="AD"/>
    <d v="2021-03-29T00:00:00"/>
    <n v="22020006183"/>
    <s v="2021 01 9312 22706"/>
    <n v="8336.9"/>
    <x v="397"/>
    <s v="CONTRATACION SERVICIO DE AUDITORIAS DE SUBVENCIONES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706"/>
  </r>
  <r>
    <n v="220200057344"/>
    <s v="AD"/>
    <d v="2021-03-29T00:00:00"/>
    <n v="22020006465"/>
    <s v="2021 03 9241 632"/>
    <n v="8463.9500000000007"/>
    <x v="584"/>
    <s v="PUERTA DE ACCESO PRINCIPAL C.C. PARQUESOL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10010357"/>
    <s v="AD"/>
    <d v="2021-03-18T00:00:00"/>
    <n v="22021003471"/>
    <s v="2021 03 9241 212"/>
    <n v="266.2"/>
    <x v="119"/>
    <s v="APERTURA Y CIERRE DE ROZA EN PARED EXTERIOR CON INTRODUCCIÓN DE TUBO ELÉCTRICO EN LOCAL C/ CONDE ARTECHE"/>
    <s v="220"/>
    <s v="VALLADOLID"/>
    <s v="VALLADOLID"/>
    <x v="2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10358"/>
    <s v="AD"/>
    <d v="2021-03-18T00:00:00"/>
    <n v="22021003473"/>
    <s v="2021 03 9241 22602"/>
    <n v="120.94"/>
    <x v="146"/>
    <s v="CERTIFICADO SERVIDOR SEGURO (SSL) PARA  LA WEB VALLANOCHE.E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6459"/>
    <s v="AD"/>
    <d v="2021-02-26T00:00:00"/>
    <n v="22021002761"/>
    <s v="2021 08 1651 619"/>
    <n v="8468.1200000000008"/>
    <x v="504"/>
    <s v="Cambio de ubicación de los puntos de luz existentes en la Calle Resina."/>
    <s v="220"/>
    <s v="CISTÉRNIGA"/>
    <s v="VALLADOL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09000817"/>
    <s v="AD"/>
    <d v="2021-01-02T00:00:00"/>
    <n v="22021000754"/>
    <s v="2021 11 1621 634"/>
    <n v="9008.11"/>
    <x v="585"/>
    <s v="REPARACIÓN EN MOTOR DE VEHÍCULO 1520 DZM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054"/>
    <s v="AD"/>
    <d v="2021-01-02T00:00:00"/>
    <n v="22021000195"/>
    <s v="2021 09 3341 22799"/>
    <n v="9333.67"/>
    <x v="586"/>
    <s v="Prórroga del contrato del servicio de mantenimiento de los portales web de Cultura y Turismo"/>
    <s v="220"/>
    <s v="SANTIAGO DE COMPOSTELA"/>
    <s v="LA CORUÑA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10363"/>
    <s v="AD"/>
    <d v="2021-03-18T00:00:00"/>
    <n v="22021003095"/>
    <s v="2021 07 1711 213"/>
    <n v="12100"/>
    <x v="587"/>
    <s v="REPARACION DE MAQUINARIA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6994"/>
    <s v="ADO"/>
    <d v="2021-03-05T00:00:00"/>
    <n v="22021002907"/>
    <s v="2021 11 1361 22103"/>
    <n v="9942.57"/>
    <x v="472"/>
    <s v="GASÓLEO A (11.000 L) // GASÓLEO DEL AÑO 2020; SEISYPC."/>
    <s v="240"/>
    <s v="RUBENA"/>
    <s v="BURGOS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10010372"/>
    <s v="AD"/>
    <d v="2021-03-19T00:00:00"/>
    <n v="22021003442"/>
    <s v="2021 04 9204 213"/>
    <n v="3967.24"/>
    <x v="588"/>
    <s v="MANTENIMIENTO DE LOS SISTEMAS DE CLIMATIZACIÓN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09000104"/>
    <s v="AD"/>
    <d v="2021-01-02T00:00:00"/>
    <n v="22021000090"/>
    <s v="2021 06 3232 22200"/>
    <n v="1973.94"/>
    <x v="437"/>
    <s v="2ª PRORROGA CONTRATO CENTRALIZADO SERVICIOS TELEFONIA FIJA Y MOVIL. SERVICIO DE EDUCACION. ENERO A JUNIO(INCLUSIVE) 2021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200"/>
  </r>
  <r>
    <n v="220210010390"/>
    <s v="AD"/>
    <d v="2021-03-19T00:00:00"/>
    <n v="22021003428"/>
    <s v="2021 05 4331 22699"/>
    <n v="726"/>
    <x v="6"/>
    <s v="Compra de un certificado de sello electrónico para actuaciones automatizadas para el proyecto S2City"/>
    <s v="220"/>
    <s v="MADRID"/>
    <s v="MADR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09000105"/>
    <s v="AD"/>
    <d v="2021-01-02T00:00:00"/>
    <n v="22021000091"/>
    <s v="2021 05 4331 22200"/>
    <n v="3910.4"/>
    <x v="437"/>
    <s v="Segunda Prorroga de Contrato de Telecomunicasiones (SE PC-40/2016) - Primer semestre de 2021 - Agencia de Innovación"/>
    <s v="220"/>
    <s v="MADRID"/>
    <s v="MADR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200"/>
  </r>
  <r>
    <n v="220210010421"/>
    <s v="D"/>
    <d v="2021-03-22T00:00:00"/>
    <n v="22021001275"/>
    <s v="2021 07 1711 22199"/>
    <n v="11.76"/>
    <x v="238"/>
    <s v="ACUERDO MARCO 2017/36, PIEZAS DE HIERR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23"/>
    <s v="D"/>
    <d v="2021-03-22T00:00:00"/>
    <n v="22021001275"/>
    <s v="2021 07 1711 22199"/>
    <n v="393.8"/>
    <x v="353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25"/>
    <s v="D"/>
    <d v="2021-03-22T00:00:00"/>
    <n v="22021001275"/>
    <s v="2021 07 1711 22199"/>
    <n v="1132.08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32"/>
    <s v="D"/>
    <d v="2021-03-22T00:00:00"/>
    <n v="22021002048"/>
    <s v="2021 11 1621 214"/>
    <n v="853.86"/>
    <x v="110"/>
    <s v="AC MARCO EXP V36-2017: SUMINISTRO DE REPUESTOS VEHICULOS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35"/>
    <s v="D"/>
    <d v="2021-03-22T00:00:00"/>
    <n v="22021002048"/>
    <s v="2021 11 1621 214"/>
    <n v="121.85"/>
    <x v="348"/>
    <s v="AC MARCO EXP V36-2017: INTERCOOLER IIVECO REPARACION VEHIUCLO 2453 FZB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40"/>
    <s v="D"/>
    <d v="2021-03-22T00:00:00"/>
    <n v="22021002054"/>
    <s v="2021 11 1631 214"/>
    <n v="2814.41"/>
    <x v="110"/>
    <s v="AC MARCO EXP V36-2017: CEPILLOS PARA REPARACION BARREDORAS MARCA RAVO DE LIMPIEZA VIARIA (36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10444"/>
    <s v="D"/>
    <d v="2021-03-22T00:00:00"/>
    <n v="22021002057"/>
    <s v="2021 11 1631 22199"/>
    <n v="113.64"/>
    <x v="191"/>
    <s v="AC MARCO EXP. V36-2017: SUMINI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0450"/>
    <s v="D"/>
    <d v="2021-03-22T00:00:00"/>
    <n v="22021001275"/>
    <s v="2021 07 1711 22199"/>
    <n v="99.9"/>
    <x v="116"/>
    <s v="ACUERDO MARCO 2017/36, MATERIAL DE CONSTRUCCION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09000109"/>
    <s v="AD"/>
    <d v="2021-01-02T00:00:00"/>
    <n v="22021000095"/>
    <s v="2021 10 2311 22200"/>
    <n v="1442.17"/>
    <x v="437"/>
    <s v="PRORROGA CTTO TELECOMUNICACIONES HASTA JUNIO DE 2021. COMEDOR SOCIAL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200"/>
  </r>
  <r>
    <n v="220209000110"/>
    <s v="AD"/>
    <d v="2021-01-02T00:00:00"/>
    <n v="22021000096"/>
    <s v="2021 10 2311 22200"/>
    <n v="12780.5"/>
    <x v="437"/>
    <s v="PRORROGA CTTO TELECOMUNCACIONES HASTA JUNIO 2021. RESTO CENTROS DEPENDIENTES S.INTERVENCIÓN SOCIAL.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200"/>
  </r>
  <r>
    <n v="220210010220"/>
    <s v="D"/>
    <d v="2021-03-18T00:00:00"/>
    <n v="22021002225"/>
    <s v="2021 06 3231 212"/>
    <n v="76.69"/>
    <x v="410"/>
    <s v="GRIFO DUCHA PRELAVADO GENEBRE (E.I.M. EL PRINCIPITO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10477"/>
    <s v="D"/>
    <d v="2021-03-22T00:00:00"/>
    <n v="22021002228"/>
    <s v="2021 06 3232 212"/>
    <n v="1091.4000000000001"/>
    <x v="410"/>
    <s v="SUMISTROS PARA MNTO DE COLEGIOS (CP I. MARTIN BARO/ CP EL PERAL/ CP VTE ALEXANDER/ CP N.ALONSO CORTÉS/ CP G. DE BERCEO)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111"/>
    <s v="AD"/>
    <d v="2021-01-02T00:00:00"/>
    <n v="22021000097"/>
    <s v="2021 10 2312 22200"/>
    <n v="8902.81"/>
    <x v="437"/>
    <s v="PRORROGA CONTRATO TELECOMUNICACIONES  HASTA JUNIO  2021- CPM TRANSFERIDOS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200"/>
  </r>
  <r>
    <n v="220209000112"/>
    <s v="AD"/>
    <d v="2021-01-02T00:00:00"/>
    <n v="22021000098"/>
    <s v="2021 10 2312 22200"/>
    <n v="6744.8"/>
    <x v="437"/>
    <s v="PRORROGA CONTRATO TELECOMUNICACIONES HASTA JUNIO DE 2021- CPM SIN TRANFERIR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200"/>
  </r>
  <r>
    <n v="220210010490"/>
    <s v="D"/>
    <d v="2021-03-22T00:00:00"/>
    <n v="22021002132"/>
    <s v="2021 08 1532 210"/>
    <n v="2350"/>
    <x v="191"/>
    <s v="ALB. 21-202422: ANDAMIO MILLENIUM/ ALB. 21-202769: ANDAMIO MODULAR MILLENIUM/ JUEGO 4 NIVELADORES/ SERVICIOS LOGÍSTICOS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0501"/>
    <s v="D"/>
    <d v="2021-03-22T00:00:00"/>
    <n v="22021002132"/>
    <s v="2021 08 1532 210"/>
    <n v="1020.88"/>
    <x v="161"/>
    <s v="ALB.AV21/00348 DE 22/01/21: CAJA CARTÓN/ PILA/ CLAVIJA/ BASE GOMA NGRA/ GRAPAS/ GRAPADORA/ INDUCIDO VENTILADOR/ CARTUCH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09000387"/>
    <s v="AD"/>
    <d v="2021-01-02T00:00:00"/>
    <n v="22021000279"/>
    <s v="2021 11 1631 22103"/>
    <n v="10000"/>
    <x v="363"/>
    <s v="PRORROGA CONTRATO SUMINISTRO GASOLINA PARA VEHICULOS Y MAQUINARIA SERVICIO DE LIMPIEZA VIARIA, EJERCICIO 2021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3"/>
  </r>
  <r>
    <n v="220210000029"/>
    <s v="ADO"/>
    <d v="2021-01-19T00:00:00"/>
    <n v="22021000681"/>
    <s v="2021 10 2312 632"/>
    <n v="10763"/>
    <x v="589"/>
    <s v="TEJIDOS Y TOLDOS: REPOSICIÓN DE TEJIDO/ PUNTO RECTO (PLANTA BAJA Y 1º PLANTA - CPM RONDILLA)"/>
    <s v="240"/>
    <s v="VALLADOLID"/>
    <s v="VALLADOLID"/>
    <x v="1"/>
    <s v="AdDirec - Adjudicación Directa"/>
    <s v="SinC - Sin Criterio"/>
    <x v="0"/>
    <x v="0"/>
    <s v="6"/>
    <s v="6. Inversiones reales"/>
    <s v="10"/>
    <x v="8"/>
    <s v="2312"/>
    <s v="2312. Iniciativas sociales"/>
    <s v="63"/>
    <s v="632"/>
  </r>
  <r>
    <n v="220200062619"/>
    <s v="AD"/>
    <d v="2021-03-29T00:00:00"/>
    <n v="22020007055"/>
    <s v="2021 10 2312 632"/>
    <n v="10763"/>
    <x v="589"/>
    <s v="TOLDOS PÀRA EL CPM RONDILLA- DURACION DICEMBRE 2020"/>
    <s v="220"/>
    <s v="VALLADOLID"/>
    <s v="VALLADOLID"/>
    <x v="1"/>
    <s v="AdDirec - Adjudicación Directa"/>
    <s v="SinC - Sin Criterio"/>
    <x v="0"/>
    <x v="0"/>
    <s v="6"/>
    <s v="6. Inversiones reales"/>
    <s v="10"/>
    <x v="8"/>
    <s v="2312"/>
    <s v="2312. Iniciativas sociales"/>
    <s v="63"/>
    <s v="632"/>
  </r>
  <r>
    <n v="220209000789"/>
    <s v="AD"/>
    <d v="2021-01-02T00:00:00"/>
    <n v="22021000948"/>
    <s v="2021 03 9241 632"/>
    <n v="11185.94"/>
    <x v="257"/>
    <s v="ARREGLO DE HUMEDADES EN CC PARQUESOL"/>
    <s v="220"/>
    <s v="ARROYO DE LA ENCOMIENDA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9000714"/>
    <s v="AD"/>
    <d v="2021-01-02T00:00:00"/>
    <n v="22021000451"/>
    <s v="2021 10 2412 22700"/>
    <n v="11197.23"/>
    <x v="213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10"/>
    <s v="AD"/>
    <d v="2021-01-02T00:00:00"/>
    <n v="22021000447"/>
    <s v="2021 10 2412 22799"/>
    <n v="11325.38"/>
    <x v="317"/>
    <s v="SERVICIO CELADURIA DEL CFE DEL 1 /1/2021 AL 31/7/2022 ASIGNACIÓN A PM PINTURA DECORATIVA III (1/2 A 31/10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6446"/>
    <s v="AD"/>
    <d v="2021-02-25T00:00:00"/>
    <n v="22021001205"/>
    <s v="2021 04 9321 22799"/>
    <n v="11674.08"/>
    <x v="590"/>
    <s v="Contrataciòn de la impresión y presentación en Correos de los recibos de padrón del IVTM y del IBI EJERCIC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6158"/>
    <s v="AD"/>
    <d v="2021-02-25T00:00:00"/>
    <n v="22021002518"/>
    <s v="2021 06 2315 22611"/>
    <n v="11979"/>
    <x v="591"/>
    <s v="Diseño y maquetación de carteles anuales (2021) del Centro Municipal de la Igualdad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570"/>
    <s v="AD"/>
    <d v="2021-01-02T00:00:00"/>
    <n v="22021000595"/>
    <s v="2021 07 1721 22706"/>
    <n v="12000"/>
    <x v="592"/>
    <s v="HERRAMIENTA DE GESTION ENERGETICA GEMWEB"/>
    <s v="220"/>
    <s v="BARCELONA"/>
    <s v="BARCELON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06"/>
  </r>
  <r>
    <n v="220210010648"/>
    <s v="AD"/>
    <d v="2021-03-23T00:00:00"/>
    <n v="22021002969"/>
    <s v="2021 11 1631 214"/>
    <n v="122.7"/>
    <x v="94"/>
    <s v="SUMINISTRO KIT PATIN REPARACION CUCHILLA QUITANIEVES VEHICULO VA9018AB PARA LIMPIEZA VIARIA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5454"/>
    <s v="AD"/>
    <d v="2021-02-23T00:00:00"/>
    <n v="22021000780"/>
    <s v="2021 11 1621 214"/>
    <n v="12000"/>
    <x v="473"/>
    <s v="SUMINISTRO REPUESTOS PARA REPARACION EQUIPOS VEHÍCULOS Sº LIMPIEZA, FABRICADOS POR ROS ROCA"/>
    <s v="220"/>
    <s v="TARREGA"/>
    <s v="LERID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6946"/>
    <s v="AD"/>
    <d v="2021-03-04T00:00:00"/>
    <n v="22021003046"/>
    <s v="2021 02 9332 22103"/>
    <n v="12000"/>
    <x v="252"/>
    <s v="SUMINISTRO GASOLEO VEHÍCULOS MANTENIMIENTO AÑO 2021"/>
    <s v="220"/>
    <s v="MADRID"/>
    <s v="MADRID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3"/>
  </r>
  <r>
    <n v="220210010677"/>
    <s v="AD"/>
    <d v="2021-03-23T00:00:00"/>
    <n v="22021003556"/>
    <s v="2021 02 9332 212"/>
    <n v="500"/>
    <x v="593"/>
    <s v="AFILADO MÁQUINAS CENTRO MANTENIMIEN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09000113"/>
    <s v="AD"/>
    <d v="2021-01-02T00:00:00"/>
    <n v="22021000099"/>
    <s v="2021 10 2412 22200"/>
    <n v="1233.71"/>
    <x v="437"/>
    <s v="PRORROGA CONTRATO TELECOMUNICACIONES HASTA JUNIO DE 2021  DEL 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09000114"/>
    <s v="AD"/>
    <d v="2021-01-02T00:00:00"/>
    <n v="22021000100"/>
    <s v="2021 03 9241 22200"/>
    <n v="20561.900000000001"/>
    <x v="437"/>
    <s v="PRORROGA SERVICIOS DE TELEFONIA FIJA Y MOVIL DEL CENTRO DE PARTICIPACION CIUDADANA"/>
    <s v="220"/>
    <s v="MADRID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200"/>
  </r>
  <r>
    <n v="220210010759"/>
    <s v="D"/>
    <d v="2021-03-23T00:00:00"/>
    <n v="22021002059"/>
    <s v="2021 11 1361 22199"/>
    <n v="160.13999999999999"/>
    <x v="238"/>
    <s v="ACUERDO MARCO; EXPTE.:V.36_2017; LOTE 8; CHAPA 2 MM A MEDIDA/ ÁNG 60X60X6/ ANG 20X20X3/ PLETINA/ EXT COR MEDIDA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61"/>
    <s v="D"/>
    <d v="2021-03-23T00:00:00"/>
    <n v="22021002059"/>
    <s v="2021 11 1361 22199"/>
    <n v="4.03"/>
    <x v="82"/>
    <s v="ACUERDO MARCO; EXPTE.: V.36_2017; LOTE 6; INTERRUP NIESSEN / MARCO 1E NIESSEN N2271.1-BL / BASTIDOR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63"/>
    <s v="D"/>
    <d v="2021-03-23T00:00:00"/>
    <n v="22021002059"/>
    <s v="2021 11 1361 22199"/>
    <n v="152.11000000000001"/>
    <x v="303"/>
    <s v="ACUERDO MARCO; EXPTE.: V.36_2017;LOTE 10; TB440 TUDOR TECHNICA / PILOTO POST DCHO / PIEZA RINDER /LAMP/ FUS/ BAT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71"/>
    <s v="D"/>
    <d v="2021-03-23T00:00:00"/>
    <n v="22021002059"/>
    <s v="2021 11 1361 22199"/>
    <n v="108.88"/>
    <x v="216"/>
    <s v="ACUERDO MARCO; EXPTE.: V.36_2017; LOTE 8; CERRADURA AGA REF.135  C-40 (10 UDS) / QUEMADOR GAS B-530 / 2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78"/>
    <s v="D"/>
    <d v="2021-03-23T00:00:00"/>
    <n v="22021002048"/>
    <s v="2021 11 1621 214"/>
    <n v="116.61"/>
    <x v="348"/>
    <s v="AC MARCO EXP V36-2017: RADIADOR REPARACION VEHIUCLO 2453FZB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793"/>
    <s v="D"/>
    <d v="2021-03-23T00:00:00"/>
    <n v="22021002048"/>
    <s v="2021 11 1621 214"/>
    <n v="2621.95"/>
    <x v="110"/>
    <s v="AC MARCO EXP. V36-2017: REPUESTOS PARA REPARACIONES DE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79"/>
    <s v="D"/>
    <d v="2021-03-22T00:00:00"/>
    <n v="22021002089"/>
    <s v="2021 03 9241 213"/>
    <n v="31.16"/>
    <x v="410"/>
    <s v="ESCOBILLERO COMPLETO BIG BL  CJ/2 ( 25 UNIDADES ) ////  DESTINO: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10800"/>
    <s v="D"/>
    <d v="2021-03-23T00:00:00"/>
    <n v="22021002054"/>
    <s v="2021 11 1631 214"/>
    <n v="1309.9100000000001"/>
    <x v="411"/>
    <s v="AC MARCO EXP V36-2017: SUMINISTRO REPUESTOS REPARACION BARREDORA E4762BFT D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10808"/>
    <s v="D"/>
    <d v="2021-03-23T00:00:00"/>
    <n v="22021002057"/>
    <s v="2021 11 1631 22199"/>
    <n v="549.61"/>
    <x v="411"/>
    <s v="AC MARCO EXP V36-2017: SUMINISTROS VARIO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0852"/>
    <s v="D"/>
    <d v="2021-03-23T00:00:00"/>
    <n v="22021002049"/>
    <s v="2021 11 1621 22103"/>
    <n v="525.14"/>
    <x v="304"/>
    <s v="AC MARCO EXP V36-2017: SUMINISTRO ADBLUE A GRANEL (1.400 L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09000812"/>
    <s v="AD"/>
    <d v="2021-01-02T00:00:00"/>
    <n v="22021000750"/>
    <s v="2021 02 1511 22706"/>
    <n v="12068.74"/>
    <x v="594"/>
    <s v="CONTRATO MENOR DE SERVICIOS DE ELABORACIÓN INFORMES Y TRABAJOS TOPOGRAFIA SERVICIO CARTOGRAFÍ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06"/>
  </r>
  <r>
    <n v="220210012684"/>
    <s v="AD"/>
    <d v="2021-03-25T00:00:00"/>
    <n v="22021003458"/>
    <s v="2021 06 2315 22799"/>
    <n v="18.149999999999999"/>
    <x v="146"/>
    <s v="Dominio igualdadvalladolid.es hasta 26 de febrero de 2022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9000822"/>
    <s v="AD"/>
    <d v="2021-01-02T00:00:00"/>
    <n v="22021001158"/>
    <s v="2021 11 1621 22700"/>
    <n v="12100"/>
    <x v="595"/>
    <s v="ASISTENCIA TECNICA PARA ESTRATEGIA DE PREVENCION Y GESTION DE RESIDUOS AYUNTAMIENTO DE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10012686"/>
    <s v="AD"/>
    <d v="2021-03-25T00:00:00"/>
    <n v="22021003461"/>
    <s v="2021 06 2315 22799"/>
    <n v="2500"/>
    <x v="596"/>
    <s v="Diseño, montaje y desmontaje de lonas en las fachadas de San Benito y Ayuntamiento eventos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3065"/>
    <s v="D"/>
    <d v="2021-03-30T00:00:00"/>
    <n v="22021002371"/>
    <s v="2021 02 9332 212"/>
    <n v="65.62"/>
    <x v="168"/>
    <s v="Foco Portalámparas de Carril Trifásico para Bombil  ( 4 UNIDADES ) /// DESTINO: CENTRO MANTENIMIENT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688"/>
    <s v="AD"/>
    <d v="2021-03-25T00:00:00"/>
    <n v="22021003648"/>
    <s v="2021 09 3341 22200"/>
    <n v="5720.21"/>
    <x v="597"/>
    <s v="CONTRATO MENOR SERVICIO INSTALACION Y MANTENIMIENTO SISTEMA CONEXION INTERNET POR WIFI CENTRO GALERIAS VA. 1 AÑO (21-22)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200"/>
  </r>
  <r>
    <n v="220209000853"/>
    <s v="AD"/>
    <d v="2021-01-02T00:00:00"/>
    <n v="22021001892"/>
    <s v="2021 05 4314 22799"/>
    <n v="12450.9"/>
    <x v="598"/>
    <s v="MONTAJE BAZAR NAVIDEÑO EN ACERA RECOLETOS. CAMPAÑA NAVIDAD 2020-2021"/>
    <s v="220"/>
    <s v="SANTOVENIA DE PISUERGA"/>
    <s v="VALLADOLID"/>
    <x v="0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99"/>
  </r>
  <r>
    <n v="220210012693"/>
    <s v="AD"/>
    <d v="2021-03-25T00:00:00"/>
    <n v="22021003593"/>
    <s v="2021 09 3341 213"/>
    <n v="795.21"/>
    <x v="128"/>
    <s v="cONTRATO MENOR REPARACIONES DEL SISTEMA CONTRA INCENDIOS CÚPULA DEL MILENIO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0063432"/>
    <s v="AD"/>
    <d v="2021-03-29T00:00:00"/>
    <n v="22020007082"/>
    <s v="2021 03 9241 632"/>
    <n v="12963.13"/>
    <x v="599"/>
    <s v="ADECUACIÓN DEL ACCESO AL TEATRO CANTERAC EN EL CC DELICIAS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0039603"/>
    <s v="AD"/>
    <d v="2021-03-29T00:00:00"/>
    <n v="22020003868"/>
    <s v="2021 03 9241 632"/>
    <n v="13090.55"/>
    <x v="600"/>
    <s v="OBRA REPARACIÓN PAVIMENTO CC CAMPILLO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12698"/>
    <s v="AD"/>
    <d v="2021-03-25T00:00:00"/>
    <n v="22021003501"/>
    <s v="2021 11 1321 214"/>
    <n v="465.58"/>
    <x v="164"/>
    <s v="REPARACIÓN DE MOTOCICLETAS DE POLICÍA (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12700"/>
    <s v="AD"/>
    <d v="2021-03-25T00:00:00"/>
    <n v="22021003548"/>
    <s v="2021 02 9332 213"/>
    <n v="213.69"/>
    <x v="128"/>
    <s v="POR ERROR EN EL CÁLCULO DEL PRESUPUESTO CONTRATO MANTENIMIENTO EXTINTORES EDIF. DEL ÁRE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12702"/>
    <s v="AD"/>
    <d v="2021-03-25T00:00:00"/>
    <n v="22021000763"/>
    <s v="2021 10 2412 22102"/>
    <n v="2197.11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2"/>
    <s v="AD"/>
    <d v="2021-03-25T00:00:00"/>
    <n v="22021000764"/>
    <s v="2021 10 2412 22102"/>
    <n v="2090.1999999999998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2"/>
    <s v="AD"/>
    <d v="2021-03-25T00:00:00"/>
    <n v="22021000765"/>
    <s v="2021 10 2412 22102"/>
    <n v="2445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564"/>
    <s v="AD"/>
    <d v="2021-03-01T00:00:00"/>
    <n v="22021002496"/>
    <s v="2021 02 9332 624"/>
    <n v="13806.33"/>
    <x v="326"/>
    <s v="ADQUISICIÓN VEHÍCULO CENTRO MANTENIMIENTO DACIA DOKKER FURGON N1 ESSENTIAL 1.6 80 KW"/>
    <s v="220"/>
    <s v="VALLADOLID"/>
    <s v="VALLADOLID"/>
    <x v="1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2"/>
    <s v="624"/>
  </r>
  <r>
    <n v="220210000530"/>
    <s v="AD"/>
    <d v="2021-01-25T00:00:00"/>
    <n v="22021000693"/>
    <s v="2021 10 2412 22200"/>
    <n v="548.32000000000005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2"/>
    <s v="2021 10 2412 22200"/>
    <n v="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1"/>
    <s v="2021 10 2412 22200"/>
    <n v="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4"/>
    <s v="2021 10 2412 22200"/>
    <n v="205.61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030"/>
    <s v="ADO"/>
    <d v="2021-01-19T00:00:00"/>
    <n v="22021000683"/>
    <s v="2021 10 2312 22104"/>
    <n v="1075.69"/>
    <x v="447"/>
    <s v="ZAPATOS PARA LOS PORTEROS DE LOS CPM, 665,5 PARA LOS CENTROS TRANSF Y 410,19 PARA NO TRAN DEL AÑO 2020"/>
    <s v="24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12740"/>
    <s v="D"/>
    <d v="2021-03-25T00:00:00"/>
    <n v="22021002371"/>
    <s v="2021 02 9332 212"/>
    <n v="278.54000000000002"/>
    <x v="82"/>
    <s v="GUIA PAS ANGUILA NYLON 4x15m Natural/ EMERGENCIA LEGRAND/ CAJA EST LEGRAND/ BRIDA UNEX NEGRO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42"/>
    <s v="D"/>
    <d v="2021-03-25T00:00:00"/>
    <n v="22021002371"/>
    <s v="2021 02 9332 212"/>
    <n v="113.11"/>
    <x v="82"/>
    <s v="TERMOSTA ORBIS &quot;&quot;CLIMA ML&quot;&quot; ANALOG/ LECCO BATERÍA/ TASA ECORAEE (MANTENIMIENTO - CERRAJERÍA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63"/>
    <s v="D"/>
    <d v="2021-03-25T00:00:00"/>
    <n v="22021001275"/>
    <s v="2021 07 1711 22199"/>
    <n v="41.2"/>
    <x v="82"/>
    <s v="ACUERDO MARCO 2017/36, MATERIAL ELECTRIC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2766"/>
    <s v="D"/>
    <d v="2021-03-25T00:00:00"/>
    <n v="22021002449"/>
    <s v="2021 07 1711 619"/>
    <n v="1883.85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265"/>
    <s v="AD"/>
    <d v="2021-03-09T00:00:00"/>
    <n v="22021001964"/>
    <s v="2021 09 3341 22799"/>
    <n v="14520"/>
    <x v="586"/>
    <s v="CONTRATO MENOR PUENTE PARA EL MANTENIMIENTO DE LOS PORTALES WEB DE CULTURA Y TURISMO"/>
    <s v="220"/>
    <s v="SANTIAGO DE COMPOSTELA"/>
    <s v="LA CORUÑA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7800"/>
    <s v="AD"/>
    <d v="2021-03-09T00:00:00"/>
    <n v="22021003360"/>
    <s v="2021 11 3111 22106"/>
    <n v="15000"/>
    <x v="601"/>
    <s v="COVID-19 : MASCARILLAS FFP2 60.000 UNIDADES. - MATERIAL EPI DISTINTOS SERVICIOS MUNICIPALES ESPECIAL RIESGO."/>
    <s v="220"/>
    <s v="LA CISTÉRNIGA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10005451"/>
    <s v="AD"/>
    <d v="2021-02-23T00:00:00"/>
    <n v="22021002416"/>
    <s v="2021 08 1532 624"/>
    <n v="15470"/>
    <x v="492"/>
    <s v="ADQUISICIÓN DE VEHÍCULO  RENAULT KADJAR 7091-KDY.-"/>
    <s v="220"/>
    <s v="GETAFE"/>
    <s v="MADRID"/>
    <x v="1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2"/>
    <s v="624"/>
  </r>
  <r>
    <n v="220210008427"/>
    <s v="AD"/>
    <d v="2021-03-11T00:00:00"/>
    <n v="22021002271"/>
    <s v="2021 04 3121 22106"/>
    <n v="16000"/>
    <x v="421"/>
    <s v="Suministro medicamentos para asistencia sanitaria prestada en el Departamento de Prevención y Salud Laboral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09000657"/>
    <s v="AD"/>
    <d v="2021-01-02T00:00:00"/>
    <n v="22021000417"/>
    <s v="2021 05 4315 22606"/>
    <n v="16000"/>
    <x v="602"/>
    <s v="PROROGA CONTRATO TALLERES DE CONSUMO EN CENTROS ESCOLARES CURSOS ESCOLARES 2020-2021 Y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606"/>
  </r>
  <r>
    <n v="220210012880"/>
    <s v="AD"/>
    <d v="2021-03-29T00:00:00"/>
    <n v="22021003663"/>
    <s v="2021 11 1321 214"/>
    <n v="404.44"/>
    <x v="381"/>
    <s v="REPARACIÓN DE VEHÍCULO 3357 GHK DE POLICÍA MUNICIPAL ( 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5192"/>
    <s v="AD"/>
    <d v="2021-02-19T00:00:00"/>
    <n v="22021001679"/>
    <s v="2021 04 9231 22799"/>
    <n v="17082.25"/>
    <x v="496"/>
    <s v="ESTUDIO DE LA IMPLANTACION DE UNA OFICINA DE DATOS EN EL AYUNTAMIENTO DE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799"/>
  </r>
  <r>
    <n v="220209000513"/>
    <s v="AD"/>
    <d v="2021-01-02T00:00:00"/>
    <n v="22021000335"/>
    <s v="2021 06 2314 22602"/>
    <n v="17711.93"/>
    <x v="603"/>
    <s v="SERVICIO DE DIFUSIÓN DE INICIATIVAS JUVENILES A TRAVÉS DE LA GUÍA GO"/>
    <s v="220"/>
    <s v="BURGOS"/>
    <s v="BURGOS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09000622"/>
    <s v="AD"/>
    <d v="2021-01-02T00:00:00"/>
    <n v="22021000636"/>
    <s v="2021 05 4331 22706"/>
    <n v="17908"/>
    <x v="604"/>
    <s v="Contrato de asistencia técnica para participación de la ciudad de Valladolid, en el marco de &quot;&quot;Horizonte Europa&quot;&quot;2021/2027"/>
    <s v="220"/>
    <s v="BARACALDO"/>
    <s v="VIZCAYA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09000090"/>
    <s v="AD"/>
    <d v="2021-01-02T00:00:00"/>
    <n v="22021000084"/>
    <s v="2021 06 3261 22799"/>
    <n v="17950"/>
    <x v="605"/>
    <s v="EXPTE SE 72/2017. P.S. 1. PRORROGA CONTRATO PRESTACION DE ACTIVIDADES ESCUELA MUNICIPAL DE MUSICA. CURSOS 20/21 Y 21/22.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0034"/>
    <s v="ADO"/>
    <d v="2021-01-19T00:00:00"/>
    <n v="22021000687"/>
    <s v="2021 01 9203 22104"/>
    <n v="592.9"/>
    <x v="447"/>
    <s v="SUMINISTRO CALZADO AÑO 2020 PERSONAL UNIDAD REGIMEN INTERIOR"/>
    <s v="240"/>
    <s v="MALAGA"/>
    <s v="MALAGA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00039617"/>
    <s v="AD"/>
    <d v="2021-03-29T00:00:00"/>
    <n v="22020002613"/>
    <s v="2021 02 9332 632"/>
    <n v="18089.5"/>
    <x v="606"/>
    <s v="ACABADO DE UN MURO DE AMBAS CARAS PARA REPRESALIADOS GUERRA CIVIL CEMENTERIO DEL CARMEN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09000735"/>
    <s v="AD"/>
    <d v="2021-01-02T00:00:00"/>
    <n v="22021000467"/>
    <s v="2021 01 9203 22104"/>
    <n v="2783"/>
    <x v="447"/>
    <s v="ADJUDICACION CONTRATO SUMINISTRO CALZADO 2021 PERSONAL ADSCRITO UNIDAD REGIMEN INTERIOR"/>
    <s v="220"/>
    <s v="MALAGA"/>
    <s v="MALAGA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10002385"/>
    <s v="AD"/>
    <d v="2021-02-08T00:00:00"/>
    <n v="22021000333"/>
    <s v="2021 11 1631 22110"/>
    <n v="18100"/>
    <x v="607"/>
    <s v="SUMINISTRO DE SAL DE MINA A GRANEL PARA EPISODIOS DE NEVADAS O HELADAS"/>
    <s v="220"/>
    <s v="REMOLINOS"/>
    <s v="ZARAGOZA"/>
    <x v="1"/>
    <s v="AdDirec - Adjudicación Directa"/>
    <s v="SinC - Sin Criterio"/>
    <x v="3"/>
    <x v="0"/>
    <s v="2"/>
    <s v="2. Gastos corrientes en bienes y servicios"/>
    <s v="11"/>
    <x v="5"/>
    <s v="1631"/>
    <s v="1631. Limpieza viaria"/>
    <s v="22"/>
    <s v="22110"/>
  </r>
  <r>
    <n v="220210000519"/>
    <s v="AD"/>
    <d v="2021-01-25T00:00:00"/>
    <n v="22021001579"/>
    <s v="2021 10 2312 213"/>
    <n v="54.45"/>
    <x v="423"/>
    <s v="SUMINISTRO Y COLOCACION  DE TRES PULGADORES PARA LA SALA DE CALDERA DEL CPM DELICIAS- DURACION 1 DIA"/>
    <s v="220"/>
    <s v="VALLADOLID"/>
    <s v="VALLADOLID"/>
    <x v="1"/>
    <s v="PrAbier - Procedimiento Abierto"/>
    <s v="SinC - Sin Criterio"/>
    <x v="2"/>
    <x v="0"/>
    <s v="2"/>
    <s v="2. Gastos corrientes en bienes y servicios"/>
    <s v="10"/>
    <x v="8"/>
    <s v="2312"/>
    <s v="2312. Iniciativas sociales"/>
    <s v="21"/>
    <s v="213"/>
  </r>
  <r>
    <n v="220210012891"/>
    <s v="AD"/>
    <d v="2021-03-29T00:00:00"/>
    <n v="22021003677"/>
    <s v="2021 11 3111 22199"/>
    <n v="1161.5999999999999"/>
    <x v="608"/>
    <s v="ADQUISICION DE MICROCHIPS PARA LA IDENTIFICACION DE LOS GATOS FERALES"/>
    <s v="220"/>
    <s v="ALBACETE"/>
    <s v="ALBACETE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09000717"/>
    <s v="AD"/>
    <d v="2021-01-02T00:00:00"/>
    <n v="22021000454"/>
    <s v="2021 07 1711 22700"/>
    <n v="18102.810000000001"/>
    <x v="310"/>
    <s v="CONTRATO LIMPIEZA DE VESTUARIOS DEL SERVICIO DE PARQUES Y JARDINES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00"/>
  </r>
  <r>
    <n v="220210002604"/>
    <s v="AD"/>
    <d v="2021-02-09T00:00:00"/>
    <n v="22021000009"/>
    <s v="2021 06 2314 22701"/>
    <n v="18150"/>
    <x v="249"/>
    <s v="SERVICIO TRANSITORIO DE SEGURIDAD ZONA RECREATIVA PINAR DE ANTEQUERA"/>
    <s v="220"/>
    <s v="VALDEMO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00208"/>
    <s v="AD"/>
    <d v="2021-01-20T00:00:00"/>
    <n v="22021000953"/>
    <s v="2021 03 9241 22602"/>
    <n v="2117.5"/>
    <x v="609"/>
    <s v="PUBLICIDAD EN ONDA CEROPRESUPUESTOS PARTICIPATIVOS SPC"/>
    <s v="220"/>
    <s v="S.S.DE LOS REYES"/>
    <s v="MADR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40"/>
    <s v="AD"/>
    <d v="2021-01-25T00:00:00"/>
    <n v="22021001186"/>
    <s v="2021 05 4331 22602"/>
    <n v="1750"/>
    <x v="609"/>
    <s v="CAMPAÑA DIFUSION CONVOCATORIA SUBVENCIONES REACTIVA DIGITAL. CONTRATACION INSERCIONES PUBLICITARIAS EN RADIO LOCAL."/>
    <s v="220"/>
    <s v="S.S.DE LOS REYES"/>
    <s v="MADR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12924"/>
    <s v="AD"/>
    <d v="2021-03-29T00:00:00"/>
    <n v="22020000754"/>
    <s v="2021 07 1711 610"/>
    <n v="5041.63"/>
    <x v="414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12925"/>
    <s v="AD"/>
    <d v="2021-03-29T00:00:00"/>
    <n v="22020000734"/>
    <s v="2021 08 1341 619"/>
    <n v="10506.89"/>
    <x v="427"/>
    <s v="REAJUSTE ANUALIDADES CONTRATO SEÑALIZACION VIAL LOTE 1"/>
    <s v="220"/>
    <s v="GUARROMAN"/>
    <s v="JAEN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12926"/>
    <s v="AD"/>
    <d v="2021-03-29T00:00:00"/>
    <n v="22020000735"/>
    <s v="2021 08 1341 619"/>
    <n v="180931.08"/>
    <x v="43"/>
    <s v="REAJUSTE ANUALIDADES CONTRATO SEÑALIZACION VIAL LOTE 2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6979"/>
    <s v="AD"/>
    <d v="2021-03-04T00:00:00"/>
    <n v="22021002517"/>
    <s v="2021 10 2311 22799"/>
    <n v="18150"/>
    <x v="249"/>
    <s v="Servicio de seguridad para el Centro Integrado (actual albergue). 2021. COVID-19"/>
    <s v="220"/>
    <s v="VALDEMORO"/>
    <s v="MADR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5453"/>
    <s v="AD"/>
    <d v="2021-02-23T00:00:00"/>
    <n v="22021002750"/>
    <s v="2021 11 1621 634"/>
    <n v="18150"/>
    <x v="585"/>
    <s v="REPARAC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0049993"/>
    <s v="AD"/>
    <d v="2021-03-29T00:00:00"/>
    <n v="22019007679"/>
    <s v="2021 11 1321 632"/>
    <n v="18153.830000000002"/>
    <x v="282"/>
    <s v="ACTUACIÓN EN ENVOLVENTE DEL EDIFICIO DISTRITO 4º POLICÍA MUNICIPAL . CTRA. RUEDA."/>
    <s v="220"/>
    <s v="MEDINA DEL CAMPO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0002"/>
    <s v="D"/>
    <d v="2021-01-18T00:00:00"/>
    <n v="22021000523"/>
    <s v="2021 06 2314 22799"/>
    <n v="18578.55"/>
    <x v="610"/>
    <s v="CONTRATO DE GESTIÓN DE LA ESCUELA DE FORMACIÓN Y ANIMACIÓN JUVENIL. FORMALIZACION A FIN DE AÑO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13018"/>
    <s v="D"/>
    <d v="2021-03-30T00:00:00"/>
    <n v="22021002057"/>
    <s v="2021 11 1631 22199"/>
    <n v="8.06"/>
    <x v="82"/>
    <s v="AC MARCO EXP V36-2017: INTERRUPTOR PARA VESTUARIO LIMPIEZA ROSALED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3020"/>
    <s v="D"/>
    <d v="2021-03-30T00:00:00"/>
    <n v="22021002052"/>
    <s v="2021 11 1621 22199"/>
    <n v="148.55000000000001"/>
    <x v="82"/>
    <s v="AC MARCO EXP V36-2017: SUMINISTROS ELECTRICOS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3022"/>
    <s v="D"/>
    <d v="2021-03-30T00:00:00"/>
    <n v="22021002047"/>
    <s v="2021 11 1621 213"/>
    <n v="304.92"/>
    <x v="423"/>
    <s v="AC MARCO EXP V36-2017. COLOCAR PURGADOR EN FANCOIL SISTEMA CLIMATIZACIÓN EDIFICIO Sº LIMPIEZA C/ TOPACI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3"/>
  </r>
  <r>
    <n v="220199000493"/>
    <s v="AD"/>
    <d v="2021-01-02T00:00:00"/>
    <n v="22021000155"/>
    <s v="2021 09 3301 22799"/>
    <n v="18876"/>
    <x v="258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189000209"/>
    <s v="AD"/>
    <d v="2021-01-02T00:00:00"/>
    <n v="22021000121"/>
    <s v="2021 07 1701 22102"/>
    <n v="20046.8"/>
    <x v="611"/>
    <s v="CONSUMO BIOMASA 2018 A 2026.-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2"/>
  </r>
  <r>
    <n v="220200039598"/>
    <s v="AD"/>
    <d v="2021-03-29T00:00:00"/>
    <n v="22020003863"/>
    <s v="2021 03 9241 632"/>
    <n v="20551.55"/>
    <x v="600"/>
    <s v="OBRA REFORMA BAÑOS CIC EL EMPECINADO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06578"/>
    <s v="D"/>
    <d v="2021-03-01T00:00:00"/>
    <n v="22021002212"/>
    <s v="2021 06 2315 22799"/>
    <n v="21780"/>
    <x v="213"/>
    <s v="CONTRATO CENTRALIZADO. ADJUDICACIÓN CELADURÍA CENTRO MUNICIPAL DE LA IGUALDAD. AÑO 2021 Y DEL 01/01 AL 31/07 DE 2022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99"/>
  </r>
  <r>
    <n v="220210013047"/>
    <s v="D"/>
    <d v="2021-03-30T00:00:00"/>
    <n v="22021002143"/>
    <s v="2021 10 2311 212"/>
    <n v="5.32"/>
    <x v="82"/>
    <s v="F-3050. CADIELSA VALLADOLID, S.L.U. BASE SCH NIESSEN 8288.2-BA Monoblock (1 UNIDAD ) DESTINO: VIVIENDA G.CETINA 2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09000811"/>
    <s v="AD"/>
    <d v="2021-01-02T00:00:00"/>
    <n v="22021000749"/>
    <s v="2021 10 2311 22799"/>
    <n v="23958"/>
    <x v="279"/>
    <s v="CONTRATO EMERG.DESAYUNOS, MERIENDAS Y TEC. INTERV. PARA PERSONAS SIN HOGAR-DURACION 3 M:ENE A MARZO-COVID-19"/>
    <s v="220"/>
    <s v="VILLAMURIEL DE CERRATO"/>
    <s v="PALENCIA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1919"/>
    <s v="AD"/>
    <d v="2021-02-04T00:00:00"/>
    <n v="22021001671"/>
    <s v="2021 07 1711 22799"/>
    <n v="25000"/>
    <x v="612"/>
    <s v="RECOGIDA DE RESIDUOS VEGETALES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10006577"/>
    <s v="AD"/>
    <d v="2021-03-01T00:00:00"/>
    <n v="22021002100"/>
    <s v="2021 10 2312 22799"/>
    <n v="26000"/>
    <x v="613"/>
    <s v="SERVICIO DE RESTAURACION DEL CENTRO DE DÍA HUERTA DEL REY DE ENERO A DICIEMBRE DE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3068"/>
    <s v="D"/>
    <d v="2021-03-30T00:00:00"/>
    <n v="22021001967"/>
    <s v="2021 11 1321 214"/>
    <n v="187.2"/>
    <x v="347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13070"/>
    <s v="D"/>
    <d v="2021-03-30T00:00:00"/>
    <n v="22021001967"/>
    <s v="2021 11 1321 214"/>
    <n v="585.23"/>
    <x v="304"/>
    <s v="ACUERDO MARCO SUMINISTRO DE ACEITES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13072"/>
    <s v="D"/>
    <d v="2021-03-30T00:00:00"/>
    <n v="22021001275"/>
    <s v="2021 07 1711 22199"/>
    <n v="31.51"/>
    <x v="26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0525"/>
    <s v="AD"/>
    <d v="2021-01-25T00:00:00"/>
    <n v="22021000030"/>
    <s v="2021 01 9312 22706"/>
    <n v="26194.080000000002"/>
    <x v="614"/>
    <s v="PRIMERA PRORROGA AL CONTRATO APLICACION DE CALCULO COSTES DEL AYUNTAMIENTO Y ORGANISMOS AUTONOMOS DEL PRESUPUESTO 2020"/>
    <s v="220"/>
    <s v="MALAGA"/>
    <s v="MALAGA"/>
    <x v="0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2"/>
    <s v="22706"/>
  </r>
  <r>
    <n v="220210010795"/>
    <s v="D"/>
    <d v="2021-03-23T00:00:00"/>
    <n v="22021002046"/>
    <s v="2021 11 1621 212"/>
    <n v="163.69"/>
    <x v="410"/>
    <s v="AC MARCO EXP.- V36-2017: SUMINISTRO MATERIAL FONTANERIA REPARACION EN INSTALACIONES Sº LIMPIEZA C/ TOPAC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2"/>
  </r>
  <r>
    <n v="220210013083"/>
    <s v="D"/>
    <d v="2021-03-30T00:00:00"/>
    <n v="22021001275"/>
    <s v="2021 07 1711 22199"/>
    <n v="110.06"/>
    <x v="615"/>
    <s v="ACUERDO MARCO 2017/36, MATERIAL DE JARDIN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86"/>
    <s v="D"/>
    <d v="2021-03-30T00:00:00"/>
    <n v="22021001275"/>
    <s v="2021 07 1711 22199"/>
    <n v="2106.7800000000002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89"/>
    <s v="D"/>
    <d v="2021-03-30T00:00:00"/>
    <n v="22021001275"/>
    <s v="2021 07 1711 22199"/>
    <n v="453.75"/>
    <x v="271"/>
    <s v="ACUERDO MARCO 2017/36, SUMINISTRO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94"/>
    <s v="D"/>
    <d v="2021-03-30T00:00:00"/>
    <n v="22021002146"/>
    <s v="2021 07 1711 214"/>
    <n v="75.349999999999994"/>
    <x v="347"/>
    <s v="ACUERDO MARCO 2017/36, REPUEST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13099"/>
    <s v="D"/>
    <d v="2021-03-30T00:00:00"/>
    <n v="22021002006"/>
    <s v="2021 11 3111 22199"/>
    <n v="88.39"/>
    <x v="114"/>
    <s v="AM-V.36/2017 - PALETA STOP-PASO (2 UD)/ GUANTE NITRILO LIGERO 2002 (12 UD)/ GUANTE HYCRON 27-602 T-8 (1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3169"/>
    <s v="AD"/>
    <d v="2021-03-31T00:00:00"/>
    <n v="22021003574"/>
    <s v="2021 06 2315 22799"/>
    <n v="400"/>
    <x v="616"/>
    <s v="Asistencia a la mesa redonda &quot;&quot;Las Leonas de Castilla&quot;&quot; el día 12/03/2021 por día internacional de la mujer / 1 DIA"/>
    <s v="220"/>
    <s v="PONFERRADA"/>
    <s v="LEON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3170"/>
    <s v="AD"/>
    <d v="2021-03-31T00:00:00"/>
    <n v="22021003576"/>
    <s v="2021 06 2315 22799"/>
    <n v="400"/>
    <x v="617"/>
    <s v="Asistencia a la mesa redonda &quot;&quot;Las Leonas de Castilla&quot;&quot; el día 12/03/2021 por día internacional de la mujer / 1 DIA"/>
    <s v="220"/>
    <s v="AGUILAR DE CAMPOO"/>
    <s v="PALENCIA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0039600"/>
    <s v="AD"/>
    <d v="2021-03-29T00:00:00"/>
    <n v="22020003865"/>
    <s v="2021 03 9241 632"/>
    <n v="26918.27"/>
    <x v="600"/>
    <s v="OBRA REHABILITACION PISO DOS SALAS PLANTA SÓTANO CC DELICIAS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05187"/>
    <s v="AD"/>
    <d v="2021-02-19T00:00:00"/>
    <n v="22021001243"/>
    <s v="2021 11 3111 22706"/>
    <n v="27092.89"/>
    <x v="232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9380"/>
    <s v="AD"/>
    <d v="2021-03-15T00:00:00"/>
    <n v="22021002775"/>
    <s v="2021 01 9206 22001"/>
    <n v="27597.61"/>
    <x v="618"/>
    <s v="LICENCIAS Y SUSCRIPCIONES AÑO 2021 A &quot;&quot;LA LEY DIGITAL&quot;&quot;, &quot;&quot;EL CONSULTOR&quot;&quot; Y &quot;&quot;PORTAL DE REVISTAS&quot;&quot;."/>
    <s v="220"/>
    <s v="LAS ROZAS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0039602"/>
    <s v="AD"/>
    <d v="2021-03-29T00:00:00"/>
    <n v="22020003867"/>
    <s v="2021 03 9241 632"/>
    <n v="28687.81"/>
    <x v="600"/>
    <s v="OBRA INSONORIZACION SALA ASOCIACION FAMILIAR DELICIAS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09000788"/>
    <s v="AD"/>
    <d v="2021-01-02T00:00:00"/>
    <n v="22021000504"/>
    <s v="2021 04 9204 641"/>
    <n v="29544.99"/>
    <x v="619"/>
    <s v="MTO. Y ASIST. TÉC. DEL SISTEMA DE GESTIÓN DE PERSONAL Y NÓMINA, BASADO EN META4 E-MIND (REAJUSTE DE ANUALIDADES)"/>
    <s v="220"/>
    <s v="SEVILLA"/>
    <s v="SEVILLA"/>
    <x v="0"/>
    <s v="PrAbier - Procedimiento Abierto"/>
    <s v="UniC - Único Criterio"/>
    <x v="1"/>
    <x v="0"/>
    <s v="6"/>
    <s v="6. Inversiones reales"/>
    <s v="04"/>
    <x v="3"/>
    <s v="9204"/>
    <s v="9204. Tecnologías de la información y comunicación"/>
    <s v="64"/>
    <s v="641"/>
  </r>
  <r>
    <n v="220210013179"/>
    <s v="AD"/>
    <d v="2021-03-31T00:00:00"/>
    <n v="22021003683"/>
    <s v="2021 11 1321 213"/>
    <n v="2000"/>
    <x v="74"/>
    <s v="ACCIONES CORRECTIVAS EN PUERTAS MANUALES Y AUTOMÁTICAS DE LAS DEPENDENCIA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82"/>
    <s v="AD"/>
    <d v="2021-03-31T00:00:00"/>
    <n v="22021003687"/>
    <s v="2021 11 1321 213"/>
    <n v="600"/>
    <x v="50"/>
    <s v="MEDIDAS CORRECTIVAS DOS ASCENSORES DEPENDENCIAS DE LA POLICÍA MUNICIPAL EN AVDA. BURGOS."/>
    <s v="220"/>
    <s v="VIGO"/>
    <s v="PONTEVEDR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83"/>
    <s v="AD"/>
    <d v="2021-03-31T00:00:00"/>
    <n v="22021003701"/>
    <s v="2021 11 1321 214"/>
    <n v="2920.11"/>
    <x v="32"/>
    <s v="REPARACIÓN DE VEHÍCULOS DE POLICÍA MUNICIPAL (3999JKT Y 0672HHG). ACUERDO MARCO EN TRAMITACIÓN,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13184"/>
    <s v="AD"/>
    <d v="2021-03-31T00:00:00"/>
    <n v="22021003703"/>
    <s v="2021 09 3341 22602"/>
    <n v="1500"/>
    <x v="620"/>
    <s v="CONTRATO MENOR PATROCINIO FESTIVAS DE CORTOMETRAJES &quot;&quot;LA FILA&quot;&quot;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02"/>
  </r>
  <r>
    <n v="220209000333"/>
    <s v="AD"/>
    <d v="2021-01-02T00:00:00"/>
    <n v="22021000732"/>
    <s v="2021 04 9204 641"/>
    <n v="29988.76"/>
    <x v="619"/>
    <s v="MTO. Y ASIST. TÉCNICA DEL SISTEMA DE GESTIÓN DE PERSONAL Y NÓMINA, BASADO EN META4 E-MIND PARA EL AYTO. DE  VALLADOLID"/>
    <s v="220"/>
    <s v="SEVILLA"/>
    <s v="SEVILLA"/>
    <x v="0"/>
    <s v="PrAbier - Procedimiento Abierto"/>
    <s v="UniC - Único Criterio"/>
    <x v="1"/>
    <x v="0"/>
    <s v="6"/>
    <s v="6. Inversiones reales"/>
    <s v="04"/>
    <x v="3"/>
    <s v="9204"/>
    <s v="9204. Tecnologías de la información y comunicación"/>
    <s v="64"/>
    <s v="641"/>
  </r>
  <r>
    <n v="220209000388"/>
    <s v="AD"/>
    <d v="2021-01-02T00:00:00"/>
    <n v="22021000280"/>
    <s v="2021 11 1321 22103"/>
    <n v="30000"/>
    <x v="363"/>
    <s v="SUMINISTRO DE GASOLINA ESTACIÓN DE SERVICIO DEL 1 DE ENERO AL 31 DE DIC. DE 2021. 1ª PRÓRROGA DEL CONTRATO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3"/>
  </r>
  <r>
    <n v="220210013187"/>
    <s v="AD"/>
    <d v="2021-03-31T00:00:00"/>
    <n v="22021003690"/>
    <s v="2021 02 9332 203"/>
    <n v="1000"/>
    <x v="124"/>
    <s v="ALQUILER DE CONTENEDORES SEGÚN NECESIDADES DEL CENTRO DE MANTENIMIENTO"/>
    <s v="220"/>
    <s v="LA FLECHA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0"/>
    <s v="203"/>
  </r>
  <r>
    <n v="220210006565"/>
    <s v="AD"/>
    <d v="2021-03-01T00:00:00"/>
    <n v="22021002508"/>
    <s v="2021 02 1511 22706"/>
    <n v="30453.49"/>
    <x v="621"/>
    <s v="ADJ.CONTRATO SERVICIOS PARA ACTUALIZACIÓN DE DATOS CATASTRALES"/>
    <s v="220"/>
    <s v="OVIEDO"/>
    <s v="ASTURIAS"/>
    <x v="0"/>
    <s v="PrAbier - Procedimiento Abierto"/>
    <s v="MultiC - MultiCriterio"/>
    <x v="1"/>
    <x v="0"/>
    <s v="2"/>
    <s v="2. Gastos corrientes en bienes y servicios"/>
    <s v="02"/>
    <x v="10"/>
    <s v="1511"/>
    <s v="1511. Planficación y gestión del urbanismo"/>
    <s v="22"/>
    <s v="22706"/>
  </r>
  <r>
    <n v="220210013190"/>
    <s v="AD"/>
    <d v="2021-03-31T00:00:00"/>
    <n v="22021003647"/>
    <s v="2021 01 9205 22199"/>
    <n v="5499.99"/>
    <x v="622"/>
    <s v="ADJUDICA SUMINISTRO AÑO 2021 RESMAS PAPELES ESTUCADOS DISTINTOS GRAMAJES Y TIPOS - IMPRENTA"/>
    <s v="220"/>
    <s v="VELILLA DE SAN ANTONI"/>
    <s v="MADR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13194"/>
    <s v="D"/>
    <d v="2021-03-31T00:00:00"/>
    <n v="22021002056"/>
    <s v="2021 11 1631 22110"/>
    <n v="1804.07"/>
    <x v="411"/>
    <s v="AC MARCO EXP V36-2017: BOLSA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13196"/>
    <s v="D"/>
    <d v="2021-03-31T00:00:00"/>
    <n v="22021002052"/>
    <s v="2021 11 1621 22199"/>
    <n v="1172.3"/>
    <x v="411"/>
    <s v="AC MARCO EXP V36-2017: SUMINISTRO HERRAMIENTA PARA EL PERSONAL DEL TALLER MECÁNICO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3079"/>
    <s v="D"/>
    <d v="2021-03-30T00:00:00"/>
    <n v="22021002225"/>
    <s v="2021 06 3231 212"/>
    <n v="72.239999999999995"/>
    <x v="410"/>
    <s v="2 UD - PRESTO MANETA FLUXOMETRO / 2 UD - PRESTO PISTON (EIM CAMPANILLA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8563"/>
    <s v="D"/>
    <d v="2021-03-11T00:00:00"/>
    <n v="22021002378"/>
    <s v="2021 02 9332 214"/>
    <n v="154.27000000000001"/>
    <x v="289"/>
    <s v="BATERIA (1 UNIDAD) / MANO DE OBRA  (0,20) ////// VEHICULO MATRÍCULA: 9688-DTP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6980"/>
    <s v="AD/"/>
    <d v="2021-03-04T00:00:00"/>
    <n v="22021000272"/>
    <s v="2021 10 2311 22799"/>
    <n v="-375000"/>
    <x v="279"/>
    <s v="contrato ayuda a domicilio -lote 2 comidas SAD- ajuste posible fondo COVID-19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401"/>
    <s v="AD"/>
    <d v="2021-01-02T00:00:00"/>
    <n v="22021000287"/>
    <s v="2021 03 9241 22701"/>
    <n v="33816.9"/>
    <x v="249"/>
    <s v="VIGILANCIA SIN ARMAS EN DIAS LABORABLES DEL CENTRO SANTIAGO LOPEZ."/>
    <s v="220"/>
    <s v="VALDEMORO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09000402"/>
    <s v="AD"/>
    <d v="2021-01-02T00:00:00"/>
    <n v="22021000288"/>
    <s v="2021 03 9241 22701"/>
    <n v="33816.9"/>
    <x v="249"/>
    <s v="VIGILANCIA SIN ARMAS EN DIAS LABORABLES CENTRO SEGUNDO MONTES"/>
    <s v="220"/>
    <s v="VALDEMORO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12701"/>
    <s v="AD/"/>
    <d v="2021-03-25T00:00:00"/>
    <n v="22021000763"/>
    <s v="2021 10 2412 22102"/>
    <n v="-1197.1099999999999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1"/>
    <s v="AD/"/>
    <d v="2021-03-25T00:00:00"/>
    <n v="22021000764"/>
    <s v="2021 10 2412 22102"/>
    <n v="-2090.1999999999998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1"/>
    <s v="AD/"/>
    <d v="2021-03-25T00:00:00"/>
    <n v="22021000765"/>
    <s v="2021 10 2412 22102"/>
    <n v="-3445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09000616"/>
    <s v="AD"/>
    <d v="2021-01-02T00:00:00"/>
    <n v="22021000634"/>
    <s v="2021 04 9204 22701"/>
    <n v="33880"/>
    <x v="623"/>
    <s v="SERVICIOS DE CONSERJERIA DEL CENTRO DE DIFUSIÓN TECNOLÓGICA (CDIT) DEL AYUNTAMIENTO DE VALLADOLID)"/>
    <s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701"/>
  </r>
  <r>
    <n v="220209000231"/>
    <s v="AD"/>
    <d v="2021-01-02T00:00:00"/>
    <n v="22021000245"/>
    <s v="2021 06 2315 22799"/>
    <n v="34122"/>
    <x v="624"/>
    <s v="SE-EIJI 9/2020. PRORROGA CONTRATO DE ACTIVIDADES PARA POBLACION INFANTIL Y ADOLESTENTE. PERIODO VACACIONAL.01/01 A 20/06"/>
    <s v="220"/>
    <s v="ARROYO DE LA ENCOMIENDA"/>
    <s v="VALLADOLID"/>
    <x v="0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2"/>
    <s v="22799"/>
  </r>
  <r>
    <n v="220210028594"/>
    <s v="D"/>
    <d v="2021-06-03T00:00:00"/>
    <n v="22021001304"/>
    <s v="2021 02 1511 609"/>
    <n v="2508.34"/>
    <x v="0"/>
    <s v="ADJ. CONTRATO S.SALUD EXPTE.LOTE 3 DE LA FASE II DE LA ACTUACION EN ARU 29 OCTUBRE EN C/VILLABAÑEZ"/>
    <s v="300"/>
    <s v="VALLADOLID"/>
    <s v="VALLADOLID"/>
    <x v="0"/>
    <s v="PrAbier - Procedimiento Abierto"/>
    <s v="MultiC - MultiCriterio"/>
    <x v="1"/>
    <x v="1"/>
    <s v="6"/>
    <s v="6. Inversiones reales"/>
    <s v="02"/>
    <x v="10"/>
    <s v="1511"/>
    <s v="1511. Planficación y gestión del urbanismo"/>
    <s v="60"/>
    <s v="609"/>
  </r>
  <r>
    <n v="220210025550"/>
    <s v="AD"/>
    <d v="2021-05-26T00:00:00"/>
    <n v="22021002931"/>
    <s v="2021 10 2312 632"/>
    <n v="199.82"/>
    <x v="0"/>
    <s v="servicio de coordinación de seguridad y salud de la obra: CUBIERTA CPM LA VICTORIA"/>
    <s v="220"/>
    <s v="VALLADOLID"/>
    <s v="VALLADOLID"/>
    <x v="0"/>
    <s v="PrAbier - Procedimiento Abierto"/>
    <s v="MultiC - MultiCriterio"/>
    <x v="1"/>
    <x v="1"/>
    <s v="6"/>
    <s v="6. Inversiones reales"/>
    <s v="10"/>
    <x v="8"/>
    <s v="2312"/>
    <s v="2312. Iniciativas sociales"/>
    <s v="63"/>
    <s v="632"/>
  </r>
  <r>
    <n v="220210033089"/>
    <s v="AD"/>
    <d v="2021-06-29T00:00:00"/>
    <n v="22021004999"/>
    <s v="2021 06 3232 632"/>
    <n v="161.57"/>
    <x v="0"/>
    <s v="COORDINACION DE SEGURIDAD Y SALUD OBRAS DE SUSTITUCIÓN SOLADOS PVC VARIOS CENTROS ESCOLARES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2"/>
    <s v="3232. Conservación y mantenimiento centros educación infantil y primaria"/>
    <s v="63"/>
    <s v="632"/>
  </r>
  <r>
    <n v="220210031351"/>
    <s v="AD"/>
    <d v="2021-06-18T00:00:00"/>
    <n v="22021004883"/>
    <s v="2021 06 3261 632"/>
    <n v="161.56"/>
    <x v="0"/>
    <s v="SEGURIDAD Y SALUD EN LA OBRA DE MEJORA DE VARIAS AULAS EN EL COLEGIO PÚBLICO MARIA DE MOLINA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61"/>
    <s v="3261. Servicios complementarios de educación"/>
    <s v="63"/>
    <s v="632"/>
  </r>
  <r>
    <n v="220210033080"/>
    <s v="AD"/>
    <d v="2021-06-29T00:00:00"/>
    <n v="22021005151"/>
    <s v="2021 06 3232 632"/>
    <n v="161.55000000000001"/>
    <x v="0"/>
    <s v="COORDINACION DE SEGURIDAD Y SALUD POR LA REFORMA DE SOLERAS EN LOS PATIOS DEL CEIP VICENTE ALEIXANDRE Y PONCE DE LEÓN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2"/>
    <s v="3232. Conservación y mantenimiento centros educación infantil y primaria"/>
    <s v="63"/>
    <s v="632"/>
  </r>
  <r>
    <n v="220210033078"/>
    <s v="AD"/>
    <d v="2021-06-29T00:00:00"/>
    <n v="22021005120"/>
    <s v="2021 06 3231 632"/>
    <n v="82.85"/>
    <x v="0"/>
    <s v="COORDINACION DE SEGURIDAD Y SALUD POR LAS OBRAS DE REFORMA ASEOS CASA DE NIÑOS Y NIÑAS EN PAJARILLOS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1"/>
    <s v="3231. Escuelas infantiles"/>
    <s v="63"/>
    <s v="632"/>
  </r>
  <r>
    <n v="220210020472"/>
    <s v="ADO"/>
    <d v="2021-05-06T00:00:00"/>
    <n v="22021004275"/>
    <s v="2021 08 1513 83100"/>
    <n v="18.11"/>
    <x v="0"/>
    <s v="Estudio de Seguridad y Salud - C/ Caño Argales, 3 (Partida presupuestaria 08.153.2.619) Orden Ejecución 113/2013"/>
    <s v="240"/>
    <s v="VALLADOLID"/>
    <s v="VALLADOLID"/>
    <x v="0"/>
    <s v="PrAbier - Procedimiento Abierto"/>
    <s v="MultiC - MultiCriterio"/>
    <x v="1"/>
    <x v="1"/>
    <s v="8"/>
    <s v="8. Activos financieros"/>
    <s v="08"/>
    <x v="9"/>
    <s v="1513"/>
    <s v="1513. Licencias urbanísticas"/>
    <s v="83"/>
    <s v="83100"/>
  </r>
  <r>
    <n v="220210025885"/>
    <s v="AD/"/>
    <d v="2021-05-27T00:00:00"/>
    <n v="22021000230"/>
    <s v="2021 09 3341 22609"/>
    <n v="-5299.8"/>
    <x v="1"/>
    <s v="LIBERACION CREDITO MODIFICACION DISMINUCION CONTRATO LOTE 1 FERIA LIBRO"/>
    <s v="220"/>
    <s v="LORQUI"/>
    <s v="MURCIA"/>
    <x v="1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609"/>
  </r>
  <r>
    <n v="220210023170"/>
    <s v="AD"/>
    <d v="2021-05-19T00:00:00"/>
    <n v="22021003450"/>
    <s v="2021 04 9202 16205"/>
    <n v="9572.69"/>
    <x v="625"/>
    <s v="AMPLIACION PRIMA 1/4 AL30/9 DE 2021 RESPONSABILIDAD CIVIL DE AUTORIDADES Y PERSONAL"/>
    <s v="220"/>
    <s v="MADRID"/>
    <s v="MADRID"/>
    <x v="0"/>
    <s v="PrAbier - Procedimiento Abierto"/>
    <s v="MultiC - MultiCriterio"/>
    <x v="1"/>
    <x v="1"/>
    <s v="1"/>
    <s v="1. Gastos de personal"/>
    <s v="04"/>
    <x v="3"/>
    <s v="9202"/>
    <s v="9202. Gestión de recursos humanos"/>
    <s v="16"/>
    <s v="16205"/>
  </r>
  <r>
    <n v="220210023169"/>
    <s v="AD"/>
    <d v="2021-05-19T00:00:00"/>
    <n v="22021002816"/>
    <s v="2021 04 9202 16205"/>
    <n v="88.28"/>
    <x v="625"/>
    <s v="ACTUALIZACIÓN PRIMA AMPLIACIÓN DEL SEGURO DE RESPONSABILIDAD CIVIL AUTORIDADES Y PERSONAL PERIODO (01-01-21/31-03-21)"/>
    <s v="220"/>
    <s v="MADRID"/>
    <s v="MADRID"/>
    <x v="0"/>
    <s v="PrAbier - Procedimiento Abierto"/>
    <s v="MultiC - MultiCriterio"/>
    <x v="1"/>
    <x v="1"/>
    <s v="1"/>
    <s v="1. Gastos de personal"/>
    <s v="04"/>
    <x v="3"/>
    <s v="9202"/>
    <s v="9202. Gestión de recursos humanos"/>
    <s v="16"/>
    <s v="16205"/>
  </r>
  <r>
    <n v="220210020360"/>
    <s v="D"/>
    <d v="2021-05-05T00:00:00"/>
    <n v="22021002219"/>
    <s v="2021 09 3341 22799"/>
    <n v="29846.67"/>
    <x v="626"/>
    <s v="CONTRATO DE SERVICIOS DE MANTENIMIENTO DE LOS PORTALES WEB DE CULTURA Y TURISMO"/>
    <s v="30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19009"/>
    <s v="AD"/>
    <d v="2021-05-03T00:00:00"/>
    <n v="22021003251"/>
    <s v="2021 10 2311 213"/>
    <n v="5150"/>
    <x v="27"/>
    <s v="ALQUILER Y MANTENIMIENTOS DE NUEVOS EQUIPOS IMPRESION Y FOTOCOP. VARIOS CEAS DE 1 DE ABRIL A 31 DICIEMBRE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18824"/>
    <s v="AD"/>
    <d v="2021-04-28T00:00:00"/>
    <n v="22021002021"/>
    <s v="2021 01 9207 213"/>
    <n v="1089"/>
    <x v="27"/>
    <s v="COPIAS MÁQUINAS MULTIFUNCIÓN (CONTRATO CENTRALIZADO) DE ALCALDÍA, GOBIERNO Y RELACIONES, Y CONSEJO ECONÓMICO ADMON."/>
    <s v="220"/>
    <s v="VALLADOLID"/>
    <s v="VALLADOLID"/>
    <x v="0"/>
    <s v="PrAbier - Procedimiento Abierto"/>
    <s v="MultiC - MultiCriterio"/>
    <x v="1"/>
    <x v="1"/>
    <s v="2"/>
    <s v="2. Gastos corrientes en bienes y servicios"/>
    <s v="01"/>
    <x v="4"/>
    <s v="9207"/>
    <s v="9207. Gobierno y relaciones"/>
    <s v="21"/>
    <s v="213"/>
  </r>
  <r>
    <n v="220210028676"/>
    <s v="REIN"/>
    <d v="2021-06-04T00:00:00"/>
    <n v="22021000066"/>
    <s v="2021 10 2311 213"/>
    <n v="-84.36"/>
    <x v="27"/>
    <s v="F-371. ALPA. ALQUILER TRIMESTRAL 01/10/2020 - 31/12/2020. N.SERIE: R4Q9Z32148 - FC011319. CEAS DELICIAS CANTERAC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7"/>
    <s v="REIN"/>
    <d v="2021-06-04T00:00:00"/>
    <n v="22021000066"/>
    <s v="2021 10 2311 213"/>
    <n v="-84.36"/>
    <x v="27"/>
    <s v="F-384. ALPA. ALQUILER TRIMESTRAL R4Q9Z31989 -FC011332. CEAS DELICIAS ARGALES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8"/>
    <s v="REIN"/>
    <d v="2021-06-04T00:00:00"/>
    <n v="22021000066"/>
    <s v="2021 10 2311 213"/>
    <n v="-84.36"/>
    <x v="27"/>
    <s v="F-386. ALPA. ALQUILER TRIMESTRAL. R4Q9Z32173 - FC011316. CEAS PAJARILLOS. DE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9"/>
    <s v="REIN"/>
    <d v="2021-06-04T00:00:00"/>
    <n v="22021000066"/>
    <s v="2021 10 2311 213"/>
    <n v="-84.36"/>
    <x v="27"/>
    <s v="F-387. ALPA. ALQUILER TRIMESTRAL 01/10/2020 - 31/12/2020. N.SERIE: R4Q9Z32175 - FC011317. CEAS HOSPITAL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0"/>
    <s v="REIN"/>
    <d v="2021-06-04T00:00:00"/>
    <n v="22021000066"/>
    <s v="2021 10 2311 213"/>
    <n v="-84.36"/>
    <x v="27"/>
    <s v="F-388. ALPA. ALQUILER TRIEMSTRAL. R4Q9Z32181 - FC011318. CEAS PAJARILLOS ALTOS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1"/>
    <s v="REIN"/>
    <d v="2021-06-04T00:00:00"/>
    <n v="22021000066"/>
    <s v="2021 10 2311 213"/>
    <n v="-84.36"/>
    <x v="27"/>
    <s v="F-389. ALPA. ALQUILER TRIMESTRAL 01/10/2020 - 31/12/2020. N.SERIE: R4Q9Z32182 - FC011330 UBICACION: CEAS BELEN PILARICA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2"/>
    <s v="REIN"/>
    <d v="2021-06-04T00:00:00"/>
    <n v="22021000066"/>
    <s v="2021 10 2311 213"/>
    <n v="-84.36"/>
    <x v="27"/>
    <s v="F-392. ALPA. ALQUILER TRIMESTRAL. R4Q9Z32149 - FC011331. CEAS BARRIO ESPAÑA DEL 01-10-20  AL 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3"/>
    <s v="REIN"/>
    <d v="2021-06-04T00:00:00"/>
    <n v="22021000066"/>
    <s v="2021 10 2311 213"/>
    <n v="-84.36"/>
    <x v="27"/>
    <s v="F-406. ALPA. ALQUILER TRIEMSTRAL  R319Z00988 - FC011347. CEAS HOSPITAL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4"/>
    <s v="REIN"/>
    <d v="2021-06-04T00:00:00"/>
    <n v="22021000066"/>
    <s v="2021 10 2311 213"/>
    <n v="-84.36"/>
    <x v="27"/>
    <s v="F-423. ALPA. ALQUILER 01/10/2020 - 31/12/2020. N.SERIE: R319Z00982 - FC011422. SAN BENITO PUERTA 1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5"/>
    <s v="REIN"/>
    <d v="2021-06-04T00:00:00"/>
    <n v="22021000066"/>
    <s v="2021 10 2311 213"/>
    <n v="-84.36"/>
    <x v="27"/>
    <s v="F-425. ALPA. ALQUILER 01/10/2020 - 31/12/2020. N.SERIE: R319Z01005 - FC011348. UBICACION: SAN BENITOPUERTA 2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9598"/>
    <s v="ADO"/>
    <d v="2021-06-08T00:00:00"/>
    <n v="22021004658"/>
    <s v="2021 10 2311 213"/>
    <n v="84.36"/>
    <x v="27"/>
    <s v="F-5513. ALPA. ALQUILER 01/04/2020 - 30/06/2020. N.SERIE: R319Z01005 - FC011348. UBICACION: SAN BENITO PUERTA 2"/>
    <s v="24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14259"/>
    <s v="D"/>
    <d v="2021-04-07T00:00:00"/>
    <n v="22021002125"/>
    <s v="2021 06 3261 22799"/>
    <n v="56430"/>
    <x v="627"/>
    <s v="EXPTE SE 4/2021. ADJUDICACIÓN DEL PROGRAMA &quot;&quot;COMPARTIENDO EN VERANO 2021&quot;&quot; Julio y agosto."/>
    <s v="300"/>
    <s v="VALLADOLID"/>
    <s v="VALLADOLID"/>
    <x v="0"/>
    <s v="PrAbier - Procedimiento Abierto"/>
    <s v="UniC - Único Criterio"/>
    <x v="1"/>
    <x v="1"/>
    <s v="2"/>
    <s v="2. Gastos corrientes en bienes y servicios"/>
    <s v="06"/>
    <x v="0"/>
    <s v="3261"/>
    <s v="3261. Servicios complementarios de educación"/>
    <s v="22"/>
    <s v="22799"/>
  </r>
  <r>
    <n v="220210020831"/>
    <s v="AD"/>
    <d v="2021-05-07T00:00:00"/>
    <n v="22021004113"/>
    <s v="2021 06 3232 213"/>
    <n v="7260"/>
    <x v="50"/>
    <s v="CONTRATO DE SUMINISTRO DE PIEZAS DE REPUESTO ASCENSORES LOTE 1 EXPT. 58/2020 (MANT. 12 COLEGIOS Y E.M.M) 1 AÑO."/>
    <s v="220"/>
    <s v="VIGO"/>
    <s v="PONTEVEDRA"/>
    <x v="1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3541"/>
    <s v="D"/>
    <d v="2021-05-20T00:00:00"/>
    <n v="22021002199"/>
    <s v="2021 03 9241 213"/>
    <n v="4976.6000000000004"/>
    <x v="50"/>
    <s v="LOTE 3: MANTENIMIENTO ASCENSORES EDIFICIOS DEPENDIENTES DEL SERVICIO DE PARTICIPACIÓN CIUDADANA"/>
    <s v="300"/>
    <s v="VIGO"/>
    <s v="PONTEVEDRA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25719"/>
    <s v="ADO"/>
    <d v="2021-05-27T00:00:00"/>
    <n v="22021004554"/>
    <s v="2021 06 3232 213"/>
    <n v="221.94"/>
    <x v="50"/>
    <s v="MANTENIMIENTO DE EQUIPOS - COLEGIOS // PERIODO: 01/11/2020 - 10/11/2020"/>
    <s v="240"/>
    <s v="VIGO"/>
    <s v="PONTEVEDRA"/>
    <x v="0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1827"/>
    <s v="AD"/>
    <d v="2021-05-11T00:00:00"/>
    <n v="22021004309"/>
    <s v="2021 10 2312 213"/>
    <n v="370.41"/>
    <x v="52"/>
    <s v="SUMINISTRO DE PATIN PUERTAS AUTOMATICAS DEL ELEVADOR DEL CPM VICTORIA- DURACION 1 DIA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1"/>
    <s v="213"/>
  </r>
  <r>
    <n v="220210032811"/>
    <s v="AD"/>
    <d v="2021-06-24T00:00:00"/>
    <n v="22021004983"/>
    <s v="2021 10 2312 213"/>
    <n v="277.08999999999997"/>
    <x v="52"/>
    <s v="SUBSANACION DE DEFECTOS ENCONTRADOS AL REALIZAR LA INSPECCION  DEL ASCENSOR DEL CPM FRAY LUIS Y PTE. COLGANTE- DUR 1 DIA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1"/>
    <s v="213"/>
  </r>
  <r>
    <n v="220210017131"/>
    <s v="AD"/>
    <d v="2021-04-26T00:00:00"/>
    <n v="22021000493"/>
    <s v="2021 10 2412 213"/>
    <n v="177.31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1"/>
    <s v="AD"/>
    <d v="2021-04-26T00:00:00"/>
    <n v="22021000492"/>
    <s v="2021 10 2412 213"/>
    <n v="72.16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31334"/>
    <s v="D"/>
    <d v="2021-06-18T00:00:00"/>
    <n v="22021002503"/>
    <s v="2021 04 9204 641"/>
    <n v="42597.4"/>
    <x v="597"/>
    <s v="SUMINISTRO, INSTALACIÓN, CONFIGURACIÓN Y PUESTA EN MARCHA DE DOS CORTAFUEGOS, LOTE 5, JUNIO A AGOSTO 2021"/>
    <s v="300"/>
    <s v="VALLADOLID"/>
    <s v="VALLADOL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14569"/>
    <s v="AD"/>
    <d v="2021-04-09T00:00:00"/>
    <n v="22021002848"/>
    <s v="2021 04 9204 641"/>
    <n v="6250"/>
    <x v="69"/>
    <s v="MTO. DEL SISTEMA DE INFORMACIÓN DEL PADRÓN MUNICIPAL DE HABITANTES DEL AYUNTAMIENTO DE VALLADOLID, PRIMERA PRÓRROGA"/>
    <s v="220"/>
    <s v="ECIJA"/>
    <s v="SEVILLA"/>
    <x v="0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22384"/>
    <s v="AD"/>
    <d v="2021-05-12T00:00:00"/>
    <n v="22021003907"/>
    <s v="2021 04 9331 224"/>
    <n v="3151.12"/>
    <x v="77"/>
    <s v="ACTUALIZACIÓN PRIMAS DE SEGUROS FLOTA DE VEHÍCULOS (LOTE 3). PERIODO DEL 05/02/2021 al 05/02/2022. Expte.15/2020 PS 1."/>
    <s v="220"/>
    <s v="GETXO"/>
    <s v="VIZCAYA"/>
    <x v="5"/>
    <s v="PrAbier - Procedimiento Abierto"/>
    <s v="SinC - Sin Criterio"/>
    <x v="1"/>
    <x v="1"/>
    <s v="2"/>
    <s v="2. Gastos corrientes en bienes y servicios"/>
    <s v="04"/>
    <x v="3"/>
    <s v="9331"/>
    <s v="9331. Gestión del patrimonio"/>
    <s v="22"/>
    <s v="224"/>
  </r>
  <r>
    <n v="220210022385"/>
    <s v="AD"/>
    <d v="2021-05-12T00:00:00"/>
    <n v="22021003908"/>
    <s v="2021 04 9331 224"/>
    <n v="795.94"/>
    <x v="77"/>
    <s v="ACTUALIZACIÓN DE PRIMAS DE SEGUROS DE DAÑOS MATERIALES (LOTE 2). PERIODO 05/02/2021 AL 05/02/2022. Expte.15/2020. PS 1."/>
    <s v="220"/>
    <s v="GETXO"/>
    <s v="VIZCAYA"/>
    <x v="5"/>
    <s v="PrAbier - Procedimiento Abierto"/>
    <s v="MultiC - MultiCriterio"/>
    <x v="1"/>
    <x v="1"/>
    <s v="2"/>
    <s v="2. Gastos corrientes en bienes y servicios"/>
    <s v="04"/>
    <x v="3"/>
    <s v="9331"/>
    <s v="9331. Gestión del patrimonio"/>
    <s v="22"/>
    <s v="224"/>
  </r>
  <r>
    <n v="220210025616"/>
    <s v="D"/>
    <d v="2021-05-26T00:00:00"/>
    <n v="22021003374"/>
    <s v="2021 06 3232 633"/>
    <n v="61950.79"/>
    <x v="628"/>
    <s v="EXPEDIENTE SE 3/2021. SUSTITUCION CALDERAS DE GAS EN CEIP A. GARCIA QUINTANA, LOTE 1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17130"/>
    <s v="AD"/>
    <d v="2021-04-26T00:00:00"/>
    <n v="22021000550"/>
    <s v="2021 10 2412 213"/>
    <n v="583.34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49"/>
    <s v="2021 10 2412 213"/>
    <n v="237.49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51"/>
    <s v="2021 10 2412 213"/>
    <n v="220.88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48"/>
    <s v="2021 10 2412 213"/>
    <n v="83.32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31102"/>
    <s v="AD/"/>
    <d v="2021-06-14T00:00:00"/>
    <n v="22021000239"/>
    <s v="2021 08 1651 213"/>
    <n v="-28239.81"/>
    <x v="112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9"/>
    <s v="1651"/>
    <s v="1651. Alumbrado público"/>
    <s v="21"/>
    <s v="213"/>
  </r>
  <r>
    <n v="220210032891"/>
    <s v="AD"/>
    <d v="2021-06-25T00:00:00"/>
    <n v="22021004674"/>
    <s v="2021 08 1532 619"/>
    <n v="1500000"/>
    <x v="629"/>
    <s v="CONTRATO DE CONSERVACIÓN DE VIAS PÚBLICAS. LOTE 2, AGLOMERADO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6062"/>
    <s v="AD"/>
    <d v="2021-04-19T00:00:00"/>
    <n v="22021003575"/>
    <s v="2021 07 1711 619"/>
    <n v="182534.98"/>
    <x v="630"/>
    <s v="PRORROGA HASTA 30/11/21, CONTRATO DE MANTENIMIENTO DEL MOBILIARIO URBANO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8823"/>
    <s v="AD/"/>
    <d v="2021-04-28T00:00:00"/>
    <n v="22021000526"/>
    <s v="2021 07 1711 619"/>
    <n v="-182534.98"/>
    <x v="194"/>
    <s v="PRORROGA CONTRATO MANTENIMIENTO MOBILIARIO URBANO, HASTA 30/11/2021, MODIFICACION EN TERCERO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5895"/>
    <s v="AD"/>
    <d v="2021-04-19T00:00:00"/>
    <n v="22021003510"/>
    <s v="2021 06 2315 22611"/>
    <n v="64495"/>
    <x v="631"/>
    <s v="EXPTE SIJI 1/2020 PS 1. REAJUSTE CONTRATACION DE SERVICIOS PARA EL IV PLAN DE INSERCION LABORAL. LOTE 1. HASTA MAYO 2021"/>
    <s v="220"/>
    <s v="BOECILLO"/>
    <s v="VALLADOLID"/>
    <x v="0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611"/>
  </r>
  <r>
    <n v="220210029567"/>
    <s v="D"/>
    <d v="2021-06-08T00:00:00"/>
    <n v="22021002205"/>
    <s v="2021 07 1721 22799"/>
    <n v="20204.490000000002"/>
    <x v="198"/>
    <s v="CALIBRACIONES  APARATOS/INSTRUMENTOS DEL SERVICIO MEDIO AMBIENTE (EXP. VS 18/18)"/>
    <s v="300"/>
    <s v="LLANERA"/>
    <s v="ASTURIAS"/>
    <x v="0"/>
    <s v="PrAbier - Procedimiento Abierto"/>
    <s v="MultiC - MultiCriterio"/>
    <x v="1"/>
    <x v="1"/>
    <s v="2"/>
    <s v="2. Gastos corrientes en bienes y servicios"/>
    <s v="07"/>
    <x v="7"/>
    <s v="1721"/>
    <s v="1721. Protección del medio ambiente"/>
    <s v="22"/>
    <s v="22799"/>
  </r>
  <r>
    <n v="220210020608"/>
    <s v="AD/"/>
    <d v="2021-05-06T00:00:00"/>
    <n v="22021000730"/>
    <s v="2021 07 1721 633"/>
    <n v="-2246.56"/>
    <x v="198"/>
    <s v="REVISIÓN DE PRECIOS NEGATIVA AÑO  2021 MANTENIMIENTO INTEGRAL DE LA RCCAVA. PIEZA SEPARADA 3  VS 3/17"/>
    <s v="220"/>
    <s v="LLANERA"/>
    <s v="ASTURIAS"/>
    <x v="0"/>
    <s v="PrAbier - Procedimiento Abierto"/>
    <s v="MultiC - MultiCriterio"/>
    <x v="1"/>
    <x v="1"/>
    <s v="6"/>
    <s v="6. Inversiones reales"/>
    <s v="07"/>
    <x v="7"/>
    <s v="1721"/>
    <s v="1721. Protección del medio ambiente"/>
    <s v="63"/>
    <s v="633"/>
  </r>
  <r>
    <n v="220210022099"/>
    <s v="AD"/>
    <d v="2021-05-11T00:00:00"/>
    <n v="22021000556"/>
    <s v="2021 07 1711 610"/>
    <n v="738336.41"/>
    <x v="177"/>
    <s v="CONTRATO MANTENIMIENTO JARDINES ZONA CENTRO, HASTA 31/12/2021."/>
    <s v="220"/>
    <s v="VALLADOLID"/>
    <s v="VALLADOL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0"/>
  </r>
  <r>
    <n v="220210022100"/>
    <s v="AD"/>
    <d v="2021-05-11T00:00:00"/>
    <n v="22021000115"/>
    <s v="2021 07 1711 22799"/>
    <n v="143497.74"/>
    <x v="177"/>
    <s v="CONTRATO MANTENIMIENTO JARDINES ZONA CENTRO, HASTA 31/12/2021.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7"/>
    <s v="1711"/>
    <s v="1711. Parques y jardines"/>
    <s v="22"/>
    <s v="22799"/>
  </r>
  <r>
    <n v="220210023537"/>
    <s v="D"/>
    <d v="2021-05-20T00:00:00"/>
    <n v="22021002200"/>
    <s v="2021 03 9241 213"/>
    <n v="3518.35"/>
    <x v="177"/>
    <s v="LOTE 4: MANTENIMIENTO EXTINTORES Y SISTEMAS CONTRA INCENDIOS EDIFICIOS DEPENDIENTES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14843"/>
    <s v="D"/>
    <d v="2021-04-13T00:00:00"/>
    <n v="22021002486"/>
    <s v="2021 11 1621 22700"/>
    <n v="75000"/>
    <x v="632"/>
    <s v="CONTRATO RECOGIDA CONTENEDORES AMARILLOS &quot;&quot;ENVASES&quot;&quot;, PERIODO JULIO 2021 A JUNIO 2023"/>
    <s v="30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621"/>
    <s v="1621. Servicio de limpieza"/>
    <s v="22"/>
    <s v="22700"/>
  </r>
  <r>
    <n v="220210019210"/>
    <s v="D"/>
    <d v="2021-05-03T00:00:00"/>
    <n v="22021002449"/>
    <s v="2021 07 1711 619"/>
    <n v="3437.34"/>
    <x v="191"/>
    <s v="ACUERDO MARCO 2017/36, MATERIAL DE RIEGO."/>
    <s v="300"/>
    <s v="VALLADOLID"/>
    <s v="VALLADOLID"/>
    <x v="1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5896"/>
    <s v="AD"/>
    <d v="2021-04-19T00:00:00"/>
    <n v="22021003511"/>
    <s v="2021 06 2315 22611"/>
    <n v="7687.2"/>
    <x v="230"/>
    <s v="SIJI 1/2020 PS 1. REAJUSTE CONTRATACION DE SERVICIOS PARA EL IV PLAN DE INSERCION LABORAL. LOTE 2. HASTA MAYO 2021."/>
    <s v="220"/>
    <s v="VALLADOLID"/>
    <s v="VALLADOLID"/>
    <x v="0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611"/>
  </r>
  <r>
    <n v="220210022393"/>
    <s v="AD"/>
    <d v="2021-05-12T00:00:00"/>
    <n v="22021002652"/>
    <s v="2021 06 3232 22102"/>
    <n v="115200"/>
    <x v="205"/>
    <s v="PR-SE 10/2021.(PS 3 EXPTE SE 10/2019). PRORROGA SUMINISTRO DE GAS EN COLEGIOS PUBLICO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2"/>
    <s v="22102"/>
  </r>
  <r>
    <n v="220210022390"/>
    <s v="AD"/>
    <d v="2021-05-12T00:00:00"/>
    <n v="22021002618"/>
    <s v="2021 03 9241 22102"/>
    <n v="105000"/>
    <x v="205"/>
    <s v="PRÓRROGA CONTRATO SUMINISTRO DE GAS (DEL 01/10 AL 31/12 DE 2021) SERVICIO DE PARTICIPACIÓN CIUDADANA"/>
    <s v="220"/>
    <s v="BARCELONA"/>
    <s v="BARCELONA"/>
    <x v="1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102"/>
  </r>
  <r>
    <n v="220210022398"/>
    <s v="AD"/>
    <d v="2021-05-12T00:00:00"/>
    <n v="22021000055"/>
    <s v="2021 10 2312 22102"/>
    <n v="22000"/>
    <x v="205"/>
    <s v="SUMINISTRO GAS EN CENTROS DE PERSONAS MAYORES DEL  1/10  A 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312"/>
    <s v="2312. Iniciativas sociales"/>
    <s v="22"/>
    <s v="22102"/>
  </r>
  <r>
    <n v="220210022396"/>
    <s v="AD"/>
    <d v="2021-05-12T00:00:00"/>
    <n v="22021003241"/>
    <s v="2021 02 9332 22102"/>
    <n v="20000"/>
    <x v="205"/>
    <s v="PRÓRROGA CONTRATO GAS NATURAL EDIFICIOS MUNICIPALES DESDE  UNO DE OCTUBRE  A 31 DE DICIEMBRE DEL 2021"/>
    <s v="220"/>
    <s v="BARCELONA"/>
    <s v="BARCELONA"/>
    <x v="1"/>
    <s v="PrAbier - Procedimiento Abierto"/>
    <s v="MultiC - MultiCriterio"/>
    <x v="1"/>
    <x v="1"/>
    <s v="2"/>
    <s v="2. Gastos corrientes en bienes y servicios"/>
    <s v="02"/>
    <x v="10"/>
    <s v="9332"/>
    <s v="9332. Mantenimiento de edificios e instalaciones municipales"/>
    <s v="22"/>
    <s v="22102"/>
  </r>
  <r>
    <n v="220210022398"/>
    <s v="AD"/>
    <d v="2021-05-12T00:00:00"/>
    <n v="22021000056"/>
    <s v="2021 10 2312 22102"/>
    <n v="11750"/>
    <x v="205"/>
    <s v="SUMINISTRO GAS EN CENTROS DE PERSONAS MAYORES DEL  1/10  A 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312"/>
    <s v="2312. Iniciativas sociales"/>
    <s v="22"/>
    <s v="22102"/>
  </r>
  <r>
    <n v="220210022391"/>
    <s v="AD"/>
    <d v="2021-05-12T00:00:00"/>
    <n v="22021002637"/>
    <s v="2021 11 1321 22102"/>
    <n v="11000"/>
    <x v="205"/>
    <s v="IMPORTE SUMINISTRO DE GAS A POLICÍA MUNICIPAL DEL 1 DE OCTUBRE AL 31 DE DICIEMBRE DE 2021.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102"/>
  </r>
  <r>
    <n v="220210029565"/>
    <s v="AD"/>
    <d v="2021-06-07T00:00:00"/>
    <n v="22021002647"/>
    <s v="2021 10 2311 22102"/>
    <n v="10000"/>
    <x v="205"/>
    <s v="2º AMPLIACIÓN CONTRATO SUMINISTRO GAS CENTRO INTEGRADO 2021. COVID-19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22425"/>
    <s v="AD"/>
    <d v="2021-05-14T00:00:00"/>
    <n v="22021002655"/>
    <s v="2021 06 3231 22102"/>
    <n v="13420"/>
    <x v="205"/>
    <s v="PR-SE 10/2021.(PS 3 EXPTE SE 10/2019). PRORROGA SUMINISTRO DE GAS EN ESCUELAS INFANTILE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231"/>
    <s v="3231. Escuelas infantiles"/>
    <s v="22"/>
    <s v="22102"/>
  </r>
  <r>
    <n v="220210022394"/>
    <s v="AD"/>
    <d v="2021-05-12T00:00:00"/>
    <n v="22021000058"/>
    <s v="2021 10 2311 22102"/>
    <n v="675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22401"/>
    <s v="AD"/>
    <d v="2021-05-12T00:00:00"/>
    <n v="22021002850"/>
    <s v="2021 11 1361 22102"/>
    <n v="5250"/>
    <x v="205"/>
    <s v="Contrato de suministro de gas natural desde el 01/10/2021 al 31/12/2021; Expte.: PR_SE 10_2021; SEISYPC.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02"/>
  </r>
  <r>
    <n v="220210022397"/>
    <s v="AD"/>
    <d v="2021-05-12T00:00:00"/>
    <n v="22021000054"/>
    <s v="2021 11 1621 22102"/>
    <n v="5000"/>
    <x v="205"/>
    <s v="PRORROGA CONTRATO SUMINISTRO GAS NATURAL SERVICIO LIMPIEZA  1-10 AL 31-12-2021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621"/>
    <s v="1621. Servicio de limpieza"/>
    <s v="22"/>
    <s v="22102"/>
  </r>
  <r>
    <n v="220210014257"/>
    <s v="AD"/>
    <d v="2021-04-07T00:00:00"/>
    <n v="22021002656"/>
    <s v="2021 04 9204 641"/>
    <n v="47261.43"/>
    <x v="69"/>
    <s v="SISTEMA DE INFORMACIÓN PRESUPUESTARIA, CONTABLE Y FINANCIERA (SICALWIN) PRIMERA PRÓRROGA"/>
    <s v="220"/>
    <s v="ECIJA"/>
    <s v="SEVILLA"/>
    <x v="0"/>
    <s v="PrNegSP - Procedimiento Negociado Sin Publicidad"/>
    <s v="SinC - Sin Criterio"/>
    <x v="4"/>
    <x v="1"/>
    <s v="6"/>
    <s v="6. Inversiones reales"/>
    <s v="04"/>
    <x v="3"/>
    <s v="9204"/>
    <s v="9204. Tecnologías de la información y comunicación"/>
    <s v="64"/>
    <s v="641"/>
  </r>
  <r>
    <n v="220210022394"/>
    <s v="AD"/>
    <d v="2021-05-12T00:00:00"/>
    <n v="22021002653"/>
    <s v="2021 10 2311 22102"/>
    <n v="450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30524"/>
    <s v="AD"/>
    <d v="2021-06-11T00:00:00"/>
    <n v="22021004792"/>
    <s v="2021 06 3232 212"/>
    <n v="45862.63"/>
    <x v="633"/>
    <s v="OBRAS PINTURA EN CEIP VICENTE ALEIXANDRE,S.FERNANDO,FRANCISCO DE QUEVEDO,MIGUEL DE CERVANTES Y PONCE DE LEON. PLZ:45D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620"/>
    <s v="AD"/>
    <d v="2021-06-11T00:00:00"/>
    <n v="22021004810"/>
    <s v="2021 06 3261 632"/>
    <n v="43664.92"/>
    <x v="599"/>
    <s v="CONTRATO DE OBRAS PARA LA MEJORA DE VARIAS AULAS EN EL COLEGIO PUBLICO MARIA DE MOLINA. Plazo de ejecución: 40 días.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61"/>
    <s v="3261. Servicios complementarios de educación"/>
    <s v="63"/>
    <s v="632"/>
  </r>
  <r>
    <n v="220210032813"/>
    <s v="AD"/>
    <d v="2021-06-24T00:00:00"/>
    <n v="22021004993"/>
    <s v="2021 06 3232 212"/>
    <n v="42801.11"/>
    <x v="634"/>
    <s v="OBRAS DE REPARACIÓN DE SUELOS DE MADERA EN EL CEIP ISABEL LA CATÓLICA Y SAN FERNANDO. PLAZ EJEC: 2 MESES"/>
    <s v="220"/>
    <s v="TUDELA DE DUERO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394"/>
    <s v="AD"/>
    <d v="2021-05-12T00:00:00"/>
    <n v="22021000059"/>
    <s v="2021 10 2311 22102"/>
    <n v="375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32904"/>
    <s v="AD"/>
    <d v="2021-06-25T00:00:00"/>
    <n v="22021005070"/>
    <s v="2021 06 3232 632"/>
    <n v="42672.65"/>
    <x v="248"/>
    <s v="OBRAS REPARACION GOTERAS EN LOS COLEGIOS PUBLICOS ANTONIO MACHADO, CARDENAL MENDOZA Y GONZALO DE CORDOBA. PLZ EJ: 2 M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22392"/>
    <s v="AD"/>
    <d v="2021-05-12T00:00:00"/>
    <n v="22021002650"/>
    <s v="2021 10 2412 22102"/>
    <n v="1750"/>
    <x v="205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412"/>
    <s v="2412. Formación para el empleo"/>
    <s v="22"/>
    <s v="22102"/>
  </r>
  <r>
    <n v="220210022392"/>
    <s v="AD"/>
    <d v="2021-05-12T00:00:00"/>
    <n v="22021002651"/>
    <s v="2021 10 2412 22102"/>
    <n v="1750"/>
    <x v="205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412"/>
    <s v="2412. Formación para el empleo"/>
    <s v="22"/>
    <s v="22102"/>
  </r>
  <r>
    <n v="220210031496"/>
    <s v="AD"/>
    <d v="2021-06-22T00:00:00"/>
    <n v="22021004811"/>
    <s v="2021 02 9332 632"/>
    <n v="40515.040000000001"/>
    <x v="635"/>
    <s v="ACTUACIONES PREVIAS TEATRO LOPE DE VEGA VALLADOLID"/>
    <s v="220"/>
    <s v="VALLADOLID"/>
    <s v="VALLADOLID"/>
    <x v="2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0466"/>
    <s v="AD"/>
    <d v="2021-05-06T00:00:00"/>
    <n v="22021003682"/>
    <s v="2021 06 3232 212"/>
    <n v="40300.26"/>
    <x v="636"/>
    <s v="SE 13/2013. CONTRATO MENOR DE OBRAS PINTURAS EN DIVERSOS COLEGIOS PUBLICOS. PLAZO EJECUCION 1 M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1508"/>
    <s v="AD"/>
    <d v="2021-06-22T00:00:00"/>
    <n v="22021004961"/>
    <s v="2021 06 3232 632"/>
    <n v="40126.89"/>
    <x v="637"/>
    <s v="OBRAS SUSTITUCIÓN SOLADOS PVC EN CP PABLO PICASSO-GONZALO DE CORDOBA-CARDENAL MENDOZA-FRAY LUIS DE LEON.PLZ EJ:40D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30519"/>
    <s v="AD"/>
    <d v="2021-06-11T00:00:00"/>
    <n v="22021003919"/>
    <s v="2021 07 1701 623"/>
    <n v="39325.97"/>
    <x v="638"/>
    <s v="Eliminación de bajantes de fibrocemento en centros educativos de Valladolid. Duración 2 meses. 2021"/>
    <s v="220"/>
    <s v="VALLADOLID"/>
    <s v="VALLADOLID"/>
    <x v="2"/>
    <s v="AdDirec - Adjudicación Directa"/>
    <s v="SinC - Sin Criterio"/>
    <x v="0"/>
    <x v="1"/>
    <s v="6"/>
    <s v="6. Inversiones reales"/>
    <s v="07"/>
    <x v="7"/>
    <s v="1701"/>
    <s v="1701. Dirección del área de medio ambiente"/>
    <s v="62"/>
    <s v="623"/>
  </r>
  <r>
    <n v="220210031214"/>
    <s v="AD"/>
    <d v="2021-06-15T00:00:00"/>
    <n v="22021003920"/>
    <s v="2021 07 1701 633"/>
    <n v="37437.160000000003"/>
    <x v="639"/>
    <s v="Actuaciones de mejora de accesibilidad y energéticas en el local de Andrés de Laorden, 8 bajo del Ayuntamiento de VA."/>
    <s v="220"/>
    <s v="VALLADOLID"/>
    <s v="VALLADOLID"/>
    <x v="2"/>
    <s v="AdDirec - Adjudicación Directa"/>
    <s v="SinC - Sin Criterio"/>
    <x v="0"/>
    <x v="1"/>
    <s v="6"/>
    <s v="6. Inversiones reales"/>
    <s v="07"/>
    <x v="7"/>
    <s v="1701"/>
    <s v="1701. Dirección del área de medio ambiente"/>
    <s v="63"/>
    <s v="633"/>
  </r>
  <r>
    <n v="220210023540"/>
    <s v="AD"/>
    <d v="2021-05-20T00:00:00"/>
    <n v="22021000765"/>
    <s v="2021 10 2412 22102"/>
    <n v="1540.94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5619"/>
    <s v="AD"/>
    <d v="2021-05-26T00:00:00"/>
    <n v="22021004560"/>
    <s v="2021 06 3232 632"/>
    <n v="33981.64"/>
    <x v="640"/>
    <s v="SUSTITUCION CUBIERTAS DE FIBROCEMENTO EN CENTROS EDUCATIVOS. PLAZO DE EJECUCIÓN 2 MESES DESDE EL 1 DE JULIO"/>
    <s v="220"/>
    <s v="VALLADOLIS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23540"/>
    <s v="AD"/>
    <d v="2021-05-20T00:00:00"/>
    <n v="22021000764"/>
    <s v="2021 10 2412 22102"/>
    <n v="1368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2399"/>
    <s v="AD"/>
    <d v="2021-05-12T00:00:00"/>
    <n v="22021002657"/>
    <s v="2021 06 3321 22102"/>
    <n v="1275"/>
    <x v="205"/>
    <s v="PR-SE 10/2021.(PS 3 EXPTE SE 10/2019). PRORROGA SUMINISTRO DE GAS EN BIBLIOTECAS PUBLICA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321"/>
    <s v="3321. Bibliotecas públicas"/>
    <s v="22"/>
    <s v="22102"/>
  </r>
  <r>
    <n v="220210022400"/>
    <s v="AD"/>
    <d v="2021-05-12T00:00:00"/>
    <n v="22021002661"/>
    <s v="2021 06 2315 22102"/>
    <n v="1000"/>
    <x v="205"/>
    <s v="PR-SE 10/2021. (PS 3 EXPTE SE 10/2019). PRORROGA SUMINISTRO DE GAS CENTRO MUNICIPAL DE LA IGUALDAD. 0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102"/>
  </r>
  <r>
    <n v="220210023540"/>
    <s v="AD"/>
    <d v="2021-05-20T00:00:00"/>
    <n v="22021000763"/>
    <s v="2021 10 2412 22102"/>
    <n v="985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2395"/>
    <s v="AD"/>
    <d v="2021-05-12T00:00:00"/>
    <n v="22021002852"/>
    <s v="2021 05 4315 22102"/>
    <n v="260"/>
    <x v="205"/>
    <s v="GAS NATURAL OMIC 1-10-2021 AL 31-12-2021"/>
    <s v="220"/>
    <s v="BARCELONA"/>
    <s v="BARCELONA"/>
    <x v="1"/>
    <s v="PrAbier - Procedimiento Abierto"/>
    <s v="MultiC - MultiCriterio"/>
    <x v="1"/>
    <x v="1"/>
    <s v="2"/>
    <s v="2. Gastos corrientes en bienes y servicios"/>
    <s v="05"/>
    <x v="6"/>
    <s v="4315"/>
    <s v="4315. Actuaciones en materia de consumo"/>
    <s v="22"/>
    <s v="22102"/>
  </r>
  <r>
    <n v="220210016150"/>
    <s v="AD"/>
    <d v="2021-04-19T00:00:00"/>
    <n v="22021003527"/>
    <s v="2021 02 1511 609"/>
    <n v="7047.23"/>
    <x v="250"/>
    <s v="CONTROL CALIDAD OBRAS REHABILITACIÓN CUATRO BLOQUES EN CALLE VILLABAÑEZ,12,14,16 Y 18(29 OCTUBRE FASE II)."/>
    <s v="220"/>
    <s v="ZARATAN"/>
    <s v="VALLADOLID"/>
    <x v="0"/>
    <s v="AdDirec - Adjudicación Directa"/>
    <s v="MultiC - MultiCriterio"/>
    <x v="0"/>
    <x v="1"/>
    <s v="6"/>
    <s v="6. Inversiones reales"/>
    <s v="02"/>
    <x v="10"/>
    <s v="1511"/>
    <s v="1511. Planficación y gestión del urbanismo"/>
    <s v="60"/>
    <s v="609"/>
  </r>
  <r>
    <n v="220210023528"/>
    <s v="AD/"/>
    <d v="2021-05-20T00:00:00"/>
    <n v="22021000763"/>
    <s v="2021 10 2412 22102"/>
    <n v="-278.54000000000002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3528"/>
    <s v="AD/"/>
    <d v="2021-05-20T00:00:00"/>
    <n v="22021000764"/>
    <s v="2021 10 2412 22102"/>
    <n v="-1630.3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6045"/>
    <s v="AD"/>
    <d v="2021-05-28T00:00:00"/>
    <n v="22021004427"/>
    <s v="2021 05 4331 609"/>
    <n v="24162.06"/>
    <x v="239"/>
    <s v="CONTRATO DE OBRAS DE INFRAESTRUCTURA VERDE SINGULAR: JARDÍN BIO-FILTRO URBANO (URBAN GREENUP G.A.Nº 730426)."/>
    <s v="220"/>
    <s v="VALLADOLID"/>
    <s v="VALLADOLID"/>
    <x v="2"/>
    <s v="AdDirec - Adjudicación Directa"/>
    <s v="UniC - Único Criterio"/>
    <x v="0"/>
    <x v="1"/>
    <s v="6"/>
    <s v="6. Inversiones reales"/>
    <s v="05"/>
    <x v="6"/>
    <s v="4331"/>
    <s v="4331. Desarrollo empresarial"/>
    <s v="60"/>
    <s v="609"/>
  </r>
  <r>
    <n v="220210028822"/>
    <s v="AD"/>
    <d v="2021-06-04T00:00:00"/>
    <n v="22021004616"/>
    <s v="2021 02 9332 632"/>
    <n v="24153.61"/>
    <x v="641"/>
    <s v="MANTENIMIENTO ELIMINACIÓN RIESGOS EN AZUCARERA STA.VICTORIA (PARQUE LAS NORIAS) PARA MANTENER CONDICIONES DE SEGURIDAD."/>
    <s v="220"/>
    <s v="VALLADOLID"/>
    <s v="VALLADOLID"/>
    <x v="2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3528"/>
    <s v="AD/"/>
    <d v="2021-05-20T00:00:00"/>
    <n v="22021000765"/>
    <s v="2021 10 2412 22102"/>
    <n v="-1985.1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0613"/>
    <s v="D"/>
    <d v="2021-05-06T00:00:00"/>
    <n v="22021002062"/>
    <s v="2021 02 1501 224"/>
    <n v="22500"/>
    <x v="642"/>
    <s v="ADJ. EXPTE.CONTRATO DE SEGUROS RESPONSABILIDAD CIVIL DE LOS TEC. DEL AREA DEL 01-05 A 31-10-2021 Y 1.11.21 A 30.04.22"/>
    <s v="300"/>
    <s v="MADRID"/>
    <s v="MADRID"/>
    <x v="0"/>
    <s v="PrNegSP - Procedimiento Negociado Sin Publicidad"/>
    <s v="MultiC - MultiCriterio"/>
    <x v="4"/>
    <x v="1"/>
    <s v="2"/>
    <s v="2. Gastos corrientes en bienes y servicios"/>
    <s v="02"/>
    <x v="10"/>
    <s v="1501"/>
    <s v="1501. Dirección del área de urbanismo"/>
    <s v="22"/>
    <s v="224"/>
  </r>
  <r>
    <n v="220210017016"/>
    <s v="AD"/>
    <d v="2021-04-26T00:00:00"/>
    <n v="22021003725"/>
    <s v="2021 03 9241 22799"/>
    <n v="12793.28"/>
    <x v="551"/>
    <s v="2ª PRÓRROGA SERVICIO DE ASESORAMIENTO PRESUPUESTOS PARTICIPATIVOS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99"/>
  </r>
  <r>
    <n v="220210022812"/>
    <s v="AD"/>
    <d v="2021-05-17T00:00:00"/>
    <n v="22021000451"/>
    <s v="2021 10 2412 22700"/>
    <n v="10287.42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30194"/>
    <s v="D"/>
    <d v="2021-06-09T00:00:00"/>
    <n v="22021002201"/>
    <s v="2021 03 9241 22700"/>
    <n v="10080.709999999999"/>
    <x v="213"/>
    <s v="LOTE 5: MANTENIMIENTO ZONAS VERDES DE EDIFICIOS DEPENDIENTES DEL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2"/>
    <s v="22700"/>
  </r>
  <r>
    <n v="220210029810"/>
    <s v="AD"/>
    <d v="2021-06-09T00:00:00"/>
    <n v="22021004250"/>
    <s v="2021 09 3341 22799"/>
    <n v="4472.16"/>
    <x v="213"/>
    <s v="PRO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22812"/>
    <s v="AD"/>
    <d v="2021-05-17T00:00:00"/>
    <n v="22021000450"/>
    <s v="2021 10 2412 22700"/>
    <n v="3988.98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102"/>
    <s v="AD"/>
    <d v="2021-05-11T00:00:00"/>
    <n v="22021004284"/>
    <s v="2021 07 1711 213"/>
    <n v="18150"/>
    <x v="216"/>
    <s v="REPARACION DE MAQUINARIA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3"/>
  </r>
  <r>
    <n v="220210014687"/>
    <s v="AD"/>
    <d v="2021-04-12T00:00:00"/>
    <n v="22021003507"/>
    <s v="2021 03 9241 22706"/>
    <n v="18150"/>
    <x v="643"/>
    <s v="TRABAJOS DE REDACCIÓN DE PROYECTOS PARA EL ÁREA DE PARTICIPACIÓN CIUDADANA Y DEPORTE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89"/>
    <s v="AD"/>
    <d v="2021-04-12T00:00:00"/>
    <n v="22021003656"/>
    <s v="2021 03 9241 223"/>
    <n v="18150"/>
    <x v="493"/>
    <s v="TRANSPORTE E INSTALACIÓN DE ESCENARIOS, SILLAS Y MESAS PARA EVENTOS DE PARTICIPACIÓN CIUDADAN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3"/>
  </r>
  <r>
    <n v="220210025418"/>
    <s v="AD"/>
    <d v="2021-05-25T00:00:00"/>
    <n v="22021004263"/>
    <s v="2021 05 4331 22706"/>
    <n v="18113.7"/>
    <x v="644"/>
    <s v="Contratación de asistencia técnica de diseño y organización de tres ciclos de seminarios web (webinars)"/>
    <s v="220"/>
    <s v="MADRID"/>
    <s v="MADR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06"/>
  </r>
  <r>
    <n v="220210028696"/>
    <s v="AD"/>
    <d v="2021-06-04T00:00:00"/>
    <n v="22021003654"/>
    <s v="2021 11 1321 623"/>
    <n v="18089.5"/>
    <x v="645"/>
    <s v="CONTRATACIÓN DE SISTEMA DE ESCANEO DE MATRÍCULAS DE VEHÍCULOS PARA POLICÍA MUNICIPAL."/>
    <s v="230"/>
    <s v="LAS ROZAS DE MADRID"/>
    <s v="MADRID"/>
    <x v="0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31215"/>
    <s v="AD"/>
    <d v="2021-06-15T00:00:00"/>
    <n v="22021004767"/>
    <s v="2021 05 4331 22799"/>
    <n v="18089.5"/>
    <x v="646"/>
    <s v="Organización, gestión, coordinación, funcionamiento y formación de encuentros y talleres en el marco del LUC"/>
    <s v="220"/>
    <s v="VALLADOLID"/>
    <s v="VALLADOL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99"/>
  </r>
  <r>
    <n v="220210032898"/>
    <s v="AD"/>
    <d v="2021-06-25T00:00:00"/>
    <n v="22021004174"/>
    <s v="2021 07 1711 623"/>
    <n v="18089.5"/>
    <x v="502"/>
    <s v="ADQUISICION Y RESTAURACION DE CONTENEDORES PARA PODA."/>
    <s v="220"/>
    <s v="ALDEAMAYOR DE SAN MARTIN"/>
    <s v="VALLADOLID"/>
    <x v="0"/>
    <s v="AdDirec - Adjudicación Directa"/>
    <s v="SinC - Sin Criterio"/>
    <x v="0"/>
    <x v="1"/>
    <s v="6"/>
    <s v="6. Inversiones reales"/>
    <s v="07"/>
    <x v="7"/>
    <s v="1711"/>
    <s v="1711. Parques y jardines"/>
    <s v="62"/>
    <s v="623"/>
  </r>
  <r>
    <n v="220210022812"/>
    <s v="AD"/>
    <d v="2021-05-17T00:00:00"/>
    <n v="22021000453"/>
    <s v="2021 10 2412 22700"/>
    <n v="3219.27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12"/>
    <s v="AD"/>
    <d v="2021-05-17T00:00:00"/>
    <n v="22021000452"/>
    <s v="2021 10 2412 22700"/>
    <n v="1399.64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3569"/>
    <s v="AD"/>
    <d v="2021-05-24T00:00:00"/>
    <n v="22021004458"/>
    <s v="2021 05 4331 609"/>
    <n v="4002.58"/>
    <x v="250"/>
    <s v="Estudio geotécnico en Estadio Zorrilla. Proyecto Urban Waterbuffer (UWB) (Expt. 05 IDEEC_AI-21/2021)"/>
    <s v="220"/>
    <s v="ZARATAN"/>
    <s v="VALLADOLID"/>
    <x v="0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  <r>
    <n v="220210025420"/>
    <s v="AD"/>
    <d v="2021-05-25T00:00:00"/>
    <n v="22021004323"/>
    <s v="2021 05 4331 22706"/>
    <n v="18029"/>
    <x v="647"/>
    <s v="Contrato de asistencia técnica de asesoramiento especializado para el comercio minotrista para impulsar la T. D.en negoc"/>
    <s v="220"/>
    <s v="EL ESPINAR"/>
    <s v="SEGOVIA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06"/>
  </r>
  <r>
    <n v="220210031105"/>
    <s v="AD"/>
    <d v="2021-06-14T00:00:00"/>
    <n v="22021003590"/>
    <s v="2021 09 3341 22799"/>
    <n v="638.88"/>
    <x v="213"/>
    <s v="REAJUSTE  ANUNALIDADES DEL CONTRATO DE SERVICIO DE DISTRIBUCIÓN, ALMACENAJE Y CUSTODIA DE PUBLICACIONES DEL AYTO. VALL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23558"/>
    <s v="AD"/>
    <d v="2021-05-21T00:00:00"/>
    <n v="22021004360"/>
    <s v="2021 02 9332 22799"/>
    <n v="17712.099999999999"/>
    <x v="449"/>
    <s v="VACIADO Y PUESTA EN SERVICIO  INSTALACIÓN DE BOMBEO EN APARCAMIENTO MUNICIPAL SITO EN PZA.SOLIDARIDAD"/>
    <s v="220"/>
    <s v="VALLADOLID"/>
    <s v="VALLADOLID"/>
    <x v="0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799"/>
  </r>
  <r>
    <n v="220200056647"/>
    <s v="AD"/>
    <d v="2021-06-28T00:00:00"/>
    <n v="22020006655"/>
    <s v="2021 02 1511 22706"/>
    <n v="17652.689999999999"/>
    <x v="648"/>
    <s v="ESTUDIO GEOTÉCNICO PARA LA REDACCIÓN DEL PROYECTO DE URBANIZACIÓN EN AVDA. DE MADRID"/>
    <s v="220"/>
    <s v="MUCIENTES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33084"/>
    <s v="AD"/>
    <d v="2021-06-29T00:00:00"/>
    <n v="22021005001"/>
    <s v="2021 04 9204 636"/>
    <n v="17505.93"/>
    <x v="35"/>
    <s v="SERVICIOS DE ALTA, GESTIÓN Y MANTENIMIENTO DE LOS ACCESOS PÚBLICOS A INTERNET DE LOS EDIFICIOS MUNICIPALES DEL  AYTO."/>
    <s v="220"/>
    <s v="VALLADOLID"/>
    <s v="VALLADOLID"/>
    <x v="0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3"/>
    <s v="636"/>
  </r>
  <r>
    <n v="220210029574"/>
    <s v="AD"/>
    <d v="2021-06-08T00:00:00"/>
    <n v="22021004748"/>
    <s v="2021 06 3261 624"/>
    <n v="17462.84"/>
    <x v="326"/>
    <s v="SUMINISTRO VEHICULO FURGON 2 PLAZAS PARA EL SERVICIO DE EDUCACIÓN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3261"/>
    <s v="3261. Servicios complementarios de educación"/>
    <s v="62"/>
    <s v="624"/>
  </r>
  <r>
    <n v="220210028697"/>
    <s v="AD"/>
    <d v="2021-06-04T00:00:00"/>
    <n v="22021004056"/>
    <s v="2021 11 1321 623"/>
    <n v="17413.11"/>
    <x v="649"/>
    <s v="ADQUISICIÓN DE DESFIBRILADORES EXTERNOS SEMIAUTOMÁTICOS (DESA)) PARA POLICÍA MUNICIPAL."/>
    <s v="230"/>
    <s v="BURGOS"/>
    <s v="BURGOS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25227"/>
    <s v="AD"/>
    <d v="2021-05-25T00:00:00"/>
    <n v="22021004257"/>
    <s v="2021 05 4331 22706"/>
    <n v="17242.5"/>
    <x v="650"/>
    <s v="Contrato de consultoría, asistencia técnica de estudio y propuesta de valor, espacio municipal en nave de Valle Arán,1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06"/>
  </r>
  <r>
    <n v="220210031504"/>
    <s v="AD"/>
    <d v="2021-06-22T00:00:00"/>
    <n v="22021004793"/>
    <s v="2021 02 9332 632"/>
    <n v="17230.59"/>
    <x v="651"/>
    <s v="OBRAS REFORMQ INSTALACIÓN ELÉCTRICA ARCHIVO MUNICIPAL"/>
    <s v="220"/>
    <s v="MEDINA DEL CAMPO"/>
    <s v="VALLADOLID"/>
    <x v="2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00043119"/>
    <s v="AD"/>
    <d v="2021-06-28T00:00:00"/>
    <n v="22020005574"/>
    <s v="2021 02 1501 22706"/>
    <n v="16940"/>
    <x v="652"/>
    <s v="ESTUDIOS PARA LA IMPLANTACIÓN DE UN PARQUE AGROALIMENTARIO Y LOGÍSTICO DEL NUEVO COMPLEJO FERROVIARI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706"/>
  </r>
  <r>
    <n v="220210032900"/>
    <s v="AD"/>
    <d v="2021-06-25T00:00:00"/>
    <n v="22021004930"/>
    <s v="2021 11 1631 22700"/>
    <n v="16445"/>
    <x v="564"/>
    <s v="LIMPIEZA PLAYA MORERAS CON MAQUINARIA ESPECIFICA DEL 24/06 AL 20/09 DEL 2021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31"/>
    <s v="1631. Limpieza viaria"/>
    <s v="22"/>
    <s v="22700"/>
  </r>
  <r>
    <n v="220210025893"/>
    <s v="AD"/>
    <d v="2021-05-27T00:00:00"/>
    <n v="22021003678"/>
    <s v="2021 06 2315 22611"/>
    <n v="16125"/>
    <x v="653"/>
    <s v="Tercera semana escolar de sensibilización sobre Igualdad de Género en Centros Escolares / 1 SEMANA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2810"/>
    <s v="AD/"/>
    <d v="2021-05-17T00:00:00"/>
    <n v="22021000452"/>
    <s v="2021 10 2412 22700"/>
    <n v="-699.86"/>
    <x v="213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08"/>
    <s v="AD/"/>
    <d v="2021-05-17T00:00:00"/>
    <n v="22021000450"/>
    <s v="2021 10 2412 22700"/>
    <n v="-3849.04"/>
    <x v="213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11"/>
    <s v="AD/"/>
    <d v="2021-05-17T00:00:00"/>
    <n v="22021000453"/>
    <s v="2021 10 2412 22700"/>
    <n v="-4198.92"/>
    <x v="213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33219"/>
    <s v="AD"/>
    <d v="2021-06-30T00:00:00"/>
    <n v="22021004829"/>
    <s v="2021 08 1651 22706"/>
    <n v="14500"/>
    <x v="530"/>
    <s v="A.T. de Ingeniero Técnico Industrial para el Centro de Alumbrado Público derl S.E.P.I.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2"/>
    <s v="22706"/>
  </r>
  <r>
    <n v="220210022809"/>
    <s v="AD/"/>
    <d v="2021-05-17T00:00:00"/>
    <n v="22021000451"/>
    <s v="2021 10 2412 22700"/>
    <n v="-10147.49"/>
    <x v="213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1829"/>
    <s v="AD"/>
    <d v="2021-05-11T00:00:00"/>
    <n v="22021004239"/>
    <s v="2021 10 2312 22799"/>
    <n v="14400"/>
    <x v="654"/>
    <s v="PROGRAMA DE PREVENCION DE CONSUMO DE ALCOHOL,TABACO Y CANNABIS EN LAS SONAS DE OCIO DE VALLADOLID DURANTE 2021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10032896"/>
    <s v="AD"/>
    <d v="2021-06-25T00:00:00"/>
    <n v="22021004887"/>
    <s v="2021 11 3111 22799"/>
    <n v="14386.9"/>
    <x v="655"/>
    <s v="ASISTENCIA TECNICA : ANÁLISIS, POTENCIACIÓN Y DESARROLLO DE RECURSOS RESULTANTES DEL MAPA DE RECURSOS -PROMOC.SALUD-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6048"/>
    <s v="AD"/>
    <d v="2021-05-28T00:00:00"/>
    <n v="22021004584"/>
    <s v="2021 08 1532 22104"/>
    <n v="14126.21"/>
    <x v="89"/>
    <s v="Suministro Equipos de Protección Individual (ropa de trabajo y abrigo) y uniformidad para personal brigadas del SEPI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20072"/>
    <s v="D"/>
    <d v="2021-05-05T00:00:00"/>
    <n v="22021002406"/>
    <s v="2021 10 2312 22799"/>
    <n v="9933.2900000000009"/>
    <x v="379"/>
    <s v="Adjudicación mant.jardines de mayo a diciembre-cpm rondilla 3.476,65 y cpm delicias 6.456,6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799"/>
  </r>
  <r>
    <n v="220210020361"/>
    <s v="AD"/>
    <d v="2021-05-05T00:00:00"/>
    <n v="22021003896"/>
    <s v="2021 05 4331 22799"/>
    <n v="13310"/>
    <x v="171"/>
    <s v="CONTRATO DE SERVICIOS DE APOYO TAREAS DE COMUNICACIÓN Y PROMOCIÓN DE ACTIVIDADES Y PROYECTOS DE LA AGENCIA DE INNOVACION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99"/>
  </r>
  <r>
    <n v="220210019245"/>
    <s v="D"/>
    <d v="2021-05-04T00:00:00"/>
    <n v="22021001686"/>
    <s v="2021 10 2311 22799"/>
    <n v="6061.5"/>
    <x v="379"/>
    <s v="CONTRATO REPARTO E INTERCAMBIO DOCUMENTACION ENTRE SERV.CENTRALES Y CEAS,CPMS Y CFE JB-ABRIL A DIC-114,16 IVA INC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799"/>
  </r>
  <r>
    <n v="220210020077"/>
    <s v="D"/>
    <d v="2021-05-05T00:00:00"/>
    <n v="22021002411"/>
    <s v="2021 10 2311 22799"/>
    <n v="922.74"/>
    <x v="379"/>
    <s v="ADJUDICACION Contrato mantenimiento jardines comedor social-mayo a diciembre 2021"/>
    <s v="300"/>
    <s v="VALLADOLID"/>
    <s v="VALLADOLID"/>
    <x v="0"/>
    <s v="PrAbier - Procedimiento Abierto"/>
    <s v="UniC - Único Criterio"/>
    <x v="1"/>
    <x v="1"/>
    <s v="2"/>
    <s v="2. Gastos corrientes en bienes y servicios"/>
    <s v="10"/>
    <x v="8"/>
    <s v="2311"/>
    <s v="2311. Intervención social"/>
    <s v="22"/>
    <s v="22799"/>
  </r>
  <r>
    <n v="220210030858"/>
    <s v="AD"/>
    <d v="2021-06-14T00:00:00"/>
    <n v="22021004667"/>
    <s v="2021 05 4314 22799"/>
    <n v="12577.95"/>
    <x v="656"/>
    <s v="APOYO AL AYTO EN EL PROCESO  DE REFORMA DE LAS INSTALACIONES DE LA GALERIAS RONDILLA. EN EL AÑO 21-22"/>
    <s v="220"/>
    <s v="MADRID"/>
    <s v="MADRID"/>
    <x v="0"/>
    <s v="AdDirec - Adjudicación Directa"/>
    <s v="MultiC - MultiCriterio"/>
    <x v="0"/>
    <x v="1"/>
    <s v="2"/>
    <s v="2. Gastos corrientes en bienes y servicios"/>
    <s v="05"/>
    <x v="6"/>
    <s v="4314"/>
    <s v="4314. Fomento del comercio"/>
    <s v="22"/>
    <s v="22799"/>
  </r>
  <r>
    <n v="220200056643"/>
    <s v="AD"/>
    <d v="2021-06-28T00:00:00"/>
    <n v="22020006573"/>
    <s v="2021 02 1511 22799"/>
    <n v="12305.7"/>
    <x v="595"/>
    <s v="CONTROL TRASLADO MATERIAL ACOPIADO EN PARC.URBANAS 97607-03 Y 97607-4 AVDA. SANTANDER (SUELO REPARACIÓN FR-4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99"/>
  </r>
  <r>
    <n v="220210029566"/>
    <s v="AD"/>
    <d v="2021-06-07T00:00:00"/>
    <n v="22021002066"/>
    <s v="2021 10 2412 22199"/>
    <n v="811.75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9566"/>
    <s v="AD"/>
    <d v="2021-06-07T00:00:00"/>
    <n v="22021002065"/>
    <s v="2021 10 2412 22199"/>
    <n v="500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5421"/>
    <s v="AD"/>
    <d v="2021-05-25T00:00:00"/>
    <n v="22021004434"/>
    <s v="2021 09 3341 22701"/>
    <n v="11993.52"/>
    <x v="657"/>
    <s v="Contrato menor de vigilancia de las instalaciones y del normal desarrollo de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1"/>
  </r>
  <r>
    <n v="220210029566"/>
    <s v="AD"/>
    <d v="2021-06-07T00:00:00"/>
    <n v="22021002063"/>
    <s v="2021 10 2412 22199"/>
    <n v="200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0427"/>
    <s v="AD"/>
    <d v="2021-05-05T00:00:00"/>
    <n v="22021004149"/>
    <s v="2021 05 4331 609"/>
    <n v="11712.8"/>
    <x v="658"/>
    <s v="CONTRATO DE SERVICIOS DE REDACCIÓN DE PROYECTO &quot;&quot;URBAN WATERBUFER VALLADOLID (UWB)"/>
    <s v="220"/>
    <s v="VALLADOLID"/>
    <s v="VALLADOLID"/>
    <x v="0"/>
    <s v="AdDirec - Adjudicación Directa"/>
    <s v="MultiC - MultiCriterio"/>
    <x v="0"/>
    <x v="1"/>
    <s v="6"/>
    <s v="6. Inversiones reales"/>
    <s v="05"/>
    <x v="6"/>
    <s v="4331"/>
    <s v="4331. Desarrollo empresarial"/>
    <s v="60"/>
    <s v="609"/>
  </r>
  <r>
    <n v="220210028593"/>
    <s v="D"/>
    <d v="2021-06-03T00:00:00"/>
    <n v="22021001304"/>
    <s v="2021 02 1511 609"/>
    <n v="587352.04"/>
    <x v="282"/>
    <s v="ADJUDICAR EXPTE.LOTE 3 DE LA FASE II DE LA ACTUACION EN ARU 29 OCTUBRE EN C/VILLABAÑEZ"/>
    <s v="300"/>
    <s v="MEDINA DEL CAMPO"/>
    <s v="VALLADOLID"/>
    <x v="2"/>
    <s v="PrAbier - Procedimiento Abierto"/>
    <s v="MultiC - MultiCriterio"/>
    <x v="1"/>
    <x v="1"/>
    <s v="6"/>
    <s v="6. Inversiones reales"/>
    <s v="02"/>
    <x v="10"/>
    <s v="1511"/>
    <s v="1511. Planficación y gestión del urbanismo"/>
    <s v="60"/>
    <s v="609"/>
  </r>
  <r>
    <n v="220210019010"/>
    <s v="AD"/>
    <d v="2021-05-03T00:00:00"/>
    <n v="22021003531"/>
    <s v="2021 07 1721 22706"/>
    <n v="11228.8"/>
    <x v="659"/>
    <s v="NECESIDAD DE ASESORAMIENTO TECNICO SOBRE MEDIDA DE BLACK CARBON EN AIRE AMBIENTE. SERVICIO DE MEDIO AMBIENTE"/>
    <s v="220"/>
    <s v="MADRID"/>
    <s v="MADR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06"/>
  </r>
  <r>
    <n v="220210031467"/>
    <s v="AD"/>
    <d v="2021-06-21T00:00:00"/>
    <n v="22021004645"/>
    <s v="2021 08 1651 619"/>
    <n v="11139.12"/>
    <x v="187"/>
    <s v="Modificación alumbrado lateral números pares de Calle Fuente el Sol, entre C/ Tierra y Paseo Jardín Botánico.-"/>
    <s v="220"/>
    <s v="VALLADOLID"/>
    <s v="VALLADOLID"/>
    <x v="2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22097"/>
    <s v="AD"/>
    <d v="2021-05-11T00:00:00"/>
    <n v="22021000558"/>
    <s v="2021 07 1711 610"/>
    <n v="710791.02"/>
    <x v="276"/>
    <s v="CONTRATO MANTENIMIENTO JARDINES ZONA NORTE, HASTA 31/12/2021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0"/>
  </r>
  <r>
    <n v="220210022098"/>
    <s v="AD"/>
    <d v="2021-05-11T00:00:00"/>
    <n v="22021000116"/>
    <s v="2021 07 1711 22799"/>
    <n v="141239.49"/>
    <x v="276"/>
    <s v="CONTRATO MANTENIMIENTO JARDINES ZONA NORTE, HASTA 31/12/2021."/>
    <s v="220"/>
    <s v="MADRID"/>
    <s v="MADRID"/>
    <x v="0"/>
    <s v="PrAbier - Procedimiento Abierto"/>
    <s v="MultiC - MultiCriterio"/>
    <x v="1"/>
    <x v="1"/>
    <s v="2"/>
    <s v="2. Gastos corrientes en bienes y servicios"/>
    <s v="07"/>
    <x v="7"/>
    <s v="1711"/>
    <s v="1711. Parques y jardines"/>
    <s v="22"/>
    <s v="22799"/>
  </r>
  <r>
    <n v="220210030271"/>
    <s v="D"/>
    <d v="2021-06-10T00:00:00"/>
    <n v="22021002364"/>
    <s v="2021 10 2412 22799"/>
    <n v="35280"/>
    <x v="660"/>
    <s v="adjudicación LOTE 1- curso at.sociosanit.en instit.soc 15.120 y en domicilio 20.160-IBECON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99"/>
  </r>
  <r>
    <n v="220210026047"/>
    <s v="AD"/>
    <d v="2021-05-28T00:00:00"/>
    <n v="22021004570"/>
    <s v="2021 04 9204 641"/>
    <n v="10877.9"/>
    <x v="661"/>
    <s v="SUMINISTRO DE LICENCIAS DE MICROSOFT SQL SERVER CON DESTINO AL DEPARTAMENTO DE TECNOLOGÍAS DE LA INFORMACIÓN"/>
    <s v="220"/>
    <s v="MADRID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16732"/>
    <s v="REIN"/>
    <d v="2021-04-21T00:00:00"/>
    <n v="22021000681"/>
    <s v="2021 10 2312 632"/>
    <n v="-10763"/>
    <x v="589"/>
    <s v="TEJIDOS Y TOLDOS: REPOSICIÓN DE TEJIDO/ PUNTO RECTO (PLANTA BAJA Y 1º PLANTA - CPM RONDILLA)"/>
    <s v="891"/>
    <s v="VALLADOLID"/>
    <s v="VALLADOLID"/>
    <x v="1"/>
    <s v="AdDirec - Adjudicación Directa"/>
    <s v="SinC - Sin Criterio"/>
    <x v="0"/>
    <x v="1"/>
    <s v="6"/>
    <s v="6. Inversiones reales"/>
    <s v="10"/>
    <x v="8"/>
    <s v="2312"/>
    <s v="2312. Iniciativas sociales"/>
    <s v="63"/>
    <s v="632"/>
  </r>
  <r>
    <n v="220210022408"/>
    <s v="AD/"/>
    <d v="2021-05-14T00:00:00"/>
    <n v="22021000616"/>
    <s v="2021 08 1651 22100"/>
    <n v="-55000"/>
    <x v="299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1"/>
    <x v="1"/>
    <s v="2"/>
    <s v="2. Gastos corrientes en bienes y servicios"/>
    <s v="08"/>
    <x v="9"/>
    <s v="1651"/>
    <s v="1651. Alumbrado público"/>
    <s v="22"/>
    <s v="22100"/>
  </r>
  <r>
    <n v="220210025049"/>
    <s v="D"/>
    <d v="2021-05-25T00:00:00"/>
    <n v="22019006218"/>
    <s v="2021 08 1532 609"/>
    <n v="12029.36"/>
    <x v="250"/>
    <s v="Control Calidad. Saldo IFS-2019 no iniciado. Ejecución e Instalación de elevadores en calles Ánade, Estornino y Oriol.-"/>
    <s v="300"/>
    <s v="ZARATAN"/>
    <s v="VALLADOL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0"/>
    <s v="609"/>
  </r>
  <r>
    <n v="220210032809"/>
    <s v="AD"/>
    <d v="2021-06-24T00:00:00"/>
    <n v="22021002932"/>
    <s v="2021 10 2312 632"/>
    <n v="1227.3900000000001"/>
    <x v="250"/>
    <s v="servicio de control de calidad de las obras: CUBIERTA CPM LA VICTORIA."/>
    <s v="220"/>
    <s v="ZARATAN"/>
    <s v="VALLADOLID"/>
    <x v="2"/>
    <s v="PrAbier - Procedimiento Abierto"/>
    <s v="SinC - Sin Criterio"/>
    <x v="1"/>
    <x v="1"/>
    <s v="6"/>
    <s v="6. Inversiones reales"/>
    <s v="10"/>
    <x v="8"/>
    <s v="2312"/>
    <s v="2312. Iniciativas sociales"/>
    <s v="63"/>
    <s v="632"/>
  </r>
  <r>
    <n v="220210025888"/>
    <s v="AD"/>
    <d v="2021-05-27T00:00:00"/>
    <n v="22021004436"/>
    <s v="2021 02 9332 22104"/>
    <n v="10328.620000000001"/>
    <x v="410"/>
    <s v="SUMINISTRO VESTUARIO Y EQUIPOS DE PROTECCIÓN INDIVIDUAL EPIs PARA EL PERSONAL DEL CENTRO DE MANTENIMIENTO"/>
    <s v="220"/>
    <s v="VALDELAFUENTE"/>
    <s v="LEON"/>
    <x v="1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104"/>
  </r>
  <r>
    <n v="220210025050"/>
    <s v="D"/>
    <d v="2021-05-25T00:00:00"/>
    <n v="22019006218"/>
    <s v="2021 08 1532 609"/>
    <n v="2223.02"/>
    <x v="251"/>
    <s v="Seguridad y Salud.  IFS-2019 no iniciado. Ejecución e Instalación de elevadores en calles Ánade, Estornino y Oriol.-"/>
    <s v="30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0"/>
    <s v="609"/>
  </r>
  <r>
    <n v="220210033085"/>
    <s v="AD"/>
    <d v="2021-06-29T00:00:00"/>
    <n v="22021005002"/>
    <s v="2021 04 9204 641"/>
    <n v="10164"/>
    <x v="495"/>
    <s v="ADQUISICIÓN DE 14 LICENCIAS CONCURRENTES PARA KNOSYS MANAGER ENTERPRISE"/>
    <s v="220"/>
    <s v="SAN SEBASTIAN DE LOS REYES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23572"/>
    <s v="AD"/>
    <d v="2021-05-24T00:00:00"/>
    <n v="22021004393"/>
    <s v="2021 08 1532 619"/>
    <n v="964.1"/>
    <x v="251"/>
    <s v="Coord Seguridad y Salud en Construcción carril bici C/ Páramo S. Isidro cruce con Pº Juan Carlos I- C/ Milagros.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3573"/>
    <s v="AD"/>
    <d v="2021-05-24T00:00:00"/>
    <n v="22021004385"/>
    <s v="2021 08 1532 619"/>
    <n v="670.85"/>
    <x v="251"/>
    <s v="Coord.Seguridad y Salud Construcción carril bici en Parque Central de Parquesol, 1ª Fase.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0609"/>
    <s v="AD"/>
    <d v="2021-05-06T00:00:00"/>
    <n v="22021003922"/>
    <s v="2021 10 2311 22799"/>
    <n v="10000"/>
    <x v="662"/>
    <s v="CONTRATO MENOR DEL PROGRAMA RESISTENCIA NO VIOLENCIA Y OTRAS ACTUACIONES EN EL ÁMBITO INTRAFAMILIA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99"/>
  </r>
  <r>
    <n v="220210023574"/>
    <s v="AD"/>
    <d v="2021-05-24T00:00:00"/>
    <n v="22021004382"/>
    <s v="2021 08 1532 619"/>
    <n v="626.95000000000005"/>
    <x v="251"/>
    <s v="Coord.Seguridad y Salud Construcción primer tramo acera y carril bici a Fuente Berrocal - Ctra. Fuensaldaña.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4688"/>
    <s v="AD"/>
    <d v="2021-04-12T00:00:00"/>
    <n v="22021003449"/>
    <s v="2021 10 2412 22199"/>
    <n v="10000"/>
    <x v="270"/>
    <s v="MATERIAL DE PINTURA PARA EL C. DE FORMACION PARA EL EMPLEO , CURSO DE P. DECORATIVA II DEL FEBRERO A NOVIEMBRE DE 2021"/>
    <s v="220"/>
    <s v="VALLADOLID"/>
    <s v="VALLADOLID"/>
    <x v="1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2"/>
    <s v="22199"/>
  </r>
  <r>
    <n v="220210024839"/>
    <s v="AD"/>
    <d v="2021-05-25T00:00:00"/>
    <n v="22021004571"/>
    <s v="2021 08 1651 619"/>
    <n v="27.46"/>
    <x v="251"/>
    <s v="Estudios de Seguridad y Salud de 2 lotes del Proyecto de  Remodelación Alumbrado Públizo en Barrio Pajarillos. 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651"/>
    <s v="1651. Alumbrado público"/>
    <s v="61"/>
    <s v="619"/>
  </r>
  <r>
    <n v="220210020090"/>
    <s v="AD"/>
    <d v="2021-05-05T00:00:00"/>
    <n v="22021004202"/>
    <s v="2021 11 3111 22799"/>
    <n v="9680"/>
    <x v="663"/>
    <s v="CONTRATO MENOR CONTROL BIOLOGICO DE MOSQUITOS EN EL TERMINO MUNICIPAL DE VALLADOLID EN 2021"/>
    <s v="220"/>
    <s v="BURGOS"/>
    <s v="BURGOS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9813"/>
    <s v="AD"/>
    <d v="2021-06-09T00:00:00"/>
    <n v="22021004739"/>
    <s v="2021 03 9241 632"/>
    <n v="9667.9"/>
    <x v="490"/>
    <s v="REDACCIÓN DEL PROYECTO DE INSTALACIONES: OBRA DE REHABILITACIÓN DEL ANTIGUO FRONTÓN DE LAS FLORES PARA CENTRO DOTACIONAL"/>
    <s v="220"/>
    <s v="VALLADOLID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3173"/>
    <s v="ADO"/>
    <d v="2021-05-19T00:00:00"/>
    <n v="22021002764"/>
    <s v="2021 08 1651 619"/>
    <n v="1313.08"/>
    <x v="664"/>
    <s v="CERTIFICACION Nº 3 Y FINAL - ENERO-21 - RENOVACIÓN DE ALUMBRADO DEL PSO DE RENACIMIENTO -LOTE 1 - EXPTE: 27/2019"/>
    <s v="240"/>
    <s v="VALLADOLID"/>
    <s v="VALLADOLID"/>
    <x v="2"/>
    <s v="PrAbier - Procedimiento Abierto"/>
    <s v="SinC - Sin Criterio"/>
    <x v="1"/>
    <x v="1"/>
    <s v="6"/>
    <s v="6. Inversiones reales"/>
    <s v="08"/>
    <x v="9"/>
    <s v="1651"/>
    <s v="1651. Alumbrado público"/>
    <s v="61"/>
    <s v="619"/>
  </r>
  <r>
    <n v="220210025617"/>
    <s v="D"/>
    <d v="2021-05-26T00:00:00"/>
    <n v="22021003374"/>
    <s v="2021 06 3232 633"/>
    <n v="32482.66"/>
    <x v="665"/>
    <s v="EXPEDIENTE SE 3/2021. SUSTITUCION CALDERAS DE GAS EN CEIP MACIAS PICAVEA. LOTE 2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28565"/>
    <s v="AD"/>
    <d v="2021-06-03T00:00:00"/>
    <n v="22021004566"/>
    <s v="2021 04 9204 641"/>
    <n v="9196"/>
    <x v="495"/>
    <s v="ADQUISICIÓN DE LIBRERÍA SOFTWARE COMPATIBLE CON EL ENTORNO DE PROGRAMACIÓN .NET"/>
    <s v="220"/>
    <s v="SAN SEBASTIAN DE LOS REYES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23538"/>
    <s v="D"/>
    <d v="2021-05-20T00:00:00"/>
    <n v="22021002203"/>
    <s v="2021 03 9241 213"/>
    <n v="19509.96"/>
    <x v="263"/>
    <s v="LOTE 7: MANTENIMIENTO  ALARMAS ANTI-INTRUSIÓN CON ASISTENCIA 24H EDIFICIOS DEPENDIENTES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14570"/>
    <s v="AD"/>
    <d v="2021-04-12T00:00:00"/>
    <n v="22021003801"/>
    <s v="2021 02 9332 213"/>
    <n v="300"/>
    <x v="263"/>
    <s v="REPARACIONES DE LOS SISTEMAS DE SEGURIDAD EDIF.MUNICIPALES"/>
    <s v="220"/>
    <s v="VALLADOLID"/>
    <s v="VALLADOLID"/>
    <x v="0"/>
    <s v="PrAbier - Procedimiento Abierto"/>
    <s v="UniC - Único Criterio"/>
    <x v="1"/>
    <x v="1"/>
    <s v="2"/>
    <s v="2. Gastos corrientes en bienes y servicios"/>
    <s v="02"/>
    <x v="10"/>
    <s v="9332"/>
    <s v="9332. Mantenimiento de edificios e instalaciones municipales"/>
    <s v="21"/>
    <s v="213"/>
  </r>
  <r>
    <n v="220210033081"/>
    <s v="D"/>
    <d v="2021-06-29T00:00:00"/>
    <n v="22021001178"/>
    <s v="2021 08 1532 619"/>
    <n v="60500"/>
    <x v="368"/>
    <s v="LOTE 2. Contrato de Servicios Coordinación de Seguridad y Salud en Obras y Proyecto del Ayto.Valladolid (Expte.12/2018)"/>
    <s v="300"/>
    <s v="VALLADOLID"/>
    <s v="VALLADOL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31799"/>
    <s v="AD"/>
    <d v="2021-06-22T00:00:00"/>
    <n v="22021003436"/>
    <s v="2021 02 9332 632"/>
    <n v="7769"/>
    <x v="263"/>
    <s v="SEGURIDAD EDIFICIOS CONVENTO CATALINAS Y TEATRO LOPE DE VEGA"/>
    <s v="220"/>
    <s v="VALLADOLID"/>
    <s v="VALLADOLID"/>
    <x v="0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6136"/>
    <s v="AD"/>
    <d v="2021-05-31T00:00:00"/>
    <n v="22021002514"/>
    <s v="2021 11 1621 634"/>
    <n v="824957.43"/>
    <x v="666"/>
    <s v="ADQUISICIÓN 3 VEHICULOS CARGA LATERAL PARA EL SERVICIO DE LIMPIEZA"/>
    <s v="220"/>
    <s v="MADRID"/>
    <s v="MADR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3"/>
    <s v="634"/>
  </r>
  <r>
    <n v="220210026137"/>
    <s v="AD"/>
    <d v="2021-05-31T00:00:00"/>
    <n v="22021003782"/>
    <s v="2021 11 1621 634"/>
    <n v="824957.43"/>
    <x v="666"/>
    <s v="ADQUISICION 3 VEHIUCLOS CARGA LATERAL PARA EL SERVICIO DE LIMPIEZA"/>
    <s v="220"/>
    <s v="MADRID"/>
    <s v="MADR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3"/>
    <s v="634"/>
  </r>
  <r>
    <n v="220210025549"/>
    <s v="AD"/>
    <d v="2021-05-26T00:00:00"/>
    <n v="22021002929"/>
    <s v="2021 10 2312 632"/>
    <n v="2420"/>
    <x v="667"/>
    <s v="dirección de la obra  CUBIERTA CPM LA VICTORIA"/>
    <s v="220"/>
    <s v="LAGUNA DE DUERO"/>
    <s v="VALLADOLID"/>
    <x v="2"/>
    <s v="PrAbier - Procedimiento Abierto"/>
    <s v="MultiC - MultiCriterio"/>
    <x v="1"/>
    <x v="1"/>
    <s v="6"/>
    <s v="6. Inversiones reales"/>
    <s v="10"/>
    <x v="8"/>
    <s v="2312"/>
    <s v="2312. Iniciativas sociales"/>
    <s v="63"/>
    <s v="632"/>
  </r>
  <r>
    <n v="220210016074"/>
    <s v="AD"/>
    <d v="2021-04-19T00:00:00"/>
    <n v="22021003967"/>
    <s v="2021 06 3232 213"/>
    <n v="7260"/>
    <x v="333"/>
    <s v="MANT. NUEVO ASCENSOR PABLO PICASSO 2020 Y COMPRA Y SUSTITUCIÓN DE PIEZAS ASCENSORES AÑO 2021. PLAZO 1 AÑO.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15511"/>
    <s v="AD"/>
    <d v="2021-04-14T00:00:00"/>
    <n v="22021003876"/>
    <s v="2021 03 9241 22706"/>
    <n v="7260"/>
    <x v="668"/>
    <s v="REDACCIÓN DE PROYECTOS (SELECCIONADOS EN PESUPUESTOS PARTICIPATIVOS 2021-2022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97"/>
    <s v="AD"/>
    <d v="2021-04-13T00:00:00"/>
    <n v="22021003594"/>
    <s v="2021 06 2315 22611"/>
    <n v="7260"/>
    <x v="669"/>
    <s v="Talleres de Igualdad a ejecutar en el Centro Municipal de la Igualdad 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4682"/>
    <s v="AD"/>
    <d v="2021-04-12T00:00:00"/>
    <n v="22021003832"/>
    <s v="2021 11 3111 22103"/>
    <n v="7260"/>
    <x v="670"/>
    <s v="SUMINISTRO GASOLEO B PARA EL HORNO INCINERADOR CMPA - AÑO 2021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3"/>
  </r>
  <r>
    <n v="220210016438"/>
    <s v="AD"/>
    <d v="2021-04-20T00:00:00"/>
    <n v="22021003839"/>
    <s v="2021 06 2314 22613"/>
    <n v="7260"/>
    <x v="142"/>
    <s v="Servicio de Asesoría sexológica en Espacios Jóvenes |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13"/>
  </r>
  <r>
    <n v="220210014676"/>
    <s v="AD"/>
    <d v="2021-04-12T00:00:00"/>
    <n v="22021003384"/>
    <s v="2021 08 1532 22706"/>
    <n v="7260"/>
    <x v="671"/>
    <s v="Asistencia Técnica en trabajos de delineación de Arquitectura e Ingenieria.-"/>
    <s v="220"/>
    <s v="CAYUELA"/>
    <s v="BURGOS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706"/>
  </r>
  <r>
    <n v="220210032899"/>
    <s v="AD"/>
    <d v="2021-06-25T00:00:00"/>
    <n v="22021004712"/>
    <s v="2021 07 1711 619"/>
    <n v="42095.9"/>
    <x v="672"/>
    <s v="SUMINISTRO E INSTALACIÓN DE JUJEGOS INFANTILES EN PLAZA DE LA CEBADA. P.S.-9, SISTEMA DINAMICO."/>
    <s v="220"/>
    <s v="MATARO"/>
    <s v="BARCELONA"/>
    <x v="1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1331"/>
    <s v="D"/>
    <d v="2021-06-18T00:00:00"/>
    <n v="22021002498"/>
    <s v="2021 04 9204 626"/>
    <n v="136125"/>
    <x v="673"/>
    <s v="SUMINISTRO Y MAQUETACIÓN DE ORDENADORES PORTÁTILES LOTE 2 , DE JUNIO A DICIEMBRE 2021"/>
    <s v="300"/>
    <s v="POZUELO DE ALARCÓN"/>
    <s v="MADR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14580"/>
    <s v="AD"/>
    <d v="2021-04-12T00:00:00"/>
    <n v="22021003417"/>
    <s v="2021 06 2315 22611"/>
    <n v="7260"/>
    <x v="674"/>
    <s v="Impresión de cartelería para diferentes Campañas de Igualdad hasta el 31/12/2021 / 9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5554"/>
    <s v="AD"/>
    <d v="2021-05-26T00:00:00"/>
    <n v="22021003406"/>
    <s v="2021 10 2312 626"/>
    <n v="7252.59"/>
    <x v="35"/>
    <s v="INSTALACION DE INFRAESTRUCTURA  WIFI EN EL CPM ARCA REAL- DURACION 1 DIA."/>
    <s v="220"/>
    <s v="VALLADOLID"/>
    <s v="VALLADOLID"/>
    <x v="0"/>
    <s v="AdDirec - Adjudicación Directa"/>
    <s v="SinC - Sin Criterio"/>
    <x v="0"/>
    <x v="1"/>
    <s v="6"/>
    <s v="6. Inversiones reales"/>
    <s v="10"/>
    <x v="8"/>
    <s v="2312"/>
    <s v="2312. Iniciativas sociales"/>
    <s v="62"/>
    <s v="626"/>
  </r>
  <r>
    <n v="220210024828"/>
    <s v="AD"/>
    <d v="2021-05-25T00:00:00"/>
    <n v="22021004162"/>
    <s v="2021 07 1711 619"/>
    <n v="7247.9"/>
    <x v="577"/>
    <s v="CARTELERÍA DE SEÑALIZACIÓN PARA PARQUES CANINOS."/>
    <s v="220"/>
    <s v="ELDA"/>
    <s v="ALICANTE"/>
    <x v="1"/>
    <s v="AdDirec - Adjudicación Directa"/>
    <s v="SinC - Sin Criterio"/>
    <x v="0"/>
    <x v="1"/>
    <s v="6"/>
    <s v="6. Inversiones reales"/>
    <s v="07"/>
    <x v="7"/>
    <s v="1711"/>
    <s v="1711. Parques y jardines"/>
    <s v="61"/>
    <s v="619"/>
  </r>
  <r>
    <n v="220210022407"/>
    <s v="AD"/>
    <d v="2021-05-14T00:00:00"/>
    <n v="22021004375"/>
    <s v="2021 06 3231 212"/>
    <n v="7215.41"/>
    <x v="675"/>
    <s v="REPARACION FILTRACIONES Y CANALÓN CUBIERTA ESCUELA INFANTIL EL PRINCIPITO. PLAZO DE EJECUCIÓN: 2 MES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1507"/>
    <s v="AD"/>
    <d v="2021-06-22T00:00:00"/>
    <n v="22021004899"/>
    <s v="2021 09 3301 22706"/>
    <n v="7209.58"/>
    <x v="676"/>
    <s v="CONTRATO MANTENIMIENTO DEL SERVICIO DE ANÁLISIS Y CONTROL DEL OBSERVATORIO CULTURAL Y TURÍSTICO DEL AYTO VALLADOLID"/>
    <s v="220"/>
    <s v="VALLADOLID"/>
    <s v="VALLADOLID"/>
    <x v="0"/>
    <s v="AdDirec - Adjudicación Directa"/>
    <s v="MultiC - MultiCriterio"/>
    <x v="0"/>
    <x v="1"/>
    <s v="2"/>
    <s v="2. Gastos corrientes en bienes y servicios"/>
    <s v="09"/>
    <x v="1"/>
    <s v="3301"/>
    <s v="3301. Dirección del área de cultura"/>
    <s v="22"/>
    <s v="22706"/>
  </r>
  <r>
    <n v="220210014322"/>
    <s v="AD"/>
    <d v="2021-04-09T00:00:00"/>
    <n v="22021003751"/>
    <s v="2021 06 3232 212"/>
    <n v="7205.26"/>
    <x v="120"/>
    <s v="REPARACION SOLADO COLUMPIOS COLEGIOS IÑIGO DE TORO Y MACIAS PICAVEA Y REPARACIÓN DE PELDAÑOS IÑIGO DE TORO. 1 MES."/>
    <s v="220"/>
    <s v="VALLADOLID"/>
    <s v="VALLADOLID"/>
    <x v="2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74"/>
    <s v="AD"/>
    <d v="2021-06-10T00:00:00"/>
    <n v="22021004799"/>
    <s v="2021 11 1321 22706"/>
    <n v="7169.25"/>
    <x v="677"/>
    <s v="REDACCIÓN DEL PROYECTO DE ADAPTACIÓN Y ADECUACIÓN EN ANEXOS DEL DISTRITO 2º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706"/>
  </r>
  <r>
    <n v="220210016439"/>
    <s v="AD"/>
    <d v="2021-04-20T00:00:00"/>
    <n v="22021003848"/>
    <s v="2021 07 1701 22799"/>
    <n v="7139"/>
    <x v="678"/>
    <s v="SISTEMATIZACIÓN DE LA DOCUMENTACIÓN DEL EXPTE 40/2016 Pieza Separada 4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799"/>
  </r>
  <r>
    <n v="220210023575"/>
    <s v="AD"/>
    <d v="2021-05-24T00:00:00"/>
    <n v="22021003750"/>
    <s v="2021 06 3232 632"/>
    <n v="7047.62"/>
    <x v="679"/>
    <s v="SUSTITUCIÓN DE ESCALERA DE ACCESO AL EDIFICIO DE INFANTIL DEL COELGIO PABLO PICASSO. PLAZO 1 MES."/>
    <s v="220"/>
    <s v="VALLADOLID"/>
    <s v="VALLADOLID"/>
    <x v="2"/>
    <s v="AdDirec - Adjudicación Directa"/>
    <s v="UniC - Único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33083"/>
    <s v="D"/>
    <d v="2021-06-29T00:00:00"/>
    <n v="22021003971"/>
    <s v="2021 06 2315 22619"/>
    <n v="31308.639999999999"/>
    <x v="624"/>
    <s v="CONTRATO DE SERVICIOS DE GESTION Y DESARROLLO DE LAS ACTIVIDADES INFANTILES EN EPOCAS DE VACACIONES ESCOLARES 2021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6"/>
    <x v="0"/>
    <s v="2315"/>
    <s v="2315. Políticas de Igualdad e infancia"/>
    <s v="22"/>
    <s v="22619"/>
  </r>
  <r>
    <n v="220210032827"/>
    <s v="AD"/>
    <d v="2021-06-24T00:00:00"/>
    <n v="22021004683"/>
    <s v="2021 01 9206 22799"/>
    <n v="7019.94"/>
    <x v="680"/>
    <s v="CONTRATO DE SERVICIO DE CONSERVACIÓN PREVENTIVA Y DE RESTAURACIÓN DE DOCUMENTOS  Y DE OBRAS PICTÓRICAS, AÑ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799"/>
  </r>
  <r>
    <n v="220210022820"/>
    <s v="AD"/>
    <d v="2021-05-17T00:00:00"/>
    <n v="22021004418"/>
    <s v="2021 11 1321 213"/>
    <n v="7018"/>
    <x v="128"/>
    <s v="MANTENIMIENTO DE SISTEMAS CONTRA INCENDIOS EN EDIFICIOS Y VEHÍCULOS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30270"/>
    <s v="D"/>
    <d v="2021-06-10T00:00:00"/>
    <n v="22021002364"/>
    <s v="2021 10 2412 22799"/>
    <n v="10560"/>
    <x v="681"/>
    <s v="ADJUDICACION LOTE 2 CURSO COMPETENCIAS CLAVE NIVEL 2 CERTIF.SIN PROF.SIN IDIOMAS-MARSDIG."/>
    <s v="30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99"/>
  </r>
  <r>
    <n v="220210025431"/>
    <s v="AD"/>
    <d v="2021-05-25T00:00:00"/>
    <n v="22021004491"/>
    <s v="2021 03 9241 22706"/>
    <n v="18077.400000000001"/>
    <x v="250"/>
    <s v="ASISTENCIA TÉCNICA PARA CONTROL DE LA EJECUCIÓN DE LOS SERVICIOS DE MANTENIMIENTO DE LOS EDIFICIOS DEPENDIENTES DEL SPC"/>
    <s v="220"/>
    <s v="ZARATAN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98"/>
    <s v="AD"/>
    <d v="2021-04-13T00:00:00"/>
    <n v="22021003509"/>
    <s v="2021 01 9206 22001"/>
    <n v="7004.81"/>
    <x v="186"/>
    <s v="12 SUSCRIPCIONES ANUALES AL DIARIO &quot;&quot;EL MUNDO&quot;&quot; PARA LAS DISTINTAS ÁREAS DEL AYUNTAMIENTO DE VALLADOLID, AÑO 2021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31230"/>
    <s v="AD"/>
    <d v="2021-06-16T00:00:00"/>
    <n v="22021001246"/>
    <s v="2021 11 1631 214"/>
    <n v="7000"/>
    <x v="558"/>
    <s v="SUMINISTRO REPUESTOS REPARACION BARREDORAS RAVO (DISTRIBUIDOR DE LA MARCA EN ESPAÑA: SVAT) PARA LIMPIEZA VIARIA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16743"/>
    <s v="AD"/>
    <d v="2021-04-21T00:00:00"/>
    <n v="22021003858"/>
    <s v="2021 08 1301 22706"/>
    <n v="3150"/>
    <x v="530"/>
    <s v="Importe del IVA del contrato de asistencia de un ingeniero industrial para el Centro de Alumbrado del SEPI"/>
    <s v="220"/>
    <s v="VALLADOLID"/>
    <s v="VALLADOLID"/>
    <x v="0"/>
    <s v="PrAbier - Procedimiento Abierto"/>
    <s v="UniC - Único Criterio"/>
    <x v="1"/>
    <x v="1"/>
    <s v="2"/>
    <s v="2. Gastos corrientes en bienes y servicios"/>
    <s v="08"/>
    <x v="9"/>
    <s v="1301"/>
    <s v="1301. Dirección del área de seguridad"/>
    <s v="22"/>
    <s v="22706"/>
  </r>
  <r>
    <n v="220210031324"/>
    <s v="AD"/>
    <d v="2021-06-17T00:00:00"/>
    <n v="22021004953"/>
    <s v="2021 11 1321 626"/>
    <n v="6945.23"/>
    <x v="682"/>
    <s v="ADQUISICIÓN DE ALCOHOLÍMETRO PARA POLICÍA MUNICIPAL (INCLUYE EQUIPO, FUNDA PROTEC., MALETÍN Y 100 BOQUILLAS)"/>
    <s v="220"/>
    <s v="JUMILLA"/>
    <s v="MURCIA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6"/>
  </r>
  <r>
    <n v="220210029569"/>
    <s v="AD"/>
    <d v="2021-06-08T00:00:00"/>
    <n v="22021004786"/>
    <s v="2021 02 1511 22799"/>
    <n v="6897"/>
    <x v="683"/>
    <s v="VALORACIÓN PARCELAS CON OBJETO DE SU POSTERIOR CESIÓN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99"/>
  </r>
  <r>
    <n v="220210023539"/>
    <s v="D"/>
    <d v="2021-05-20T00:00:00"/>
    <n v="22021002197"/>
    <s v="2021 03 9241 213"/>
    <n v="12903.83"/>
    <x v="320"/>
    <s v="LOTE 1: MANTENIMIENTO CALEFACCIÓN Y CLIMATIZACIÓN EDIFICIOS DEPENDIENTES DEL SERVICIO DE PARTICIPACIÓN CIUDADANA"/>
    <s v="300"/>
    <s v="VALLADOLID"/>
    <s v="MADR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31353"/>
    <s v="D"/>
    <d v="2021-06-18T00:00:00"/>
    <n v="22021003658"/>
    <s v="2021 03 9241 635"/>
    <n v="20289.29"/>
    <x v="415"/>
    <s v="LOTE 1: MOBILIARIO GENERAL CENTROS CÍVICOS"/>
    <s v="300"/>
    <s v="VALLADOLID"/>
    <s v="VALLADOLID"/>
    <x v="1"/>
    <s v="PrAbier - Procedimiento Abierto"/>
    <s v="UniC - Único Criterio"/>
    <x v="1"/>
    <x v="1"/>
    <s v="6"/>
    <s v="6. Inversiones reales"/>
    <s v="03"/>
    <x v="2"/>
    <s v="9241"/>
    <s v="9241. Participación ciudadana"/>
    <s v="63"/>
    <s v="635"/>
  </r>
  <r>
    <n v="220210025226"/>
    <s v="AD"/>
    <d v="2021-05-25T00:00:00"/>
    <n v="22021004051"/>
    <s v="2021 08 1532 619"/>
    <n v="70213.539999999994"/>
    <x v="684"/>
    <s v="Construcción Primer Tramo de acera y carril bici a Fuente Berrocal entre PK 1-1990 y PK 2-280 de Ctra. Fuensaldaña.-"/>
    <s v="220"/>
    <s v="CASTRONUEVO DE ESGÜEVA"/>
    <s v="VALLAL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4372"/>
    <s v="AD"/>
    <d v="2021-04-09T00:00:00"/>
    <n v="22021003706"/>
    <s v="2021 03 9241 213"/>
    <n v="6700.56"/>
    <x v="320"/>
    <s v="SUMINISTRO E INSTALACIÓN DE MATERIALES PARA REPARACIONES NECESARIAS EN CALEFACCIÓN DE DISTINTOS CENTROS DEL SPC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8979"/>
    <s v="REIN"/>
    <d v="2021-04-30T00:00:00"/>
    <n v="22021002900"/>
    <s v="2021 04 9204 216"/>
    <n v="-42768.71"/>
    <x v="331"/>
    <s v="ASISTENCIA TÉCNICA OPERACIÓN, CAU, Y MANTENIMIENTO  DEL SOFTWARE DE BASE Y COMUNICACIONES LOTE 2, DICIEMBRE"/>
    <s v="891"/>
    <s v="VALLADOLID"/>
    <s v="VALLADOL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1"/>
    <s v="216"/>
  </r>
  <r>
    <n v="220210014321"/>
    <s v="AD"/>
    <d v="2021-04-09T00:00:00"/>
    <n v="22021003791"/>
    <s v="2021 11 1361 22199"/>
    <n v="6430"/>
    <x v="685"/>
    <s v="Mangueras contraincendios (calidad 4K y sup HP), de 25 y 45 mm. de diámetro para bajas,medias y alltas presiones;SEISYPC"/>
    <s v="220"/>
    <s v="SEVILLA"/>
    <s v="SEVILL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1332"/>
    <s v="D"/>
    <d v="2021-06-18T00:00:00"/>
    <n v="22021002499"/>
    <s v="2021 04 9204 626"/>
    <n v="54450"/>
    <x v="686"/>
    <s v="SUMINISTRO, INSTALACIÓN, CONFIGURACIÓN Y PUESTA EN MARCHA DE ESTACIONES DE TRABAJO, LOTE 3 DE JUNIO A DICIEMBRE 2021"/>
    <s v="300"/>
    <s v="BARCELONA"/>
    <s v="BARCELONA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20461"/>
    <s v="AD"/>
    <d v="2021-05-06T00:00:00"/>
    <n v="22021004172"/>
    <s v="2021 10 2316 22616"/>
    <n v="6402"/>
    <x v="687"/>
    <s v="IMPARTICIÓN DE ACCIONES FORMATIVAS MIXTAS Y PRESENCIALES PARA PERSONAS INMIGRANTES Y OTROS COLECTIVOS.2021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6"/>
    <s v="2316. Mediación comunitaria"/>
    <s v="22"/>
    <s v="22616"/>
  </r>
  <r>
    <n v="220210024827"/>
    <s v="AD"/>
    <d v="2021-05-25T00:00:00"/>
    <n v="22021004136"/>
    <s v="2021 11 1361 632"/>
    <n v="6379.12"/>
    <x v="189"/>
    <s v="Adquisición, inst., puesta en serv y legalización de 3 ptos de recarga para vehículos eléctr SEISYPC"/>
    <s v="220"/>
    <s v="VALLADOLID"/>
    <s v="VALLADOLID"/>
    <x v="6"/>
    <s v="AdDirec - Adjudicación Directa"/>
    <s v="SinC - Sin Criterio"/>
    <x v="0"/>
    <x v="1"/>
    <s v="6"/>
    <s v="6. Inversiones reales"/>
    <s v="11"/>
    <x v="5"/>
    <s v="1361"/>
    <s v="1361. Prevención y extinción de incencios"/>
    <s v="63"/>
    <s v="632"/>
  </r>
  <r>
    <n v="220210033112"/>
    <s v="AD"/>
    <d v="2021-06-29T00:00:00"/>
    <n v="22021004828"/>
    <s v="2021 08 1532 619"/>
    <n v="6352.2"/>
    <x v="688"/>
    <s v="Contrato de A.T. de Modificación del proyecto de remodelación de la Avda. Reyes Católicos.-"/>
    <s v="220"/>
    <s v="FUENLABRADA"/>
    <s v="MADR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8168"/>
    <s v="AD"/>
    <d v="2021-06-02T00:00:00"/>
    <n v="22021003715"/>
    <s v="2021 11 3111 632"/>
    <n v="6267.8"/>
    <x v="689"/>
    <s v="REDACCION DEL PROYECTO Y LA DIRECCION FACULTATIVA DE LA OBRA DE MEJORA DE LAS INSTALACIONES DEL CMPA"/>
    <s v="220"/>
    <s v="VALLADOLID"/>
    <s v="VALLADOLID"/>
    <x v="0"/>
    <s v="AdDirec - Adjudicación Directa"/>
    <s v="SinC - Sin Criterio"/>
    <x v="0"/>
    <x v="1"/>
    <s v="6"/>
    <s v="6. Inversiones reales"/>
    <s v="11"/>
    <x v="5"/>
    <s v="3111"/>
    <s v="3111. Protección de la salubridad pública"/>
    <s v="63"/>
    <s v="632"/>
  </r>
  <r>
    <n v="220210030507"/>
    <s v="ADO"/>
    <d v="2021-06-11T00:00:00"/>
    <n v="22021004849"/>
    <s v="2021 11 1361 22104"/>
    <n v="13271.28"/>
    <x v="690"/>
    <s v="SUMINISTRO DE 150 SUDADERAS - POLAR RESCATE (SPSC 8/2020 - LOTE 2); SEISYPC."/>
    <s v="240"/>
    <s v="ARNEDO"/>
    <s v="LA RIOJA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04"/>
  </r>
  <r>
    <n v="220210026143"/>
    <s v="AD"/>
    <d v="2021-05-31T00:00:00"/>
    <n v="22021004662"/>
    <s v="2021 06 2315 22706"/>
    <n v="6171"/>
    <x v="691"/>
    <s v="REDACCIÓN DE PROYECTO BÁSICO Y DE EJECUCCIÓN DE PABELLÓN MULTIUSOS PARA EL CENTRO MUNICIPAL DE LA IGUALDAD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06"/>
  </r>
  <r>
    <n v="220210030859"/>
    <s v="AD"/>
    <d v="2021-06-14T00:00:00"/>
    <n v="22021004790"/>
    <s v="2021 07 1721 22706"/>
    <n v="6110.5"/>
    <x v="494"/>
    <s v="DISEÑO Y PUESTA EN MARCHA DE LA WEB DE LA AGENDA URBANA 2030.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06"/>
  </r>
  <r>
    <n v="220210020358"/>
    <s v="D"/>
    <d v="2021-05-05T00:00:00"/>
    <n v="22021002458"/>
    <s v="2021 11 1321 22799"/>
    <n v="423742"/>
    <x v="692"/>
    <s v="CONTRATACIÓN DEL MANTENIMIENTO DEL SERVICIO DE TELECOMUNICACIONES DE  POLICÍA Y SEISPC EJERCICIO 2021."/>
    <s v="300"/>
    <s v="BARCELONA"/>
    <s v="BARCELON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20615"/>
    <s v="AD"/>
    <d v="2021-05-06T00:00:00"/>
    <n v="22021004158"/>
    <s v="2021 06 2315 22611"/>
    <n v="6050"/>
    <x v="162"/>
    <s v="DIFUSION ACTIVIDADES IGUALDAD Y VIOLENCIA DE GENERO EN CENTRO MUNICIPAL DE LA IGUALDAD | 1 DIA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0"/>
    <s v="2315"/>
    <s v="2315. Políticas de Igualdad e infancia"/>
    <s v="22"/>
    <s v="22611"/>
  </r>
  <r>
    <n v="220210016084"/>
    <s v="AD"/>
    <d v="2021-04-19T00:00:00"/>
    <n v="22021003910"/>
    <s v="2021 04 3121 22799"/>
    <n v="6000"/>
    <x v="135"/>
    <s v="Recon. médicos empleados nuevo ingreso durante los meses de enero a marzo. Departamento de Prevencion y Salud Laboral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31468"/>
    <s v="D/"/>
    <d v="2021-06-21T00:00:00"/>
    <n v="22021002458"/>
    <s v="2021 11 1321 22799"/>
    <n v="-54144.800000000003"/>
    <x v="692"/>
    <s v="REAJUSTE DE ANUALIDADES  CONTRATO MANTENIMIENTO TELECOMUNICACIONES ( ENTRADA EN VIGOR EN FECHA POSTERIOR)"/>
    <s v="300"/>
    <s v="BARCELONA"/>
    <s v="BARCELON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18982"/>
    <s v="AD"/>
    <d v="2021-04-30T00:00:00"/>
    <n v="22021004122"/>
    <s v="2021 01 9205 22199"/>
    <n v="5996.08"/>
    <x v="693"/>
    <s v="ADJUDICA ADQUISICIÓN RECUBRIMIENTO BATERIAS TINTA Y AGUA MÁQUINA OFFSET IMPRENTA MUNICIPAL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99"/>
  </r>
  <r>
    <n v="220210030626"/>
    <s v="AD"/>
    <d v="2021-06-11T00:00:00"/>
    <n v="22021004659"/>
    <s v="2021 04 9202 22607"/>
    <n v="5950"/>
    <x v="557"/>
    <s v="REALIZACIÓN PRUEBAS FÍSICAS OPOSICIÓN 68 PEONES DE LIMPIEZA. -MJSI-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2842"/>
    <s v="AD"/>
    <d v="2021-05-18T00:00:00"/>
    <n v="22021004157"/>
    <s v="2021 04 9341 22699"/>
    <n v="5941.5"/>
    <x v="407"/>
    <s v="FACTURACIÓN COMISIÓN S/VENTAS FACTURADAS EN DATÁFONOS 2021"/>
    <s v="220"/>
    <s v="MALAGA"/>
    <s v="MALAGA"/>
    <x v="0"/>
    <s v="AdDirec - Adjudicación Directa"/>
    <s v="SinC - Sin Criterio"/>
    <x v="0"/>
    <x v="1"/>
    <s v="2"/>
    <s v="2. Gastos corrientes en bienes y servicios"/>
    <s v="04"/>
    <x v="3"/>
    <s v="9341"/>
    <s v="9341. Tesorería y recaudación"/>
    <s v="22"/>
    <s v="22699"/>
  </r>
  <r>
    <n v="220210020445"/>
    <s v="AD"/>
    <d v="2021-05-06T00:00:00"/>
    <n v="22021004283"/>
    <s v="2021 08 1532 210"/>
    <n v="5910.85"/>
    <x v="694"/>
    <s v="Suministro e instalación de revestimiento cubierta de TEMPLETE en Plaza Diego Criado del Rey"/>
    <s v="220"/>
    <s v="MEDINA DEL CAMPO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6150"/>
    <s v="AD"/>
    <d v="2021-05-31T00:00:00"/>
    <n v="22021004577"/>
    <s v="2021 03 9241 22602"/>
    <n v="5900"/>
    <x v="695"/>
    <s v="MASCARILLAS PERSONALIZADAS PROGRAMA ACTUVA (2.000 UD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3121"/>
    <s v="AD"/>
    <d v="2021-06-30T00:00:00"/>
    <n v="22021005082"/>
    <s v="2021 10 2311 635"/>
    <n v="5844.78"/>
    <x v="73"/>
    <s v="Adquisición de mobiliario para dependencias CEAS y centros de Intervención Social 2021"/>
    <s v="220"/>
    <s v="VALLADOLID"/>
    <s v="VALLADOLID"/>
    <x v="1"/>
    <s v="AdDirec - Adjudicación Directa"/>
    <s v="MultiC - MultiCriterio"/>
    <x v="0"/>
    <x v="1"/>
    <s v="6"/>
    <s v="6. Inversiones reales"/>
    <s v="10"/>
    <x v="8"/>
    <s v="2311"/>
    <s v="2311. Intervención social"/>
    <s v="63"/>
    <s v="635"/>
  </r>
  <r>
    <n v="220210031333"/>
    <s v="D"/>
    <d v="2021-06-18T00:00:00"/>
    <n v="22021002500"/>
    <s v="2021 04 9204 641"/>
    <n v="101640"/>
    <x v="696"/>
    <s v="SUMINISTRO DE LICENCIAS DE OFIMÁTICA, LOTE 4 , DE JUNIO A DICIEMBRE 2021"/>
    <s v="300"/>
    <s v="FUENSALDAÑA"/>
    <s v="VALLADOLID"/>
    <x v="1"/>
    <s v="PrAbier - Procedimiento Abierto"/>
    <s v="UniC - Único Criterio"/>
    <x v="1"/>
    <x v="1"/>
    <s v="6"/>
    <s v="6. Inversiones reales"/>
    <s v="04"/>
    <x v="3"/>
    <s v="9204"/>
    <s v="9204. Tecnologías de la información y comunicación"/>
    <s v="64"/>
    <s v="641"/>
  </r>
  <r>
    <n v="220210021020"/>
    <s v="AD"/>
    <d v="2021-05-07T00:00:00"/>
    <n v="22021004319"/>
    <s v="2021 05 4331 22799"/>
    <n v="5808"/>
    <x v="697"/>
    <s v="CONTRATO ASISTENCIA PARA ELABORACIÓN PLIEGOS SUMINISTRO E INSTALACIÓN DE MEDIOS AUDIOVISUALES AGENCIA DE INNOVACIÓN."/>
    <s v="220"/>
    <s v="RENEDO DE ESGUEVA"/>
    <s v="VALLADOL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99"/>
  </r>
  <r>
    <n v="220210032894"/>
    <s v="AD"/>
    <d v="2021-06-25T00:00:00"/>
    <n v="22021005034"/>
    <s v="2021 05 4314 22706"/>
    <n v="5808"/>
    <x v="278"/>
    <s v="GESTION Y EXPLOTACION DEL PUNTO LIMPIO DEL PUESTO 29 DELO MERCADO DE LAS DELICIAS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14"/>
    <s v="4314. Fomento del comercio"/>
    <s v="22"/>
    <s v="22706"/>
  </r>
  <r>
    <n v="220200073766"/>
    <s v="AD"/>
    <d v="2021-06-28T00:00:00"/>
    <n v="22020007665"/>
    <s v="2021 01 9206 22001"/>
    <n v="5804.6"/>
    <x v="186"/>
    <s v="RENOVACIÓN DE 10 SUSCRIPCIONES ANUALES A LA PUBLICACIÓN EL MUNDO, DEL 03/01/2020 AL 02/01/2021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31335"/>
    <s v="D"/>
    <d v="2021-06-18T00:00:00"/>
    <n v="22021002501"/>
    <s v="2021 04 9204 641"/>
    <n v="11459.87"/>
    <x v="696"/>
    <s v="SUMINISTRO DE DOS LICENCIAS DE WINDOWS 2019 DATACENTER Y UNA LICENCIA DE WINDOWS SERVER2019 ,LOTE 6, JUNIO A AGOSTO 2021"/>
    <s v="300"/>
    <s v="FUENSALDAÑA"/>
    <s v="VALLADOLID"/>
    <x v="1"/>
    <s v="PrAbier - Procedimiento Abierto"/>
    <s v="UniC - Único Criterio"/>
    <x v="1"/>
    <x v="1"/>
    <s v="6"/>
    <s v="6. Inversiones reales"/>
    <s v="04"/>
    <x v="3"/>
    <s v="9204"/>
    <s v="9204. Tecnologías de la información y comunicación"/>
    <s v="64"/>
    <s v="641"/>
  </r>
  <r>
    <n v="220210023158"/>
    <s v="AD"/>
    <d v="2021-05-19T00:00:00"/>
    <n v="22021004455"/>
    <s v="2021 06 2315 626"/>
    <n v="5664.44"/>
    <x v="151"/>
    <s v="EQUIPAMIENTO INFORMATICO CENTRO MUNICIPAL DE LA IGUALDAD / 1 DIA"/>
    <s v="220"/>
    <s v="BOECILLO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6"/>
  </r>
  <r>
    <n v="220210018970"/>
    <s v="D"/>
    <d v="2021-04-28T00:00:00"/>
    <n v="22021002219"/>
    <s v="2021 09 3341 22799"/>
    <n v="17746.669999999998"/>
    <x v="698"/>
    <s v="CONTRATO DE SERVICIOS DE MANTENIMIENTO DE LOS PORTALES WEB DE CULTURA Y TURISMO"/>
    <s v="300"/>
    <s v="ZAMORA"/>
    <s v="ZAMORA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31453"/>
    <s v="AD"/>
    <d v="2021-06-21T00:00:00"/>
    <n v="22021004607"/>
    <s v="2021 11 1321 22799"/>
    <n v="92941.18"/>
    <x v="699"/>
    <s v="2ª  PRÓRROGA  CONTRATO RETIRADA  VEHÍCULOS DE LA VÍA PÚBLICA  DEL 25 DE SEP. AL 31 DE DIC. DE 2021."/>
    <s v="220"/>
    <s v="SEGOVIA"/>
    <s v="SEGOVI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24829"/>
    <s v="AD"/>
    <d v="2021-05-25T00:00:00"/>
    <n v="22021004185"/>
    <s v="2021 08 1651 619"/>
    <n v="5623.67"/>
    <x v="187"/>
    <s v="Cambio farolas instalando placas de led  y modificar linstalación de alumbrado en Calle Pasión. Plazo ejecución: 2 meses"/>
    <s v="220"/>
    <s v="VALLADOLID"/>
    <s v="VALLADOLID"/>
    <x v="2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32826"/>
    <s v="AD"/>
    <d v="2021-06-24T00:00:00"/>
    <n v="22021004681"/>
    <s v="2021 09 3341 22799"/>
    <n v="5515.66"/>
    <x v="680"/>
    <s v="CONTRATO CONSERVACION Y RESTAURACION DE DIVERSOS DOCUMENTOS Y OBRAS PICTORICAS DEL AYUNTAMIENT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99"/>
  </r>
  <r>
    <n v="220210023571"/>
    <s v="AD"/>
    <d v="2021-05-24T00:00:00"/>
    <n v="22021004409"/>
    <s v="2021 05 4331 609"/>
    <n v="5438.95"/>
    <x v="700"/>
    <s v="Contrato de servicios de direccion de Obras de Renaturalización del Polígono Industrial de Argales(Indnatur_0599)"/>
    <s v="220"/>
    <s v="SIMANCAS"/>
    <s v="VALLADOLID"/>
    <x v="0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  <r>
    <n v="220210033125"/>
    <s v="AD"/>
    <d v="2021-06-30T00:00:00"/>
    <n v="22021005027"/>
    <s v="2021 06 3321 22001"/>
    <n v="5369.22"/>
    <x v="701"/>
    <s v="SUSCRIPCIÓN A REVISTAS DE LA EMPRESA RBA, PARA BIBLIOTECAS MUNICIPALES AÑO 2021."/>
    <s v="220"/>
    <s v="BARCELONA"/>
    <s v="BARCELONA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14258"/>
    <s v="AD"/>
    <d v="2021-04-07T00:00:00"/>
    <n v="22021002853"/>
    <s v="2021 04 9204 641"/>
    <n v="14421.25"/>
    <x v="619"/>
    <s v="MTO. Y ASIST. TÉCNICA DEL SISTEMA DE GESTIÓN DE PERSONAL Y NÓMINA, BASADO EN META4 E-MIND, PRIMERA PRÓRROGA"/>
    <s v="220"/>
    <s v="SEVILLA"/>
    <s v="SEVILLA"/>
    <x v="0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24830"/>
    <s v="AD"/>
    <d v="2021-05-25T00:00:00"/>
    <n v="22021004357"/>
    <s v="2021 07 1711 619"/>
    <n v="3485.77"/>
    <x v="250"/>
    <s v="CONTROL DE CALIDAD, REMODELACION PARQUE ALAMEDA COMO ESPACIO VERDE MULTIFUNCIONAL."/>
    <s v="220"/>
    <s v="ZARATAN"/>
    <s v="VALLADOLID"/>
    <x v="0"/>
    <s v="AdDirec - Adjudicación Directa"/>
    <s v="SinC - Sin Criterio"/>
    <x v="0"/>
    <x v="1"/>
    <s v="6"/>
    <s v="6. Inversiones reales"/>
    <s v="07"/>
    <x v="7"/>
    <s v="1711"/>
    <s v="1711. Parques y jardines"/>
    <s v="61"/>
    <s v="619"/>
  </r>
  <r>
    <n v="220210031354"/>
    <s v="D"/>
    <d v="2021-06-18T00:00:00"/>
    <n v="22021003659"/>
    <s v="2021 03 9241 635"/>
    <n v="6889.75"/>
    <x v="702"/>
    <s v="LOTE 2: MOBILIARIO CENTRO SEGUNDO MONTES"/>
    <s v="300"/>
    <s v="VALLADOLID"/>
    <s v="VALLADOLID"/>
    <x v="1"/>
    <s v="PrAbier - Procedimiento Abierto"/>
    <s v="UniC - Único Criterio"/>
    <x v="1"/>
    <x v="1"/>
    <s v="6"/>
    <s v="6. Inversiones reales"/>
    <s v="03"/>
    <x v="2"/>
    <s v="9241"/>
    <s v="9241. Participación ciudadana"/>
    <s v="63"/>
    <s v="635"/>
  </r>
  <r>
    <n v="220210014477"/>
    <s v="D"/>
    <d v="2021-04-09T00:00:00"/>
    <n v="22021003381"/>
    <s v="2021 11 1361 22199"/>
    <n v="1199.8699999999999"/>
    <x v="410"/>
    <s v="ACUERO MARCO V.36/2017; LOTE 1; RECAMBIOS SANITARIOS CALLEJÓN DE LA ALCOHOLERA;SEISYPC."/>
    <s v="300"/>
    <s v="VALDELAFUENTE"/>
    <s v="LEON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99"/>
  </r>
  <r>
    <n v="220210030625"/>
    <s v="AD"/>
    <d v="2021-06-11T00:00:00"/>
    <n v="22021004657"/>
    <s v="2021 04 9202 16204"/>
    <n v="5150"/>
    <x v="703"/>
    <s v="100 RELOJES.  HOMENAJE A JUBILADOS Y FALLECIDOS STA. RITA 2021. -mjsi-"/>
    <s v="220"/>
    <s v="VALLADOLID"/>
    <s v="VALLADOLID"/>
    <x v="1"/>
    <s v="AdDirec - Adjudicación Directa"/>
    <s v="UniC - Único Criterio"/>
    <x v="0"/>
    <x v="1"/>
    <s v="1"/>
    <s v="1. Gastos de personal"/>
    <s v="04"/>
    <x v="3"/>
    <s v="9202"/>
    <s v="9202. Gestión de recursos humanos"/>
    <s v="16"/>
    <s v="16204"/>
  </r>
  <r>
    <n v="220210033119"/>
    <s v="AD"/>
    <d v="2021-06-30T00:00:00"/>
    <n v="22021005111"/>
    <s v="2021 03 9241 22609"/>
    <n v="5115"/>
    <x v="704"/>
    <s v="ACTIVIDADES DE CIRCO PARA NIÑOS EN EL CENTRO SANTIAGO LÓPEZ (ENERO-MARZO 2021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9254"/>
    <s v="AD"/>
    <d v="2021-06-07T00:00:00"/>
    <n v="22021004755"/>
    <s v="2021 02 9332 632"/>
    <n v="5043.05"/>
    <x v="705"/>
    <s v="ADQUISICIÓN MATERIAL Y MONTEJE ALUMINIO PARA NAVE MULTIUSOS DEL RECINTO PINGÜINOS"/>
    <s v="220"/>
    <s v="PALENCIA"/>
    <s v="PALENCIA"/>
    <x v="1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31227"/>
    <s v="D"/>
    <d v="2021-06-16T00:00:00"/>
    <n v="22021000004"/>
    <s v="2021 04 3121 22706"/>
    <n v="30000"/>
    <x v="706"/>
    <s v="PRESTACION SERVICIOS LABORATORIO ANALISIS CLINICOS PARA EL DEPARTAMENTO DE PREVENCION Y SALUD LABORAL"/>
    <s v="300"/>
    <s v="ESPLUGUES DE LLOBREGAT"/>
    <s v="BARCELONA"/>
    <x v="0"/>
    <s v="PrAbier - Procedimiento Abierto"/>
    <s v="SinC - Sin Criterio"/>
    <x v="1"/>
    <x v="1"/>
    <s v="2"/>
    <s v="2. Gastos corrientes en bienes y servicios"/>
    <s v="04"/>
    <x v="3"/>
    <s v="3121"/>
    <s v="3121. Prevención y salud laboral"/>
    <s v="22"/>
    <s v="22706"/>
  </r>
  <r>
    <n v="220210020441"/>
    <s v="AD"/>
    <d v="2021-05-06T00:00:00"/>
    <n v="22021004299"/>
    <s v="2021 07 1701 22799"/>
    <n v="4961"/>
    <x v="494"/>
    <s v="Maquetación de la Agenda Urbana de Valladolid 2030 (AUVA 2030)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799"/>
  </r>
  <r>
    <n v="220210024825"/>
    <s v="AD"/>
    <d v="2021-05-25T00:00:00"/>
    <n v="22021003232"/>
    <s v="2021 03 9241 632"/>
    <n v="4943.18"/>
    <x v="120"/>
    <s v="Subsanación  de los defectos detectados en el CC Delicias  provocados por los desprendimientos del falso techo."/>
    <s v="220"/>
    <s v="VALLADOLID"/>
    <s v="VALLADOLID"/>
    <x v="2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31220"/>
    <s v="AD"/>
    <d v="2021-06-15T00:00:00"/>
    <n v="22021004833"/>
    <s v="2021 11 1321 623"/>
    <n v="4900.5"/>
    <x v="423"/>
    <s v="SUMINISTRO E INSTALACIÓN DE CALDERA EN EL EDIFICIO DE JEFATURA DE LA POLICÍA MUNICIPAL."/>
    <s v="220"/>
    <s v="VALLADOLID"/>
    <s v="VALLADOLID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30277"/>
    <s v="AD"/>
    <d v="2021-06-10T00:00:00"/>
    <n v="22021004804"/>
    <s v="2021 05 4331 22799"/>
    <n v="4773.45"/>
    <x v="707"/>
    <s v="TRADUCCIÓN PROFESIONAL DEL INGLÉS AL CASTELLANO DEL DOCUMENTO &quot;&quot;LA ECONOMÍA CIRCULAR EN VALLADOLID, DE LA OCDE&quot;&quot;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15512"/>
    <s v="AD"/>
    <d v="2021-04-14T00:00:00"/>
    <n v="22021003366"/>
    <s v="2021 06 3231 212"/>
    <n v="4729.59"/>
    <x v="675"/>
    <s v="REPARACION FILTRACIONES EN LA CUBIERTA DE LA ESCUELA INFANTIL MUNICIPAL EL PRINCIPITO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1328"/>
    <s v="AD"/>
    <d v="2021-06-17T00:00:00"/>
    <n v="22021004932"/>
    <s v="2021 05 4331 22799"/>
    <n v="4579.8500000000004"/>
    <x v="708"/>
    <s v="Preparación y entrega de propuesta de Cooperación Triangular al Programa europeo Adelante UE, en sus dos fase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24846"/>
    <s v="AD"/>
    <d v="2021-05-25T00:00:00"/>
    <n v="22021004540"/>
    <s v="2021 03 9241 213"/>
    <n v="4512.09"/>
    <x v="320"/>
    <s v="REPARACIÓN MÁQUINAS ROOF TOP Y SUELO RADIANTE CC PARQUESOL Y TEATRO PARQUESOL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5618"/>
    <s v="D"/>
    <d v="2021-05-26T00:00:00"/>
    <n v="22021003374"/>
    <s v="2021 06 3232 633"/>
    <n v="45980"/>
    <x v="449"/>
    <s v="EXPEDIENTE SE 3/2021. SUSTITUCION CALDERAS DE GAS EN COLEGIO CONSTANZA MARTIN. LOTE 3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24823"/>
    <s v="AD"/>
    <d v="2021-05-25T00:00:00"/>
    <n v="22021003225"/>
    <s v="2021 03 9241 635"/>
    <n v="4473.3900000000003"/>
    <x v="415"/>
    <s v="ADQUISICION MESAS Y SILLAS CANAL CASTILLA POR REQUERIMIENTO CUMPL.GARANTIA ESTABL EN ADJUDICACION LOTE2 EXP SEPC 27-2017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5"/>
  </r>
  <r>
    <n v="220210022800"/>
    <s v="AD/"/>
    <d v="2021-05-17T00:00:00"/>
    <n v="22021000292"/>
    <s v="2021 11 1361 213"/>
    <n v="-3726.8"/>
    <x v="423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1"/>
    <s v="213"/>
  </r>
  <r>
    <n v="220210032815"/>
    <s v="AD"/>
    <d v="2021-06-24T00:00:00"/>
    <n v="22021005004"/>
    <s v="2021 02 9332 632"/>
    <n v="4434.6499999999996"/>
    <x v="709"/>
    <s v="REPARACIÓN RAMAL ENTERRADO COLECTOR SANEAMIENTO EDIFICIO MUNICIPAL EN PLAZA STA.ANA"/>
    <s v="220"/>
    <s v="GALAPAGAR"/>
    <s v="MADRID"/>
    <x v="0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16740"/>
    <s v="AD"/>
    <d v="2021-04-21T00:00:00"/>
    <n v="22021003968"/>
    <s v="2021 01 9205 213"/>
    <n v="4322.68"/>
    <x v="710"/>
    <s v="ADJUDICA REPARACIÓN MÁQUINA PLEGADORA - IMPRENTA"/>
    <s v="220"/>
    <s v="ILLESCAS"/>
    <s v="TOLEDO"/>
    <x v="0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1"/>
    <s v="213"/>
  </r>
  <r>
    <n v="220210028159"/>
    <s v="AD"/>
    <d v="2021-06-01T00:00:00"/>
    <n v="22021004649"/>
    <s v="2021 09 3341 22602"/>
    <n v="4235"/>
    <x v="711"/>
    <s v="Publicidad en monografico con motivo del Centenario Miguel Delibes"/>
    <s v="220"/>
    <s v="MADRID"/>
    <s v="MADR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2"/>
  </r>
  <r>
    <n v="220200043368"/>
    <s v="AD"/>
    <d v="2021-06-28T00:00:00"/>
    <n v="22020005607"/>
    <s v="2021 02 1501 22706"/>
    <n v="4235"/>
    <x v="490"/>
    <s v="CONFEC.DOCUM.TÉC.DEL PROYECTO ADAPT.LOCAL PARA CENTRO SALUD LABORAL Y DIREC.FACULTAT.EN LAS FRANCESA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706"/>
  </r>
  <r>
    <n v="220210024847"/>
    <s v="AD"/>
    <d v="2021-05-25T00:00:00"/>
    <n v="22021004541"/>
    <s v="2021 03 9241 213"/>
    <n v="4191.96"/>
    <x v="320"/>
    <s v="SUMINISTRO E INSTALACIÓN BATERIA CALOR EN CC J.L. MOSQUERA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2799"/>
    <s v="AD/"/>
    <d v="2021-05-17T00:00:00"/>
    <n v="22021000293"/>
    <s v="2021 11 1361 213"/>
    <n v="-4583.33"/>
    <x v="423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1"/>
    <s v="213"/>
  </r>
  <r>
    <n v="220210014814"/>
    <s v="ADO"/>
    <d v="2021-04-13T00:00:00"/>
    <n v="22021003835"/>
    <s v="2021 04 9204 22200"/>
    <n v="485.74"/>
    <x v="426"/>
    <s v="SERVICIO CONEXIÓN REDUNDANTE A INTERNET. LOTE 1 DICIEMBRE"/>
    <s v="240"/>
    <s v="TOLEDO"/>
    <s v="TOLEDO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31330"/>
    <s v="D"/>
    <d v="2021-06-18T00:00:00"/>
    <n v="22021002497"/>
    <s v="2021 04 9204 626"/>
    <n v="266200"/>
    <x v="712"/>
    <s v="SUMINISTRO, INST., CONF. Y PUESTA EN MARCHA DE ORDENADORES PERSONALES Y MONITORES, LOTE 1 (DE JUNIO A DICIEMBRE 2021)"/>
    <s v="300"/>
    <s v="MADRID"/>
    <s v="MADR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18969"/>
    <s v="AD"/>
    <d v="2021-04-28T00:00:00"/>
    <n v="22021004173"/>
    <s v="2021 06 3261 22799"/>
    <n v="4000.01"/>
    <x v="713"/>
    <s v="ACTIVIDADES EXTRAESCOLARES RECREATIVAS EN CENTROS ESCOLARES PARA NIÑOS/AS INFANT Y PRIMAR EN LAS TARDES DEL MES DE MAY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9571"/>
    <s v="AD"/>
    <d v="2021-06-08T00:00:00"/>
    <n v="22021003657"/>
    <s v="2021 11 1621 214"/>
    <n v="4000"/>
    <x v="519"/>
    <s v="MECANIZADO DE PIEZAS PARA REPARACIONES DE VEHÍCULOS DEL SERVICIO DE LIMPIEZ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14683"/>
    <s v="AD"/>
    <d v="2021-04-12T00:00:00"/>
    <n v="22021003592"/>
    <s v="2021 06 2315 22611"/>
    <n v="4000"/>
    <x v="714"/>
    <s v="Talleres de Igualdad a ejecutar en el Centro Municipal de la Igualdad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69"/>
    <s v="D"/>
    <d v="2021-06-21T00:00:00"/>
    <n v="22020000876"/>
    <s v="2021 05 4331 609"/>
    <n v="23123.07"/>
    <x v="365"/>
    <s v="Modificado CONTRATO DE OBRAS DE INFRAESTRUCTURA VERDE: TOLDOS VEGETALES EN LA CALLE SANTA MARÍA. PROYECTO URBAN GreenUP"/>
    <s v="300"/>
    <s v="MADRID"/>
    <s v="MADRID"/>
    <x v="2"/>
    <s v="PrAbier - Procedimiento Abierto"/>
    <s v="MultiC - MultiCriterio"/>
    <x v="1"/>
    <x v="1"/>
    <s v="6"/>
    <s v="6. Inversiones reales"/>
    <s v="05"/>
    <x v="6"/>
    <s v="4331"/>
    <s v="4331. Desarrollo empresarial"/>
    <s v="60"/>
    <s v="609"/>
  </r>
  <r>
    <n v="220210022415"/>
    <s v="AD"/>
    <d v="2021-05-14T00:00:00"/>
    <n v="22021004408"/>
    <s v="2021 09 3341 22706"/>
    <n v="3985"/>
    <x v="715"/>
    <s v="ESTUDIO MANTENIMIENTO, CONSERVACION Y MEJORA DE LA CUPULA DEL MILE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6"/>
  </r>
  <r>
    <n v="220210023151"/>
    <s v="D"/>
    <d v="2021-05-18T00:00:00"/>
    <n v="22019008560"/>
    <s v="2021 08 1532 619"/>
    <n v="29209.21"/>
    <x v="295"/>
    <s v="CERTIFICACIÓN FINAL DE LA  URBANIZACIÓN CALLE COSTA RICA.-"/>
    <s v="300"/>
    <s v="TORDESILLAS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8774"/>
    <s v="AD"/>
    <d v="2021-04-27T00:00:00"/>
    <n v="22021004164"/>
    <s v="2021 04 9204 22200"/>
    <n v="3925"/>
    <x v="426"/>
    <s v="ACCESO VPNIP 600/600 Mbps PARA SERVICIOS DE CONEXIÓN REMOTA DEL AYUNTAMIENTO DE VALLADOLID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25601"/>
    <s v="AD"/>
    <d v="2021-05-26T00:00:00"/>
    <n v="22021004053"/>
    <s v="2021 08 1532 619"/>
    <n v="191503.81"/>
    <x v="564"/>
    <s v="Construcción carril bici en C/ Páramo de San Isidro desde cruce con Pº Juan Carlos I hasta cruce con C/ Milagros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5602"/>
    <s v="AD"/>
    <d v="2021-05-26T00:00:00"/>
    <n v="22021004054"/>
    <s v="2021 08 1532 619"/>
    <n v="119250.85"/>
    <x v="564"/>
    <s v="Construcción carril bici en Parque Central de Parquesol, 1ª Fase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5552"/>
    <s v="AD"/>
    <d v="2021-05-26T00:00:00"/>
    <n v="22021003027"/>
    <s v="2021 10 2412 633"/>
    <n v="3878.05"/>
    <x v="161"/>
    <s v="TRACTOR CORTACÉSPED PARA EL CENTRO DE FORMACION PARA EL EMPLEO PARA EL   CURSO DE PARQUES Y JARDINES-DURACION 1 DÍA."/>
    <s v="220"/>
    <s v="VALLADOLID"/>
    <s v="VALLADOLID"/>
    <x v="1"/>
    <s v="AdDirec - Adjudicación Directa"/>
    <s v="MultiC - MultiCriterio"/>
    <x v="0"/>
    <x v="1"/>
    <s v="6"/>
    <s v="6. Inversiones reales"/>
    <s v="10"/>
    <x v="8"/>
    <s v="2412"/>
    <s v="2412. Formación para el empleo"/>
    <s v="63"/>
    <s v="633"/>
  </r>
  <r>
    <n v="220210016942"/>
    <s v="AD"/>
    <d v="2021-04-26T00:00:00"/>
    <n v="22021003984"/>
    <s v="2021 10 2312 22617"/>
    <n v="3781.65"/>
    <x v="716"/>
    <s v="MEJORA DE ACCESIBILIDAD INTEGRAL EN EL CENTRO DE PERSONAS RONDILLA-"/>
    <s v="220"/>
    <s v="ALFAJARÍN"/>
    <s v="ZARAGOZA"/>
    <x v="1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617"/>
  </r>
  <r>
    <n v="220210030030"/>
    <s v="ADO"/>
    <d v="2021-06-09T00:00:00"/>
    <n v="22021004209"/>
    <s v="2021 07 1711 619"/>
    <n v="8702.49"/>
    <x v="564"/>
    <s v="CERTIFICACION Nº 4 Y FINAL, ACONDICIONAMIENTO DE PASEOS EN AVDA. SALAMANCA Y ESCALERAS PARQUESOL. P.S.-7"/>
    <s v="240"/>
    <s v="VALLADOLID"/>
    <s v="VALLADOLID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25048"/>
    <s v="D"/>
    <d v="2021-05-25T00:00:00"/>
    <n v="22021002202"/>
    <s v="2021 03 9241 22700"/>
    <n v="3339.6"/>
    <x v="438"/>
    <s v="LOTE 6: CONTROL DE PLAGAS, DESINSECTACIÓN DE EDIFICIOS DEPENDIENTES DEL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2"/>
    <s v="22700"/>
  </r>
  <r>
    <n v="220210019102"/>
    <s v="ADO"/>
    <d v="2021-05-03T00:00:00"/>
    <n v="22021004227"/>
    <s v="2021 03 9241 22701"/>
    <n v="11030.51"/>
    <x v="432"/>
    <s v="SERVICIO DE CELADURÍA EN C.MPALES Y CIC (TOTAL 6 CENTROS) // MES DE DICIEMBRE DE 2020"/>
    <s v="24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01"/>
  </r>
  <r>
    <n v="220210019101"/>
    <s v="ADO"/>
    <d v="2021-05-03T00:00:00"/>
    <n v="22021004226"/>
    <s v="2021 03 9241 22701"/>
    <n v="5624"/>
    <x v="432"/>
    <s v="Servicio de Celaduría en los Centros Cívicos y CIC Santiago López // MES DICIEMBRE DE 2020"/>
    <s v="24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01"/>
  </r>
  <r>
    <n v="220210020465"/>
    <s v="AD"/>
    <d v="2021-05-06T00:00:00"/>
    <n v="22021004254"/>
    <s v="2021 07 1623 22700"/>
    <n v="1950000"/>
    <x v="612"/>
    <s v="GASTO PLANTA DE TRATAMIENTO, RECUPERACIÓN Y COMPOSTAJE DE RESIDUOS SÓLIDOS URBANOS. ENERO-MAYO 2021"/>
    <s v="220"/>
    <s v="VALLADOLID"/>
    <s v="VALLADOLID"/>
    <x v="7"/>
    <s v="PrAbier - Procedimiento Abierto"/>
    <s v="MultiC - MultiCriterio"/>
    <x v="1"/>
    <x v="1"/>
    <s v="2"/>
    <s v="2. Gastos corrientes en bienes y servicios"/>
    <s v="07"/>
    <x v="7"/>
    <s v="1623"/>
    <s v="1623. Tratamiento de residuos"/>
    <s v="22"/>
    <s v="22700"/>
  </r>
  <r>
    <n v="220210024695"/>
    <s v="AD"/>
    <d v="2021-05-24T00:00:00"/>
    <n v="22021003565"/>
    <s v="2021 04 9204 22200"/>
    <n v="125624.65"/>
    <x v="437"/>
    <s v="SERVICIOS DE TELECOMUNICACIONES, LOTE 1"/>
    <s v="220"/>
    <s v="MADRID"/>
    <s v="MADR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24702"/>
    <s v="AD"/>
    <d v="2021-05-24T00:00:00"/>
    <n v="22021003621"/>
    <s v="2021 03 9241 22200"/>
    <n v="19533.810000000001"/>
    <x v="437"/>
    <s v="PRÓRROGA SERVICIO DE TELEFONÍA FIJA Y MÓVIL DEL CENTRO DE PARTICIPACIÓN CIUDADANA"/>
    <s v="220"/>
    <s v="MADRID"/>
    <s v="MADR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200"/>
  </r>
  <r>
    <n v="220210024697"/>
    <s v="AD"/>
    <d v="2021-05-24T00:00:00"/>
    <n v="22021000096"/>
    <s v="2021 10 2311 22200"/>
    <n v="12159.53"/>
    <x v="437"/>
    <s v="PRORROGA CONTRATO COMUNICACIONES SERV.INTERVENCION SOCIAL DESDE JULIO HASTA ADJUDIC NUEVO CONTRATO. RESTO CEAS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200"/>
  </r>
  <r>
    <n v="220210024692"/>
    <s v="AD"/>
    <d v="2021-05-24T00:00:00"/>
    <n v="22021000097"/>
    <s v="2021 10 2312 22200"/>
    <n v="8457.67"/>
    <x v="437"/>
    <s v="PRORROGA CONTRATO TELECOMUNICACIONES DE JULIO HASTA ADJUDICACION NUEVO  CONTRATO- CPM TRANSFERIDOS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200"/>
  </r>
  <r>
    <n v="220210024700"/>
    <s v="AD"/>
    <d v="2021-05-24T00:00:00"/>
    <n v="22021003606"/>
    <s v="2021 11 1321 22200"/>
    <n v="6795.34"/>
    <x v="437"/>
    <s v="CONTRATO DE TELECOMUNICACIONES LOTE Nº  1  P. 26/2014. P/ TRANSITORIO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200"/>
  </r>
  <r>
    <n v="220210024693"/>
    <s v="AD"/>
    <d v="2021-05-24T00:00:00"/>
    <n v="22021000098"/>
    <s v="2021 10 2312 22200"/>
    <n v="6407.56"/>
    <x v="437"/>
    <s v="PRORROGA CONTRATO TELECOMUNICACIONES  DE JULIO HASTA ADJUDICACION NUEVO CONTRATO- CPM SIN TRANFERIR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200"/>
  </r>
  <r>
    <n v="220210024691"/>
    <s v="AD"/>
    <d v="2021-05-24T00:00:00"/>
    <n v="22021003534"/>
    <s v="2021 05 4331 22200"/>
    <n v="3714.88"/>
    <x v="437"/>
    <s v="Prorroga de Contrato de Telecomunicasiones (SE PC-40/2016) - Segundo semestre de 2021 - Agencia de Innovación"/>
    <s v="220"/>
    <s v="MADRID"/>
    <s v="MADRID"/>
    <x v="0"/>
    <s v="PrAbier - Procedimiento Abierto"/>
    <s v="MultiC - MultiCriterio"/>
    <x v="1"/>
    <x v="1"/>
    <s v="2"/>
    <s v="2. Gastos corrientes en bienes y servicios"/>
    <s v="05"/>
    <x v="6"/>
    <s v="4331"/>
    <s v="4331. Desarrollo empresarial"/>
    <s v="22"/>
    <s v="22200"/>
  </r>
  <r>
    <n v="220210030523"/>
    <s v="AD"/>
    <d v="2021-06-11T00:00:00"/>
    <n v="22021004827"/>
    <s v="2021 05 4331 22799"/>
    <n v="3699.9"/>
    <x v="275"/>
    <s v="Suministro y colocación de canalización realizada en tubo libre de halógenos en Agencia de Innovación"/>
    <s v="220"/>
    <s v="PEREIRO DE AGUIAR"/>
    <s v="OURENSE"/>
    <x v="1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26155"/>
    <s v="AD"/>
    <d v="2021-05-31T00:00:00"/>
    <n v="22021004622"/>
    <s v="2021 11 3111 22799"/>
    <n v="3654"/>
    <x v="522"/>
    <s v="SERVICIOS ADIESTRADOR CANINO DE 1 JUNIO A 30 SEPTIEMBRE 2021 POR UN TOTAL DE 261 HORA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6999"/>
    <s v="AD"/>
    <d v="2021-06-01T00:00:00"/>
    <n v="22021004638"/>
    <s v="2021 05 4331 22699"/>
    <n v="3630"/>
    <x v="717"/>
    <s v="Patrocinio del encuentro &quot;&quot;El sector agroindustrial y logístico en la recuperación económica de Castilla y León&quot;&quot;"/>
    <s v="220"/>
    <s v="MADRID"/>
    <s v="MADR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33124"/>
    <s v="AD"/>
    <d v="2021-06-30T00:00:00"/>
    <n v="22021005150"/>
    <s v="2021 10 2312 22706"/>
    <n v="3630"/>
    <x v="368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06"/>
  </r>
  <r>
    <n v="220210024704"/>
    <s v="AD"/>
    <d v="2021-05-24T00:00:00"/>
    <n v="22021003772"/>
    <s v="2021 06 3232 22200"/>
    <n v="1875.24"/>
    <x v="437"/>
    <s v="EXTPE P 26/2014. CONTINUIDAD SERVICIOS VINCULADOS CON CONTRATACION SERVICIO DE TELECOMUNICACIONES. PERIODO TRANSFERENCIA"/>
    <s v="220"/>
    <s v="MADRID"/>
    <s v="MADRID"/>
    <x v="0"/>
    <s v="PrAbier - Procedimiento Abierto"/>
    <s v="MultiC - MultiCriterio"/>
    <x v="1"/>
    <x v="1"/>
    <s v="2"/>
    <s v="2. Gastos corrientes en bienes y servicios"/>
    <s v="06"/>
    <x v="0"/>
    <s v="3232"/>
    <s v="3232. Conservación y mantenimiento centros educación infantil y primaria"/>
    <s v="22"/>
    <s v="22200"/>
  </r>
  <r>
    <n v="220210024698"/>
    <s v="AD"/>
    <d v="2021-05-24T00:00:00"/>
    <n v="22021000095"/>
    <s v="2021 10 2311 22200"/>
    <n v="1352"/>
    <x v="437"/>
    <s v="PRORROGA CONTRATO COMUNICACIONES SERV.INTERVENCION SOCIAL DESDE JULIO HASTA ADJUDICACION NUEVO CONTRATO.COMEDOR SOCIAL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200"/>
  </r>
  <r>
    <n v="220210024703"/>
    <s v="AD"/>
    <d v="2021-05-24T00:00:00"/>
    <n v="22021003668"/>
    <s v="2021 11 1361 22200"/>
    <n v="781.35"/>
    <x v="437"/>
    <s v="Ampliación Expte. 26_2014 Lote 1 Contrato de Telecomunicaciones, SEISYPC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200"/>
  </r>
  <r>
    <n v="220210024699"/>
    <s v="AD"/>
    <d v="2021-05-24T00:00:00"/>
    <n v="22021003572"/>
    <s v="2021 10 2412 22200"/>
    <n v="732.48"/>
    <x v="437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0463"/>
    <s v="AD"/>
    <d v="2021-05-06T00:00:00"/>
    <n v="22021000691"/>
    <s v="2021 10 2412 22200"/>
    <n v="342.7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14181"/>
    <s v="ADO"/>
    <d v="2021-04-07T00:00:00"/>
    <n v="22021002861"/>
    <s v="2021 04 9331 22706"/>
    <n v="3630"/>
    <x v="561"/>
    <s v="INFORME S/ ALEGS UNIFICACIÓN PLAZO DE EXPLOTACIÓN DE LAS DOS PLANTAS APARCAMIENTO SUBTERRÁNEO PLAZA MAYOR"/>
    <s v="240"/>
    <s v="LEÓN"/>
    <s v="LEÓN"/>
    <x v="0"/>
    <s v="AdDirec - Adjudicación Directa"/>
    <s v="SinC - Sin Criterio"/>
    <x v="0"/>
    <x v="1"/>
    <s v="2"/>
    <s v="2. Gastos corrientes en bienes y servicios"/>
    <s v="04"/>
    <x v="3"/>
    <s v="9331"/>
    <s v="9331. Gestión del patrimonio"/>
    <s v="22"/>
    <s v="22706"/>
  </r>
  <r>
    <n v="220210016075"/>
    <s v="AD"/>
    <d v="2021-04-19T00:00:00"/>
    <n v="22021003961"/>
    <s v="2021 06 2315 22611"/>
    <n v="3630"/>
    <x v="718"/>
    <s v="IMPRESION DE MATERIALES DE DIFUSION PARA CAMPAÑA DE IGUALDAD E INFANCIA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3576"/>
    <s v="AD"/>
    <d v="2021-05-24T00:00:00"/>
    <n v="22021003749"/>
    <s v="2021 06 3232 632"/>
    <n v="3615.48"/>
    <x v="719"/>
    <s v="SUMIINISTRO DE CORTINAS ENROLLABLES EN PVC PARA VARIOS COLEGIOS. PLAZO DE EJECUCIÓN 1 MES."/>
    <s v="220"/>
    <s v="VALLADOLID"/>
    <s v="VALLADOLID"/>
    <x v="1"/>
    <s v="AdDirec - Adjudicación Directa"/>
    <s v="UniC - Único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16947"/>
    <s v="AD"/>
    <d v="2021-04-26T00:00:00"/>
    <n v="22021004132"/>
    <s v="2021 07 1721 22112"/>
    <n v="3565.75"/>
    <x v="192"/>
    <s v="REVISIONES DE LOS FILTROS DE CAMPANA DEL LABORATORIO Y MATERIAL PARA LA MISMA. SERVICIO DE MEDIO AMBIENTE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12"/>
  </r>
  <r>
    <n v="220210020463"/>
    <s v="AD"/>
    <d v="2021-05-06T00:00:00"/>
    <n v="22021000692"/>
    <s v="2021 10 2412 22200"/>
    <n v="342.7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0463"/>
    <s v="AD"/>
    <d v="2021-05-06T00:00:00"/>
    <n v="22021000693"/>
    <s v="2021 10 2412 22200"/>
    <n v="342.69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5551"/>
    <s v="AD"/>
    <d v="2021-05-26T00:00:00"/>
    <n v="22021002980"/>
    <s v="2021 02 9332 632"/>
    <n v="61.98"/>
    <x v="250"/>
    <s v="CONTROL CALIDAD DESPRENDIMIENTO QUE SUSTENTA TERRAZA PÓRTICO ENTRADA CASA CONSISTORIAL"/>
    <s v="220"/>
    <s v="ZARATAN"/>
    <s v="VALLADOLID"/>
    <x v="0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4699"/>
    <s v="AD"/>
    <d v="2021-05-24T00:00:00"/>
    <n v="22021003573"/>
    <s v="2021 10 2412 22200"/>
    <n v="293.06"/>
    <x v="437"/>
    <s v="PRORROGA CONTRATO TELECOMUNICACIONES DESDE JULIO HASTA ADJUDICACION NUEVO CONTRATO DEL C. DE FORMACION PARA EL EMPLEO-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699"/>
    <s v="AD"/>
    <d v="2021-05-24T00:00:00"/>
    <n v="22021003571"/>
    <s v="2021 10 2412 22200"/>
    <n v="146.49"/>
    <x v="437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841"/>
    <s v="AD"/>
    <d v="2021-05-25T00:00:00"/>
    <n v="22021004575"/>
    <s v="2021 08 1532 22104"/>
    <n v="3415.22"/>
    <x v="89"/>
    <s v="Suministro de calzado de seguridad con destino al personal de las brigadas del S.E.P.I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30281"/>
    <s v="AD"/>
    <d v="2021-06-10T00:00:00"/>
    <n v="22021004822"/>
    <s v="2021 06 3261 22799"/>
    <n v="3392.84"/>
    <x v="720"/>
    <s v="DISEÑO, DESARROLLO Y CONFIGURACIÓN PAGINA WEB GUIA MUNICIPAL DE RECURSOS Y ACTIVIDADES EDUCATIVAS.PLZ EJ: 3 M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4707"/>
    <s v="AD/"/>
    <d v="2021-05-24T00:00:00"/>
    <n v="22021000691"/>
    <s v="2021 10 2412 22200"/>
    <n v="-34.270000000000003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5565"/>
    <s v="AD"/>
    <d v="2021-05-26T00:00:00"/>
    <n v="22021004598"/>
    <s v="2021 02 9332 22799"/>
    <n v="3388"/>
    <x v="490"/>
    <s v="CONFEC.DOCUMENTACIÓN TÉCNICA INSTAL.PROYECTO ADAPTACIÓN LOCAL LAS FRANCESAS PARA C.SALUD LABORAL"/>
    <s v="220"/>
    <s v="VALLADOLID"/>
    <s v="VALLADOLID"/>
    <x v="0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799"/>
  </r>
  <r>
    <n v="220210024834"/>
    <s v="AD"/>
    <d v="2021-05-25T00:00:00"/>
    <n v="22021004457"/>
    <s v="2021 06 2315 626"/>
    <n v="3376.57"/>
    <x v="721"/>
    <s v="PIZARRA INTERACTIVA LCD TACTIL DE ILUMINACIÓN DIRECTA PARA TALLERES CENTRO MUNICIPAL DE IGUALDAD / 1 DIA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6"/>
  </r>
  <r>
    <n v="220210024707"/>
    <s v="AD/"/>
    <d v="2021-05-24T00:00:00"/>
    <n v="22021000694"/>
    <s v="2021 10 2412 22200"/>
    <n v="-205.61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707"/>
    <s v="AD/"/>
    <d v="2021-05-24T00:00:00"/>
    <n v="22021000692"/>
    <s v="2021 10 2412 22200"/>
    <n v="-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707"/>
    <s v="AD/"/>
    <d v="2021-05-24T00:00:00"/>
    <n v="22021000693"/>
    <s v="2021 10 2412 22200"/>
    <n v="-548.32000000000005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3162"/>
    <s v="AD"/>
    <d v="2021-05-19T00:00:00"/>
    <n v="22021004415"/>
    <s v="2021 09 3341 22700"/>
    <n v="3329.92"/>
    <x v="61"/>
    <s v="SERVICIO DE DESINFECCIÓN PARA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0"/>
  </r>
  <r>
    <n v="220210022819"/>
    <s v="AD"/>
    <d v="2021-05-17T00:00:00"/>
    <n v="22021004414"/>
    <s v="2021 11 1361 214"/>
    <n v="3327.5"/>
    <x v="722"/>
    <s v="Reparación cisterna_aljibe en BFP_15, matrícula 0095 DWZ, conforme informe adjunto; SEISYPC."/>
    <s v="220"/>
    <s v="RENEDO DE ESGUEVA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20093"/>
    <s v="AD"/>
    <d v="2021-05-05T00:00:00"/>
    <n v="22021004267"/>
    <s v="2021 07 1721 22602"/>
    <n v="3309.35"/>
    <x v="723"/>
    <s v="MAQUETACIÓN DEL PLAN DE MEJORA DE CALIDAD DEL AIRE.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602"/>
  </r>
  <r>
    <n v="220210028272"/>
    <s v="AD"/>
    <d v="2021-06-03T00:00:00"/>
    <n v="22021004673"/>
    <s v="2021 03 9241 633"/>
    <n v="3260.21"/>
    <x v="263"/>
    <s v="SUMINISTRO E INSTALACIÓN DE SISTEMA DE SEGURIDAD EN ANTIGUO COLEGIO FRAY LUIS DE GRANADA (C/ CALVERAS SN LA OVERUELA)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3"/>
  </r>
  <r>
    <n v="220210015519"/>
    <s v="AD"/>
    <d v="2021-04-15T00:00:00"/>
    <n v="22021003874"/>
    <s v="2021 11 1621 22700"/>
    <n v="3254.9"/>
    <x v="548"/>
    <s v="ESTUDIO DE 30 PUNTOS DONDE SE HAN DEPOSITADO ESCOMBROS Y OTROS RESIDUOS OCUPANDO ESPACIOS PÚBLICOS Y PRIVADOS"/>
    <s v="220"/>
    <s v="VILLAMURIEL DE CERRATO"/>
    <s v="PALENCIA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700"/>
  </r>
  <r>
    <n v="220210031104"/>
    <s v="AD/"/>
    <d v="2021-06-14T00:00:00"/>
    <n v="22021000099"/>
    <s v="2021 10 2412 22200"/>
    <n v="-1233.71"/>
    <x v="437"/>
    <s v="PRORROGA CONTRATO TELECOMUNICACIONES HASTA JUNIO DE 2021  DEL 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19251"/>
    <s v="AD"/>
    <d v="2021-05-04T00:00:00"/>
    <n v="22021004241"/>
    <s v="2021 06 2315 22611"/>
    <n v="3200"/>
    <x v="142"/>
    <s v="REALIZACION DE VARIOS TALLERES EN EL CENTRO MUNICIPAL DE IGUALDAD DURANTE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3114"/>
    <s v="AD"/>
    <d v="2021-06-29T00:00:00"/>
    <n v="22021004356"/>
    <s v="2021 07 1711 619"/>
    <n v="165922.56"/>
    <x v="309"/>
    <s v="OBRA REMODELACION DEL PARQUE ALAMEDA COMO ESPACIO VERDE MULTIFUNCIONAL."/>
    <s v="22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0029"/>
    <s v="ADO"/>
    <d v="2021-06-09T00:00:00"/>
    <n v="22021004207"/>
    <s v="2021 07 1711 619"/>
    <n v="14921.72"/>
    <x v="309"/>
    <s v="CERTIFICACION Nº 4 Y FINAL, ACONDICIONAMIENTO DE DIFERENTES BOMBEOS DE LA CIUDAD. P.S.-5."/>
    <s v="24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0028"/>
    <s v="ADO"/>
    <d v="2021-06-09T00:00:00"/>
    <n v="22021004205"/>
    <s v="2021 07 1711 619"/>
    <n v="14773.37"/>
    <x v="309"/>
    <s v="CERTIFICACION Nº 5 Y FINAL, ACONDICIONAMIENTO PLAZA DE MAYO. P.S.-6"/>
    <s v="24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6753"/>
    <s v="AD"/>
    <d v="2021-04-22T00:00:00"/>
    <n v="22021004112"/>
    <s v="2021 02 9332 214"/>
    <n v="3054.15"/>
    <x v="724"/>
    <s v="REPARACIÓN RETROEXCAVADORA  JCB 2 CX MATRÍCULA VA-37930-VE CENTRO DE MANTENIMIENT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4"/>
  </r>
  <r>
    <n v="220210016373"/>
    <s v="AD"/>
    <d v="2021-04-20T00:00:00"/>
    <n v="22021003921"/>
    <s v="2021 07 1701 22602"/>
    <n v="3049.2"/>
    <x v="446"/>
    <s v="REPORTAJE DIVULGATIVO &quot;&quot;VALLADOLID, DESARROLLO SOSTENIBLE&quot;&quot; 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602"/>
  </r>
  <r>
    <n v="220210031250"/>
    <s v="AD"/>
    <d v="2021-06-16T00:00:00"/>
    <n v="22021004032"/>
    <s v="2021 05 4331 22706"/>
    <n v="3029"/>
    <x v="103"/>
    <s v="Contrato de Consultoría técnica para aplicacion de RGPD, correccion del importe por error en  AD realizado inicialmente"/>
    <s v="220"/>
    <s v="LLANERA"/>
    <s v="ASTURIAS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06"/>
  </r>
  <r>
    <n v="220210025793"/>
    <s v="AD"/>
    <d v="2021-05-27T00:00:00"/>
    <n v="22021004416"/>
    <s v="2021 11 1631 214"/>
    <n v="3000"/>
    <x v="585"/>
    <s v="REPARACIONES DE VEHICULOS IVECO DE SERVICIO DE LIMPIEZA VIARI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21022"/>
    <s v="AD"/>
    <d v="2021-05-07T00:00:00"/>
    <n v="22021004308"/>
    <s v="2021 06 2314 22699"/>
    <n v="3000"/>
    <x v="152"/>
    <s v="IMPRESION DE SOPORTES PUBLICITARIOS A TRAVÉS DE IMPRENTA MUNICIPAL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99"/>
  </r>
  <r>
    <n v="220210033077"/>
    <s v="AD"/>
    <d v="2021-06-29T00:00:00"/>
    <n v="22021005116"/>
    <s v="2021 06 2314 22613"/>
    <n v="3000"/>
    <x v="244"/>
    <s v="PROGRAMA FORTE: TALLERES DE FORMACIÓN Y DEPORTE EN DELICIAS PARA JÓVENES DE 13 A 18 AÑOS. MESES MAYO Y JUNIO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13"/>
  </r>
  <r>
    <n v="220210029253"/>
    <s v="AD"/>
    <d v="2021-06-07T00:00:00"/>
    <n v="22021004753"/>
    <s v="2021 06 2315 22614"/>
    <n v="2959.66"/>
    <x v="610"/>
    <s v="Desarrollo de las Comisiones del Consejo de la Infancia / Gestión y asist. Técnica Videoconferencias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4"/>
  </r>
  <r>
    <n v="220210024696"/>
    <s v="AD"/>
    <d v="2021-05-24T00:00:00"/>
    <n v="22021003566"/>
    <s v="2021 04 9204 22200"/>
    <n v="31744.07"/>
    <x v="452"/>
    <s v="SERVICIOS DE TELECOMUNICACIONES: TELEFONÍA MÓVIL, LOTE 2"/>
    <s v="220"/>
    <s v="MADRID"/>
    <s v="MADR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24694"/>
    <s v="AD"/>
    <d v="2021-05-24T00:00:00"/>
    <n v="22021003561"/>
    <s v="2021 09 3341 22200"/>
    <n v="1455.99"/>
    <x v="452"/>
    <s v="CONTINUIDAD DE LOS SERVICIOS VINCULADOS CON LA CONTRATACIÓN DEL SERVICIO DE TELECOMUNICACIONES DEL AYTO. DE VALLADOLID"/>
    <s v="220"/>
    <s v="MADRID"/>
    <s v="MADRID"/>
    <x v="0"/>
    <s v="PrAbier - Procedimiento Abierto"/>
    <s v="SinC - Sin Criterio"/>
    <x v="1"/>
    <x v="1"/>
    <s v="2"/>
    <s v="2. Gastos corrientes en bienes y servicios"/>
    <s v="09"/>
    <x v="1"/>
    <s v="3341"/>
    <s v="3341. Coordinación de políticas culturales"/>
    <s v="22"/>
    <s v="22200"/>
  </r>
  <r>
    <n v="220210024701"/>
    <s v="AD"/>
    <d v="2021-05-24T00:00:00"/>
    <n v="22021003610"/>
    <s v="2021 11 1321 22200"/>
    <n v="1245.9000000000001"/>
    <x v="452"/>
    <s v="CONTRATO TELECOMUNICACIONES . LOTE Nº 2 P 26/2014. P. TRANSITORIO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200"/>
  </r>
  <r>
    <n v="220210026138"/>
    <s v="D"/>
    <d v="2021-05-31T00:00:00"/>
    <n v="22020005366"/>
    <s v="2021 11 1621 624"/>
    <n v="88237.34"/>
    <x v="326"/>
    <s v="SUMINISTRO 2 FURGONES ELECTRICOS (LOTE 1) Y UN VEHICULO TURISMO HIBRIDO ENCHUFABLE (LOTE 4) PARA EL Sº LIMPIEZA"/>
    <s v="300"/>
    <s v="VALLADOLID"/>
    <s v="VALLADOL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2"/>
    <s v="624"/>
  </r>
  <r>
    <n v="220210021006"/>
    <s v="D"/>
    <d v="2021-05-07T00:00:00"/>
    <n v="22020005803"/>
    <s v="2021 11 1321 624"/>
    <n v="64411.8"/>
    <x v="326"/>
    <s v="CONTRATO ADQUISICIÓN DE VEHÍCULOS ELÉCTRICOS. EXPTE. SESPSC 24/2020. LOTE 2 P.M. Y LOTE 4 P.M."/>
    <s v="300"/>
    <s v="VALLADOLID"/>
    <s v="VALLADOLID"/>
    <x v="1"/>
    <s v="PrAbier - Procedimiento Abierto"/>
    <s v="MultiC - MultiCriterio"/>
    <x v="1"/>
    <x v="1"/>
    <s v="6"/>
    <s v="6. Inversiones reales"/>
    <s v="11"/>
    <x v="5"/>
    <s v="1321"/>
    <s v="1321. Policía municipal"/>
    <s v="62"/>
    <s v="624"/>
  </r>
  <r>
    <n v="220210033082"/>
    <s v="AD"/>
    <d v="2021-06-29T00:00:00"/>
    <n v="22021003589"/>
    <s v="2021 08 1532 624"/>
    <n v="67578.5"/>
    <x v="725"/>
    <s v="Suministro de un  CAMIÓN de 8.500 A 14.000 KG. de M.M.A. con destino al S.E.P.I."/>
    <s v="220"/>
    <s v="MADRID"/>
    <s v="MADRID"/>
    <x v="1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2"/>
    <s v="624"/>
  </r>
  <r>
    <n v="220210018775"/>
    <s v="AD"/>
    <d v="2021-04-27T00:00:00"/>
    <n v="22021004166"/>
    <s v="2021 06 3261 22799"/>
    <n v="2958.45"/>
    <x v="138"/>
    <s v="DISEÑO, DESARROLLO Y DESPLIEGUE SITIO WEB GUIA MUNICIPAL DE ACTIVIDADES EDUCATIVAS. PLAZO EJECUCIÓN HASTA 30-6-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2815"/>
    <s v="AD"/>
    <d v="2021-05-17T00:00:00"/>
    <n v="22021004381"/>
    <s v="2021 03 9241 22602"/>
    <n v="2891.9"/>
    <x v="63"/>
    <s v="CUADERNO A5 PERSONALIZADO (1000 UD.) Y BOLIGRAFO GRABADO (1000 UD.) ACTUVA ESCUELA DE PARTICIPACIÓN CIUDADAN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073"/>
    <s v="AD"/>
    <d v="2021-04-19T00:00:00"/>
    <n v="22021003995"/>
    <s v="2021 06 3231 213"/>
    <n v="2882.83"/>
    <x v="726"/>
    <s v="REPARACION TOLDO EN LA ESCUELA INFANTIL MUNICIPAL CASCANUECES. PLAZO EJECUCIÓN 2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3"/>
  </r>
  <r>
    <n v="220210033123"/>
    <s v="AD"/>
    <d v="2021-06-30T00:00:00"/>
    <n v="22021005167"/>
    <s v="2021 08 1341 22799"/>
    <n v="2877.28"/>
    <x v="263"/>
    <s v="CONEXIÓN, INSTALACIONES Y MANTENIMIENTO DE CÁMARAS DE VIDEOVIGILANCIA ASCENSORES EN EL BARRIO DE PAJARILLOS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341"/>
    <s v="1341. Movilidad"/>
    <s v="22"/>
    <s v="22799"/>
  </r>
  <r>
    <n v="220210028276"/>
    <s v="AD"/>
    <d v="2021-06-03T00:00:00"/>
    <n v="22021004668"/>
    <s v="2021 03 9241 212"/>
    <n v="2869.06"/>
    <x v="120"/>
    <s v="REPARACIÓN HUMEDADES: IMPERMEABILIZACIÓN DE RAMPA EN CC ROND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4261"/>
    <s v="AD"/>
    <d v="2021-04-08T00:00:00"/>
    <n v="22021003746"/>
    <s v="2021 06 3232 212"/>
    <n v="2864.12"/>
    <x v="727"/>
    <s v="REPARACIÓN DE COLUMPIOS EN EL CEIP PONCE DE LEÓN. PLAZO 1 MES."/>
    <s v="220"/>
    <s v="MEDINA DEL CAMPO"/>
    <s v="VALLADOLID"/>
    <x v="0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614"/>
    <s v="AD"/>
    <d v="2021-05-06T00:00:00"/>
    <n v="22021004133"/>
    <s v="2021 02 1501 224"/>
    <n v="6500"/>
    <x v="642"/>
    <s v="ADJ.EXPTE.SEGUROS RESPONSAB.TEC.ÁREA PLANEAMIENTO URBANISTICO FECHA 1.05. A 31.10.2021 Y 1.11.21 A 30.04.22."/>
    <s v="220"/>
    <s v="MADRID"/>
    <s v="MADRID"/>
    <x v="0"/>
    <s v="PrAbier - Procedimiento Abierto"/>
    <s v="MultiC - MultiCriterio"/>
    <x v="1"/>
    <x v="1"/>
    <s v="2"/>
    <s v="2. Gastos corrientes en bienes y servicios"/>
    <s v="02"/>
    <x v="10"/>
    <s v="1501"/>
    <s v="1501. Dirección del área de urbanismo"/>
    <s v="22"/>
    <s v="224"/>
  </r>
  <r>
    <n v="220210016744"/>
    <s v="D"/>
    <d v="2021-04-21T00:00:00"/>
    <n v="22020005626"/>
    <s v="2021 11 1361 624"/>
    <n v="61575"/>
    <x v="728"/>
    <s v="Contrato de suministro para adquisición de vehículos ecológicos etiqueta cero o eléctricos SEISYPC; EXPTE. Nº: V.24/2020"/>
    <s v="300"/>
    <s v="BARCELONA"/>
    <s v="BARCELONA"/>
    <x v="1"/>
    <s v="PrAbier - Procedimiento Abierto"/>
    <s v="MultiC - MultiCriterio"/>
    <x v="1"/>
    <x v="1"/>
    <s v="6"/>
    <s v="6. Inversiones reales"/>
    <s v="11"/>
    <x v="5"/>
    <s v="1361"/>
    <s v="1361. Prevención y extinción de incencios"/>
    <s v="62"/>
    <s v="624"/>
  </r>
  <r>
    <n v="220210033086"/>
    <s v="D"/>
    <d v="2021-06-29T00:00:00"/>
    <n v="22021002765"/>
    <s v="2021 08 1532 619"/>
    <n v="178798.64"/>
    <x v="466"/>
    <s v="Obras de Urbanización de la calle NUEVA DEL CARMEN."/>
    <s v="30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5305"/>
    <s v="AD"/>
    <d v="2021-04-14T00:00:00"/>
    <n v="22021003856"/>
    <s v="2021 04 9202 22607"/>
    <n v="2700"/>
    <x v="557"/>
    <s v="CRONOMETRADORES PARA REALIZACIÒN PRUEBAS FÍSICAS PARA PROVISIÓN 20 PLAZAS DE AGENTE P.M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447"/>
    <s v="AD"/>
    <d v="2021-05-06T00:00:00"/>
    <n v="22021004280"/>
    <s v="2021 08 1651 204"/>
    <n v="2699.92"/>
    <x v="729"/>
    <s v="Alquiler de un vehículo tipo furgoneta con baca durante 6 meses, con destino al Centro de Alumbrado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0"/>
    <s v="204"/>
  </r>
  <r>
    <n v="220210029575"/>
    <s v="AD"/>
    <d v="2021-06-08T00:00:00"/>
    <n v="22021004746"/>
    <s v="2021 02 9332 632"/>
    <n v="2692.25"/>
    <x v="491"/>
    <s v="MATERIAL E INSTALACIÓN ELÉCTRICA NAVE MULTIUSOS RECINTO PINGÜINOS"/>
    <s v="220"/>
    <s v="VALLADOLID"/>
    <s v="VALLADOLID"/>
    <x v="1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31415"/>
    <s v="ADO"/>
    <d v="2021-06-18T00:00:00"/>
    <n v="22021004931"/>
    <s v="2021 04 9202 22607"/>
    <n v="2685.3"/>
    <x v="388"/>
    <s v="USO DE ESPACIOS/ PERSONAL DE LA UNIVERSIDAD/ LIMPIEZA AULAS - EXAMEN DE CONDUCTOR - DÍA 05/06/2021-mjsi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1028"/>
    <s v="AD"/>
    <d v="2021-05-10T00:00:00"/>
    <n v="22021004337"/>
    <s v="2021 06 2315 212"/>
    <n v="2680.15"/>
    <x v="730"/>
    <s v="REFORMA ASEO EN PLANTA BAJA DEL CENTRO MUNICIPAL DE LA IGUALDAD |  1 M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1"/>
    <s v="212"/>
  </r>
  <r>
    <n v="220210015510"/>
    <s v="AD"/>
    <d v="2021-04-14T00:00:00"/>
    <n v="22021003875"/>
    <s v="2021 03 9241 22700"/>
    <n v="2599.08"/>
    <x v="449"/>
    <s v="CONTROL LEGIONELLA EN CIRCUITOS DE AGUA DE CC BAILARÍN VICENTE ESCUDERO, J.M. LUELMO, J.L. MOSQUERA Y ROND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0"/>
  </r>
  <r>
    <n v="220210023546"/>
    <s v="AD"/>
    <d v="2021-05-20T00:00:00"/>
    <n v="22021003404"/>
    <s v="2021 04 9331 224"/>
    <n v="95299.58"/>
    <x v="470"/>
    <s v="Segunda ampliación Seguro Responsabilidad Civil Ayuntamiento Valladolid (01-04/2021 al 30/09/2021) Exp. 93/2016 PS 16"/>
    <s v="220"/>
    <s v="BARCELONA"/>
    <s v="BARCELONA"/>
    <x v="0"/>
    <s v="PrAbier - Procedimiento Abierto"/>
    <s v="MultiC - MultiCriterio"/>
    <x v="1"/>
    <x v="1"/>
    <s v="2"/>
    <s v="2. Gastos corrientes en bienes y servicios"/>
    <s v="04"/>
    <x v="3"/>
    <s v="9331"/>
    <s v="9331. Gestión del patrimonio"/>
    <s v="22"/>
    <s v="224"/>
  </r>
  <r>
    <n v="220210022841"/>
    <s v="AD"/>
    <d v="2021-05-18T00:00:00"/>
    <n v="22021003953"/>
    <s v="2021 04 9341 22699"/>
    <n v="930.73"/>
    <x v="407"/>
    <s v="REAJUSTE DE ANUALIDADES CONTRATO SERVICIO BANCARIO TERMINALES PUNTOS DE VENTA DEPENDENCIAS AYUNAMIENTO DE VALLADOLID"/>
    <s v="220"/>
    <s v="MALAGA"/>
    <s v="MALAGA"/>
    <x v="0"/>
    <s v="PrAbier - Procedimiento Abierto"/>
    <s v="MultiC - MultiCriterio"/>
    <x v="1"/>
    <x v="1"/>
    <s v="2"/>
    <s v="2. Gastos corrientes en bienes y servicios"/>
    <s v="04"/>
    <x v="3"/>
    <s v="9341"/>
    <s v="9341. Tesorería y recaudación"/>
    <s v="22"/>
    <s v="22699"/>
  </r>
  <r>
    <n v="220210014681"/>
    <s v="AD"/>
    <d v="2021-04-12T00:00:00"/>
    <n v="22021003828"/>
    <s v="2021 11 1321 213"/>
    <n v="2500"/>
    <x v="731"/>
    <s v="REPARACIÓN DE CERRADURAS Y AMAESTRAMIENTO DE LLAVES DEPENDENCIAS POLICÍA MUNICIPAL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5"/>
    <s v="1321"/>
    <s v="1321. Policía municipal"/>
    <s v="21"/>
    <s v="213"/>
  </r>
  <r>
    <n v="220210018985"/>
    <s v="AD"/>
    <d v="2021-04-30T00:00:00"/>
    <n v="22021004186"/>
    <s v="2021 11 3111 22106"/>
    <n v="2500"/>
    <x v="732"/>
    <s v="SUMINISTRO DE MATERIAL FUNGIBLE PARA LA CLINICA VETERINARIA DEL CMPA - AÑO 2021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4680"/>
    <s v="AD"/>
    <d v="2021-04-12T00:00:00"/>
    <n v="22021003820"/>
    <s v="2021 04 9231 22799"/>
    <n v="2500"/>
    <x v="733"/>
    <s v="PLACAS ROTULADORAS DE VIAS PUBLICAS PARA LA CIUDAD DE VALLADOLID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799"/>
  </r>
  <r>
    <n v="220210028591"/>
    <s v="AD"/>
    <d v="2021-06-03T00:00:00"/>
    <n v="22021004629"/>
    <s v="2021 07 1711 22799"/>
    <n v="2500"/>
    <x v="564"/>
    <s v="REALIZACION DE DIVERSOS TRABAJOS EN TERRENO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14225"/>
    <s v="D"/>
    <d v="2021-04-07T00:00:00"/>
    <n v="22021001275"/>
    <s v="2021 07 1711 22199"/>
    <n v="359.7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889"/>
    <s v="AD"/>
    <d v="2021-05-27T00:00:00"/>
    <n v="22021004279"/>
    <s v="2021 04 9204 626"/>
    <n v="2421.8200000000002"/>
    <x v="721"/>
    <s v="SUMINISTRO DE 50 DISCOS SSD CON SU CORRESPONDIENTE ADAPTADOR INTERNO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2"/>
    <s v="626"/>
  </r>
  <r>
    <n v="220210023161"/>
    <s v="AD"/>
    <d v="2021-05-19T00:00:00"/>
    <n v="22021004431"/>
    <s v="2021 09 4321 22706"/>
    <n v="2420"/>
    <x v="734"/>
    <s v="REALIZACION ESTUDIO SOBRE LAS NECESIDADES PARA DELIMITAR Y CERRAR COMPLETAMENTE EL ESPACIO DE LA ANTIGUA HIPICA MILITAR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4321"/>
    <s v="4321. Turismo"/>
    <s v="22"/>
    <s v="22706"/>
  </r>
  <r>
    <n v="220210033124"/>
    <s v="AD"/>
    <d v="2021-06-30T00:00:00"/>
    <n v="22021005149"/>
    <s v="2021 10 2312 22706"/>
    <n v="2420"/>
    <x v="368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06"/>
  </r>
  <r>
    <n v="220210015842"/>
    <s v="D"/>
    <d v="2021-04-16T00:00:00"/>
    <n v="22021001275"/>
    <s v="2021 07 1711 22199"/>
    <n v="503.8"/>
    <x v="549"/>
    <s v="ACUERDO MARCO 2017/36, SUMINISTRO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810"/>
    <s v="D"/>
    <d v="2021-04-22T00:00:00"/>
    <n v="22021001275"/>
    <s v="2021 07 1711 22199"/>
    <n v="1295.8"/>
    <x v="549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00060375"/>
    <s v="AD"/>
    <d v="2021-06-28T00:00:00"/>
    <n v="22020006803"/>
    <s v="2021 02 1511 22706"/>
    <n v="2413.75"/>
    <x v="594"/>
    <s v="CONTRATO MENOR DE SERVICIO DE ELABORACIÓN INFORMES Y TRABAJOS TOPOGRÁFICOS SERVICIO CARTOGRAFÍA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14373"/>
    <s v="AD"/>
    <d v="2021-04-09T00:00:00"/>
    <n v="22021003713"/>
    <s v="2021 09 3341 22706"/>
    <n v="2383.6999999999998"/>
    <x v="735"/>
    <s v="REDACCIÓN DE PROTOCOLO ANTI-COVID PARA LOS EDIFICIOS DEL ÁREA- CUPULA DEL MILENIO Y GALERIAS VALLADOLID"/>
    <s v="220"/>
    <s v="MOJADOS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6"/>
  </r>
  <r>
    <n v="220210019215"/>
    <s v="D"/>
    <d v="2021-05-03T00:00:00"/>
    <n v="22021001275"/>
    <s v="2021 07 1711 22199"/>
    <n v="748.07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274"/>
    <s v="D"/>
    <d v="2021-05-19T00:00:00"/>
    <n v="22021001275"/>
    <s v="2021 07 1711 22199"/>
    <n v="849.62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4722"/>
    <s v="D"/>
    <d v="2021-05-24T00:00:00"/>
    <n v="22021001275"/>
    <s v="2021 07 1711 22199"/>
    <n v="2939.51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430"/>
    <s v="D"/>
    <d v="2021-06-03T00:00:00"/>
    <n v="22021001275"/>
    <s v="2021 07 1711 22199"/>
    <n v="4673.13"/>
    <x v="549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80"/>
    <s v="AD"/>
    <d v="2021-06-03T00:00:00"/>
    <n v="22021004614"/>
    <s v="2021 11 1361 214"/>
    <n v="2285.34"/>
    <x v="736"/>
    <s v="Reparación sistema de frenado en vehículo camión MERCEDES-Atego, BUP-11, matr. VA-5361-AK;SEISYPC"/>
    <s v="220"/>
    <s v="MADRID"/>
    <s v="MADRID"/>
    <x v="6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20450"/>
    <s v="AD"/>
    <d v="2021-05-06T00:00:00"/>
    <n v="22021004165"/>
    <s v="2021 09 3341 22700"/>
    <n v="2259.6799999999998"/>
    <x v="737"/>
    <s v="CONTRATO MENOR SERVICIO LIMPIEZA INSTALACIONES GALERIAS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0"/>
  </r>
  <r>
    <n v="220210029596"/>
    <s v="D"/>
    <d v="2021-06-08T00:00:00"/>
    <n v="22021001275"/>
    <s v="2021 07 1711 22199"/>
    <n v="1364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2969"/>
    <s v="D"/>
    <d v="2021-06-28T00:00:00"/>
    <n v="22021001275"/>
    <s v="2021 07 1711 22199"/>
    <n v="3596.36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482"/>
    <s v="D"/>
    <d v="2021-04-09T00:00:00"/>
    <n v="22021003381"/>
    <s v="2021 11 1361 22199"/>
    <n v="9.52"/>
    <x v="25"/>
    <s v="ACUERDO MARCO V.36/2017; LOTE 10; TERMINAL BATERIA REFORZADO + (2 UNID) / TERMINAL BATERIA REFORZADO - (2 UNID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624"/>
    <s v="AD"/>
    <d v="2021-06-11T00:00:00"/>
    <n v="22021004656"/>
    <s v="2021 04 9202 16204"/>
    <n v="2192.77"/>
    <x v="738"/>
    <s v="PINES Y PINCHOS PLATA.  HOMENAJE A JUBILADOS Y FALLECIDOS STA. RITA 2021. -mjsi-"/>
    <s v="220"/>
    <s v="VALLADOLID"/>
    <s v="VALLADOLID"/>
    <x v="1"/>
    <s v="AdDirec - Adjudicación Directa"/>
    <s v="SinC - Sin Criterio"/>
    <x v="0"/>
    <x v="1"/>
    <s v="1"/>
    <s v="1. Gastos de personal"/>
    <s v="04"/>
    <x v="3"/>
    <s v="9202"/>
    <s v="9202. Gestión de recursos humanos"/>
    <s v="16"/>
    <s v="16204"/>
  </r>
  <r>
    <n v="220210026148"/>
    <s v="AD"/>
    <d v="2021-05-31T00:00:00"/>
    <n v="22021004562"/>
    <s v="2021 03 9241 213"/>
    <n v="2156.2199999999998"/>
    <x v="163"/>
    <s v="MANTENIMIENTO DE GRUPOS ELECTRÓGENOS EN EDIFICIOS DEPENDIENTES DEL SPC (DEL 01/05/2021 AL 31/12/2021) EXP SPC 42/2021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8840"/>
    <s v="D"/>
    <d v="2021-04-28T00:00:00"/>
    <n v="22021003381"/>
    <s v="2021 11 1361 22199"/>
    <n v="156.44999999999999"/>
    <x v="25"/>
    <s v="ACUERDO MARCO EXPTE.: V.36_2017; LOTE 10; PILA ALCALINA 6V 15AH ( 10 UNIDADES) / CAJA  FUSIBLES 96 PZ (1 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8269"/>
    <s v="AD"/>
    <d v="2021-06-03T00:00:00"/>
    <n v="22021003373"/>
    <s v="2021 11 1321 626"/>
    <n v="2125.56"/>
    <x v="260"/>
    <s v="SUMINISTRO DE TABLET CONVERTIBLE PARA CINEMÓMETRO TRUCAN. ( EQUIPO DE RADAR DE POLICÍA)."/>
    <s v="220"/>
    <s v="ALCOBENDAS"/>
    <s v="MADRID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6"/>
  </r>
  <r>
    <n v="220210029589"/>
    <s v="D"/>
    <d v="2021-06-08T00:00:00"/>
    <n v="22021003381"/>
    <s v="2021 11 1361 22199"/>
    <n v="25.12"/>
    <x v="25"/>
    <s v="ACUERDO MARCO V.36/2017; LOTE 10; FILTRO AIRE MANN (1 UD) //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1017"/>
    <s v="AD"/>
    <d v="2021-05-07T00:00:00"/>
    <n v="22021004338"/>
    <s v="2021 03 9241 22602"/>
    <n v="2114.6"/>
    <x v="380"/>
    <s v="21 ROLL UP, 4 LONAS CON HERRETES METÁLICOS, ETIQUETAS ADHESIVAS. PRESENTACIÓN ACTUVA (ESCUELA DE PARTICIPACIÓN CIUDADAN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941"/>
    <s v="AD"/>
    <d v="2021-04-26T00:00:00"/>
    <n v="22021003983"/>
    <s v="2021 10 2312 212"/>
    <n v="2081.1999999999998"/>
    <x v="739"/>
    <s v="REPARACION  Y SUSTITUCION DE UN TRAMO DE  TUBERIAS DEL CPM RONDILLA-"/>
    <s v="220"/>
    <s v="VALLADOLID"/>
    <s v="VALLADOLID"/>
    <x v="2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1"/>
    <s v="212"/>
  </r>
  <r>
    <n v="220210032802"/>
    <s v="D"/>
    <d v="2021-06-24T00:00:00"/>
    <n v="22021003381"/>
    <s v="2021 11 1361 22199"/>
    <n v="150.02000000000001"/>
    <x v="25"/>
    <s v="ACUERDO MARCO SUMINISTROS: BASE 12V  Y ADAPTADOR/CALZO+SOPORTE PLÁSTICO / PILOTOS TRASEROS 4F/LÁMPARA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693"/>
    <s v="AD"/>
    <d v="2021-04-13T00:00:00"/>
    <n v="22021003833"/>
    <s v="2021 11 1361 214"/>
    <n v="2057"/>
    <x v="685"/>
    <s v="Mantenimiento anual autoescala AEA_10 oper de revisión y mantenimiento de superestr y componentes de la misma;SEISYPC."/>
    <s v="220"/>
    <s v="SEVILLA"/>
    <s v="SEVILL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31460"/>
    <s v="AD"/>
    <d v="2021-06-21T00:00:00"/>
    <n v="22021004998"/>
    <s v="2021 11 1621 212"/>
    <n v="2032.8"/>
    <x v="638"/>
    <s v="REACONDICIONAR CAMINO ACCESO A CONTENDORES DE MATERIA ORGANICA EN NAVE LAVADO VEHICULOS DEL POLIGONO SAN CRISTOBAL"/>
    <s v="220"/>
    <s v="VALLADOLID"/>
    <s v="VALLADOLID"/>
    <x v="2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20446"/>
    <s v="AD"/>
    <d v="2021-05-06T00:00:00"/>
    <n v="22021004281"/>
    <s v="2021 02 9332 212"/>
    <n v="3000"/>
    <x v="314"/>
    <s v="ACUERDO MARCO LOTE 2.MATERIAL NECESARIO PARA REALIZAR TRABAJOS DESDE EL CENTRO DE MANTENIMIENTO.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36"/>
    <s v="D"/>
    <d v="2021-04-16T00:00:00"/>
    <n v="22021001966"/>
    <s v="2021 11 1321 213"/>
    <n v="2064.0100000000002"/>
    <x v="82"/>
    <s v="ACUERDO MARCO.  SUMINISTRO DE MATERIAL ELÉCTRICO (POLICÍA MPAL, DISTRITO II Y DEPÓSITO DE 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7132"/>
    <s v="AD"/>
    <d v="2021-04-26T00:00:00"/>
    <n v="22021004124"/>
    <s v="2021 06 2314 22706"/>
    <n v="2018.89"/>
    <x v="740"/>
    <s v="DIRECCION DE OBRA ESPACIO RECREATIVO PINAR DE ANTEQUER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06"/>
  </r>
  <r>
    <n v="220210018210"/>
    <s v="AD"/>
    <d v="2021-04-27T00:00:00"/>
    <n v="22021004111"/>
    <s v="2021 06 2314 22706"/>
    <n v="2018.89"/>
    <x v="741"/>
    <s v="DIRECCION DE OBRA ESPACIO RECREATIVO PINAR DE ANTEQUER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06"/>
  </r>
  <r>
    <n v="220210020091"/>
    <s v="AD"/>
    <d v="2021-05-05T00:00:00"/>
    <n v="22021003145"/>
    <s v="2021 07 1711 214"/>
    <n v="2000"/>
    <x v="518"/>
    <s v="COMPLEMENTARIO PARA REPARACION DE NEUMATICO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4"/>
  </r>
  <r>
    <n v="220210016083"/>
    <s v="AD"/>
    <d v="2021-04-19T00:00:00"/>
    <n v="22021003912"/>
    <s v="2021 07 1711 213"/>
    <n v="2000"/>
    <x v="449"/>
    <s v="REPARACION DE MAQUINARIA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3"/>
  </r>
  <r>
    <n v="220210020449"/>
    <s v="AD"/>
    <d v="2021-05-06T00:00:00"/>
    <n v="22021004243"/>
    <s v="2021 05 4314 22706"/>
    <n v="2000"/>
    <x v="480"/>
    <s v="DISEÑO CONTENEDOR PUNTO LIMPIO FIJO, PARA DEPOSITAR RESIDUOS ESPECIALES DE USO DOMESTICO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4"/>
    <s v="4314. Fomento del comercio"/>
    <s v="22"/>
    <s v="22706"/>
  </r>
  <r>
    <n v="220210016384"/>
    <s v="AD"/>
    <d v="2021-04-20T00:00:00"/>
    <n v="22021003903"/>
    <s v="2021 06 2315 22611"/>
    <n v="2000"/>
    <x v="742"/>
    <s v="TALLERES PRÁCTICOS DE SEXUALIDAD E IGUALDAD EN CENTRO MUNICIPAL DE LA IGUALDAD / DURANTE 2021"/>
    <s v="220"/>
    <s v="ZARATA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6144"/>
    <s v="AD"/>
    <d v="2021-05-31T00:00:00"/>
    <n v="22021004663"/>
    <s v="2021 06 2315 623"/>
    <n v="2000"/>
    <x v="743"/>
    <s v="EQUIPAMIENTO TÉCNICO PARA EL CENTRO MUNICIPAL DE IGUALDAD 1 DÍA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3"/>
  </r>
  <r>
    <n v="220210023543"/>
    <s v="AD"/>
    <d v="2021-05-20T00:00:00"/>
    <n v="22021003680"/>
    <s v="2021 08 1532 22699"/>
    <n v="1996.5"/>
    <x v="628"/>
    <s v="Mantenimiento instalaciones agua caliente sanitaria y calefacción del Parque del Cabildo, C/ Títulos 51 durante 10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699"/>
  </r>
  <r>
    <n v="220210018834"/>
    <s v="D"/>
    <d v="2021-04-28T00:00:00"/>
    <n v="22021002059"/>
    <s v="2021 11 1361 22199"/>
    <n v="30.82"/>
    <x v="82"/>
    <s v="ACUERDO MARCO V.36_2017; LOTE 6; EXTRACTR SYP SILENT-100CZ 230V 50Hz (PROTECCIÓN CIVIL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046"/>
    <s v="D"/>
    <d v="2021-04-19T00:00:00"/>
    <n v="22021001966"/>
    <s v="2021 11 1321 213"/>
    <n v="57.21"/>
    <x v="82"/>
    <s v="ACUERDO MARCO Diferencia //// EMERGEN LEGRAND 661606PL 200LM  / REGLETA  OBO 79CE BL  /// POLICIA M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26997"/>
    <s v="AD"/>
    <d v="2021-06-01T00:00:00"/>
    <n v="22021004661"/>
    <s v="2021 02 9332 632"/>
    <n v="722.25"/>
    <x v="250"/>
    <s v="DELINEACIÓN DEL ESTADO ACTUAL DEL TEATRO LOPE DE VEGA"/>
    <s v="220"/>
    <s v="ZARATAN"/>
    <s v="VALLADOLID"/>
    <x v="0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8638"/>
    <s v="AD"/>
    <d v="2021-06-04T00:00:00"/>
    <n v="22021004727"/>
    <s v="2021 04 9204 626"/>
    <n v="1863.4"/>
    <x v="721"/>
    <s v="SUMINISTRO DE 100 WEBCAM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2"/>
    <s v="626"/>
  </r>
  <r>
    <n v="220210020833"/>
    <s v="AD"/>
    <d v="2021-05-07T00:00:00"/>
    <n v="22021004304"/>
    <s v="2021 02 1501 22104"/>
    <n v="1840.54"/>
    <x v="89"/>
    <s v="VESTUARIO OBLIGATORIO EPI´s PARA NUEVO PERSONAL EN LAS BRIGADAS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104"/>
  </r>
  <r>
    <n v="220210023542"/>
    <s v="AD"/>
    <d v="2021-05-20T00:00:00"/>
    <n v="22021003585"/>
    <s v="2021 05 4331 22602"/>
    <n v="15057.78"/>
    <x v="184"/>
    <s v="A.M.30/2018 Publicación dos inserciones mensuales dentro del SUPLEMENTO INNOVADORES, a nivel regional de ELMUNDO DIARIO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21826"/>
    <s v="AD"/>
    <d v="2021-05-11T00:00:00"/>
    <n v="22021004368"/>
    <s v="2021 09 3341 22609"/>
    <n v="1810.08"/>
    <x v="597"/>
    <s v="CONTRATACION SERVICIO WIFI PARA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3570"/>
    <s v="AD"/>
    <d v="2021-05-24T00:00:00"/>
    <n v="22021004428"/>
    <s v="2021 05 4331 609"/>
    <n v="528.64"/>
    <x v="250"/>
    <s v="CONTROL DE CALIDAD EN OBRA CONTRATO OBRA DE INFRAESTRUCTURA VERDE SINGULAR: JARDÍN BIO-FILTRO URBANO (URBAN GREENUP"/>
    <s v="220"/>
    <s v="ZARATAN"/>
    <s v="VALLADOLID"/>
    <x v="2"/>
    <s v="PrAbier - Procedimiento Abierto"/>
    <s v="UniC - Único Criterio"/>
    <x v="2"/>
    <x v="1"/>
    <s v="6"/>
    <s v="6. Inversiones reales"/>
    <s v="05"/>
    <x v="6"/>
    <s v="4331"/>
    <s v="4331. Desarrollo empresarial"/>
    <s v="60"/>
    <s v="609"/>
  </r>
  <r>
    <n v="220210025673"/>
    <s v="D"/>
    <d v="2021-05-27T00:00:00"/>
    <n v="22021003381"/>
    <s v="2021 11 1361 22199"/>
    <n v="32.950000000000003"/>
    <x v="82"/>
    <s v="ACUERDO MARCO V.36_2017; LOTE 6; LUMIN.TRILUX 60X60 M73 UGR&lt;19 36/29 840ET  LED/TASA ECORAEE (BOMBEROS CANTERAC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793"/>
    <s v="ADO"/>
    <d v="2021-05-07T00:00:00"/>
    <n v="22021004301"/>
    <s v="2021 04 9202 22607"/>
    <n v="1795.7"/>
    <x v="388"/>
    <s v="A.E. USO DE ESPACIOS F. ECONÓMICAS - AULARIO CAMPUS ESGUEVA/ DIA:17-04-2021 /20 agentes P.M. -mjsi-.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31326"/>
    <s v="AD"/>
    <d v="2021-06-17T00:00:00"/>
    <n v="22021004924"/>
    <s v="2021 11 1321 22699"/>
    <n v="1790.8"/>
    <x v="243"/>
    <s v="REALIZACIÓN DE PRUEBAS CONFIRMATORIAS DE DROGAS EN LABORATORIO ACREDITADO.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19013"/>
    <s v="AD"/>
    <d v="2021-05-03T00:00:00"/>
    <n v="22021004240"/>
    <s v="2021 11 1321 214"/>
    <n v="1787.87"/>
    <x v="744"/>
    <s v="IMPORTE REVISIÓN 12 MOTOCICLETAS DE POLICÍA MUNICIPAL EN PERIODO DE GARANTÍ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9585"/>
    <s v="D"/>
    <d v="2021-06-08T00:00:00"/>
    <n v="22021003381"/>
    <s v="2021 11 1361 22199"/>
    <n v="60.26"/>
    <x v="82"/>
    <s v="ACUERDO MARCO V.36/2017; LOTE 6; LUMINARIA PH RC065B LED (2) / TASA ECORAEE (2) // PARQUE DE BOMBEROS CENTR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946"/>
    <s v="AD"/>
    <d v="2021-04-26T00:00:00"/>
    <n v="22021004042"/>
    <s v="2021 06 2315 22611"/>
    <n v="1760"/>
    <x v="393"/>
    <s v="Talleres educativos de música en familia a cargo de Escucha y Siente para el ciclo Música en Femenino / DURANTE 2021"/>
    <s v="220"/>
    <s v="VALDESTILLAS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9246"/>
    <s v="AD"/>
    <d v="2021-05-04T00:00:00"/>
    <n v="22021004170"/>
    <s v="2021 06 2315 22611"/>
    <n v="1760"/>
    <x v="745"/>
    <s v="Talleres educativos de música en Centro Municipal de Igualdad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587"/>
    <s v="D"/>
    <d v="2021-06-08T00:00:00"/>
    <n v="22021003381"/>
    <s v="2021 11 1361 22199"/>
    <n v="23.3"/>
    <x v="82"/>
    <s v="ACUERDO MARCO V.36/2017; LOTE 6; INTERRUP GAVE A-5511000 16A CAL.0 //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251"/>
    <s v="AD"/>
    <d v="2021-06-07T00:00:00"/>
    <n v="22021004583"/>
    <s v="2021 01 9207 22602"/>
    <n v="1754.5"/>
    <x v="221"/>
    <s v="ADJUDICA INSERCIÓN PUBLICITARIA EN EL ANUARIO TAURINO RELATIVO AL AÑO 2020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02"/>
  </r>
  <r>
    <n v="220210032804"/>
    <s v="D"/>
    <d v="2021-06-24T00:00:00"/>
    <n v="22021003381"/>
    <s v="2021 11 1361 22199"/>
    <n v="1.06"/>
    <x v="82"/>
    <s v="ACUERDO MARCO SUMINISTROS: CAJA EST OBO T-40 90X90 IP55 2007045 (BOMBEROS CANTERA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800"/>
    <s v="D"/>
    <d v="2021-06-22T00:00:00"/>
    <n v="22019009556"/>
    <s v="2021 02 9332 633"/>
    <n v="8579.69"/>
    <x v="82"/>
    <s v="EJECUCION IFS OCAS - SUMINISTRO 171 LUMINARIAS ARCHIVO MUNICIPAL"/>
    <s v="30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3"/>
  </r>
  <r>
    <n v="220210020467"/>
    <s v="ADO"/>
    <d v="2021-05-06T00:00:00"/>
    <n v="22021004269"/>
    <s v="2021 08 1513 83100"/>
    <n v="1738.46"/>
    <x v="746"/>
    <s v="PROYECTO BÁSICO Y DE EJECUCIÓN REHABILITACIÓN INTEGRAL FACHADA EDIFICIO C/ ESTACIÓN Nº 9 (OE 47/2018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33088"/>
    <s v="AD"/>
    <d v="2021-06-29T00:00:00"/>
    <n v="22021005089"/>
    <s v="2021 08 1532 210"/>
    <n v="1730.3"/>
    <x v="38"/>
    <s v="Suministro y colocación 11 barandillas de 1,50x0,85 m con montantes de pletina y barrotes soldados y mano de imprimación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3126"/>
    <s v="AD"/>
    <d v="2021-06-30T00:00:00"/>
    <n v="22021005093"/>
    <s v="2021 08 1651 619"/>
    <n v="754.51"/>
    <x v="747"/>
    <s v="LOTE 1 ACUERDO MARCO CONTROL DE CALIDAD. EXP: 8/2021"/>
    <s v="220"/>
    <s v="MALAGA"/>
    <s v="MALAGA"/>
    <x v="0"/>
    <s v="PrAbier - Procedimiento Abierto"/>
    <s v="MultiC - MultiCriterio"/>
    <x v="2"/>
    <x v="1"/>
    <s v="6"/>
    <s v="6. Inversiones reales"/>
    <s v="08"/>
    <x v="9"/>
    <s v="1651"/>
    <s v="1651. Alumbrado público"/>
    <s v="61"/>
    <s v="619"/>
  </r>
  <r>
    <n v="220210033094"/>
    <s v="AD"/>
    <d v="2021-06-29T00:00:00"/>
    <n v="22021005117"/>
    <s v="2021 08 1532 22706"/>
    <n v="1669.8"/>
    <x v="349"/>
    <s v="Auditoria de estado y operatividad de canalizaciones municipales para posterior tendido de fibra óptica para PQ Vias Púb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706"/>
  </r>
  <r>
    <n v="220210023525"/>
    <s v="AD"/>
    <d v="2021-05-20T00:00:00"/>
    <n v="22021004424"/>
    <s v="2021 01 9206 223"/>
    <n v="1624.7"/>
    <x v="53"/>
    <s v="Transporte de fondo documental desde Urbanización Fuente del Fresno (S. S. de los Reyes) hasta el Archivo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3"/>
  </r>
  <r>
    <n v="220210021021"/>
    <s v="AD"/>
    <d v="2021-05-07T00:00:00"/>
    <n v="22021004318"/>
    <s v="2021 07 1711 214"/>
    <n v="7260"/>
    <x v="96"/>
    <s v="REPARACION VEHICULOS DEL SERVICIO DE PARQUES Y JARDINES."/>
    <s v="220"/>
    <s v="VALLADOLID"/>
    <s v="VALLADOLID"/>
    <x v="0"/>
    <s v="PrAbier - Procedimiento Abierto"/>
    <s v="SinC - Sin Criterio"/>
    <x v="2"/>
    <x v="1"/>
    <s v="2"/>
    <s v="2. Gastos corrientes en bienes y servicios"/>
    <s v="07"/>
    <x v="7"/>
    <s v="1711"/>
    <s v="1711. Parques y jardines"/>
    <s v="21"/>
    <s v="214"/>
  </r>
  <r>
    <n v="220210025553"/>
    <s v="AD"/>
    <d v="2021-05-26T00:00:00"/>
    <n v="22021003137"/>
    <s v="2021 01 9205 623"/>
    <n v="1597.2"/>
    <x v="553"/>
    <s v="ADJUDICA ADQUISICIÓN MÁQUINA EMBOLSADORA RETRACTILADORA PARA IMPRENTA MUNICIPAL"/>
    <s v="220"/>
    <s v="VALLADOLID"/>
    <s v="VALLADOLID"/>
    <x v="1"/>
    <s v="AdDirec - Adjudicación Directa"/>
    <s v="SinC - Sin Criterio"/>
    <x v="0"/>
    <x v="1"/>
    <s v="6"/>
    <s v="6. Inversiones reales"/>
    <s v="01"/>
    <x v="4"/>
    <s v="9205"/>
    <s v="9205. Imprenta municipal"/>
    <s v="62"/>
    <s v="623"/>
  </r>
  <r>
    <n v="220210020444"/>
    <s v="AD"/>
    <d v="2021-05-06T00:00:00"/>
    <n v="22021004290"/>
    <s v="2021 08 1532 22103"/>
    <n v="1550"/>
    <x v="472"/>
    <s v="Suministro de 2.500 litros de gasóleo C para la caldera del nuevo Parque de Conservación Vías Públicas, C/ Títulos,51."/>
    <s v="220"/>
    <s v="RUBENA"/>
    <s v="BURGOS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3"/>
  </r>
  <r>
    <n v="220210031359"/>
    <s v="AD"/>
    <d v="2021-06-18T00:00:00"/>
    <n v="22021004925"/>
    <s v="2021 07 1721 22199"/>
    <n v="1543.27"/>
    <x v="748"/>
    <s v="REPARACIONES EQUIPO MANIFOLD DE LA RED CONTROL CONTAMINACIÓN ATMOSFÉRICA. SERVICIO DE MEDIO AMBIENTE"/>
    <s v="220"/>
    <s v="ALMERÍA"/>
    <s v="ALMERÍA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99"/>
  </r>
  <r>
    <n v="220210027702"/>
    <s v="D"/>
    <d v="2021-06-01T00:00:00"/>
    <n v="22021004322"/>
    <s v="2021 07 1711 619"/>
    <n v="867.18"/>
    <x v="98"/>
    <s v="ACUERDO MARCO 2017/36, SUMINISTRO DE ARBOLADO Y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0857"/>
    <s v="D"/>
    <d v="2021-05-07T00:00:00"/>
    <n v="22021003381"/>
    <s v="2021 11 1361 22199"/>
    <n v="23.58"/>
    <x v="116"/>
    <s v="ACUERDO MARCO V.36_2017; LOTE 7; ALB.2101805 040321:SILICONA TRAS/ESPUMA POLIU/ALB.2101820 040321:WEBERFLEX DUO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225"/>
    <s v="AD"/>
    <d v="2021-06-15T00:00:00"/>
    <n v="22021004903"/>
    <s v="2021 05 4331 22699"/>
    <n v="1525.32"/>
    <x v="749"/>
    <s v="Gestión y renovación de la marca número 2.959.840 VALLADOLI+D ADELANTE (con gráfico), en clases 36, 41 y 42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16819"/>
    <s v="D"/>
    <d v="2021-04-22T00:00:00"/>
    <n v="22021002449"/>
    <s v="2021 07 1711 619"/>
    <n v="142.30000000000001"/>
    <x v="750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15304"/>
    <s v="AD"/>
    <d v="2021-04-14T00:00:00"/>
    <n v="22021003855"/>
    <s v="2021 04 9202 22607"/>
    <n v="1512.5"/>
    <x v="751"/>
    <s v="PRUEBAS FÍSICAS, VIDEO FINISH PARA PROVISIÓN DE 20 PLAZAS DE AGENTES DE LA POLICÍA MUNICIPAL."/>
    <s v="220"/>
    <s v="CASTELLON"/>
    <s v="CASTELLÓN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359"/>
    <s v="AD"/>
    <d v="2021-05-05T00:00:00"/>
    <n v="22021003205"/>
    <s v="2021 05 4331 22602"/>
    <n v="6969.6"/>
    <x v="162"/>
    <s v="Publicación de una página los domingos en la sección 'Innovación Valladolid' de El Norte de Castilla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15504"/>
    <s v="AD"/>
    <d v="2021-04-14T00:00:00"/>
    <n v="22021003812"/>
    <s v="2021 06 3321 22799"/>
    <n v="1500"/>
    <x v="76"/>
    <s v="TRABAJOS DE DISEÑO Y MAQUETACIÓN PARA LAS BIBLIOTECAS MUNICIPALES. PLAZO AÑO 2021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799"/>
  </r>
  <r>
    <n v="220210014454"/>
    <s v="D"/>
    <d v="2021-04-09T00:00:00"/>
    <n v="22021003381"/>
    <s v="2021 11 1361 22199"/>
    <n v="1045.2"/>
    <x v="114"/>
    <s v="ACUERDO MARCO V.36_2017; LOTE 1;MEDIDOR CO2 ( 4 UNID)  / Codigos:  1049652 - 1049655 - 1049726 -  1049727; 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082"/>
    <s v="AD"/>
    <d v="2021-04-19T00:00:00"/>
    <n v="22021003913"/>
    <s v="2021 07 1711 22799"/>
    <n v="1500"/>
    <x v="102"/>
    <s v="TRABAJOS DIVERSOS EN ZONAS AJARDINADAS."/>
    <s v="220"/>
    <s v="MATAPOZUELOS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19253"/>
    <s v="AD"/>
    <d v="2021-05-04T00:00:00"/>
    <n v="22021004249"/>
    <s v="2021 06 2315 22611"/>
    <n v="1500"/>
    <x v="752"/>
    <s v="VARIOS TALLERES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566"/>
    <s v="AD"/>
    <d v="2021-06-07T00:00:00"/>
    <n v="22021002064"/>
    <s v="2021 10 2412 22199"/>
    <n v="1500"/>
    <x v="448"/>
    <s v="AJUSTE MATERIAL DE OFICINA, PAPELERIA D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2107"/>
    <s v="AD"/>
    <d v="2021-05-12T00:00:00"/>
    <n v="22021004369"/>
    <s v="2021 11 3111 22106"/>
    <n v="1500"/>
    <x v="421"/>
    <s v="Suministro medicamentos del Centro de Protección Animal durante 2021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9250"/>
    <s v="AD"/>
    <d v="2021-05-04T00:00:00"/>
    <n v="22021004238"/>
    <s v="2021 06 2315 22611"/>
    <n v="1500"/>
    <x v="753"/>
    <s v="REALIZACION DE VARIOS TALLERES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98"/>
    <s v="AD"/>
    <d v="2021-06-22T00:00:00"/>
    <n v="22021004957"/>
    <s v="2021 06 3321 223"/>
    <n v="1500"/>
    <x v="576"/>
    <s v="SERVICIO DE REPARTO DE LIBROS A LAS BIBLIOTECAS MUNICIPALES AÑ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3"/>
  </r>
  <r>
    <n v="220210016939"/>
    <s v="AD"/>
    <d v="2021-04-26T00:00:00"/>
    <n v="22021003982"/>
    <s v="2021 10 2312 213"/>
    <n v="1464.1"/>
    <x v="52"/>
    <s v="SUBSANACION  DE DEFECTOS ENCONTARADOS AL REALIZAR LA INSPECCION OBLIGATORIA DE ASCENSORES DEL CPM RONDILLA- DURACION 1 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14465"/>
    <s v="D"/>
    <d v="2021-04-09T00:00:00"/>
    <n v="22021003381"/>
    <s v="2021 11 1361 22199"/>
    <n v="145.43"/>
    <x v="114"/>
    <s v="ACUERDO MARCO V.36_2017; LOTE 1;ESCALERA MULTIUSO SINEX 4X4 ALUMINIO (1)  / CAJA HERRAMIENTAS 450 E (1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484"/>
    <s v="D"/>
    <d v="2021-04-09T00:00:00"/>
    <n v="22021003381"/>
    <s v="2021 11 1361 22199"/>
    <n v="126"/>
    <x v="114"/>
    <s v="ACUERDO MARCO V.36/2017; LOTE 1;JUEGO LLAVES ALLEN/TIJ ELECTR/JGO LLAVES TORX/ OREJERA PELTOR/BRIDAS/RUEDA ALEX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810"/>
    <s v="AD"/>
    <d v="2021-06-24T00:00:00"/>
    <n v="22021004443"/>
    <s v="2021 10 2311 22700"/>
    <n v="1459.26"/>
    <x v="246"/>
    <s v="Servicio de limpieza de tres aulas/aseos en CEIP León Felipe desde el 24 junio al 30 de julio 2021. Programa Cibercaixa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15844"/>
    <s v="D"/>
    <d v="2021-04-16T00:00:00"/>
    <n v="22021001275"/>
    <s v="2021 07 1711 22199"/>
    <n v="293.69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68"/>
    <s v="AD"/>
    <d v="2021-06-03T00:00:00"/>
    <n v="22021003230"/>
    <s v="2021 02 1511 641"/>
    <n v="1452"/>
    <x v="754"/>
    <s v="ACTUALIZACIÓN Y MANTENIMIENTO SOLIBRI OFFICE AÑO 2021"/>
    <s v="220"/>
    <s v="HELSINKI"/>
    <s v="FINLANDIA"/>
    <x v="0"/>
    <s v="AdDirec - Adjudicación Directa"/>
    <s v="SinC - Sin Criterio"/>
    <x v="0"/>
    <x v="1"/>
    <s v="6"/>
    <s v="6. Inversiones reales"/>
    <s v="02"/>
    <x v="10"/>
    <s v="1511"/>
    <s v="1511. Planficación y gestión del urbanismo"/>
    <s v="64"/>
    <s v="641"/>
  </r>
  <r>
    <n v="220210020912"/>
    <s v="D"/>
    <d v="2021-05-07T00:00:00"/>
    <n v="22021002089"/>
    <s v="2021 03 9241 213"/>
    <n v="5354.7"/>
    <x v="168"/>
    <s v="Dowlight Luceco CARBON/ Panel LED/ DETECTOR PIR/ Tubo led CorePro/ Luminaria Led/ Emergencia/ Caja (SEGUN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4848"/>
    <s v="AD"/>
    <d v="2021-05-25T00:00:00"/>
    <n v="22021004542"/>
    <s v="2021 03 9241 213"/>
    <n v="1406.02"/>
    <x v="665"/>
    <s v="REVISIÓN INSTALACIÓN CLIMATIZACIÓN CC ZONA SUR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5867"/>
    <s v="D"/>
    <d v="2021-04-16T00:00:00"/>
    <n v="22021001968"/>
    <s v="2021 11 1321 22199"/>
    <n v="1899.7"/>
    <x v="114"/>
    <s v="ACUERDO MARCO. SUMINISTRO GUANTE DY008B - T 7 (50) / GUANTE DY008B - T 8 (120) / GUANTE DY008B - T 9 (30). ANTICORTE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5901"/>
    <s v="AD"/>
    <d v="2021-05-28T00:00:00"/>
    <n v="22021004493"/>
    <s v="2021 06 3321 213"/>
    <n v="1399.97"/>
    <x v="719"/>
    <s v="PERSIANA GALVANIZADA PARA LA PUERTA DE ENTRADA DE LA BIBLIOTECA DE PLAZA DE LAS NIEVES. 1 MES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1"/>
    <s v="213"/>
  </r>
  <r>
    <n v="220210025520"/>
    <s v="D"/>
    <d v="2021-05-26T00:00:00"/>
    <n v="22021002601"/>
    <s v="2021 06 3321 629"/>
    <n v="4032.01"/>
    <x v="755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2483"/>
    <s v="D"/>
    <d v="2021-05-14T00:00:00"/>
    <n v="22021001256"/>
    <s v="2021 07 1721 22112"/>
    <n v="4019.05"/>
    <x v="82"/>
    <s v="BATERIA CIRCUTOR OPTIM3 (8 UNID.)  / TRANSFOR CIRCUTOR (9 UNID.) /// DESTINO: PROTEC. MEDIO AMBIENTE"/>
    <s v="300"/>
    <s v="VALLADOLID"/>
    <s v="VALLADOLID"/>
    <x v="1"/>
    <s v="PrAbier - Procedimiento Abierto"/>
    <s v="SinC - Sin Criterio"/>
    <x v="2"/>
    <x v="1"/>
    <s v="2"/>
    <s v="2. Gastos corrientes en bienes y servicios"/>
    <s v="07"/>
    <x v="7"/>
    <s v="1721"/>
    <s v="1721. Protección del medio ambiente"/>
    <s v="22"/>
    <s v="22112"/>
  </r>
  <r>
    <n v="220210025547"/>
    <s v="AD"/>
    <d v="2021-05-26T00:00:00"/>
    <n v="22021002924"/>
    <s v="2021 02 9332 632"/>
    <n v="771.23"/>
    <x v="250"/>
    <s v="CONTROL CALIDAD REPARACIÓN CUBIERTA CASA CONSISTORIAL"/>
    <s v="220"/>
    <s v="ZARATAN"/>
    <s v="VALLADOLID"/>
    <x v="0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30468"/>
    <s v="D"/>
    <d v="2021-06-11T00:00:00"/>
    <n v="22021002048"/>
    <s v="2021 11 1621 214"/>
    <n v="3971.98"/>
    <x v="110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5988"/>
    <s v="D"/>
    <d v="2021-05-28T00:00:00"/>
    <n v="22021002601"/>
    <s v="2021 06 3321 629"/>
    <n v="3915.72"/>
    <x v="756"/>
    <s v="SUMINISTRO DE DIFERENTES TÍTULOS PARA BIBLIOTECAS PUBLICAS M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8842"/>
    <s v="D"/>
    <d v="2021-04-28T00:00:00"/>
    <n v="22021002059"/>
    <s v="2021 11 1361 22199"/>
    <n v="14.86"/>
    <x v="114"/>
    <s v="ACUERDO MARCO V.36_2017; LOTE 1; MOSQUETON BOMBERO 60MM (20)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056"/>
    <s v="D"/>
    <d v="2021-05-03T00:00:00"/>
    <n v="22021001275"/>
    <s v="2021 07 1711 22199"/>
    <n v="66.489999999999995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0866"/>
    <s v="D"/>
    <d v="2021-05-07T00:00:00"/>
    <n v="22021003381"/>
    <s v="2021 11 1361 22199"/>
    <n v="92.94"/>
    <x v="114"/>
    <s v="ACUERDO MARCO V.36_2017; LOTE 1;CUTTER/JGO ALLEN/ROLLO ALAMBRE GALV/PUNTERO OCTOG/TENAZA/CINTA AISL/LLAVE CABIN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652"/>
    <s v="ADO"/>
    <d v="2021-05-07T00:00:00"/>
    <n v="22021004212"/>
    <s v="2021 04 9202 22607"/>
    <n v="1350.9"/>
    <x v="388"/>
    <s v="A.E. USO DE ESPACIOS F. ECONÓMICAS - AULARIO ESGUEVA /DÍA: 27-3-2021-2 PSICÓLGOS. -mjsi.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8745"/>
    <s v="D"/>
    <d v="2021-06-04T00:00:00"/>
    <n v="22021001275"/>
    <s v="2021 07 1711 22199"/>
    <n v="914.76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747"/>
    <s v="D"/>
    <d v="2021-06-04T00:00:00"/>
    <n v="22021001275"/>
    <s v="2021 07 1711 22199"/>
    <n v="82.4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9583"/>
    <s v="D"/>
    <d v="2021-06-08T00:00:00"/>
    <n v="22021003381"/>
    <s v="2021 11 1361 22199"/>
    <n v="26.08"/>
    <x v="114"/>
    <s v="ACUERDO MARCO: V.36/2017; LOTE 1; CAJA HERRAMIENTAS DE PLASTICO N34 (1 UNIDAD) ///  PREVENCIÓN Y EXT.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594"/>
    <s v="D"/>
    <d v="2021-06-08T00:00:00"/>
    <n v="22021003381"/>
    <s v="2021 11 1361 22199"/>
    <n v="239.58"/>
    <x v="114"/>
    <s v="ACUERDO MARCO SUMINISTROS: ESCALERA MULTIUSO SINEX 4X4 ALUMINIO (2 UNIDADES) /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628"/>
    <s v="D"/>
    <d v="2021-06-08T00:00:00"/>
    <n v="22021002601"/>
    <s v="2021 06 3321 629"/>
    <n v="3737.38"/>
    <x v="757"/>
    <s v="SUMINISTRO DE DIFERENTES LIBROS // PARA BIBLIOTECAS PUBLICAS MUNICIPALES"/>
    <s v="300"/>
    <s v="POZUELO DE ALARCON"/>
    <s v="MADR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1425"/>
    <s v="D"/>
    <d v="2021-06-18T00:00:00"/>
    <n v="22021001968"/>
    <s v="2021 11 1321 22199"/>
    <n v="26.14"/>
    <x v="114"/>
    <s v="ACUERDO MARCO. SUMINISTRO DE MATERIAL DE FERRETERIA PARA DEPENDENCIAS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5561"/>
    <s v="AD"/>
    <d v="2021-05-26T00:00:00"/>
    <n v="22021004569"/>
    <s v="2021 11 1321 212"/>
    <n v="1307.76"/>
    <x v="282"/>
    <s v="REPARACIÓN DE VIERTEAGUAS SUELO BALCÓN, DEPENDENCIAS DISTRITO 4º."/>
    <s v="220"/>
    <s v="MEDINA DEL CAMPO"/>
    <s v="VALLADOLID"/>
    <x v="2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2"/>
  </r>
  <r>
    <n v="220210025986"/>
    <s v="D"/>
    <d v="2021-05-28T00:00:00"/>
    <n v="22021002601"/>
    <s v="2021 06 3321 629"/>
    <n v="3721.11"/>
    <x v="758"/>
    <s v="LIBROS PARA LAS BIBLIOTECAS MUNICIPALES (263 EJEMPLARES) // LIBRERÍA LA VICTORIA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9252"/>
    <s v="AD"/>
    <d v="2021-05-04T00:00:00"/>
    <n v="22021004242"/>
    <s v="2021 06 2315 22611"/>
    <n v="1300"/>
    <x v="759"/>
    <s v="REALIZACION DE TALLERES PINTORAS EN LA NIEBLA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5847"/>
    <s v="D"/>
    <d v="2021-04-16T00:00:00"/>
    <n v="22021001275"/>
    <s v="2021 07 1711 22199"/>
    <n v="5378.58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268"/>
    <s v="D"/>
    <d v="2021-05-19T00:00:00"/>
    <n v="22021001275"/>
    <s v="2021 07 1711 22199"/>
    <n v="2230.5700000000002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253"/>
    <s v="D"/>
    <d v="2021-06-10T00:00:00"/>
    <n v="22021001275"/>
    <s v="2021 07 1711 22199"/>
    <n v="1504.88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167"/>
    <s v="D"/>
    <d v="2021-06-14T00:00:00"/>
    <n v="22021003381"/>
    <s v="2021 11 1361 22199"/>
    <n v="468.49"/>
    <x v="161"/>
    <s v="ACUERDO MARCO: ALBARANES: 02757- 02594- 01937//CUBRECOLCHONES 200*90 (20) - TORNILLOS (230) - CINTA AISLANTE (3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404"/>
    <s v="AD"/>
    <d v="2021-05-14T00:00:00"/>
    <n v="22021004396"/>
    <s v="2021 10 2311 212"/>
    <n v="1283.29"/>
    <x v="263"/>
    <s v="MEJORA EN LA SEGURIDAD DE LAS PUERTAS DE ACCESO AL CENTRO INTEGRADO AMPLIACIÓN ELECTROVENTOSAS EN PUERTA DE ENTRAD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475"/>
    <s v="D"/>
    <d v="2021-04-09T00:00:00"/>
    <n v="22021003381"/>
    <s v="2021 11 1361 22199"/>
    <n v="95.58"/>
    <x v="168"/>
    <s v="ACUERDO MARCO V.36/2017; LOTE 6; Placa metacrilato transparente 2000x1500x2 mm.  (1 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607"/>
    <s v="D"/>
    <d v="2021-04-12T00:00:00"/>
    <n v="22021001968"/>
    <s v="2021 11 1321 22199"/>
    <n v="243.73"/>
    <x v="168"/>
    <s v="ACUERDO MARCO. SUMINISTRO MATERIAL ELECTRICIDAD  //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0087"/>
    <s v="AD"/>
    <d v="2021-05-05T00:00:00"/>
    <n v="22021004176"/>
    <s v="2021 04 9204 22200"/>
    <n v="1259.3900000000001"/>
    <x v="426"/>
    <s v="CONTRATACIÓN DE UN ACCESO FTTH VPNIP 600/600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14692"/>
    <s v="AD"/>
    <d v="2021-04-13T00:00:00"/>
    <n v="22021003836"/>
    <s v="2021 11 1361 22199"/>
    <n v="1253.02"/>
    <x v="760"/>
    <s v="Productos detergentes para lavadora industrial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3405"/>
    <s v="D"/>
    <d v="2021-05-19T00:00:00"/>
    <n v="22021002601"/>
    <s v="2021 06 3321 629"/>
    <n v="3525.48"/>
    <x v="761"/>
    <s v="SUMINISTRO DE DIFERENTES TÍTULOS // ALBARANES: Nº 32129 (19-04-21)- Nºs 32127- 32128 (16-04-21) - Nº 32133 (26-04-21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1362"/>
    <s v="AD"/>
    <d v="2021-06-18T00:00:00"/>
    <n v="22021004941"/>
    <s v="2021 02 9332 632"/>
    <n v="1233.94"/>
    <x v="80"/>
    <s v="COMPRA DE MATERIAL DE CARPINTERIA METALICA"/>
    <s v="220"/>
    <s v="VALLADOLID"/>
    <s v="VALLADOLID"/>
    <x v="1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0639"/>
    <s v="D"/>
    <d v="2021-05-07T00:00:00"/>
    <n v="22021002054"/>
    <s v="2021 11 1631 214"/>
    <n v="3509"/>
    <x v="110"/>
    <s v="AC MARCO EXP V36-2017: CEPILLOS REPARACION Y MANTENIMIENTO BARREDORAS RAVO, ELGIN,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0485"/>
    <s v="D"/>
    <d v="2021-06-11T00:00:00"/>
    <n v="22021002054"/>
    <s v="2021 11 1631 214"/>
    <n v="3473.96"/>
    <x v="110"/>
    <s v="AC MARCO EXP V36-2017: SUMINISTRO CEPILLOS REPARACION BARREDORAS MARCAS RAVO Y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20470"/>
    <s v="ADO"/>
    <d v="2021-05-06T00:00:00"/>
    <n v="22021004273"/>
    <s v="2021 08 1513 83100"/>
    <n v="1208.01"/>
    <x v="746"/>
    <s v="PROYECTO BÁSICO Y DE EJECUCIÓN REHABILITACIÓN INTEGRAL FACHADA EDIFICIO C/ CAÑO ARGALES Nº 3 (OE 113/2013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27001"/>
    <s v="AD"/>
    <d v="2021-06-01T00:00:00"/>
    <n v="22021004620"/>
    <s v="2021 02 9332 632"/>
    <n v="3472.83"/>
    <x v="762"/>
    <s v="COMPRA MATERIAL CERRAJERÍA DESTINADO A REALIZAR ENREJADO EN PUERTA Y VENTANA NAVE PINGÜINOS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14506"/>
    <s v="D"/>
    <d v="2021-04-09T00:00:00"/>
    <n v="22020001574"/>
    <s v="2021 06 3321 629"/>
    <n v="3391.46"/>
    <x v="755"/>
    <s v="SUMINISTRO DE AUDIOVISUALES: 232 UNIDADES DE DVD (DETALLE EN ADJUNTO NÚMERO 5783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00065333"/>
    <s v="AD"/>
    <d v="2021-06-28T00:00:00"/>
    <n v="22020007167"/>
    <s v="2021 02 1511 212"/>
    <n v="3356.8"/>
    <x v="168"/>
    <s v="MATERIAL PARA EL CENTRO DE MANTENIMIENTO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1511"/>
    <s v="1511. Planficación y gestión del urbanismo"/>
    <s v="21"/>
    <s v="212"/>
  </r>
  <r>
    <n v="220210016437"/>
    <s v="AD"/>
    <d v="2021-04-20T00:00:00"/>
    <n v="22021003827"/>
    <s v="2021 06 2315 22799"/>
    <n v="1200"/>
    <x v="349"/>
    <s v="SERVICIO DE AUDITORIA DE FIBRA OPTICA PARA LA INTERCONEXION ENTRE EL CM IGUALDAD CON LA CUPULA DEL MILENIO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5044"/>
    <s v="AD"/>
    <d v="2021-05-25T00:00:00"/>
    <n v="22021003167"/>
    <s v="2021 02 9332 632"/>
    <n v="3356.8"/>
    <x v="168"/>
    <s v="SUMINISTRO MATERIAL Y PEQUEÑAS HERRAMIENTAS CENTRO DE MANTENIMIENTO"/>
    <s v="220"/>
    <s v="VALLADOLID"/>
    <s v="VALLADOLID"/>
    <x v="1"/>
    <s v="PrAbier - Procedimiento Abierto"/>
    <s v="SinC - Sin Criterio"/>
    <x v="2"/>
    <x v="1"/>
    <s v="6"/>
    <s v="6. Inversiones reales"/>
    <s v="02"/>
    <x v="10"/>
    <s v="9332"/>
    <s v="9332. Mantenimiento de edificios e instalaciones municipales"/>
    <s v="63"/>
    <s v="632"/>
  </r>
  <r>
    <n v="220210020725"/>
    <s v="D"/>
    <d v="2021-05-07T00:00:00"/>
    <n v="22021002054"/>
    <s v="2021 11 1631 214"/>
    <n v="3189.84"/>
    <x v="110"/>
    <s v="AC MARCO EXP V36-2017: CEPILLOS REPARACION BARREDORAS RAVO, CITY CAT, MATHIEU D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1502"/>
    <s v="AD"/>
    <d v="2021-06-22T00:00:00"/>
    <n v="22021005011"/>
    <s v="2021 06 2315 22611"/>
    <n v="1197.9000000000001"/>
    <x v="695"/>
    <s v="MATERIAL PUBLICITARIO CAMPAÑA LGTBI MOCHILA POLIESTER BLANCA GRABADA / 1 DÍ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6655"/>
    <s v="AD"/>
    <d v="2021-04-21T00:00:00"/>
    <n v="22021003883"/>
    <s v="2021 01 9203 22602"/>
    <n v="1197.9000000000001"/>
    <x v="526"/>
    <s v="ADQUISICION DE BOLÍGRAFOS PARA ACTOS REPRESENTATIVOS Y PROTOCOLARIOS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02"/>
  </r>
  <r>
    <n v="220210016803"/>
    <s v="ADO"/>
    <d v="2021-04-22T00:00:00"/>
    <n v="22021003990"/>
    <s v="2021 04 9321 22799"/>
    <n v="1195.08"/>
    <x v="763"/>
    <s v="CONTRATO  MANTENIMIENTO SISTEMA GESTIÓN DE ESPERA  QSYSTEM Santa Ana, 6 bj Servicios de Gestión de Ingresos y Gestión Re"/>
    <s v="24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9321"/>
    <s v="9321. Gestión de ingresos e inspección"/>
    <s v="22"/>
    <s v="22799"/>
  </r>
  <r>
    <n v="220210025899"/>
    <s v="AD"/>
    <d v="2021-05-28T00:00:00"/>
    <n v="22021004615"/>
    <s v="2021 07 1721 22799"/>
    <n v="1190.42"/>
    <x v="187"/>
    <s v="REVISION TOMA TIERRA E INTALACIÓN ELÉCTRICA ESTACIONES MEDICIÓN CONTAMINACIÓN DE LA RCCVA. SERVICIO DE MEDIO AMBIENTE"/>
    <s v="220"/>
    <s v="VALLADOLID"/>
    <s v="VALLADOLID"/>
    <x v="0"/>
    <s v="AdDirec - Adjudicación Directa"/>
    <s v="MultiC - MultiCriterio"/>
    <x v="0"/>
    <x v="1"/>
    <s v="2"/>
    <s v="2. Gastos corrientes en bienes y servicios"/>
    <s v="07"/>
    <x v="7"/>
    <s v="1721"/>
    <s v="1721. Protección del medio ambiente"/>
    <s v="22"/>
    <s v="22799"/>
  </r>
  <r>
    <n v="220210025661"/>
    <s v="D"/>
    <d v="2021-05-27T00:00:00"/>
    <n v="22021003381"/>
    <s v="2021 11 1361 22199"/>
    <n v="458.58"/>
    <x v="168"/>
    <s v="ACUERDO MARCO SUMINISTROS: Proyector Guardian Pro 245W 4000K 28000 Lm IP65 (2 uds)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224"/>
    <s v="AD"/>
    <d v="2021-06-15T00:00:00"/>
    <n v="22021004902"/>
    <s v="2021 11 1621 212"/>
    <n v="1177.04"/>
    <x v="764"/>
    <s v="TRABAJOS DE PINTURA EN EL APARCAMIENTO EMPLEADOS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31216"/>
    <s v="AD"/>
    <d v="2021-06-15T00:00:00"/>
    <n v="22021004783"/>
    <s v="2021 01 9203 22699"/>
    <n v="1175.44"/>
    <x v="765"/>
    <s v="OTROS GASTOS DIVERSOS BANDERAS PLAZA HISPANIDAD, DEPENDENCIAS MUNICIPALES Y ACTOS OFICIALES, R.I."/>
    <s v="220"/>
    <s v="MALIAÑO"/>
    <s v="SANTANDER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31163"/>
    <s v="D"/>
    <d v="2021-06-14T00:00:00"/>
    <n v="22021002059"/>
    <s v="2021 11 1361 22199"/>
    <n v="4.2"/>
    <x v="168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113"/>
    <s v="AD"/>
    <d v="2021-06-29T00:00:00"/>
    <n v="22021005155"/>
    <s v="2021 10 2311 22699"/>
    <n v="1169.3399999999999"/>
    <x v="766"/>
    <s v="Adquisición de destructoras de papel (3 Uds), encuadernadoras (4 Uds) y guillotinas(4 Uds) para varios CEAS 2021"/>
    <s v="220"/>
    <s v="VALLADOLID"/>
    <s v="VALLADOLID"/>
    <x v="1"/>
    <s v="AdDirec - Adjudicación Directa"/>
    <s v="MultiC - MultiCriterio"/>
    <x v="0"/>
    <x v="1"/>
    <s v="2"/>
    <s v="2. Gastos corrientes en bienes y servicios"/>
    <s v="10"/>
    <x v="8"/>
    <s v="2311"/>
    <s v="2311. Intervención social"/>
    <s v="22"/>
    <s v="22699"/>
  </r>
  <r>
    <n v="220210031163"/>
    <s v="D"/>
    <d v="2021-06-14T00:00:00"/>
    <n v="22021003381"/>
    <s v="2021 11 1361 22199"/>
    <n v="5.7"/>
    <x v="168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511"/>
    <s v="D"/>
    <d v="2021-05-14T00:00:00"/>
    <n v="22021001966"/>
    <s v="2021 11 1321 213"/>
    <n v="19.95"/>
    <x v="82"/>
    <s v="ACUERDO MARCO. SUMINISTRO DE MATERIAL ELECTRÓNICA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4202"/>
    <s v="D"/>
    <d v="2021-04-07T00:00:00"/>
    <n v="22021001275"/>
    <s v="2021 07 1711 22199"/>
    <n v="244.14"/>
    <x v="216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826"/>
    <s v="AD"/>
    <d v="2021-06-04T00:00:00"/>
    <n v="22021004729"/>
    <s v="2021 01 9205 22104"/>
    <n v="1134.8"/>
    <x v="89"/>
    <s v="ADJUDICACIÓN SUMINISTRO DE VESTUARIO PARA EL PERSONAL DE LA IMPRENTA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04"/>
  </r>
  <r>
    <n v="220210014473"/>
    <s v="D"/>
    <d v="2021-04-09T00:00:00"/>
    <n v="22021002059"/>
    <s v="2021 11 1361 22199"/>
    <n v="23.8"/>
    <x v="216"/>
    <s v="ACUERDO MARCO V.36/2017; LOTE 8; TEFLON MIARCO HILO SELL/BROCA SDS-PLUS BOSCH PLUS-7X/CEP JAZ LIMPIABUJIAS LATON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189"/>
    <s v="ADO"/>
    <d v="2021-06-14T00:00:00"/>
    <n v="22021004879"/>
    <s v="2021 04 9202 22607"/>
    <n v="1128.5"/>
    <x v="388"/>
    <s v="USO AULAS UNIVERSIDAD/ LIMPIEZA DE AULAS - 2º PRUEBA PROVISIÓN 20 POLICÍA MUNICIPAL - DÍA 31/05/2021-mjsi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5734"/>
    <s v="D"/>
    <d v="2021-04-16T00:00:00"/>
    <n v="22021002048"/>
    <s v="2021 11 1621 214"/>
    <n v="2822.57"/>
    <x v="110"/>
    <s v="AC MARCO EXP V36-2017: REPUESTOS PARA REPARACIONES DE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571"/>
    <s v="AD"/>
    <d v="2021-04-12T00:00:00"/>
    <n v="22021003789"/>
    <s v="2021 02 9332 212"/>
    <n v="1113.2"/>
    <x v="606"/>
    <s v="REPARACIÓN PLACA Y ADAPTACIÓN DE ELEMENTOS DECORATIVO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12"/>
    <s v="AD"/>
    <d v="2021-05-06T00:00:00"/>
    <n v="22021004045"/>
    <s v="2021 10 2316 22616"/>
    <n v="1112"/>
    <x v="767"/>
    <s v="Creación de imagen e impresión de elementos publicitarios del día contra el racismo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3401"/>
    <s v="D"/>
    <d v="2021-05-19T00:00:00"/>
    <n v="22021002601"/>
    <s v="2021 06 3321 629"/>
    <n v="2767.22"/>
    <x v="768"/>
    <s v="DIFERENTES LIBROS PARA BIBLIOTECAS PUBLICAS DEL AYUNTAMIENTO DE VALLADOLID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2721"/>
    <s v="D"/>
    <d v="2021-06-24T00:00:00"/>
    <n v="22021002048"/>
    <s v="2021 11 1621 214"/>
    <n v="2737.58"/>
    <x v="110"/>
    <s v="AC MARCO EXP V36-2017: REPUESTOS PARA REPARACIONES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6046"/>
    <s v="AD"/>
    <d v="2021-05-28T00:00:00"/>
    <n v="22021004472"/>
    <s v="2021 05 4331 22602"/>
    <n v="2541"/>
    <x v="507"/>
    <s v="A.M. 30/2018 Inserción publicitaria en Mas Tribuna &quot;&quot;Internet y Comunicación&quot;&quot;  sobre ayudas Reactiva Digital"/>
    <s v="220"/>
    <s v="SALAMANCA"/>
    <s v="SALAMANCA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18880"/>
    <s v="D"/>
    <d v="2021-04-28T00:00:00"/>
    <n v="22021001966"/>
    <s v="2021 11 1321 213"/>
    <n v="2433.2399999999998"/>
    <x v="82"/>
    <s v="ACUEDO MARCO. SUMINISTRO DE MATERIAL ELÉCTRICO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6482"/>
    <s v="AD"/>
    <d v="2021-04-20T00:00:00"/>
    <n v="22021003904"/>
    <s v="2021 05 4331 22602"/>
    <n v="2418.79"/>
    <x v="446"/>
    <s v="Publi-Reportaje de dos páginas a color en el suplemento de Desarrollo Sostenible del EL DIA DE VALLADOLID- URBAN GreenUP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20636"/>
    <s v="D"/>
    <d v="2021-05-07T00:00:00"/>
    <n v="22021002049"/>
    <s v="2021 11 1621 22103"/>
    <n v="2369.16"/>
    <x v="304"/>
    <s v="AC MARCO EXP V36-2017: SUMINISTRO BIDON LUBRICANTE, ADITIVO GASOIL Y F. HIDRAULICOS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5814"/>
    <s v="ADO"/>
    <d v="2021-04-16T00:00:00"/>
    <n v="22021003834"/>
    <s v="2021 04 9204 216"/>
    <n v="1087.79"/>
    <x v="331"/>
    <s v="RENOVACIÓN DEL CONTRATO DE SOPORTE Y SUSCRIPCIÓN DE LAS LICENCIAS VMware"/>
    <s v="24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1"/>
    <s v="216"/>
  </r>
  <r>
    <n v="220210032795"/>
    <s v="D"/>
    <d v="2021-06-24T00:00:00"/>
    <n v="22021002057"/>
    <s v="2021 11 1631 22199"/>
    <n v="2343.77"/>
    <x v="411"/>
    <s v="AC MARCO EXP V36-2017: SUMINISTRO ESCALERAS PARA TALLER MECANICO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056"/>
    <s v="AD"/>
    <d v="2021-05-31T00:00:00"/>
    <n v="22021004576"/>
    <s v="2021 04 3121 22000"/>
    <n v="1066.01"/>
    <x v="93"/>
    <s v="BOLSAS PAPEL KRAFT REFORZADO PARA ARCHIVAR HISTORIA CLÍNICAS. SERVICIO DE PREVENCIÓN Y SALUD LABORAL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000"/>
  </r>
  <r>
    <n v="220210029812"/>
    <s v="AD"/>
    <d v="2021-06-09T00:00:00"/>
    <n v="22021004719"/>
    <s v="2021 06 2315 22611"/>
    <n v="1064.8"/>
    <x v="769"/>
    <s v="TALLER-CURSO &quot;&quot;PENSAR CON EL CUERPO: ARTES VISUALES Y MOVIMIENTO&quot;&quot; / 8 SESIONES"/>
    <s v="220"/>
    <s v="VALLADOLIDA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811"/>
    <s v="AD"/>
    <d v="2021-06-09T00:00:00"/>
    <n v="22021004666"/>
    <s v="2021 06 2315 22611"/>
    <n v="1064.8"/>
    <x v="770"/>
    <s v="TALLER-CURSO &quot;&quot;PENSAR CON EL CUERPO: ARTES VISUALES Y MOVIMIENTO&quot;&quot; 1º PONENTE / 8 SESIONES DURANTE MAYO Y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5564"/>
    <s v="AD"/>
    <d v="2021-05-26T00:00:00"/>
    <n v="22021004590"/>
    <s v="2021 11 1361 213"/>
    <n v="1060.44"/>
    <x v="771"/>
    <s v="Reparación sist aspiración en vacío de bombas contraincendios de BUP 11 y BUP 17, instalación trokomats nuevos; SEISYPC."/>
    <s v="220"/>
    <s v="FUENLABRADA"/>
    <s v="MADR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3"/>
  </r>
  <r>
    <n v="220210028162"/>
    <s v="AD"/>
    <d v="2021-06-02T00:00:00"/>
    <n v="22021004591"/>
    <s v="2021 10 2412 22706"/>
    <n v="1056.33"/>
    <x v="772"/>
    <s v="SERVICIO DE REALIZACION DE INFORMES DE LAS SUBVEN. DEL C.F. DE EMPLEO, CURSOS DE V. CUIDA IV Y P. DECORATIVAIII DEL 2021"/>
    <s v="220"/>
    <s v="SALAMANCA"/>
    <s v="SALAMANCA"/>
    <x v="0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2"/>
    <s v="22706"/>
  </r>
  <r>
    <n v="220210029626"/>
    <s v="D"/>
    <d v="2021-06-08T00:00:00"/>
    <n v="22021002601"/>
    <s v="2021 06 3321 629"/>
    <n v="2329.91"/>
    <x v="773"/>
    <s v="SUMINISTRO DE DIFERENTES TÍTULOS //  DESTINO: BIBLIOTECAS PUBLI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4210"/>
    <s v="D"/>
    <d v="2021-04-07T00:00:00"/>
    <n v="22021002048"/>
    <s v="2021 11 1621 214"/>
    <n v="2327.56"/>
    <x v="110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8160"/>
    <s v="AD"/>
    <d v="2021-06-02T00:00:00"/>
    <n v="22021004618"/>
    <s v="2021 07 1721 22112"/>
    <n v="1049.99"/>
    <x v="774"/>
    <s v="MATERIAL ELECTRÓNICO PARA LA RED DE CONTROL DE LA CONTAMINACIÓN. SERVICIO DE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12"/>
  </r>
  <r>
    <n v="220210014376"/>
    <s v="AD"/>
    <d v="2021-04-09T00:00:00"/>
    <n v="22021003712"/>
    <s v="2021 07 1711 22700"/>
    <n v="1045.44"/>
    <x v="310"/>
    <s v="LIMPIEZAS EXTRAORDINARIAS DE EDIFICIOS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00"/>
  </r>
  <r>
    <n v="220210015508"/>
    <s v="AD"/>
    <d v="2021-04-14T00:00:00"/>
    <n v="22021003859"/>
    <s v="2021 01 9207 22699"/>
    <n v="1040.5999999999999"/>
    <x v="138"/>
    <s v="ADJUDICACIÓN TRABAJOS PARA EDICIÓN REVISTA ALELUY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1229"/>
    <s v="AD"/>
    <d v="2021-06-16T00:00:00"/>
    <n v="22021004923"/>
    <s v="2021 11 1621 219"/>
    <n v="1037.3"/>
    <x v="292"/>
    <s v="SUMINISTRO DE TAPAS Y EJES SUJECIÓN PARA REPARACION CONTENEDORES 800 L."/>
    <s v="220"/>
    <s v="RIBARROJA DEL TURIA"/>
    <s v="VALENCIA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9"/>
  </r>
  <r>
    <n v="220210027677"/>
    <s v="D"/>
    <d v="2021-06-01T00:00:00"/>
    <n v="22021002048"/>
    <s v="2021 11 1621 214"/>
    <n v="2217.02"/>
    <x v="25"/>
    <s v="AC MARCO EXP V36-2017: SUMINISTRO RECAMBI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8413"/>
    <s v="D"/>
    <d v="2021-06-03T00:00:00"/>
    <n v="22021002048"/>
    <s v="2021 11 1621 214"/>
    <n v="2138.7399999999998"/>
    <x v="110"/>
    <s v="AC MARCO EXP V37-2016: REPUESTOS PARA REPARACION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530"/>
    <s v="D"/>
    <d v="2021-04-20T00:00:00"/>
    <n v="22021002059"/>
    <s v="2021 11 1361 22199"/>
    <n v="6.49"/>
    <x v="216"/>
    <s v="ACUERDO MARCO V.36_2017; LOTE 8; LIJA METAL DEBRAY (8); BOLSA CELO SURTIDO TORNILLERIA PEQUEÑA (1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6152"/>
    <s v="AD"/>
    <d v="2021-05-31T00:00:00"/>
    <n v="22021004580"/>
    <s v="2021 03 9241 22110"/>
    <n v="1013.04"/>
    <x v="313"/>
    <s v="DETERGENTE DESINFECTANTE USOL-16 CAJA 7 BOTELLAS C/3 PULVERIZADOR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10"/>
  </r>
  <r>
    <n v="220210015652"/>
    <s v="D"/>
    <d v="2021-04-16T00:00:00"/>
    <n v="22021002228"/>
    <s v="2021 06 3232 212"/>
    <n v="2079.39"/>
    <x v="410"/>
    <s v="SUMINISTROS PARA EL MANTENIMIENTO DE LOS COLEGIOS PÚBLICOS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8821"/>
    <s v="AD"/>
    <d v="2021-06-04T00:00:00"/>
    <n v="22021004738"/>
    <s v="2021 03 9241 632"/>
    <n v="5336.1"/>
    <x v="250"/>
    <s v="REDACCIÓN DEL PROYECTO DE ESTRUCTURAS: OBRA DE REHABILITACIÓN DEL ANTIGUO FRONTÓN DE LAS FLORES PARA CENTRO DOTACIONAL"/>
    <s v="220"/>
    <s v="ZARATAN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1828"/>
    <s v="AD"/>
    <d v="2021-05-11T00:00:00"/>
    <n v="22021004325"/>
    <s v="2021 10 2312 22699"/>
    <n v="1006.73"/>
    <x v="312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1828"/>
    <s v="AD"/>
    <d v="2021-05-11T00:00:00"/>
    <n v="22021004326"/>
    <s v="2021 10 2312 22699"/>
    <n v="1006.72"/>
    <x v="312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5663"/>
    <s v="D"/>
    <d v="2021-05-27T00:00:00"/>
    <n v="22021003381"/>
    <s v="2021 11 1361 22199"/>
    <n v="287.20999999999998"/>
    <x v="216"/>
    <s v="ACUERDO MARCO PILA BOTON (1 UNID.) / CINTA AMERICANA NEGRA-PLATA ( 6 UNIDADES) / PLANCHA GOMA (1,50 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756"/>
    <s v="D"/>
    <d v="2021-05-17T00:00:00"/>
    <n v="22021002048"/>
    <s v="2021 11 1621 214"/>
    <n v="2028.88"/>
    <x v="110"/>
    <s v="AC MARCO EXP V36-2017: SUMINISTRO REPUESTOS REP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723"/>
    <s v="D"/>
    <d v="2021-05-17T00:00:00"/>
    <n v="22021002054"/>
    <s v="2021 11 1631 214"/>
    <n v="1876.27"/>
    <x v="110"/>
    <s v="AC MARCO EXP V36-2017: CEPILLOS REPARACION BARREDORAS MARCA RAV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23531"/>
    <s v="AD"/>
    <d v="2021-05-20T00:00:00"/>
    <n v="22021004437"/>
    <s v="2021 11 1321 213"/>
    <n v="1000"/>
    <x v="775"/>
    <s v="REPARACIONES EN LOCAL DE POLICÍA MUNICIPAL UBICADO EN C/ MADRE DE DIOS, 4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25681"/>
    <s v="D"/>
    <d v="2021-05-27T00:00:00"/>
    <n v="22021003381"/>
    <s v="2021 11 1361 22199"/>
    <n v="15.49"/>
    <x v="216"/>
    <s v="ACUERDO MARCO V.36/2017; LOTE 8; REPARACION, LIMPIEZA Y REVISION DE  MOTOSIERRA MS 261C-182549399 MANO DE OBRA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443"/>
    <s v="AD"/>
    <d v="2021-04-20T00:00:00"/>
    <n v="22021003996"/>
    <s v="2021 04 3121 22799"/>
    <n v="1000"/>
    <x v="776"/>
    <s v="Servicio de Radiología para 2021. Departamento de Prevención y Salud Labor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30273"/>
    <s v="AD"/>
    <d v="2021-06-10T00:00:00"/>
    <n v="22021004724"/>
    <s v="2021 06 2314 22602"/>
    <n v="1000"/>
    <x v="146"/>
    <s v="Hosting y Dominio de planjuventudva.es, demoexpress.es y espaciojovenvalladolid.es / 1 AÑ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02"/>
  </r>
  <r>
    <n v="220210022455"/>
    <s v="D"/>
    <d v="2021-05-14T00:00:00"/>
    <n v="22021002054"/>
    <s v="2021 11 1631 214"/>
    <n v="1838.91"/>
    <x v="411"/>
    <s v="AC MARCO EXP. V36-2017: REPUESTOS PARA REPARACION  DE VEHICUL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0060"/>
    <s v="D"/>
    <d v="2021-06-09T00:00:00"/>
    <n v="22021002056"/>
    <s v="2021 11 1631 22110"/>
    <n v="1804.07"/>
    <x v="411"/>
    <s v="AC MARCO EXP V36-2017: BOLSAS NEGRAS 90X95 Y 115X150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3160"/>
    <s v="AD"/>
    <d v="2021-05-19T00:00:00"/>
    <n v="22021004440"/>
    <s v="2021 06 3321 22699"/>
    <n v="1000"/>
    <x v="777"/>
    <s v="TRABAJOS DE IMPRENTA MAQUETACIÓN Y  PUBLICIDAD PARA DIFERENTES EVENTOS DE LAS BIBLIOTECAS MUNICIPALES. AÑO 2021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28170"/>
    <s v="AD"/>
    <d v="2021-06-02T00:00:00"/>
    <n v="22021004648"/>
    <s v="2021 06 3231 22799"/>
    <n v="1000"/>
    <x v="213"/>
    <s v="TRABAJOS DE MANTENIMIENTO Y SUSTITUCION DE PIEZAS FUERA DE CONTRATO. EJERCICI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799"/>
  </r>
  <r>
    <n v="220210022846"/>
    <s v="AD"/>
    <d v="2021-05-18T00:00:00"/>
    <n v="22021004378"/>
    <s v="2021 06 2314 22699"/>
    <n v="1000"/>
    <x v="358"/>
    <s v="IMPRESIÓN DE SOPORTES PUBLICITARIOS A TRAVÉS DE IMPRENTA MUNICIPAL (PROGRAMAS, DÍPTICOS)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99"/>
  </r>
  <r>
    <n v="220210025900"/>
    <s v="AD"/>
    <d v="2021-05-28T00:00:00"/>
    <n v="22021004610"/>
    <s v="2021 11 1321 22199"/>
    <n v="1000"/>
    <x v="766"/>
    <s v="CONSUMIBLES PARA IMPRESORAS DE INVESTIGACION DE ACCIDENTES Y UNIDAD DE TRANSPORTE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99"/>
  </r>
  <r>
    <n v="220210025562"/>
    <s v="AD"/>
    <d v="2021-05-26T00:00:00"/>
    <n v="22021004573"/>
    <s v="2021 11 1321 22699"/>
    <n v="1000"/>
    <x v="300"/>
    <s v="ADQUISICIÓN DE PAPEL PARA ELABORACIÓN DE FORMULARIOS UTILIZADOS POR LA POLICÍA MUNICIPAL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24845"/>
    <s v="AD"/>
    <d v="2021-05-25T00:00:00"/>
    <n v="22021004539"/>
    <s v="2021 03 9241 213"/>
    <n v="992.6"/>
    <x v="320"/>
    <s v="SUM E INST. DISTINTAS PIEZAS REPUESTO REPARACIÓN AVERÍAS CALEFACCIÓN EN CENTROS CÍVICOS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1165"/>
    <s v="D"/>
    <d v="2021-06-14T00:00:00"/>
    <n v="22021003381"/>
    <s v="2021 11 1361 22199"/>
    <n v="43.38"/>
    <x v="216"/>
    <s v="ACUERDO MARCO SUMINISTROS: ADHESIVO MONTAJE SOUDAL T-REX BLANCO / REMACHE BRALO / BROCA HSS RECT. COBALTO (SEIS Y P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471"/>
    <s v="D"/>
    <d v="2021-04-09T00:00:00"/>
    <n v="22021001968"/>
    <s v="2021 11 1321 22199"/>
    <n v="171.29"/>
    <x v="188"/>
    <s v="ACUERDO MARCO.SUMIN. MATERIAL FERRETERIA/ COPIAS LLAVE/ DESATASCADOR/ GRAPADORA NEUMÁTICA/ GRAPAS/ ETC..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5742"/>
    <s v="D"/>
    <d v="2021-04-16T00:00:00"/>
    <n v="22021002048"/>
    <s v="2021 11 1621 214"/>
    <n v="1706.98"/>
    <x v="25"/>
    <s v="AC MARCO EXP V36-2017: RECAMBIOS PARA REPARCIONES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444"/>
    <s v="AD"/>
    <d v="2021-04-20T00:00:00"/>
    <n v="22021004020"/>
    <s v="2021 09 3341 22609"/>
    <n v="968"/>
    <x v="778"/>
    <s v="CARTEL FERIA LIBRO 54 EDICION"/>
    <s v="220"/>
    <s v="MADRID"/>
    <s v="MADR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7663"/>
    <s v="D"/>
    <d v="2021-06-01T00:00:00"/>
    <n v="22021002048"/>
    <s v="2021 11 1621 214"/>
    <n v="1600.19"/>
    <x v="110"/>
    <s v="AC MARCO EXP V36-2017: REPUESTOS PARA REPA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4729"/>
    <s v="D"/>
    <d v="2021-05-24T00:00:00"/>
    <n v="22021001275"/>
    <s v="2021 07 1711 22199"/>
    <n v="1530.65"/>
    <x v="82"/>
    <s v="ACUERDO MRCO 2017/36, MATERIAL ELECTRIC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9080"/>
    <s v="D"/>
    <d v="2021-05-03T00:00:00"/>
    <n v="22021002132"/>
    <s v="2021 08 1532 210"/>
    <n v="1522.35"/>
    <x v="161"/>
    <s v="ALB: AV21/01080 de 22/02/21 /// SETA PROTECT./ BOBINA / TORNILLO SPAX / DISCO/ CINCEL/ ESTUCHE/ BALIZA/ BATERIA TFNO...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9624"/>
    <s v="D"/>
    <d v="2021-06-08T00:00:00"/>
    <n v="22021002601"/>
    <s v="2021 06 3321 629"/>
    <n v="1502.9"/>
    <x v="773"/>
    <s v="VARIEDAD DE LIBROS PARA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4319"/>
    <s v="AD"/>
    <d v="2021-04-09T00:00:00"/>
    <n v="22021003705"/>
    <s v="2021 03 9241 22699"/>
    <n v="933.51"/>
    <x v="733"/>
    <s v="SEÑALÉTICA CC PARQUESOL Y CC JOSÉ LUIS MOSQUERA (CARTELES Y ROTULACIÓN CRISTALE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33095"/>
    <s v="AD"/>
    <d v="2021-06-29T00:00:00"/>
    <n v="22021005118"/>
    <s v="2021 11 1621 214"/>
    <n v="1500"/>
    <x v="85"/>
    <s v="SUMINISTRO DE PIEZAS Y REPARACIONES DE DIVERSOS VEHICULOS DEL SERVICIO DE LIMPIEZA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536"/>
    <s v="D"/>
    <d v="2021-04-09T00:00:00"/>
    <n v="22021002059"/>
    <s v="2021 11 1361 22199"/>
    <n v="6.93"/>
    <x v="188"/>
    <s v="ACUERDO MARCO V.36_2017; LOTE 8; CONTERA CUADR PLASTICO/MANGUERA BUTANO 1,5 M  2 ABRAZADERAS/ ABRAZADERA MIKALOR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207"/>
    <s v="D"/>
    <d v="2021-05-03T00:00:00"/>
    <n v="22021001275"/>
    <s v="2021 07 1711 22199"/>
    <n v="41.16"/>
    <x v="188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529"/>
    <s v="AD"/>
    <d v="2021-05-20T00:00:00"/>
    <n v="22021004442"/>
    <s v="2021 11 3111 22799"/>
    <n v="924"/>
    <x v="522"/>
    <s v="SERVICIOS ADIESTRADOR CANINO DEL 1 AL 30 DE JUNIO DE 2021 POR UN TOTAL DE 66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32725"/>
    <s v="D"/>
    <d v="2021-06-24T00:00:00"/>
    <n v="22021002048"/>
    <s v="2021 11 1621 214"/>
    <n v="1424.04"/>
    <x v="25"/>
    <s v="AC MARCO EXP V36-2017: RECAMBIOS PARA VEHICULOS DEL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5659"/>
    <s v="D"/>
    <d v="2021-05-27T00:00:00"/>
    <n v="22021003381"/>
    <s v="2021 11 1361 22199"/>
    <n v="76.739999999999995"/>
    <x v="188"/>
    <s v="ACUERDO MARCO SUMINISTROS: QUEMADOR PAELLERO B-530 GAS/ SERVICIO DE EXTINCIÓ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117"/>
    <s v="AD"/>
    <d v="2021-06-30T00:00:00"/>
    <n v="22021005102"/>
    <s v="2021 03 9241 212"/>
    <n v="918.7"/>
    <x v="779"/>
    <s v="VALLADO (POSTES DE HORMIGÓN Y MALLA) CC LA VICTORIA"/>
    <s v="220"/>
    <s v="LA CISTERNIGA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8467"/>
    <s v="D"/>
    <d v="2021-06-03T00:00:00"/>
    <n v="22021001968"/>
    <s v="2021 11 1321 22199"/>
    <n v="94.91"/>
    <x v="188"/>
    <s v="ACUERDO MARCO. MATERIAL DE FERRETERÍA PARA EL TALLER DE LA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8698"/>
    <s v="AD"/>
    <d v="2021-06-04T00:00:00"/>
    <n v="22021004630"/>
    <s v="2021 01 9207 22699"/>
    <n v="907.5"/>
    <x v="723"/>
    <s v="ADJUDICA DISEÑO MAQUETACIÓN PROGRAMA XI SIMPOSIO IBEROAMERICANO DE MEDIO AMBIENTE Y MUNICIPI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1325"/>
    <s v="AD"/>
    <d v="2021-06-17T00:00:00"/>
    <n v="22021004937"/>
    <s v="2021 11 1321 214"/>
    <n v="887"/>
    <x v="541"/>
    <s v="REVISIÓN DEL TACÓGRAFO DIGITAL DE CINCO GRUAS (5310BVH, 8671 JXF, 5343 BVH , 8831 JXF Y 9447 HHT)"/>
    <s v="220"/>
    <s v="VALLADOLID"/>
    <s v="VALLADOLID"/>
    <x v="0"/>
    <s v="AdDirec - Adjudicación Directa"/>
    <s v="MultiC - MultiCriterio"/>
    <x v="0"/>
    <x v="1"/>
    <s v="2"/>
    <s v="2. Gastos corrientes en bienes y servicios"/>
    <s v="11"/>
    <x v="5"/>
    <s v="1321"/>
    <s v="1321. Policía municipal"/>
    <s v="21"/>
    <s v="214"/>
  </r>
  <r>
    <n v="220210031364"/>
    <s v="AD"/>
    <d v="2021-06-18T00:00:00"/>
    <n v="22021004958"/>
    <s v="2021 02 9332 212"/>
    <n v="886.23"/>
    <x v="270"/>
    <s v="SUMINISTRO DE PINTURAS Y OTROS ARTÍCULOS PARA EL CENTRO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16028"/>
    <s v="D"/>
    <d v="2021-04-19T00:00:00"/>
    <n v="22021002227"/>
    <s v="2021 06 3321 212"/>
    <n v="1388.98"/>
    <x v="188"/>
    <s v="SUMINISTRO DE MATERIALES  //// DESTINOS:  BIBLIOTECA PARQUE ALAMEDA  Y  FCO JAVIER MATÍN ABRIL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0076"/>
    <s v="D"/>
    <d v="2021-06-09T00:00:00"/>
    <n v="22021001275"/>
    <s v="2021 07 1711 22199"/>
    <n v="399.18"/>
    <x v="188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403"/>
    <s v="D"/>
    <d v="2021-06-11T00:00:00"/>
    <n v="22021003381"/>
    <s v="2021 11 1361 22199"/>
    <n v="35.85"/>
    <x v="188"/>
    <s v="ACUERDO MARCO SUMINISTROS: ESCUDO TESA PROT.ANTIT.E700L 26 CM (1 UNIDAD )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8992"/>
    <s v="AD"/>
    <d v="2021-04-30T00:00:00"/>
    <n v="22021004219"/>
    <s v="2021 03 9241 22609"/>
    <n v="880"/>
    <x v="780"/>
    <s v="Representaciones en CC Canal de Castilla y CC Pilarica, días 11 y 17 de abril 2021. MFS"/>
    <s v="220"/>
    <s v="ALDEA DE SAN MIGUEL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3118"/>
    <s v="AD"/>
    <d v="2021-06-30T00:00:00"/>
    <n v="22021004977"/>
    <s v="2021 03 9241 22699"/>
    <n v="876.95"/>
    <x v="145"/>
    <s v="RECOGIDA, PLEGADO Y ENTREGA DE CARPETAS(1865 uds.). RECOGIDA Y ENTREGA DE CARTELES. MUESTRAS TV Y CT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162"/>
    <s v="AD"/>
    <d v="2021-06-02T00:00:00"/>
    <n v="22021004592"/>
    <s v="2021 10 2412 22706"/>
    <n v="874.83"/>
    <x v="772"/>
    <s v="SERVICIO DE REALIZACION DE INFORMES DE LAS SUBVEN. DEL C.F. DE EMPLEO, CURSOS DE V. CUIDA IV Y P. DECORATIVAIII DEL 2021"/>
    <s v="220"/>
    <s v="SALAMANCA"/>
    <s v="SALAMANCA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706"/>
  </r>
  <r>
    <n v="220210024849"/>
    <s v="AD"/>
    <d v="2021-05-25T00:00:00"/>
    <n v="22021004545"/>
    <s v="2021 09 3341 22602"/>
    <n v="871.2"/>
    <x v="596"/>
    <s v="Estructura Roll-up lona impresa. Carteles y folletos-EVENTO NOMVEMBER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2"/>
  </r>
  <r>
    <n v="220210016747"/>
    <s v="AD"/>
    <d v="2021-04-22T00:00:00"/>
    <n v="22021002235"/>
    <s v="2021 11 1621 219"/>
    <n v="871.2"/>
    <x v="125"/>
    <s v="SUMINISTRO DE 1500 CINTAS DE VISUALIZACIÓN PARA CONTENEDORES DE CARGA LATERAL"/>
    <s v="220"/>
    <s v="GETAFE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9"/>
  </r>
  <r>
    <n v="220210032974"/>
    <s v="D"/>
    <d v="2021-06-28T00:00:00"/>
    <n v="22021001275"/>
    <s v="2021 07 1711 22199"/>
    <n v="103.46"/>
    <x v="188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2719"/>
    <s v="D"/>
    <d v="2021-06-24T00:00:00"/>
    <n v="22021002048"/>
    <s v="2021 11 1621 214"/>
    <n v="1346.68"/>
    <x v="25"/>
    <s v="AC MARCO EXP V36-2017: REPUESTOS PARA REPARACION DE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07"/>
    <s v="D"/>
    <d v="2021-04-16T00:00:00"/>
    <n v="22021002049"/>
    <s v="2021 11 1621 22103"/>
    <n v="1334.87"/>
    <x v="304"/>
    <s v="AC MARCO EXP V36-2017: BIDONES LUBRICANTTE HIDRAULICO SASH-HIDROL-M 46 B-200 PARA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7667"/>
    <s v="D"/>
    <d v="2021-06-01T00:00:00"/>
    <n v="22021002049"/>
    <s v="2021 11 1621 22103"/>
    <n v="1334.87"/>
    <x v="304"/>
    <s v="AC MARCO EXP V36-2017: BIDONES ACEITE HIDRÁULIOC SASH-HIDROL-M 46 B-200  /// DESTINO:  VEHICULOS SERV.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7121"/>
    <s v="AD"/>
    <d v="2021-04-26T00:00:00"/>
    <n v="22021004058"/>
    <s v="2021 11 1361 22199"/>
    <n v="862.26"/>
    <x v="39"/>
    <s v="Amplificador_caja sirenas vehículo autoescala VA42345VE y caja sirenas tritono BUP_17, VA5263V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627"/>
    <s v="D"/>
    <d v="2021-05-07T00:00:00"/>
    <n v="22021002048"/>
    <s v="2021 11 1621 214"/>
    <n v="1331.3"/>
    <x v="25"/>
    <s v="AC MARCO EXP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13"/>
    <s v="D"/>
    <d v="2021-04-16T00:00:00"/>
    <n v="22021002052"/>
    <s v="2021 11 1621 22199"/>
    <n v="1328.5"/>
    <x v="285"/>
    <s v="AC MARCO EXP V36-2017: HERRAMIENTAS TALLER Y SUMINISTRO DE MATERIAL NECESARIO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0706"/>
    <s v="D"/>
    <d v="2021-05-07T00:00:00"/>
    <n v="22021002048"/>
    <s v="2021 11 1621 214"/>
    <n v="1301.73"/>
    <x v="110"/>
    <s v="AC MARCO EXP V36-2017: SUMINISTRO REPUESTOS PARA REPARACION DE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09"/>
    <s v="D"/>
    <d v="2021-04-16T00:00:00"/>
    <n v="22021002049"/>
    <s v="2021 11 1621 22103"/>
    <n v="1298.4100000000001"/>
    <x v="304"/>
    <s v="AC MARCO EXP V36-2017: BIDONES ACEITE MOTOR MOTUL-TEKMA FUTURA +10W40 VEHICULOS Sº LIMPIEZA,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31462"/>
    <s v="AD"/>
    <d v="2021-06-21T00:00:00"/>
    <n v="22021005012"/>
    <s v="2021 02 9332 623"/>
    <n v="1294.7"/>
    <x v="410"/>
    <s v="ADQUISICIÓN MÁQUINA PARA CONGELAR TUBERIAS DE AGUA HASTA 2&quot;&quot; DE DIÁMETRO"/>
    <s v="220"/>
    <s v="VALDELAFUENTE"/>
    <s v="LEON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2"/>
    <s v="623"/>
  </r>
  <r>
    <n v="220210014212"/>
    <s v="D"/>
    <d v="2021-04-07T00:00:00"/>
    <n v="22021002048"/>
    <s v="2021 11 1621 214"/>
    <n v="1290.22"/>
    <x v="25"/>
    <s v="AC MARCO EXP V36-2017: RECAMBIOS PARA REPARACION VEHÍ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6057"/>
    <s v="AD"/>
    <d v="2021-05-31T00:00:00"/>
    <n v="22021004637"/>
    <s v="2021 11 1621 214"/>
    <n v="847"/>
    <x v="531"/>
    <s v="SUMINISTRO E INSTALACIÓN CUATRO DISPOSITIVOS GPS EN VEHICULOS DEL Sº DE LIMPIEZA"/>
    <s v="220"/>
    <s v="TRES CANTOS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31363"/>
    <s v="AD"/>
    <d v="2021-06-18T00:00:00"/>
    <n v="22021004942"/>
    <s v="2021 02 9332 212"/>
    <n v="847"/>
    <x v="762"/>
    <s v="COMPRA MATERIAL DE CERRAJERÍA (PLETINAS, CHAPA ESTRIADA, OTROS..)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30056"/>
    <s v="D"/>
    <d v="2021-06-09T00:00:00"/>
    <n v="22021002057"/>
    <s v="2021 11 1631 22199"/>
    <n v="1286.7"/>
    <x v="353"/>
    <s v="AC MARCO EXP V36-2017: CEPILLOS, ESCOBIJOS Y RASTRILL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405"/>
    <s v="AD"/>
    <d v="2021-05-14T00:00:00"/>
    <n v="22021004371"/>
    <s v="2021 10 2311 22700"/>
    <n v="832.48"/>
    <x v="781"/>
    <s v="RECOGIDA Y LIMPIEZA DE PATIO/TEJADO EN CENTRO INTEGRADO. MAYO 2021. COVID-19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27675"/>
    <s v="D"/>
    <d v="2021-06-01T00:00:00"/>
    <n v="22021002052"/>
    <s v="2021 11 1621 22199"/>
    <n v="1280.52"/>
    <x v="411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0929"/>
    <s v="D"/>
    <d v="2021-05-07T00:00:00"/>
    <n v="22021002132"/>
    <s v="2021 08 1532 210"/>
    <n v="1223.55"/>
    <x v="782"/>
    <s v="144 uds- BALDOSAS COLEGIATA 40X20X6 BLAN // 16 uds- PALETS 1,05 X 1,05"/>
    <s v="300"/>
    <s v="TORO"/>
    <s v="ZAMORA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8278"/>
    <s v="AD"/>
    <d v="2021-06-03T00:00:00"/>
    <n v="22021004652"/>
    <s v="2021 11 1361 214"/>
    <n v="1204.8"/>
    <x v="96"/>
    <s v="REPARACIÓN/SUSTITUCION CENTRALITA DE CONTROL DEL VEHÍCULO IVECO MAGIRUS BUP-2 MATR. 4914JLF///SERV. EXTINCION INCENDIOS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4"/>
  </r>
  <r>
    <n v="220210015514"/>
    <s v="AD"/>
    <d v="2021-04-15T00:00:00"/>
    <n v="22021003829"/>
    <s v="2021 11 1321 214"/>
    <n v="828.73"/>
    <x v="783"/>
    <s v="REPARACIÓN VEHÍCULOS DEL SERVICIO DE POLICÍA MUNICIPAL ( A.M. EN TRAMITACIÓN 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851"/>
    <s v="D"/>
    <d v="2021-04-16T00:00:00"/>
    <n v="22021001275"/>
    <s v="2021 07 1711 22199"/>
    <n v="9.09"/>
    <x v="238"/>
    <s v="ACUERDO MARCO 2017/36, PIEZAS DE HIERRO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0357"/>
    <s v="AD"/>
    <d v="2021-05-05T00:00:00"/>
    <n v="22021004190"/>
    <s v="2021 10 2313 22699"/>
    <n v="822.8"/>
    <x v="784"/>
    <s v="Diseño y maquetación Memoria 2020 Área de Servicios Sociales y Mediación Comunitar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3"/>
    <s v="2313. Dirección del área de servicios sociales"/>
    <s v="22"/>
    <s v="22699"/>
  </r>
  <r>
    <n v="220210016528"/>
    <s v="D"/>
    <d v="2021-04-20T00:00:00"/>
    <n v="22021003381"/>
    <s v="2021 11 1361 22199"/>
    <n v="646.84"/>
    <x v="238"/>
    <s v="ACUERDO MARCO V.36_207;LOTE 8; CHAPA NEGRA DE 2 MM A MEDIDA/PLETINAS/TUBOS CUADR/CHAPA GALVANIZAD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7617"/>
    <s v="D"/>
    <d v="2021-06-01T00:00:00"/>
    <n v="22021002089"/>
    <s v="2021 03 9241 213"/>
    <n v="1199.76"/>
    <x v="82"/>
    <s v="SUMINISTRO DE MATERIAL DE ELECTRICIDAD /// DESTINOS: C.C. PARQUESOL- C.C. JOSE L. MOSQUERA-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5665"/>
    <s v="D"/>
    <d v="2021-05-27T00:00:00"/>
    <n v="22021003381"/>
    <s v="2021 11 1361 22199"/>
    <n v="21.78"/>
    <x v="238"/>
    <s v="ACUERDO MARCO: CIRCULOS EN CHAPA NEGRA DE 2 MM (  6 CIRCULOS DIAMETRO 170 MM ) ///  DESTINO: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797"/>
    <s v="D"/>
    <d v="2021-06-24T00:00:00"/>
    <n v="22021002054"/>
    <s v="2021 11 1631 214"/>
    <n v="1174.24"/>
    <x v="411"/>
    <s v="AC MARCO EXP V36-2017: SUMINISTRO PIEZAS REPARACION BARREDORAS E3812BDK Y E3814BDK DE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1682"/>
    <s v="D"/>
    <d v="2021-06-22T00:00:00"/>
    <n v="22021002601"/>
    <s v="2021 06 3321 629"/>
    <n v="1163.94"/>
    <x v="768"/>
    <s v="LIBROS PARA LAS BIBLIOTECAS MUNICIPALES (89 EJEMPLARES) // LIBRERIA ETIAM // ALBARANES DE 26 Y 27 DE MAYO Y 10 DE JUNIO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2108"/>
    <s v="AD"/>
    <d v="2021-05-12T00:00:00"/>
    <n v="22021004331"/>
    <s v="2021 02 9332 213"/>
    <n v="809.49"/>
    <x v="785"/>
    <s v="MANTENIMIENTO Y REPARACIÓN AVERÍAS INSTALACIONES TERMOVENTILADORES QUE PROPORCIONAN CALEFAC.C.MANTENI- MIENTO EN ERA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32740"/>
    <s v="D"/>
    <d v="2021-06-24T00:00:00"/>
    <n v="22021002132"/>
    <s v="2021 08 1532 210"/>
    <n v="1152.71"/>
    <x v="161"/>
    <s v="ALBARÁN AV21/02009 DE 16/04/2021: ACCESORIOS PARA SERVICIOS URBANÍSTICO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0834"/>
    <s v="AD"/>
    <d v="2021-05-07T00:00:00"/>
    <n v="22021004302"/>
    <s v="2021 04 3121 22104"/>
    <n v="796.79"/>
    <x v="786"/>
    <s v="CALZADO SANITARIO, BATAS Y PIJAMAS. SERVICIO DE PREVENCION Y SALUD LABORAL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104"/>
  </r>
  <r>
    <n v="220210027727"/>
    <s v="D"/>
    <d v="2021-06-01T00:00:00"/>
    <n v="22021002132"/>
    <s v="2021 08 1532 210"/>
    <n v="1149.51"/>
    <x v="238"/>
    <s v="5 PLETINAS DE: 60X10 - 60X8 - 60X6 - 50X10 / CORRUGADO / TUBO NORMA NE / TUBO CUADRADO ///// PAVIM. V. PUB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0213"/>
    <s v="D"/>
    <d v="2021-06-10T00:00:00"/>
    <n v="22021002052"/>
    <s v="2021 11 1621 22199"/>
    <n v="1129.5999999999999"/>
    <x v="411"/>
    <s v="AC MARCO EXP V36-2017: SUMINISTRO DE HERRAMIENTAS TALLER MECANICO DESTINO: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741"/>
    <s v="D"/>
    <d v="2021-04-13T00:00:00"/>
    <n v="22021001038"/>
    <s v="2021 10 2312 212"/>
    <n v="1125.69"/>
    <x v="188"/>
    <s v="MANTENIMIENTO, REPARACIONES, TORNILLOS,TACO/ BROCAS, JUEGOS BROCAS DEL  CPM DELICIASY  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881"/>
    <s v="D"/>
    <d v="2021-04-22T00:00:00"/>
    <n v="22021001275"/>
    <s v="2021 07 1711 22199"/>
    <n v="1853.6"/>
    <x v="580"/>
    <s v="ACUERDO MARCO 2017/36, SEMILLA DE CÉSPED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466"/>
    <s v="AD"/>
    <d v="2021-06-21T00:00:00"/>
    <n v="22021004922"/>
    <s v="2021 10 2311 22700"/>
    <n v="773.19"/>
    <x v="781"/>
    <s v="Retirada de enseres y limpieza básica de la vivienda sita en la C/ Vinos de Rueda nº 22, 1º M. junio 2021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28753"/>
    <s v="D"/>
    <d v="2021-06-04T00:00:00"/>
    <n v="22021001276"/>
    <s v="2021 07 1711 22106"/>
    <n v="711.92"/>
    <x v="580"/>
    <s v="ACUERDO MARCO 2017/36, PRODUCTOS FITOSANITARIOS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25771"/>
    <s v="D"/>
    <d v="2021-05-27T00:00:00"/>
    <n v="22021002048"/>
    <s v="2021 11 1621 214"/>
    <n v="1104.72"/>
    <x v="25"/>
    <s v="AC MARCO EXP V36-2017: SUMINISTRO RECAMBIOS PARA REPARACIONES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7657"/>
    <s v="D"/>
    <d v="2021-06-01T00:00:00"/>
    <n v="22021002057"/>
    <s v="2021 11 1631 22199"/>
    <n v="1104.25"/>
    <x v="411"/>
    <s v="AC MARCO EXP V36-2017: SUMINISTRO RUEDAS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8825"/>
    <s v="AD"/>
    <d v="2021-06-04T00:00:00"/>
    <n v="22021004734"/>
    <s v="2021 03 9241 632"/>
    <n v="1007.22"/>
    <x v="250"/>
    <s v="CONTROL DE CALIDAD EN LA OBRA DE REPARACIÓN DE HUMEDADES EN CC PARQUESOL. MARZO 2021"/>
    <s v="220"/>
    <s v="ZARATAN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5522"/>
    <s v="D"/>
    <d v="2021-05-26T00:00:00"/>
    <n v="22021002602"/>
    <s v="2021 06 3321 629"/>
    <n v="1099.19"/>
    <x v="755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0453"/>
    <s v="AD"/>
    <d v="2021-05-06T00:00:00"/>
    <n v="22021004204"/>
    <s v="2021 10 2311 213"/>
    <n v="754.97"/>
    <x v="52"/>
    <s v="Reparación y sustitución de piezas en ascensores del Centro Integrado 2021. COVID-19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21012"/>
    <s v="AD"/>
    <d v="2021-05-07T00:00:00"/>
    <n v="22021004353"/>
    <s v="2021 06 3231 22102"/>
    <n v="750"/>
    <x v="205"/>
    <s v="TRABAJOS DE INSPECCIÓN PERIÓDICA EN LAS INSTALACIONES RECEPTORAS INDIVIDUALES DE GAS NATURAL EN LAS EIM. AÑO 2021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102"/>
  </r>
  <r>
    <n v="220210032955"/>
    <s v="D"/>
    <d v="2021-06-28T00:00:00"/>
    <n v="22021002052"/>
    <s v="2021 11 1621 22199"/>
    <n v="1096.7"/>
    <x v="411"/>
    <s v="AC. M. EXP V36-2017 VARIOS ELEMENTOS Y UTILES DE TALLER.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9742"/>
    <s v="D"/>
    <d v="2021-06-08T00:00:00"/>
    <n v="22021002089"/>
    <s v="2021 03 9241 213"/>
    <n v="1073.3900000000001"/>
    <x v="168"/>
    <s v="MATERIALES PARA EL MANTENIMIENTO DEL CIC SEGUNDO MONTES/ CC PARQUESOL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8270"/>
    <s v="AD"/>
    <d v="2021-06-03T00:00:00"/>
    <n v="22021004654"/>
    <s v="2021 11 1631 219"/>
    <n v="737.8"/>
    <x v="292"/>
    <s v="SUMINISTRO CUERPOS 50 L. COLOR GRIS REPARACION PAPELERAS PARA LIMPIEZA VIARIA"/>
    <s v="220"/>
    <s v="RIBARROJA DEL TURIA"/>
    <s v="VALENCIA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9"/>
  </r>
  <r>
    <n v="220210020078"/>
    <s v="AD"/>
    <d v="2021-05-05T00:00:00"/>
    <n v="22021001247"/>
    <s v="2021 11 1631 214"/>
    <n v="733.03"/>
    <x v="419"/>
    <s v="SUMINISTRO MOTOR HIDRÁULICO REPARACION PLATAFORMA VEHICULO 2941 CBL DE S. LIMPIEZA VIARI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33199"/>
    <s v="D"/>
    <d v="2021-06-30T00:00:00"/>
    <n v="22021001276"/>
    <s v="2021 07 1711 22106"/>
    <n v="1504.95"/>
    <x v="580"/>
    <s v="ACUERDO MARCO 2017/36, PRODUCTOS FITOSANITARIOS.Ç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31185"/>
    <s v="D"/>
    <d v="2021-06-14T00:00:00"/>
    <n v="22021003381"/>
    <s v="2021 11 1361 22199"/>
    <n v="1052.3900000000001"/>
    <x v="314"/>
    <s v="MATERIAL DE CARPINTERIA //  DESTINOS: NAVE PC- BUCEO- SEIS Y PC- BOMBEROS DE PARQUE CENTRAL Y PARQUE DE CANTERA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096"/>
    <s v="D"/>
    <d v="2021-06-29T00:00:00"/>
    <n v="22019009556"/>
    <s v="2021 02 9332 633"/>
    <n v="726"/>
    <x v="490"/>
    <s v="EJECUCION IFS OCAS - DIRECCIÓN OBRA INSTALAC ELÉCTRICAS ARCHIVO"/>
    <s v="300"/>
    <s v="VALLADOLID"/>
    <s v="VALLADOLID"/>
    <x v="2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3"/>
  </r>
  <r>
    <n v="220210020462"/>
    <s v="AD"/>
    <d v="2021-05-06T00:00:00"/>
    <n v="22021003924"/>
    <s v="2021 10 2311 213"/>
    <n v="723.58"/>
    <x v="787"/>
    <s v="Instalación de un nuevo portero automático en el Centro Integrado (actual albergue municipal) 2021.COVID-19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30275"/>
    <s v="AD"/>
    <d v="2021-06-10T00:00:00"/>
    <n v="22021004800"/>
    <s v="2021 11 1321 22706"/>
    <n v="7018"/>
    <x v="250"/>
    <s v="ELABORACIÓN DE ESTUDIO SOBRE NORMATIVA Y CONDICIONES DEL DEPÓSITO MUNICIPAL DE &quot;&quot; EL PERAL&quot;&quot;."/>
    <s v="220"/>
    <s v="ZARATAN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706"/>
  </r>
  <r>
    <n v="220210030058"/>
    <s v="D"/>
    <d v="2021-06-09T00:00:00"/>
    <n v="22021002057"/>
    <s v="2021 11 1631 22199"/>
    <n v="1027.71"/>
    <x v="411"/>
    <s v="AC MARCO EXP. V36-2017: SUMINISTROS INDUSTRIALE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145"/>
    <s v="AD"/>
    <d v="2021-05-31T00:00:00"/>
    <n v="22021004665"/>
    <s v="2021 06 2315 22611"/>
    <n v="720"/>
    <x v="788"/>
    <s v="TALLERES SOBRE ESTEREOTIPOS DE CARÁCTER SEXISTA / 4 SESIONES DURANTE 2021"/>
    <s v="220"/>
    <s v="LAGUNA DE DUERO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380"/>
    <s v="D"/>
    <d v="2021-06-18T00:00:00"/>
    <n v="22021002371"/>
    <s v="2021 02 9332 212"/>
    <n v="1026.6400000000001"/>
    <x v="82"/>
    <s v="LUMINARIA IRELUZ/ ÁNGULO IRELUZ/ TAPA IRELUZ/ SUSPENSIÓN IRELUZ/ KIT ALIMENTACIÓN IRELUZ/ UNIÓN (CENTRO DE FORMACIÓN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199"/>
    <s v="D"/>
    <d v="2021-06-14T00:00:00"/>
    <n v="22021002052"/>
    <s v="2021 11 1621 22199"/>
    <n v="1013.91"/>
    <x v="353"/>
    <s v="AC MARCO EXP V36-2017: SUMINISTROS INDUSTRIALES VARIOS  MES DE MAYO DE 2021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121"/>
    <s v="D"/>
    <d v="2021-06-09T00:00:00"/>
    <n v="22021002228"/>
    <s v="2021 06 3232 212"/>
    <n v="1009.97"/>
    <x v="216"/>
    <s v="SUMINISTRO DE MATERIAL DIVERSO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758"/>
    <s v="D"/>
    <d v="2021-04-16T00:00:00"/>
    <n v="22021002132"/>
    <s v="2021 08 1532 210"/>
    <n v="1005.09"/>
    <x v="274"/>
    <s v="378 uds - Sacos cemento gris 25kg 32.5R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2742"/>
    <s v="D"/>
    <d v="2021-06-24T00:00:00"/>
    <n v="22021002132"/>
    <s v="2021 08 1532 210"/>
    <n v="1005.09"/>
    <x v="274"/>
    <s v="378 uds- Saco cemento gris 25kg 32.5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0448"/>
    <s v="AD"/>
    <d v="2021-05-06T00:00:00"/>
    <n v="22021003062"/>
    <s v="2021 07 1711 214"/>
    <n v="1000"/>
    <x v="215"/>
    <s v="COMPLEMENTARIO, REPARACION DE VEHICULOS DEL SERVICIO DE PARQUES Y JARDINES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18844"/>
    <s v="D"/>
    <d v="2021-04-28T00:00:00"/>
    <n v="22021003381"/>
    <s v="2021 11 1361 22199"/>
    <n v="41.14"/>
    <x v="191"/>
    <s v="ACUERDO MARCO V.36_2017; LOTE 2; ALB 21-206902: REPUESTO P-01389 FILTRO AIRE / SERVICIOS LOGISTICOS INTEGRADOS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152"/>
    <s v="D"/>
    <d v="2021-05-03T00:00:00"/>
    <n v="22021002449"/>
    <s v="2021 07 1711 619"/>
    <n v="268.7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2966"/>
    <s v="D"/>
    <d v="2021-06-28T00:00:00"/>
    <n v="22021002228"/>
    <s v="2021 06 3232 212"/>
    <n v="990"/>
    <x v="271"/>
    <s v="M³ TIERRA VEGETAL (10) /////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684"/>
    <s v="D"/>
    <d v="2021-05-07T00:00:00"/>
    <n v="22021002133"/>
    <s v="2021 08 1651 22199"/>
    <n v="943.51"/>
    <x v="82"/>
    <s v="CAJA CLAVED 150X61 ( 100 UNID. ) / BRIDA UNEX NEGRO (1.100 UNID.) / CINTA AI NUÑEZ ROJA (10 UNID.) /// ALUMBRADO PU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33098"/>
    <s v="AD"/>
    <d v="2021-06-29T00:00:00"/>
    <n v="22021005096"/>
    <s v="2021 02 9332 213"/>
    <n v="697.98"/>
    <x v="160"/>
    <s v="REPARACIÓN BOMBAS EN LA INSTALACIÓN DE FRIO DEL EDIFICIO MUNICIPAL SAN BENITO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4833"/>
    <s v="AD"/>
    <d v="2021-05-25T00:00:00"/>
    <n v="22021004444"/>
    <s v="2021 11 1361 22104"/>
    <n v="694.53"/>
    <x v="789"/>
    <s v="Tres trajes de uniforme para la categoría de suboficiales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04"/>
  </r>
  <r>
    <n v="220210018770"/>
    <s v="AD"/>
    <d v="2021-04-27T00:00:00"/>
    <n v="22021004114"/>
    <s v="2021 06 3321 22699"/>
    <n v="687.2"/>
    <x v="790"/>
    <s v="COMPRA DE DESINFECTANTE VIRICIDA ALCOLAC PLUS 5L CAJA DE 2 UNDSPARA BIBLIOTECAS MUNICIPALES. COVID 19. PLAZO UN MES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16557"/>
    <s v="ADO"/>
    <d v="2021-04-20T00:00:00"/>
    <n v="22021003927"/>
    <s v="2021 04 9202 22607"/>
    <n v="686.1"/>
    <x v="372"/>
    <s v="Uso de instalaciones mpales para pruebas físicas de agentes Polic. Mpal: Pista atletismo/ Piscina // 29,30 y 31 de marzo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819"/>
    <s v="D"/>
    <d v="2021-05-07T00:00:00"/>
    <n v="22021002048"/>
    <s v="2021 11 1621 214"/>
    <n v="937.51"/>
    <x v="411"/>
    <s v="AC MARCO EXP V36-2017: MONITORES PARA REPARACION EQUIPO RECOLECTOR FARID VEHICULO 1520DZM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3115"/>
    <s v="AD"/>
    <d v="2021-06-29T00:00:00"/>
    <n v="22021005098"/>
    <s v="2021 11 1361 22799"/>
    <n v="677.6"/>
    <x v="254"/>
    <s v="Dirección facultativa de las obras de actuación en vestuarios duchas y aseos en campo de prácticas &quot;&quot;El Rebollar&quot;&quot;;SEISYPC"/>
    <s v="220"/>
    <s v="FUENSALDAÑA"/>
    <s v="VALLADOL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799"/>
  </r>
  <r>
    <n v="220210032816"/>
    <s v="AD"/>
    <d v="2021-06-24T00:00:00"/>
    <n v="22021005005"/>
    <s v="2021 02 9332 632"/>
    <n v="933.97"/>
    <x v="168"/>
    <s v="SUMINISTRO MATERIAL AMPLIACIÓN ILUMINACION EXISTENTE DESPACHO ARCHIVO MUNICIPAL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23562"/>
    <s v="AD"/>
    <d v="2021-05-21T00:00:00"/>
    <n v="22021004489"/>
    <s v="2021 08 1532 214"/>
    <n v="665.91"/>
    <x v="791"/>
    <s v="Kit cableado, junta, aforador / bomba combustible y lo necesario para el cambio, mano de obra: diagnosis y comprobacione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5563"/>
    <s v="AD"/>
    <d v="2021-05-26T00:00:00"/>
    <n v="22021004581"/>
    <s v="2021 08 1651 214"/>
    <n v="665.91"/>
    <x v="791"/>
    <s v="CABLEADO Y REVISIÓN EN VEHÍCULO MATRÍCULA 9992-FVL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1"/>
    <s v="214"/>
  </r>
  <r>
    <n v="220210031372"/>
    <s v="D"/>
    <d v="2021-06-18T00:00:00"/>
    <n v="22021002723"/>
    <s v="2021 01 9206 22001"/>
    <n v="932.61"/>
    <x v="755"/>
    <s v="SUMINISTRO DE MANUALES Y TOMOS DE DIFERENTES TÍTULOS // DESTINO: ARCHIVO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4"/>
    <s v="9206"/>
    <s v="9206. Archivo municipal"/>
    <s v="22"/>
    <s v="22001"/>
  </r>
  <r>
    <n v="220210031501"/>
    <s v="AD"/>
    <d v="2021-06-22T00:00:00"/>
    <n v="22021005007"/>
    <s v="2021 06 2315 22611"/>
    <n v="660"/>
    <x v="23"/>
    <s v="REPRESENTACIÓN DE &quot;&quot;QUITAMIEDOS&quot;&quot; EN EL CENTRO MUNICIPAL DE LA IGUALDAD / DURANTE JUNI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8691"/>
    <s v="AD"/>
    <d v="2021-06-04T00:00:00"/>
    <n v="22021004477"/>
    <s v="2021 01 9207 22001"/>
    <n v="656.01"/>
    <x v="792"/>
    <s v="UNA SUSCRIPCIÓN ANUAL AL PERIÓDICO ABC - UNIDAD DE MEDIOS DE COMUNICACIÓN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001"/>
  </r>
  <r>
    <n v="220210019212"/>
    <s v="D"/>
    <d v="2021-05-03T00:00:00"/>
    <n v="22021002449"/>
    <s v="2021 07 1711 619"/>
    <n v="6.66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2478"/>
    <s v="D"/>
    <d v="2021-05-14T00:00:00"/>
    <n v="22021002449"/>
    <s v="2021 07 1711 619"/>
    <n v="12052.24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0483"/>
    <s v="D"/>
    <d v="2021-06-11T00:00:00"/>
    <n v="22021002056"/>
    <s v="2021 11 1631 22110"/>
    <n v="917.18"/>
    <x v="285"/>
    <s v="AC MARCO EXP V36-2017: SUMINISTRO DESENGRASANTE PARA LIMPIEZA VIARIA Y 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2516"/>
    <s v="D"/>
    <d v="2021-05-14T00:00:00"/>
    <n v="22021001968"/>
    <s v="2021 11 1321 22199"/>
    <n v="183.8"/>
    <x v="191"/>
    <s v="ACUERDO MARCO. SUMINISTRO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7609"/>
    <s v="D"/>
    <d v="2021-06-01T00:00:00"/>
    <n v="22021002089"/>
    <s v="2021 03 9241 213"/>
    <n v="885.34"/>
    <x v="168"/>
    <s v="Carril Electrif. Trifasico 2mts / Conector Alim./ Tapa Final/ Grapa/ Foco Carril //// DESTINO: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518"/>
    <s v="D"/>
    <d v="2021-05-14T00:00:00"/>
    <n v="22021001968"/>
    <s v="2021 11 1321 22199"/>
    <n v="33.869999999999997"/>
    <x v="191"/>
    <s v="ACUERDO MARCO. SUMINISTRO MATERIAL ELÉCTRICO PARA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32744"/>
    <s v="D"/>
    <d v="2021-06-24T00:00:00"/>
    <n v="22021002132"/>
    <s v="2021 08 1532 210"/>
    <n v="869.02"/>
    <x v="274"/>
    <s v="14,40 M2 DE LOSA DE 60x40x4 (VÍAS PÚBLIC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3249"/>
    <s v="D"/>
    <d v="2021-05-19T00:00:00"/>
    <n v="22021002089"/>
    <s v="2021 03 9241 213"/>
    <n v="865.77"/>
    <x v="82"/>
    <s v="MATERIALES DE ELECTRICIDAD PARA MANTENIMIENTO CC DELICIAS/ CC J.M. LUELMO/ CC RONDILLA/ CC J.L. MOSQUERA/ C.M.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4731"/>
    <s v="D"/>
    <d v="2021-05-24T00:00:00"/>
    <n v="22021002449"/>
    <s v="2021 07 1711 619"/>
    <n v="1260.97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1461"/>
    <s v="AD"/>
    <d v="2021-06-21T00:00:00"/>
    <n v="22021005010"/>
    <s v="2021 02 9332 623"/>
    <n v="865.15"/>
    <x v="161"/>
    <s v="ADQUISICIÓN DE FUENTE DE AGUA PARA INSTALAR EN EL CENTRO DE MANTENIMIENTO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2"/>
    <s v="623"/>
  </r>
  <r>
    <n v="220210020824"/>
    <s v="D"/>
    <d v="2021-05-07T00:00:00"/>
    <n v="22021002056"/>
    <s v="2021 11 1631 22110"/>
    <n v="860.27"/>
    <x v="411"/>
    <s v="AC MARCO EXP. V36-2017: BOLSAS NEGRA 90X95 G-140 PARA CUBOS DE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4840"/>
    <s v="AD"/>
    <d v="2021-05-25T00:00:00"/>
    <n v="22021004572"/>
    <s v="2021 08 1651 619"/>
    <n v="623.08000000000004"/>
    <x v="251"/>
    <s v="Estudios de Seguridad y Salud de los 3 lotes Contrato de mantenimiento de ALUMBRADO.-"/>
    <s v="220"/>
    <s v="MADRID"/>
    <s v="MADRID"/>
    <x v="0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27661"/>
    <s v="D"/>
    <d v="2021-06-01T00:00:00"/>
    <n v="22021002056"/>
    <s v="2021 11 1631 22110"/>
    <n v="860.27"/>
    <x v="411"/>
    <s v="AC MARCO EXP V36-2017. BOLSAS NEGRAS 90X95 G-140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16754"/>
    <s v="AD"/>
    <d v="2021-04-22T00:00:00"/>
    <n v="22021004055"/>
    <s v="2021 11 1321 22104"/>
    <n v="617.1"/>
    <x v="182"/>
    <s v="SUMINISTRO SEIS FORROS POLARES PARA UNIFORMIDAD DEL PERSONAL DE POLICÍA POR DETERIORO DE LOS ANTERIORES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04"/>
  </r>
  <r>
    <n v="220210017068"/>
    <s v="ADO"/>
    <d v="2021-04-26T00:00:00"/>
    <n v="22021004086"/>
    <s v="2021 04 9202 22607"/>
    <n v="609.79999999999995"/>
    <x v="388"/>
    <s v="A.E. USO DE ESPACIOS F. ECONÓMICAS - AULARIO ESGUEVA // DIA:10-4-2021 // 3 TCO. AUX. ARQUI. E INGENIERIA. MJSI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4263"/>
    <s v="AD"/>
    <d v="2021-04-08T00:00:00"/>
    <n v="22021003759"/>
    <s v="2021 03 9241 22602"/>
    <n v="607.41999999999996"/>
    <x v="358"/>
    <s v="ENCUADERNACIÓN 7000 UDS. REVISTA &quot;&quot;LAS CUADRILLAS EN LA VALLADOLID COMUNERA&quot;&quot; (2ª IMPRESIÓN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9248"/>
    <s v="AD"/>
    <d v="2021-05-04T00:00:00"/>
    <n v="22021004224"/>
    <s v="2021 06 2315 22699"/>
    <n v="600"/>
    <x v="793"/>
    <s v="RECARGA DE 30 TARJETAS SIN CONTACTO USUARIAS IV PIL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99"/>
  </r>
  <r>
    <n v="220210031329"/>
    <s v="AD"/>
    <d v="2021-06-17T00:00:00"/>
    <n v="22021004954"/>
    <s v="2021 06 3231 212"/>
    <n v="600"/>
    <x v="124"/>
    <s v="SUMINISTRO DE CONTENEDORES, ÁRIDOS Y RETIRADA DE ESCOMBROS POR LAS OBRAS EN LAS ESCUELAS INFANTILES MUNICIPALES. 2021"/>
    <s v="220"/>
    <s v="LA FLECHA"/>
    <s v="VALLADOLID"/>
    <x v="1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14691"/>
    <s v="AD"/>
    <d v="2021-04-13T00:00:00"/>
    <n v="22021003837"/>
    <s v="2021 11 1621 213"/>
    <n v="600"/>
    <x v="794"/>
    <s v="REPARACION DE BOQUERELES EN EQUIPO EXPENDEDOR DE GASOIL DEL SERVICIO DE LIMPIEZ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3"/>
  </r>
  <r>
    <n v="220210017125"/>
    <s v="AD"/>
    <d v="2021-04-26T00:00:00"/>
    <n v="22021004118"/>
    <s v="2021 10 2312 212"/>
    <n v="600"/>
    <x v="270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17125"/>
    <s v="AD"/>
    <d v="2021-04-26T00:00:00"/>
    <n v="22021004119"/>
    <s v="2021 10 2312 212"/>
    <n v="600"/>
    <x v="270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0460"/>
    <s v="AD"/>
    <d v="2021-05-06T00:00:00"/>
    <n v="22021004012"/>
    <s v="2021 11 1321 22699"/>
    <n v="600"/>
    <x v="380"/>
    <s v="ENMARCACIONES Y CONSUMIBLES PARA EL SERVICIO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33120"/>
    <s v="AD"/>
    <d v="2021-06-30T00:00:00"/>
    <n v="22021002230"/>
    <s v="2021 10 2412 223"/>
    <n v="599.24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31327"/>
    <s v="AD"/>
    <d v="2021-06-17T00:00:00"/>
    <n v="22021003995"/>
    <s v="2021 06 3231 213"/>
    <n v="595.92999999999995"/>
    <x v="726"/>
    <s v="AMPLIACIÓN DEL SERVICIO DE REPARACIÓN DEL TOLDO EN ESCUELA INFANTIL CASCANUEC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3"/>
  </r>
  <r>
    <n v="220210020817"/>
    <s v="D"/>
    <d v="2021-05-07T00:00:00"/>
    <n v="22021002052"/>
    <s v="2021 11 1621 22199"/>
    <n v="858.86"/>
    <x v="411"/>
    <s v="AC MARCO EXP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8157"/>
    <s v="AD"/>
    <d v="2021-06-01T00:00:00"/>
    <n v="22021004628"/>
    <s v="2021 10 2312 212"/>
    <n v="586.85"/>
    <x v="795"/>
    <s v="ROTULACION VIDRIERAS DE   LA 1 PLANTA DEL CPM RONDILLA- DURACION 1 DIA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8432"/>
    <s v="D"/>
    <d v="2021-06-03T00:00:00"/>
    <n v="22021002449"/>
    <s v="2021 07 1711 619"/>
    <n v="3703.93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0262"/>
    <s v="D"/>
    <d v="2021-06-10T00:00:00"/>
    <n v="22021002449"/>
    <s v="2021 07 1711 619"/>
    <n v="1939.99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7689"/>
    <s v="D"/>
    <d v="2021-06-01T00:00:00"/>
    <n v="22021004322"/>
    <s v="2021 07 1711 619"/>
    <n v="12108.47"/>
    <x v="559"/>
    <s v="ACUERDO MARCO 2017/36, ARBOLADO Y ARBUSTOS."/>
    <s v="300"/>
    <s v="PEÑAFIEL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4843"/>
    <s v="AD"/>
    <d v="2021-05-25T00:00:00"/>
    <n v="22021004536"/>
    <s v="2021 03 9241 213"/>
    <n v="551.76"/>
    <x v="318"/>
    <s v="REPARACIÓN ALTAVOCES CC PILARICA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6741"/>
    <s v="AD"/>
    <d v="2021-04-21T00:00:00"/>
    <n v="22021004109"/>
    <s v="2021 06 3261 22699"/>
    <n v="551.76"/>
    <x v="358"/>
    <s v="SUMINISTRO A LA IMPRENTA MUNICIPAL DE MATERIAL PARA LA ELABORACIÓN DE PORTA-MASCARILLAS. CAMPAÑA CON FECOSVA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99"/>
  </r>
  <r>
    <n v="220210022745"/>
    <s v="D"/>
    <d v="2021-05-17T00:00:00"/>
    <n v="22021002049"/>
    <s v="2021 11 1621 22103"/>
    <n v="842.44"/>
    <x v="304"/>
    <s v="AC MARCO EXP V36-2017: SUMINISTRO BIDON ACEITE MOTOR 5W30 208 L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9255"/>
    <s v="AD"/>
    <d v="2021-05-04T00:00:00"/>
    <n v="22021004253"/>
    <s v="2021 06 2315 22611"/>
    <n v="550"/>
    <x v="796"/>
    <s v="TALLER EN EL CENTRO MUNICIPAL DE IGUALDAD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4842"/>
    <s v="AD"/>
    <d v="2021-05-25T00:00:00"/>
    <n v="22021004535"/>
    <s v="2021 03 9241 213"/>
    <n v="546.63"/>
    <x v="239"/>
    <s v="TRAMITACIÓN Y GESTIÓN DOCUMENTAL PARA SUM. ELÉCTRICO DEFINITIVO EN LOCAL C/ CONDE ARTECHE (MARQUÉS SUANCES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1357"/>
    <s v="AD"/>
    <d v="2021-06-18T00:00:00"/>
    <n v="22021004915"/>
    <s v="2021 03 9241 22609"/>
    <n v="544.5"/>
    <x v="23"/>
    <s v="ACTUACIÓN EN CIC CONDE ANSÚREZ EL DIA 05/06/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8275"/>
    <s v="AD"/>
    <d v="2021-06-03T00:00:00"/>
    <n v="22021004669"/>
    <s v="2021 03 9241 22609"/>
    <n v="544.5"/>
    <x v="40"/>
    <s v="ACTUACIÓN DEL GRUPO MARGARITO Y CÍA. EN CIC NATIVIDAD ÁLVAREZ CHACÓN DÍA 22/05/2021. MFS"/>
    <s v="220"/>
    <s v="BURGOS"/>
    <s v="BURGOS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489"/>
    <s v="AD"/>
    <d v="2021-04-20T00:00:00"/>
    <n v="22021003959"/>
    <s v="2021 05 4331 22699"/>
    <n v="544.5"/>
    <x v="797"/>
    <s v="Compra de certificados digitales SSL Wildcar para actuaciones relacionadas con el proyecto S2City"/>
    <s v="220"/>
    <s v="BARCELONA"/>
    <s v="BARCELONA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29570"/>
    <s v="AD"/>
    <d v="2021-06-08T00:00:00"/>
    <n v="22021004785"/>
    <s v="2021 03 9241 22609"/>
    <n v="544.5"/>
    <x v="798"/>
    <s v="ACTUACIÓN BOLOLO TEATRO EN CIC EMPECINADO EL DÍA 29/05/2021. MFS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388"/>
    <s v="AD"/>
    <d v="2021-04-20T00:00:00"/>
    <n v="22021003977"/>
    <s v="2021 03 9241 22609"/>
    <n v="544.5"/>
    <x v="799"/>
    <s v="ACTUACIÓN ZOLOPOTROKO TEATRO DIA 10/04/2021 EN CC RONDILLA, PROGRAMACIÓN MENUDO FIN DE SEMANA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0064"/>
    <s v="D"/>
    <d v="2021-06-09T00:00:00"/>
    <n v="22021001275"/>
    <s v="2021 07 1711 22199"/>
    <n v="642.4"/>
    <x v="559"/>
    <s v="ACUERDO MARCO 2017/36, PIEDRA CALIZA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067"/>
    <s v="D"/>
    <d v="2021-06-09T00:00:00"/>
    <n v="22021001275"/>
    <s v="2021 07 1711 22199"/>
    <n v="993.41"/>
    <x v="559"/>
    <s v="ACUERDO MARCO 2017/36, CUBETAS PARA PLANTAS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575"/>
    <s v="AD"/>
    <d v="2021-04-12T00:00:00"/>
    <n v="22021003718"/>
    <s v="2021 10 2412 22799"/>
    <n v="530"/>
    <x v="800"/>
    <s v="CURSO DE HIGIENE ALIMENTARIA PARA EL CENTRO DE FORMACION PARA EL EMPLEO, CURSO DE V. CUIDA IV- DURACION 1 DIA"/>
    <s v="220"/>
    <s v="LEON"/>
    <s v="LEON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799"/>
  </r>
  <r>
    <n v="220210033207"/>
    <s v="D"/>
    <d v="2021-06-30T00:00:00"/>
    <n v="22021001275"/>
    <s v="2021 07 1711 22199"/>
    <n v="12484.27"/>
    <x v="559"/>
    <s v="ACUERDO MARCO 2017/36, SUMINISTRO PLANTA DE FLOR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5712"/>
    <s v="D"/>
    <d v="2021-04-16T00:00:00"/>
    <n v="22021002088"/>
    <s v="2021 03 9241 212"/>
    <n v="826.81"/>
    <x v="116"/>
    <s v="ALBARANES DE MARZO: 2102444 -2102505 -2102737 -2102848 -2102850 // CC BAILARÍN VICEN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00071711"/>
    <s v="AD"/>
    <d v="2021-06-28T00:00:00"/>
    <n v="22020007453"/>
    <s v="2021 02 1511 22706"/>
    <n v="655.93"/>
    <x v="250"/>
    <s v="PROSPECCIONES GEOFÍSICAS POL.IND.ARGALES CON EL FIN DE REALIZAR EL PROYECTO"/>
    <s v="220"/>
    <s v="ZARATAN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14377"/>
    <s v="AD"/>
    <d v="2021-04-09T00:00:00"/>
    <n v="22021003722"/>
    <s v="2021 11 1361 22199"/>
    <n v="526.35"/>
    <x v="801"/>
    <s v="Fabricación de corona dentada especial, en bronce, componente de bomba contraincendios ZIEGLER; BUP_17;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3091"/>
    <s v="AD"/>
    <d v="2021-06-29T00:00:00"/>
    <n v="22021005032"/>
    <s v="2021 06 3261 632"/>
    <n v="419.49"/>
    <x v="802"/>
    <s v="ASISTENCIA TECNICA EN EL CONTRO DE CALIDAD. LOTE 2. PARA LAS OBRAS DE MEJORA DE VARIAS AULAS EN EL CEIP MARIA DE MOLINA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0"/>
    <s v="3261"/>
    <s v="3261. Servicios complementarios de educación"/>
    <s v="63"/>
    <s v="632"/>
  </r>
  <r>
    <n v="220210031722"/>
    <s v="D"/>
    <d v="2021-06-22T00:00:00"/>
    <n v="22021001966"/>
    <s v="2021 11 1321 213"/>
    <n v="396.29"/>
    <x v="168"/>
    <s v="ACUERDO MARCO. SUMINISTRO MATERIAL ELECTRÓNICO PARA DEPENDENCIAS POLIC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8997"/>
    <s v="AD"/>
    <d v="2021-04-30T00:00:00"/>
    <n v="22021004178"/>
    <s v="2021 09 3341 22199"/>
    <n v="520.89"/>
    <x v="177"/>
    <s v="compra de un mando de control calefaccion y aire acondicionado en Galerías VA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99"/>
  </r>
  <r>
    <n v="220210032817"/>
    <s v="AD"/>
    <d v="2021-06-24T00:00:00"/>
    <n v="22021005035"/>
    <s v="2021 04 9202 22607"/>
    <n v="508.2"/>
    <x v="803"/>
    <s v="PRUEBA PSICOTÉCNICA PARA LA PROVISION DE 4 PLAZAS DE SUBINSPECTOR DE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6052"/>
    <s v="AD"/>
    <d v="2021-05-31T00:00:00"/>
    <n v="22021004044"/>
    <s v="2021 04 9209 625"/>
    <n v="505.03"/>
    <x v="702"/>
    <s v="ADQUISICIÓN DE MOBILIARIO CON DESTINO A LA INTERVENCIÓN GENERAL (1 SILLÓN DE TRABAJO).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9"/>
    <s v="9209. Dirección del area de hacienda y función pública"/>
    <s v="62"/>
    <s v="625"/>
  </r>
  <r>
    <n v="220210014792"/>
    <s v="D"/>
    <d v="2021-04-13T00:00:00"/>
    <n v="22021001275"/>
    <s v="2021 07 1711 22199"/>
    <n v="93.53"/>
    <x v="61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746"/>
    <s v="AD"/>
    <d v="2021-04-22T00:00:00"/>
    <n v="22021000678"/>
    <s v="2021 10 2412 213"/>
    <n v="501.54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945"/>
    <s v="AD"/>
    <d v="2021-04-26T00:00:00"/>
    <n v="22021004035"/>
    <s v="2021 06 2315 22611"/>
    <n v="500"/>
    <x v="804"/>
    <s v="REALIZACION DE TALLERES SOBRE LA PERSPECTIVA DE GENERO Y MEDIOS DE COMUNICACION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8832"/>
    <s v="AD"/>
    <d v="2021-06-04T00:00:00"/>
    <n v="22021004775"/>
    <s v="2021 04 9202 22607"/>
    <n v="500"/>
    <x v="557"/>
    <s v="PERSONAL CRONOMETRADOR REALIZACIÓN PRUEBAS FÍSICAS OPOSICÓN SUBINSPECTOR POLICÍA MUNICIPAL. PER 131/2021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8998"/>
    <s v="AD"/>
    <d v="2021-04-30T00:00:00"/>
    <n v="22021004184"/>
    <s v="2021 02 9332 212"/>
    <n v="500"/>
    <x v="236"/>
    <s v="ADQUISICIÓN LAMINAS DE PLÁSTICO PROTEC.DEL PARQUET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14269"/>
    <s v="AD"/>
    <d v="2021-04-08T00:00:00"/>
    <n v="22021003780"/>
    <s v="2021 11 1621 214"/>
    <n v="500"/>
    <x v="736"/>
    <s v="SUMINISTRO REPUESTOS PARA  REPARACIÓN VEHÍCULOS MARCA MERCEDES DEL SERVICIO DE LIMPIEZA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32897"/>
    <s v="AD"/>
    <d v="2021-06-25T00:00:00"/>
    <n v="22021001247"/>
    <s v="2021 11 1631 214"/>
    <n v="500"/>
    <x v="419"/>
    <s v="SUMINISTRO REPUESTOS NEUMÁTICOS PARA REPARACION VEHICULOS DE LIMPIEZA VIARI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14679"/>
    <s v="AD"/>
    <d v="2021-04-12T00:00:00"/>
    <n v="22021003819"/>
    <s v="2021 06 3261 22699"/>
    <n v="500"/>
    <x v="152"/>
    <s v="SUMINISTRO DE PAPEL A LA IMPRENTA MUNICIPAL. PARA ELABORACION DE PROGRAMAS, DIPTICOS, ..., VINCULADOS A EDUCACION.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99"/>
  </r>
  <r>
    <n v="220210014798"/>
    <s v="D"/>
    <d v="2021-04-13T00:00:00"/>
    <n v="22021001275"/>
    <s v="2021 07 1711 22199"/>
    <n v="603.9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73"/>
    <s v="AD"/>
    <d v="2021-06-03T00:00:00"/>
    <n v="22021004672"/>
    <s v="2021 03 9241 22609"/>
    <n v="500"/>
    <x v="805"/>
    <s v="ACTUACIÓN EN CC DELICIAS DÍA 18/04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812"/>
    <s v="D"/>
    <d v="2021-04-22T00:00:00"/>
    <n v="22021001275"/>
    <s v="2021 07 1711 22199"/>
    <n v="77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5585"/>
    <s v="AD"/>
    <d v="2021-04-16T00:00:00"/>
    <n v="22021003901"/>
    <s v="2021 06 3232 22799"/>
    <n v="496.05"/>
    <x v="120"/>
    <s v="INSTALACIÓN DE RIEGO EN COLEGIO ALLUE MORER"/>
    <s v="220"/>
    <s v="VALLADOLID"/>
    <s v="VALLADOLID"/>
    <x v="2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2"/>
    <s v="22799"/>
  </r>
  <r>
    <n v="220210031456"/>
    <s v="AD"/>
    <d v="2021-06-21T00:00:00"/>
    <n v="22021004886"/>
    <s v="2021 07 1701 213"/>
    <n v="495"/>
    <x v="50"/>
    <s v="INSTALACIÓN SISTEMA COMUNICACIÓN AUDIOVISUAL Y LÍNEA TELEFÓNICA EN ASCENSOR DE CASA DEL BARCO. 01/06/2021 AL 31/12/2021"/>
    <s v="220"/>
    <s v="VIGO"/>
    <s v="PONTEVEDRA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1"/>
    <s v="213"/>
  </r>
  <r>
    <n v="220210019254"/>
    <s v="AD"/>
    <d v="2021-05-04T00:00:00"/>
    <n v="22021004252"/>
    <s v="2021 06 2314 213"/>
    <n v="807.45"/>
    <x v="168"/>
    <s v="REPARACION E INSTALACION DE  LUMINARIAS DEL ESPACIO JOVEN ZONA SUR / 1 DIA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3"/>
  </r>
  <r>
    <n v="220210015699"/>
    <s v="D"/>
    <d v="2021-04-16T00:00:00"/>
    <n v="22021002378"/>
    <s v="2021 02 9332 214"/>
    <n v="778.67"/>
    <x v="96"/>
    <s v="REPARACION Y RECAMBIOS VEHICULO: 3816-GKW ///  METER EN FRENOMETRO, Cº RETEN Y ZAPATAS, REVIS. TACOGRAF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8822"/>
    <s v="AD"/>
    <d v="2021-04-28T00:00:00"/>
    <n v="22021004140"/>
    <s v="2021 01 9203 214"/>
    <n v="487.63"/>
    <x v="791"/>
    <s v="REPARACION VEHICULO OFICIAL 3161 GFG, R.I.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1"/>
    <s v="214"/>
  </r>
  <r>
    <n v="220210020822"/>
    <s v="D"/>
    <d v="2021-05-07T00:00:00"/>
    <n v="22021002057"/>
    <s v="2021 11 1631 22199"/>
    <n v="776.12"/>
    <x v="411"/>
    <s v="AC MARCO EXP V36-2017: SUMINISTROS PARA LOS TRABAJ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153"/>
    <s v="AD"/>
    <d v="2021-05-31T00:00:00"/>
    <n v="22021004582"/>
    <s v="2021 03 9241 22609"/>
    <n v="484"/>
    <x v="399"/>
    <s v="ACTUACIÓN EN CC ZONA ESTE EL DÍA 08/05/2021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220"/>
    <s v="AD"/>
    <d v="2021-04-20T00:00:00"/>
    <n v="22021003847"/>
    <s v="2021 07 1701 22699"/>
    <n v="484"/>
    <x v="213"/>
    <s v="CONTRATACIÓN DEL RECICLADO DE PAPEL EN CASA DEL BARCO Y EDIFICIO ANEXO.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699"/>
  </r>
  <r>
    <n v="220210020443"/>
    <s v="AD"/>
    <d v="2021-05-06T00:00:00"/>
    <n v="22021004291"/>
    <s v="2021 03 9241 22609"/>
    <n v="484"/>
    <x v="806"/>
    <s v="ESPECTÁCULO &quot;&quot;ESTO SABE A GLORIA&quot;&quot; (LAS CHAMANAS) EN CC BAILARÍN VICENTE ESCUDERO, DÍA 25/04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1358"/>
    <s v="AD"/>
    <d v="2021-06-18T00:00:00"/>
    <n v="22021004916"/>
    <s v="2021 03 9241 22609"/>
    <n v="484"/>
    <x v="807"/>
    <s v="ACTUACIÓN TRÍO CANTABILE EN CC DELICIAS EL DÍA 22/05/2021"/>
    <s v="220"/>
    <s v="RENEDO DE ESGUEV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3523"/>
    <s v="AD"/>
    <d v="2021-05-20T00:00:00"/>
    <n v="22021004448"/>
    <s v="2021 03 9241 22699"/>
    <n v="476.74"/>
    <x v="733"/>
    <s v="SUM E INST. DE DOS PLACAS IDENTIFICATIVAS ALUMINIO 500x500 mm (PARA CIC SANTIAGO LÓPEZ Y CIC SEGUNDO MONTE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436"/>
    <s v="D"/>
    <d v="2021-06-03T00:00:00"/>
    <n v="22021004322"/>
    <s v="2021 07 1711 619"/>
    <n v="280.5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1218"/>
    <s v="AD"/>
    <d v="2021-06-15T00:00:00"/>
    <n v="22021004819"/>
    <s v="2021 10 2412 224"/>
    <n v="474.7"/>
    <x v="808"/>
    <s v="SEGURO DE RESPON CIVIL Y ACCIDENTES DEL CURSO DE ATENCION SOCIOSANITARIA A PERSONAS DEPEND EN DOMIC- DE01/07 AL15/12/ 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4"/>
  </r>
  <r>
    <n v="220210016055"/>
    <s v="D"/>
    <d v="2021-04-19T00:00:00"/>
    <n v="22021001968"/>
    <s v="2021 11 1321 22199"/>
    <n v="157.51"/>
    <x v="285"/>
    <s v="ACUERDO MARCO. 64TI/35 CADADO ABUS LLAVES IGUALES N 6356 ( 24 UNIDADES ) ///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3561"/>
    <s v="AD"/>
    <d v="2021-05-21T00:00:00"/>
    <n v="22021004478"/>
    <s v="2021 08 1532 214"/>
    <n v="473.22"/>
    <x v="502"/>
    <s v="REVISION GRUA FASSI F 110A.23 Nº 5765 AÑO 2004-CONSERVACION DE INFRAESTRUCTURASACEITE HIDRAULICO HM 46 ISO 9001 FILTRO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1824"/>
    <s v="AD"/>
    <d v="2021-05-11T00:00:00"/>
    <n v="22021004374"/>
    <s v="2021 09 3341 22699"/>
    <n v="471.9"/>
    <x v="358"/>
    <s v="Encuadernacion libro &quot;&quot;Los Cazadores de Alcántara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99"/>
  </r>
  <r>
    <n v="220210020616"/>
    <s v="AD"/>
    <d v="2021-05-06T00:00:00"/>
    <n v="22021004169"/>
    <s v="2021 10 2316 22616"/>
    <n v="465"/>
    <x v="809"/>
    <s v="CICLO DE 3 ACTIV.FORMATIVAS DIRIGIDAS A EMPRESAS. DIA CONTRA LA DISCRIMINACIÓN RACIAL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16546"/>
    <s v="D"/>
    <d v="2021-04-20T00:00:00"/>
    <n v="22021003381"/>
    <s v="2021 11 1361 22199"/>
    <n v="156.9"/>
    <x v="285"/>
    <s v="ACUERDO MARCO V.36_2017; LOTE 1;MATERIALES DE FERRETERÍA NECESARIOS PARA LAS TAREAS DEL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8824"/>
    <s v="AD"/>
    <d v="2021-06-04T00:00:00"/>
    <n v="22021004728"/>
    <s v="2021 01 9205 22104"/>
    <n v="459.8"/>
    <x v="786"/>
    <s v="ADJUDICACIÓN SUMINISTRO DE CALZADO SEGURIDAD PARA PERSONAL IMPRENTA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04"/>
  </r>
  <r>
    <n v="220210019068"/>
    <s v="D"/>
    <d v="2021-05-03T00:00:00"/>
    <n v="22021001968"/>
    <s v="2021 11 1321 22199"/>
    <n v="84.7"/>
    <x v="285"/>
    <s v="ACUERDO MARCO  SUMINISTRO ALFOMBRA CITI 10mm GRIS 100X200 CON BORDES 11mm ANTRACITA MONTAD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844"/>
    <s v="AD"/>
    <d v="2021-05-25T00:00:00"/>
    <n v="22021004538"/>
    <s v="2021 03 9241 213"/>
    <n v="457.92"/>
    <x v="163"/>
    <s v="SUMINISTRO E INSTALACIÓN DE BATERÍA STANDARD GRUPO ELECTRÓGENO CC J. M. LUELMO"/>
    <s v="220"/>
    <s v="MADR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0174"/>
    <s v="D"/>
    <d v="2021-06-09T00:00:00"/>
    <n v="22021002089"/>
    <s v="2021 03 9241 213"/>
    <n v="749.01"/>
    <x v="82"/>
    <s v="MATERIAL DE ELECTRICIDAD PARA EL MANTENIMIENTO DE CENTRO SEGUNDO MONTES/ CC J.L.MOSQUERA/ CC DELICIA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514"/>
    <s v="D"/>
    <d v="2021-05-14T00:00:00"/>
    <n v="22021001968"/>
    <s v="2021 11 1321 22199"/>
    <n v="142.11000000000001"/>
    <x v="285"/>
    <s v="ACUERDO MARCO. SUMINISTRO DE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744"/>
    <s v="D"/>
    <d v="2021-05-24T00:00:00"/>
    <n v="22021001275"/>
    <s v="2021 07 1711 22199"/>
    <n v="13.85"/>
    <x v="28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464"/>
    <s v="AD"/>
    <d v="2021-06-21T00:00:00"/>
    <n v="22021004960"/>
    <s v="2021 11 1621 22199"/>
    <n v="453.81"/>
    <x v="22"/>
    <s v="SUMINISTRO CARTUCHO VÁLVULA TERMOSTATICA REPARACION EN VESTUARIOS DEL SERVICIO DE LIMPIEZA C/ TOPAC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33122"/>
    <s v="AD"/>
    <d v="2021-06-30T00:00:00"/>
    <n v="22021005074"/>
    <s v="2021 10 2412 224"/>
    <n v="450.89"/>
    <x v="808"/>
    <s v="SEGURO DE ACCT. Y RESPONS. CIVIL DEL CURSO ATENC. SOCIOSANITARIA A PERSONAS DEPENDIENTES EN IINST.DEL 02/08 AL 17/12/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4"/>
  </r>
  <r>
    <n v="220210027641"/>
    <s v="D"/>
    <d v="2021-06-01T00:00:00"/>
    <n v="22021001038"/>
    <s v="2021 10 2312 212"/>
    <n v="720.19"/>
    <x v="82"/>
    <s v="MANTENIMIENTO, SUMINISTRO DE EMERGEN LEGRAND 661608PL 200LM  (20 UNIDADES)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50"/>
    <s v="D"/>
    <d v="2021-06-09T00:00:00"/>
    <n v="22021002055"/>
    <s v="2021 11 1631 22104"/>
    <n v="718.29"/>
    <x v="353"/>
    <s v="AC MARCO EXP V36-2017: TRAJE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0451"/>
    <s v="AD"/>
    <d v="2021-05-06T00:00:00"/>
    <n v="22021004256"/>
    <s v="2021 10 2316 22616"/>
    <n v="448.5"/>
    <x v="54"/>
    <s v="CURSO DE 6 H. ONLINE EN MATERIA DE TRATA DE SERES HUMANOS DIRIDIGO AL PERSONAL DE SERV. SOC. DEL AYTO Y ENT. SOC.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6058"/>
    <s v="AD"/>
    <d v="2021-05-31T00:00:00"/>
    <n v="22021001300"/>
    <s v="2021 11 1621 213"/>
    <n v="445.28"/>
    <x v="333"/>
    <s v="CONTRATO SERVICIO LINEA TELEFONICA PARA ASCENSOR OFICINAS SERVICIO LIMPIEZA (C/ TOPACIO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3"/>
  </r>
  <r>
    <n v="220210015893"/>
    <s v="AD"/>
    <d v="2021-04-19T00:00:00"/>
    <n v="22021003917"/>
    <s v="2021 03 9241 212"/>
    <n v="442.41"/>
    <x v="270"/>
    <s v="SUMINISTRO DE MATERIALES DE PINTURA PARA CENTROS: SEGUNDO MONTES, MOSQUERA Y RONDILLA Y LOCAL SCOUT PARQUE MEDIODI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0634"/>
    <s v="D"/>
    <d v="2021-05-07T00:00:00"/>
    <n v="22021002048"/>
    <s v="2021 11 1621 214"/>
    <n v="717.46"/>
    <x v="110"/>
    <s v="AC MARCO EXP V36-2017: REPUESTOS PARA REPARACIONES VEHICULO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3522"/>
    <s v="AD"/>
    <d v="2021-05-20T00:00:00"/>
    <n v="22021004447"/>
    <s v="2021 03 9241 22609"/>
    <n v="440"/>
    <x v="810"/>
    <s v="CONCIERTO DELIBREANDO EN CC PARQUESOL 29/04/2021 (EN JUNIO LA ESGUEVA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8993"/>
    <s v="AD"/>
    <d v="2021-04-30T00:00:00"/>
    <n v="22021004222"/>
    <s v="2021 03 9241 22609"/>
    <n v="440"/>
    <x v="212"/>
    <s v="Espectáculo en CC Esgueva día 22/04/2021. MFS"/>
    <s v="220"/>
    <s v="SIMANCAS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3521"/>
    <s v="AD"/>
    <d v="2021-05-20T00:00:00"/>
    <n v="22021004446"/>
    <s v="2021 03 9241 22609"/>
    <n v="440"/>
    <x v="811"/>
    <s v="REPRESENTACIÓN TÍTERES EN CM PUENTE DUERO DÍA 01/05/2021. MFS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4260"/>
    <s v="AD"/>
    <d v="2021-04-08T00:00:00"/>
    <n v="22021003709"/>
    <s v="2021 04 9231 22799"/>
    <n v="440"/>
    <x v="733"/>
    <s v="PLACAS ROTULADORAS DE VIAS DE CALLE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799"/>
  </r>
  <r>
    <n v="220210025677"/>
    <s v="D"/>
    <d v="2021-05-27T00:00:00"/>
    <n v="22021003381"/>
    <s v="2021 11 1361 22199"/>
    <n v="62.12"/>
    <x v="285"/>
    <s v="ACUERDO MARCO V.36/2017; LOTE1;JUNTA TORICA ROLLO CINTA BOLSA HERRAM TACO FISCHER TORNILLOS BROCA PARED QUADRING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264"/>
    <s v="D"/>
    <d v="2021-06-10T00:00:00"/>
    <n v="22021001275"/>
    <s v="2021 07 1711 22199"/>
    <n v="0.93"/>
    <x v="28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278"/>
    <s v="AD"/>
    <d v="2021-06-10T00:00:00"/>
    <n v="22021004805"/>
    <s v="2021 03 9241 212"/>
    <n v="434.26"/>
    <x v="270"/>
    <s v="MATERIALES DE PINTURA PARA CC ESGUEVA (131,16 ¿) Y LOCAL AV BUENOS AIRES (RESTO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30473"/>
    <s v="D"/>
    <d v="2021-06-11T00:00:00"/>
    <n v="22021001968"/>
    <s v="2021 11 1321 22199"/>
    <n v="357.22"/>
    <x v="285"/>
    <s v="ACUERDO MARCO. SUMINISTRO DE MATERIAL DE FERRETERIA PARA POLICI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8983"/>
    <s v="AD"/>
    <d v="2021-04-30T00:00:00"/>
    <n v="22021004161"/>
    <s v="2021 11 1361 213"/>
    <n v="428.05"/>
    <x v="96"/>
    <s v="Revisión del sistema de frenado y sustitución de pastillas de freno en BUP:1; matrícula 4894 JLF; SEISYPC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3"/>
  </r>
  <r>
    <n v="220210031178"/>
    <s v="D"/>
    <d v="2021-06-14T00:00:00"/>
    <n v="22021003381"/>
    <s v="2021 11 1361 22199"/>
    <n v="384.68"/>
    <x v="285"/>
    <s v="ACUERDO MARCO SUMINISTROS: MUELLE DH 32GS  OPTIMUN/ VISOR DH 32GS  OPTIMUN  SPRAY SEGOPI ADHESIVO/ CINTA SEÑALIZ.../SEI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3530"/>
    <s v="AD"/>
    <d v="2021-05-20T00:00:00"/>
    <n v="22021004441"/>
    <s v="2021 11 1321 22104"/>
    <n v="423.98"/>
    <x v="182"/>
    <s v="SUMINISTRO DE NÚMEROS PROFESIONALES Y PANTALONES UNIFORME POR NECESIDAD URGENTE (CONTRATO VESTUARIO EN TRAMITACIÓN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04"/>
  </r>
  <r>
    <n v="220210032751"/>
    <s v="D"/>
    <d v="2021-06-24T00:00:00"/>
    <n v="22021002723"/>
    <s v="2021 01 9206 22001"/>
    <n v="715.7"/>
    <x v="812"/>
    <s v="SUMINISTRO DE DIFERENTES LIBROS ////  DESTINO: ARCHIVO MPAL"/>
    <s v="300"/>
    <s v="MADRID"/>
    <s v="MADRID"/>
    <x v="1"/>
    <s v="PrAbier - Procedimiento Abierto"/>
    <s v="MultiC - MultiCriterio"/>
    <x v="2"/>
    <x v="1"/>
    <s v="2"/>
    <s v="2. Gastos corrientes en bienes y servicios"/>
    <s v="01"/>
    <x v="4"/>
    <s v="9206"/>
    <s v="9206. Archivo municipal"/>
    <s v="22"/>
    <s v="22001"/>
  </r>
  <r>
    <n v="220210018981"/>
    <s v="AD"/>
    <d v="2021-04-30T00:00:00"/>
    <n v="22021004019"/>
    <s v="2021 01 9203 22699"/>
    <n v="423.5"/>
    <x v="813"/>
    <s v="ADQUISICION SOPORTE PARA INAUGURACION PLAZA, ALCALDIA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33204"/>
    <s v="D"/>
    <d v="2021-06-30T00:00:00"/>
    <n v="22021002227"/>
    <s v="2021 06 3321 212"/>
    <n v="705.25"/>
    <x v="82"/>
    <s v="MARCO ARTESO (2)/ ZOCALO UNEX (10)/ ADAPTADOR (20)/ BASE (20)/ CARGADOR (10)/ PARA BIBLIOT. BAILARIN V. ESCUDERO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18836"/>
    <s v="D"/>
    <d v="2021-04-28T00:00:00"/>
    <n v="22021002601"/>
    <s v="2021 06 3321 629"/>
    <n v="701.36"/>
    <x v="814"/>
    <s v="8 TÍTULOS PARA LAS BIBLIOTECAS MUNICIPALES (LIBRERÍA MAXTOR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3116"/>
    <s v="AD"/>
    <d v="2021-06-30T00:00:00"/>
    <n v="22021004963"/>
    <s v="2021 03 9241 212"/>
    <n v="409.31"/>
    <x v="257"/>
    <s v="ACONDICIONAMIENTO CUBIERTA PARA PLACAS SOLARES CC PARQUESOL"/>
    <s v="220"/>
    <s v="ARROYO DE LA ENCOMIENDA"/>
    <s v="VALLADOLID"/>
    <x v="2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2817"/>
    <s v="AD"/>
    <d v="2021-05-17T00:00:00"/>
    <n v="22021004395"/>
    <s v="2021 03 9241 22609"/>
    <n v="400"/>
    <x v="2"/>
    <s v="CONCIERTO EL DIA 02/05/2021 EN CC J .L. MOSQUERA. MFS"/>
    <s v="220"/>
    <s v="MUCIENTES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8274"/>
    <s v="AD"/>
    <d v="2021-06-03T00:00:00"/>
    <n v="22021004670"/>
    <s v="2021 03 9241 22609"/>
    <n v="400"/>
    <x v="815"/>
    <s v="ACTUACIÓN EN CC PARQUESOL EL DÍA 22/05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1360"/>
    <s v="AD"/>
    <d v="2021-06-18T00:00:00"/>
    <n v="22021004826"/>
    <s v="2021 09 3301 22699"/>
    <n v="400"/>
    <x v="816"/>
    <s v="CONTRATACIÓN DEL ESPECTÁCULO DE POESÍA, MÚSICA Y DANZA &quot;&quot;LA ESCUELA DE RABINDRANATH TAGORE&quot;&quot; CON MOTIVO  DE LA FERIA LIBRO"/>
    <s v="220"/>
    <s v="DEHESA DE PEÑALBA-VILLABAÑEZ"/>
    <s v="VALLADOLID"/>
    <x v="0"/>
    <s v="AdDirec - Adjudicación Directa"/>
    <s v="SinC - Sin Criterio"/>
    <x v="0"/>
    <x v="1"/>
    <s v="2"/>
    <s v="2. Gastos corrientes en bienes y servicios"/>
    <s v="09"/>
    <x v="1"/>
    <s v="3301"/>
    <s v="3301. Dirección del área de cultura"/>
    <s v="22"/>
    <s v="22699"/>
  </r>
  <r>
    <n v="220210026154"/>
    <s v="AD"/>
    <d v="2021-05-31T00:00:00"/>
    <n v="22021004605"/>
    <s v="2021 03 9241 22609"/>
    <n v="400"/>
    <x v="817"/>
    <s v="ACTUACIÓN EN CC CASA CUNA EL DÍA 15/05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0283"/>
    <s v="AD"/>
    <d v="2021-06-10T00:00:00"/>
    <n v="22021001278"/>
    <s v="2021 07 1711 22799"/>
    <n v="400"/>
    <x v="263"/>
    <s v="COMPLEMENTARIO MANTENIMIENTO SISTEMAS DE SEGURIDAD,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20089"/>
    <s v="AD"/>
    <d v="2021-05-05T00:00:00"/>
    <n v="22021004198"/>
    <s v="2021 06 3321 22199"/>
    <n v="400"/>
    <x v="380"/>
    <s v="CARTELERÍA PARA LOS EVENTOS DE LAS BIBLIOTECAS MUNICIPALES DURANTE EL AÑO 2021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199"/>
  </r>
  <r>
    <n v="220210032703"/>
    <s v="D"/>
    <d v="2021-06-24T00:00:00"/>
    <n v="22021003381"/>
    <s v="2021 11 1361 22199"/>
    <n v="699.28"/>
    <x v="347"/>
    <s v="BUJIA/BATERIA EXIDE/MAXICER PREMIUM/CANON GESTIÓN ACEITE (RD679/2006)/ SEPIOLITA 20 KG /LIMP. INYECCIÓN DIESEL/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130"/>
    <s v="D"/>
    <d v="2021-05-03T00:00:00"/>
    <n v="22021001169"/>
    <s v="2021 10 2412 212"/>
    <n v="683.82"/>
    <x v="82"/>
    <s v="MANTENIMIENTO, REPARACION LUMINARIA THORN ,TASA ECORAEE,CAJA EST LEGRANDDEL C. . FORMAC. JACINTO BENAVENTE- DURACION 1 D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2845"/>
    <s v="AD"/>
    <d v="2021-05-18T00:00:00"/>
    <n v="22021004405"/>
    <s v="2021 11 3111 22106"/>
    <n v="394"/>
    <x v="468"/>
    <s v="CONTENEDORES RESIDUOS SANITARIOS DURANTE 2021"/>
    <s v="220"/>
    <s v="ALDEAMAYOR DE SAN MARTÍN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6387"/>
    <s v="AD"/>
    <d v="2021-04-20T00:00:00"/>
    <n v="22021003976"/>
    <s v="2021 03 9241 212"/>
    <n v="393.25"/>
    <x v="120"/>
    <s v="REPARACIÓN ALERO CUBIERTA POR ACCIDENTE EN CIC NATIVIDAD ÁLVAREZ CHACÓN"/>
    <s v="220"/>
    <s v="VALLADOLID"/>
    <s v="VALLADOLID"/>
    <x v="2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5516"/>
    <s v="AD"/>
    <d v="2021-04-15T00:00:00"/>
    <n v="22021003854"/>
    <s v="2021 11 3111 213"/>
    <n v="390.23"/>
    <x v="128"/>
    <s v="REVISIÓN EXTINTORES CASA DEL BARCO Y CENTRO MUNICIPAL DE PROTECCION ANIMAL EN 2021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1"/>
    <s v="213"/>
  </r>
  <r>
    <n v="220210016735"/>
    <s v="AD"/>
    <d v="2021-04-21T00:00:00"/>
    <n v="22021004103"/>
    <s v="2021 08 1532 213"/>
    <n v="389.62"/>
    <x v="818"/>
    <s v="Revisión obligatoria en periodo de garantía de 7 puertas mecanizadas en el Parque de  Vías Públicas del S.E.P.I."/>
    <s v="220"/>
    <s v="REVILLA DE CAMARGO"/>
    <s v="CANTABRIA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3"/>
  </r>
  <r>
    <n v="220210020807"/>
    <s v="D"/>
    <d v="2021-05-07T00:00:00"/>
    <n v="22021002228"/>
    <s v="2021 06 3232 212"/>
    <n v="660.13"/>
    <x v="410"/>
    <s v="SUMINISTRO DE MATERIAL DE FONTANERÍA PARA C.P.: CRIST.COLÓN- NARCISO A.C.- ALONSO B.- PONCE LEON- MIGUEL HDEZ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526"/>
    <s v="AD"/>
    <d v="2021-05-20T00:00:00"/>
    <n v="22021004468"/>
    <s v="2021 01 9206 22799"/>
    <n v="387.2"/>
    <x v="819"/>
    <s v="TRATAMIENTO DE DESRATIZACIÓN EN LAS INSTALACIONES DEL ARCHIVO MUNICIPAL."/>
    <s v="220"/>
    <s v="VILLANUBLA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799"/>
  </r>
  <r>
    <n v="220210030631"/>
    <s v="D"/>
    <d v="2021-06-11T00:00:00"/>
    <n v="22020000876"/>
    <s v="2021 05 4331 609"/>
    <n v="528.02"/>
    <x v="250"/>
    <s v="Modificado CONTRATO DE OBRAS DE INFRAESTRUCTURA: TOLDOS VEGETALES EN LA CALLE SANTA MARÍA. PROYECTO URBAN GreenUP"/>
    <s v="300"/>
    <s v="ZARATAN"/>
    <s v="VALLADOLID"/>
    <x v="2"/>
    <s v="PrAbier - Procedimiento Abierto"/>
    <s v="MultiC - MultiCriterio"/>
    <x v="2"/>
    <x v="1"/>
    <s v="6"/>
    <s v="6. Inversiones reales"/>
    <s v="05"/>
    <x v="6"/>
    <s v="4331"/>
    <s v="4331. Desarrollo empresarial"/>
    <s v="60"/>
    <s v="609"/>
  </r>
  <r>
    <n v="220210023524"/>
    <s v="AD"/>
    <d v="2021-05-20T00:00:00"/>
    <n v="22021004449"/>
    <s v="2021 03 9241 22103"/>
    <n v="383.47"/>
    <x v="149"/>
    <s v="SUMINISTRO DE GASÓLEO PARA LOCAL C/ CONDE ARTECHE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03"/>
  </r>
  <r>
    <n v="220210022814"/>
    <s v="AD"/>
    <d v="2021-05-17T00:00:00"/>
    <n v="22021004379"/>
    <s v="2021 03 9241 22602"/>
    <n v="379.94"/>
    <x v="820"/>
    <s v="MASCARILLAS LOGO ACTUVA (60 UD.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784"/>
    <s v="D"/>
    <d v="2021-04-22T00:00:00"/>
    <n v="22021002048"/>
    <s v="2021 11 1621 214"/>
    <n v="650.92999999999995"/>
    <x v="347"/>
    <s v="AC MARCO EXP.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719"/>
    <s v="D"/>
    <d v="2021-04-13T00:00:00"/>
    <n v="22021001038"/>
    <s v="2021 10 2312 212"/>
    <n v="648.38"/>
    <x v="82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5503"/>
    <s v="AD"/>
    <d v="2021-04-14T00:00:00"/>
    <n v="22021003813"/>
    <s v="2021 06 3321 22001"/>
    <n v="375"/>
    <x v="821"/>
    <s v="SUSCRIPCIÓN A LA REVISTA PRIMICIAS NEWS AÑO 2021 PARA LAS BIBLIOTECAS MUNICIPALES."/>
    <s v="220"/>
    <s v="MADRID"/>
    <s v="MADR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14434"/>
    <s v="D"/>
    <d v="2021-04-09T00:00:00"/>
    <n v="22021002133"/>
    <s v="2021 08 1651 22199"/>
    <n v="641.54"/>
    <x v="82"/>
    <s v="REGLETA LEGRAND NEGRA Ø25/ REGLETA LEGRAND NEGRA Ø16/ REGLETA LEGRAND NEGRA Ø10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28271"/>
    <s v="AD"/>
    <d v="2021-06-03T00:00:00"/>
    <n v="22021004623"/>
    <s v="2021 02 1501 22602"/>
    <n v="638.88"/>
    <x v="184"/>
    <s v="ANUNCIO PRENSA PROYECTO ADAPTACIÓN LOCAL CALLE SANTIAGO,22 PARA CENTRO SALUD LABORAL AYUNTAM.VALLAD."/>
    <s v="220"/>
    <s v="VALLADOLID"/>
    <s v="VALLADOLID"/>
    <x v="4"/>
    <s v="PrAbier - Procedimiento Abierto"/>
    <s v="SinC - Sin Criterio"/>
    <x v="2"/>
    <x v="1"/>
    <s v="2"/>
    <s v="2. Gastos corrientes en bienes y servicios"/>
    <s v="02"/>
    <x v="10"/>
    <s v="1501"/>
    <s v="1501. Dirección del área de urbanismo"/>
    <s v="22"/>
    <s v="22602"/>
  </r>
  <r>
    <n v="220210014572"/>
    <s v="AD"/>
    <d v="2021-04-12T00:00:00"/>
    <n v="22021003774"/>
    <s v="2021 06 2315 22799"/>
    <n v="363"/>
    <x v="491"/>
    <s v="Instalación eléctrica temporal en Plaza Mayor, con motivo del Día Internacional de la Mujer 2021 / 1 DÍA"/>
    <s v="220"/>
    <s v="VALLADOLID"/>
    <s v="VALLADOLID"/>
    <x v="6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14262"/>
    <s v="AD"/>
    <d v="2021-04-08T00:00:00"/>
    <n v="22021003752"/>
    <s v="2021 06 2315 22611"/>
    <n v="360"/>
    <x v="822"/>
    <s v="CUENTACUENTOS DIDACTICO &quot;&quot;LEONOR BUSCA EL AMOR&quot;&quot; EN CMI EL DIA 19/03/2021 / 1 DIA"/>
    <s v="220"/>
    <s v="ARRAYA DE OCA"/>
    <s v="BURGOS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5738"/>
    <s v="D"/>
    <d v="2021-04-16T00:00:00"/>
    <n v="22021002052"/>
    <s v="2021 11 1621 22199"/>
    <n v="638.30999999999995"/>
    <x v="353"/>
    <s v="AC MARCO EXP V36-2017: SUMINISTROS INDUSTRIALES/// MES DE MARZO 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1825"/>
    <s v="AD"/>
    <d v="2021-05-11T00:00:00"/>
    <n v="22021004373"/>
    <s v="2021 09 3341 22699"/>
    <n v="354.2"/>
    <x v="152"/>
    <s v="Suministro de papel para publicación libro &quot;&quot;Los Cazadores de Alcántara&quot;&quot;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99"/>
  </r>
  <r>
    <n v="220210021763"/>
    <s v="D"/>
    <d v="2021-05-11T00:00:00"/>
    <n v="22021002088"/>
    <s v="2021 03 9241 212"/>
    <n v="628.12"/>
    <x v="216"/>
    <s v="VITRINA ANUNCIOS CM LAS FLORES(324,28¿) / BOMBILLOS Y COPIA LLAVE AV LA ISLA (293,79¿)/ PERNIO SOLDAR CC LUELMO (10.06¿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6146"/>
    <s v="AD"/>
    <d v="2021-05-31T00:00:00"/>
    <n v="22021004676"/>
    <s v="2021 06 2315 22611"/>
    <n v="350"/>
    <x v="823"/>
    <s v="Taller formativo GRUPO DE REFLEXIÓN EN GENERO / 3, 11 y 18 DE MAYO D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4436"/>
    <s v="D"/>
    <d v="2021-04-09T00:00:00"/>
    <n v="22021002088"/>
    <s v="2021 03 9241 212"/>
    <n v="627.65"/>
    <x v="188"/>
    <s v="RECAMBIOS PARA MANTENIMIENTO DE CIC C.ANSÚREZ/ CIC EMPECINADO/ CC RONDILLA/ CC DELICIAS/ CC Z.SUR/ CC ESGUEVA/ S.BENIT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079"/>
    <s v="AD"/>
    <d v="2021-06-29T00:00:00"/>
    <n v="22021005125"/>
    <s v="2021 02 1511 609"/>
    <n v="342.94"/>
    <x v="368"/>
    <s v="REDAC.EBSS DEL PROYECTO URBANIZACION DE LA PLAZA DE LA COMUNICACIÓN"/>
    <s v="220"/>
    <s v="VALLADOLID"/>
    <s v="VALLADOLID"/>
    <x v="0"/>
    <s v="AdDirec - Adjudicación Directa"/>
    <s v="SinC - Sin Criterio"/>
    <x v="0"/>
    <x v="1"/>
    <s v="6"/>
    <s v="6. Inversiones reales"/>
    <s v="02"/>
    <x v="10"/>
    <s v="1511"/>
    <s v="1511. Planficación y gestión del urbanismo"/>
    <s v="60"/>
    <s v="609"/>
  </r>
  <r>
    <n v="220210022711"/>
    <s v="D"/>
    <d v="2021-05-17T00:00:00"/>
    <n v="22021002057"/>
    <s v="2021 11 1631 22199"/>
    <n v="624.32000000000005"/>
    <x v="411"/>
    <s v="AC MARCO EXP V36-2017: SUMINISTRO INDUSTRIALE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31634"/>
    <s v="D"/>
    <d v="2021-06-22T00:00:00"/>
    <n v="22021001038"/>
    <s v="2021 10 2312 212"/>
    <n v="622.75"/>
    <x v="82"/>
    <s v="SUMINISTRO DE  MATERIAL DE ELECTRICIDAD PARA EL MANTENIMIENTO DEL CPM DELICIAS /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3075"/>
    <s v="AD"/>
    <d v="2021-06-29T00:00:00"/>
    <n v="22021005099"/>
    <s v="2021 11 3111 214"/>
    <n v="586.97"/>
    <x v="289"/>
    <s v="REPARACION 1672 DMP /SUSTITUCION BOMBINES Y LUMINOSO ROTATIVO/"/>
    <s v="220"/>
    <s v="VALLADOLID"/>
    <s v="VALLADOLID"/>
    <x v="0"/>
    <s v="PrAbier - Procedimiento Abierto"/>
    <s v="SinC - Sin Criterio"/>
    <x v="2"/>
    <x v="1"/>
    <s v="2"/>
    <s v="2. Gastos corrientes en bienes y servicios"/>
    <s v="11"/>
    <x v="5"/>
    <s v="3111"/>
    <s v="3111. Protección de la salubridad pública"/>
    <s v="21"/>
    <s v="214"/>
  </r>
  <r>
    <n v="220210027003"/>
    <s v="AD"/>
    <d v="2021-06-01T00:00:00"/>
    <n v="22021004087"/>
    <s v="2021 10 2316 22616"/>
    <n v="342"/>
    <x v="757"/>
    <s v="40 UDS CONSTITUCIÓN ESPAÑOLA PARA ALUMNADO DE ACCIONES FORMATIVAS. PLAN INMIGRACIÓN 2021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30280"/>
    <s v="AD"/>
    <d v="2021-06-10T00:00:00"/>
    <n v="22021004817"/>
    <s v="2021 08 1532 22104"/>
    <n v="341.58"/>
    <x v="89"/>
    <s v="Complemento de vestuario para el personal de nueva incorporación PREPLAN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31219"/>
    <s v="AD"/>
    <d v="2021-06-15T00:00:00"/>
    <n v="22021004825"/>
    <s v="2021 10 2312 212"/>
    <n v="338.8"/>
    <x v="491"/>
    <s v="REPARACION ELECTRICA URGENTE  DEL CPM PUENTE COLGANTE , EL SERVICIO DE MANTENIMIENTO NO PUEDE REALIZARLA-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1019"/>
    <s v="AD"/>
    <d v="2021-05-07T00:00:00"/>
    <n v="22021004324"/>
    <s v="2021 05 4314 22706"/>
    <n v="337.28"/>
    <x v="824"/>
    <s v="CONTRATO SERVICIOS PARA LA INSCRIPCION DE PATENTES Y MARCAS MeVa,MARCA, LOGO TIPOG. Y DISEÑO DE LOS MERCADOS MUNICIPALE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4"/>
    <s v="4314. Fomento del comercio"/>
    <s v="22"/>
    <s v="22706"/>
  </r>
  <r>
    <n v="220210023372"/>
    <s v="D"/>
    <d v="2021-05-19T00:00:00"/>
    <n v="22021001181"/>
    <s v="2021 10 2412 22199"/>
    <n v="561.44000000000005"/>
    <x v="549"/>
    <s v="SUMINISTRO MATERIAL,SACA CORTEZA DECORATIVA,SACO MARMOL  PARA EL C.F. DE EMPLEO JACINTO BENAVENTE-CURSO P. Y J  -D 1 DIA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7088"/>
    <s v="D"/>
    <d v="2021-04-26T00:00:00"/>
    <n v="22021002228"/>
    <s v="2021 06 3232 212"/>
    <n v="558.86"/>
    <x v="216"/>
    <s v="CINTA BALIZA BL/ROJA 100x200/ BISAGRA SOLDAR BL / MANILLA GAMMA NE / TACO/ CERRADURA/ BROCA/ CADENA/ BOMBILL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1013"/>
    <s v="AD"/>
    <d v="2021-05-07T00:00:00"/>
    <n v="22021004350"/>
    <s v="2021 04 3121 22799"/>
    <n v="334.4"/>
    <x v="213"/>
    <s v="Contrato mayo a diciembre (8 meses) de 2021 de recogida y destruccion de papel. Depto. de Prevención y Salud Labor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22795"/>
    <s v="D"/>
    <d v="2021-05-17T00:00:00"/>
    <n v="22021002228"/>
    <s v="2021 06 3232 212"/>
    <n v="550.04"/>
    <x v="216"/>
    <s v="MANILLA/ SILICONA/ CERRADURA/ BOMBILLO/ LLAVES/ ELECTRODO/ PUERTA C/ AMORTIGUADOR/ BROCA/ TORNILLO/ TUERC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2717"/>
    <s v="D"/>
    <d v="2021-06-24T00:00:00"/>
    <n v="22021002378"/>
    <s v="2021 02 9332 214"/>
    <n v="542.64"/>
    <x v="381"/>
    <s v="ACUERDOS MARCO - VEHÍCULOS DE MANTENIMIENTO: VA3249T / VA9917Y / 8282DFF / VA9253V / 8796HWW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2741"/>
    <s v="D"/>
    <d v="2021-05-17T00:00:00"/>
    <n v="22021002048"/>
    <s v="2021 11 1621 214"/>
    <n v="532.4"/>
    <x v="304"/>
    <s v="AC MARCO EXP V36-2017:  ANTICONGELANTE 3000 50% 185 K ( 2 UNIDADE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506"/>
    <s v="D"/>
    <d v="2021-05-14T00:00:00"/>
    <n v="22021001966"/>
    <s v="2021 11 1321 213"/>
    <n v="40.409999999999997"/>
    <x v="210"/>
    <s v="ACUERDO MARCO. SUMINISTRO DE MATERIAL ELÉCTRICO MANTENIMIENTO DEPENDENCIAS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6938"/>
    <s v="AD"/>
    <d v="2021-04-26T00:00:00"/>
    <n v="22021003980"/>
    <s v="2021 10 2312 213"/>
    <n v="326.7"/>
    <x v="52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15605"/>
    <s v="D"/>
    <d v="2021-04-16T00:00:00"/>
    <n v="22021002049"/>
    <s v="2021 11 1621 22103"/>
    <n v="525.14"/>
    <x v="304"/>
    <s v="AC MARCO EXP V36-2017: ADBLUE A GRANEL (1.400) PARA VEHICULOS DEL Sº LIMPIEZA //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4824"/>
    <s v="AD"/>
    <d v="2021-05-25T00:00:00"/>
    <n v="22021003227"/>
    <s v="2021 03 9241 635"/>
    <n v="323.31"/>
    <x v="499"/>
    <s v="ADQUISICIÓN SILLÓN ERGONÓMICO CON REPOSA CABEZAS PARA CC CANAL DE CASTILLA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5"/>
  </r>
  <r>
    <n v="220210032811"/>
    <s v="AD"/>
    <d v="2021-06-24T00:00:00"/>
    <n v="22021004984"/>
    <s v="2021 10 2312 213"/>
    <n v="321.86"/>
    <x v="52"/>
    <s v="SUBSANACION DE DEFECTOS ENCONTRADOS AL REALIZAR LA INSPECCION  DEL ASCENSOR DEL CPM FRAY LUIS Y PTE. COLGANTE- DUR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28154"/>
    <s v="AD"/>
    <d v="2021-06-01T00:00:00"/>
    <n v="22021004612"/>
    <s v="2021 10 2312 22615"/>
    <n v="321.86"/>
    <x v="825"/>
    <s v="DESPEGABLES DE 5 CUERPOS CON FORMA DE ACORDEON CON INFORMACION SOBRE EL PROGRAMA DE DROGAS- SERVICIO I. SOCIAL-DUR 1 DIA"/>
    <s v="220"/>
    <s v="LEON"/>
    <s v="LEON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6656"/>
    <s v="AD"/>
    <d v="2021-04-21T00:00:00"/>
    <n v="22021004037"/>
    <s v="2021 09 3341 22199"/>
    <n v="321.86"/>
    <x v="408"/>
    <s v="MOSQUITERAS PARA REPARACION EN ALBERGUE DE PEREGRINOS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99"/>
  </r>
  <r>
    <n v="220210022743"/>
    <s v="D"/>
    <d v="2021-05-17T00:00:00"/>
    <n v="22021002049"/>
    <s v="2021 11 1621 22103"/>
    <n v="525.14"/>
    <x v="304"/>
    <s v="AC MARCO EXP V36-2017: ADBLUE A GRANEL ( 1.400 LITROS ) PARA VEHICULOS DEL Sº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4197"/>
    <s v="D"/>
    <d v="2021-04-07T00:00:00"/>
    <n v="22021002089"/>
    <s v="2021 03 9241 213"/>
    <n v="504.36"/>
    <x v="82"/>
    <s v="MATERIALES PARA EL C.MPAL N. ALVAREZ CHACÓN/ C.INTEGRADO ZONA ESTE/ CC PILARICA/ CC RONDILLA/ CC ESGUEVA/ CC ZONA SUR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3090"/>
    <s v="AD"/>
    <d v="2021-06-29T00:00:00"/>
    <n v="22021005030"/>
    <s v="2021 06 3261 632"/>
    <n v="263.38"/>
    <x v="747"/>
    <s v="ENSAYOS DE CONTROL DE CALIDAD. LOTE 1.  PARA LA OBRA DE MEJORA DE VARIAS AULAS EN EL CEIP MARIA DE MOLINA"/>
    <s v="220"/>
    <s v="MALAGA"/>
    <s v="MALAGA"/>
    <x v="0"/>
    <s v="PrAbier - Procedimiento Abierto"/>
    <s v="MultiC - MultiCriterio"/>
    <x v="2"/>
    <x v="1"/>
    <s v="6"/>
    <s v="6. Inversiones reales"/>
    <s v="06"/>
    <x v="0"/>
    <s v="3261"/>
    <s v="3261. Servicios complementarios de educación"/>
    <s v="63"/>
    <s v="632"/>
  </r>
  <r>
    <n v="220210014324"/>
    <s v="AD"/>
    <d v="2021-04-09T00:00:00"/>
    <n v="22021003723"/>
    <s v="2021 02 9332 213"/>
    <n v="310.37"/>
    <x v="826"/>
    <s v="REVISIÓN Y PUESTA EN SERVICIO CIRCUITO CLIMATIZACIÓN (CIRCULO D) ARCHIVO MUNICIPAL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2753"/>
    <s v="D"/>
    <d v="2021-05-17T00:00:00"/>
    <n v="22021002052"/>
    <s v="2021 11 1621 22199"/>
    <n v="498.33"/>
    <x v="353"/>
    <s v="AC MARCO EXP V36-2017: SUMINISTROS VARIOS // DESTINO: SERVICIO DE LIMPIEZA /// MES DE ABRIL DE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2414"/>
    <s v="AD"/>
    <d v="2021-05-14T00:00:00"/>
    <n v="22021004407"/>
    <s v="2021 09 3341 22609"/>
    <n v="308.2"/>
    <x v="426"/>
    <s v="CONTRATACION SERVICIO RDSI PARA LA FERIA DEL LIBRO"/>
    <s v="220"/>
    <s v="TOLEDO"/>
    <s v="TOLEDO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8161"/>
    <s v="AD"/>
    <d v="2021-06-02T00:00:00"/>
    <n v="22021004686"/>
    <s v="2021 09 3341 22609"/>
    <n v="308.02"/>
    <x v="426"/>
    <s v="GASTO COMPLEMENTARIO CONTRATACION RDSI FERIA DEL LIBRO VALLADOLID 2021"/>
    <s v="220"/>
    <s v="TOLEDO"/>
    <s v="TOLEDO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2783"/>
    <s v="D"/>
    <d v="2021-05-17T00:00:00"/>
    <n v="22021002228"/>
    <s v="2021 06 3232 212"/>
    <n v="495"/>
    <x v="271"/>
    <s v="MTR.³ TIERRA VEGETAL (5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265"/>
    <s v="AD"/>
    <d v="2021-04-08T00:00:00"/>
    <n v="22021003761"/>
    <s v="2021 03 9241 22602"/>
    <n v="302.5"/>
    <x v="76"/>
    <s v="DISEÑO IMAGEN Y LOGOS MFS PRIMAVE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1459"/>
    <s v="AD"/>
    <d v="2021-06-21T00:00:00"/>
    <n v="22021004959"/>
    <s v="2021 11 1361 22199"/>
    <n v="302.5"/>
    <x v="827"/>
    <s v="ADQUISICION DE VEHICULOS DE DESGUACE PARA REALIZAR PRACTICAS DE RESCATE VIAL//SERV. EXTINCION INCENDIOS, SALVAMENTO Y PC"/>
    <s v="220"/>
    <s v="LAGUNA DE DUERO"/>
    <s v="VALLADOLID"/>
    <x v="1"/>
    <s v="AdDirec - Adjudicación Directa"/>
    <s v="MultiC - Multi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048"/>
    <s v="D"/>
    <d v="2021-06-09T00:00:00"/>
    <n v="22021002055"/>
    <s v="2021 11 1631 22104"/>
    <n v="491.55"/>
    <x v="216"/>
    <s v="AC MARCO EXP V36-2017: SUMINISTRO EPIS PARA PERSONAL DEDICADO AL DESBROCE EN LA VÍA PÚ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976"/>
    <s v="D"/>
    <d v="2021-04-19T00:00:00"/>
    <n v="22021001183"/>
    <s v="2021 10 2412 22199"/>
    <n v="475.17"/>
    <x v="161"/>
    <s v="SUMINISTRO MATERIALES PARA EL  CURSO PINTURA DECORATIVA II-47/0014/2020-DEL C.F. EMPLEO 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126"/>
    <s v="D"/>
    <d v="2021-06-09T00:00:00"/>
    <n v="22021002228"/>
    <s v="2021 06 3232 212"/>
    <n v="474.51"/>
    <x v="116"/>
    <s v="SUMINISTRO DE DIFERENTE MATERIAL ///// DESTINO: C.P. MIGUEL DE CERVANTES //  MES DE MAY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830"/>
    <s v="AD"/>
    <d v="2021-05-07T00:00:00"/>
    <n v="22021004282"/>
    <s v="2021 06 3321 22799"/>
    <n v="300"/>
    <x v="358"/>
    <s v="TRABAJOS DE IMPRENTA, MAQUETACIÓN Y PLASTIFICADO PARA PRODUCTOS PUBLICITARIOS DE LAS BIBLIOTECAS MUNICIPALES. AÑO 2021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799"/>
  </r>
  <r>
    <n v="220210014694"/>
    <s v="AD"/>
    <d v="2021-04-13T00:00:00"/>
    <n v="22021003831"/>
    <s v="2021 11 1621 22199"/>
    <n v="300"/>
    <x v="300"/>
    <s v="SUMINISTRO RESMAS PAPEL PARA REALIZACION TALONARIOS &quot;&quot;PARTES DIARIOS DE CONDUCTOR&quot;&quot; PARA EL Sº LIMPIEZ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28277"/>
    <s v="AD"/>
    <d v="2021-06-03T00:00:00"/>
    <n v="22021004653"/>
    <s v="2021 06 3321 22199"/>
    <n v="300"/>
    <x v="300"/>
    <s v="PAPEL DE IMPRENTA PARA LA DIFUSIÓN DE ACTIVIDADES DE LAS BIBLIOTECAS MUNICIPALES..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199"/>
  </r>
  <r>
    <n v="220210029572"/>
    <s v="AD"/>
    <d v="2021-06-08T00:00:00"/>
    <n v="22021004751"/>
    <s v="2021 11 1361 22199"/>
    <n v="298.82"/>
    <x v="828"/>
    <s v="Revisión_cambio de filtros y mantenimientos diversos en motor fueraborda YAMAHA 25 CV, embarcación RBS-52; SEISY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6790"/>
    <s v="D"/>
    <d v="2021-04-22T00:00:00"/>
    <n v="22021002057"/>
    <s v="2021 11 1631 22199"/>
    <n v="461.17"/>
    <x v="191"/>
    <s v="AC MARCO EXP. V36-2017: SUMINISTR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088"/>
    <s v="AD"/>
    <d v="2021-05-05T00:00:00"/>
    <n v="22021004177"/>
    <s v="2021 04 9204 22200"/>
    <n v="293.85000000000002"/>
    <x v="426"/>
    <s v="CONTRATACIÓN DE UN ACCESO FTTH VPNIP 600/600 (SALDO 2020)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32733"/>
    <s v="D"/>
    <d v="2021-06-24T00:00:00"/>
    <n v="22021002057"/>
    <s v="2021 11 1631 22199"/>
    <n v="458.58"/>
    <x v="168"/>
    <s v="AC MARCO EXP V36-2017: Proyector Guardian Pro 245W 4000K 28000 Lm 2 UNIDADES Sº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518"/>
    <s v="AD"/>
    <d v="2021-04-15T00:00:00"/>
    <n v="22021003867"/>
    <s v="2021 02 9332 213"/>
    <n v="292.82"/>
    <x v="829"/>
    <s v="REVISIÓN Y PUESTA EN SERVICIO REGULACIÓN CIRCUITO CLIMATIZ.(CIRCUITO D) EN EL ARCHIVO MUNICIPAL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9814"/>
    <s v="AD"/>
    <d v="2021-06-09T00:00:00"/>
    <n v="22021004782"/>
    <s v="2021 06 2315 22799"/>
    <n v="290.39999999999998"/>
    <x v="591"/>
    <s v="DISEÑO DE CARTELERÍA PARA CAMPAÑA LGTBI 2021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30268"/>
    <s v="D"/>
    <d v="2021-06-10T00:00:00"/>
    <n v="22021002088"/>
    <s v="2021 03 9241 212"/>
    <n v="456.51"/>
    <x v="314"/>
    <s v="SUMINISTRO MAT. DE CARPINTERIA /// DESTINOS: C. SEGUNDO MONTES- CC ESGUEVA- C.SANTIAGO- C.EMPECINAD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8828"/>
    <s v="AD"/>
    <d v="2021-06-04T00:00:00"/>
    <n v="22021004744"/>
    <s v="2021 06 3232 212"/>
    <n v="456.13"/>
    <x v="219"/>
    <s v="MATERIALES DE HIERRO GALVANIZADO SOLDADOS ELECTR. PARA COLEGIO FRANCISCO PINO. PLAZO 1 MES"/>
    <s v="22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20"/>
    <s v="D"/>
    <d v="2021-06-10T00:00:00"/>
    <n v="22021002052"/>
    <s v="2021 11 1621 22199"/>
    <n v="456.11"/>
    <x v="285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7669"/>
    <s v="D"/>
    <d v="2021-06-01T00:00:00"/>
    <n v="22021002049"/>
    <s v="2021 11 1621 22103"/>
    <n v="450.12"/>
    <x v="304"/>
    <s v="AC MARCO EXP V36-2017: ADBLUE A GRANEL (1.200 L) / 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32959"/>
    <s v="D"/>
    <d v="2021-06-28T00:00:00"/>
    <n v="22021002049"/>
    <s v="2021 11 1621 22103"/>
    <n v="450.12"/>
    <x v="304"/>
    <s v="AC. M. EXP. V36-2017 ADBLUE A GRANEL (1.200 LITROS).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2464"/>
    <s v="D"/>
    <d v="2021-05-14T00:00:00"/>
    <n v="22021001966"/>
    <s v="2021 11 1321 213"/>
    <n v="21.18"/>
    <x v="168"/>
    <s v="ACUERDO MARCO Programador Horario Analogico Enchufable KOBAMATI  ///// DESTINO: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26151"/>
    <s v="AD"/>
    <d v="2021-05-31T00:00:00"/>
    <n v="22021004578"/>
    <s v="2021 03 9241 22602"/>
    <n v="278.76"/>
    <x v="152"/>
    <s v="PAPEL SUMINISTRADO EN IMPRENTA MUNICIPAL PARA CARTELES Y CARPETAS MTV/MCT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7648"/>
    <s v="D"/>
    <d v="2021-06-01T00:00:00"/>
    <n v="22021003187"/>
    <s v="2021 06 2314 212"/>
    <n v="438.47"/>
    <x v="168"/>
    <s v="Carril Electrif. Trif. 2mts / Conector Alim./ Tapa Final Carril / Grapa Fij./ Foco Carril ////  ESPACIO JOVEN- ZONA SUR"/>
    <s v="300"/>
    <s v="VALLADOLID"/>
    <s v="VALLADOLID"/>
    <x v="0"/>
    <s v="PrAbier - Procedimiento Abierto"/>
    <s v="SinC - Sin Criterio"/>
    <x v="2"/>
    <x v="1"/>
    <s v="2"/>
    <s v="2. Gastos corrientes en bienes y servicios"/>
    <s v="06"/>
    <x v="0"/>
    <s v="2314"/>
    <s v="2314. Centro de programas juveniles"/>
    <s v="21"/>
    <s v="212"/>
  </r>
  <r>
    <n v="220210024826"/>
    <s v="AD"/>
    <d v="2021-05-25T00:00:00"/>
    <n v="22021003549"/>
    <s v="2021 08 1532 619"/>
    <n v="277.16000000000003"/>
    <x v="368"/>
    <s v="Estudio de Seguridad y Salud Proyecto de Edificación en instalaciones municipales del S.E.P.I."/>
    <s v="220"/>
    <s v="VALLADOLID"/>
    <s v="VALLADOL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0910"/>
    <s v="D"/>
    <d v="2021-05-07T00:00:00"/>
    <n v="22021002088"/>
    <s v="2021 03 9241 212"/>
    <n v="434.56"/>
    <x v="410"/>
    <s v="MATERIALES PARA EL MANTENIMIENTO DE CENTRO SEGUNDO MONTES/ CC BAILARIN VTE ESCUDERO/ CIC EMPECINADO/ CIC NATIVIDAD A.C.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773"/>
    <s v="D"/>
    <d v="2021-04-13T00:00:00"/>
    <n v="22021002144"/>
    <s v="2021 10 2311 212"/>
    <n v="431.12"/>
    <x v="314"/>
    <s v="F-2646.MARINO DE LA FUENTE. MELAMINA 19 MM-10 MM/CANTO PVC/TAPON /BISAGRA/SOPORTE. CEAS BELEN-PILARICA- CEAS PAJ. ALTO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6937"/>
    <s v="AD"/>
    <d v="2021-04-26T00:00:00"/>
    <n v="22021003924"/>
    <s v="2021 10 2311 213"/>
    <n v="275.88"/>
    <x v="787"/>
    <s v="Instalación de un nuevo portero autómatico en el albergue municipal-COVID-19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27002"/>
    <s v="AD"/>
    <d v="2021-06-01T00:00:00"/>
    <n v="22021004603"/>
    <s v="2021 06 2314 22799"/>
    <n v="275.55"/>
    <x v="124"/>
    <s v="CONTENEDOR ARENA CIRCULO CAMPESTRE PINAR DE ANTEQUERA | 1 DIA"/>
    <s v="220"/>
    <s v="LA FLECHA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99"/>
  </r>
  <r>
    <n v="220210017015"/>
    <s v="AD"/>
    <d v="2021-04-26T00:00:00"/>
    <n v="22021004052"/>
    <s v="2021 10 2311 22700"/>
    <n v="274.67"/>
    <x v="781"/>
    <s v="Desinsectación dos colchones (chinches) y posterior retirada a reciclaje. Centro Integrado. COVID-19"/>
    <s v="220"/>
    <s v="LA CISTERNIGA"/>
    <s v="VALLADOLID"/>
    <x v="0"/>
    <s v="AdDirec - Adjudicación Directa"/>
    <s v="UniC - Único Criterio"/>
    <x v="0"/>
    <x v="1"/>
    <s v="2"/>
    <s v="2. Gastos corrientes en bienes y servicios"/>
    <s v="10"/>
    <x v="8"/>
    <s v="2311"/>
    <s v="2311. Intervención social"/>
    <s v="22"/>
    <s v="22700"/>
  </r>
  <r>
    <n v="220210031217"/>
    <s v="AD"/>
    <d v="2021-06-15T00:00:00"/>
    <n v="22021004784"/>
    <s v="2021 01 9203 214"/>
    <n v="425.76"/>
    <x v="381"/>
    <s v="MANTENIMIENTO REPARACION VEHICULO OFICIAL 0669-DHJ, R.I."/>
    <s v="220"/>
    <s v="VALLADOLID"/>
    <s v="VALLADOLID"/>
    <x v="0"/>
    <s v="PrAbier - Procedimiento Abierto"/>
    <s v="SinC - Sin Criterio"/>
    <x v="2"/>
    <x v="1"/>
    <s v="2"/>
    <s v="2. Gastos corrientes en bienes y servicios"/>
    <s v="01"/>
    <x v="4"/>
    <s v="9203"/>
    <s v="9203. Unidad de régimen interior"/>
    <s v="21"/>
    <s v="214"/>
  </r>
  <r>
    <n v="220210030357"/>
    <s v="D"/>
    <d v="2021-06-11T00:00:00"/>
    <n v="22021002142"/>
    <s v="2021 10 2311 212"/>
    <n v="422.62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670"/>
    <s v="D"/>
    <d v="2021-04-12T00:00:00"/>
    <n v="22021002228"/>
    <s v="2021 06 3232 212"/>
    <n v="396"/>
    <x v="271"/>
    <s v="4 M² TIERRA CON MANTILL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264"/>
    <s v="AD"/>
    <d v="2021-04-08T00:00:00"/>
    <n v="22021003760"/>
    <s v="2021 03 9241 22699"/>
    <n v="272.25"/>
    <x v="831"/>
    <s v="ROTULACIÓN EN METACRILATO CC JOSÉ Mª LUELM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14375"/>
    <s v="AD"/>
    <d v="2021-04-09T00:00:00"/>
    <n v="22021003675"/>
    <s v="2021 10 2313 22699"/>
    <n v="267.85000000000002"/>
    <x v="832"/>
    <s v="DESTRUCTORA FELLOWES 75 CS PARA CONCEJALIA Y DIRECCION DE AREA SERVICIOS SOCIALES Y MEDIACION COMUNITARIA-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3"/>
    <s v="2313. Dirección del área de servicios sociales"/>
    <s v="22"/>
    <s v="22699"/>
  </r>
  <r>
    <n v="220210030276"/>
    <s v="AD"/>
    <d v="2021-06-10T00:00:00"/>
    <n v="22021004803"/>
    <s v="2021 03 9241 212"/>
    <n v="267.41000000000003"/>
    <x v="404"/>
    <s v="REVISIÓN LÍNEAS DE VIDA EN CC CAMPILLO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2781"/>
    <s v="D"/>
    <d v="2021-05-17T00:00:00"/>
    <n v="22021002228"/>
    <s v="2021 06 3232 212"/>
    <n v="396"/>
    <x v="271"/>
    <s v="4 M3 DE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732"/>
    <s v="D"/>
    <d v="2021-06-08T00:00:00"/>
    <n v="22021002088"/>
    <s v="2021 03 9241 212"/>
    <n v="387.88"/>
    <x v="188"/>
    <s v="PROTECTOR LATERAL/ PROTECTOR CANTONERA/ SEÑAL EBER/ PROTECTOR CANTONERA (CENTRO SANTIAGO LOPEZ C/ PAVO REA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914"/>
    <s v="D"/>
    <d v="2021-05-07T00:00:00"/>
    <n v="22021002089"/>
    <s v="2021 03 9241 213"/>
    <n v="385.78"/>
    <x v="210"/>
    <s v="MATERIAL ELECTRICO PARA VARIOS CENTROS DE PARTICIPACIÓN CIUDADANA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266"/>
    <s v="D"/>
    <d v="2021-05-19T00:00:00"/>
    <n v="22021001962"/>
    <s v="2021 07 1721 22199"/>
    <n v="378.34"/>
    <x v="114"/>
    <s v="PARASOL ALUM. / TENAZA PRECINTAR -GRABADO PERSONALIZADO / PRECINTO PLOMO / ALAMBR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10015679"/>
    <s v="D"/>
    <d v="2021-04-16T00:00:00"/>
    <n v="22021002088"/>
    <s v="2021 03 9241 212"/>
    <n v="376.87"/>
    <x v="216"/>
    <s v="PLETINA INOX.12MTS (33) / LLAVES MECANIZADAS ACERO (4) / LLAVERO PORTAETI. (4) / TOPE BRINOX (43)  / CINTA (1) varios C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238"/>
    <s v="D"/>
    <d v="2021-04-07T00:00:00"/>
    <n v="22021002057"/>
    <s v="2021 11 1631 22199"/>
    <n v="372.73"/>
    <x v="188"/>
    <s v="AC MARCO EXP V36-2017: MATERIAL CERRAJERIA PARA EL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727"/>
    <s v="D"/>
    <d v="2021-05-07T00:00:00"/>
    <n v="22021002057"/>
    <s v="2021 11 1631 22199"/>
    <n v="358.37"/>
    <x v="191"/>
    <s v="AC MARCO EXP V36-2017: SUMINISTROS VARI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5740"/>
    <s v="D"/>
    <d v="2021-05-27T00:00:00"/>
    <n v="22021002228"/>
    <s v="2021 06 3232 212"/>
    <n v="353.56"/>
    <x v="410"/>
    <s v="SUMINISTROS PARA COLEGIOS: C.P. GARCIA QUINTANA / C.P. NARCISO A. CORTES / CENTRO AUTISTA EL CORR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740"/>
    <s v="D"/>
    <d v="2021-06-08T00:00:00"/>
    <n v="22021002088"/>
    <s v="2021 03 9241 212"/>
    <n v="343.52"/>
    <x v="410"/>
    <s v="SUMINISTRO DE: ESCOBILLERO COMPLETO / SECAMANOS / REP. PALANCA /// DESTINOS: SEGUNDO MONTES- CIC EMPECINADO- CC ZONA SUR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6832"/>
    <s v="D"/>
    <d v="2021-04-22T00:00:00"/>
    <n v="22021002374"/>
    <s v="2021 02 9332 212"/>
    <n v="334.86"/>
    <x v="216"/>
    <s v="BOMBA FISCHER MANUAL AIRE  / LEVA MCM  / DISCO C/METAL / CAJA DISCOS / PUNTAL URKO PROF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63"/>
    <s v="D"/>
    <d v="2021-04-16T00:00:00"/>
    <n v="22021002228"/>
    <s v="2021 06 3232 212"/>
    <n v="334.77"/>
    <x v="216"/>
    <s v="TOPE RETENEDOR/ TIRAFONDO/ CERRADURA MCM/ ENGANCHE/ TACO/ CERRADURA TESA/ MANILLA PLATA/ MANILLA NEG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649"/>
    <s v="D"/>
    <d v="2021-06-08T00:00:00"/>
    <n v="22021002228"/>
    <s v="2021 06 3232 212"/>
    <n v="333.16"/>
    <x v="410"/>
    <s v="SUMINISTROS DE MNTO PARA CP J. ZORRILLA/ CP M. DELIBES/ CP A. BERRUGUETE/ CP G. QUINTANA/ CP EL PERAL/ CP M. PICAVEA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7123"/>
    <s v="AD"/>
    <d v="2021-04-26T00:00:00"/>
    <n v="22021004087"/>
    <s v="2021 10 2316 22616"/>
    <n v="256.5"/>
    <x v="757"/>
    <s v="30 UDS CONSTITUCIÓN ESPAÑOLA PARA ALUMNADO DE ACCIONES FORMATIVAS. PLAN INMIGRACIÓN 2021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5757"/>
    <s v="D"/>
    <d v="2021-05-27T00:00:00"/>
    <n v="22021001970"/>
    <s v="2021 11 1321 22699"/>
    <n v="328.3"/>
    <x v="114"/>
    <s v="SUMINISTRO DE: ZAPATOS CROSS / BOTAS BEKINA / GUANTES / CHALECOS / PANTALONES / SPRAY . PERSONAL NUEVO GRUA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699"/>
  </r>
  <r>
    <n v="220210015627"/>
    <s v="D"/>
    <d v="2021-04-16T00:00:00"/>
    <n v="22021002056"/>
    <s v="2021 11 1631 22110"/>
    <n v="327.91"/>
    <x v="285"/>
    <s v="AC MARCO EXP V36-2017: BONDERITE C-MC 3000 D2 JC20KG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14256"/>
    <s v="AD"/>
    <d v="2021-04-07T00:00:00"/>
    <n v="22021003710"/>
    <s v="2021 10 2312 22699"/>
    <n v="256"/>
    <x v="833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2719"/>
    <s v="D"/>
    <d v="2021-05-17T00:00:00"/>
    <n v="22021002056"/>
    <s v="2021 11 1631 22110"/>
    <n v="327.91"/>
    <x v="285"/>
    <s v="AC MARCO EXP V36-2017: SUMINISTRO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7621"/>
    <s v="D"/>
    <d v="2021-06-01T00:00:00"/>
    <n v="22021002088"/>
    <s v="2021 03 9241 212"/>
    <n v="324.16000000000003"/>
    <x v="830"/>
    <s v="CARGLASS ( A.A. V.V. LOS COMUNEROS )  /// ESPEJO 5MM C/P (EDIF. SEGUNDO MONTES)  / CLIMALIT  (C.C.ESGUEVA)"/>
    <s v="300"/>
    <s v="ZARATAN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256"/>
    <s v="AD"/>
    <d v="2021-04-07T00:00:00"/>
    <n v="22021003711"/>
    <s v="2021 10 2312 22699"/>
    <n v="256"/>
    <x v="833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14186"/>
    <s v="D"/>
    <d v="2021-04-07T00:00:00"/>
    <n v="22021002227"/>
    <s v="2021 06 3321 212"/>
    <n v="319.60000000000002"/>
    <x v="314"/>
    <s v="MELAMINA PORO DISEÑO/ CANTO PVC/ CERRADURA/ VARILLA ACERO NIQUEL/ BISAGRA RECTA/ TIRADOR (PTO DE LECTURA LA OVERUEL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1356"/>
    <s v="AD"/>
    <d v="2021-06-18T00:00:00"/>
    <n v="22021004914"/>
    <s v="2021 03 9241 22699"/>
    <n v="255.65"/>
    <x v="832"/>
    <s v="SUMINISTRO DE CIZALLA DE PALANCA. SPC SAN BENITO OF. 40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0092"/>
    <s v="AD"/>
    <d v="2021-05-05T00:00:00"/>
    <n v="22021004244"/>
    <s v="2021 02 9332 213"/>
    <n v="255.31"/>
    <x v="834"/>
    <s v="ADQUISICIÓN DE ESTOR PARA DESPACHO PSOE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15891"/>
    <s v="AD"/>
    <d v="2021-04-19T00:00:00"/>
    <n v="22021003863"/>
    <s v="2021 05 4331 22799"/>
    <n v="254.1"/>
    <x v="835"/>
    <s v="Modificaciones realizadas en banners, de  REACTIVA 2020 y REACTIVA DIGITAL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33167"/>
    <s v="D"/>
    <d v="2021-06-30T00:00:00"/>
    <n v="22021002089"/>
    <s v="2021 03 9241 213"/>
    <n v="317.69"/>
    <x v="82"/>
    <s v="SUMINISTRO DE MAT. ELÉCTRICO PARA CM PTE DUERO/ CIC EMPECINADO/ CC RONDILLA/ CC ZONA E/ CC J.L.MOSQUERA/ CC V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1011"/>
    <s v="AD"/>
    <d v="2021-05-07T00:00:00"/>
    <n v="22021004359"/>
    <s v="2021 11 1321 213"/>
    <n v="252.89"/>
    <x v="189"/>
    <s v="TRABAJOS REPARACIÓN REPETIDOR FUENTE EL SOL Y GENERADOR DISTRITO PRIMERO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17086"/>
    <s v="D"/>
    <d v="2021-04-26T00:00:00"/>
    <n v="22021002228"/>
    <s v="2021 06 3232 212"/>
    <n v="315.16000000000003"/>
    <x v="410"/>
    <s v="SUMINISTRO MATERIAL DIVERSO // DESTINOS C.P.: ISABEL CATOLICA- PONCE LEON- ENRIQUE T.G.- FCO PINO- EL PERAL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7671"/>
    <s v="D"/>
    <d v="2021-06-01T00:00:00"/>
    <n v="22021002048"/>
    <s v="2021 11 1621 214"/>
    <n v="310.02999999999997"/>
    <x v="304"/>
    <s v="AC MARCO EXP V36-2017: FILTROS HIDRAULICOS PARA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695"/>
    <s v="D"/>
    <d v="2021-05-17T00:00:00"/>
    <n v="22021001181"/>
    <s v="2021 10 2412 22199"/>
    <n v="305.14"/>
    <x v="271"/>
    <s v="SUMINSTRO PLANT.P. AUREA, EVONIMUS POTINIA,ETC...PARA EL CURSO DE P. Y JARDINES II DEL C.F. DE EMPLEO- 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282"/>
    <s v="AD"/>
    <d v="2021-06-10T00:00:00"/>
    <n v="22021004823"/>
    <s v="2021 09 3341 22100"/>
    <n v="245.08"/>
    <x v="299"/>
    <s v="ENERGIA ELECTRICA FERIA DEL LIBRO DE VALLADOLID JUNIO 2021"/>
    <s v="220"/>
    <s v="BILBAO"/>
    <s v="VIZCAYA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00"/>
  </r>
  <r>
    <n v="220210015654"/>
    <s v="D"/>
    <d v="2021-04-16T00:00:00"/>
    <n v="22021002228"/>
    <s v="2021 06 3232 212"/>
    <n v="301.76"/>
    <x v="116"/>
    <s v="SUMINISTRO DE MATERIAL DE CONSTRUCCION /// DESTINO: C.P. MARTÍN BARO /// MES MARZ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0"/>
    <s v="D"/>
    <d v="2021-05-28T00:00:00"/>
    <n v="22021002228"/>
    <s v="2021 06 3232 212"/>
    <n v="300.73"/>
    <x v="830"/>
    <s v="ARMADOS (COLEGIOS P.LEÓN/ SAN FRNANDO)/ LUNAS (COLEGIOS Mª MOLINA/ MARTÍN BARÓ)/ SEGURIDAD 3+3 (P.PICASSO)"/>
    <s v="300"/>
    <s v="ZARATAN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889"/>
    <s v="D"/>
    <d v="2021-04-28T00:00:00"/>
    <n v="22021002057"/>
    <s v="2021 11 1631 22199"/>
    <n v="295.75"/>
    <x v="82"/>
    <s v="AC MARCO EXP V36-2017: SUMINISTRO MATERIAL ELECTRICO (VESTUARIOS ANTIGUO MATADERO/ VEST. ESPANT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665"/>
    <s v="D"/>
    <d v="2021-04-16T00:00:00"/>
    <n v="22021002228"/>
    <s v="2021 06 3232 212"/>
    <n v="289.58"/>
    <x v="238"/>
    <s v="SUMINISTRO DE: 15 CORRUGADO B-400-SD /  TUBO CUADRADO 30X30X1,5 (24 UNIDADES) ///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03"/>
    <s v="D"/>
    <d v="2021-06-10T00:00:00"/>
    <n v="22021002052"/>
    <s v="2021 11 1621 22199"/>
    <n v="286.45999999999998"/>
    <x v="216"/>
    <s v="AC MARCO EXP.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8991"/>
    <s v="AD"/>
    <d v="2021-04-30T00:00:00"/>
    <n v="22021004218"/>
    <s v="2021 03 9241 22602"/>
    <n v="240.19"/>
    <x v="146"/>
    <s v="Renovación hosting y dominio vallanoche.es hasta 08/04/2022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152"/>
    <s v="D"/>
    <d v="2021-06-09T00:00:00"/>
    <n v="22021002089"/>
    <s v="2021 03 9241 213"/>
    <n v="286.20999999999998"/>
    <x v="210"/>
    <s v="MATERIAL ELÉCTRICO PARA CIC SEGUNDO MONTES (ALBARANES 019_831005 Y 831013 DE FECHA 03/05/2021)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5303"/>
    <s v="AD"/>
    <d v="2021-04-14T00:00:00"/>
    <n v="22021003845"/>
    <s v="2021 06 3261 22602"/>
    <n v="239.58"/>
    <x v="777"/>
    <s v="DISEÑO E IMPRESIÓN DE 80 CARTELES 480*680 mm PARA EL PROGRAMA COMPARTIENDO EN VERANO 2021. Plazo: 1 m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02"/>
  </r>
  <r>
    <n v="220210019011"/>
    <s v="AD"/>
    <d v="2021-05-03T00:00:00"/>
    <n v="22021004200"/>
    <s v="2021 11 1361 22199"/>
    <n v="238.98"/>
    <x v="361"/>
    <s v="Lámparas estroboscópicas para luminarias de emergencia; Servicio de Extinción de Incendios,Salvamento y Protección Civi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931"/>
    <s v="D"/>
    <d v="2021-05-07T00:00:00"/>
    <n v="22021002132"/>
    <s v="2021 08 1532 210"/>
    <n v="281.39"/>
    <x v="191"/>
    <s v="ALB 21-211744: MLK TIJERAS CURVAS/ SELLADOR+PEGAMENTO GRIS/ PASADOR BETA/ PASADOR ANILLA/ CABLE FLEXIBLE NEGR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8713"/>
    <s v="D"/>
    <d v="2021-06-04T00:00:00"/>
    <n v="22021004482"/>
    <s v="2021 04 9204 213"/>
    <n v="235.95"/>
    <x v="408"/>
    <s v="SUMINISTRO DE DIEZ MANILLAS, INTERRUPTORES PLANTA BAJA"/>
    <s v="30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1"/>
    <s v="213"/>
  </r>
  <r>
    <n v="220210015586"/>
    <s v="AD"/>
    <d v="2021-04-16T00:00:00"/>
    <n v="22021003916"/>
    <s v="2021 02 1511 22602"/>
    <n v="2236.08"/>
    <x v="836"/>
    <s v="ANUNCIO EXPROPIACIÓN  PROY.PASO PEATONAL Y BICICLET.ENTRE CALLE ESTACIÓN Y GUIPÚZCOA Y P.PEATONAL S.ISIDR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602"/>
  </r>
  <r>
    <n v="220210020468"/>
    <s v="ADO"/>
    <d v="2021-05-06T00:00:00"/>
    <n v="22021004270"/>
    <s v="2021 08 1513 83100"/>
    <n v="231.5"/>
    <x v="746"/>
    <s v="VISADO PBE REHABILITACIÓN INTEGRAL FACHADA EDIF. C/ ESTACIÓN, Nº 9 (OE 47/20189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15501"/>
    <s v="AD"/>
    <d v="2021-04-14T00:00:00"/>
    <n v="22021003818"/>
    <s v="2021 03 9241 22602"/>
    <n v="227.83"/>
    <x v="370"/>
    <s v="CARTELES PUBLICIDAD DE EXPOSICIONES EN CENTROS CÍVICOS (DESDE 1 ABRIL A 31 MAYO)"/>
    <s v="220"/>
    <s v="LA VALCUEVA"/>
    <s v="LEON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857"/>
    <s v="AD"/>
    <d v="2021-06-14T00:00:00"/>
    <n v="22021004878"/>
    <s v="2021 06 2315 22611"/>
    <n v="225"/>
    <x v="837"/>
    <s v="TALLERES DE YOGA INFANTIL EN CENTRO MUNICIPAL DE LA IGUALDAD / MAYO 2021"/>
    <s v="220"/>
    <s v="ALDEAMAYOR DE SAN MARTÍ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2751"/>
    <s v="D"/>
    <d v="2021-05-17T00:00:00"/>
    <n v="22021002052"/>
    <s v="2021 11 1621 22199"/>
    <n v="281.18"/>
    <x v="285"/>
    <s v="AC MARCO EXP V36-2017: SUMINISTRO DE MATE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320"/>
    <s v="AD"/>
    <d v="2021-04-09T00:00:00"/>
    <n v="22021003797"/>
    <s v="2021 11 1361 22199"/>
    <n v="221"/>
    <x v="838"/>
    <s v="Sustitución de pantalla rota en móvil Jefe de Grupo de SSGG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272"/>
    <s v="AD"/>
    <d v="2021-06-10T00:00:00"/>
    <n v="22021004358"/>
    <s v="2021 07 1711 619"/>
    <n v="278.86"/>
    <x v="251"/>
    <s v="COORDINACION SEGURIDAD Y SALUD, OBRA REMODELACION PARQUE ALAMEDA COMO ESPACIO VERDE MULTIFUNCIONAL."/>
    <s v="220"/>
    <s v="MADRID"/>
    <s v="MADR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14577"/>
    <s v="AD"/>
    <d v="2021-04-12T00:00:00"/>
    <n v="22021003582"/>
    <s v="2021 10 2412 22699"/>
    <n v="219.49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7"/>
    <s v="AD"/>
    <d v="2021-04-12T00:00:00"/>
    <n v="22021003583"/>
    <s v="2021 10 2412 22699"/>
    <n v="219.49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7"/>
    <s v="AD"/>
    <d v="2021-04-12T00:00:00"/>
    <n v="22021003581"/>
    <s v="2021 10 2412 22699"/>
    <n v="219.48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22650"/>
    <s v="D"/>
    <d v="2021-05-17T00:00:00"/>
    <n v="22021002144"/>
    <s v="2021 10 2311 212"/>
    <n v="278.3"/>
    <x v="423"/>
    <s v="F-4596. FRANCISCO SALVADOR. SUSTITUCIÓN DE RADIADOR EN DESPACHO Nº 2 + M.O.DÍA: 15-04-2021 DESTINO: CEAS BELÉN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9734"/>
    <s v="D"/>
    <d v="2021-06-08T00:00:00"/>
    <n v="22021002088"/>
    <s v="2021 03 9241 212"/>
    <n v="277.13"/>
    <x v="188"/>
    <s v="MATERIAL DE FERRETERÍA PARA EL MANTENIMIENTO DEL CIC SEGÚ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6837"/>
    <s v="D"/>
    <d v="2021-04-22T00:00:00"/>
    <n v="22021001967"/>
    <s v="2021 11 1321 214"/>
    <n v="448.97"/>
    <x v="303"/>
    <s v="ACUERDO MARCO. SUMINISTRO MATERIALES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938"/>
    <s v="AD"/>
    <d v="2021-04-26T00:00:00"/>
    <n v="22021003979"/>
    <s v="2021 10 2312 213"/>
    <n v="217.8"/>
    <x v="52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22109"/>
    <s v="AD"/>
    <d v="2021-05-12T00:00:00"/>
    <n v="22021004261"/>
    <s v="2021 05 4331 22699"/>
    <n v="217.8"/>
    <x v="840"/>
    <s v="Servicios de Hosting  para el dominio INNVID. Cuota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22502"/>
    <s v="D"/>
    <d v="2021-05-14T00:00:00"/>
    <n v="22021001967"/>
    <s v="2021 11 1321 214"/>
    <n v="55.07"/>
    <x v="303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799"/>
    <s v="D"/>
    <d v="2021-04-22T00:00:00"/>
    <n v="22021001181"/>
    <s v="2021 10 2412 22199"/>
    <n v="273.87"/>
    <x v="191"/>
    <s v="MATERIALES, SUMINISTRO DE RAMPAS DE ALUMINIO PLEGABLES (2 UN.) /// P. MIXTO GJ/20/VA/0002 FOYEM --PARQUES Y JARDINES II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167"/>
    <s v="D"/>
    <d v="2021-06-09T00:00:00"/>
    <n v="22021001967"/>
    <s v="2021 11 1321 214"/>
    <n v="1224.3"/>
    <x v="303"/>
    <s v="ACUERDO MARCO. SUMINISTRO DE REPUESTOS PARA VEHÍCULOS DEL SERVICIO DE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3527"/>
    <s v="AD"/>
    <d v="2021-05-20T00:00:00"/>
    <n v="22021004422"/>
    <s v="2021 01 9206 22000"/>
    <n v="216.67"/>
    <x v="841"/>
    <s v="COMPRA DE 4.000 PEGATINAS OPACAS PARA ARCHIVADORES 85x120 mm, ADHESIVAS EN LA PARTE TRASERA, PARA CAJAS DE ARCHIVO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0"/>
  </r>
  <r>
    <n v="220210016564"/>
    <s v="D"/>
    <d v="2021-04-20T00:00:00"/>
    <n v="22021002378"/>
    <s v="2021 02 9332 214"/>
    <n v="267.06"/>
    <x v="842"/>
    <s v="PULPO GOMA/ ESCOBILLAS LIMPIA/ LAVAPARABRISAS 5 L/ LAMPARA DE INCANDESCENCIA/ LLAVE MANDO RENAULT COMPLE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7128"/>
    <s v="AD"/>
    <d v="2021-04-26T00:00:00"/>
    <n v="22021004126"/>
    <s v="2021 03 9241 212"/>
    <n v="213.93"/>
    <x v="101"/>
    <s v="Asistencia técnica: susutitución de fleje roto con apertura y cierre de registro en local Asoc. Familiar Delicia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31389"/>
    <s v="D"/>
    <d v="2021-06-18T00:00:00"/>
    <n v="22021002088"/>
    <s v="2021 03 9241 212"/>
    <n v="264.26"/>
    <x v="188"/>
    <s v="CINTA BALIZA BLAN/ROJ 70MM X 200MT (22)  / CINTA SEÑALIZ. ROJO-BLAN (30) ////  DESTINO: C.C.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2776"/>
    <s v="D"/>
    <d v="2021-06-24T00:00:00"/>
    <n v="22021002373"/>
    <s v="2021 02 9332 212"/>
    <n v="262.79000000000002"/>
    <x v="116"/>
    <s v="MATERIAL VARIO CONSTRUCCION: ALBARANES DEL MES DE MAYO // OBRA EN CASA CONSISTORIAL, PLTA BAJ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1"/>
    <s v="D"/>
    <d v="2021-05-07T00:00:00"/>
    <n v="22021002373"/>
    <s v="2021 02 9332 212"/>
    <n v="261.55"/>
    <x v="116"/>
    <s v="SUMINISTRO MATERIAL CONSTRUC: PANEL ARENA/ PASTA JUNTAS/ CINTA JUNTA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34"/>
    <s v="D"/>
    <d v="2021-04-16T00:00:00"/>
    <n v="22021001967"/>
    <s v="2021 11 1321 214"/>
    <n v="1171.01"/>
    <x v="304"/>
    <s v="ACUERDO MARCO. SUMINISTRO DE MATERIAL PARA EL TALLER DE REPARACION DE VEHÍCULO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8827"/>
    <s v="AD"/>
    <d v="2021-06-04T00:00:00"/>
    <n v="22021004740"/>
    <s v="2021 06 3321 22001"/>
    <n v="209.01"/>
    <x v="843"/>
    <s v="SUSCRIPCIÓN A REVISTA &quot;&quot;Y AHORA QUÉ&quot;&quot; PARA LAS BIBLIIOTECAS MUNICIPALES. AÑO 2021"/>
    <s v="220"/>
    <s v="MADRID"/>
    <s v="MADR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30071"/>
    <s v="D"/>
    <d v="2021-06-09T00:00:00"/>
    <n v="22021001275"/>
    <s v="2021 07 1711 22199"/>
    <n v="40.4"/>
    <x v="268"/>
    <s v="ACUERDO MARCO 2017/36, POLICARBONATO INCOLOR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9043"/>
    <s v="D"/>
    <d v="2021-05-03T00:00:00"/>
    <n v="22021001967"/>
    <s v="2021 11 1321 214"/>
    <n v="137.94"/>
    <x v="304"/>
    <s v="ACUERDO MARCO. SUMINISTRO MATERIAL TALLER REP. VEH. POLICÍA. BATERIA VARTA SILVER AGM  // FAS-DESCONECTADOR BATERI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6149"/>
    <s v="AD"/>
    <d v="2021-05-31T00:00:00"/>
    <n v="22021004574"/>
    <s v="2021 06 2315 22799"/>
    <n v="205.25"/>
    <x v="341"/>
    <s v="SUMINISTRO DE CABALLETE DE CONVENCION Y PIZARRA PARA CENTRO MUNICIPAL DE IGUALDAD / 1 DI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2470"/>
    <s v="D"/>
    <d v="2021-05-14T00:00:00"/>
    <n v="22021001275"/>
    <s v="2021 07 1711 22199"/>
    <n v="17.21"/>
    <x v="314"/>
    <s v="ACUERDO MARCO 2017/36, POSTES TRATADOS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755"/>
    <s v="AD"/>
    <d v="2021-04-22T00:00:00"/>
    <n v="22021004115"/>
    <s v="2021 02 9332 212"/>
    <n v="200"/>
    <x v="22"/>
    <s v="ADQUISICIÓN DE MATERIAL DE FONTANERÍA PARA CENTRO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1014"/>
    <s v="AD"/>
    <d v="2021-05-07T00:00:00"/>
    <n v="22021004347"/>
    <s v="2021 06 3232 213"/>
    <n v="200"/>
    <x v="263"/>
    <s v="COPIAS DE LLAVES DE LOS SISTEMAS DE SEGURIDAD DE LOS COLEGIOS PÚBLICOS DURANTE EL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8156"/>
    <s v="AD"/>
    <d v="2021-06-01T00:00:00"/>
    <n v="22021004627"/>
    <s v="2021 10 2312 22615"/>
    <n v="200"/>
    <x v="662"/>
    <s v="TALLER, RATAMIENTO PERIODISTICO DE DROGAS Y ADICCIONES EN  LA JORNADA DEL PERIODISMO SOCIAL CON LA UNIVERDIDAD- DUR 1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4794"/>
    <s v="D"/>
    <d v="2021-04-13T00:00:00"/>
    <n v="22021002088"/>
    <s v="2021 03 9241 212"/>
    <n v="258.08"/>
    <x v="238"/>
    <s v="TUBO RECTANGULAR 40X20X1,5 DD11 / 4 CHAPA L. FRIO 2000X1000X1,5 DC01 (CC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610"/>
    <s v="AD"/>
    <d v="2021-05-06T00:00:00"/>
    <n v="22021004036"/>
    <s v="2021 10 2316 22616"/>
    <n v="200"/>
    <x v="844"/>
    <s v="Reserva patio-jardín/consumiciones para clausura dos cursos de ref. culturales y constitucionales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2523"/>
    <s v="D"/>
    <d v="2021-05-14T00:00:00"/>
    <n v="22021001968"/>
    <s v="2021 11 1321 22199"/>
    <n v="174.78"/>
    <x v="314"/>
    <s v="ACUERDO MARCO. SUMINISTRO DE MATERIAL PARA MANTENIMIENTO DEPENDENCIAS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746"/>
    <s v="D"/>
    <d v="2021-05-24T00:00:00"/>
    <n v="22021001275"/>
    <s v="2021 07 1711 22199"/>
    <n v="564.27"/>
    <x v="314"/>
    <s v="ACUERDO MARCO 2017/36, PIEZAS MADERA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679"/>
    <s v="D"/>
    <d v="2021-05-27T00:00:00"/>
    <n v="22021003381"/>
    <s v="2021 11 1361 22199"/>
    <n v="421.23"/>
    <x v="314"/>
    <s v="ACUERDO MARCO V.36/2017; LOTE 2; SUMINISTRO DE MATERIAL DEVOLUCIONES  NAVES PROTEC. CIVIL CALLEJON ALCOHOLER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201"/>
    <s v="D"/>
    <d v="2021-06-30T00:00:00"/>
    <n v="22021001275"/>
    <s v="2021 07 1711 22199"/>
    <n v="965.51"/>
    <x v="314"/>
    <s v="ACUERDO MARCO 2017/36, SUMINISTRO POSTES TRATAD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2472"/>
    <s v="D"/>
    <d v="2021-05-14T00:00:00"/>
    <n v="22021001276"/>
    <s v="2021 07 1711 22106"/>
    <n v="1122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33087"/>
    <s v="AD"/>
    <d v="2021-06-29T00:00:00"/>
    <n v="22021005083"/>
    <s v="2021 06 2315 22611"/>
    <n v="198"/>
    <x v="846"/>
    <s v="ORGANIZACIÓN DE CATERING IV PLAN DE INSERCIÓN LABORAL PARA VICTIMAS DE VIOLENCIA MACHISTA / 1 DIA"/>
    <s v="220"/>
    <s v="LEON"/>
    <s v="LEON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9173"/>
    <s v="D"/>
    <d v="2021-05-03T00:00:00"/>
    <n v="22021002371"/>
    <s v="2021 02 9332 212"/>
    <n v="253.72"/>
    <x v="168"/>
    <s v="Batería Hawker Powerbloc 12V 110Ah C5 140 C20 345x (1 UNIDAD ) 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500"/>
    <s v="D"/>
    <d v="2021-04-09T00:00:00"/>
    <n v="22020001574"/>
    <s v="2021 06 3321 629"/>
    <n v="252.06"/>
    <x v="847"/>
    <s v="SEIS TÍTULOS PARA LAS BIBLIOTECAS MUNICIPALES (TATARANA)"/>
    <s v="300"/>
    <s v="BARCELONA"/>
    <s v="BARCELONA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0357"/>
    <s v="D"/>
    <d v="2021-06-11T00:00:00"/>
    <n v="22021004466"/>
    <s v="2021 10 2311 212"/>
    <n v="250.95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2737"/>
    <s v="D"/>
    <d v="2021-05-17T00:00:00"/>
    <n v="22021002052"/>
    <s v="2021 11 1621 22199"/>
    <n v="246.53"/>
    <x v="82"/>
    <s v="AC MARCO EXP V36-2017: SECAMANOS Y TERMOSTATO VESTUARIO SERVICIO DE LIMPIEZA, C/ 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6746"/>
    <s v="AD"/>
    <d v="2021-04-22T00:00:00"/>
    <n v="22021000677"/>
    <s v="2021 10 2412 213"/>
    <n v="194.48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9012"/>
    <s v="AD"/>
    <d v="2021-05-03T00:00:00"/>
    <n v="22021004230"/>
    <s v="2021 11 1361 22104"/>
    <n v="244.76"/>
    <x v="114"/>
    <s v="Guantes de trabajo, prenda de vestuario ; Servicio de Extinción de Incendios, Salvamento y Protección Civil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04"/>
  </r>
  <r>
    <n v="220210023368"/>
    <s v="D"/>
    <d v="2021-05-19T00:00:00"/>
    <n v="22021001181"/>
    <s v="2021 10 2412 22199"/>
    <n v="242.24"/>
    <x v="161"/>
    <s v="SUMINISTRO MATERIAL , TALADRO PERCUTOR,: FLEXÓMETROS 8 MTS Y 5 MTSPARA EL  CURSO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4713"/>
    <s v="D"/>
    <d v="2021-04-13T00:00:00"/>
    <n v="22021001038"/>
    <s v="2021 10 2312 212"/>
    <n v="242"/>
    <x v="410"/>
    <s v="MANTENIMIENTOS, REPARACIONES SUMINISTRO DE RECAMBIOS Y PIEZAS /// DESTINO: CPM RONDILLA- 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520"/>
    <s v="AD"/>
    <d v="2021-06-11T00:00:00"/>
    <n v="22021004832"/>
    <s v="2021 03 9241 213"/>
    <n v="193.26"/>
    <x v="318"/>
    <s v="REPARACIÓN DEL TELEVISOR DE LA ENTRADA DEL CC JOSÉ Mª LUELMO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0456"/>
    <s v="D"/>
    <d v="2021-06-11T00:00:00"/>
    <n v="22021001967"/>
    <s v="2021 11 1321 214"/>
    <n v="240.79"/>
    <x v="304"/>
    <s v="ACUEERDO MARCO. SUMINISTRO DE MATERIAL PARA EL TALLER DE REPARACIONE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7000"/>
    <s v="AD"/>
    <d v="2021-06-01T00:00:00"/>
    <n v="22021004608"/>
    <s v="2021 04 9209 625"/>
    <n v="187.55"/>
    <x v="702"/>
    <s v="ADQUISICIÓN DE MOBILIARIO CON DESTINO AL SERVICIO DE SALUD PÚBLICA: UN SILLÓN DE TRABAJO.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9"/>
    <s v="9209. Dirección del area de hacienda y función pública"/>
    <s v="62"/>
    <s v="625"/>
  </r>
  <r>
    <n v="220210016081"/>
    <s v="AD"/>
    <d v="2021-04-19T00:00:00"/>
    <n v="22021003960"/>
    <s v="2021 11 1361 213"/>
    <n v="240.48"/>
    <x v="96"/>
    <s v="Reparación sistema de elevalunas dro. izq. en autoescala AEA_10, matrícula 3513GZF; SEISYPC."/>
    <s v="220"/>
    <s v="VALLADOLID"/>
    <s v="VALLADOLID"/>
    <x v="6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3"/>
  </r>
  <r>
    <n v="220210028761"/>
    <s v="D"/>
    <d v="2021-06-04T00:00:00"/>
    <n v="22021002228"/>
    <s v="2021 06 3232 212"/>
    <n v="239.8"/>
    <x v="188"/>
    <s v="MANDO A DISTANCIA BFT 4 CANALES (EDUCACIÓN ESPECIAL Nº1) // MANDO A DISTANCIA JMA M-BT UNIVERSAL (COLEGIO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474"/>
    <s v="D"/>
    <d v="2021-05-14T00:00:00"/>
    <n v="22021001276"/>
    <s v="2021 07 1711 22106"/>
    <n v="126.94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27704"/>
    <s v="D"/>
    <d v="2021-06-01T00:00:00"/>
    <n v="22021001276"/>
    <s v="2021 07 1711 22106"/>
    <n v="1365.1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14255"/>
    <s v="AD"/>
    <d v="2021-04-07T00:00:00"/>
    <n v="22021003131"/>
    <s v="2021 06 3321 22001"/>
    <n v="180"/>
    <x v="848"/>
    <s v="SUSCRIPCIÓN A LA REVISTA EMPRENDEDORES PARA LAS BIBLIOTECAS MUNICIPALES, AÑO 2021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001"/>
  </r>
  <r>
    <n v="220210025721"/>
    <s v="D"/>
    <d v="2021-05-27T00:00:00"/>
    <n v="22021001967"/>
    <s v="2021 11 1321 214"/>
    <n v="424.12"/>
    <x v="304"/>
    <s v="ACUERDO MARCO. SUMINISTRO DE MATERIAL PARA TALLER DE REPARACIÓN DE VEHÍCULOS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4690"/>
    <s v="AD"/>
    <d v="2021-04-13T00:00:00"/>
    <n v="22021003861"/>
    <s v="2021 06 3321 223"/>
    <n v="176.13"/>
    <x v="576"/>
    <s v="REPARTO DE LIBROS A LAS  BIBLIOTECAS MUNICIPALES DE VALLADOLID. PLAZO 1 AÑO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3"/>
  </r>
  <r>
    <n v="220210032723"/>
    <s v="D"/>
    <d v="2021-06-24T00:00:00"/>
    <n v="22021002048"/>
    <s v="2021 11 1621 214"/>
    <n v="216.76"/>
    <x v="348"/>
    <s v="AC MARCO EXP V36-2017: RADIADOR REPARACION VEHICULO 4224JCV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8877"/>
    <s v="D"/>
    <d v="2021-04-28T00:00:00"/>
    <n v="22021001967"/>
    <s v="2021 11 1321 214"/>
    <n v="590.07000000000005"/>
    <x v="347"/>
    <s v="ACUERDO MARCO. SUMINISTRO DE MATERIAL PARA TALLER REPARACION VEHÍCULOS POLICÍA MUNICIPAL ( MES MARZ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0859"/>
    <s v="D"/>
    <d v="2021-05-07T00:00:00"/>
    <n v="22021003381"/>
    <s v="2021 11 1361 22199"/>
    <n v="636.65"/>
    <x v="347"/>
    <s v="ACUERDO MARCO V.36_2017; LOTE 10; CEPILLO/ BATERIAS/ CARGADOR/ TUBOS/ FILTRO ACEIT/ GESTIÓN ACEITE/ FILTRO AIRE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735"/>
    <s v="D"/>
    <d v="2021-06-24T00:00:00"/>
    <n v="22021002057"/>
    <s v="2021 11 1631 22199"/>
    <n v="214.68"/>
    <x v="188"/>
    <s v="AC MARCO EXP V36-2017: SUMINISTRO LLAVES LLAVEROS RECAMBIOS MANILLA CERRADURA CANDADO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30244"/>
    <s v="D"/>
    <d v="2021-06-10T00:00:00"/>
    <n v="22021002225"/>
    <s v="2021 06 3231 212"/>
    <n v="213.86"/>
    <x v="314"/>
    <s v="PINO NORTE V 19-25 (0,371) / TIRAFONDOS SPAX EXPOSITOR (2) // E.I.M. EL TOBOGÁN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25669"/>
    <s v="D"/>
    <d v="2021-05-27T00:00:00"/>
    <n v="22021002052"/>
    <s v="2021 11 1621 22199"/>
    <n v="212.77"/>
    <x v="188"/>
    <s v="AC MARCO EXP V36-2017: SUMINISTRO MATERIAL CERRAJERI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9154"/>
    <s v="D"/>
    <d v="2021-05-03T00:00:00"/>
    <n v="22021002146"/>
    <s v="2021 07 1711 214"/>
    <n v="258.64"/>
    <x v="347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22728"/>
    <s v="D"/>
    <d v="2021-05-17T00:00:00"/>
    <n v="22021002047"/>
    <s v="2021 11 1621 213"/>
    <n v="211.45"/>
    <x v="216"/>
    <s v="AC MARCO EXP V36-2017:REPUESTOS REPARACION SOPLADORES Y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3"/>
  </r>
  <r>
    <n v="220210029635"/>
    <s v="D"/>
    <d v="2021-06-08T00:00:00"/>
    <n v="22021002371"/>
    <s v="2021 02 9332 212"/>
    <n v="207.55"/>
    <x v="82"/>
    <s v="TERMORET.CELLP / TIMBRE/ DETECTOR/ LUMINARIA + TASA/ EXTRACT./ CONEXION // DESTINOS: MNTO-CASA CONSIT. Y 1 MUESTR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469"/>
    <s v="D"/>
    <d v="2021-04-09T00:00:00"/>
    <n v="22021003381"/>
    <s v="2021 11 1361 22199"/>
    <n v="205.53"/>
    <x v="347"/>
    <s v="ACUERO MARCO V.36/2017;LOTE 10;BATERIA TUDOR-AGER/DESTOR.MULTIUSOS 500ML/UNIÓN MACHO/LOCTITE/SUPER BLUE3/GRASD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5643"/>
    <s v="D"/>
    <d v="2021-04-16T00:00:00"/>
    <n v="22021002227"/>
    <s v="2021 06 3321 212"/>
    <n v="205.22"/>
    <x v="82"/>
    <s v="FLUORESCENTE PH + TASA ECORAEE (15+15) ///// LAMPARA  PH PL-L 36W/840 + TASA ECORAEE (25+25) // BIBLIOTECA FCO PINO.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16021"/>
    <s v="D"/>
    <d v="2021-04-19T00:00:00"/>
    <n v="22021002088"/>
    <s v="2021 03 9241 212"/>
    <n v="199.7"/>
    <x v="314"/>
    <s v="PINO NORTE CC 50 / DESTINO: C.C.JOSE LUIS MOSQUERA ///////// RECHAPADO ROBLE 16MM / DESTINO: C.C.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1387"/>
    <s v="D"/>
    <d v="2021-06-18T00:00:00"/>
    <n v="22021002088"/>
    <s v="2021 03 9241 212"/>
    <n v="198.45"/>
    <x v="188"/>
    <s v="Guía ANMI sistema click+cordón/ GANCHO INGLET COLGADOR/ INGLET CABLE NYLON+TWISTER (ASOC. VECINOS DELICIA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2521"/>
    <s v="D"/>
    <d v="2021-05-14T00:00:00"/>
    <n v="22021001967"/>
    <s v="2021 11 1321 214"/>
    <n v="834.36"/>
    <x v="347"/>
    <s v="ACUERDO MARCO. SUMINISTRO DE MATERIAL PARA TALLER DE REPARACIÓN DE VEHÍ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0471"/>
    <s v="ADO"/>
    <d v="2021-05-06T00:00:00"/>
    <n v="22021004274"/>
    <s v="2021 08 1513 83100"/>
    <n v="161.33000000000001"/>
    <x v="746"/>
    <s v="VISADO COLEGIO OFICIAL ARQUITECTOS PBE REHABILITACIÓN INTEGRAL FACHADA EDIF. C/ CAÑO ARGALES, 3 (OE 113/2013)"/>
    <s v="240"/>
    <s v="VALLADOLID"/>
    <s v="VALLADOLID"/>
    <x v="0"/>
    <s v="AdDirec - Adjudicación Directa"/>
    <s v="MultiC - MultiCriterio"/>
    <x v="0"/>
    <x v="1"/>
    <s v="8"/>
    <s v="8. Activos financieros"/>
    <s v="08"/>
    <x v="9"/>
    <s v="1513"/>
    <s v="1513. Licencias urbanísticas"/>
    <s v="83"/>
    <s v="83100"/>
  </r>
  <r>
    <n v="220210032964"/>
    <s v="D"/>
    <d v="2021-06-28T00:00:00"/>
    <n v="22021002228"/>
    <s v="2021 06 3232 212"/>
    <n v="198"/>
    <x v="271"/>
    <s v="2 M³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67"/>
    <s v="D"/>
    <d v="2021-05-17T00:00:00"/>
    <n v="22021002228"/>
    <s v="2021 06 3232 212"/>
    <n v="197.1"/>
    <x v="116"/>
    <s v="ALBARANES: 2103117-2103298-2103930 (MES ABRIL-21) ///  SUMINISTRO MATERIAL /// 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82"/>
    <s v="D"/>
    <d v="2021-06-30T00:00:00"/>
    <n v="22021001039"/>
    <s v="2021 10 2312 212"/>
    <n v="195.98"/>
    <x v="168"/>
    <s v="MANT. UMINISTRO DE  DETEC.DE MOVIMIENTO SUPERFICIE 180º IP6 PORTALÁMPARAS CERÁMICO PARA EL CPM ZONA ESTE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4796"/>
    <s v="D"/>
    <d v="2021-04-13T00:00:00"/>
    <n v="22021002089"/>
    <s v="2021 03 9241 213"/>
    <n v="195.92"/>
    <x v="82"/>
    <s v="DOWNLIGHT/ TASA ECORAEE/ DOWN.EMP IRELUZ IRD/ PLACA LEGRAND BRONCE (CC RONDILLA/ CC J.L. MOSQUERA/ CC PARQUESO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8823"/>
    <s v="AD"/>
    <d v="2021-06-04T00:00:00"/>
    <n v="22021004655"/>
    <s v="2021 04 9202 16204"/>
    <n v="159.99"/>
    <x v="695"/>
    <s v="PLACAS -25 X 19- GRABADO COLOR. HOMENAJE A JUBILADOS Y FALLECIDOS STA. RITA 2021. -mjsi-"/>
    <s v="220"/>
    <s v="VALLADOLID"/>
    <s v="VALLADOLID"/>
    <x v="1"/>
    <s v="AdDirec - Adjudicación Directa"/>
    <s v="SinC - Sin Criterio"/>
    <x v="0"/>
    <x v="1"/>
    <s v="1"/>
    <s v="1. Gastos de personal"/>
    <s v="04"/>
    <x v="3"/>
    <s v="9202"/>
    <s v="9202. Gestión de recursos humanos"/>
    <s v="16"/>
    <s v="16204"/>
  </r>
  <r>
    <n v="220210015507"/>
    <s v="AD"/>
    <d v="2021-04-14T00:00:00"/>
    <n v="22021003826"/>
    <s v="2021 01 9207 22699"/>
    <n v="158.63"/>
    <x v="707"/>
    <s v="ADJUDICA TRADUCCIÓN TEXTOS ENCUENTRO CIUDADES EUROPEA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16092"/>
    <s v="AD"/>
    <d v="2021-04-19T00:00:00"/>
    <n v="22021003899"/>
    <s v="2021 05 4315 22199"/>
    <n v="195.9"/>
    <x v="410"/>
    <s v="Reparación Termo en las dependencias de la C/ Hostieros( OMIC), proveedor que pertenece al suministro A. Marco V 36/2017"/>
    <s v="220"/>
    <s v="VALDELAFUENTE"/>
    <s v="LEON"/>
    <x v="0"/>
    <s v="PrAbier - Procedimiento Abierto"/>
    <s v="UniC - Único Criterio"/>
    <x v="2"/>
    <x v="1"/>
    <s v="2"/>
    <s v="2. Gastos corrientes en bienes y servicios"/>
    <s v="05"/>
    <x v="6"/>
    <s v="4315"/>
    <s v="4315. Actuaciones en materia de consumo"/>
    <s v="22"/>
    <s v="22199"/>
  </r>
  <r>
    <n v="220210014323"/>
    <s v="AD"/>
    <d v="2021-04-09T00:00:00"/>
    <n v="22021003636"/>
    <s v="2021 09 3341 22799"/>
    <n v="157.30000000000001"/>
    <x v="586"/>
    <s v="RENOVACIÓN DEL CERTIFICADO SSL PARA LA WEB DE VALLADOLID CITY OF FILM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99"/>
  </r>
  <r>
    <n v="220210016746"/>
    <s v="AD"/>
    <d v="2021-04-22T00:00:00"/>
    <n v="22021000679"/>
    <s v="2021 10 2412 213"/>
    <n v="156.96"/>
    <x v="263"/>
    <s v="AJUSTE MANTENIMIENTO SISTEMA SEGURIDAD DE 2021 DEL C.F. EMPLEO- JACINTO BENAVENTE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10030522"/>
    <s v="AD"/>
    <d v="2021-06-11T00:00:00"/>
    <n v="22021004761"/>
    <s v="2021 10 2311 212"/>
    <n v="156.47"/>
    <x v="849"/>
    <s v="COMPRA DEMATERIAL PARA ARREGLO DE PUERTAS EN VIVIENDA SITA EN C/SALUD 15 2º DCHA.(PROG.ALOJ.PROV.)"/>
    <s v="220"/>
    <s v="ISCAR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739"/>
    <s v="D"/>
    <d v="2021-04-13T00:00:00"/>
    <n v="22021002057"/>
    <s v="2021 11 1631 22199"/>
    <n v="193.78"/>
    <x v="210"/>
    <s v="SECAMANOS PARA VESTUARIO DE ZONA&quot;&quot;PARQUE LOS ALMENDROS&quot;&quot; DEL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7633"/>
    <s v="D"/>
    <d v="2021-06-01T00:00:00"/>
    <n v="22021002228"/>
    <s v="2021 06 3232 212"/>
    <n v="193.6"/>
    <x v="408"/>
    <s v="REPARACION DE HOJA DE VENTANA DE ALUMINIO: DESMONTAR ACCESORIO OSCILOBATIENTE Y COLOCAR UNO NUEVO (E.M. DE MÚS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23"/>
    <s v="D"/>
    <d v="2021-06-10T00:00:00"/>
    <n v="22021002051"/>
    <s v="2021 11 1621 22110"/>
    <n v="193.6"/>
    <x v="347"/>
    <s v="AC MARCO EXP V36-2017: SEPIOLITA 20KG. 15-30 (20 UNIDADES) PARA LIMPIEZA DE DERRAMES EN LA VIA PU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10"/>
  </r>
  <r>
    <n v="220210019120"/>
    <s v="D"/>
    <d v="2021-05-03T00:00:00"/>
    <n v="22021001038"/>
    <s v="2021 10 2312 212"/>
    <n v="192.12"/>
    <x v="82"/>
    <s v="MANTENIMIENTO, CAJA SUP , BASE DOB SE,PLACA SE, MT CANAL UNEX, FLEX ZEROH, CONECTR.,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637"/>
    <s v="D"/>
    <d v="2021-06-22T00:00:00"/>
    <n v="22021001038"/>
    <s v="2021 10 2312 212"/>
    <n v="186.62"/>
    <x v="314"/>
    <s v="MANT. SUMINISTRO DE  MELAMINA LISA BLANCA 19 MM Y  AGLOMERADO DM 2440*1220  PARA EL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555"/>
    <s v="AD"/>
    <d v="2021-05-21T00:00:00"/>
    <n v="22021002372"/>
    <s v="2021 06 2315 22799"/>
    <n v="151.25"/>
    <x v="146"/>
    <s v="HOSTING, DOMINIO Y ALQUILER DE ESPACIO PARA PAGINA WEB IGUALDADVALLADOLID.ES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3242"/>
    <s v="D"/>
    <d v="2021-05-19T00:00:00"/>
    <n v="22021002088"/>
    <s v="2021 03 9241 212"/>
    <n v="186.28"/>
    <x v="116"/>
    <s v="ALBARANES VARIOS (MES ABRIL-21) /// SACO RAFIA/ ARENA LAV./ PORCELANA GRIS/ SILICONA.../// DESTINO: C.C.BAILARIN V. E.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5890"/>
    <s v="AD"/>
    <d v="2021-04-19T00:00:00"/>
    <n v="22021003862"/>
    <s v="2021 05 4331 22699"/>
    <n v="150.77000000000001"/>
    <x v="721"/>
    <s v="Compra de 12 AURICULARES con destino al personal de la Agencia de Innovación ."/>
    <s v="220"/>
    <s v="VALLADOLID"/>
    <s v="VALLADOLID"/>
    <x v="1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15901"/>
    <s v="D"/>
    <d v="2021-04-19T00:00:00"/>
    <n v="22021001038"/>
    <s v="2021 10 2312 212"/>
    <n v="186.27"/>
    <x v="410"/>
    <s v="MANT. REPARACIONES, TERMO,LATIGUILLO, RACORD MANGUITO, VÁLVULA GENEBRE/ MACHÓN LATÓN-CPM PTE COLGATE-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54"/>
    <s v="D"/>
    <d v="2021-06-09T00:00:00"/>
    <n v="22021002055"/>
    <s v="2021 11 1631 22104"/>
    <n v="184.31"/>
    <x v="353"/>
    <s v="AC MARCO EXP V36-2017: GUANTES AZUL DESECHABLES DE NITRILO 6MIL TALLA XL PERSONAL TALLER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4838"/>
    <s v="AD"/>
    <d v="2021-05-25T00:00:00"/>
    <n v="22021004481"/>
    <s v="2021 01 9206 22001"/>
    <n v="150"/>
    <x v="850"/>
    <s v="SUSCRIPCIÓN ANUAL A LA REVISTA METALES Y METALURGIA, AÑO 2021."/>
    <s v="220"/>
    <s v="TORREJON DE ARDOZ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15701"/>
    <s v="D"/>
    <d v="2021-04-16T00:00:00"/>
    <n v="22021002374"/>
    <s v="2021 02 9332 212"/>
    <n v="175.26"/>
    <x v="188"/>
    <s v="MATERIALES DE FERRETERÍA (SAN BENITO/ C.CONSIST.- GRUPO MPAL SOCIALISTA, CAJAS ATRILES AYTO/ SANTA AN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405"/>
    <s v="D"/>
    <d v="2021-06-18T00:00:00"/>
    <n v="22021002369"/>
    <s v="2021 02 9332 212"/>
    <n v="174.87"/>
    <x v="410"/>
    <s v="SUMINISTRO DE DIFERENTE MATERIAL ////  DESTINO: RECINTO FERIAL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85"/>
    <s v="D"/>
    <d v="2021-06-18T00:00:00"/>
    <n v="22021002088"/>
    <s v="2021 03 9241 212"/>
    <n v="174.85"/>
    <x v="188"/>
    <s v="TAMBOR ASEIN 50 MTS (2) / GEL HIDROALCOHOLICO (5) /////  DESTINO: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0115"/>
    <s v="D"/>
    <d v="2021-06-09T00:00:00"/>
    <n v="22021002228"/>
    <s v="2021 06 3232 212"/>
    <n v="173.72"/>
    <x v="191"/>
    <s v="ALB 21-215480: PRESTO CABEZAL REPUESTO GRIFOS/ ENLACE ROSCA (CP FEDERICO GARCIA LOR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39"/>
    <s v="D"/>
    <d v="2021-05-17T00:00:00"/>
    <n v="22021002048"/>
    <s v="2021 11 1621 214"/>
    <n v="172.79"/>
    <x v="304"/>
    <s v="AC MARCO EXP V36-2017: FILTRO HUDRAULICO SH-67469 (4) /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1018"/>
    <s v="AD"/>
    <d v="2021-05-07T00:00:00"/>
    <n v="22021004336"/>
    <s v="2021 10 2311 213"/>
    <n v="145.19999999999999"/>
    <x v="851"/>
    <s v="Revisión y puesta en marcha de caldera Herman en vivienda municipal sita en C/ Moradas nº 11 Bajo B. Abril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14696"/>
    <s v="AD"/>
    <d v="2021-04-13T00:00:00"/>
    <n v="22021003788"/>
    <s v="2021 07 1721 22799"/>
    <n v="145.19999999999999"/>
    <x v="388"/>
    <s v="CALIBRACION DEL TERMOMETRO DIGITAL DE LA RED CONTAMINACION ATMOSFERICA. SERVICIO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99"/>
  </r>
  <r>
    <n v="220210029255"/>
    <s v="AD"/>
    <d v="2021-06-07T00:00:00"/>
    <n v="22021004766"/>
    <s v="2021 11 3111 214"/>
    <n v="168.55"/>
    <x v="289"/>
    <s v="REPARACION VEHÍCULO FLOTA SALUD PUBLICA 0634 DHJ (DOS CUBIERTAS NUEVAS Y ALINEACION CORRESPONDIENTE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1"/>
    <s v="214"/>
  </r>
  <r>
    <n v="220210020442"/>
    <s v="AD"/>
    <d v="2021-05-06T00:00:00"/>
    <n v="22021004296"/>
    <s v="2021 04 3121 22000"/>
    <n v="168.37"/>
    <x v="188"/>
    <s v="5 reposapies ajustables. Servicio de Prevencion y Salud Laboral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2"/>
    <s v="22000"/>
  </r>
  <r>
    <n v="220210015616"/>
    <s v="D"/>
    <d v="2021-04-16T00:00:00"/>
    <n v="22021002052"/>
    <s v="2021 11 1621 22199"/>
    <n v="164.08"/>
    <x v="347"/>
    <s v="AC MARCO EXP V36-2017: SUMINISTRO TUBO Y SEPIOLIT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5675"/>
    <s v="D"/>
    <d v="2021-05-27T00:00:00"/>
    <n v="22021003381"/>
    <s v="2021 11 1361 22199"/>
    <n v="39.93"/>
    <x v="347"/>
    <s v="ACUERDO MARCO V.36/2017; LOTE 10; ALB: 185772 ////  TALADINA BLANCA TR-TL-200 ( 1 UNIDAD) /// PIDE EL TECNICO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452"/>
    <s v="AD"/>
    <d v="2021-05-06T00:00:00"/>
    <n v="22021004210"/>
    <s v="2021 10 2311 22199"/>
    <n v="140.36000000000001"/>
    <x v="236"/>
    <s v="Adquisición de placas PC. Compacto incoloro protegido UV. para pantallas protectoras CEAS BELEN PILARICA. COVID-19.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199"/>
  </r>
  <r>
    <n v="220210029252"/>
    <s v="AD"/>
    <d v="2021-06-07T00:00:00"/>
    <n v="22021004747"/>
    <s v="2021 10 2316 22616"/>
    <n v="140"/>
    <x v="852"/>
    <s v="Ruta cultural por el casco histórico de Valladolid destinada a personas inmigrantes.PLAN MPAL CONVIVENCIA INTERCULT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4752"/>
    <s v="D"/>
    <d v="2021-05-24T00:00:00"/>
    <n v="22021002146"/>
    <s v="2021 07 1711 214"/>
    <n v="169.88"/>
    <x v="347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28400"/>
    <s v="D"/>
    <d v="2021-06-03T00:00:00"/>
    <n v="22021002225"/>
    <s v="2021 06 3231 212"/>
    <n v="139.72999999999999"/>
    <x v="853"/>
    <s v="M2 DE CONTRACHAPADO DE ABEDUL REC. HPL BLANCO FORMICA (TABLEROS ENTEROS) // ESCUELAS INFANTILES. MAYO"/>
    <s v="30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23270"/>
    <s v="D"/>
    <d v="2021-05-19T00:00:00"/>
    <n v="22021001275"/>
    <s v="2021 07 1711 22199"/>
    <n v="271.56"/>
    <x v="353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371"/>
    <s v="AD"/>
    <d v="2021-04-09T00:00:00"/>
    <n v="22021003704"/>
    <s v="2021 03 9241 22199"/>
    <n v="139.15"/>
    <x v="702"/>
    <s v="JUEGO DE PUERTAS BATIENTES PARA ARMARIO CENTRO SANTIAGO LÓPEZ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99"/>
  </r>
  <r>
    <n v="220210017103"/>
    <s v="D"/>
    <d v="2021-04-26T00:00:00"/>
    <n v="22021002088"/>
    <s v="2021 03 9241 212"/>
    <n v="161.22999999999999"/>
    <x v="410"/>
    <s v="COLLAK-DESATASCADOR 1L ACIDO/HIDROTUBO 50mm (40.61¿ C.C.PTE DUERO) //ENLACE RECTO M./ CODO-TUBO (120.62¿ C.C.ZONA ESTE)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092"/>
    <s v="AD"/>
    <d v="2021-06-29T00:00:00"/>
    <n v="22021005071"/>
    <s v="2021 06 3232 632"/>
    <n v="160.38999999999999"/>
    <x v="0"/>
    <s v="COORDINACIÓN DE SEGURIDAD Y SALUD PARA LA OBRA DE REPARACIÓN DE GOTERAS EN VARIOS COLEGIOS PÚBLICOS"/>
    <s v="220"/>
    <s v="VALLADOLID"/>
    <s v="VALLADOLID"/>
    <x v="0"/>
    <s v="PrAbier - Procedimiento Abierto"/>
    <s v="MultiC - MultiCriterio"/>
    <x v="2"/>
    <x v="1"/>
    <s v="6"/>
    <s v="6. Inversiones reales"/>
    <s v="06"/>
    <x v="0"/>
    <s v="3232"/>
    <s v="3232. Conservación y mantenimiento centros educación infantil y primaria"/>
    <s v="63"/>
    <s v="632"/>
  </r>
  <r>
    <n v="220210030078"/>
    <s v="D"/>
    <d v="2021-06-09T00:00:00"/>
    <n v="22021001275"/>
    <s v="2021 07 1711 22199"/>
    <n v="419.05"/>
    <x v="353"/>
    <s v="ACUERDO MARCO 2017/36, MATERIAL DE FERRET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467"/>
    <s v="D"/>
    <d v="2021-04-09T00:00:00"/>
    <n v="22021001968"/>
    <s v="2021 11 1321 22199"/>
    <n v="21.95"/>
    <x v="410"/>
    <s v="ACUERDO MARCO. SUMINISTRO MATERIAL FONTANERIA DEPENDENCIAS POLICIA MUNICIPAL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9614"/>
    <s v="D"/>
    <d v="2021-06-08T00:00:00"/>
    <n v="22021002057"/>
    <s v="2021 11 1631 22199"/>
    <n v="158.61000000000001"/>
    <x v="188"/>
    <s v="AC MARCO EXP. V36-2017: MATERIAL CERRAJERIA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6839"/>
    <s v="D"/>
    <d v="2021-04-22T00:00:00"/>
    <n v="22021002369"/>
    <s v="2021 02 9332 212"/>
    <n v="156.25"/>
    <x v="161"/>
    <s v="ALBARANES:01686 -01651- 01643- 01212 (MES MARZO) // SUMINISTRO DIFERENTES MATERIALES 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9094"/>
    <s v="D"/>
    <d v="2021-05-03T00:00:00"/>
    <n v="22021002006"/>
    <s v="2021 11 3111 22199"/>
    <n v="155.72999999999999"/>
    <x v="161"/>
    <s v="AM. V. 36/2017- AV21/00320 de 21/01/2021 ///// CUERDA ANTIPALOMA 8MM (1)/  TACO FISCHER SX 8 (200). EJEC. SUBSID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517"/>
    <s v="AD"/>
    <d v="2021-04-15T00:00:00"/>
    <n v="22021003865"/>
    <s v="2021 06 3321 22699"/>
    <n v="132.07"/>
    <x v="448"/>
    <s v="MATERIAL DE PAPELERÍA PARA LAS BIBLIOTECAS MUNICIPALES. PLAZO 1 MES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22797"/>
    <s v="AD"/>
    <d v="2021-05-17T00:00:00"/>
    <n v="22021004417"/>
    <s v="2021 10 2312 22699"/>
    <n v="130.68"/>
    <x v="358"/>
    <s v="IMPRENTA,  REVISTAS PARA EL CPM  ZONA ESTE POR SU 10 ANIVERSARIO, 300 UNIDADE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14546"/>
    <s v="D"/>
    <d v="2021-04-09T00:00:00"/>
    <n v="22021003381"/>
    <s v="2021 11 1361 22199"/>
    <n v="112.57"/>
    <x v="410"/>
    <s v="ACUERDO MARCO V36_2017;LOTE 4;GALA-TANQUE ELIA E/INF BLANCO;ASIENTO VICTORIA ; CALLEJÓN DE LA ALCOHOLERA;SEISYPC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457"/>
    <s v="AD"/>
    <d v="2021-06-21T00:00:00"/>
    <n v="22021004927"/>
    <s v="2021 11 1361 22199"/>
    <n v="129.97"/>
    <x v="270"/>
    <s v="MATERIALES PARA PINTAR SALA DE RECUENTO Y HALL DE PARQUE DE BOMBEROS CENTR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860"/>
    <s v="AD"/>
    <d v="2021-06-14T00:00:00"/>
    <n v="22021004839"/>
    <s v="2021 11 1621 214"/>
    <n v="152.79"/>
    <x v="64"/>
    <s v="REPARACIÓN AVERIA EN VEHICULO 0120 GJY DEL SERVICIO DE LIMPIEZA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0176"/>
    <s v="D"/>
    <d v="2021-06-09T00:00:00"/>
    <n v="22021002225"/>
    <s v="2021 06 3231 212"/>
    <n v="151.56"/>
    <x v="210"/>
    <s v="MINI PRAGMA SUPERFICIE  / CONTACTOR MODULAR / INTERRUPTOR C/PILOTO /DIYUNTOR / CAJA DERIV./ HORQUILLA. MAYO"/>
    <s v="300"/>
    <s v="BARCELONA"/>
    <s v="BARCELONA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4378"/>
    <s v="AD"/>
    <d v="2021-04-09T00:00:00"/>
    <n v="22021003729"/>
    <s v="2021 11 1361 214"/>
    <n v="151.13"/>
    <x v="96"/>
    <s v="Reparación retenedor_tensor puerta del conductor de AEA_7, matr. VA 42345 VE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4"/>
  </r>
  <r>
    <n v="220210026008"/>
    <s v="D"/>
    <d v="2021-05-28T00:00:00"/>
    <n v="22021002133"/>
    <s v="2021 08 1651 22199"/>
    <n v="150.65"/>
    <x v="82"/>
    <s v="PORTALAMP. SOLERA AD40-27 SOLERA (100 UDS) // ALUMBRADO PÚ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31323"/>
    <s v="AD"/>
    <d v="2021-06-17T00:00:00"/>
    <n v="22021004788"/>
    <s v="2021 06 3321 22001"/>
    <n v="128"/>
    <x v="854"/>
    <s v="SUSCRIPCIÓN REVISTA LAZARILLO AÑO 2021.PARA LAS BIBLIOTECAS MUNICIPALES.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001"/>
  </r>
  <r>
    <n v="220210014677"/>
    <s v="AD"/>
    <d v="2021-04-12T00:00:00"/>
    <n v="22021003810"/>
    <s v="2021 11 3111 22103"/>
    <n v="150"/>
    <x v="252"/>
    <s v="SUMINISTRO DE GAS VEHICULO HÍBRIDO 0634 DHJ EN 2021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03"/>
  </r>
  <r>
    <n v="220210020815"/>
    <s v="D"/>
    <d v="2021-05-07T00:00:00"/>
    <n v="22021002052"/>
    <s v="2021 11 1621 22199"/>
    <n v="148.38"/>
    <x v="411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4835"/>
    <s v="AD"/>
    <d v="2021-05-25T00:00:00"/>
    <n v="22021004473"/>
    <s v="2021 03 9241 22699"/>
    <n v="124.35"/>
    <x v="832"/>
    <s v="MATERIAL OFICINA CIC CONDE ANSÚREZ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4831"/>
    <s v="AD"/>
    <d v="2021-05-25T00:00:00"/>
    <n v="22021004432"/>
    <s v="2021 01 9203 22699"/>
    <n v="123.9"/>
    <x v="733"/>
    <s v="ADQUISICION PLACA DE CALLE SEÑALIZACION PLAZA COSTA RICA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28770"/>
    <s v="D"/>
    <d v="2021-06-04T00:00:00"/>
    <n v="22021004276"/>
    <s v="2021 09 3341 213"/>
    <n v="147.37"/>
    <x v="830"/>
    <s v="ESPEJO 5MM C/P (1000 X 1000)  PARA LA CUPULA DEL MILENIO. MAYO 2021"/>
    <s v="300"/>
    <s v="ZARATAN"/>
    <s v="VALLADOLID"/>
    <x v="1"/>
    <s v="PrAbier - Procedimiento Abierto"/>
    <s v="MultiC - MultiCriterio"/>
    <x v="2"/>
    <x v="1"/>
    <s v="2"/>
    <s v="2. Gastos corrientes en bienes y servicios"/>
    <s v="09"/>
    <x v="1"/>
    <s v="3341"/>
    <s v="3341. Coordinación de políticas culturales"/>
    <s v="21"/>
    <s v="213"/>
  </r>
  <r>
    <n v="220210019124"/>
    <s v="D"/>
    <d v="2021-05-03T00:00:00"/>
    <n v="22021001183"/>
    <s v="2021 10 2412 22199"/>
    <n v="146.63999999999999"/>
    <x v="161"/>
    <s v="MASCARILLAS 3M  PARA LOS ALUMNOS DEL  CURSO PINTURA DECORATIVA II DEL JACINTO BENAVENTE, SON PARA PINTORES( NO COVID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9631"/>
    <s v="D"/>
    <d v="2021-06-08T00:00:00"/>
    <n v="22021002047"/>
    <s v="2021 11 1621 213"/>
    <n v="146"/>
    <x v="216"/>
    <s v="AC MARCO EXP. V36-2017: MATERIALES REPARACION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3"/>
  </r>
  <r>
    <n v="220210015833"/>
    <s v="D"/>
    <d v="2021-04-16T00:00:00"/>
    <n v="22020001574"/>
    <s v="2021 06 3321 629"/>
    <n v="142.97"/>
    <x v="378"/>
    <s v="ALBARANES: Nº 908.170 (07-04-2021) - Nº 908.169 (06-04-2021) ///  SUMINISTRO DE VARIOS TITULOS / CORRESPONDE A A/P 9 /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7639"/>
    <s v="D"/>
    <d v="2021-06-01T00:00:00"/>
    <n v="22021001038"/>
    <s v="2021 10 2312 212"/>
    <n v="142.30000000000001"/>
    <x v="168"/>
    <s v="MANTENIMIENTO, SUMINISTRO DE LUMINARIAS (3 ud.) //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477"/>
    <s v="D"/>
    <d v="2021-06-11T00:00:00"/>
    <n v="22021002055"/>
    <s v="2021 11 1631 22104"/>
    <n v="141.57"/>
    <x v="411"/>
    <s v="AC MARCO EXP V36-2017: 10 UDS - GUANTE EMERG DESECH LATEX S/POLVO T.L PERSONAL TALLER MECA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8171"/>
    <s v="AD"/>
    <d v="2021-06-02T00:00:00"/>
    <n v="22021004700"/>
    <s v="2021 06 3231 22602"/>
    <n v="121"/>
    <x v="591"/>
    <s v="ADAPTACION DEL CARTEL GENERAL ESCUELAS INFANTILES MUNICIPALES INCLUYENDO &quot;&quot;HUERTAS INFANTILES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602"/>
  </r>
  <r>
    <n v="220210023403"/>
    <s v="D"/>
    <d v="2021-05-19T00:00:00"/>
    <n v="22021002601"/>
    <s v="2021 06 3321 629"/>
    <n v="141.53"/>
    <x v="761"/>
    <s v="7 UNIDADES DEL LIBRO &quot;&quot;UNA SOLA ROSA&quot;&quot; PARA REPARTIR EN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0163"/>
    <s v="D"/>
    <d v="2021-06-09T00:00:00"/>
    <n v="22021002088"/>
    <s v="2021 03 9241 212"/>
    <n v="139.88999999999999"/>
    <x v="216"/>
    <s v="SILICONA SOUDAL NEUTRA TRANSPARENTE / BURLETE ALUMINIO PLATA. / BISAGRA P.ESTANDAR TEYCO // CIC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2417"/>
    <s v="AD"/>
    <d v="2021-05-14T00:00:00"/>
    <n v="22021004402"/>
    <s v="2021 02 9332 212"/>
    <n v="120.02"/>
    <x v="855"/>
    <s v="RESISTENCIA TERMO SAN BENI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0772"/>
    <s v="D"/>
    <d v="2021-05-07T00:00:00"/>
    <n v="22021002088"/>
    <s v="2021 03 9241 212"/>
    <n v="139.57"/>
    <x v="191"/>
    <s v="PVC SANITARIO/ TAPÓN/ INJERTO/ MANGUITO/ CODO/ TE/ PEGAMENTO/ LÍQUIDO LIMPIADOR/ BLISTER/ SÚPER EGO (CC ZONA SUR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7643"/>
    <s v="D"/>
    <d v="2021-06-01T00:00:00"/>
    <n v="22021001039"/>
    <s v="2021 10 2312 212"/>
    <n v="138.93"/>
    <x v="830"/>
    <s v="MANTENIMIENTO, SUMINISTRO DE CLIMALIT 4/12/SEGURIDAD 3+3 (1204 X 880 )  C.P.M HUERTA DEL REY  -DURACION 1 DIA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223"/>
    <s v="AD"/>
    <d v="2021-06-15T00:00:00"/>
    <n v="22021004900"/>
    <s v="2021 05 4331 214"/>
    <n v="138.82"/>
    <x v="48"/>
    <s v="Reparación en Renault ZOE matrícula 6048JPN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1"/>
    <s v="214"/>
  </r>
  <r>
    <n v="220210016553"/>
    <s v="D"/>
    <d v="2021-04-20T00:00:00"/>
    <n v="22021001039"/>
    <s v="2021 10 2312 212"/>
    <n v="137.47999999999999"/>
    <x v="216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5745"/>
    <s v="D"/>
    <d v="2021-04-16T00:00:00"/>
    <n v="22021002048"/>
    <s v="2021 11 1621 214"/>
    <n v="137.24"/>
    <x v="348"/>
    <s v="AC MARCO EXP V36-2017:  REPARAR INTERCOOLER PREMIUN  DE VEHICULO 6644 CYY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0119"/>
    <s v="D"/>
    <d v="2021-06-09T00:00:00"/>
    <n v="22021002228"/>
    <s v="2021 06 3232 212"/>
    <n v="117.38"/>
    <x v="270"/>
    <s v="ESMALTE BLANCO/ PINCEL/ BROCHA/ RODILLO/ CINTA/ PAPEL CON CINTA/ CUBRE-TODO // MANTENIMIENTO DE COLEGIOS"/>
    <s v="30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678"/>
    <s v="D"/>
    <d v="2021-05-17T00:00:00"/>
    <n v="22021001039"/>
    <s v="2021 10 2312 212"/>
    <n v="136.09"/>
    <x v="216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386"/>
    <s v="AD"/>
    <d v="2021-04-20T00:00:00"/>
    <n v="22021003975"/>
    <s v="2021 03 9241 22110"/>
    <n v="112.8"/>
    <x v="73"/>
    <s v="DISPENSADOR AUTOMÁTICO DE DESINFECTANTE PARA MANOS (4 uds.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10"/>
  </r>
  <r>
    <n v="220210027611"/>
    <s v="D"/>
    <d v="2021-06-01T00:00:00"/>
    <n v="22021002088"/>
    <s v="2021 03 9241 212"/>
    <n v="134.69999999999999"/>
    <x v="216"/>
    <s v="BOMBILLO MCM EAN: 30-40 E-24315 / BOMBILLO MCM EAN: 30-40 E-24331 / COPIA LLAVE MCM 54 E-24677-- CC J.M. LUELM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0"/>
    <s v="D"/>
    <d v="2021-05-07T00:00:00"/>
    <n v="22021002088"/>
    <s v="2021 03 9241 212"/>
    <n v="134.52000000000001"/>
    <x v="188"/>
    <s v="NIVEL TORPEDO MAGNET / BARB. ESCOBA S/MANGO / BARB. MANGO METALICO / CAJA METALICA // DESTINO:  CIC SANTIAGO LO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8891"/>
    <s v="D"/>
    <d v="2021-04-28T00:00:00"/>
    <n v="22021002046"/>
    <s v="2021 11 1621 212"/>
    <n v="130.05000000000001"/>
    <x v="410"/>
    <s v="AC MARCO EXP V36-2017: SUMINISTRO MATERIAL FONTANERIA REPARACIONES EN SERVICIOS DE PARQUE DE LA PAZ - RECINTO FERIAL"/>
    <s v="300"/>
    <s v="VALDELAFUENTE"/>
    <s v="LEON"/>
    <x v="1"/>
    <s v="PrAbier - Procedimiento Abierto"/>
    <s v="UniC - Único Criterio"/>
    <x v="2"/>
    <x v="1"/>
    <s v="2"/>
    <s v="2. Gastos corrientes en bienes y servicios"/>
    <s v="11"/>
    <x v="5"/>
    <s v="1621"/>
    <s v="1621. Servicio de limpieza"/>
    <s v="21"/>
    <s v="212"/>
  </r>
  <r>
    <n v="220210020663"/>
    <s v="D"/>
    <d v="2021-05-07T00:00:00"/>
    <n v="22021002374"/>
    <s v="2021 02 9332 212"/>
    <n v="128.94999999999999"/>
    <x v="216"/>
    <s v="CINTA ANTIDES.NEGRA/ RUEDA GIRAT./ TOR.C/ ALLEN/ TUERCA AUTOBLOCANTE/ ARANDELA STAND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159"/>
    <s v="AD"/>
    <d v="2021-05-19T00:00:00"/>
    <n v="22021004443"/>
    <s v="2021 10 2311 22700"/>
    <n v="108.9"/>
    <x v="246"/>
    <s v="Servicio de limpieza puntual de dos aulas en CEIP León Felipe los días 26,29,30, 31 de marzo y 5 de abril de 2021.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18875"/>
    <s v="D"/>
    <d v="2021-04-28T00:00:00"/>
    <n v="22021001968"/>
    <s v="2021 11 1321 22199"/>
    <n v="739.49"/>
    <x v="410"/>
    <s v="ACUERDO MARCO. TERMO ELECTRICO Y MATERIAL DE FONTANERIA PARA DEPENDENCIAS DE POLICÍA MUNICIPAL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6816"/>
    <s v="D"/>
    <d v="2021-04-22T00:00:00"/>
    <n v="22021001275"/>
    <s v="2021 07 1711 22199"/>
    <n v="0.48"/>
    <x v="26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657"/>
    <s v="D"/>
    <d v="2021-05-27T00:00:00"/>
    <n v="22021002059"/>
    <s v="2021 11 1361 22199"/>
    <n v="6.81"/>
    <x v="265"/>
    <s v="ACUERDO MARCO SUMINISTROS: MUELLE ABIERTO 8X1 / MUELLE ABIERTO 10X1,2 (SERVICIO DE EXTINCIÓN DE INCEND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211"/>
    <s v="D"/>
    <d v="2021-06-10T00:00:00"/>
    <n v="22021002048"/>
    <s v="2021 11 1621 214"/>
    <n v="125.19"/>
    <x v="304"/>
    <s v="AC MARCO EXP V36-2017: FILTRO HIDRAULICO P-550148 (4 UD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3146"/>
    <s v="D"/>
    <d v="2021-06-30T00:00:00"/>
    <n v="22021002088"/>
    <s v="2021 03 9241 212"/>
    <n v="124.75"/>
    <x v="188"/>
    <s v="CINTA BALIZA BLAN/ROJ 70MM X 200MT MIARCO (23) / CINTA SEÑALIZ. ROJO-BLAN (5) /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8989"/>
    <s v="AD"/>
    <d v="2021-04-30T00:00:00"/>
    <n v="22021004216"/>
    <s v="2021 03 9241 212"/>
    <n v="104.5"/>
    <x v="124"/>
    <s v="Contenedor MINI escombros para reparación solado en CC Bailarín Vicente Escudero"/>
    <s v="220"/>
    <s v="LA FLECHA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8915"/>
    <s v="D"/>
    <d v="2021-04-28T00:00:00"/>
    <n v="22021003187"/>
    <s v="2021 06 2314 212"/>
    <n v="123.5"/>
    <x v="168"/>
    <s v="Termostato de Bulbo y Capilar 1mt rango 0-90ºC  /  Lámpara Tecnolux Led ( 4 unidades ) /// DESTINO. CENTRO PROG.JUVENIL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14525"/>
    <s v="D"/>
    <d v="2021-04-09T00:00:00"/>
    <n v="22021002227"/>
    <s v="2021 06 3321 212"/>
    <n v="122.23"/>
    <x v="82"/>
    <s v="REGLETA OBO 76CE BL (BIBLIO S.PEDRO)/ TAPA FIN LEGRAND (CONSTANZA MTNEZ)/ MAGNETOT SE IDPN+VIG (J.L.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25708"/>
    <s v="D"/>
    <d v="2021-05-27T00:00:00"/>
    <n v="22021002371"/>
    <s v="2021 02 9332 212"/>
    <n v="121.76"/>
    <x v="82"/>
    <s v="SUMINISTRO DE MATERIAL DE ELECTRICIDAD /// DESTINOS: CASA CONSISTORIAL -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3076"/>
    <s v="AD"/>
    <d v="2021-06-29T00:00:00"/>
    <n v="22021005101"/>
    <s v="2021 06 2315 22611"/>
    <n v="102.82"/>
    <x v="856"/>
    <s v="SEGURO MUJERES PARTICIPANTES EN EL MARCO DEL PLAN DE INSERCIÓN LABORAL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3559"/>
    <s v="AD"/>
    <d v="2021-05-21T00:00:00"/>
    <n v="22021004476"/>
    <s v="2021 08 1532 214"/>
    <n v="102.73"/>
    <x v="791"/>
    <s v="Revisión, reparación y mantenimiento de vehículo matrícula 1039 - BGD, perteneciente al S.E.P.I.-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7716"/>
    <s v="D"/>
    <d v="2021-06-01T00:00:00"/>
    <n v="22021002374"/>
    <s v="2021 02 9332 212"/>
    <n v="121.68"/>
    <x v="216"/>
    <s v="PULVERIZADOR MATABI SPRAY (3) (Mnto) /// CERRADURAS (3)- MANILLA (1) -(REAL FERIA) /// BOMBILLO TESA (1)- (PQ LAS ER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270"/>
    <s v="D"/>
    <d v="2021-06-16T00:00:00"/>
    <n v="22021002601"/>
    <s v="2021 06 3321 629"/>
    <n v="121.39"/>
    <x v="773"/>
    <s v="EL CASO DEL MARQUÉS DESAPARECIDO / INFIERNO EN EL PARAÍSO / EL CUADERNO ROJO (5)/ CANTO YO Y LA MONTAÑA BAILA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6020"/>
    <s v="D"/>
    <d v="2021-05-28T00:00:00"/>
    <n v="22021002227"/>
    <s v="2021 06 3321 212"/>
    <n v="121"/>
    <x v="82"/>
    <s v="BALASTO ELT BE436-2 (T8/TCL) 220-240V (5) // BIBLIOTECA FRANCISCO PIN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16558"/>
    <s v="ADO"/>
    <d v="2021-04-20T00:00:00"/>
    <n v="22021003928"/>
    <s v="2021 04 9202 22607"/>
    <n v="101.2"/>
    <x v="372"/>
    <s v="USO INSTALACIONES MPALES PARA PRUEBAS FÍSICAS DE OFICIALES DE POLICIA MPAL: PISTAS ATLETISMO-PISCINA / DIA: 20-02-2021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30387"/>
    <s v="D"/>
    <d v="2021-06-11T00:00:00"/>
    <n v="22021001039"/>
    <s v="2021 10 2312 212"/>
    <n v="120.49"/>
    <x v="210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944"/>
    <s v="AD"/>
    <d v="2021-04-26T00:00:00"/>
    <n v="22021004015"/>
    <s v="2021 06 2315 22611"/>
    <n v="100"/>
    <x v="857"/>
    <s v="TALLER ON LINE MUJERES Y PATRIMONIO CULTURAL EL DIA 25 DE MAYO D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6943"/>
    <s v="AD"/>
    <d v="2021-04-26T00:00:00"/>
    <n v="22021004011"/>
    <s v="2021 06 2315 22611"/>
    <n v="100"/>
    <x v="858"/>
    <s v="TALLER ON LINE MUJERES Y PATRIMONIO CULTURAL EL DIA 25 DE MAYO DE 2021"/>
    <s v="220"/>
    <s v="GRANADA"/>
    <s v="GRANADA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7129"/>
    <s v="AD"/>
    <d v="2021-04-26T00:00:00"/>
    <n v="22021004013"/>
    <s v="2021 06 2315 22611"/>
    <n v="100"/>
    <x v="859"/>
    <s v="TALLER ON LINE MUJERES Y  PATRIMONIO CULTURAL EL DIA 25 DE MAYO D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07"/>
    <s v="D"/>
    <d v="2021-06-18T00:00:00"/>
    <n v="22021002369"/>
    <s v="2021 02 9332 212"/>
    <n v="120.1"/>
    <x v="410"/>
    <s v="DISPENS PAPEL/ ESCOBILLERO/ VÁLVULA DE MARIPOSA/ TAPÓN LATÓN/ MACHON LATÓN (RECINTO FERIAL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500"/>
    <s v="AD"/>
    <d v="2021-06-22T00:00:00"/>
    <n v="22021004921"/>
    <s v="2021 06 2314 22799"/>
    <n v="97.53"/>
    <x v="159"/>
    <s v="Gestión residuos Pinar de Antequera (Circulo Campestre)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99"/>
  </r>
  <r>
    <n v="220210031305"/>
    <s v="D"/>
    <d v="2021-06-16T00:00:00"/>
    <n v="22021002228"/>
    <s v="2021 06 3232 212"/>
    <n v="119.66"/>
    <x v="265"/>
    <s v="BURLETE AMIG (11) / TORNILLO CHAPA (200)  ///// DESTINO: CEIP ANTONIO MACHAD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301"/>
    <s v="D"/>
    <d v="2021-05-19T00:00:00"/>
    <n v="22021002227"/>
    <s v="2021 06 3321 212"/>
    <n v="119.54"/>
    <x v="82"/>
    <s v="EMERGEN LEGRAND/ LAMPARA MZD LED/ TASA ECORAEE (BIBLIO PZA NIEVES) // FLUORESCENTE/ TASA ECORAEE (BIBLIO FCO P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0041"/>
    <s v="D"/>
    <d v="2021-06-09T00:00:00"/>
    <n v="22021002052"/>
    <s v="2021 11 1621 22199"/>
    <n v="119.17"/>
    <x v="161"/>
    <s v="AC MARCO EXP V36-2017: SUMINISTRO SEÑ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5730"/>
    <s v="D"/>
    <d v="2021-05-27T00:00:00"/>
    <n v="22021002228"/>
    <s v="2021 06 3232 212"/>
    <n v="119"/>
    <x v="191"/>
    <s v="SUMINISTROS PARA EL MANTENIMIENTO (ALBARÁN 21-213052) // CP MIGUEL DE CERVANT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988"/>
    <s v="AD"/>
    <d v="2021-04-30T00:00:00"/>
    <n v="22021004211"/>
    <s v="2021 11 1321 214"/>
    <n v="4788.34"/>
    <x v="32"/>
    <s v="REPARACIÓN VEHÍCULO 3711KGD DE POLICÍA MUNICIPAL.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9573"/>
    <s v="AD"/>
    <d v="2021-06-08T00:00:00"/>
    <n v="22021004750"/>
    <s v="2021 11 1321 214"/>
    <n v="257.23"/>
    <x v="32"/>
    <s v="REPARACIÓN DE VEHÍCULOS DE POLICIA (ACUERDO MARCO EN TRAMITACIÑO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4717"/>
    <s v="D"/>
    <d v="2021-04-13T00:00:00"/>
    <n v="22021001038"/>
    <s v="2021 10 2312 212"/>
    <n v="117.77"/>
    <x v="82"/>
    <s v="MANTENIMIENTO, REPARACIONES,CAJA SUP CIMA, BASE CIMA, PLACA CIMA,CONECTOR, MT CANAL LEGRAND,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1025"/>
    <s v="AD"/>
    <d v="2021-05-07T00:00:00"/>
    <n v="22021004305"/>
    <s v="2021 11 1321 214"/>
    <n v="2193.27"/>
    <x v="64"/>
    <s v="REPARACIÓN VEHÍCULO 8782DHV DE POLICÍA MUNICIPAL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247"/>
    <s v="AD"/>
    <d v="2021-05-04T00:00:00"/>
    <n v="22021004213"/>
    <s v="2021 06 2314 213"/>
    <n v="97.13"/>
    <x v="50"/>
    <s v="ADAPTACION A LA NORMATIVA VIGENTE DE DEFECTOS EN ASCENSORES ESPACIO JOVEN / 1 DIA"/>
    <s v="220"/>
    <s v="VIGO"/>
    <s v="PONTEVEDRA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1"/>
    <s v="213"/>
  </r>
  <r>
    <n v="220210033093"/>
    <s v="AD"/>
    <d v="2021-06-29T00:00:00"/>
    <n v="22021005115"/>
    <s v="2021 11 1621 212"/>
    <n v="96.8"/>
    <x v="491"/>
    <s v="REPARACION AVERIA SISTEMA ELECTRICO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16844"/>
    <s v="D"/>
    <d v="2021-04-22T00:00:00"/>
    <n v="22021002374"/>
    <s v="2021 02 9332 212"/>
    <n v="115.05"/>
    <x v="188"/>
    <s v="CUBRETODO/ TORNI.DIN/ PERNIO/ SELLADOR/ BROCA/ CERRADURA/ TOPE/ UMBRAL (CNTRO FORMACIÓN / C.CONSIST / SAN BENITO, PTA 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179"/>
    <s v="D"/>
    <d v="2021-06-09T00:00:00"/>
    <n v="22021002225"/>
    <s v="2021 06 3231 212"/>
    <n v="110.35"/>
    <x v="116"/>
    <s v="ALB: 2104419 de 10-05-21 /// ARO INFANTIL BL. (3) /// DESTINO: EIM EL PRINCIPITO - GUARDERÍA VICTORIA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33120"/>
    <s v="AD"/>
    <d v="2021-06-30T00:00:00"/>
    <n v="22021002231"/>
    <s v="2021 10 2412 223"/>
    <n v="95.95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24790"/>
    <s v="D"/>
    <d v="2021-05-24T00:00:00"/>
    <n v="22021002228"/>
    <s v="2021 06 3232 212"/>
    <n v="109.53"/>
    <x v="216"/>
    <s v="Nº Albaran A21/5855 de 16/04/2021 //// BOSCH DISCO C/INOX (TOTAL 8 UNID)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2"/>
    <s v="D"/>
    <d v="2021-05-28T00:00:00"/>
    <n v="22021002228"/>
    <s v="2021 06 3232 212"/>
    <n v="109.07"/>
    <x v="265"/>
    <s v="CIERRA PUERTAS TELESCO 33 (CEIP IGNACIO MARTÍN BARÓ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816"/>
    <s v="AD"/>
    <d v="2021-05-17T00:00:00"/>
    <n v="22021004383"/>
    <s v="2021 03 9241 212"/>
    <n v="94.84"/>
    <x v="270"/>
    <s v="MATERIAL PINTURA MANTENIMIENTO CENTROS SANTIAGO LÓPEZ, SEGUNDO MONTES, RONDILLA Y BAILARÍN V. ESCUD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4817"/>
    <s v="D"/>
    <d v="2021-04-13T00:00:00"/>
    <n v="22021002006"/>
    <s v="2021 11 3111 22199"/>
    <n v="109.07"/>
    <x v="265"/>
    <s v="RESORTE TELESCO 33 (DEPOSITO CAN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974"/>
    <s v="D"/>
    <d v="2021-04-19T00:00:00"/>
    <n v="22021001181"/>
    <s v="2021 10 2412 22199"/>
    <n v="108.19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3120"/>
    <s v="AD"/>
    <d v="2021-06-30T00:00:00"/>
    <n v="22021002229"/>
    <s v="2021 10 2412 223"/>
    <n v="92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15974"/>
    <s v="D"/>
    <d v="2021-04-19T00:00:00"/>
    <n v="22021001183"/>
    <s v="2021 10 2412 22199"/>
    <n v="108.19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465"/>
    <s v="AD"/>
    <d v="2021-06-21T00:00:00"/>
    <n v="22021004818"/>
    <s v="2021 08 1532 619"/>
    <n v="106.6"/>
    <x v="251"/>
    <s v="Redacción EBSS proyecto &quot;&quot;Aparcamiento vehículos pesados en Calle Topacio&quot;&quot;.-"/>
    <s v="220"/>
    <s v="MADRID"/>
    <s v="MADRID"/>
    <x v="0"/>
    <s v="PrAbier - Procedimiento Abierto"/>
    <s v="MultiC - MultiCriterio"/>
    <x v="2"/>
    <x v="1"/>
    <s v="6"/>
    <s v="6. Inversiones reales"/>
    <s v="08"/>
    <x v="9"/>
    <s v="1532"/>
    <s v="1532. Pavimentación vias públicas y otros servicios urbanísticos"/>
    <s v="61"/>
    <s v="619"/>
  </r>
  <r>
    <n v="220210018990"/>
    <s v="AD"/>
    <d v="2021-04-30T00:00:00"/>
    <n v="22021004217"/>
    <s v="2021 03 9241 22602"/>
    <n v="90.75"/>
    <x v="860"/>
    <s v="Anuncio 1/2 página en revista digital abril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6141"/>
    <s v="AD"/>
    <d v="2021-05-31T00:00:00"/>
    <n v="22021004579"/>
    <s v="2021 03 9241 22602"/>
    <n v="90.75"/>
    <x v="860"/>
    <s v="ANUNCIO DE MEDIA PÁGINA EN REVISTA DIGITAL. MES DE MAY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259"/>
    <s v="D"/>
    <d v="2021-06-10T00:00:00"/>
    <n v="22021002133"/>
    <s v="2021 08 1651 22199"/>
    <n v="106.53"/>
    <x v="188"/>
    <s v="IMAN CIRCULAR MONTURA/ CEPILLO / MANGO METALICO PINTADO/ RATCHET PONSA/ ESCOBA/ RACHET RATIO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21751"/>
    <s v="D"/>
    <d v="2021-05-11T00:00:00"/>
    <n v="22021001181"/>
    <s v="2021 10 2412 22199"/>
    <n v="105.9"/>
    <x v="191"/>
    <s v="MATERIAL PARA EL C.F. DE EMPLEO, ADAPTADOR MACHO, CHALECO ALTA VISIBILIDAD  CURSO  - P Y JARDINES II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8917"/>
    <s v="D"/>
    <d v="2021-04-28T00:00:00"/>
    <n v="22021002132"/>
    <s v="2021 08 1532 210"/>
    <n v="103.98"/>
    <x v="314"/>
    <s v="0,186 uds - PINO NORTE CC 50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2675"/>
    <s v="D"/>
    <d v="2021-05-17T00:00:00"/>
    <n v="22021001039"/>
    <s v="2021 10 2312 212"/>
    <n v="103.54"/>
    <x v="188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4590"/>
    <s v="D"/>
    <d v="2021-04-12T00:00:00"/>
    <n v="22021002006"/>
    <s v="2021 11 3111 22199"/>
    <n v="102.85"/>
    <x v="410"/>
    <s v="A.M. V.36/2017 -GRIFO MANGUERA  3/4 / CODO CONEX SAMBRA 15 / CODO COBRE 90 / TAPÓN COBRE (PERRERA MUNICIPAL)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520"/>
    <s v="AD"/>
    <d v="2021-04-15T00:00:00"/>
    <n v="22021003879"/>
    <s v="2021 06 3232 215"/>
    <n v="87.72"/>
    <x v="861"/>
    <s v="TAPIZADO DE SILLON DE TRABAJO DE STEELCASE DEL MOD: PLEASE. PLAZO 1 MES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5"/>
  </r>
  <r>
    <n v="220210031355"/>
    <s v="AD"/>
    <d v="2021-06-18T00:00:00"/>
    <n v="22021004913"/>
    <s v="2021 03 9241 22699"/>
    <n v="87.68"/>
    <x v="862"/>
    <s v="SUMINISTRO DE TINTA BROTHER PARA FAX C.M. PUENTE DU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831"/>
    <s v="AD"/>
    <d v="2021-06-04T00:00:00"/>
    <n v="22021004754"/>
    <s v="2021 11 1321 214"/>
    <n v="781.14"/>
    <x v="64"/>
    <s v="REPARACIÓN GRÚA MUNICIPAL 5343BVH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1458"/>
    <s v="AD"/>
    <d v="2021-06-21T00:00:00"/>
    <n v="22021004929"/>
    <s v="2021 11 1361 22199"/>
    <n v="86.35"/>
    <x v="231"/>
    <s v="VASO CON PURGA AUTOMATICA PARA COMPRESOR DE AIRE DE FSV-5 MATR. 8108-GDJ//SERVICIO DE EXTINCIÓ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2709"/>
    <s v="D"/>
    <d v="2021-05-17T00:00:00"/>
    <n v="22021002057"/>
    <s v="2021 11 1631 22199"/>
    <n v="102.57"/>
    <x v="353"/>
    <s v="AC MARCO EXP V36-2017: GARRAS Y MANGIOS CEPILLOS BARRENERDO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3278"/>
    <s v="D"/>
    <d v="2021-05-19T00:00:00"/>
    <n v="22021001963"/>
    <s v="2021 07 1721 22104"/>
    <n v="101.64"/>
    <x v="114"/>
    <s v="ZAPATO MONTI S3 SRC Nº38 ( 1 UNID. ) / ZAPATO MONTI S3 SRC Nº41 (1 UNID. ) // PROTEC. MEDIO AMBI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04"/>
  </r>
  <r>
    <n v="220210015515"/>
    <s v="AD"/>
    <d v="2021-04-15T00:00:00"/>
    <n v="22021003830"/>
    <s v="2021 11 1321 214"/>
    <n v="220.22"/>
    <x v="96"/>
    <s v="REPARACIÓN DE VEHÍCULOS DE POLICÍA MUNICIPAL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964"/>
    <s v="D"/>
    <d v="2021-04-19T00:00:00"/>
    <n v="22021001038"/>
    <s v="2021 10 2312 212"/>
    <n v="101.64"/>
    <x v="265"/>
    <s v="MANTENIMIENTO, REPARACIONES, CILINDRO CERRADURA CQ12 ( 2 UNIDADES )  ////  DESTINO: C.P.M. LA VICTORIA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7720"/>
    <s v="D"/>
    <d v="2021-06-01T00:00:00"/>
    <n v="22021002374"/>
    <s v="2021 02 9332 212"/>
    <n v="101.02"/>
    <x v="188"/>
    <s v="REPOSAPIES FELLOWES AJUSTABLE ERGO (3 UNIDADES) //// DESTINO: DPTO RECURSOS HUMANO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2957"/>
    <s v="D"/>
    <d v="2021-06-28T00:00:00"/>
    <n v="22021002050"/>
    <s v="2021 11 1621 22104"/>
    <n v="98.31"/>
    <x v="411"/>
    <s v="AC. M. EXP. V36-2017 BOTAS FRAGUA VELCRO PLUS. SERV.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4"/>
  </r>
  <r>
    <n v="220210014458"/>
    <s v="D"/>
    <d v="2021-04-09T00:00:00"/>
    <n v="22021003381"/>
    <s v="2021 11 1361 22199"/>
    <n v="455.54"/>
    <x v="411"/>
    <s v="ACUERDO MARCO V.36_2017; LOTE 1; LAVAVAJILLAS MANUAL CIDASOL AMARILLO (100 UNID) /RUEDA REF 2-0799 (8 UNID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431"/>
    <s v="D"/>
    <d v="2021-06-18T00:00:00"/>
    <n v="22021001967"/>
    <s v="2021 11 1321 214"/>
    <n v="90.29"/>
    <x v="347"/>
    <s v="ACUERDO MARCO. SUMINISTRO DE MATERIAL PARA TALLER DE REPARACIÓN DE AUTOMÓVILE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824"/>
    <s v="D"/>
    <d v="2021-04-22T00:00:00"/>
    <n v="22021002378"/>
    <s v="2021 02 9332 214"/>
    <n v="1143.04"/>
    <x v="381"/>
    <s v="ACUERDO MARCO_0701-DKW //  CALENTADORES,TORNILLOS CULATA,JGO JUNTAS CULATA Y TAQUES. REPARACION CULATA- M.O.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4793"/>
    <s v="D"/>
    <d v="2021-05-24T00:00:00"/>
    <n v="22021002378"/>
    <s v="2021 02 9332 214"/>
    <n v="311.74"/>
    <x v="381"/>
    <s v="ACUERDO MARCO_VA2712U: MONTAJE 2 RUEDAS DELANTERAS 155/80 R13 INFINITY/ SUSTITUIR ALTERNADOR Y CONECTO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2678"/>
    <s v="D"/>
    <d v="2021-05-17T00:00:00"/>
    <n v="22021001038"/>
    <s v="2021 10 2312 212"/>
    <n v="97.2"/>
    <x v="216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5996"/>
    <s v="D"/>
    <d v="2021-05-28T00:00:00"/>
    <n v="22021002006"/>
    <s v="2021 11 3111 22199"/>
    <n v="96.57"/>
    <x v="114"/>
    <s v="BOTA MAYA TREKKING 02+CI+HRO (1 UNID.) / ZUECO EVA NEGRO Nº42 (1 UNID.) / BOTA FOCA BLANCA ALTA Nº42  PARA VETERINAR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0784"/>
    <s v="D"/>
    <d v="2021-05-07T00:00:00"/>
    <n v="22021002088"/>
    <s v="2021 03 9241 212"/>
    <n v="96.21"/>
    <x v="188"/>
    <s v="TAMBOR ASEIN 50 MTS 3X1.5 UNIV OFERTA / GARZA LED FOCO 30W 2700LM 4000K //  DESTINO: C.C. CONDE ANSUR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695"/>
    <s v="AD"/>
    <d v="2021-04-13T00:00:00"/>
    <n v="22021003822"/>
    <s v="2021 11 1361 22199"/>
    <n v="77"/>
    <x v="35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774"/>
    <s v="D"/>
    <d v="2021-05-07T00:00:00"/>
    <n v="22021002088"/>
    <s v="2021 03 9241 212"/>
    <n v="95.83"/>
    <x v="191"/>
    <s v="ALB 21-210164: BROCA/ CAJA TACOS/ TORNILLOS/ MANGUITOS/ ABRAZADERAS/ CODOS/ TAPONES/ TE (CC JUAN DE AUSTRI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1411"/>
    <s v="D"/>
    <d v="2021-06-18T00:00:00"/>
    <n v="22021002371"/>
    <s v="2021 02 9332 212"/>
    <n v="94.9"/>
    <x v="210"/>
    <s v="FLEXTEL (BOBINAS) (27) / CLAVIJA 10/16A 250V (4) / BASE 4 TOMAS 16A 250V  POT (4) / KENTAU 9 W BLANCO (2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2776"/>
    <s v="D"/>
    <d v="2021-05-17T00:00:00"/>
    <n v="22021002228"/>
    <s v="2021 06 3232 212"/>
    <n v="93.65"/>
    <x v="314"/>
    <s v="TABLERO CONTR.PINO II/III 18MM (6,23 M) // COLEGIO JOSE DE ZORR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378"/>
    <s v="D"/>
    <d v="2021-05-19T00:00:00"/>
    <n v="22021001181"/>
    <s v="2021 10 2412 22199"/>
    <n v="92.4"/>
    <x v="271"/>
    <s v="MATERIAL PARA EL CURSO DE PARQUES Y JARDINES DELC. F. PARA EL EMPLEO- 7 PLANTAS DE CACTUS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7122"/>
    <s v="AD"/>
    <d v="2021-04-26T00:00:00"/>
    <n v="22021004059"/>
    <s v="2021 11 1361 22199"/>
    <n v="75.02"/>
    <x v="863"/>
    <s v="Material de repuesto de gimnasio_palancas de freno bici_ciclo MT1; SEISYPC."/>
    <s v="220"/>
    <s v="MOLINA DE SEGURA"/>
    <s v="MURCI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5555"/>
    <s v="AD"/>
    <d v="2021-05-26T00:00:00"/>
    <n v="22021004425"/>
    <s v="2021 11 1361 22199"/>
    <n v="73.209999999999994"/>
    <x v="721"/>
    <s v="Webcam y auriculares con micrófono para videoconferencia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2457"/>
    <s v="D"/>
    <d v="2021-05-14T00:00:00"/>
    <n v="22021002088"/>
    <s v="2021 03 9241 212"/>
    <n v="92"/>
    <x v="410"/>
    <s v="DOSIFICADOR JABON VISION 1,4LT (3 UDS) - CIC EL EMPECINADO // DOSIFICADOR JABÓN VISIÓN 1,4LT - CIC NATIVIDAD A.CHACÓN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3190"/>
    <s v="D"/>
    <d v="2021-05-19T00:00:00"/>
    <n v="22021003187"/>
    <s v="2021 06 2314 212"/>
    <n v="92"/>
    <x v="410"/>
    <s v="DOSIFICADOR JABON VISION 1,4LT (4 UDS) // ESPACIO JOVEN NORTE, C/ OLMO"/>
    <s v="300"/>
    <s v="VALDELAFUENTE"/>
    <s v="LEON"/>
    <x v="1"/>
    <s v="PrAbier - Procedimiento Abierto"/>
    <s v="SinC - Sin Criterio"/>
    <x v="2"/>
    <x v="1"/>
    <s v="2"/>
    <s v="2. Gastos corrientes en bienes y servicios"/>
    <s v="06"/>
    <x v="0"/>
    <s v="2314"/>
    <s v="2314. Centro de programas juveniles"/>
    <s v="21"/>
    <s v="212"/>
  </r>
  <r>
    <n v="220210023520"/>
    <s v="AD"/>
    <d v="2021-05-20T00:00:00"/>
    <n v="22021004450"/>
    <s v="2021 03 9241 213"/>
    <n v="90.75"/>
    <x v="408"/>
    <s v="SUMINISTRO DE 3 MANILLAS PVC PARA CC DELICIAS"/>
    <s v="220"/>
    <s v="VALLADOLID"/>
    <s v="VALLADOLID"/>
    <x v="1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1"/>
    <s v="213"/>
  </r>
  <r>
    <n v="220210016571"/>
    <s v="D"/>
    <d v="2021-04-20T00:00:00"/>
    <n v="22021003187"/>
    <s v="2021 06 2314 212"/>
    <n v="89.23"/>
    <x v="188"/>
    <s v="COPIA LLAVE/ TACO INDEX NYLON/ GANCHO ESE GALVANIZADO/ CADENA GENOVESA ZINC/ TACO FISCH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28717"/>
    <s v="D"/>
    <d v="2021-06-04T00:00:00"/>
    <n v="22021004482"/>
    <s v="2021 04 9204 213"/>
    <n v="89.06"/>
    <x v="82"/>
    <s v="CABLEADO UTILIZADO PARA CONEXIONES DE EQUIPO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32781"/>
    <s v="D"/>
    <d v="2021-06-24T00:00:00"/>
    <n v="22021002374"/>
    <s v="2021 02 9332 212"/>
    <n v="88.69"/>
    <x v="314"/>
    <s v="GUIAS CAJON AMIG DE 40 A 50 MM (3 UNID.) / FRESA (2 UNIDADES) / CARPINTERIA 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513"/>
    <s v="AD"/>
    <d v="2021-04-14T00:00:00"/>
    <n v="22021003868"/>
    <s v="2021 07 1721 213"/>
    <n v="70.72"/>
    <x v="128"/>
    <s v="REVISION DE EXTINTORES Y PLACAS INDICATIVAS DE LOS MISMOS EN CABINAS MEDICION DE LA CONTAMINACION. SERVICIO MEDIO AMBIEN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1"/>
    <s v="213"/>
  </r>
  <r>
    <n v="220210030521"/>
    <s v="AD"/>
    <d v="2021-06-11T00:00:00"/>
    <n v="22021004816"/>
    <s v="2021 03 9241 203"/>
    <n v="70.58"/>
    <x v="538"/>
    <s v="ALQUILER VALLAS CAMPILLO . DEL 23 AL 31 DE MAY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0"/>
    <s v="203"/>
  </r>
  <r>
    <n v="220210016739"/>
    <s v="AD"/>
    <d v="2021-04-21T00:00:00"/>
    <n v="22021003926"/>
    <s v="2021 01 9207 22699"/>
    <n v="69.8"/>
    <x v="418"/>
    <s v="ADJUDICA SUMINISTRO TARJETAS ALMACENAMIENTO GRÁFICO - GOBIERNO Y RELACIONES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3149"/>
    <s v="D"/>
    <d v="2021-06-30T00:00:00"/>
    <n v="22021002089"/>
    <s v="2021 03 9241 213"/>
    <n v="85.67"/>
    <x v="168"/>
    <s v="Downlight PHILIPS 11W 220V LED10/840 (10 UNIDADES) // CC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1222"/>
    <s v="AD"/>
    <d v="2021-06-15T00:00:00"/>
    <n v="22021004894"/>
    <s v="2021 01 9207 22001"/>
    <n v="69"/>
    <x v="864"/>
    <s v="ADJUDICA SUSCRIPCIÓN ANUAL PERIÓDICO DIGITAL EL ESPAÑOL .COM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001"/>
  </r>
  <r>
    <n v="220210016520"/>
    <s v="D"/>
    <d v="2021-04-20T00:00:00"/>
    <n v="22021002144"/>
    <s v="2021 10 2311 212"/>
    <n v="84.68"/>
    <x v="410"/>
    <s v="F-2947. SUM GARCICHAO. TANQUE VICTORIA BL. LATERAL/LOCTITE. CENTRO INTEGRADO-ALBERGUE-COVID-19-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6746"/>
    <s v="AD"/>
    <d v="2021-04-22T00:00:00"/>
    <n v="22021000676"/>
    <s v="2021 10 2412 213"/>
    <n v="68.239999999999995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861"/>
    <s v="AD"/>
    <d v="2021-06-14T00:00:00"/>
    <n v="22021004847"/>
    <s v="2021 11 1361 22104"/>
    <n v="67.760000000000005"/>
    <x v="786"/>
    <s v="1 PAR DE ZAPATOS( TALLA 44)  PARA COMPLEMENTO UNIFORME SUBOFICIAL OPERATIVO DEL 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04"/>
  </r>
  <r>
    <n v="220210030453"/>
    <s v="D"/>
    <d v="2021-06-11T00:00:00"/>
    <n v="22021003187"/>
    <s v="2021 06 2314 212"/>
    <n v="82.66"/>
    <x v="210"/>
    <s v="CEYS MONTACK/ PUESTO 2 COLUMNAS/ SCHUKO DOBLE/ DLPLUS/ CAJA 2 MECANISMOS/ SCHUKO POLAR/ MARCO 2 ELEM./ BASTIDOR UNIVERSL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14595"/>
    <s v="D"/>
    <d v="2021-04-12T00:00:00"/>
    <n v="22021002228"/>
    <s v="2021 06 3232 212"/>
    <n v="82.5"/>
    <x v="271"/>
    <s v="TURBA 70 LITROS (5 UD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987"/>
    <s v="AD"/>
    <d v="2021-04-30T00:00:00"/>
    <n v="22021004201"/>
    <s v="2021 10 2312 213"/>
    <n v="82.28"/>
    <x v="423"/>
    <s v="REPARAR FALCOILS DEL GIMNASIO CON CAMBIO DE LATIGUILLOS DEL CPM ZONA SUR- DURACION 1 DIA"/>
    <s v="22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3"/>
  </r>
  <r>
    <n v="220210017131"/>
    <s v="AD"/>
    <d v="2021-04-26T00:00:00"/>
    <n v="22021000494"/>
    <s v="2021 10 2412 213"/>
    <n v="67.16"/>
    <x v="52"/>
    <s v="AJUSTE PRESUPUESTARIO DEL MATENIMIENTO DEL ASCENSOR DEL JACINTO BENVENTE PARA 2021-CF PARA EL  EMPLE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4488"/>
    <s v="D"/>
    <d v="2021-04-09T00:00:00"/>
    <n v="22021002371"/>
    <s v="2021 02 9332 212"/>
    <n v="79.86"/>
    <x v="82"/>
    <s v="H05V-K 500V RIGIDO 1X0,5 UNE.210 -BLANCO (200) -AZUL (200)  - MARRON (200) //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22"/>
    <s v="AD"/>
    <d v="2021-06-17T00:00:00"/>
    <n v="22021004781"/>
    <s v="2021 06 3321 213"/>
    <n v="66.010000000000005"/>
    <x v="101"/>
    <s v="SUMINISTRO DE 2 MANDOS A DISTANCIA PARA LAS BIBLIOTECAS MUNICIPALES. PLAZO 1 MES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1"/>
    <s v="213"/>
  </r>
  <r>
    <n v="220210021016"/>
    <s v="AD"/>
    <d v="2021-05-07T00:00:00"/>
    <n v="22021004341"/>
    <s v="2021 03 9241 213"/>
    <n v="65.760000000000005"/>
    <x v="213"/>
    <s v="SUSTITUCIÓN BOCA RIEGO EN CC LA VICTORI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5558"/>
    <s v="AD"/>
    <d v="2021-05-26T00:00:00"/>
    <n v="22021004497"/>
    <s v="2021 10 2312 22699"/>
    <n v="65.58"/>
    <x v="152"/>
    <s v="MATERIAL PARA LA IMPRENTA MUNICIPAL PARA IMPRIMIR LA REVISTA DEL CPM ZONA ESTE POR SU 10 ANIVERSARIO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7718"/>
    <s v="D"/>
    <d v="2021-06-01T00:00:00"/>
    <n v="22021002374"/>
    <s v="2021 02 9332 212"/>
    <n v="79.38"/>
    <x v="216"/>
    <s v="REPARACION ATORNILLADOR GSB 12V-15: CAMBIO DE PORTABROCAS / M.O. / REVISION GENER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6440"/>
    <s v="AD"/>
    <d v="2021-04-20T00:00:00"/>
    <n v="22021003870"/>
    <s v="2021 11 1361 213"/>
    <n v="78.53"/>
    <x v="96"/>
    <s v="Reparación de fuga de aire comprimido en sistema de frenado de BUP_1; matrícula 4894JLF; SEISYPC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3"/>
  </r>
  <r>
    <n v="220210019132"/>
    <s v="D"/>
    <d v="2021-05-03T00:00:00"/>
    <n v="22021002144"/>
    <s v="2021 10 2311 212"/>
    <n v="77.5"/>
    <x v="410"/>
    <s v="F-4254. SUMINISTROS GARCICHAO, S.L. TANQUE VICTORIA BL. LATERAL (1) DESTINO: CENTRO INTEGRADO. COVID-19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9198"/>
    <s v="D"/>
    <d v="2021-05-03T00:00:00"/>
    <n v="22021002371"/>
    <s v="2021 02 9332 212"/>
    <n v="77.42"/>
    <x v="168"/>
    <s v="1 ud - Batería moto Varta 12V 25Ah 220EN 186x130x171 Esq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754"/>
    <s v="D"/>
    <d v="2021-05-07T00:00:00"/>
    <n v="22021002227"/>
    <s v="2021 06 3321 212"/>
    <n v="76.53"/>
    <x v="188"/>
    <s v="PANEL BTV MOD-11 670X460  NEGRO OFERTA / PILA DURACELL IND AA LR06 (10UDS) // DESTINO: FCO JAVIER MARTÍN ABRIL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21026"/>
    <s v="AD"/>
    <d v="2021-05-07T00:00:00"/>
    <n v="22021004259"/>
    <s v="2021 05 4331 213"/>
    <n v="62.92"/>
    <x v="128"/>
    <s v="Desactivación de un punto de detección de incendios debido a las obras de ampliacion en Edificio de la Agencia Innovacio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1"/>
    <s v="213"/>
  </r>
  <r>
    <n v="220210033220"/>
    <s v="AD"/>
    <d v="2021-06-30T00:00:00"/>
    <n v="22021004559"/>
    <s v="2021 08 1532 619"/>
    <n v="11000.58"/>
    <x v="250"/>
    <s v="Contrato de Control Calidad para obras de Carriles Bici en diferentes partes de la ciudad.-"/>
    <s v="220"/>
    <s v="ZARATAN"/>
    <s v="VALLADOL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0882"/>
    <s v="ADO"/>
    <d v="2021-05-07T00:00:00"/>
    <n v="22021004289"/>
    <s v="2021 08 1532 22199"/>
    <n v="60.98"/>
    <x v="26"/>
    <s v="BONO MENSUAL AGUA 4G // PERIODO NOVIEMBRE - DICIEMBRE DE 2020 // CENTRO DE CONSERVACIÓN C/ SEMENTERA"/>
    <s v="24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99"/>
  </r>
  <r>
    <n v="220210016389"/>
    <s v="AD"/>
    <d v="2021-04-20T00:00:00"/>
    <n v="22021003978"/>
    <s v="2021 03 9241 22602"/>
    <n v="60.5"/>
    <x v="152"/>
    <s v="PAPEL SERVIDO EN IMPRENTA MUNICIPAL PARA CARTELES CENTROS CÍVICOS, MAY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4837"/>
    <s v="AD"/>
    <d v="2021-05-25T00:00:00"/>
    <n v="22021004475"/>
    <s v="2021 03 9241 22602"/>
    <n v="60.5"/>
    <x v="152"/>
    <s v="SUMINISTRO DE PAPEL (SE SIRVE EN IMPRENTA MUNICIPAL) PARA CARTELES PROGRAMAS MES JUNI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5557"/>
    <s v="AD"/>
    <d v="2021-05-26T00:00:00"/>
    <n v="22021004496"/>
    <s v="2021 10 2312 22615"/>
    <n v="60.5"/>
    <x v="825"/>
    <s v="FOLLETOS -PROGRAMA MONEO- PLAN DE DROGRAS DEL SERVICIO DE INICIATIVAS SOCIALES- DURACION 1 DIA"/>
    <s v="220"/>
    <s v="LEON"/>
    <s v="LEON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6385"/>
    <s v="AD"/>
    <d v="2021-04-20T00:00:00"/>
    <n v="22021003974"/>
    <s v="2021 03 9241 22699"/>
    <n v="60.26"/>
    <x v="832"/>
    <s v="CARPETA DE GOMA AZUL 37x50, 12 UDS., SERVICIO PARTICIPACIÓN CIUDADANA SAN BENITO, OF. 40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5717"/>
    <s v="D"/>
    <d v="2021-05-27T00:00:00"/>
    <n v="22021001181"/>
    <s v="2021 10 2412 22199"/>
    <n v="76.290000000000006"/>
    <x v="98"/>
    <s v="SUMINISTRO VARIEDAD DE PLANTAS  PARA EL CENTRO DE FORMAC. JACINTO BENAVENTE, CURSO P. Y JARDINES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2790"/>
    <s v="D"/>
    <d v="2021-06-24T00:00:00"/>
    <n v="22021002052"/>
    <s v="2021 11 1621 22199"/>
    <n v="76.02"/>
    <x v="410"/>
    <s v="AC. M. EXP. V36-2017 TELEDUCHA, FLEXO DUCHA 1.60M, FLEXO DUCHA EXTENSIBLE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5905"/>
    <s v="D"/>
    <d v="2021-04-19T00:00:00"/>
    <n v="22021001181"/>
    <s v="2021 10 2412 22199"/>
    <n v="75.27"/>
    <x v="161"/>
    <s v="SUMINISTRO MATERIAL, JGO. BOTADORES CONICOS... CURSO: PARQ.-JARDINES II- DEL C. DE FORM PARA EL EMPLEO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6998"/>
    <s v="AD"/>
    <d v="2021-06-01T00:00:00"/>
    <n v="22021004646"/>
    <s v="2021 10 2316 22616"/>
    <n v="55.66"/>
    <x v="674"/>
    <s v="Impresión diplomas del curso &quot;&quot;Hablemos de trata&quot;&quot; dirigido a personal tec. mpal. y profesionales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31221"/>
    <s v="AD"/>
    <d v="2021-06-15T00:00:00"/>
    <n v="22021004880"/>
    <s v="2021 04 9231 22199"/>
    <n v="55.25"/>
    <x v="265"/>
    <s v="SUMINISTRO DE MATERIALES PARA LA INSTALACION DE PLACAS DE CALLE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199"/>
  </r>
  <r>
    <n v="220210031729"/>
    <s v="ADO"/>
    <d v="2021-06-22T00:00:00"/>
    <n v="22021004981"/>
    <s v="2021 11 1321 224"/>
    <n v="55.23"/>
    <x v="865"/>
    <s v="ANIMALES  COMPAÑIA /&quot;&quot;PÓLIZA&quot;&quot;:9041880120775 /&quot;&quot;RECIBO&quot;&quot;:8283899584 /&quot;&quot;RIESGO&quot;&quot;:DELTA : DEL 13-06-21 AL 13-06-22. DTº 1º."/>
    <s v="240"/>
    <s v="MAJADAHONDA"/>
    <s v="MADR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4"/>
  </r>
  <r>
    <n v="220210032705"/>
    <s v="D"/>
    <d v="2021-06-24T00:00:00"/>
    <n v="22021003381"/>
    <s v="2021 11 1361 22199"/>
    <n v="73.08"/>
    <x v="314"/>
    <s v="PLETINA PVC ADHE.MADERAS / ESQUINERO PVC (12) // CALLEJON DE LA ALCOHOLERA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747"/>
    <s v="D"/>
    <d v="2021-06-22T00:00:00"/>
    <n v="22021001181"/>
    <s v="2021 10 2412 22199"/>
    <n v="72.13"/>
    <x v="161"/>
    <s v="SUMINISTRO MATERIAL GUANTE NYLON C/PALMA NEGRO, TALLAS 6,7,8,9 Y 10 // CURSO PARQUES Y JARDINES 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202"/>
    <s v="ADO"/>
    <d v="2021-06-14T00:00:00"/>
    <n v="22021004890"/>
    <s v="2021 04 9202 22607"/>
    <n v="54.85"/>
    <x v="372"/>
    <s v="Uso de pistas de atletismo y piscina para las pruebas físicas de subinspector Policía Municipal el 4 de junio de 2021. 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2692"/>
    <s v="D"/>
    <d v="2021-05-17T00:00:00"/>
    <n v="22021001038"/>
    <s v="2021 10 2312 212"/>
    <n v="71.34"/>
    <x v="116"/>
    <s v="MANTENIMIENTO, SUMINISTRO DE  BASIC CROMO FREGADERO MONOMANDO PARA EL 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188"/>
    <s v="D"/>
    <d v="2021-05-19T00:00:00"/>
    <n v="22021003187"/>
    <s v="2021 06 2314 212"/>
    <n v="71.239999999999995"/>
    <x v="410"/>
    <s v="DOSICO-DISPENS PAPEL ARES PURE BL. ( 4 UNIDADES ) /// DESTINO: ESPACIO JOVEN -  NORTE - C/ OLM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24832"/>
    <s v="AD"/>
    <d v="2021-05-25T00:00:00"/>
    <n v="22021004433"/>
    <s v="2021 05 4315 22199"/>
    <n v="53.52"/>
    <x v="391"/>
    <s v="SUSTITUCION DE LAS UNIDADES HIGIENICAS AZULES, EN C/ HOSTIEROS, S/N"/>
    <s v="220"/>
    <s v="SAN FERNANDO DE HENARES"/>
    <s v="MADRID"/>
    <x v="0"/>
    <s v="AdDirec - Adjudicación Directa"/>
    <s v="SinC - Sin Criterio"/>
    <x v="0"/>
    <x v="1"/>
    <s v="2"/>
    <s v="2. Gastos corrientes en bienes y servicios"/>
    <s v="05"/>
    <x v="6"/>
    <s v="4315"/>
    <s v="4315. Actuaciones en materia de consumo"/>
    <s v="22"/>
    <s v="22199"/>
  </r>
  <r>
    <n v="220210027650"/>
    <s v="D"/>
    <d v="2021-06-01T00:00:00"/>
    <n v="22021002057"/>
    <s v="2021 11 1631 22199"/>
    <n v="71.22"/>
    <x v="191"/>
    <s v="AC MARCO EXP V36-2017: SUMINISTROS VARIOS PARA LIMPIEZA VI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746"/>
    <s v="D"/>
    <d v="2021-05-07T00:00:00"/>
    <n v="22021002228"/>
    <s v="2021 06 3232 212"/>
    <n v="69.03"/>
    <x v="265"/>
    <s v="7 UDS - BURLETE AMIG MODL2-100 PLATA (C.P.JOSE ZORR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44"/>
    <s v="D"/>
    <d v="2021-06-30T00:00:00"/>
    <n v="22021002088"/>
    <s v="2021 03 9241 212"/>
    <n v="68.5"/>
    <x v="188"/>
    <s v="RUEDA MICEL COSTADO S/F RUM2 19MM NGO (2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6"/>
    <s v="D"/>
    <d v="2021-05-07T00:00:00"/>
    <n v="22021002088"/>
    <s v="2021 03 9241 212"/>
    <n v="67.7"/>
    <x v="188"/>
    <s v="RUEDA SIRVEX 2-2470 GIR. FRENO (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9576"/>
    <s v="AD"/>
    <d v="2021-06-08T00:00:00"/>
    <n v="22021004745"/>
    <s v="2021 11 1361 22199"/>
    <n v="50.82"/>
    <x v="866"/>
    <s v="REPARACIÓN DE 1 CHALECO DE RESCATE ACUATICO. SERVICIO DE EXTINCION DE INCENDIOS"/>
    <s v="220"/>
    <s v="ZUMAIA"/>
    <s v="GUIPUZCOA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1752"/>
    <s v="D"/>
    <d v="2021-06-22T00:00:00"/>
    <n v="22021002006"/>
    <s v="2021 11 3111 22199"/>
    <n v="67.349999999999994"/>
    <x v="188"/>
    <s v="REPOSAPIES FELLOWES AJUSTABLE ERGO // CASA DEL BARCO, CENTRO CANIN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57"/>
    <s v="D"/>
    <d v="2021-06-30T00:00:00"/>
    <n v="22021004482"/>
    <s v="2021 04 9204 213"/>
    <n v="67.349999999999994"/>
    <x v="188"/>
    <s v="ADQUISICIÓN DE DOS REPOSAPIE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31146"/>
    <s v="D"/>
    <d v="2021-06-14T00:00:00"/>
    <n v="22021001169"/>
    <s v="2021 10 2412 212"/>
    <n v="66.790000000000006"/>
    <x v="161"/>
    <s v="MANT, SUMINISTRO MATERIAL REPARACIONES, BOQUILLA, REPARADOR MANGUERA, EMPALME, MOSQUE...DEL J.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2706"/>
    <s v="D"/>
    <d v="2021-05-17T00:00:00"/>
    <n v="22021002057"/>
    <s v="2021 11 1631 22199"/>
    <n v="65.05"/>
    <x v="353"/>
    <s v="AC MARCO EXP V36-2017: MANGOS PARA CEPILLOS Y ESCOBA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4423"/>
    <s v="D"/>
    <d v="2021-04-09T00:00:00"/>
    <n v="22021001962"/>
    <s v="2021 07 1721 22199"/>
    <n v="49.01"/>
    <x v="114"/>
    <s v="BLISTER PILAS  PANASONIC ( TOTAL 20 UNIDADES )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99"/>
  </r>
  <r>
    <n v="220210020094"/>
    <s v="AD"/>
    <d v="2021-05-05T00:00:00"/>
    <n v="22021004272"/>
    <s v="2021 06 3232 212"/>
    <n v="64.98"/>
    <x v="219"/>
    <s v="SUMINISTRO DE PANELES ELECTRICOS GALVANIZADOS PARA ILUMINACIÓN CELEGIO TIERNO GALVAN. PLAZO 1 MES."/>
    <s v="220"/>
    <s v="VALLADOLID (POLIGONO SAN CRISTOBAL)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430"/>
    <s v="D"/>
    <d v="2021-04-09T00:00:00"/>
    <n v="22021002228"/>
    <s v="2021 06 3232 212"/>
    <n v="63.84"/>
    <x v="188"/>
    <s v="BURLETE BRINOX/ JUEGO LLAVES ALLEN/ LLAVE ALLEN ACOD.(CEIP IGNACIO M.BARÓ)/ PASADOR NIQUEL (CEIP GONZALO DE CÓRDOB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518"/>
    <s v="AD"/>
    <d v="2021-05-20T00:00:00"/>
    <n v="22021004465"/>
    <s v="2021 11 1321 214"/>
    <n v="151.13"/>
    <x v="96"/>
    <s v="REPARACIÓN DE VEHÍCULO 5310BVH DE POLICÍA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3560"/>
    <s v="AD"/>
    <d v="2021-05-21T00:00:00"/>
    <n v="22021004509"/>
    <s v="2021 08 1532 214"/>
    <n v="45.98"/>
    <x v="791"/>
    <s v="Revisión equipo de GLP.-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17124"/>
    <s v="AD"/>
    <d v="2021-04-26T00:00:00"/>
    <n v="22021004120"/>
    <s v="2021 11 1321 214"/>
    <n v="197.81"/>
    <x v="783"/>
    <s v="REPARACIÓN MOTOCICLETAS DE POLICÍA MUNICIPAL.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0218"/>
    <s v="D"/>
    <d v="2021-06-10T00:00:00"/>
    <n v="22021002052"/>
    <s v="2021 11 1621 22199"/>
    <n v="63.37"/>
    <x v="82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9117"/>
    <s v="D"/>
    <d v="2021-05-03T00:00:00"/>
    <n v="22021001038"/>
    <s v="2021 10 2312 212"/>
    <n v="63.16"/>
    <x v="410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272"/>
    <s v="D"/>
    <d v="2021-05-19T00:00:00"/>
    <n v="22021001963"/>
    <s v="2021 07 1721 22104"/>
    <n v="45.5"/>
    <x v="114"/>
    <s v="LOGO CASCO VINILO ADHESIVO AEMVA/ LOGO PECHO VINILO TEXTIL AEMVA/ CHALECOS AMARILLOS T-L Y T-XS/ CASCOS BLANCOS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04"/>
  </r>
  <r>
    <n v="220210023258"/>
    <s v="D"/>
    <d v="2021-05-19T00:00:00"/>
    <n v="22021002088"/>
    <s v="2021 03 9241 212"/>
    <n v="60.16"/>
    <x v="314"/>
    <s v="CERRADURA FALLEBA (1) / AGLOMERADO 2440*1220 /8,93) // DESTINO: C.MPAL LA OVERUE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2981"/>
    <s v="D"/>
    <d v="2021-06-28T00:00:00"/>
    <n v="22021002228"/>
    <s v="2021 06 3232 212"/>
    <n v="58.55"/>
    <x v="216"/>
    <s v="BURLETE ALUMINIO PLATA. / CERRADURA AGA / BROCA HSS RECT. / TACO FISCHER / TORN. INDEX / DESTINO: COLEGIOS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5703"/>
    <s v="D"/>
    <d v="2021-05-27T00:00:00"/>
    <n v="22021002373"/>
    <s v="2021 02 9332 212"/>
    <n v="55.85"/>
    <x v="116"/>
    <s v="ALBARAN: 2103833 de 26-04-2021 /// CESTO GOMA 45 LITROS (2) 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6797"/>
    <s v="D"/>
    <d v="2021-04-22T00:00:00"/>
    <n v="22021001181"/>
    <s v="2021 10 2412 22199"/>
    <n v="55.13"/>
    <x v="191"/>
    <s v="MATERIAL,  ROLLO MICROTUBO/ BOLSA INSERTADOR CONEXIÓN/ BOLSA TAPÓN PARA TUBERÍA (P.MIXTO GJ/20/VA/0002 PQUES Y J II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052"/>
    <s v="D"/>
    <d v="2021-06-09T00:00:00"/>
    <n v="22021002055"/>
    <s v="2021 11 1631 22104"/>
    <n v="55.06"/>
    <x v="161"/>
    <s v="AC MARCO EXP. V.36-2017:  ZAPATO T.SERRAJE AZUL MARINO BRUSONI S1 P T-42 (SERV. LIMPIEZ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922"/>
    <s v="D"/>
    <d v="2021-04-19T00:00:00"/>
    <n v="22021002144"/>
    <s v="2021 10 2311 212"/>
    <n v="54.72"/>
    <x v="188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1409"/>
    <s v="D"/>
    <d v="2021-06-18T00:00:00"/>
    <n v="22021002369"/>
    <s v="2021 02 9332 212"/>
    <n v="53.87"/>
    <x v="161"/>
    <s v="ALBARANES: AV21/02789- 02700- 02414 (MES DE MAYO-21) /// SUMINISTRO DE ACCESORIOS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8984"/>
    <s v="AD"/>
    <d v="2021-04-30T00:00:00"/>
    <n v="22021004175"/>
    <s v="2021 11 1321 214"/>
    <n v="2678.77"/>
    <x v="783"/>
    <s v="REPARACIÓN DE MOTOCICLETAS DE POLICÍA MUNICIPAL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4447"/>
    <s v="D"/>
    <d v="2021-04-09T00:00:00"/>
    <n v="22021002088"/>
    <s v="2021 03 9241 212"/>
    <n v="53.39"/>
    <x v="410"/>
    <s v="DESAGUE PILA (1)  / DOBLE PULSADOR LIBERTY ROCA (2) //// DESTINO: CC DELICIAS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5625"/>
    <s v="D"/>
    <d v="2021-04-16T00:00:00"/>
    <n v="22021002055"/>
    <s v="2021 11 1631 22104"/>
    <n v="53.26"/>
    <x v="353"/>
    <s v="AC MARCO EXP V36-2017: ZAPATO BAJO GRIS-NEGRO S1P NOBUCK SUELA EVA T-41,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771"/>
    <s v="D"/>
    <d v="2021-04-16T00:00:00"/>
    <n v="22021002228"/>
    <s v="2021 06 3232 212"/>
    <n v="51.65"/>
    <x v="191"/>
    <s v="ALB 21-205122: GRIFO DE BOLA/ VÁLVULA/ ENCHUFE HEMBRA/ RACOR HEMBRA/ ALARGADERA (CP PABLO PICASS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255"/>
    <s v="D"/>
    <d v="2021-05-19T00:00:00"/>
    <n v="22021002089"/>
    <s v="2021 03 9241 213"/>
    <n v="51.64"/>
    <x v="265"/>
    <s v="SILICONA NEUTRA OLIVE GRIS (1) / TESA 2036 (1) / MANECILLA (2) /// DESTINO: C.C. RONDIL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6579"/>
    <s v="ADO"/>
    <d v="2021-04-20T00:00:00"/>
    <n v="22021003970"/>
    <s v="2021 05 4331 203"/>
    <n v="39.81"/>
    <x v="19"/>
    <s v="ALQUILER DE 1 FUENTE DE AGUA // PERIODO: 05/07/2020 A 04/08/2020"/>
    <s v="240"/>
    <s v="MADRID"/>
    <s v="MADR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0"/>
    <s v="203"/>
  </r>
  <r>
    <n v="220210027680"/>
    <s v="D"/>
    <d v="2021-06-01T00:00:00"/>
    <n v="22021002052"/>
    <s v="2021 11 1621 22199"/>
    <n v="50.82"/>
    <x v="410"/>
    <s v="AC MARCO EXP V36-2017: MATERIAL SANEAMIENTO DESTINO: SERVICIO DE LIMPIEZA - CALLE TOPACI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6516"/>
    <s v="D"/>
    <d v="2021-04-20T00:00:00"/>
    <n v="22021002144"/>
    <s v="2021 10 2311 212"/>
    <n v="50.58"/>
    <x v="116"/>
    <s v="F-3789. CERAMICAS SANCHEZ, S L. ALBARÁN Nº 2102437 A/TAPA  INODORO BELLAVISTA. C.INTEGRADO-ALBERGUE-COVID-19-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6018"/>
    <s v="D"/>
    <d v="2021-05-28T00:00:00"/>
    <n v="22021002228"/>
    <s v="2021 06 3232 212"/>
    <n v="49.31"/>
    <x v="265"/>
    <s v="BURLETE AMIG MOD.2-100 PLATA ( 5 UNIDADES ) ///  DESTINO: C.P. MIGUEL DE CERVANTE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88"/>
    <s v="D"/>
    <d v="2021-06-30T00:00:00"/>
    <n v="22021001038"/>
    <s v="2021 10 2312 212"/>
    <n v="49.13"/>
    <x v="168"/>
    <s v="MANT. SUMINISTRO DE TIMBRE CAMPANA GRISs 230V CA Rodman  PARA EL 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434"/>
    <s v="D"/>
    <d v="2021-06-18T00:00:00"/>
    <n v="22021002228"/>
    <s v="2021 06 3232 212"/>
    <n v="48.4"/>
    <x v="408"/>
    <s v="2 UDS. DE CIERRES DE CORREDERA NEGROS (ISABEL LA CATÓ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1738"/>
    <s v="D"/>
    <d v="2021-06-22T00:00:00"/>
    <n v="22021002225"/>
    <s v="2021 06 3231 212"/>
    <n v="48.16"/>
    <x v="188"/>
    <s v="ANGULO AMIG 3 BICR.  50X50X20  (100) - DESTINO: TOBOGAN // PALOMILLA (3) - TACO (1) - DESTINO: MAFALDA Y GUILLE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5648"/>
    <s v="D"/>
    <d v="2021-04-16T00:00:00"/>
    <n v="22021002228"/>
    <s v="2021 06 3232 212"/>
    <n v="45.74"/>
    <x v="265"/>
    <s v="SILICONA NEUTRA OLIVE NEGRA (C.E.I.P. IÑIGO DE TOR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2793"/>
    <s v="D"/>
    <d v="2021-06-24T00:00:00"/>
    <n v="22021002056"/>
    <s v="2021 11 1631 22110"/>
    <n v="45.62"/>
    <x v="411"/>
    <s v="AC MARCO EXP V36-2017: JABON DESENGRASANTE PERSONAL TALLER  //// DESTINO: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9579"/>
    <s v="D"/>
    <d v="2021-06-08T00:00:00"/>
    <n v="22021002144"/>
    <s v="2021 10 2311 212"/>
    <n v="45.47"/>
    <x v="210"/>
    <s v="F-4830. GRUPO ELECTRO STOCKS, S.L. MATERIAL DE FERRETERIA. VARIOS CEAS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3210"/>
    <s v="D"/>
    <d v="2021-06-30T00:00:00"/>
    <n v="22021002057"/>
    <s v="2021 11 1631 22199"/>
    <n v="44.79"/>
    <x v="615"/>
    <s v="AC MARCO EXP V36-2017: SUMINISTR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1023"/>
    <s v="AD"/>
    <d v="2021-05-07T00:00:00"/>
    <n v="22021004307"/>
    <s v="2021 11 1321 214"/>
    <n v="1483.95"/>
    <x v="783"/>
    <s v="REPARACIÓN DE MOTOCICLETAS DE POLICÍA MUNICIPAL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0117"/>
    <s v="D"/>
    <d v="2021-06-09T00:00:00"/>
    <n v="22021002228"/>
    <s v="2021 06 3232 212"/>
    <n v="44.75"/>
    <x v="22"/>
    <s v="ASIENTO INODORO THE GAP COMPACT. BLANCO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374"/>
    <s v="AD"/>
    <d v="2021-04-09T00:00:00"/>
    <n v="22021003727"/>
    <s v="2021 11 1361 22199"/>
    <n v="36.299999999999997"/>
    <x v="867"/>
    <s v="Reparación de 2 balsas_contenedores de líquidos GLP; Servicio de Extinción de Incendios, Salvamento y Protección Civil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5302"/>
    <s v="AD"/>
    <d v="2021-04-14T00:00:00"/>
    <n v="22021003821"/>
    <s v="2021 08 1532 619"/>
    <n v="36.299999999999997"/>
    <x v="251"/>
    <s v="Estudio Básico Seguridad y Salud para Proyecto construcción de Urbanización entorno del Centro Municipal Segundo Montes."/>
    <s v="220"/>
    <s v="MADRID"/>
    <s v="MADR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16555"/>
    <s v="D"/>
    <d v="2021-04-20T00:00:00"/>
    <n v="22021001039"/>
    <s v="2021 10 2312 212"/>
    <n v="44.65"/>
    <x v="82"/>
    <s v="MANTENIMIENTO, DETECTOR LEGRAND 48941  EMP. 360º  IP41PARA EL CPM  HUERTA DEL REY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4800"/>
    <s v="D"/>
    <d v="2021-05-24T00:00:00"/>
    <n v="22021002369"/>
    <s v="2021 02 9332 212"/>
    <n v="44.04"/>
    <x v="161"/>
    <s v="ALB.AV21/01859 DE 09/04/2021: MAZA DE GOMA P/SOLADOR // ALB.AV21/01758 DE 05/04/2021: TORNILLO HEXAGON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5"/>
    <s v="D"/>
    <d v="2021-05-07T00:00:00"/>
    <n v="22021002371"/>
    <s v="2021 02 9332 212"/>
    <n v="43.92"/>
    <x v="82"/>
    <s v="BASE SCH NIESSEN MECANISMO  P.INFAN/ LATIGUILLO GTLAN UTP6 2M EKO / LATIGUILLO GTLAN UTP6 3M EKO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7105"/>
    <s v="D"/>
    <d v="2021-04-26T00:00:00"/>
    <n v="22021002088"/>
    <s v="2021 03 9241 212"/>
    <n v="43.51"/>
    <x v="216"/>
    <s v="CERRADURA ARMARIO (6.29¿ CM OVERUELA)/ AFLOJATODO (3.10¿ MOSQUERA)/ BOMBILLO (28.02¿ ZONA ESTE)/ LLAVERO (6.10¿ TODO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8"/>
    <s v="D"/>
    <d v="2021-05-07T00:00:00"/>
    <n v="22021002089"/>
    <s v="2021 03 9241 213"/>
    <n v="42.77"/>
    <x v="82"/>
    <s v="BASCULAN OBO Recto ( 33 UNIDADES) / REGLETA  OBO 76CE BL  (10 UNIDADES) / DESTINO: C.MPAL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286"/>
    <s v="D"/>
    <d v="2021-05-19T00:00:00"/>
    <n v="22021001968"/>
    <s v="2021 11 1321 22199"/>
    <n v="42.58"/>
    <x v="114"/>
    <s v="SUMINISTRO CAPAZOS GOMA  (9 UNIDADES) PARA EVITAR DETERIOROS LLUVIA EN DEPENDENCIAS  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31148"/>
    <s v="D"/>
    <d v="2021-06-14T00:00:00"/>
    <n v="22021001183"/>
    <s v="2021 10 2412 22199"/>
    <n v="41.68"/>
    <x v="161"/>
    <s v="SUMINISTRO MATERIAL ,  EPIS PARA CURSO PINTURA DECORATIVA II DEL C. F. PARA EL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5657"/>
    <s v="D"/>
    <d v="2021-04-16T00:00:00"/>
    <n v="22021002228"/>
    <s v="2021 06 3232 212"/>
    <n v="40.43"/>
    <x v="161"/>
    <s v="CUERDA TENDER (COLEGIOS)/ CADENA GALVANIZADA (CP JOSE ZORRILLA)/ CADENA GALVANIZADA/ TACO (CP ISABEL LA CATO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5560"/>
    <s v="AD"/>
    <d v="2021-05-26T00:00:00"/>
    <n v="22021004567"/>
    <s v="2021 11 1321 214"/>
    <n v="33.75"/>
    <x v="326"/>
    <s v="REPARACIÓN INTERRUPTOR VEHÍCULO 8782 DHV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2818"/>
    <s v="AD"/>
    <d v="2021-05-17T00:00:00"/>
    <n v="22021004406"/>
    <s v="2021 11 1321 214"/>
    <n v="869.76"/>
    <x v="783"/>
    <s v="REPARACIÓN DE MOTOCICLETAS DE POLICÍA MUNICIPAL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6016"/>
    <s v="D"/>
    <d v="2021-05-28T00:00:00"/>
    <n v="22021002228"/>
    <s v="2021 06 3232 212"/>
    <n v="39.450000000000003"/>
    <x v="265"/>
    <s v="BURLETE AMIG MOD.2-100 ( 4 UNIDADES ) //  DESTINO: C.E.P. PROFESOR TIERN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974"/>
    <s v="D"/>
    <d v="2021-04-19T00:00:00"/>
    <n v="22021001182"/>
    <s v="2021 10 2412 22199"/>
    <n v="39.229999999999997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6036"/>
    <s v="D"/>
    <d v="2021-04-19T00:00:00"/>
    <n v="22021002006"/>
    <s v="2021 11 3111 22199"/>
    <n v="38.99"/>
    <x v="219"/>
    <s v="A.M. V. 26/2017: 6 ELECTR. PANELES GALVA 2000x1000 (50x50x4) // DESTINO: CENTRO CANINO"/>
    <s v="30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2714"/>
    <s v="D"/>
    <d v="2021-05-17T00:00:00"/>
    <n v="22021002055"/>
    <s v="2021 11 1631 22104"/>
    <n v="38.94"/>
    <x v="161"/>
    <s v="AC MARCO EXP V36-2017: BOTA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4523"/>
    <s v="D"/>
    <d v="2021-04-09T00:00:00"/>
    <n v="22021002227"/>
    <s v="2021 06 3321 212"/>
    <n v="38.71"/>
    <x v="188"/>
    <s v="BASE MULT C/INT 4T TT CABLE/ ALARGA.CABLE 10 MT/ CERRADURA CAJON CROMADA/ GOLPET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28763"/>
    <s v="D"/>
    <d v="2021-06-04T00:00:00"/>
    <n v="22021002228"/>
    <s v="2021 06 3232 212"/>
    <n v="38.6"/>
    <x v="188"/>
    <s v="CUERDA POLIAM.TRENZ BL 4MMX200M EHS (1) / DESTINO: C.P. IGNACIO MARTÍN BARO // 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800"/>
    <s v="D"/>
    <d v="2021-04-13T00:00:00"/>
    <n v="22021002089"/>
    <s v="2021 03 9241 213"/>
    <n v="38.33"/>
    <x v="265"/>
    <s v="CERRADURA MCM / MANETA REGULABLE NEGRA (CIC EL EMPECINAD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2783"/>
    <s v="D"/>
    <d v="2021-06-24T00:00:00"/>
    <n v="22021002371"/>
    <s v="2021 02 9332 212"/>
    <n v="38.25"/>
    <x v="82"/>
    <s v="CONDENSADOR LIFASA / LUMINARIA PH RC065B LED  / TASA ECORAEE //  DESTINO: MANTENIMIENTO EDIFICIOS MP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376"/>
    <s v="D"/>
    <d v="2021-05-19T00:00:00"/>
    <n v="22021001181"/>
    <s v="2021 10 2412 22199"/>
    <n v="38.159999999999997"/>
    <x v="191"/>
    <s v="SUMINISTRO, MANGUERA TRANSP (10) / ROLLO POLIETILENO (1) /- PARQUES Y JARDINES II DEL C.F. DE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8829"/>
    <s v="AD"/>
    <d v="2021-06-04T00:00:00"/>
    <n v="22021004749"/>
    <s v="2021 11 1321 214"/>
    <n v="955.92"/>
    <x v="783"/>
    <s v="REPARACIÓN DE MOTOCICLETAS DE POLICIA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5684"/>
    <s v="D"/>
    <d v="2021-05-27T00:00:00"/>
    <n v="22021001039"/>
    <s v="2021 10 2312 212"/>
    <n v="37.46"/>
    <x v="314"/>
    <s v="MANTENIMIENTO, SUMINISTRO DE 2 UDS- MANILLA  DEL  CPM ZONA SUR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003"/>
    <s v="D"/>
    <d v="2021-04-19T00:00:00"/>
    <n v="22021002006"/>
    <s v="2021 11 3111 22199"/>
    <n v="36.81"/>
    <x v="114"/>
    <s v="A.M V.36/2017 BRIDA NYLON NEGRO (300 UNID) / ENCHUFE RAPIDO C/AQUASTOP 1/2.5/8.3 (2 UNID.)/ CAMISOLA PIJAMA VERDE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90"/>
    <s v="D"/>
    <d v="2021-06-30T00:00:00"/>
    <n v="22021001038"/>
    <s v="2021 10 2312 212"/>
    <n v="36.17"/>
    <x v="265"/>
    <s v="MANT. SUMINISTRO DE CILINDRO TESA 5200-40X40 ( 1 UNIDAD )PARA EL  CPM SAN JUAN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674"/>
    <s v="D"/>
    <d v="2021-06-22T00:00:00"/>
    <n v="22021002006"/>
    <s v="2021 11 3111 22199"/>
    <n v="36.08"/>
    <x v="114"/>
    <s v="A.M. V.36/2017: CALZA TYVEK CORTA MOD. POSO (60 UNIDADES). CMP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3374"/>
    <s v="D"/>
    <d v="2021-05-19T00:00:00"/>
    <n v="22021001169"/>
    <s v="2021 10 2412 212"/>
    <n v="36.03"/>
    <x v="191"/>
    <s v="MANT. SUMINISTRO DE MATERIAL DE FONTANERÍA PARA EL C.F. DE EMPLEO, JACINTO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0469"/>
    <s v="ADO"/>
    <d v="2021-05-06T00:00:00"/>
    <n v="22021004271"/>
    <s v="2021 08 1513 83100"/>
    <n v="29.78"/>
    <x v="0"/>
    <s v="Estudio de Seguridad y Salud ////  C/  Estación 9 ///  Partida Presupuestaria 08.153.2.619  Orden Ejecución 47/2018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28715"/>
    <s v="D"/>
    <d v="2021-06-04T00:00:00"/>
    <n v="22021004482"/>
    <s v="2021 04 9204 213"/>
    <n v="35.86"/>
    <x v="82"/>
    <s v="SUMINISTRO DE SEIS CONMUTADORES, (DETECTOR DE PRESENC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23364"/>
    <s v="D"/>
    <d v="2021-05-19T00:00:00"/>
    <n v="22021001169"/>
    <s v="2021 10 2412 212"/>
    <n v="35.630000000000003"/>
    <x v="161"/>
    <s v="MANTEN., MATERIAL PARA REPARACIONES ,FOCO HALOGENO 2000W,BLISTER PILA   PARA C. DE FORMACION PARA EL EMPLEO-DURAC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15894"/>
    <s v="AD"/>
    <d v="2021-04-19T00:00:00"/>
    <n v="22021003923"/>
    <s v="2021 03 9241 213"/>
    <n v="29.23"/>
    <x v="263"/>
    <s v="COPIA LLAVE ELECTRONICA SEGURIDAD CENTRO LA OVERUELA (CALVERAS, COL. FRAY LUIS DE GRANADA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0741"/>
    <s v="D"/>
    <d v="2021-05-07T00:00:00"/>
    <n v="22021002228"/>
    <s v="2021 06 3232 212"/>
    <n v="34.19"/>
    <x v="615"/>
    <s v="TUBO RILSAN INYECTOR S-600 ( 1 UNIDAD ) /// DESTINO: CP FRANCISCO PIN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6826"/>
    <s v="D"/>
    <d v="2021-04-22T00:00:00"/>
    <n v="22021002369"/>
    <s v="2021 02 9332 212"/>
    <n v="34.130000000000003"/>
    <x v="410"/>
    <s v="ASIENTO VICTORIA ACERO BLANCO (CENTRO DE MANTENIMIENTO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892"/>
    <s v="AD"/>
    <d v="2021-04-19T00:00:00"/>
    <n v="22021003877"/>
    <s v="2021 05 4315 22799"/>
    <n v="28.2"/>
    <x v="674"/>
    <s v="PLASTIFICACIÓN DE 47 CARNETS ACREDITATIVOS DE USUARIOS DE MERCADILLO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5"/>
    <s v="4315. Actuaciones en materia de consumo"/>
    <s v="22"/>
    <s v="22799"/>
  </r>
  <r>
    <n v="220210027619"/>
    <s v="D"/>
    <d v="2021-06-01T00:00:00"/>
    <n v="22021002089"/>
    <s v="2021 03 9241 213"/>
    <n v="34.130000000000003"/>
    <x v="410"/>
    <s v="ASIENTO VICTORIA ACERO BLANCO // CIC CONDE ANSÚREZ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0481"/>
    <s v="D"/>
    <d v="2021-06-11T00:00:00"/>
    <n v="22021002057"/>
    <s v="2021 11 1631 22199"/>
    <n v="33.64"/>
    <x v="82"/>
    <s v="AC MARCO EXP V36-2017: SUMINISTRO MATERIAL ELECTRICO PARA VESTURI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8279"/>
    <s v="AD"/>
    <d v="2021-06-03T00:00:00"/>
    <n v="22021004635"/>
    <s v="2021 06 3321 22199"/>
    <n v="27.58"/>
    <x v="674"/>
    <s v="FOTOCOPIAS COLOR LASER 23, PARA TALLER DE ESCRITURA EN BIBLIOTECA FRANCISCO PINO. PLAZO 1 MES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199"/>
  </r>
  <r>
    <n v="220210019162"/>
    <s v="D"/>
    <d v="2021-05-03T00:00:00"/>
    <n v="22021003170"/>
    <s v="2021 05 4314 22199"/>
    <n v="33.15"/>
    <x v="188"/>
    <s v="CARTELES DEL CAMPILLO //  ROLLO VINILO ADHESIVO BLANCO 0.50X2 (1) /////  DESTINO: EL CAMPILLO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23184"/>
    <s v="D"/>
    <d v="2021-05-19T00:00:00"/>
    <n v="22021002369"/>
    <s v="2021 02 9332 212"/>
    <n v="33.01"/>
    <x v="265"/>
    <s v="CERRADURA EMBUTIR 2501-2-35 (CHALET Nº 4, MONTES TOROZ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9228"/>
    <s v="D"/>
    <d v="2021-05-03T00:00:00"/>
    <n v="22021000542"/>
    <s v="2021 08 1341 22699"/>
    <n v="32.880000000000003"/>
    <x v="114"/>
    <s v="6 UNIDADES- SPRAY CRC ECOMARK BLAN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341"/>
    <s v="1341. Movilidad"/>
    <s v="22"/>
    <s v="22699"/>
  </r>
  <r>
    <n v="220210031194"/>
    <s v="D"/>
    <d v="2021-06-14T00:00:00"/>
    <n v="22021002057"/>
    <s v="2021 11 1631 22199"/>
    <n v="32.61"/>
    <x v="191"/>
    <s v="AC MARCO EXP V36-2017: SUMINISTROS MATERAILES PARA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4826"/>
    <s v="D"/>
    <d v="2021-04-13T00:00:00"/>
    <n v="22021002052"/>
    <s v="2021 11 1621 22199"/>
    <n v="32.6"/>
    <x v="82"/>
    <s v="AC MARCO EXP V36-2017: CIERRES CUADROS ELECTRICOS  SE NSYCDBPLM    (2 UNIDADES)  /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3390"/>
    <s v="D"/>
    <d v="2021-05-19T00:00:00"/>
    <n v="22021002144"/>
    <s v="2021 10 2311 212"/>
    <n v="32.6"/>
    <x v="82"/>
    <s v="F-5140. CADIELSA. LAMPARA PH LEDSPOTMV ND 8-100W 827 R80 36º (6). CEAS CENTR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1703"/>
    <s v="D"/>
    <d v="2021-06-22T00:00:00"/>
    <n v="22021002144"/>
    <s v="2021 10 2311 212"/>
    <n v="32.29"/>
    <x v="314"/>
    <s v="F-6549. MARINO DE LA FUENTE, S.A. AGLOMERADO DM 2440*1220*4 (11,91).CENTRO CALLE PAT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2701"/>
    <s v="D"/>
    <d v="2021-06-24T00:00:00"/>
    <n v="22021003381"/>
    <s v="2021 11 1361 22199"/>
    <n v="32.1"/>
    <x v="216"/>
    <s v="REPARACION MOTOSIERRA MS180: Desmontaje y limpieza de carburador/ Sustitucion de filtro de aire (M.O.)/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638"/>
    <s v="D"/>
    <d v="2021-06-08T00:00:00"/>
    <n v="22021002369"/>
    <s v="2021 02 9332 212"/>
    <n v="31.62"/>
    <x v="265"/>
    <s v="CERRADURA CVL 1990V-025 SIN CILINDRO ( RETIRA. EL TECNICO) /// 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862"/>
    <s v="AD"/>
    <d v="2021-06-14T00:00:00"/>
    <n v="22021003909"/>
    <s v="2021 05 4331 609"/>
    <n v="31.5"/>
    <x v="802"/>
    <s v="Contrato basado en A.M. Control de Callidad para la obra del Corredo Verde- Proyecto URBAN GreenUP G.A. nº 730426"/>
    <s v="230"/>
    <s v="SANT CUGAT DEL VALLES"/>
    <s v="BARCELONA"/>
    <x v="2"/>
    <s v="PrAbier - Procedimiento Abierto"/>
    <s v="MultiC - MultiCriterio"/>
    <x v="2"/>
    <x v="1"/>
    <s v="6"/>
    <s v="6. Inversiones reales"/>
    <s v="05"/>
    <x v="6"/>
    <s v="4331"/>
    <s v="4331. Desarrollo empresarial"/>
    <s v="60"/>
    <s v="609"/>
  </r>
  <r>
    <n v="220210015922"/>
    <s v="D"/>
    <d v="2021-04-19T00:00:00"/>
    <n v="22021002143"/>
    <s v="2021 10 2311 212"/>
    <n v="31.49"/>
    <x v="188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23"/>
    <s v="D"/>
    <d v="2021-06-09T00:00:00"/>
    <n v="22021002228"/>
    <s v="2021 06 3232 212"/>
    <n v="29.94"/>
    <x v="161"/>
    <s v="ALB.AV21/02569 DE 17/05/21: CARTUCHO SILICONA (C.P. T. GALVAN) // ALB.AV21/02473 DE 11/05/21: TACO/ TORNILLO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112"/>
    <s v="D"/>
    <d v="2021-06-09T00:00:00"/>
    <n v="22021002228"/>
    <s v="2021 06 3232 212"/>
    <n v="29.8"/>
    <x v="191"/>
    <s v="ALB: 21-216177 /// CU SAMBRA H COBRE/INOX 1/4&quot;&quot; (1 unid.) // MACHON RED. LATON (1 unid.) /// DESTINO: C.P. GARCIA QUINTA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4836"/>
    <s v="AD"/>
    <d v="2021-05-25T00:00:00"/>
    <n v="22021004474"/>
    <s v="2021 01 9206 22001"/>
    <n v="24.29"/>
    <x v="868"/>
    <s v="SUSCRIPCIÓN ANUAL A REVISTA DERECHO PRIVADO Y CONSTITUCIÓN, AÑO 2021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28725"/>
    <s v="D"/>
    <d v="2021-06-04T00:00:00"/>
    <n v="22021004466"/>
    <s v="2021 10 2311 212"/>
    <n v="29.63"/>
    <x v="265"/>
    <s v="F-5249. SYRESA S.L. CERRADURA MCM 1301. CENTRO INTEGRADO. 1 DIA. COVID-19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579"/>
    <s v="AD"/>
    <d v="2021-04-12T00:00:00"/>
    <n v="22021003457"/>
    <s v="2021 08 1532 22699"/>
    <n v="23.05"/>
    <x v="300"/>
    <s v="TALONARIO VALES. Resma fórmula1ª Blanco Laser.Trazo NE y Resma fórmula 3ª Rosa Extra.Trazo NE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699"/>
  </r>
  <r>
    <n v="220210017055"/>
    <s v="D"/>
    <d v="2021-04-26T00:00:00"/>
    <n v="22021002006"/>
    <s v="2021 11 3111 22199"/>
    <n v="29.33"/>
    <x v="410"/>
    <s v="GEBERIT LLENADO LATERAL IMPULS / MANGUITO UNION PVC HH A-9  40 / FOMI-MECANISMO /// DESTINO: CASA DEL BARC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1027"/>
    <s v="AD"/>
    <d v="2021-05-10T00:00:00"/>
    <n v="22021004352"/>
    <s v="2021 07 1721 22100"/>
    <n v="22.23"/>
    <x v="869"/>
    <s v="PAGO DE LOS PEAJES DE LAS INSTALACIONES FOTOVOLTAICAS. SERVICIO DE MEDIO AMBIENTE"/>
    <s v="220"/>
    <s v="BILBAO"/>
    <s v="BIZKAIA"/>
    <x v="0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00"/>
  </r>
  <r>
    <n v="220210028743"/>
    <s v="D"/>
    <d v="2021-06-04T00:00:00"/>
    <n v="22020001574"/>
    <s v="2021 06 3321 629"/>
    <n v="28.9"/>
    <x v="761"/>
    <s v="EJEMPLARES: YO SOY MARIA CALLAS (NOVELA GRÁFICA) (1 UD) / PEPITO CEBOLLA (1 UD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3260"/>
    <s v="D"/>
    <d v="2021-05-19T00:00:00"/>
    <n v="22021002088"/>
    <s v="2021 03 9241 212"/>
    <n v="28.47"/>
    <x v="314"/>
    <s v="BISAGRA K6200 (1)  / DESTINO: C.C. ARTURO EYRI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164"/>
    <s v="D"/>
    <d v="2021-06-30T00:00:00"/>
    <n v="22021002088"/>
    <s v="2021 03 9241 212"/>
    <n v="27.94"/>
    <x v="410"/>
    <s v="D2P CON TIRANTE PULSADOR ENRASADO // CC RONDILLA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0357"/>
    <s v="D"/>
    <d v="2021-06-11T00:00:00"/>
    <n v="22021002143"/>
    <s v="2021 10 2311 212"/>
    <n v="27.82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47"/>
    <s v="D"/>
    <d v="2021-06-09T00:00:00"/>
    <n v="22021002089"/>
    <s v="2021 03 9241 213"/>
    <n v="27.38"/>
    <x v="161"/>
    <s v="ALB.02720 DE 25/05/21: CINTA BALIZA (CC J.M.LUELMO) // ALB.02568 DE 17/05/21: TACO/ TORNILLO/ ARANDELA (S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1497"/>
    <s v="AD"/>
    <d v="2021-06-22T00:00:00"/>
    <n v="22021004994"/>
    <s v="2021 11 1321 214"/>
    <n v="1043.1400000000001"/>
    <x v="783"/>
    <s v="REPARACIÓN DE MOTOCICLETAS DE POLICÍA 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244"/>
    <s v="AD"/>
    <d v="2021-05-04T00:00:00"/>
    <n v="22021003349"/>
    <s v="2021 11 1302 22602"/>
    <n v="10000"/>
    <x v="183"/>
    <s v="CONTRAT. DE ESPACIOS EN TV LOCAL PARA INSERCIÓN DE PUBICIDAD DEL AYTO. DE VALLADOLID AL AMPARO DEL ACUERDO MARCO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02"/>
    <e v="#N/A"/>
    <s v="22"/>
    <s v="22602"/>
  </r>
  <r>
    <n v="220210014268"/>
    <s v="AD"/>
    <d v="2021-04-08T00:00:00"/>
    <n v="22021003767"/>
    <s v="2021 11 1321 214"/>
    <n v="1485.15"/>
    <x v="381"/>
    <s v="REPARACIÓN DE VARIOS VEHÍCULOS DE POLICIA.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1024"/>
    <s v="AD"/>
    <d v="2021-05-07T00:00:00"/>
    <n v="22021004306"/>
    <s v="2021 11 1321 214"/>
    <n v="503.31"/>
    <x v="381"/>
    <s v="REPARACIÓN DE VEHÍCULOS 2168HCN, 3551FZR Y 8693DHV DE POLICÍA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3162"/>
    <s v="D"/>
    <d v="2021-06-30T00:00:00"/>
    <n v="22021002088"/>
    <s v="2021 03 9241 212"/>
    <n v="26.92"/>
    <x v="216"/>
    <s v="TACO FISCHER DUOPOWER (100 UDS) / TOR.INDEX INV INVIOLABLE 6x 50 ZIN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8830"/>
    <s v="AD"/>
    <d v="2021-06-04T00:00:00"/>
    <n v="22021004752"/>
    <s v="2021 11 1321 214"/>
    <n v="2750.09"/>
    <x v="381"/>
    <s v="REPARACION VEHÍCULOS DE POLICIA 3709KGD, 3712KGD, 6230JKP Y 8693DHV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2713"/>
    <s v="D"/>
    <d v="2021-06-24T00:00:00"/>
    <n v="22021002227"/>
    <s v="2021 06 3321 212"/>
    <n v="26.57"/>
    <x v="188"/>
    <s v="BASE MULT C/INT 4T TT CABLE 1,5M BLAN (1)  / COPIA LLAVE NORMAL (6) / PILA LITIO (2) / SIFON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27722"/>
    <s v="D"/>
    <d v="2021-06-01T00:00:00"/>
    <n v="22021002369"/>
    <s v="2021 02 9332 212"/>
    <n v="26.43"/>
    <x v="265"/>
    <s v="CERRADURA LINCE 5811-50 (REAL DE LA FER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282"/>
    <s v="D"/>
    <d v="2021-05-19T00:00:00"/>
    <n v="22021002006"/>
    <s v="2021 11 3111 22199"/>
    <n v="26.31"/>
    <x v="82"/>
    <s v="A.M. V.36/2017 MATERIAL ELECTRICO PARA CENTRO MUNICIPAL DE PROTECCION ANIM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7659"/>
    <s v="D"/>
    <d v="2021-06-01T00:00:00"/>
    <n v="22021002057"/>
    <s v="2021 11 1631 22199"/>
    <n v="26.03"/>
    <x v="191"/>
    <s v="AC MARCO EXP V36-2017: MANGUERA Y ABRAZADERA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675"/>
    <s v="D"/>
    <d v="2021-05-17T00:00:00"/>
    <n v="22021001038"/>
    <s v="2021 10 2312 212"/>
    <n v="25.65"/>
    <x v="188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186"/>
    <s v="D"/>
    <d v="2021-05-19T00:00:00"/>
    <n v="22021002374"/>
    <s v="2021 02 9332 212"/>
    <n v="25.65"/>
    <x v="188"/>
    <s v="CONTACTCEYS SPRAY CONTROL 400ML / CERRADURA TESA EMBUTIR 2004 50 H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2733"/>
    <s v="D"/>
    <d v="2021-05-17T00:00:00"/>
    <n v="22021002046"/>
    <s v="2021 11 1621 212"/>
    <n v="25.43"/>
    <x v="116"/>
    <s v="AC MARCO EXP V36-2017: AZULEJOS REAPRACION EN VESTUARIOS SERV. LIMPIEZA C/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2"/>
  </r>
  <r>
    <n v="220210017131"/>
    <s v="AD"/>
    <d v="2021-04-26T00:00:00"/>
    <n v="22021000491"/>
    <s v="2021 10 2412 213"/>
    <n v="25.32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3"/>
  </r>
  <r>
    <n v="220210020927"/>
    <s v="D"/>
    <d v="2021-05-07T00:00:00"/>
    <n v="22021002225"/>
    <s v="2021 06 3231 212"/>
    <n v="25.18"/>
    <x v="410"/>
    <s v="COLLAK-DESATASCADOR 1 LT ACIDO / WIRQUIN-SIFON EXTENSIBLE 11/2 40 / ENLACE TUBO // DESTINO: E.I. CAMPANILLA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9127"/>
    <s v="D"/>
    <d v="2021-05-03T00:00:00"/>
    <n v="22021001169"/>
    <s v="2021 10 2412 212"/>
    <n v="23.45"/>
    <x v="410"/>
    <s v="MANTENMIENTO,REPARACIONES HIDROTUBO, MANGUITO, ENLACE TUBOS LISOS, VALV.PLATO DUCHA, GRIFO DEL  J. BENAVENTE-DUR.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15940"/>
    <s v="D"/>
    <d v="2021-04-19T00:00:00"/>
    <n v="22021002144"/>
    <s v="2021 10 2311 212"/>
    <n v="22.43"/>
    <x v="210"/>
    <s v="F-3403. GRUPO ELECTRO STOCKS, S.L. CEAS RONDILLA. MATERIAL ELECTRICIDAD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504"/>
    <s v="D"/>
    <d v="2021-04-09T00:00:00"/>
    <n v="22021002225"/>
    <s v="2021 06 3231 212"/>
    <n v="22.2"/>
    <x v="188"/>
    <s v="2 UDS- PALOMILLA AMIG PLEGABLE 3-400X400 BLANCO (E.I.M. MAFALDA Y GUILLE)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30205"/>
    <s v="D"/>
    <d v="2021-06-10T00:00:00"/>
    <n v="22021002052"/>
    <s v="2021 11 1621 22199"/>
    <n v="22.19"/>
    <x v="216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439"/>
    <s v="D"/>
    <d v="2021-06-11T00:00:00"/>
    <n v="22021002142"/>
    <s v="2021 10 2311 212"/>
    <n v="21.78"/>
    <x v="216"/>
    <s v="F-6180. EXCLUSIVAS MAOR, S.L. BOMBILLO TESA 5030 30x30 LT (1) COMEDOR SOCIAL. COVID-19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30"/>
    <s v="D"/>
    <d v="2021-06-09T00:00:00"/>
    <n v="22021002228"/>
    <s v="2021 06 3232 212"/>
    <n v="21.78"/>
    <x v="265"/>
    <s v="RODAMIENTO REGULABLE ALUPRON 21 (4 UDS) //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697"/>
    <s v="D"/>
    <d v="2021-05-17T00:00:00"/>
    <n v="22021001181"/>
    <s v="2021 10 2412 22199"/>
    <n v="21.12"/>
    <x v="98"/>
    <s v="SUMINISTRO DE MATERIAL TERRINA GRANDE  ,PLATO BARRO  PARA EL CURSO DE P. Y JARDINES DEL C. F. DE EMPLEO-DURACION 1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160"/>
    <s v="D"/>
    <d v="2021-06-14T00:00:00"/>
    <n v="22021003381"/>
    <s v="2021 11 1361 22199"/>
    <n v="62.76"/>
    <x v="410"/>
    <s v="ACUERDO MARCO SUMINISTROS:  COLLAK-DESATASCADOR 1 LT ACIDO (10 UDS) // SERVICIO EXTINCION INCENDIOS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7710"/>
    <s v="D"/>
    <d v="2021-06-01T00:00:00"/>
    <n v="22021000547"/>
    <s v="2021 08 1341 214"/>
    <n v="805.86"/>
    <x v="381"/>
    <s v="ACUERDO MARCO_7614-GSB:  SUSTITUIR Y PROGRAMAR COLUMNA DE DIREC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9"/>
    <s v="1341"/>
    <s v="1341. Movilidad"/>
    <s v="21"/>
    <s v="214"/>
  </r>
  <r>
    <n v="220210029577"/>
    <s v="D"/>
    <d v="2021-06-08T00:00:00"/>
    <n v="22021001038"/>
    <s v="2021 10 2312 212"/>
    <n v="20.59"/>
    <x v="314"/>
    <s v="MANTENIMIENTO, REPARACIONES, ANGULO 2-400*300 BLANCO (1) / BISAGRA PARA 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0743"/>
    <s v="D"/>
    <d v="2021-05-07T00:00:00"/>
    <n v="22021002228"/>
    <s v="2021 06 3232 212"/>
    <n v="19.72"/>
    <x v="265"/>
    <s v="BURLETE AMIG MOD.2-100 PLATA (2 UNIDADES) // DESTINO: CEIP LEON FELIPE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189"/>
    <s v="D"/>
    <d v="2021-06-09T00:00:00"/>
    <n v="22021002089"/>
    <s v="2021 03 9241 213"/>
    <n v="19.72"/>
    <x v="265"/>
    <s v="BURLETE AMIG 2-100 PLATA (2 UDS) // CENTRO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772"/>
    <s v="D"/>
    <d v="2021-05-17T00:00:00"/>
    <n v="22021002228"/>
    <s v="2021 06 3232 212"/>
    <n v="19.46"/>
    <x v="265"/>
    <s v="PERNIO PALA 16X100X3 CAJA ROJA (24) // DESTINO: COLEGIO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74"/>
    <s v="D"/>
    <d v="2021-05-17T00:00:00"/>
    <n v="22021002228"/>
    <s v="2021 06 3232 212"/>
    <n v="19.46"/>
    <x v="265"/>
    <s v="24 UDS- PERNIO PALA 16X100X3 CAJA ROJA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627"/>
    <s v="AD"/>
    <d v="2021-06-11T00:00:00"/>
    <n v="22021004813"/>
    <s v="2021 03 9241 22699"/>
    <n v="15.49"/>
    <x v="832"/>
    <s v="CINTA DOBLE CARA 5 UDS. SEÑALIZACION CENTROS CÍVICOS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31154"/>
    <s v="D"/>
    <d v="2021-06-14T00:00:00"/>
    <n v="22021001039"/>
    <s v="2021 10 2312 212"/>
    <n v="19.46"/>
    <x v="265"/>
    <s v="MANTENIMIENTO, SUMIN. DE PASADOR ALUMINIO (1) / TAPA JUNTA CERAMICA (1)  DEL  CENTRO OCUPACIONAL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2406"/>
    <s v="AD"/>
    <d v="2021-05-14T00:00:00"/>
    <n v="22021004372"/>
    <s v="2021 10 2311 212"/>
    <n v="14.98"/>
    <x v="270"/>
    <s v="COMPRA DE MATERIAL DE PINTURA PARA CENTRO INTEGRADO. COVID-19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576"/>
    <s v="AD"/>
    <d v="2021-04-12T00:00:00"/>
    <n v="22021003578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6"/>
    <s v="AD"/>
    <d v="2021-04-12T00:00:00"/>
    <n v="22021003579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6"/>
    <s v="AD"/>
    <d v="2021-04-12T00:00:00"/>
    <n v="22021003580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23304"/>
    <s v="D"/>
    <d v="2021-05-19T00:00:00"/>
    <n v="22021002227"/>
    <s v="2021 06 3321 212"/>
    <n v="19.32"/>
    <x v="82"/>
    <s v="BASE NIESSEN (2 UNID)  / MARCO NIESSEN (1 UNID)  / CARATULA NIESSEN (2 UNID) / ZOCALO (1) /// PARA: DELICIAS BLAS PAJ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1733"/>
    <s v="D"/>
    <d v="2021-06-22T00:00:00"/>
    <n v="22021002371"/>
    <s v="2021 02 9332 212"/>
    <n v="19.010000000000002"/>
    <x v="168"/>
    <s v="Condensador de arranque 30MF 450V // CARPINTERÍA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903"/>
    <s v="D"/>
    <d v="2021-04-19T00:00:00"/>
    <n v="22021001181"/>
    <s v="2021 10 2412 22199"/>
    <n v="18.73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5903"/>
    <s v="D"/>
    <d v="2021-04-19T00:00:00"/>
    <n v="22021001182"/>
    <s v="2021 10 2412 22199"/>
    <n v="18.72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4713"/>
    <s v="ADO"/>
    <d v="2021-05-24T00:00:00"/>
    <n v="22021004412"/>
    <s v="2021 09 3301 22699"/>
    <n v="12.6"/>
    <x v="269"/>
    <s v="ENVÍO FIRMA MANUSCRITA CONTRATO/NEGOCIO JURIDICO COMODATO MUSEO PATIO HERRERIANO A MADRID EL 13/3/2021"/>
    <s v="24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01"/>
    <s v="3301. Dirección del área de cultura"/>
    <s v="22"/>
    <s v="22699"/>
  </r>
  <r>
    <n v="220210015903"/>
    <s v="D"/>
    <d v="2021-04-19T00:00:00"/>
    <n v="22021001183"/>
    <s v="2021 10 2412 22199"/>
    <n v="18.72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4711"/>
    <s v="D"/>
    <d v="2021-04-13T00:00:00"/>
    <n v="22021001038"/>
    <s v="2021 10 2312 212"/>
    <n v="18.600000000000001"/>
    <x v="216"/>
    <s v="MANTENIMIENTO, REPARACIONES, BURLETE AMIG 2-1000 ALUMINIO PLATA. (2 UNIDADES ) DEL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835"/>
    <s v="D"/>
    <d v="2021-04-22T00:00:00"/>
    <n v="22021002369"/>
    <s v="2021 02 9332 212"/>
    <n v="18.3"/>
    <x v="265"/>
    <s v="RUEDA ALEX 2-2572 ( 4 UNIDADES )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387"/>
    <s v="D"/>
    <d v="2021-06-11T00:00:00"/>
    <n v="22021001038"/>
    <s v="2021 10 2312 212"/>
    <n v="18.12"/>
    <x v="210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2798"/>
    <s v="AD"/>
    <d v="2021-05-17T00:00:00"/>
    <n v="22021004410"/>
    <s v="2021 08 1532 22103"/>
    <n v="11.16"/>
    <x v="472"/>
    <s v="Suministro de 18 L.de gasóleo C para caldera del nuevo Parque Conserv.Vías Públicas.Complementario de 2.500 litros anter"/>
    <s v="220"/>
    <s v="RUBENA"/>
    <s v="BURGOS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3"/>
  </r>
  <r>
    <n v="220210015502"/>
    <s v="AD"/>
    <d v="2021-04-14T00:00:00"/>
    <n v="22021003817"/>
    <s v="2021 03 9241 22699"/>
    <n v="10.94"/>
    <x v="869"/>
    <s v="PEAJES DE PRODUCCIÓN INSTALACIÓN FOTOVOLTAICA EN C/ EUSEBIO GONZÁLEZ SUÁREZ, 71"/>
    <s v="220"/>
    <s v="BILBAO"/>
    <s v="BIZKAIA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5559"/>
    <s v="AD"/>
    <d v="2021-05-26T00:00:00"/>
    <n v="22021004498"/>
    <s v="2021 10 2312 22612"/>
    <n v="10.93"/>
    <x v="152"/>
    <s v="MATERIAL PARA LA IMPRENTA MUNICIPAL PARA IMPRIMIR CARTELES DE COMERCIO JUSTO DEL S. DE INICIATIVAS SOCIALES- DURACION 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2"/>
  </r>
  <r>
    <n v="220210023366"/>
    <s v="D"/>
    <d v="2021-05-19T00:00:00"/>
    <n v="22021001183"/>
    <s v="2021 10 2412 22199"/>
    <n v="18.09"/>
    <x v="161"/>
    <s v="SUMINISTRO DE MATERIAL , FLEXOMETRO FLEXIBLE  (4 UNIDADES)  CURSO: PINTURA DECORATIVA III (47/0014/2020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8894"/>
    <s v="D"/>
    <d v="2021-04-28T00:00:00"/>
    <n v="22021002052"/>
    <s v="2021 11 1621 22199"/>
    <n v="17.940000000000001"/>
    <x v="82"/>
    <s v="AC MARCO EXP. V36-2017: SUMINISTRO MATERIAL ELECTRICO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2771"/>
    <s v="D"/>
    <d v="2021-06-24T00:00:00"/>
    <n v="22021002374"/>
    <s v="2021 02 9332 212"/>
    <n v="17.649999999999999"/>
    <x v="216"/>
    <s v="5 UDS- CERRADURA KEYA 20.13.42 CROMO CLICK 180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7"/>
    <s v="D"/>
    <d v="2021-05-07T00:00:00"/>
    <n v="22021002378"/>
    <s v="2021 02 9332 214"/>
    <n v="16.649999999999999"/>
    <x v="842"/>
    <s v="AGUA DESTILADA 5L. AD ( 1 UNIDAD ) //  LAMPARA DE INCANDESCENCIA ( 4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6829"/>
    <s v="D"/>
    <d v="2021-04-22T00:00:00"/>
    <n v="22021002374"/>
    <s v="2021 02 9332 212"/>
    <n v="16.440000000000001"/>
    <x v="216"/>
    <s v="MANO DE OBRA (0,50)  / CUERDA ARRANQUE 5,0MM 100MT.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265"/>
    <s v="D"/>
    <d v="2021-06-16T00:00:00"/>
    <n v="22021003170"/>
    <s v="2021 05 4314 22199"/>
    <n v="15.88"/>
    <x v="216"/>
    <s v="CERRADURA AGA REF.135  C-40 (3 UNIDADES) ///// Destino: Mercado Las De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19117"/>
    <s v="D"/>
    <d v="2021-05-03T00:00:00"/>
    <n v="22021001039"/>
    <s v="2021 10 2312 212"/>
    <n v="15.55"/>
    <x v="410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46"/>
    <s v="D"/>
    <d v="2021-06-09T00:00:00"/>
    <n v="22021002052"/>
    <s v="2021 11 1621 22199"/>
    <n v="15.49"/>
    <x v="216"/>
    <s v="AC MARCO EXP. V36-2017: SUMINISTRO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495"/>
    <s v="D"/>
    <d v="2021-06-11T00:00:00"/>
    <n v="22021002006"/>
    <s v="2021 11 3111 22199"/>
    <n v="15.39"/>
    <x v="82"/>
    <s v="AM. V.36/2017 - BASE 6TO  LEGRAND 695017 c/Cable 3,0M // SALU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0400"/>
    <s v="D"/>
    <d v="2021-06-11T00:00:00"/>
    <n v="22021002006"/>
    <s v="2021 11 3111 22199"/>
    <n v="14.35"/>
    <x v="216"/>
    <s v="A.M. V. 36/2017: VARILLA ROSCADA  M  (TOTAL 12 UNIDADE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9249"/>
    <s v="AD"/>
    <d v="2021-05-04T00:00:00"/>
    <n v="22021004237"/>
    <s v="2021 11 1621 22199"/>
    <n v="8.1999999999999993"/>
    <x v="855"/>
    <s v="SUMINISTRO TERMOTATO PARA REPARACION EN VESTURIO DE  ZONA SITO EN C/ CADENAS DE SAN GREGOR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27613"/>
    <s v="D"/>
    <d v="2021-06-01T00:00:00"/>
    <n v="22021002089"/>
    <s v="2021 03 9241 213"/>
    <n v="13.67"/>
    <x v="265"/>
    <s v="SILICONA NEUTRA OLIVE TRANSPARENTE / BURLETE AMIG MOD.2-100 PLATA (C.C.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7109"/>
    <s v="D"/>
    <d v="2021-04-26T00:00:00"/>
    <n v="22021002089"/>
    <s v="2021 03 9241 213"/>
    <n v="13.03"/>
    <x v="82"/>
    <s v="BASE 2PT TICINO N4141 SCHUKO 16A LIVING/LI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7615"/>
    <s v="D"/>
    <d v="2021-06-01T00:00:00"/>
    <n v="22021002089"/>
    <s v="2021 03 9241 213"/>
    <n v="12.95"/>
    <x v="265"/>
    <s v="CERRADURA AGA 135C40 ( 2 UNIDADES ) ///  RECARGO IGUALAMIENTO (2) ///  CIC SANTIAGO LÓ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5659"/>
    <s v="D"/>
    <d v="2021-04-16T00:00:00"/>
    <n v="22021002228"/>
    <s v="2021 06 3232 212"/>
    <n v="12.38"/>
    <x v="265"/>
    <s v="MANILLA ALMA 6085 NEGRO (1 UNIDAD) ///  DESTINO:  C.E.I.P. ALLUE MO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510"/>
    <s v="D"/>
    <d v="2021-06-11T00:00:00"/>
    <n v="22021002371"/>
    <s v="2021 02 9332 212"/>
    <n v="11.8"/>
    <x v="82"/>
    <s v="CONEXION SLV ESQ 143051 BLANCO (MUESTRA) 1 UNIDAD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4797"/>
    <s v="D"/>
    <d v="2021-05-24T00:00:00"/>
    <n v="22021002371"/>
    <s v="2021 02 9332 212"/>
    <n v="11.62"/>
    <x v="210"/>
    <s v="MINI LINTERNA RECARG.USB ORIENT.5V 1.5W 150LM 6500K USB IMAN (MANTENIMIENTO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216"/>
    <s v="D"/>
    <d v="2021-06-10T00:00:00"/>
    <n v="22021002048"/>
    <s v="2021 11 1621 214"/>
    <n v="11.35"/>
    <x v="82"/>
    <s v="AC MARCO EXP V36-2017: 40 M. CABLE PARA REPARACION VEHICULO: E-8108-BFB  /// DESTINO: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806"/>
    <s v="D"/>
    <d v="2021-04-22T00:00:00"/>
    <n v="22021002225"/>
    <s v="2021 06 3231 212"/>
    <n v="10.33"/>
    <x v="314"/>
    <s v="TACO DUOPOWER 6*30 (100 U.) 555006 / TACO SX5 (100 U.) 70005 /////// DESTINO: E I M CASCANUECES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22770"/>
    <s v="D"/>
    <d v="2021-05-17T00:00:00"/>
    <n v="22021002228"/>
    <s v="2021 06 3232 212"/>
    <n v="9.9499999999999993"/>
    <x v="22"/>
    <s v="SIFON BIDE 11/4 S-84 / ALARGADERA ROSCA TUBO LISO A-15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681"/>
    <s v="D"/>
    <d v="2021-04-16T00:00:00"/>
    <n v="22021002089"/>
    <s v="2021 03 9241 213"/>
    <n v="9.91"/>
    <x v="265"/>
    <s v="MANILLA ALMA 6085 NGRO ( 1 UNIDAD ) //// DESTINO:  C.C.RONDILLA --- RETIRA EL TECNIC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2979"/>
    <s v="D"/>
    <d v="2021-06-28T00:00:00"/>
    <n v="22021002228"/>
    <s v="2021 06 3232 212"/>
    <n v="9.91"/>
    <x v="265"/>
    <s v="MANECILLA ALMA NEGRO // CEIP GARCÍA GALÁN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748"/>
    <s v="D"/>
    <d v="2021-05-07T00:00:00"/>
    <n v="22021002228"/>
    <s v="2021 06 3232 212"/>
    <n v="9.86"/>
    <x v="265"/>
    <s v="BURLETE AMIG 2-100 BLANCO ( 1 UNIDAD ) //  DESTINO: CEIP JOSE ZORR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4"/>
    <s v="D"/>
    <d v="2021-05-28T00:00:00"/>
    <n v="22021002228"/>
    <s v="2021 06 3232 212"/>
    <n v="9.86"/>
    <x v="265"/>
    <s v="BURLETE AMIG MOD.2-100 PLATA (COLEGIO PROFESOR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4795"/>
    <s v="D"/>
    <d v="2021-05-24T00:00:00"/>
    <n v="22021002369"/>
    <s v="2021 02 9332 212"/>
    <n v="9.7200000000000006"/>
    <x v="410"/>
    <s v="DF-SIFON EXTENSIBLE 11/4 32-40 BL / VALVULA LAVABO BIDET S-35 11/4 / ENLACE TUBOS // DESTINO: SAN BENITO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00"/>
    <s v="D"/>
    <d v="2021-06-16T00:00:00"/>
    <n v="22021002228"/>
    <s v="2021 06 3232 212"/>
    <n v="9.51"/>
    <x v="265"/>
    <s v="SILICONA NEUTRA OLIVE TRANSPARENTE (2 UDS) // CEIP NUESTRA SEÑORA DEL DUER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497"/>
    <s v="D"/>
    <d v="2021-06-11T00:00:00"/>
    <n v="22021002006"/>
    <s v="2021 11 3111 22199"/>
    <n v="9.18"/>
    <x v="82"/>
    <s v="AM. V. 36/2017 CONMUTADOR NIESSEN 8102 MECANISMO (2) //  DESTINO: CASA DEL BARCO EDIF.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2716"/>
    <s v="D"/>
    <d v="2021-05-17T00:00:00"/>
    <n v="22021002053"/>
    <s v="2021 11 1631 212"/>
    <n v="8.3000000000000007"/>
    <x v="82"/>
    <s v="AC MARCO EXP V36-2017: MATERIALES REPARACION ELECTRICA EN VESTUARIO ZONA C/ TREPADOR,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2"/>
  </r>
  <r>
    <n v="220210033214"/>
    <s v="D"/>
    <d v="2021-06-30T00:00:00"/>
    <n v="22021002006"/>
    <s v="2021 11 3111 22199"/>
    <n v="8.06"/>
    <x v="82"/>
    <s v="A.M. V.36/2017 INTERRUP NIESSEN 8101 MECANISMO ( 2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4719"/>
    <s v="D"/>
    <d v="2021-04-13T00:00:00"/>
    <n v="22021001039"/>
    <s v="2021 10 2312 212"/>
    <n v="8.02"/>
    <x v="82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0776"/>
    <s v="D"/>
    <d v="2021-05-07T00:00:00"/>
    <n v="22021002088"/>
    <s v="2021 03 9241 212"/>
    <n v="7.73"/>
    <x v="191"/>
    <s v="ALB 21-210165: ML PVC SANITARIO (6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1735"/>
    <s v="D"/>
    <d v="2021-05-11T00:00:00"/>
    <n v="22021002143"/>
    <s v="2021 10 2311 212"/>
    <n v="7.72"/>
    <x v="191"/>
    <s v="F-4705. FLUME S.L. CODO 87º SANITARIO/ DESATASCADOR LÍQUIDO PROFESIONAL BOTELLA 1L VIVIENDA PLAZA CHURRERÍ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3533"/>
    <s v="AD/"/>
    <d v="2021-05-20T00:00:00"/>
    <n v="22021000491"/>
    <s v="2021 10 2412 213"/>
    <n v="-12.66"/>
    <x v="52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6"/>
    <s v="2021 10 2412 213"/>
    <n v="-34.1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0770"/>
    <s v="D"/>
    <d v="2021-05-07T00:00:00"/>
    <n v="22021002089"/>
    <s v="2021 03 9241 213"/>
    <n v="7.62"/>
    <x v="265"/>
    <s v="2 UDS - SILICONA NEUTRA MARRON 8003 (CC JOSE LUIS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532"/>
    <s v="AD/"/>
    <d v="2021-05-20T00:00:00"/>
    <n v="22021000548"/>
    <s v="2021 10 2412 213"/>
    <n v="-41.73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8694"/>
    <s v="AD/"/>
    <d v="2021-06-04T00:00:00"/>
    <n v="22021002065"/>
    <s v="2021 10 2412 22199"/>
    <n v="-44.75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3534"/>
    <s v="AD/"/>
    <d v="2021-05-20T00:00:00"/>
    <n v="22021000492"/>
    <s v="2021 10 2412 213"/>
    <n v="-69.650000000000006"/>
    <x v="52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3536"/>
    <s v="AD/"/>
    <d v="2021-05-20T00:00:00"/>
    <n v="22021000494"/>
    <s v="2021 10 2412 213"/>
    <n v="-75.989999999999995"/>
    <x v="52"/>
    <s v="CONTRATO MANTENIMIENTO ELEVADOR CFE JACINTO BENAVE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3535"/>
    <s v="AD/"/>
    <d v="2021-05-20T00:00:00"/>
    <n v="22021000493"/>
    <s v="2021 10 2412 213"/>
    <n v="-183.65"/>
    <x v="52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7"/>
    <s v="2021 10 2412 213"/>
    <n v="-187.6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9"/>
    <s v="2021 10 2412 213"/>
    <n v="-20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424"/>
    <s v="D"/>
    <d v="2021-06-11T00:00:00"/>
    <n v="22021002144"/>
    <s v="2021 10 2311 212"/>
    <n v="7.44"/>
    <x v="210"/>
    <s v="F-6030. GRUPO ELECTRO STOCKS. LAMP. LED A60/PA 12W 4000K 230V NO DIM SIN FILAMENTO( 3 UNIDADES)CEAS C/PATO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3532"/>
    <s v="AD/"/>
    <d v="2021-05-20T00:00:00"/>
    <n v="22021000549"/>
    <s v="2021 10 2412 213"/>
    <n v="-229.16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7631"/>
    <s v="D"/>
    <d v="2021-06-01T00:00:00"/>
    <n v="22021001181"/>
    <s v="2021 10 2412 22199"/>
    <n v="7.26"/>
    <x v="191"/>
    <s v="SUMINISTRODE ARQUETA POLYPRO NE. RED.(1) PARA CURSO: P. MIXTO GJ/20/VA/0002 FOYEM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3532"/>
    <s v="AD/"/>
    <d v="2021-05-20T00:00:00"/>
    <n v="22021000551"/>
    <s v="2021 10 2412 213"/>
    <n v="-250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7724"/>
    <s v="D"/>
    <d v="2021-06-01T00:00:00"/>
    <n v="22021002369"/>
    <s v="2021 02 9332 212"/>
    <n v="7.08"/>
    <x v="161"/>
    <s v="ALB. AV21/00009 DE 04/01/2021: PORTAETIQUETAS VENTANILLA AZUL (50 UDS)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266"/>
    <s v="AD"/>
    <d v="2021-04-08T00:00:00"/>
    <n v="22021003765"/>
    <s v="2021 11 1321 214"/>
    <n v="245.43"/>
    <x v="326"/>
    <s v="REPARACIÓN DE TRES VEHÍCULOS DE POLICÍA ( 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6742"/>
    <s v="AD/"/>
    <d v="2021-04-21T00:00:00"/>
    <n v="22021003299"/>
    <s v="2021 11 1361 22199"/>
    <n v="-485.21"/>
    <x v="401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6745"/>
    <s v="AD/"/>
    <d v="2021-04-22T00:00:00"/>
    <n v="22021000678"/>
    <s v="2021 10 2412 213"/>
    <n v="-49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553"/>
    <s v="D"/>
    <d v="2021-04-20T00:00:00"/>
    <n v="22021001038"/>
    <s v="2021 10 2312 212"/>
    <n v="6.1"/>
    <x v="216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532"/>
    <s v="AD/"/>
    <d v="2021-05-20T00:00:00"/>
    <n v="22021000550"/>
    <s v="2021 10 2412 213"/>
    <n v="-604.14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279"/>
    <s v="AD"/>
    <d v="2021-06-10T00:00:00"/>
    <n v="22021004814"/>
    <s v="2021 11 1321 214"/>
    <n v="747.46"/>
    <x v="326"/>
    <s v="REPARACIÓN VEHÍCULOS 6230 JKP Y 3712KGD DE POLICÍA MUNICIPAL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164"/>
    <s v="D"/>
    <d v="2021-05-03T00:00:00"/>
    <n v="22021003170"/>
    <s v="2021 05 4314 22199"/>
    <n v="5.75"/>
    <x v="188"/>
    <s v="PILA DURACELL IND AA LR06 (10UDS) - OFERTA (MERCADOS)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28694"/>
    <s v="AD/"/>
    <d v="2021-06-04T00:00:00"/>
    <n v="22021002066"/>
    <s v="2021 10 2412 22199"/>
    <n v="-845.66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8694"/>
    <s v="AD/"/>
    <d v="2021-06-04T00:00:00"/>
    <n v="22021002063"/>
    <s v="2021 10 2412 22199"/>
    <n v="-853.7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6142"/>
    <s v="AD/"/>
    <d v="2021-05-31T00:00:00"/>
    <n v="22021004442"/>
    <s v="2021 11 3111 22799"/>
    <n v="-924"/>
    <x v="522"/>
    <s v="SERVICIOS ADIESTRADOR CANINO DEL 1 AL 30 DE JUNIO DE 2021 POR UN TOTAL DE 66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19196"/>
    <s v="D"/>
    <d v="2021-05-03T00:00:00"/>
    <n v="22021002369"/>
    <s v="2021 02 9332 212"/>
    <n v="4.99"/>
    <x v="410"/>
    <s v="4 UDS- ESCOBILLERO COMPLETO BIG BL  CJ/2 (SANTA ANA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8694"/>
    <s v="AD/"/>
    <d v="2021-06-04T00:00:00"/>
    <n v="22021002064"/>
    <s v="2021 10 2412 22199"/>
    <n v="-1267.5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14267"/>
    <s v="AD"/>
    <d v="2021-04-08T00:00:00"/>
    <n v="22021003766"/>
    <s v="2021 11 1321 214"/>
    <n v="2045.75"/>
    <x v="289"/>
    <s v="REPARACIÓN DE DOS VEHÍCULOS DE POLICIA ( 2098HCN Y 3998JKP). 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6059"/>
    <s v="AD"/>
    <d v="2021-05-31T00:00:00"/>
    <n v="22021004640"/>
    <s v="2021 11 1321 214"/>
    <n v="987.63"/>
    <x v="289"/>
    <s v="REPARACION DE VEHÍCULO 7227 DLS DE POLICÍA MUNICIPAL.. ( 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661"/>
    <s v="D"/>
    <d v="2021-04-16T00:00:00"/>
    <n v="22021002228"/>
    <s v="2021 06 3232 212"/>
    <n v="4.84"/>
    <x v="265"/>
    <s v="MTNA.BARNIZ ACRILICO SATIN 400ML. (C.E.I.P.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35"/>
    <s v="D"/>
    <d v="2021-05-17T00:00:00"/>
    <n v="22021002052"/>
    <s v="2021 11 1621 22199"/>
    <n v="4.72"/>
    <x v="161"/>
    <s v="AC MARCO EXP V36-2017: : ABRAZADERA ASFA 30-45L MIKALOR (10 uds) PARA 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502"/>
    <s v="D"/>
    <d v="2021-04-09T00:00:00"/>
    <n v="22020001574"/>
    <s v="2021 06 3321 629"/>
    <n v="3.79"/>
    <x v="773"/>
    <s v="SUMINISTRO DE 3 TITULOS DIFERENTES Y 2 DEVUELTOS // BIBLIOTECAS PUBLICA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7017"/>
    <s v="AD/"/>
    <d v="2021-04-26T00:00:00"/>
    <n v="22021002507"/>
    <s v="2021 04 3121 22706"/>
    <n v="-2592"/>
    <x v="209"/>
    <s v="LABORATORIO ANALISIS CLINICOS PERSONAL AYTO. TRES MESES (ENERO A MARZO). PREVENCION Y SALUD LABORAL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06"/>
  </r>
  <r>
    <n v="220210017107"/>
    <s v="D"/>
    <d v="2021-04-26T00:00:00"/>
    <n v="22021002089"/>
    <s v="2021 03 9241 213"/>
    <n v="3.22"/>
    <x v="82"/>
    <s v="SOPORTE TICINO LN4719 LL RECT 2M CENT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0291"/>
    <s v="AD/"/>
    <d v="2021-06-10T00:00:00"/>
    <n v="22021004166"/>
    <s v="2021 06 3261 22799"/>
    <n v="-2958.45"/>
    <x v="138"/>
    <s v="RENUNCIA CTTO DISEÑO, DESARROLLO-DESPLIEGUE SITIO WEB GUIA MUNICIPAL DE ACTIVIDADES EDUCATIVAS.PLZ EJEC HASTA 30-6-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0778"/>
    <s v="D"/>
    <d v="2021-05-07T00:00:00"/>
    <n v="22021002088"/>
    <s v="2021 03 9241 212"/>
    <n v="2.83"/>
    <x v="191"/>
    <s v="ALB 21-210170 PED: VARILLA ROSCADA CINCADA M-8 (2MTS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815"/>
    <s v="D"/>
    <d v="2021-04-13T00:00:00"/>
    <n v="22021002006"/>
    <s v="2021 11 3111 22199"/>
    <n v="2.81"/>
    <x v="216"/>
    <s v="AUMON MANILLA NEGRA 50-60 ( 1 UNIDAD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76"/>
    <s v="D"/>
    <d v="2021-06-30T00:00:00"/>
    <n v="22021002143"/>
    <s v="2021 10 2311 212"/>
    <n v="2.2599999999999998"/>
    <x v="82"/>
    <s v="F-6793. CADIELSA VALLADOLID, S.L.U. PORTALAMP. SOLERA 6618 BLANCO (2) VIVIENDA SOCIAL EN C/ SOTO 58,1ºA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2489"/>
    <s v="D"/>
    <d v="2021-05-14T00:00:00"/>
    <n v="22021002057"/>
    <s v="2021 11 1631 22199"/>
    <n v="2.13"/>
    <x v="210"/>
    <s v="AC MARCO EXP V36-2017: MATERIAL ELECTRICO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801"/>
    <s v="AD/"/>
    <d v="2021-05-17T00:00:00"/>
    <n v="22021003366"/>
    <s v="2021 06 3231 212"/>
    <n v="-4729.59"/>
    <x v="675"/>
    <s v="ANUL REPARACION FILTRACIONES EN LA CUBIERTA DE LA ESCUELA INFANTIL MUNICIPAL EL PRINCIPITO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2799"/>
    <s v="D"/>
    <d v="2021-06-24T00:00:00"/>
    <n v="22021002057"/>
    <s v="2021 11 1631 22199"/>
    <n v="2.12"/>
    <x v="82"/>
    <s v="AC MARCO EXP V326-2017: MATERIAL ELECTRICO /// DESTINO: SERV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584"/>
    <s v="AD"/>
    <d v="2021-04-16T00:00:00"/>
    <n v="22021003866"/>
    <s v="2021 06 3321 22001"/>
    <n v="0.7"/>
    <x v="485"/>
    <s v="RESTO DEL IMPORTE  PARA PAGAR FACTURA 1788, DE RESVISTAS PARA BIBLIOTECAS MUNICIPALES. PLAZO 1 MES"/>
    <s v="220"/>
    <s v="MADRID"/>
    <s v="MADR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2"/>
    <s v="22001"/>
  </r>
  <r>
    <n v="220210020428"/>
    <s v="AD/"/>
    <d v="2021-05-05T00:00:00"/>
    <n v="22021001289"/>
    <s v="2021 05 4331 609"/>
    <n v="-25159.93"/>
    <x v="141"/>
    <s v="ANULACION CONTRATO DE OBRAS DE INFRAESTRUCTURA VERDE SINGULAR: JARDÍN BIO-FILTRO URBANO . Decreto 3290/2021"/>
    <s v="220"/>
    <s v="SANTOVENIA DE PISUERGA"/>
    <s v="VALLADOLID"/>
    <x v="2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  <r>
    <n v="220210040689"/>
    <s v="AD"/>
    <d v="2021-07-20T00:00:00"/>
    <n v="22021005577"/>
    <s v="2021 10 2311 632"/>
    <n v="35.42"/>
    <x v="0"/>
    <s v="COORDINACION DE LAS OBRAS DE REFORMA DE VIVIENDAS PROG.ALOJ.PROV.C/OSA MENOR,4: 12,24 ¿ Y C/GUARDERIA,6:23,18"/>
    <s v="220"/>
    <s v="VALLADOLID"/>
    <s v="VALLADOLID"/>
    <x v="0"/>
    <s v="PrAbier - Procedimiento Abierto"/>
    <s v="MultiC - MultiCriterio"/>
    <x v="2"/>
    <x v="2"/>
    <s v="6"/>
    <s v="6. Inversiones reales"/>
    <s v="10"/>
    <x v="8"/>
    <s v="2311"/>
    <s v="2311. Intervención social"/>
    <s v="63"/>
    <s v="632"/>
  </r>
  <r>
    <n v="220210043819"/>
    <s v="AD"/>
    <d v="2021-07-27T00:00:00"/>
    <n v="22021005778"/>
    <s v="2021 09 3341 632"/>
    <n v="148.86000000000001"/>
    <x v="0"/>
    <s v="COORDINACION DE SEGURIDAD Y SALUD OBRA VALLADO EDIFICIOS PARCELA ANTIGUA HIPICA MILITAR. CONTRATO CENTRALIZADO"/>
    <s v="220"/>
    <s v="VALLADOLID"/>
    <s v="VALLADOLID"/>
    <x v="0"/>
    <s v="PrAbier - Procedimiento Abierto"/>
    <s v="MultiC - MultiCriterio"/>
    <x v="2"/>
    <x v="2"/>
    <s v="6"/>
    <s v="6. Inversiones reales"/>
    <s v="09"/>
    <x v="1"/>
    <s v="3341"/>
    <s v="3341. Coordinación de políticas culturales"/>
    <s v="63"/>
    <s v="632"/>
  </r>
  <r>
    <n v="220210043781"/>
    <s v="D"/>
    <d v="2021-07-27T00:00:00"/>
    <n v="22021002556"/>
    <s v="2021 11 3111 632"/>
    <n v="1041.72"/>
    <x v="0"/>
    <s v="COORDINACION Y SEGURIDAD SALUD OBRAS DE REFORMA DEL CENTRO MUNICIPAL DE PROTECCION ANIMAL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3111"/>
    <s v="3111. Protección de la salubridad pública"/>
    <s v="63"/>
    <s v="632"/>
  </r>
  <r>
    <n v="220210044270"/>
    <s v="AD"/>
    <d v="2021-07-29T00:00:00"/>
    <n v="22021005908"/>
    <s v="2021 05 4314 632"/>
    <n v="72.56"/>
    <x v="0"/>
    <s v="contrato de servicio coordinación seguridad y salud obra mercado Delicias 8"/>
    <s v="220"/>
    <s v="VALLADOLID"/>
    <s v="VALLADOLID"/>
    <x v="0"/>
    <s v="PrAbier - Procedimiento Abierto"/>
    <s v="MultiC - MultiCriterio"/>
    <x v="2"/>
    <x v="2"/>
    <s v="6"/>
    <s v="6. Inversiones reales"/>
    <s v="05"/>
    <x v="6"/>
    <s v="4314"/>
    <s v="4314. Fomento del comercio"/>
    <s v="63"/>
    <s v="632"/>
  </r>
  <r>
    <n v="220210045563"/>
    <s v="AD"/>
    <d v="2021-08-06T00:00:00"/>
    <n v="22021005901"/>
    <s v="2021 11 1621 212"/>
    <n v="13.57"/>
    <x v="0"/>
    <s v="CONTRO SEGURIDAD Y SALUD REPARACION SOLERA DUCHAS VESTUARIO PERSONAL MASCULINO EN C/ TOPACIO 63. SERVICIO DE LIMPIEZA."/>
    <s v="23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2"/>
  </r>
  <r>
    <n v="220210045551"/>
    <s v="AD"/>
    <d v="2021-08-06T00:00:00"/>
    <n v="22021005771"/>
    <s v="2021 11 1631 632"/>
    <n v="143.91"/>
    <x v="0"/>
    <s v="CONTROL DE SEGURIDAD EN OBRAS OFICINA TALLER SERVICIO DE LIMPIEZA"/>
    <s v="23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2"/>
  </r>
  <r>
    <n v="220210048524"/>
    <s v="AD"/>
    <d v="2021-08-20T00:00:00"/>
    <n v="22021005950"/>
    <s v="2021 07 1623 22700"/>
    <n v="2200000"/>
    <x v="870"/>
    <s v="CONTRATO CENTRO DE TRATAMIENTO Y ELIMINACIÓN DE RESIDUOS AYTO. DE VALLADOLID.JUNIO - DICIEMBRE 2021."/>
    <s v="220"/>
    <s v="VALLADOLID"/>
    <s v="VALLADOLID"/>
    <x v="7"/>
    <s v="PrAbier - Procedimiento Abierto"/>
    <s v="MultiC - MultiCriterio"/>
    <x v="1"/>
    <x v="2"/>
    <s v="2"/>
    <s v="2. Gastos corrientes en bienes y servicios"/>
    <s v="07"/>
    <x v="7"/>
    <s v="1623"/>
    <s v="1623. Tratamiento de residuos"/>
    <s v="22"/>
    <s v="22700"/>
  </r>
  <r>
    <n v="220210054967"/>
    <s v="AD"/>
    <d v="2021-09-14T00:00:00"/>
    <n v="22021005135"/>
    <s v="2021 08 1532 619"/>
    <n v="1279641.77"/>
    <x v="466"/>
    <s v="Contrato de Conservación Vías Públicas. LOTE 1. Actuaciones de Presupuestos Participativos 2021.-"/>
    <s v="220"/>
    <s v="VALLADOLID"/>
    <s v="VALLADOLID"/>
    <x v="2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8394"/>
    <s v="D"/>
    <d v="2021-08-18T00:00:00"/>
    <n v="22021003197"/>
    <s v="2021 08 1651 619"/>
    <n v="893420.33"/>
    <x v="187"/>
    <s v="LOTE 1 CONSERVACIÓN, REPARACIÓN Y REFORMA DE ALUMBRADO PÚBLICO. EXP: SEMEU 8/2021"/>
    <s v="300"/>
    <s v="VALLADOLID"/>
    <s v="VALLADOLID"/>
    <x v="0"/>
    <s v="PrAbier - Procedimiento Abierto"/>
    <s v="MultiC - MultiCriterio"/>
    <x v="1"/>
    <x v="2"/>
    <s v="6"/>
    <s v="6. Inversiones reales"/>
    <s v="08"/>
    <x v="9"/>
    <s v="1651"/>
    <s v="1651. Alumbrado público"/>
    <s v="61"/>
    <s v="619"/>
  </r>
  <r>
    <n v="220210050354"/>
    <s v="D"/>
    <d v="2021-08-30T00:00:00"/>
    <n v="22021004191"/>
    <s v="2021 06 3231 622"/>
    <n v="460499.45"/>
    <x v="871"/>
    <s v="SE-EIJI 21/2021. CONTRATO DE OBRAS EJECUCIÓN DE ESCUELA INFANTIL EN C/SEMINARIO C/V  A C/TIRSO DE MOLINA. 15/08 A 31/12"/>
    <s v="300"/>
    <s v="MADRID"/>
    <s v="MADRID"/>
    <x v="2"/>
    <s v="PrAbier - Procedimiento Abierto"/>
    <s v="MultiC - MultiCriterio"/>
    <x v="1"/>
    <x v="2"/>
    <s v="6"/>
    <s v="6. Inversiones reales"/>
    <s v="06"/>
    <x v="0"/>
    <s v="3231"/>
    <s v="3231. Escuelas infantiles"/>
    <s v="62"/>
    <s v="622"/>
  </r>
  <r>
    <n v="220210051250"/>
    <s v="D"/>
    <d v="2021-09-09T00:00:00"/>
    <n v="22021002220"/>
    <s v="2021 05 4331 609"/>
    <n v="167196.98000000001"/>
    <x v="684"/>
    <s v="CONTRATO DE OBRAS - RENATURALIZACION DEL POLIGONO DE ARGALES DE VALLADOLID (PROYECTO INDNATUR 2019/3/2411-1-1"/>
    <s v="300"/>
    <s v="CASTRONUEVO DE ESGÜEVA"/>
    <s v="VALLADOLID"/>
    <x v="2"/>
    <s v="PrAbier - Procedimiento Abierto"/>
    <s v="UniC - Único Criterio"/>
    <x v="1"/>
    <x v="2"/>
    <s v="6"/>
    <s v="6. Inversiones reales"/>
    <s v="05"/>
    <x v="6"/>
    <s v="4331"/>
    <s v="4331. Desarrollo empresarial"/>
    <s v="60"/>
    <s v="609"/>
  </r>
  <r>
    <n v="220210048393"/>
    <s v="D"/>
    <d v="2021-08-18T00:00:00"/>
    <n v="22021003195"/>
    <s v="2021 08 1651 619"/>
    <n v="116000"/>
    <x v="187"/>
    <s v="LOTE 1 CONSERVACIÓN, REPARACIÓN Y REFORMA INSTALACIONES ALUMBRADO EXTERIOR. PRES. PARTICIP. EXP: SEMEU 8/2021"/>
    <s v="300"/>
    <s v="VALLADOLID"/>
    <s v="VALLADOLID"/>
    <x v="0"/>
    <s v="PrAbier - Procedimiento Abierto"/>
    <s v="MultiC - MultiCriterio"/>
    <x v="1"/>
    <x v="2"/>
    <s v="6"/>
    <s v="6. Inversiones reales"/>
    <s v="08"/>
    <x v="9"/>
    <s v="1651"/>
    <s v="1651. Alumbrado público"/>
    <s v="61"/>
    <s v="619"/>
  </r>
  <r>
    <n v="220210050998"/>
    <s v="D"/>
    <d v="2021-09-07T00:00:00"/>
    <n v="22019005624"/>
    <s v="2021 11 1621 622"/>
    <n v="100394.4"/>
    <x v="131"/>
    <s v="CERTIFICACIÓN Nº 9 Y FINAL OBRA CONSTRUCCIÓN NAVE LAVADO VEHÍCULOS DEL Sº DE LIMPIEZA EXP 2.6.0.4.002/2019"/>
    <s v="300"/>
    <s v="ZAMORA"/>
    <s v="ZAMORA"/>
    <x v="2"/>
    <s v="PrAbier - Procedimiento Abierto"/>
    <s v="MultiC - MultiCriterio"/>
    <x v="1"/>
    <x v="2"/>
    <s v="6"/>
    <s v="6. Inversiones reales"/>
    <s v="11"/>
    <x v="5"/>
    <s v="1621"/>
    <s v="1621. Servicio de limpieza"/>
    <s v="62"/>
    <s v="622"/>
  </r>
  <r>
    <n v="220210056286"/>
    <s v="AD"/>
    <d v="2021-09-15T00:00:00"/>
    <n v="22021005169"/>
    <s v="2021 08 1341 619"/>
    <n v="83333.320000000007"/>
    <x v="427"/>
    <s v="PRÓRROGA LOTE 1 SEÑALIZACIÓN VERTICAL &quot;&quot;CONTRATO SEÑALIZACIÓN VIAL DE VALLADOLID&quot;&quot;_ EXP 11/2018 (P.S Nº 1)_Agosto-Dic'2021"/>
    <s v="220"/>
    <s v="GUARROMAN"/>
    <s v="JAEN"/>
    <x v="2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48396"/>
    <s v="D"/>
    <d v="2021-08-18T00:00:00"/>
    <n v="22021003197"/>
    <s v="2021 08 1651 619"/>
    <n v="56036.38"/>
    <x v="872"/>
    <s v="LOTE 3 CONSERVACIÓN, REPARACIÓN Y REFORMA DE ALUMBRADO PÚBLICO. EXP: SEMEU 8/2021"/>
    <s v="300"/>
    <s v="MADRID"/>
    <s v="MADRID"/>
    <x v="0"/>
    <s v="PrAbier - Procedimiento Abierto"/>
    <s v="MultiC - MultiCriterio"/>
    <x v="1"/>
    <x v="2"/>
    <s v="6"/>
    <s v="6. Inversiones reales"/>
    <s v="08"/>
    <x v="9"/>
    <s v="1651"/>
    <s v="1651. Alumbrado público"/>
    <s v="61"/>
    <s v="619"/>
  </r>
  <r>
    <n v="220210043789"/>
    <s v="D"/>
    <d v="2021-07-27T00:00:00"/>
    <n v="22021003308"/>
    <s v="2021 04 9204 216"/>
    <n v="1270.5"/>
    <x v="3"/>
    <s v="MANTENIMIENTO SOFTWARE PARA EL CONTROL DE SALUD LABORAL : WinMedtra/WinSehtra, LOTE 8"/>
    <s v="300"/>
    <s v="SANTANDER"/>
    <s v="SANTANDER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6441"/>
    <s v="D"/>
    <d v="2021-07-07T00:00:00"/>
    <n v="22021001275"/>
    <s v="2021 07 1711 22199"/>
    <n v="454.96"/>
    <x v="549"/>
    <s v="ACUERDO MARCO 2017/36, SUMINISTRO DE FILLER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6016"/>
    <s v="D"/>
    <d v="2021-08-10T00:00:00"/>
    <n v="22021001275"/>
    <s v="2021 07 1711 22199"/>
    <n v="616"/>
    <x v="549"/>
    <s v="ACUERDO MARCO 2017/36, MANTILLO PARA JARDINES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6022"/>
    <s v="D"/>
    <d v="2021-08-10T00:00:00"/>
    <n v="22021001275"/>
    <s v="2021 07 1711 22199"/>
    <n v="1993.5"/>
    <x v="549"/>
    <s v="ACUERDO MARCO 2017/36, SUMINISTRO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3826"/>
    <s v="AD"/>
    <d v="2021-07-27T00:00:00"/>
    <n v="22021005801"/>
    <s v="2021 02 9332 632"/>
    <n v="23496.34"/>
    <x v="873"/>
    <s v="SOLUCIONAR PROBLEMAS DE HUMEDADES EN EL ENTORNO DEL ASCENSOR PARKING DE LA PLAZA MAYOR"/>
    <s v="220"/>
    <s v="VALLADOLID"/>
    <s v="VALLADOLID"/>
    <x v="2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41583"/>
    <s v="AD"/>
    <d v="2021-07-22T00:00:00"/>
    <n v="22021005705"/>
    <s v="2021 07 1701 22799"/>
    <n v="6715.5"/>
    <x v="874"/>
    <s v="Mantenimiento de la página web Valladolid Recicla y comunicación en redes sociales.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01"/>
    <s v="1701. Dirección del área de medio ambiente"/>
    <s v="22"/>
    <s v="22799"/>
  </r>
  <r>
    <n v="220210036486"/>
    <s v="AD"/>
    <d v="2021-07-07T00:00:00"/>
    <n v="22021000166"/>
    <s v="2021 11 1621 22700"/>
    <n v="71187.92"/>
    <x v="21"/>
    <s v="PRORROGA CONTRATO SERVICIO MANTENIMIENTO PLATAFORMAS SOTERRADAS AYUNTAMIENTO VALLADOLID, 1-9 AL 31-12-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700"/>
  </r>
  <r>
    <n v="220210036188"/>
    <s v="AD"/>
    <d v="2021-07-06T00:00:00"/>
    <n v="22021005122"/>
    <s v="2021 06 2315 22611"/>
    <n v="100"/>
    <x v="875"/>
    <s v="TALLER NETFLIXIONANDO CELEBRADO EN EL CENTRO MUNICIPAL DE IGUALDAD JUNI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40155"/>
    <s v="D"/>
    <d v="2021-07-19T00:00:00"/>
    <n v="22021002048"/>
    <s v="2021 11 1621 214"/>
    <n v="1582.93"/>
    <x v="25"/>
    <s v="AC MARCO EXP V36-2017: SUMINISTRO RECAMBIOS PARA REPARACION VEHÍCULOS ///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5163"/>
    <s v="D"/>
    <d v="2021-08-03T00:00:00"/>
    <n v="22021002048"/>
    <s v="2021 11 1621 214"/>
    <n v="1571.94"/>
    <x v="25"/>
    <s v="AC MARCO EXP V36-2017: SUMINISTRO RECAMBIOS PARA REPARACION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0613"/>
    <s v="D"/>
    <d v="2021-09-02T00:00:00"/>
    <n v="22021002048"/>
    <s v="2021 11 1621 214"/>
    <n v="1581.48"/>
    <x v="25"/>
    <s v="SUMINISTRO DE RECAMBIOS PARA REPARACION DE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517"/>
    <s v="D"/>
    <d v="2021-09-13T00:00:00"/>
    <n v="22021002048"/>
    <s v="2021 11 1621 214"/>
    <n v="832.99"/>
    <x v="25"/>
    <s v="AC MARCO EXP V36-2017: REPUESTOS PARA REPARACIONES DE VEHICULOS (SERVIC. DE LIMPIEZ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8704"/>
    <s v="D"/>
    <d v="2021-08-20T00:00:00"/>
    <n v="22021002048"/>
    <s v="2021 11 1621 214"/>
    <n v="612.74"/>
    <x v="25"/>
    <s v="AC MARCO EXP V36-2017: RECAMBIOS PARA VEHÍCULO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36637"/>
    <s v="AD"/>
    <d v="2021-07-08T00:00:00"/>
    <n v="22021005571"/>
    <s v="2021 02 9332 213"/>
    <n v="2000"/>
    <x v="876"/>
    <s v="ADQUISICIÓN PERSIANAS VENECIANAS, ESTORES Y OTRO MATERIAL ACCESORIO PARA DEPENDENCIAS MUNICIPALES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3"/>
  </r>
  <r>
    <n v="220210047100"/>
    <s v="AD"/>
    <d v="2021-08-13T00:00:00"/>
    <n v="22021006061"/>
    <s v="2021 08 1532 22699"/>
    <n v="779.24"/>
    <x v="876"/>
    <s v="Suministro de 16 unidades de PERSIANAS VENECIANAS para la Sala de Reuniones y anexos nuevo Parque Vias Públicas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699"/>
  </r>
  <r>
    <n v="220210050361"/>
    <s v="D"/>
    <d v="2021-08-31T00:00:00"/>
    <n v="22021003738"/>
    <s v="2021 03 9241 632"/>
    <n v="47294.1"/>
    <x v="282"/>
    <s v="CC PILARICA: ARREGLO INTEGRAL DEL TEJADO. LOTE 1"/>
    <s v="300"/>
    <s v="MEDINA DEL CAMPO"/>
    <s v="VALLADOLID"/>
    <x v="2"/>
    <s v="PrAbier - Procedimiento Abierto"/>
    <s v="UniC - Único Criterio"/>
    <x v="1"/>
    <x v="2"/>
    <s v="6"/>
    <s v="6. Inversiones reales"/>
    <s v="03"/>
    <x v="2"/>
    <s v="9241"/>
    <s v="9241. Participación ciudadana"/>
    <s v="63"/>
    <s v="632"/>
  </r>
  <r>
    <n v="220210037255"/>
    <s v="AD"/>
    <d v="2021-07-14T00:00:00"/>
    <n v="22021004298"/>
    <s v="2021 11 3111 213"/>
    <n v="265"/>
    <x v="27"/>
    <s v="SUSTITUCION :IMPRESORA TIPO 4 POR TIPO 6-  Dº AREA SALUD PUBLICA Y SEGURIDAD CIUDADANA 1 JUNIO A 31 DICIEMBRE 2022"/>
    <s v="220"/>
    <s v="VALLADOLID"/>
    <s v="VALLADOLID"/>
    <x v="1"/>
    <s v="PrAbier - Procedimiento Abierto"/>
    <s v="UniC - Único Criterio"/>
    <x v="1"/>
    <x v="2"/>
    <s v="2"/>
    <s v="2. Gastos corrientes en bienes y servicios"/>
    <s v="11"/>
    <x v="5"/>
    <s v="3111"/>
    <s v="3111. Protección de la salubridad pública"/>
    <s v="21"/>
    <s v="213"/>
  </r>
  <r>
    <n v="220210050520"/>
    <s v="AD"/>
    <d v="2021-09-01T00:00:00"/>
    <n v="22021000641"/>
    <s v="2021 10 2412 213"/>
    <n v="1064.01"/>
    <x v="27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20"/>
    <s v="AD"/>
    <d v="2021-09-01T00:00:00"/>
    <n v="22021000642"/>
    <s v="2021 10 2412 213"/>
    <n v="435"/>
    <x v="27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20"/>
    <s v="AD"/>
    <d v="2021-09-01T00:00:00"/>
    <n v="22021000640"/>
    <s v="2021 10 2412 213"/>
    <n v="420"/>
    <x v="27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20"/>
    <s v="AD"/>
    <d v="2021-09-01T00:00:00"/>
    <n v="22021000639"/>
    <s v="2021 10 2412 213"/>
    <n v="165"/>
    <x v="27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19"/>
    <s v="AD/"/>
    <d v="2021-09-01T00:00:00"/>
    <n v="22021000640"/>
    <s v="2021 10 2412 213"/>
    <n v="-433.75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19"/>
    <s v="AD/"/>
    <d v="2021-09-01T00:00:00"/>
    <n v="22021000642"/>
    <s v="2021 10 2412 213"/>
    <n v="-485.01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50519"/>
    <s v="AD/"/>
    <d v="2021-09-01T00:00:00"/>
    <n v="22021000641"/>
    <s v="2021 10 2412 213"/>
    <n v="-1165.25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2"/>
    <s v="2"/>
    <s v="2. Gastos corrientes en bienes y servicios"/>
    <s v="10"/>
    <x v="8"/>
    <s v="2412"/>
    <s v="2412. Formación para el empleo"/>
    <s v="21"/>
    <s v="213"/>
  </r>
  <r>
    <n v="220210036185"/>
    <s v="AD"/>
    <d v="2021-07-06T00:00:00"/>
    <n v="22021005317"/>
    <s v="2021 11 1321 214"/>
    <n v="995.21"/>
    <x v="32"/>
    <s v="REPARACIÓN DE VEHÍCULOS 0672HHG, 8641KHL Y 1216KHB DEW POLICÍA MUNICIPAL.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083"/>
    <s v="D"/>
    <d v="2021-08-27T00:00:00"/>
    <n v="22021005946"/>
    <s v="2021 11 1321 214"/>
    <n v="545.82000000000005"/>
    <x v="32"/>
    <s v="REPARACIÓN VEHÍCULO 545,81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954"/>
    <s v="AD"/>
    <d v="2021-09-07T00:00:00"/>
    <n v="22021006408"/>
    <s v="2021 03 9241 22609"/>
    <n v="600"/>
    <x v="877"/>
    <s v="ACTUACIÓN JAIME LAFUENTE &quot;&quot;CANCIONES ANIMADAS&quot;&quot; EN LAS MORERAS EL DÍA 30/07/2021. MFS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56283"/>
    <s v="D"/>
    <d v="2021-09-15T00:00:00"/>
    <n v="22021003520"/>
    <s v="2021 11 1631 22110"/>
    <n v="44165"/>
    <x v="607"/>
    <s v="CONTRATO SUMINISTRO FUNDENTES VIALIDAD INVERNAL EN VIAS PUBLICAS LOTES 1 Y 2, Sº LIMPIEZA AYUNTAMIENTO DE VALLADOLID"/>
    <s v="300"/>
    <s v="REMOLINOS"/>
    <s v="ZARAGOZA"/>
    <x v="1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110"/>
  </r>
  <r>
    <n v="220210056320"/>
    <s v="AD"/>
    <d v="2021-09-15T00:00:00"/>
    <n v="22021005190"/>
    <s v="2021 08 1341 619"/>
    <n v="229166.68"/>
    <x v="43"/>
    <s v="PRÓRROGA LOTE 2 SEÑALIZACIÓN HORIZONTAL &quot;&quot;CONTRATO SEÑALIZACIÓN VIAL EN VALLADOLID&quot;&quot; EXP 11/2018 (P.S.-1) Agosto-Dic'2021"/>
    <s v="220"/>
    <s v="VALLADOLID"/>
    <s v="VALLADOLID"/>
    <x v="0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50705"/>
    <s v="D"/>
    <d v="2021-09-02T00:00:00"/>
    <n v="22021003216"/>
    <s v="2021 01 9206 22706"/>
    <n v="40250"/>
    <x v="53"/>
    <s v="DIVERSOS SERVICIOS PRESTADOS POR ARCAL GESTIÓN DOCUMENTAL AL ARCHIVO MUNICIPAL, DURANTE EL AÑO 2021."/>
    <s v="300"/>
    <s v="VALLADOLID"/>
    <s v="VALLADOLID"/>
    <x v="0"/>
    <s v="PrAbier - Procedimiento Abierto"/>
    <s v="MultiC - MultiCriterio"/>
    <x v="1"/>
    <x v="2"/>
    <s v="2"/>
    <s v="2. Gastos corrientes en bienes y servicios"/>
    <s v="01"/>
    <x v="4"/>
    <s v="9206"/>
    <s v="9206. Archivo municipal"/>
    <s v="22"/>
    <s v="22706"/>
  </r>
  <r>
    <n v="220210048395"/>
    <s v="D"/>
    <d v="2021-08-18T00:00:00"/>
    <n v="22021003197"/>
    <s v="2021 08 1651 619"/>
    <n v="32020.79"/>
    <x v="187"/>
    <s v="LOTE 2 CONSERVACIÓN, REPARACIÓN Y REFORMA DE ALUMBRADO PÚBLICO. EXP: SEMEU 8/2021"/>
    <s v="300"/>
    <s v="VALLADOLID"/>
    <s v="VALLADOLID"/>
    <x v="0"/>
    <s v="PrAbier - Procedimiento Abierto"/>
    <s v="MultiC - MultiCriterio"/>
    <x v="1"/>
    <x v="2"/>
    <s v="6"/>
    <s v="6. Inversiones reales"/>
    <s v="08"/>
    <x v="9"/>
    <s v="1651"/>
    <s v="1651. Alumbrado público"/>
    <s v="61"/>
    <s v="619"/>
  </r>
  <r>
    <n v="220210036478"/>
    <s v="AD"/>
    <d v="2021-07-07T00:00:00"/>
    <n v="22021004392"/>
    <s v="2021 01 9203 22000"/>
    <n v="8703.68"/>
    <x v="46"/>
    <s v="PRÓRROGA CONTRATO SUMINISTRO MATERIAL ORDINARIO NO INVENTARIABLE AYTO VALLADOLID, LOTE 6"/>
    <s v="220"/>
    <s v="VALLADOLID"/>
    <s v="VALLADOLID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50706"/>
    <s v="D"/>
    <d v="2021-09-02T00:00:00"/>
    <n v="22021003740"/>
    <s v="2021 03 9241 632"/>
    <n v="22990"/>
    <x v="675"/>
    <s v="CC PARQUESOL: ARREGLO INTEGRAL DEL TEJADO DEL ANFITEATRO. LOTE 2"/>
    <s v="300"/>
    <s v="VALLADOLID"/>
    <s v="VALLADOLID"/>
    <x v="2"/>
    <s v="PrAbier - Procedimiento Abierto"/>
    <s v="UniC - Único Criterio"/>
    <x v="1"/>
    <x v="2"/>
    <s v="6"/>
    <s v="6. Inversiones reales"/>
    <s v="03"/>
    <x v="2"/>
    <s v="9241"/>
    <s v="9241. Participación ciudadana"/>
    <s v="63"/>
    <s v="632"/>
  </r>
  <r>
    <n v="220210051000"/>
    <s v="AD"/>
    <d v="2021-09-07T00:00:00"/>
    <n v="22021006324"/>
    <s v="2021 06 3232 632"/>
    <n v="19144.099999999999"/>
    <x v="878"/>
    <s v="S.E. 32/2021. CONTRATO OBRAS REPARACIÓN CONDENSACIÓN CUBIERTA PABELLÓN POLIDEPORTIVO CEIP TIERNO GALVAN. PLAZO: 15 DIAS"/>
    <s v="220"/>
    <s v="LA CISTÉRNIGA"/>
    <s v="VALLADOLID"/>
    <x v="2"/>
    <s v="AdDirec - Adjudicación Directa"/>
    <s v="SinC - Sin Criterio"/>
    <x v="0"/>
    <x v="2"/>
    <s v="6"/>
    <s v="6. Inversiones reales"/>
    <s v="06"/>
    <x v="0"/>
    <s v="3232"/>
    <s v="3232. Conservación y mantenimiento centros educación infantil y primaria"/>
    <s v="63"/>
    <s v="632"/>
  </r>
  <r>
    <n v="220210050920"/>
    <s v="D"/>
    <d v="2021-09-06T00:00:00"/>
    <n v="22021003897"/>
    <s v="2021 08 1532 619"/>
    <n v="18998.21"/>
    <x v="478"/>
    <s v="Redacción del Proyecto de Carril Bici tramo norte  en Paseo Juan Carlos I junto con Pasarela Esgueva.- SEMEU 26/2021"/>
    <s v="300"/>
    <s v="VALLADOLID"/>
    <s v="VALLADOLID"/>
    <x v="0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8514"/>
    <s v="AD"/>
    <d v="2021-08-20T00:00:00"/>
    <n v="22021005894"/>
    <s v="2021 02 9332 22799"/>
    <n v="18089.5"/>
    <x v="879"/>
    <s v="IMPLEMENT. MARCO SEGUIMIENTO DE INDICADORES MEDIOAMBIEN. Y ECONÓMICOS DEL IMPACTO DE LA REHAB.DE EDIF. PARA EL AYUNT.VAL"/>
    <s v="220"/>
    <s v="BURGOS"/>
    <s v="BURGOS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2"/>
    <s v="22799"/>
  </r>
  <r>
    <n v="220210045549"/>
    <s v="AD"/>
    <d v="2021-08-06T00:00:00"/>
    <n v="22021005982"/>
    <s v="2021 10 2311 213"/>
    <n v="108.9"/>
    <x v="52"/>
    <s v="Inspección periódica obligatoria del ascensor ubicado en el Comedor Social.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47455"/>
    <s v="AD"/>
    <d v="2021-08-17T00:00:00"/>
    <n v="22021005433"/>
    <s v="2021 05 4315 22799"/>
    <n v="14875.26"/>
    <x v="764"/>
    <s v="PINTURA DE LOS PUESTOS EN LOS  MERCADILLOS DEL TÉRMINO MUNICIPAL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15"/>
    <s v="4315. Actuaciones en materia de consumo"/>
    <s v="22"/>
    <s v="22799"/>
  </r>
  <r>
    <n v="220210036191"/>
    <s v="AD"/>
    <d v="2021-07-06T00:00:00"/>
    <n v="22021005029"/>
    <s v="2021 03 9241 22609"/>
    <n v="495"/>
    <x v="880"/>
    <s v="CONCIERTO MUSICAL LOS VELAGATOS EN CC CAMPILLO EL DÍA 09/05/2021. MFS"/>
    <s v="220"/>
    <s v="FUENSALDAÑA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56292"/>
    <s v="AD"/>
    <d v="2021-09-15T00:00:00"/>
    <n v="22021006060"/>
    <s v="2021 10 2311 22799"/>
    <n v="14101.21"/>
    <x v="245"/>
    <s v="AMPLIACION CON SERV.CELADURIA EL CONT.GESTION CENTRO INTEGRADO PARA PERS.SIN HOGAR DESD 1 SEP (FS)- OCT (A DIARIO)-COVID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1"/>
    <s v="2311. Intervención social"/>
    <s v="22"/>
    <s v="22799"/>
  </r>
  <r>
    <n v="220210039686"/>
    <s v="AD"/>
    <d v="2021-07-16T00:00:00"/>
    <n v="22021005729"/>
    <s v="2021 03 9241 22609"/>
    <n v="4620"/>
    <x v="704"/>
    <s v="ACTIVIDAD DE CIRCO EN CIC SANTIAGO LÓPEZ DE ABRIL A JUNI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50928"/>
    <s v="AD"/>
    <d v="2021-09-06T00:00:00"/>
    <n v="22021005797"/>
    <s v="2021 02 9332 22706"/>
    <n v="13673"/>
    <x v="881"/>
    <s v="ASISTENCIA TÉCNICA TRABAJOS DE REGULACIÓN DE LAS VÍAS PECUARIAS QUE ATRAVIESAN EL TÉRMINO MUNICIPAL DE VALLADOLID.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2"/>
    <s v="22706"/>
  </r>
  <r>
    <n v="220210050999"/>
    <s v="AD"/>
    <d v="2021-09-07T00:00:00"/>
    <n v="22021005980"/>
    <s v="2021 04 9209 625"/>
    <n v="13618.55"/>
    <x v="505"/>
    <s v="ADQUISICIÓN DE MOBILIARIO CON DESTINO AL DEPARTAMENTO DE PATRIMONIO."/>
    <s v="220"/>
    <s v="VALLADOLID"/>
    <s v="VALLADOLID"/>
    <x v="1"/>
    <s v="AdDirec - Adjudicación Directa"/>
    <s v="SinC - Sin Criterio"/>
    <x v="0"/>
    <x v="2"/>
    <s v="6"/>
    <s v="6. Inversiones reales"/>
    <s v="04"/>
    <x v="3"/>
    <s v="9209"/>
    <s v="9209. Dirección del area de hacienda y función pública"/>
    <s v="62"/>
    <s v="625"/>
  </r>
  <r>
    <n v="220210050965"/>
    <s v="D"/>
    <d v="2021-09-07T00:00:00"/>
    <n v="22021003653"/>
    <s v="2021 06 2315 22799"/>
    <n v="13163.18"/>
    <x v="882"/>
    <s v="CONTRATO DE SERVICIOS PARA GESTIÓN Y DES. DE TALLERES EDUCATIVOS EN MATERIA DE IGUALDAD Y CONTRA LA VIOLENCIA. AÑO 2021"/>
    <s v="300"/>
    <s v="BURGOS"/>
    <s v="BURGOS"/>
    <x v="0"/>
    <s v="PrAbier - Procedimiento Abierto"/>
    <s v="MultiC - MultiCriterio"/>
    <x v="1"/>
    <x v="2"/>
    <s v="2"/>
    <s v="2. Gastos corrientes en bienes y servicios"/>
    <s v="06"/>
    <x v="0"/>
    <s v="2315"/>
    <s v="2315. Políticas de Igualdad e infancia"/>
    <s v="22"/>
    <s v="22799"/>
  </r>
  <r>
    <n v="220210049412"/>
    <s v="AD"/>
    <d v="2021-08-24T00:00:00"/>
    <n v="22021006048"/>
    <s v="2021 07 1701 22706"/>
    <n v="13068"/>
    <x v="548"/>
    <s v="ASISTENCIA TÉCNICA ELABORACIÓN DOCUMENTACIÓN CONVOCATORIA FUNDACIÓN BIODIVERSIDAD. PLAZO: 1,5 MESES DESDE  CONVOCATORIA."/>
    <s v="220"/>
    <s v="VILLAMURIEL DE CERRATO"/>
    <s v="PALENCIA"/>
    <x v="0"/>
    <s v="AdDirec - Adjudicación Directa"/>
    <s v="SinC - Sin Criterio"/>
    <x v="0"/>
    <x v="2"/>
    <s v="2"/>
    <s v="2. Gastos corrientes en bienes y servicios"/>
    <s v="07"/>
    <x v="7"/>
    <s v="1701"/>
    <s v="1701. Dirección del área de medio ambiente"/>
    <s v="22"/>
    <s v="22706"/>
  </r>
  <r>
    <n v="220210043814"/>
    <s v="AD"/>
    <d v="2021-07-27T00:00:00"/>
    <n v="22021005871"/>
    <s v="2021 03 9241 22609"/>
    <n v="990"/>
    <x v="883"/>
    <s v="ACTUACIONES EN CIC SANTIAGO LOPEZ Y EN LAS MORERAS, LOS DIAS 06/06//2021 Y 09/07/2021 RESPECTIVAMENTE. MFS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39693"/>
    <s v="AD"/>
    <d v="2021-07-16T00:00:00"/>
    <n v="22021005736"/>
    <s v="2021 03 9241 22609"/>
    <n v="300"/>
    <x v="884"/>
    <s v="CONCIERTO DEL DUO &quot;&quot;LUGARES COMUNES&quot;&quot; 15/06/2021 COLABORACIÓN PROGRAMA &quot;&quot;EN JUNIO LA ESGUEVA&quot;&quot;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43777"/>
    <s v="AD"/>
    <d v="2021-07-27T00:00:00"/>
    <n v="22021005796"/>
    <s v="2021 10 2316 22616"/>
    <n v="300"/>
    <x v="884"/>
    <s v="Dos talleres de percusión intercultural dirigido a personas jóvenes.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9697"/>
    <s v="AD"/>
    <d v="2021-07-16T00:00:00"/>
    <n v="22021005752"/>
    <s v="2021 06 2314 22699"/>
    <n v="1379.4"/>
    <x v="885"/>
    <s v="COLABORACIÓN Y STAND EN EL XV SALON DEL COMIC Y MANGA DE CASTILLA Y LEON DIAS 25, 26 Y 27 DE JUNIO D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699"/>
  </r>
  <r>
    <n v="220210044566"/>
    <s v="AD"/>
    <d v="2021-07-30T00:00:00"/>
    <n v="22021005952"/>
    <s v="2021 03 9241 22699"/>
    <n v="786.5"/>
    <x v="885"/>
    <s v="COLABORACIÓN EN XV SALÓN DEL COMIC Y MANGA DE CYL. ACERA RECOLETOS 25,26 Y 27 DE JUNI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37243"/>
    <s v="AD"/>
    <d v="2021-07-14T00:00:00"/>
    <n v="22021005134"/>
    <s v="2021 04 9204 641"/>
    <n v="13068"/>
    <x v="62"/>
    <s v="SUMINISTRO DE DOS LICENCIAS DEL PRODUCTO BMC REMEDY HELP DESK"/>
    <s v="220"/>
    <s v="MADRID"/>
    <s v="MADRID"/>
    <x v="1"/>
    <s v="AdDirec - Adjudicación Directa"/>
    <s v="SinC - Sin Criterio"/>
    <x v="0"/>
    <x v="2"/>
    <s v="6"/>
    <s v="6. Inversiones reales"/>
    <s v="04"/>
    <x v="3"/>
    <s v="9204"/>
    <s v="9204. Tecnologías de la información y comunicación"/>
    <s v="64"/>
    <s v="641"/>
  </r>
  <r>
    <n v="220210045360"/>
    <s v="AD"/>
    <d v="2021-08-05T00:00:00"/>
    <n v="22021004773"/>
    <s v="2021 04 9204 216"/>
    <n v="45495.14"/>
    <x v="62"/>
    <s v="ASISTENCIA TÉCNICA OPERACIÓN, CAU, Y MANTENIMIENTO  DEL SOFTWARE DE BASE Y COMUNICACIONES LOTE 3,  31/10 AL 31/12/21"/>
    <s v="220"/>
    <s v="MADRID"/>
    <s v="MADRID"/>
    <x v="0"/>
    <s v="PrAbier - Procedimiento Abierto"/>
    <s v="MultiC - Multi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8348"/>
    <s v="AD"/>
    <d v="2021-07-15T00:00:00"/>
    <n v="22021005424"/>
    <s v="2021 10 2316 22616"/>
    <n v="1818.51"/>
    <x v="886"/>
    <s v="Serv. técnico de imagen y sonido jornada técn. inmigración y convivencia.  XVIII Semana Intercultural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6727"/>
    <s v="AD"/>
    <d v="2021-07-08T00:00:00"/>
    <n v="22021004839"/>
    <s v="2021 11 1621 214"/>
    <n v="258.08999999999997"/>
    <x v="64"/>
    <s v="COMPROBACION Y REVISIÓN INYECTORES PARA REPARACION VEHICULO 0373 GTW DEL Sº DE LIMPIEZA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9775"/>
    <s v="D"/>
    <d v="2021-08-25T00:00:00"/>
    <n v="22020005803"/>
    <s v="2021 11 1321 624"/>
    <n v="312.37"/>
    <x v="64"/>
    <s v="ACUERDO MARCO. REVISION- ACEITE- FILTROS- GESTION DE RESIDUOS + M.O.MATRÍCULA 8831-JXF /// POLICIA MPAL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321"/>
    <s v="1321. Policía municipal"/>
    <s v="62"/>
    <s v="624"/>
  </r>
  <r>
    <n v="220210043793"/>
    <s v="D"/>
    <d v="2021-07-27T00:00:00"/>
    <n v="22021003334"/>
    <s v="2021 04 9204 641"/>
    <n v="10300"/>
    <x v="887"/>
    <s v="SISTEMA DE CITA PREVIA, LOTE 13"/>
    <s v="300"/>
    <s v="BARCELONA"/>
    <s v="BARCELONA"/>
    <x v="1"/>
    <s v="PrAbier - Procedimiento Abierto"/>
    <s v="UniC - Único Criterio"/>
    <x v="1"/>
    <x v="2"/>
    <s v="6"/>
    <s v="6. Inversiones reales"/>
    <s v="04"/>
    <x v="3"/>
    <s v="9204"/>
    <s v="9204. Tecnologías de la información y comunicación"/>
    <s v="64"/>
    <s v="641"/>
  </r>
  <r>
    <n v="220210048522"/>
    <s v="AD"/>
    <d v="2021-08-20T00:00:00"/>
    <n v="22021005964"/>
    <s v="2021 02 9332 632"/>
    <n v="12138.36"/>
    <x v="641"/>
    <s v="TRABAJOS URGENTES FIJACIÓN TEJAS EN TEJADO PATIO S. BENITO POR SEGURIDAD DE ASISTENTES Y PERSONAL QUE ACCEDE AL PATIO"/>
    <s v="220"/>
    <s v="VALLADOLID"/>
    <s v="VALLADOLID"/>
    <x v="2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36227"/>
    <s v="AD"/>
    <d v="2021-07-06T00:00:00"/>
    <n v="22021004327"/>
    <s v="2021 04 9231 22799"/>
    <n v="3630.66"/>
    <x v="67"/>
    <s v="PRORROGA MANTENIMIENTO WEB OBSERVATORIO URBANO 2021-2022. SERVICIO INFORMACION"/>
    <s v="220"/>
    <s v="VALLADOLID"/>
    <s v="VALLADOLID"/>
    <x v="0"/>
    <s v="PrAbier - Procedimiento Abierto"/>
    <s v="MultiC - MultiCriterio"/>
    <x v="1"/>
    <x v="2"/>
    <s v="2"/>
    <s v="2. Gastos corrientes en bienes y servicios"/>
    <s v="04"/>
    <x v="3"/>
    <s v="9231"/>
    <s v="9231. Información, registro y gestión del padrón"/>
    <s v="22"/>
    <s v="22799"/>
  </r>
  <r>
    <n v="220210044732"/>
    <s v="AD"/>
    <d v="2021-07-30T00:00:00"/>
    <n v="22021003499"/>
    <s v="2021 05 4331 22799"/>
    <n v="1685.2"/>
    <x v="67"/>
    <s v="Prorroga del contrato del Observatorio Urbano para los años 2021-2022. Agencia de Innovación"/>
    <s v="220"/>
    <s v="VALLADOLID"/>
    <s v="VALLADOLID"/>
    <x v="0"/>
    <s v="PrAbier - Procedimiento Abierto"/>
    <s v="MultiC - MultiCriterio"/>
    <x v="1"/>
    <x v="2"/>
    <s v="2"/>
    <s v="2. Gastos corrientes en bienes y servicios"/>
    <s v="05"/>
    <x v="6"/>
    <s v="4331"/>
    <s v="4331. Desarrollo empresarial"/>
    <s v="22"/>
    <s v="22799"/>
  </r>
  <r>
    <n v="220210044643"/>
    <s v="AD"/>
    <d v="2021-07-30T00:00:00"/>
    <n v="22021003545"/>
    <s v="2021 09 3301 22799"/>
    <n v="382.17"/>
    <x v="67"/>
    <s v="PRORROGA CONTRATO  PUBLICACIÓN DATOS DEL OBSERVATORIO CULTURAL Y TURISTICO EN OBSERVATORIO URBANO  25/10  AL 31/12/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09"/>
    <x v="1"/>
    <s v="3301"/>
    <s v="3301. Dirección del área de cultura"/>
    <s v="22"/>
    <s v="22799"/>
  </r>
  <r>
    <n v="220210037252"/>
    <s v="D"/>
    <d v="2021-07-14T00:00:00"/>
    <n v="22021003878"/>
    <s v="2021 01 9312 22706"/>
    <n v="2722.5"/>
    <x v="69"/>
    <s v="MANTENIMIENTO Y ASISTENCIA TECNICA DE LA APLICACION DE CONTABILIDAD ANALITICA (ANUALIDAD 2021)"/>
    <s v="300"/>
    <s v="ECIJA"/>
    <s v="SEVILLA"/>
    <x v="0"/>
    <s v="PrNegSP - Procedimiento Negociado Sin Publicidad"/>
    <s v="SinC - Sin Criterio"/>
    <x v="4"/>
    <x v="2"/>
    <s v="2"/>
    <s v="2. Gastos corrientes en bienes y servicios"/>
    <s v="01"/>
    <x v="4"/>
    <s v="9312"/>
    <s v="9312. Intervención general"/>
    <s v="22"/>
    <s v="22706"/>
  </r>
  <r>
    <n v="220210043794"/>
    <s v="D"/>
    <d v="2021-07-27T00:00:00"/>
    <n v="22021003335"/>
    <s v="2021 04 9204 641"/>
    <n v="7260"/>
    <x v="888"/>
    <s v="SISTEMA DE INFORMACIÓN AL CIUDADANO Y GESTION DE SUGERENCIAS Y QUEJAS, DOGMA, LOTE 14"/>
    <s v="300"/>
    <s v="TRES CANTOS"/>
    <s v="MADRID"/>
    <x v="1"/>
    <s v="PrAbier - Procedimiento Abierto"/>
    <s v="UniC - Único Criterio"/>
    <x v="1"/>
    <x v="2"/>
    <s v="6"/>
    <s v="6. Inversiones reales"/>
    <s v="04"/>
    <x v="3"/>
    <s v="9204"/>
    <s v="9204. Tecnologías de la información y comunicación"/>
    <s v="64"/>
    <s v="641"/>
  </r>
  <r>
    <n v="220210043782"/>
    <s v="D"/>
    <d v="2021-07-27T00:00:00"/>
    <n v="22021003302"/>
    <s v="2021 04 9204 216"/>
    <n v="3977.87"/>
    <x v="889"/>
    <s v="GESTIÓN DE BIBLIOTECAS DEL ARCHIVO MUNICIPAL AbsyNET, LOTE 1"/>
    <s v="300"/>
    <s v="MADRID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6332"/>
    <s v="D"/>
    <d v="2021-07-07T00:00:00"/>
    <n v="22021004276"/>
    <s v="2021 09 3341 213"/>
    <n v="2131.41"/>
    <x v="74"/>
    <s v="REPARACION PUERTA AUTOMATICA PEATONAL DCPULA DEL MILENIO: SUSTITUCION DE HOJAS DE VIDRIO LAMINADO Y CERRADURA. MAYO 2021"/>
    <s v="300"/>
    <s v="VALLADOLID"/>
    <s v="VALLADOLID"/>
    <x v="1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1"/>
    <s v="213"/>
  </r>
  <r>
    <n v="220210043804"/>
    <s v="AD"/>
    <d v="2021-07-27T00:00:00"/>
    <n v="22021005803"/>
    <s v="2021 03 9241 203"/>
    <n v="2117.5"/>
    <x v="538"/>
    <s v="ALQUILER VALLAS CC CAMPILLO (JUNIO-DICIEMBRE 2021)"/>
    <s v="220"/>
    <s v="VALLADOLID"/>
    <s v="VALLADOLID"/>
    <x v="4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0"/>
    <s v="203"/>
  </r>
  <r>
    <n v="220210048392"/>
    <s v="AD"/>
    <d v="2021-08-18T00:00:00"/>
    <n v="22021005879"/>
    <s v="2021 05 4314 22799"/>
    <n v="10890"/>
    <x v="890"/>
    <s v="CT SERVICIO DE DIAGNÓSTICO TÉCNICO DE LOS EDIFICIOS E INSTALACIONES DE LOS MERCADOS MUNICIPALES DEL,CAMP, VALY MARQUESI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14"/>
    <s v="4314. Fomento del comercio"/>
    <s v="22"/>
    <s v="22799"/>
  </r>
  <r>
    <n v="220210040691"/>
    <s v="AD"/>
    <d v="2021-07-20T00:00:00"/>
    <n v="22021005296"/>
    <s v="2021 10 2311 632"/>
    <n v="147.13"/>
    <x v="802"/>
    <s v="CONTROL DE CALIDAD OBRAS REPARACIÓN VIV. CALLE GUARDERIA Y VIV. CALLE OSA MAYOR. 2021"/>
    <s v="220"/>
    <s v="SANT CUGAT DEL VALLES"/>
    <s v="BARCELONA"/>
    <x v="2"/>
    <s v="PrAbier - Procedimiento Abierto"/>
    <s v="MultiC - MultiCriterio"/>
    <x v="2"/>
    <x v="2"/>
    <s v="6"/>
    <s v="6. Inversiones reales"/>
    <s v="10"/>
    <x v="8"/>
    <s v="2311"/>
    <s v="2311. Intervención social"/>
    <s v="63"/>
    <s v="632"/>
  </r>
  <r>
    <n v="220210036483"/>
    <s v="AD"/>
    <d v="2021-07-07T00:00:00"/>
    <n v="22021004806"/>
    <s v="2021 08 1532 619"/>
    <n v="4548.54"/>
    <x v="802"/>
    <s v="AT.y seguimiento mensual del Control Calidad de Obras municipales y ensayos de laboratorio para obras del SEPI."/>
    <s v="220"/>
    <s v="SANT CUGAT DEL VALLES"/>
    <s v="BARCELON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35417"/>
    <s v="AD"/>
    <d v="2021-07-02T00:00:00"/>
    <n v="22021005112"/>
    <s v="2021 07 1711 619"/>
    <n v="4528.1099999999997"/>
    <x v="802"/>
    <s v="CONTROL DE CALIDAD MEJORA INSTALACIONES EN PARQUE DE LAS NORIAS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3824"/>
    <s v="AD"/>
    <d v="2021-07-27T00:00:00"/>
    <n v="22021003909"/>
    <s v="2021 05 4331 609"/>
    <n v="4293.92"/>
    <x v="802"/>
    <s v="A.M. Control de Calidad Obras municipales EJECUCION DE CONTRATO DE OBRAS CORREDOR VERDE-(URBAN GreenUP G.A. nº 730426)"/>
    <s v="230"/>
    <s v="SANT CUGAT DEL VALLES"/>
    <s v="BARCELONA"/>
    <x v="2"/>
    <s v="PrAbier - Procedimiento Abierto"/>
    <s v="UniC - Único Criterio"/>
    <x v="2"/>
    <x v="2"/>
    <s v="6"/>
    <s v="6. Inversiones reales"/>
    <s v="05"/>
    <x v="6"/>
    <s v="4331"/>
    <s v="4331. Desarrollo empresarial"/>
    <s v="60"/>
    <s v="609"/>
  </r>
  <r>
    <n v="220210034201"/>
    <s v="D"/>
    <d v="2021-07-01T00:00:00"/>
    <n v="22021002412"/>
    <s v="2021 08 1532 619"/>
    <n v="3496.77"/>
    <x v="802"/>
    <s v="A.T. Control Calidad  en obras de Expte. 5/2021  &quot;&quot;Contrato de obras de actuaciones y reformas en varias plazas&quot;&quot;"/>
    <s v="300"/>
    <s v="SANT CUGAT DEL VALLES"/>
    <s v="BARCELON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37302"/>
    <s v="AD"/>
    <d v="2021-07-15T00:00:00"/>
    <n v="22021005143"/>
    <s v="2021 07 1711 619"/>
    <n v="2973.87"/>
    <x v="802"/>
    <s v="CONTROL DE CALIDAD ACONDICIONAMIENTO PARQUE LAS LAVANDERAS, LA OVERUEL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6835"/>
    <s v="AD"/>
    <d v="2021-07-12T00:00:00"/>
    <n v="22021005104"/>
    <s v="2021 08 1532 619"/>
    <n v="2792.65"/>
    <x v="802"/>
    <s v="A.T. CONTROL DALIDAD LOTE 2. ACERA Y CARRIL BICI EN CARRETERA DE RUEDA.-"/>
    <s v="220"/>
    <s v="SANT CUGAT DEL VALLES"/>
    <s v="BARCELON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37299"/>
    <s v="AD"/>
    <d v="2021-07-15T00:00:00"/>
    <n v="22021005145"/>
    <s v="2021 07 1711 619"/>
    <n v="1755.95"/>
    <x v="802"/>
    <s v="CONTROL DE CALIDAD, REMODELACION FUENTE EN CALLE ALCAPARR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3856"/>
    <s v="AD"/>
    <d v="2021-07-28T00:00:00"/>
    <n v="22021004898"/>
    <s v="2021 07 1711 619"/>
    <n v="1544.29"/>
    <x v="802"/>
    <s v="CONTROL DE CALIDAD, ADECUACION PASARELA PARQUE DE LOS ALMENDROS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7241"/>
    <s v="D"/>
    <d v="2021-07-14T00:00:00"/>
    <n v="22021002556"/>
    <s v="2021 11 3111 632"/>
    <n v="1219.68"/>
    <x v="802"/>
    <s v="A.M. 009/2020 CONTRATO LOTE 2 : ASISTENCIA TECNICA CONTROL CALIDAD  DE OBRAS REFORMA CMPA"/>
    <s v="300"/>
    <s v="SANT CUGAT DEL VALLES"/>
    <s v="BARCELONA"/>
    <x v="0"/>
    <s v="PrAbier - Procedimiento Abierto"/>
    <s v="MultiC - MultiCriterio"/>
    <x v="2"/>
    <x v="2"/>
    <s v="6"/>
    <s v="6. Inversiones reales"/>
    <s v="11"/>
    <x v="5"/>
    <s v="3111"/>
    <s v="3111. Protección de la salubridad pública"/>
    <s v="63"/>
    <s v="632"/>
  </r>
  <r>
    <n v="220210043879"/>
    <s v="AD"/>
    <d v="2021-07-28T00:00:00"/>
    <n v="22021005172"/>
    <s v="2021 07 1711 619"/>
    <n v="831.43"/>
    <x v="802"/>
    <s v="CONTROL DE CALIDAD CAMINO PAVIMENTADO JUNTO A PARQUE PATRICI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8356"/>
    <s v="AD"/>
    <d v="2021-07-15T00:00:00"/>
    <n v="22021005582"/>
    <s v="2021 05 4314 632"/>
    <n v="668.07"/>
    <x v="802"/>
    <s v="CONTRATO  ASISTENC. TÉCNICA DEL CONTROL DE CALIDAD  (LOTE 2)  OBRA DE REPARACIÓN DE LAS ESCALERAS DE ACCESO  M. DELICIAS"/>
    <s v="220"/>
    <s v="SANT CUGAT DEL VALLES"/>
    <s v="BARCELONA"/>
    <x v="2"/>
    <s v="PrAbier - Procedimiento Abierto"/>
    <s v="MultiC - MultiCriterio"/>
    <x v="2"/>
    <x v="2"/>
    <s v="6"/>
    <s v="6. Inversiones reales"/>
    <s v="05"/>
    <x v="6"/>
    <s v="4314"/>
    <s v="4314. Fomento del comercio"/>
    <s v="63"/>
    <s v="632"/>
  </r>
  <r>
    <n v="220210041566"/>
    <s v="AD"/>
    <d v="2021-07-21T00:00:00"/>
    <n v="22021005614"/>
    <s v="2021 06 3232 22706"/>
    <n v="642.73"/>
    <x v="802"/>
    <s v="LOTE 2 ASISTENCIA TECNICA CONTROL CALIDAD OBRAS REPARACION SUELOS DE MADERA EN CEIP ISABEL LA CATOLICA Y SAN FERNANDO"/>
    <s v="220"/>
    <s v="SANT CUGAT DEL VALLES"/>
    <s v="BARCELONA"/>
    <x v="0"/>
    <s v="PrAbier - Procedimiento Abierto"/>
    <s v="MultiC - MultiCriterio"/>
    <x v="2"/>
    <x v="2"/>
    <s v="2"/>
    <s v="2. Gastos corrientes en bienes y servicios"/>
    <s v="06"/>
    <x v="0"/>
    <s v="3232"/>
    <s v="3232. Conservación y mantenimiento centros educación infantil y primaria"/>
    <s v="22"/>
    <s v="22706"/>
  </r>
  <r>
    <n v="220210044271"/>
    <s v="AD"/>
    <d v="2021-07-29T00:00:00"/>
    <n v="22021005910"/>
    <s v="2021 05 4314 632"/>
    <n v="490.33"/>
    <x v="802"/>
    <s v="contorl calidad obra adaptación puesto 29 mercado delicias punto limpio proximidad Delicias 8"/>
    <s v="220"/>
    <s v="SANT CUGAT DEL VALLES"/>
    <s v="BARCELONA"/>
    <x v="0"/>
    <s v="PrAbier - Procedimiento Abierto"/>
    <s v="MultiC - MultiCriterio"/>
    <x v="2"/>
    <x v="2"/>
    <s v="6"/>
    <s v="6. Inversiones reales"/>
    <s v="05"/>
    <x v="6"/>
    <s v="4314"/>
    <s v="4314. Fomento del comercio"/>
    <s v="63"/>
    <s v="632"/>
  </r>
  <r>
    <n v="220210042108"/>
    <s v="AD"/>
    <d v="2021-07-23T00:00:00"/>
    <n v="22021005621"/>
    <s v="2021 06 3232 632"/>
    <n v="454.85"/>
    <x v="802"/>
    <s v="LOTE 2 ASISTENCIA TECNICA CONTROL DE CALIDAD OBRA REPARACIÓN CUBIERTAS VARIOS CEIP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43821"/>
    <s v="AD"/>
    <d v="2021-07-27T00:00:00"/>
    <n v="22021005780"/>
    <s v="2021 09 3341 632"/>
    <n v="441.26"/>
    <x v="802"/>
    <s v="CONTROL DE CALIDAD LOTE 2. OBRA VALLADO EDIFICIOS PARCELA ANTIGUA HIPICA MILITAR. (ACUERDO MARCO)"/>
    <s v="220"/>
    <s v="SANT CUGAT DEL VALLES"/>
    <s v="BARCELONA"/>
    <x v="0"/>
    <s v="PrAbier - Procedimiento Abierto"/>
    <s v="MultiC - MultiCriterio"/>
    <x v="2"/>
    <x v="2"/>
    <s v="6"/>
    <s v="6. Inversiones reales"/>
    <s v="09"/>
    <x v="1"/>
    <s v="3341"/>
    <s v="3341. Coordinación de políticas culturales"/>
    <s v="63"/>
    <s v="632"/>
  </r>
  <r>
    <n v="220210035421"/>
    <s v="AD"/>
    <d v="2021-07-02T00:00:00"/>
    <n v="22021005158"/>
    <s v="2021 06 3232 632"/>
    <n v="326.31"/>
    <x v="802"/>
    <s v="ASISTENCIA TECNICA EN EL CONTROL DE CALIDAD PARA LA SUSTITUCIÓN DE SOLADOS DE PVC EN VARIOS COLEGIOS PUBLICOS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42110"/>
    <s v="AD"/>
    <d v="2021-07-23T00:00:00"/>
    <n v="22021005625"/>
    <s v="2021 06 3232 632"/>
    <n v="278.72000000000003"/>
    <x v="802"/>
    <s v="LOTE 2 ASISTENCIA TECNICA EN CONTROL DE CALIDAD PARA LA REFORMA DE SOLERAS EN LOS PATIOS VICENTE ALEIXANDRE-PONCE LEON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43876"/>
    <s v="AD"/>
    <d v="2021-07-28T00:00:00"/>
    <n v="22021005788"/>
    <s v="2021 06 3231 632"/>
    <n v="165.54"/>
    <x v="802"/>
    <s v="LOTE 2 ASISTENCIA TECNICA EN EL CONTROL DE CALIDAD PARA LA REFORMA ASEOS CASA NIÑOS/NIÑAS PAJARILLOS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37288"/>
    <s v="AD"/>
    <d v="2021-07-14T00:00:00"/>
    <n v="22021004411"/>
    <s v="2021 05 4331 609"/>
    <n v="25.41"/>
    <x v="802"/>
    <s v="Estudio Control Calidad Contrato Obras infraestructura verde: Barreras Acústicas Vegetales(URBAN GreenUP G.A. nº 730426)"/>
    <s v="230"/>
    <s v="SANT CUGAT DEL VALLES"/>
    <s v="BARCELONA"/>
    <x v="2"/>
    <s v="PrAbier - Procedimiento Abierto"/>
    <s v="MultiC - MultiCriterio"/>
    <x v="2"/>
    <x v="2"/>
    <s v="6"/>
    <s v="6. Inversiones reales"/>
    <s v="05"/>
    <x v="6"/>
    <s v="4331"/>
    <s v="4331. Desarrollo empresarial"/>
    <s v="60"/>
    <s v="609"/>
  </r>
  <r>
    <n v="220210056343"/>
    <s v="AD"/>
    <d v="2021-09-15T00:00:00"/>
    <n v="22021006300"/>
    <s v="2021 06 3231 622"/>
    <n v="4588.8"/>
    <x v="802"/>
    <s v="SE-EIJI 21/2021. PS 1. ASISTENCIA TÉCNICA EN CONTROL DE CALIDAD CONSTRUCCIÓN NUEVA E.I.M. SEPT A DIC DE 2021.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2"/>
    <s v="622"/>
  </r>
  <r>
    <n v="220210056353"/>
    <s v="AD"/>
    <d v="2021-09-15T00:00:00"/>
    <n v="22021006364"/>
    <s v="2021 07 1711 619"/>
    <n v="3318.9"/>
    <x v="802"/>
    <s v="CONTROL DE CALIDAD EJECUCIÓN DE FIRME DE LOS CAMINOS DEL NUEVO BOSQUE URBANO DE SANTA ANA.    V.6/2020   LOTE 1 PS22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56345"/>
    <s v="AD"/>
    <d v="2021-09-15T00:00:00"/>
    <n v="22021006358"/>
    <s v="2021 07 1711 632"/>
    <n v="2835.39"/>
    <x v="802"/>
    <s v="CONTROL DE CALIDAD  ADECUACIÓN  CASETA DE LOS JARDINEROS EN  PARQUE DE LOS JERÓNIMOS. V.6-2020 LOTE1 PS20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7"/>
    <s v="1711"/>
    <s v="1711. Parques y jardines"/>
    <s v="63"/>
    <s v="632"/>
  </r>
  <r>
    <n v="220210056296"/>
    <s v="AD"/>
    <d v="2021-09-15T00:00:00"/>
    <n v="22021006395"/>
    <s v="2021 05 4331 622"/>
    <n v="1943.75"/>
    <x v="802"/>
    <s v="A.M. Control de calidad de las obras de adecuación de la Nave ubicada en la calle Valle de Arán nº 1 para Hub de Innovac"/>
    <s v="220"/>
    <s v="SANT CUGAT DEL VALLES"/>
    <s v="BARCELONA"/>
    <x v="2"/>
    <s v="PrAbier - Procedimiento Abierto"/>
    <s v="MultiC - MultiCriterio"/>
    <x v="2"/>
    <x v="2"/>
    <s v="6"/>
    <s v="6. Inversiones reales"/>
    <s v="05"/>
    <x v="6"/>
    <s v="4331"/>
    <s v="4331. Desarrollo empresarial"/>
    <s v="62"/>
    <s v="622"/>
  </r>
  <r>
    <n v="220210050947"/>
    <s v="AD"/>
    <d v="2021-09-07T00:00:00"/>
    <n v="22021005706"/>
    <s v="2021 03 9241 632"/>
    <n v="935.62"/>
    <x v="802"/>
    <s v="CONTROL CALIDAD OBRA ARREGLO INTEGRAL DEL TEJADO CC PILARICA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50949"/>
    <s v="AD"/>
    <d v="2021-09-07T00:00:00"/>
    <n v="22021005708"/>
    <s v="2021 03 9241 632"/>
    <n v="889.55"/>
    <x v="802"/>
    <s v="CONTROL CALIDAD OBRA ARREGLO DE GOTERAS Y HUMEDADES TEJADO DEL CIC CONDE ANSÚREZ. LOTE 3"/>
    <s v="220"/>
    <s v="SANT CUGAT DEL VALLES"/>
    <s v="BARCELONA"/>
    <x v="0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2"/>
  </r>
  <r>
    <n v="220210056285"/>
    <s v="AD"/>
    <d v="2021-09-15T00:00:00"/>
    <n v="22021005771"/>
    <s v="2021 11 1631 632"/>
    <n v="671.1"/>
    <x v="802"/>
    <s v="CONTROL CALIDAD CONSTRUCCIÓN MÓDULO OFICINAS Y LAVANDERIA PARA TALLER DEL SERVICIO DE LIMPIEZA"/>
    <s v="230"/>
    <s v="SANT CUGAT DEL VALLES"/>
    <s v="BARCELONA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2"/>
  </r>
  <r>
    <n v="220210056290"/>
    <s v="AD"/>
    <d v="2021-09-15T00:00:00"/>
    <n v="22021005812"/>
    <s v="2021 10 2311 632"/>
    <n v="605.04999999999995"/>
    <x v="802"/>
    <s v="asist.tec. control calidad obras reparación e impermeab.aseos Centro Integrado para pers.sin hogar. COVID-19"/>
    <s v="230"/>
    <s v="SANT CUGAT DEL VALLES"/>
    <s v="BARCELONA"/>
    <x v="2"/>
    <s v="PrAbier - Procedimiento Abierto"/>
    <s v="MultiC - MultiCriterio"/>
    <x v="2"/>
    <x v="2"/>
    <s v="6"/>
    <s v="6. Inversiones reales"/>
    <s v="10"/>
    <x v="8"/>
    <s v="2311"/>
    <s v="2311. Intervención social"/>
    <s v="63"/>
    <s v="632"/>
  </r>
  <r>
    <n v="220210050353"/>
    <s v="AD"/>
    <d v="2021-08-30T00:00:00"/>
    <n v="22021006120"/>
    <s v="2021 06 3231 632"/>
    <n v="258.33"/>
    <x v="802"/>
    <s v="ASISTENCIA TECNICA EN EL CONTROL DE CALIDAD PARA LA OBRA DE REFORMA SOLERA Y ZONA DE LA CUBIERTA EN LA EIM CAMPANILLA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50950"/>
    <s v="AD"/>
    <d v="2021-09-07T00:00:00"/>
    <n v="22021005709"/>
    <s v="2021 03 9241 632"/>
    <n v="233.87"/>
    <x v="802"/>
    <s v="CONTROL CALIDAD OBRA RECONSTRUCCIÓN DEL ACCESO AL CEAS DEL CC DELICIAS. LOTE 4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50948"/>
    <s v="AD"/>
    <d v="2021-09-07T00:00:00"/>
    <n v="22021005707"/>
    <s v="2021 03 9241 632"/>
    <n v="167.48"/>
    <x v="802"/>
    <s v="CONTROL CALIDAD OBRA ARREGLO INTEGRAL DEL TEJADO DEL ANFITEATRO DEL CC PARQUESOL. LOTE 2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49715"/>
    <s v="AD"/>
    <d v="2021-08-25T00:00:00"/>
    <n v="22021002922"/>
    <s v="2021 08 1532 619"/>
    <n v="10254.75"/>
    <x v="891"/>
    <s v="Redacción proyecto &quot;&quot;Nueva intersección de acceso al polígono industrial EL BERROCAL desde antigua N-620&quot;&quot;.-"/>
    <s v="220"/>
    <s v="MADRID"/>
    <s v="MADRID"/>
    <x v="0"/>
    <s v="AdDirec - Adjudicación Directa"/>
    <s v="SinC - Sin Criterio"/>
    <x v="0"/>
    <x v="2"/>
    <s v="6"/>
    <s v="6. Inversiones reales"/>
    <s v="08"/>
    <x v="9"/>
    <s v="1532"/>
    <s v="1532. Pavimentación vias públicas y otros servicios urbanísticos"/>
    <s v="61"/>
    <s v="619"/>
  </r>
  <r>
    <n v="220210035416"/>
    <s v="AD"/>
    <d v="2021-07-02T00:00:00"/>
    <n v="22021005268"/>
    <s v="2021 06 3321 632"/>
    <n v="1750"/>
    <x v="82"/>
    <s v="SUMINISTRO LUMINARIAS PARA REPOSICIÓN (CAMBIO A LED) EN LA BIBLIOTECA DE SAN JUAN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3321"/>
    <s v="3321. Bibliotecas públicas"/>
    <s v="63"/>
    <s v="632"/>
  </r>
  <r>
    <n v="220210042235"/>
    <s v="D"/>
    <d v="2021-07-23T00:00:00"/>
    <n v="22021004276"/>
    <s v="2021 09 3341 213"/>
    <n v="356.83"/>
    <x v="82"/>
    <s v="SUMINISTRO BOMBILLAS LEDSGO DLT180 15W 4000K 100º BL PARA LA CUPULA DEL MILENIO. JUNIO 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1"/>
    <s v="3341"/>
    <s v="3341. Coordinación de políticas culturales"/>
    <s v="21"/>
    <s v="213"/>
  </r>
  <r>
    <n v="220210040191"/>
    <s v="D"/>
    <d v="2021-07-19T00:00:00"/>
    <n v="22021002089"/>
    <s v="2021 03 9241 213"/>
    <n v="1352.48"/>
    <x v="82"/>
    <s v="MATERIALES PARA EL MANTENIMIENTO DE C. SEGUNDO MONTES/ CC RONDILLA/ CIC EMPECINADO/ AA.VV. UNIÓN ESGUEVA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40690"/>
    <s v="D"/>
    <d v="2021-07-20T00:00:00"/>
    <n v="22021002371"/>
    <s v="2021 02 9332 212"/>
    <n v="637"/>
    <x v="82"/>
    <s v="MATERIAL ELECTRICIDAD CENTRO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36340"/>
    <s v="D"/>
    <d v="2021-07-07T00:00:00"/>
    <n v="22021002133"/>
    <s v="2021 08 1651 22199"/>
    <n v="438.87"/>
    <x v="82"/>
    <s v="RV-K  1KV FLEX   3G2,5   UNE.21123 ( 600 UNIDADES ) //// DESTINO: ALUMBRADO PUBL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651"/>
    <s v="1651. Alumbrado público"/>
    <s v="22"/>
    <s v="22199"/>
  </r>
  <r>
    <n v="220210040115"/>
    <s v="D"/>
    <d v="2021-07-19T00:00:00"/>
    <n v="22021002052"/>
    <s v="2021 11 1621 22199"/>
    <n v="321.04000000000002"/>
    <x v="82"/>
    <s v="AC MARCO EXP V36-2017: SUMINISTRO DE MATERIAL DE ELECTRICIDAD //// DESTINOS: ALMACEN-TALLER -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4002"/>
    <s v="D"/>
    <d v="2021-07-28T00:00:00"/>
    <n v="22021002227"/>
    <s v="2021 06 3321 212"/>
    <n v="254.4"/>
    <x v="82"/>
    <s v="LAMPARA +  TASA ECORAEE / FLUORESCENTE PH + TASA /  DESTINO: BIBLIOTECA PAJARILLOS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3321"/>
    <s v="3321. Bibliotecas públicas"/>
    <s v="21"/>
    <s v="212"/>
  </r>
  <r>
    <n v="220210036363"/>
    <s v="D"/>
    <d v="2021-07-07T00:00:00"/>
    <n v="22021001038"/>
    <s v="2021 10 2312 212"/>
    <n v="222.57"/>
    <x v="82"/>
    <s v="MANT. SUMINISTROS DE MATERIAL ELÉCTRICO PARA LOS CENTROS CPM ARCA REAL Y  DELICIAS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2213"/>
    <s v="D"/>
    <d v="2021-07-23T00:00:00"/>
    <n v="22021002089"/>
    <s v="2021 03 9241 213"/>
    <n v="208.56"/>
    <x v="82"/>
    <s v="SUMINISTRO DE DIFERENTE MATERIAL /// DESTINOS: CC DELICIAS-CC JOSE Mª LUELM.-CC BAILARIN V.E.- CIC EMPECINADO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36761"/>
    <s v="D"/>
    <d v="2021-07-09T00:00:00"/>
    <n v="22021002371"/>
    <s v="2021 02 9332 212"/>
    <n v="146.37"/>
    <x v="82"/>
    <s v="ACCES BATERIA / DETECTOR EMP. TECHO / MT CANAL LEGRAND / ANGUL./ TECLA/ INT/// DESTINOS: MNTO - CASA CONSIT.- SAN BENI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0121"/>
    <s v="D"/>
    <d v="2021-07-19T00:00:00"/>
    <n v="22021002057"/>
    <s v="2021 11 1631 22199"/>
    <n v="121.05"/>
    <x v="82"/>
    <s v="AC MARCO EXP V36-2017: SUMINISTRO MATERIAL ELECTRICO SERV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4395"/>
    <s v="D"/>
    <d v="2021-07-30T00:00:00"/>
    <n v="22021002143"/>
    <s v="2021 10 2311 212"/>
    <n v="95.59"/>
    <x v="82"/>
    <s v="F-7436. CADIELSA. CAMPANA TEKA TL6420 BLANCO (1 UNIDAD)  VIVIENDA EN VINOS DE RUED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0916"/>
    <s v="D"/>
    <d v="2021-07-20T00:00:00"/>
    <n v="22021002371"/>
    <s v="2021 02 9332 212"/>
    <n v="46.21"/>
    <x v="82"/>
    <s v="DETECTOR LEGRAND 48941  EMP. 360º  IP41 (1 UD)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0178"/>
    <s v="D"/>
    <d v="2021-07-19T00:00:00"/>
    <n v="22021001966"/>
    <s v="2021 11 1321 213"/>
    <n v="31.82"/>
    <x v="82"/>
    <s v="ACUERDO MARCO. SUMINISTRO LUMINARIA SIMON 72660033-684 NW 60X60 UGR&lt;19 39W / TASA ECORAEE // POLICÍA MUNICIPAL, VICTO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3"/>
  </r>
  <r>
    <n v="220210036363"/>
    <s v="D"/>
    <d v="2021-07-07T00:00:00"/>
    <n v="22021001039"/>
    <s v="2021 10 2312 212"/>
    <n v="14.54"/>
    <x v="82"/>
    <s v="MANT. SUMINISTROS DE MATERIAL ELÉCTRICO PARA LOS CENTROS CPM ARCA REAL Y  DELICIAS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5159"/>
    <s v="D"/>
    <d v="2021-08-03T00:00:00"/>
    <n v="22021002046"/>
    <s v="2021 11 1621 212"/>
    <n v="310.99"/>
    <x v="82"/>
    <s v="AC MARCO EXP V36/217: SUMINISTROS ELECTRICOS REPARACION INSTALACIONE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2"/>
  </r>
  <r>
    <n v="220210045109"/>
    <s v="D"/>
    <d v="2021-08-03T00:00:00"/>
    <n v="22021002057"/>
    <s v="2021 11 1631 22199"/>
    <n v="1174.8"/>
    <x v="82"/>
    <s v="AC MARCO EXP V36-2017: SUMINISTRO DE DIFERENTE MATERIAL ELECTRICO // DESTINO:. LIMPIEZA V. JUAN DE AUST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6996"/>
    <s v="D"/>
    <d v="2021-08-13T00:00:00"/>
    <n v="22021002057"/>
    <s v="2021 11 1631 22199"/>
    <n v="429.54"/>
    <x v="82"/>
    <s v="AC MARCO EXP V36-2017: SUMINISTRO ELECTRICO PARA VESTUAIO DE ZONA &quot;&quot;JUAN DE AUSTRIA&quot;&quot;,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6990"/>
    <s v="D"/>
    <d v="2021-08-13T00:00:00"/>
    <n v="22021002052"/>
    <s v="2021 11 1621 22199"/>
    <n v="327.86"/>
    <x v="82"/>
    <s v="AC MARCO EXP V36-2017: SUMISNITROS ELECTRICOS PARA 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414"/>
    <s v="D"/>
    <d v="2021-08-05T00:00:00"/>
    <n v="22021001275"/>
    <s v="2021 07 1711 22199"/>
    <n v="88.48"/>
    <x v="82"/>
    <s v="ACUERDO MARCO 2017/36, MATERIAL ELECTRI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6053"/>
    <s v="D"/>
    <d v="2021-08-10T00:00:00"/>
    <n v="22021002089"/>
    <s v="2021 03 9241 213"/>
    <n v="78.650000000000006"/>
    <x v="82"/>
    <s v="EMERG. DAISALUX LYRA R/A (4) // CC JOSE Mª LUELM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3"/>
  </r>
  <r>
    <n v="220210045074"/>
    <s v="D"/>
    <d v="2021-08-03T00:00:00"/>
    <n v="22021001038"/>
    <s v="2021 10 2312 212"/>
    <n v="31.9"/>
    <x v="82"/>
    <s v="MANT. SUMINISTRO  DE ZOCALO / MT CANAL LEGRAND / BASTIDOR / MARCO / BASE  /// DESTINO: CPM LA VICTORI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6012"/>
    <s v="D"/>
    <d v="2021-08-10T00:00:00"/>
    <n v="22021002228"/>
    <s v="2021 06 3232 212"/>
    <n v="248.52"/>
    <x v="82"/>
    <s v="SUMINISTRO DE REPUESTOS VARIOS /// DESTINO: C.P. MIGUEL DELIB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647"/>
    <s v="D"/>
    <d v="2021-09-02T00:00:00"/>
    <n v="22021001256"/>
    <s v="2021 07 1721 22112"/>
    <n v="1397.55"/>
    <x v="82"/>
    <s v="PLACA FOT VICTRON  175W-12V Monocris (11 UDS) // CEIP PARQUE ALAMED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12"/>
  </r>
  <r>
    <n v="220210048728"/>
    <s v="D"/>
    <d v="2021-08-20T00:00:00"/>
    <n v="22021002371"/>
    <s v="2021 02 9332 212"/>
    <n v="243.06"/>
    <x v="82"/>
    <s v="GRAPA / LAMPARA PH TORNAD / TASA ECORAEE / LAMPARA PH TORNAD 20 // DESTINOS: CASA CONST.- S.BENITO- MUESTR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0017"/>
    <s v="AD"/>
    <d v="2021-08-26T00:00:00"/>
    <n v="22021006166"/>
    <s v="2021 01 9206 22199"/>
    <n v="220.79"/>
    <x v="82"/>
    <s v="DIVERSO MATERIAL DE ELECTRICIDAD PARA TAREAS DE MANENIMIENTO Y MEJORA DE LAS INSTALACIONES DEL ARCHIVO MUNICIPAL.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4"/>
    <s v="9206"/>
    <s v="9206. Archivo municipal"/>
    <s v="22"/>
    <s v="22199"/>
  </r>
  <r>
    <n v="220210053590"/>
    <s v="D"/>
    <d v="2021-09-13T00:00:00"/>
    <n v="22021002048"/>
    <s v="2021 11 1621 214"/>
    <n v="199.13"/>
    <x v="82"/>
    <s v="AC MARCO EXP V36-2017: REPUESTOS PARA REPARACIONES ELECTRICAS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0149"/>
    <s v="D"/>
    <d v="2021-08-27T00:00:00"/>
    <n v="22021002048"/>
    <s v="2021 11 1621 214"/>
    <n v="145.32"/>
    <x v="82"/>
    <s v="AC MARCO EXP V36-2017: REPUESTOS PARA REPARACIONES EQUIPOS RECOLECTORES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9871"/>
    <s v="D"/>
    <d v="2021-08-25T00:00:00"/>
    <n v="22021001966"/>
    <s v="2021 11 1321 213"/>
    <n v="143.09"/>
    <x v="82"/>
    <s v="ACUERDO MARCO. SUMINISTRO MATERIAL ELÉCTRICO DEPENDENCIAS POLICÍA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3"/>
  </r>
  <r>
    <n v="220210050583"/>
    <s v="D"/>
    <d v="2021-09-02T00:00:00"/>
    <n v="22021002143"/>
    <s v="2021 10 2311 212"/>
    <n v="124.63"/>
    <x v="82"/>
    <s v="F-9219. CADIELSA. SUMINISTRO DE MATERIAL DE ELECTRICIDAD. DESTINO: VIVIENDA EN C/ SALUD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9414"/>
    <s v="AD"/>
    <d v="2021-08-24T00:00:00"/>
    <n v="22021006110"/>
    <s v="2021 01 9206 22199"/>
    <n v="120.77"/>
    <x v="82"/>
    <s v="MATERIAL DE FERRETERÍA ARCHIVO MUNICIPAL, LAMPARA PH CDM-T 150W/942 G12 (4) Y PRENSA INTERFLEX CAPTOP2000 PG11 (25).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4"/>
    <s v="9206"/>
    <s v="9206. Archivo municipal"/>
    <s v="22"/>
    <s v="22199"/>
  </r>
  <r>
    <n v="220210051156"/>
    <s v="D"/>
    <d v="2021-09-09T00:00:00"/>
    <n v="22021002369"/>
    <s v="2021 02 9332 212"/>
    <n v="75.02"/>
    <x v="82"/>
    <s v="ASIENTO GALA MARINA 51420 ANTER. 2007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1153"/>
    <s v="D"/>
    <d v="2021-09-09T00:00:00"/>
    <n v="22021002369"/>
    <s v="2021 02 9332 212"/>
    <n v="54.4"/>
    <x v="82"/>
    <s v="ASIENTO  GALA 51423 FIJO  INODORO MARINA /// DESTINO: MANTENIMIENTO- EDIF. PZA MAYOR 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0086"/>
    <s v="D"/>
    <d v="2021-08-27T00:00:00"/>
    <n v="22021002144"/>
    <s v="2021 10 2311 212"/>
    <n v="12.2"/>
    <x v="82"/>
    <s v="F-8565. CADIELSA.PULSADOR NIESSEN/MARCO/ PORTALAMP. (VIVIENDA VINOS DE RUEDA). DOWNLIGHT PH/TASA ECORAEE (CEAS DELICIAS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0086"/>
    <s v="D"/>
    <d v="2021-08-27T00:00:00"/>
    <n v="22021002143"/>
    <s v="2021 10 2311 212"/>
    <n v="10.55"/>
    <x v="82"/>
    <s v="F-8565. CADIELSA.PULSADOR NIESSEN/MARCO/ PORTALAMP. (VIVIENDA VINOS DE RUEDA). DOWNLIGHT PH/TASA ECORAEE (CEAS DELICIAS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0159"/>
    <s v="D"/>
    <d v="2021-08-27T00:00:00"/>
    <n v="22021002057"/>
    <s v="2021 11 1631 22199"/>
    <n v="7.04"/>
    <x v="82"/>
    <s v="AC MARCO EXP V36-2017: CONMUTADOR LEGRAND 69711 MONOBL.10A (1 UNID)////  DESTINO: VESTUARIO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0649"/>
    <s v="D"/>
    <d v="2021-09-02T00:00:00"/>
    <n v="22021001256"/>
    <s v="2021 07 1721 22112"/>
    <n v="7.02"/>
    <x v="82"/>
    <s v="TUBO LED PH CORE HO 1200MM HO 18W 840 T8  2000LM (1) +  TASA ECORAEE (1) ////   DESTINO: CASA DEL B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12"/>
  </r>
  <r>
    <n v="220210050019"/>
    <s v="AD"/>
    <d v="2021-08-26T00:00:00"/>
    <n v="22021006185"/>
    <s v="2021 05 4331 609"/>
    <n v="7178.6"/>
    <x v="548"/>
    <s v="Direccion de Obras de &quot;&quot; Corredor Verde &quot;&quot; URBAN GreenUP (G.A. 730426 )"/>
    <s v="220"/>
    <s v="VILLAMURIEL DE CERRATO"/>
    <s v="PALENCIA"/>
    <x v="2"/>
    <s v="AdDirec - Adjudicación Directa"/>
    <s v="SinC - Sin Criterio"/>
    <x v="0"/>
    <x v="2"/>
    <s v="6"/>
    <s v="6. Inversiones reales"/>
    <s v="05"/>
    <x v="6"/>
    <s v="4331"/>
    <s v="4331. Desarrollo empresarial"/>
    <s v="60"/>
    <s v="609"/>
  </r>
  <r>
    <n v="220210041579"/>
    <s v="AD"/>
    <d v="2021-07-21T00:00:00"/>
    <n v="22021005712"/>
    <s v="2021 06 3232 213"/>
    <n v="18143.95"/>
    <x v="84"/>
    <s v="CTTO SUSTITUCIÓN Y SUMINISTRO DE PIEZAS MANTENIMIENTO POR DETERIORO O FIN VIDA UTIL EN COLEGIOS HASTA 31/12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50902"/>
    <s v="AD"/>
    <d v="2021-09-03T00:00:00"/>
    <n v="22021006386"/>
    <s v="2021 09 3341 22700"/>
    <n v="7139"/>
    <x v="892"/>
    <s v="DESBROCE Y LIMPIEZA DE LA PARCELA DEL CENTRO ROSA CHACEL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700"/>
  </r>
  <r>
    <n v="220210050709"/>
    <s v="AD"/>
    <d v="2021-09-02T00:00:00"/>
    <n v="22021006328"/>
    <s v="2021 05 4331 22799"/>
    <n v="6582.4"/>
    <x v="893"/>
    <s v="Diseño, producción e instalación de carteles informativos de las intervenciones del proyecto europeo URBAN GreenUP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56312"/>
    <s v="AD"/>
    <d v="2021-09-15T00:00:00"/>
    <n v="22021006482"/>
    <s v="2021 06 2315 22614"/>
    <n v="6413"/>
    <x v="894"/>
    <s v="PROGRAMACION PATIOS VERANO 2021 / ESPEC. DE BAILE EN ESCUELAS DE VALLADOLID PARA PUB. INFANTIL Y FAMILIAR/JULIO Y AGOSTO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49415"/>
    <s v="AD"/>
    <d v="2021-08-24T00:00:00"/>
    <n v="22021006182"/>
    <s v="2021 06 2315 22611"/>
    <n v="6050"/>
    <x v="526"/>
    <s v="SUMINISTRO DE ABANICOS PARA LA CELEBRACION DE FERIAS Y FIESTAS DE SAN LORENZO 2021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53613"/>
    <s v="D"/>
    <d v="2021-09-13T00:00:00"/>
    <n v="22021005981"/>
    <s v="2021 07 1711 214"/>
    <n v="1817.84"/>
    <x v="85"/>
    <s v="ACUERDO MARCO 3/2020, REPARACION VEHICULO 0589-GMF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48689"/>
    <s v="D"/>
    <d v="2021-08-20T00:00:00"/>
    <n v="22021005716"/>
    <s v="2021 11 1621 634"/>
    <n v="1816.75"/>
    <x v="85"/>
    <s v="A.M. SPSC 23-2020: REPARACION DIRECCION VEHÍCULO  5280FZF DEL SERVICIO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0610"/>
    <s v="D"/>
    <d v="2021-09-02T00:00:00"/>
    <n v="22021005716"/>
    <s v="2021 11 1621 634"/>
    <n v="1471.21"/>
    <x v="85"/>
    <s v="AC MARCO EXP SPSC 23/2020: REPARACIONES VEHICULOS 4042 KXH Y 1496DZM DEL SERVICIO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48685"/>
    <s v="D"/>
    <d v="2021-08-20T00:00:00"/>
    <n v="22021005716"/>
    <s v="2021 11 1621 634"/>
    <n v="717.32"/>
    <x v="85"/>
    <s v="A.M. SPSC 23-2020: REPARACIÓN VEHÍCULO 4224 JCV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48692"/>
    <s v="D"/>
    <d v="2021-08-20T00:00:00"/>
    <n v="22021005716"/>
    <s v="2021 11 1621 634"/>
    <n v="566.63"/>
    <x v="85"/>
    <s v="A.M. SPSC 23-2020: REPARACIONES VEHICULOS 4042KXH Y 6003FPZ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3611"/>
    <s v="D"/>
    <d v="2021-09-13T00:00:00"/>
    <n v="22021005981"/>
    <s v="2021 07 1711 214"/>
    <n v="374.39"/>
    <x v="85"/>
    <s v="ACUERDO MARCO 3/2020, REPARACION VEHICULO 3856-DDD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36473"/>
    <s v="AD"/>
    <d v="2021-07-07T00:00:00"/>
    <n v="22021004386"/>
    <s v="2021 01 9203 22000"/>
    <n v="868.83"/>
    <x v="88"/>
    <s v="PRÓRROGA CONTRATO SUMINISTRO MATERIAL ORDINARIO NO INVENTARIABLE AYTO. VALLADOLID, LOTE 1"/>
    <s v="220"/>
    <s v="BURGOS"/>
    <s v="BURGOS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36476"/>
    <s v="AD"/>
    <d v="2021-07-07T00:00:00"/>
    <n v="22021004390"/>
    <s v="2021 01 9203 22000"/>
    <n v="2985.22"/>
    <x v="88"/>
    <s v="PRÓRROGA CONTRATO SUMINISTRO MATERIAL ORDINARIO NO INVENTARIABLE AYTO. VALLADOLID, LOTE 4"/>
    <s v="220"/>
    <s v="BURGOS"/>
    <s v="BURGOS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39700"/>
    <s v="AD"/>
    <d v="2021-07-16T00:00:00"/>
    <n v="22021005765"/>
    <s v="2021 08 1532 22199"/>
    <n v="1656.2"/>
    <x v="895"/>
    <s v="50% precio de publicación Libro &quot;&quot;Geomorfologia urbana de Valladolid y su entorno. Mapa geomorfológico escala 1:25.000&quot;&quot;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199"/>
  </r>
  <r>
    <n v="220210037294"/>
    <s v="AD"/>
    <d v="2021-07-14T00:00:00"/>
    <n v="22021004846"/>
    <s v="2021 11 1631 22104"/>
    <n v="2900.17"/>
    <x v="89"/>
    <s v="PRORROGA CONTRATO VESTUARIO LIMPIEZA VIARIA EXP V28/2016 LOTES 9 Y10: PANTALON, CAMISA, JERSEY, BUF Y GORRA"/>
    <s v="22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104"/>
  </r>
  <r>
    <n v="220210037291"/>
    <s v="AD"/>
    <d v="2021-07-14T00:00:00"/>
    <n v="22021004842"/>
    <s v="2021 11 1621 22104"/>
    <n v="1364.78"/>
    <x v="89"/>
    <s v="PRORROGA CONTRATO VESTUARIO Sº LIMPIEZA EXP V28/2016 LOTES 9 Y 10: PNATALON, CAMISA, JERSEY, BUF Y GORRA"/>
    <s v="22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4"/>
  </r>
  <r>
    <n v="220210050964"/>
    <s v="AD"/>
    <d v="2021-09-07T00:00:00"/>
    <n v="22021006433"/>
    <s v="2021 11 3111 22104"/>
    <n v="4000"/>
    <x v="89"/>
    <s v="SUMINISTRO DE ROPA DE TRABAJO PARA PERSONAL DE SALUD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2"/>
    <s v="22104"/>
  </r>
  <r>
    <n v="220210041582"/>
    <s v="AD"/>
    <d v="2021-07-22T00:00:00"/>
    <n v="22021005701"/>
    <s v="2021 05 4331 22706"/>
    <n v="1512.5"/>
    <x v="896"/>
    <s v="Contrato de Asesoría técnica para redacción de Proyecto de equipamiento de la Ampliacion de la Agencia de Innovación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06"/>
  </r>
  <r>
    <n v="220210037311"/>
    <s v="D"/>
    <d v="2021-07-15T00:00:00"/>
    <n v="22021002412"/>
    <s v="2021 08 1532 619"/>
    <n v="142610.96"/>
    <x v="897"/>
    <s v="Expte. 5/2021  &quot;&quot;Contrato de obras de actuaciones y reformas en varias plazas&quot;&quot;"/>
    <s v="300"/>
    <s v="LA MUELA"/>
    <s v="ZARAGOZA"/>
    <x v="2"/>
    <s v="PrAbier - Procedimiento Abierto"/>
    <s v="UniC - Único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39537"/>
    <s v="AD"/>
    <d v="2021-07-16T00:00:00"/>
    <n v="22021005695"/>
    <s v="2021 11 1631 203"/>
    <n v="108.9"/>
    <x v="91"/>
    <s v="ALQUILER BRAZO ARTICULADO CON PLATAFORMA PARA INSTALAR LUCES EN NAVE PARQKING C/ TOPACIO, 63"/>
    <s v="220"/>
    <s v="CABEZON DE PISUERGA"/>
    <s v="VALLADOLID"/>
    <x v="4"/>
    <s v="AdDirec - Adjudicación Directa"/>
    <s v="SinC - Sin Criterio"/>
    <x v="0"/>
    <x v="2"/>
    <s v="2"/>
    <s v="2. Gastos corrientes en bienes y servicios"/>
    <s v="11"/>
    <x v="5"/>
    <s v="1631"/>
    <s v="1631. Limpieza viaria"/>
    <s v="20"/>
    <s v="203"/>
  </r>
  <r>
    <n v="220210045553"/>
    <s v="AD"/>
    <d v="2021-08-06T00:00:00"/>
    <n v="22021005992"/>
    <s v="2021 03 9241 203"/>
    <n v="131.88999999999999"/>
    <x v="91"/>
    <s v="BRAZO ARTICULADO PARA TRABAJOS EN ALTURA CC ESGUEVA. DIA 15/06/2021"/>
    <s v="220"/>
    <s v="CABEZON DE PISUERGA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0"/>
    <s v="203"/>
  </r>
  <r>
    <n v="220210050926"/>
    <s v="AD"/>
    <d v="2021-09-06T00:00:00"/>
    <n v="22021006426"/>
    <s v="2021 02 9332 632"/>
    <n v="5840.69"/>
    <x v="898"/>
    <s v="SUMINISTRO CHAPAS REMATE CUBIERTA ARCHIVO MUNICIPAL"/>
    <s v="220"/>
    <s v="PONFERRADA"/>
    <s v="LEON"/>
    <x v="1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50018"/>
    <s v="AD"/>
    <d v="2021-08-26T00:00:00"/>
    <n v="22021004204"/>
    <s v="2021 10 2311 213"/>
    <n v="5466.78"/>
    <x v="52"/>
    <s v="Reparación y sustitución de piezas en ascensor C.Integrado 2021. COVID-19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36477"/>
    <s v="AD"/>
    <d v="2021-07-07T00:00:00"/>
    <n v="22021004391"/>
    <s v="2021 01 9203 22000"/>
    <n v="4881.8"/>
    <x v="93"/>
    <s v="PRÓRROGA CONTRATO SUMINISTRO MATERIAL ORDINARIO NO INVENTARIABLE AYTO. VALLADOLID, LOTE 5"/>
    <s v="220"/>
    <s v="VALLADOLID"/>
    <s v="VALLADOLID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36474"/>
    <s v="AD"/>
    <d v="2021-07-07T00:00:00"/>
    <n v="22021004388"/>
    <s v="2021 01 9203 22000"/>
    <n v="2150.8000000000002"/>
    <x v="93"/>
    <s v="PRÓRROGA CONTRATO SUMINISTRO MATERIAL ORDINARIO NO INVENTARIABLE AYTO. VALLADOLID, LOTE 2"/>
    <s v="220"/>
    <s v="VALLADOLID"/>
    <s v="VALLADOLID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36475"/>
    <s v="AD"/>
    <d v="2021-07-07T00:00:00"/>
    <n v="22021004389"/>
    <s v="2021 01 9203 22000"/>
    <n v="3528.84"/>
    <x v="93"/>
    <s v="PRÓRROGA CONTRATO SUMINISTRO MATERIAL ORDINARIO NO INVENTARIABLE AYTO VALLADOLID, LOTE 3"/>
    <s v="220"/>
    <s v="VALLADOLID"/>
    <s v="VALLADOLID"/>
    <x v="1"/>
    <s v="PrAbier - Procedimiento Abierto"/>
    <s v="MultiC - MultiCriterio"/>
    <x v="1"/>
    <x v="2"/>
    <s v="2"/>
    <s v="2. Gastos corrientes en bienes y servicios"/>
    <s v="01"/>
    <x v="4"/>
    <s v="9203"/>
    <s v="9203. Unidad de régimen interior"/>
    <s v="22"/>
    <s v="22000"/>
  </r>
  <r>
    <n v="220210038359"/>
    <s v="AD"/>
    <d v="2021-07-15T00:00:00"/>
    <n v="22021005630"/>
    <s v="2021 11 1361 214"/>
    <n v="456.73"/>
    <x v="96"/>
    <s v="REPARACIÓN CIRCUITO REFRIGERACION BUP MATR. 4918-JLF Y ANTICONGELANTE///SERVICIO DE EXTINCION DE INCENDIOS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1"/>
    <s v="214"/>
  </r>
  <r>
    <n v="220210053632"/>
    <s v="D"/>
    <d v="2021-09-13T00:00:00"/>
    <n v="22021005981"/>
    <s v="2021 07 1711 214"/>
    <n v="1792.56"/>
    <x v="96"/>
    <s v="ACUERDO MARCO 3/2020, REPARACION VEHICULO 5833-BZK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0123"/>
    <s v="D"/>
    <d v="2021-08-27T00:00:00"/>
    <n v="22021005946"/>
    <s v="2021 11 1321 214"/>
    <n v="1247.21"/>
    <x v="96"/>
    <s v="ACUERDO MARCO REPARACIÓN VEHICULO: 8671-JXF / MOTOR HIDRA. - Cº LATIGUILLOS Y BOTONERAS + MATERIALES. POLIC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3615"/>
    <s v="D"/>
    <d v="2021-09-13T00:00:00"/>
    <n v="22021005981"/>
    <s v="2021 07 1711 214"/>
    <n v="721.81"/>
    <x v="96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0125"/>
    <s v="D"/>
    <d v="2021-08-27T00:00:00"/>
    <n v="22021005946"/>
    <s v="2021 11 1321 214"/>
    <n v="346.11"/>
    <x v="96"/>
    <s v="ACUERDO MARCO. REPARACION VEHICULO: 9447-HMT //  ALINEAC. DIRECCION FURGÓN -AGILIS+TL MICHELIN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130"/>
    <s v="D"/>
    <d v="2021-08-27T00:00:00"/>
    <n v="22021005946"/>
    <s v="2021 11 1321 214"/>
    <n v="241.03"/>
    <x v="96"/>
    <s v="ACUERDO MARCO.REPARACIONVEHÍCULO  8831-JXF: REVISAR Y CAMBIAR CONTACTOS DE GRUA (M.O.+MATERIALES).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36846"/>
    <s v="AD"/>
    <d v="2021-07-12T00:00:00"/>
    <n v="22021005627"/>
    <s v="2021 03 9200 22602"/>
    <n v="1500"/>
    <x v="106"/>
    <s v="CONTRATACIÓN DE ESPACIOS EN RADIO PARA DIFUSIÓN DEL PROCESO PRESUPUESTOS PARTICIPATIVOS 21-22 (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43872"/>
    <s v="AD"/>
    <d v="2021-07-28T00:00:00"/>
    <n v="22021005818"/>
    <s v="2021 01 9207 22602"/>
    <n v="1210"/>
    <x v="106"/>
    <s v="APRUEBA GASTO Y ADJUDICA PATROCINIO GALA VALLADOLID EsDeporte (ESRADIO)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602"/>
  </r>
  <r>
    <n v="220210036874"/>
    <s v="AD"/>
    <d v="2021-07-13T00:00:00"/>
    <n v="22021005629"/>
    <s v="2021 03 9241 22602"/>
    <n v="1932.98"/>
    <x v="899"/>
    <s v="ESPACIOS EN PRENSA DIGITAL PARA DIFUSIÓN WEB DEL PROCESO DE VOTACIÓN DE LOS PRESUPUESTOS PARTICIPATIVOS"/>
    <s v="220"/>
    <s v="LAGUNA DE DUERO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602"/>
  </r>
  <r>
    <n v="220210037295"/>
    <s v="AD"/>
    <d v="2021-07-14T00:00:00"/>
    <n v="22021002836"/>
    <s v="2021 08 1532 619"/>
    <n v="18089.5"/>
    <x v="747"/>
    <s v="LOTE A: Ensayos de laboratorio (materiales y unidades de obra) para control calidad en la ejecución del Lote 1 Conservac"/>
    <s v="220"/>
    <s v="MALAGA"/>
    <s v="MALAG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43823"/>
    <s v="AD"/>
    <d v="2021-07-27T00:00:00"/>
    <n v="22021003909"/>
    <s v="2021 05 4331 609"/>
    <n v="2318.6"/>
    <x v="747"/>
    <s v="A.M. Servicio de Control de Calidad obras municipales CONTRATO DE OBRAS -CORREDOR VERDE (URBAN GreenUP G.A. nº 730426)"/>
    <s v="230"/>
    <s v="MALAGA"/>
    <s v="MALAGA"/>
    <x v="2"/>
    <s v="PrAbier - Procedimiento Abierto"/>
    <s v="UniC - Único Criterio"/>
    <x v="2"/>
    <x v="2"/>
    <s v="6"/>
    <s v="6. Inversiones reales"/>
    <s v="05"/>
    <x v="6"/>
    <s v="4331"/>
    <s v="4331. Desarrollo empresarial"/>
    <s v="60"/>
    <s v="609"/>
  </r>
  <r>
    <n v="220210036836"/>
    <s v="AD"/>
    <d v="2021-07-12T00:00:00"/>
    <n v="22021005105"/>
    <s v="2021 08 1532 619"/>
    <n v="1190.68"/>
    <x v="747"/>
    <s v="A.T. CONTROL DE CALIDAD. LOTE 1. ACERA Y CARRIL BICI EN CARRETERA DE RUEDA.-"/>
    <s v="220"/>
    <s v="MALAGA"/>
    <s v="MALAG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34109"/>
    <s v="D"/>
    <d v="2021-07-01T00:00:00"/>
    <n v="22021002412"/>
    <s v="2021 08 1532 619"/>
    <n v="1178.56"/>
    <x v="747"/>
    <s v="Ensayos de Control Calidad en obras de Expte. 5/2021  &quot;&quot;Contrato de obras de actuaciones y reformas en varias plazas&quot;&quot;"/>
    <s v="300"/>
    <s v="MALAGA"/>
    <s v="MALAGA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34306"/>
    <s v="D"/>
    <d v="2021-07-01T00:00:00"/>
    <n v="22021002556"/>
    <s v="2021 11 3111 632"/>
    <n v="720"/>
    <x v="747"/>
    <s v="A.M. 009/2020 CONTRATO LOTE 1 : ENSAYO CONTROL CALIDAD  DE OBRAS REFORMA CMPA"/>
    <s v="300"/>
    <s v="MALAGA"/>
    <s v="MALAGA"/>
    <x v="0"/>
    <s v="PrAbier - Procedimiento Abierto"/>
    <s v="MultiC - MultiCriterio"/>
    <x v="2"/>
    <x v="2"/>
    <s v="6"/>
    <s v="6. Inversiones reales"/>
    <s v="11"/>
    <x v="5"/>
    <s v="3111"/>
    <s v="3111. Protección de la salubridad pública"/>
    <s v="63"/>
    <s v="632"/>
  </r>
  <r>
    <n v="220210042109"/>
    <s v="AD"/>
    <d v="2021-07-23T00:00:00"/>
    <n v="22021005623"/>
    <s v="2021 06 3232 632"/>
    <n v="429.06"/>
    <x v="747"/>
    <s v="LOTE 1 ENSAYOS DE CONTROL DE CALIDAD POR LAS OBRAS DE REFORMA DE SOLERAS EN PATIOS VICENTE ALEIXANDRE Y PONCE DE LEÓN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35422"/>
    <s v="AD"/>
    <d v="2021-07-02T00:00:00"/>
    <n v="22021005159"/>
    <s v="2021 06 3232 632"/>
    <n v="367.42"/>
    <x v="747"/>
    <s v="ENSAYOS DE CONTROL DE CALIDAD PARA LA SUSTITUCION DE SOLADOS DE PVC EN VARIOS COLEGIOS PÚBLICOS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42107"/>
    <s v="AD"/>
    <d v="2021-07-23T00:00:00"/>
    <n v="22021005620"/>
    <s v="2021 06 3232 632"/>
    <n v="230.18"/>
    <x v="747"/>
    <s v="LOTE 1 ENSAYOS CONTROL DE CALIDAD OBRA REPARACIÓN CUBIERTAS VARIOS CEIP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43820"/>
    <s v="AD"/>
    <d v="2021-07-27T00:00:00"/>
    <n v="22021005779"/>
    <s v="2021 09 3341 632"/>
    <n v="215.79"/>
    <x v="747"/>
    <s v="CONTROL DE CALIDAD LOTE 1. OBRA VALLADO EDIFICIOS PARCELA ANTIGUA HIPICA MILITAR. (ACUERDO MARCO)"/>
    <s v="220"/>
    <s v="MALAGA"/>
    <s v="MALAGA"/>
    <x v="0"/>
    <s v="PrAbier - Procedimiento Abierto"/>
    <s v="MultiC - MultiCriterio"/>
    <x v="2"/>
    <x v="2"/>
    <s v="6"/>
    <s v="6. Inversiones reales"/>
    <s v="09"/>
    <x v="1"/>
    <s v="3341"/>
    <s v="3341. Coordinación de políticas culturales"/>
    <s v="63"/>
    <s v="632"/>
  </r>
  <r>
    <n v="220210043875"/>
    <s v="AD"/>
    <d v="2021-07-28T00:00:00"/>
    <n v="22021005787"/>
    <s v="2021 06 3231 632"/>
    <n v="140.66"/>
    <x v="747"/>
    <s v="LOTE 1 ENSAYOS DE CONTROL DE CALIDAD EN LA REFORMA ASEOS CASA NIÑOS/NIÑAS PAJARILLOS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54482"/>
    <s v="AD"/>
    <d v="2021-09-14T00:00:00"/>
    <n v="22021006299"/>
    <s v="2021 06 3231 622"/>
    <n v="1239.5"/>
    <x v="747"/>
    <s v="SE-EIJI 21/2021. PS 1. ENSAYOS CONTROL DE CALIDAD CONSTRUCCION NUEVA E.I.M. SEPTIEMBRE A DICIEMBRE DE 2021.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2"/>
    <s v="622"/>
  </r>
  <r>
    <n v="220210056295"/>
    <s v="AD"/>
    <d v="2021-09-15T00:00:00"/>
    <n v="22021006392"/>
    <s v="2021 05 4331 622"/>
    <n v="592.34"/>
    <x v="747"/>
    <s v="A.M. Control de calidad de las obras de adecuación de la Nave ubicada en la calle Valle de Arán nº 1 para Hub de Innovac"/>
    <s v="220"/>
    <s v="MALAGA"/>
    <s v="MALAGA"/>
    <x v="2"/>
    <s v="PrAbier - Procedimiento Abierto"/>
    <s v="MultiC - MultiCriterio"/>
    <x v="2"/>
    <x v="2"/>
    <s v="6"/>
    <s v="6. Inversiones reales"/>
    <s v="05"/>
    <x v="6"/>
    <s v="4331"/>
    <s v="4331. Desarrollo empresarial"/>
    <s v="62"/>
    <s v="622"/>
  </r>
  <r>
    <n v="220210050352"/>
    <s v="AD"/>
    <d v="2021-08-30T00:00:00"/>
    <n v="22021006119"/>
    <s v="2021 06 3231 632"/>
    <n v="197.1"/>
    <x v="747"/>
    <s v="ENSAYOS DE CONTROL DE CALIDAD PARA LA OBRA REFORMA SOLERA Y ZONA DE LA CUBIERTA EN EIM CAMPANILLA (LOTE 1)"/>
    <s v="220"/>
    <s v="MALAGA"/>
    <s v="MALAGA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56284"/>
    <s v="AD"/>
    <d v="2021-09-15T00:00:00"/>
    <n v="22021005771"/>
    <s v="2021 11 1631 632"/>
    <n v="128.37"/>
    <x v="747"/>
    <s v="CONTROL DE CALIDAD OBRA CONSTRUCCIÓN MÓDULO OFICINAS Y LAVANDERIA PARA TALLER DEL SERVICIO DE LIMPIEZA"/>
    <s v="230"/>
    <s v="MALAGA"/>
    <s v="MALAGA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2"/>
  </r>
  <r>
    <n v="220210056289"/>
    <s v="AD"/>
    <d v="2021-09-15T00:00:00"/>
    <n v="22021005812"/>
    <s v="2021 10 2311 632"/>
    <n v="104.03"/>
    <x v="747"/>
    <s v="ensayos control calidad obras reparación e impermeab. aseos Centro Integrado para pers.sin hogar. COVID-19"/>
    <s v="230"/>
    <s v="MALAGA"/>
    <s v="MALAGA"/>
    <x v="2"/>
    <s v="PrAbier - Procedimiento Abierto"/>
    <s v="MultiC - MultiCriterio"/>
    <x v="2"/>
    <x v="2"/>
    <s v="6"/>
    <s v="6. Inversiones reales"/>
    <s v="10"/>
    <x v="8"/>
    <s v="2311"/>
    <s v="2311. Intervención social"/>
    <s v="63"/>
    <s v="632"/>
  </r>
  <r>
    <n v="220210046277"/>
    <s v="AD"/>
    <d v="2021-08-11T00:00:00"/>
    <n v="22021005028"/>
    <s v="2021 04 9204 216"/>
    <n v="11070.31"/>
    <x v="97"/>
    <s v="ASIST. TÉCNICA OPERACIÓN, CAU, Y MTO.  DEL SOFTWARE DE BASE Y COMUNICACIONES LOTE 1(MODIF.  CONTRATO 1/9 AL  31/12/21)"/>
    <s v="220"/>
    <s v="SANTANDER"/>
    <s v="SANTANDER"/>
    <x v="0"/>
    <s v="PrAbier - Procedimiento Abierto"/>
    <s v="MultiC - Multi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40131"/>
    <s v="D"/>
    <d v="2021-07-19T00:00:00"/>
    <n v="22021001275"/>
    <s v="2021 07 1711 22199"/>
    <n v="169.43"/>
    <x v="98"/>
    <s v="ACUERDO MARCO 2017/36, ARTICULOS DE JARDIN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0951"/>
    <s v="D"/>
    <d v="2021-07-20T00:00:00"/>
    <n v="22021001275"/>
    <s v="2021 07 1711 22199"/>
    <n v="24"/>
    <x v="98"/>
    <s v="ACUERDO MARCO 2017/36, SUMINISTRO DEPLANTA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5411"/>
    <s v="D"/>
    <d v="2021-08-05T00:00:00"/>
    <n v="22021004322"/>
    <s v="2021 07 1711 619"/>
    <n v="402.6"/>
    <x v="98"/>
    <s v="ACUERDO MARCO 2017/36, SUMINISTRO DE ARBUSTOS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5355"/>
    <s v="AD"/>
    <d v="2021-08-04T00:00:00"/>
    <n v="22021005931"/>
    <s v="2021 06 2314 623"/>
    <n v="6594.5"/>
    <x v="900"/>
    <s v="PLATAFORMA ELEVACIÓN VERTICAL ACCESIBILIDAD A PERSONAS CON DISCAPACIDAD ESPACIO JOVEN / 1 DIA"/>
    <s v="220"/>
    <s v="VALLADOLID"/>
    <s v="VALLADOLID"/>
    <x v="0"/>
    <s v="AdDirec - Adjudicación Directa"/>
    <s v="SinC - Sin Criterio"/>
    <x v="0"/>
    <x v="2"/>
    <s v="6"/>
    <s v="6. Inversiones reales"/>
    <s v="06"/>
    <x v="0"/>
    <s v="2314"/>
    <s v="2314. Centro de programas juveniles"/>
    <s v="62"/>
    <s v="623"/>
  </r>
  <r>
    <n v="220210044014"/>
    <s v="D"/>
    <d v="2021-07-28T00:00:00"/>
    <n v="22021001275"/>
    <s v="2021 07 1711 22199"/>
    <n v="61.14"/>
    <x v="116"/>
    <s v="ACUERDO MARCO 2017/36, MATERIAL DE CONSTRUCCION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0201"/>
    <s v="D"/>
    <d v="2021-07-19T00:00:00"/>
    <n v="22021001968"/>
    <s v="2021 11 1321 22199"/>
    <n v="40.79"/>
    <x v="116"/>
    <s v="ACUERDO MARCO . 23-06-2021 /// CEMENTO GRIS SACO 25 KG. (15 UNIDADES) /// DESTINO: POLICIA MPAL- Bº LA VICTO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6008"/>
    <s v="D"/>
    <d v="2021-08-10T00:00:00"/>
    <n v="22021002228"/>
    <s v="2021 06 3232 212"/>
    <n v="303.23"/>
    <x v="116"/>
    <s v="MATERIAL CONSTRUCCION: ALBARANES DE JUNIO 2105279 / 2105422 / 2105678 / 2105793 / 2105795 / 2106506 // COLEGIOS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4502"/>
    <s v="AD"/>
    <d v="2021-09-14T00:00:00"/>
    <n v="22021006480"/>
    <s v="2021 10 2412 632"/>
    <n v="3538.58"/>
    <x v="116"/>
    <s v="REPOSICION DE CANALETA, REJILLA Y TAPA  PARA EL JACINTO BENAVENTE- DURACION 1 DIA"/>
    <s v="220"/>
    <s v="VALLADOLID"/>
    <s v="VALLADOLID"/>
    <x v="1"/>
    <s v="PrAbier - Procedimiento Abierto"/>
    <s v="MultiC - MultiCriterio"/>
    <x v="2"/>
    <x v="2"/>
    <s v="6"/>
    <s v="6. Inversiones reales"/>
    <s v="10"/>
    <x v="8"/>
    <s v="2412"/>
    <s v="2412. Formación para el empleo"/>
    <s v="63"/>
    <s v="632"/>
  </r>
  <r>
    <n v="220210053646"/>
    <s v="D"/>
    <d v="2021-09-13T00:00:00"/>
    <n v="22021002228"/>
    <s v="2021 06 3232 212"/>
    <n v="1009.79"/>
    <x v="116"/>
    <s v="MATERIAL VARIO CONSTRUCCION: ALBARANES DE AGOSTO // COLEGIOS - C.P PABLO PICASS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9857"/>
    <s v="D"/>
    <d v="2021-08-25T00:00:00"/>
    <n v="22021002228"/>
    <s v="2021 06 3232 212"/>
    <n v="437.89"/>
    <x v="116"/>
    <s v="SUMINISTRO DE DIFERENTE MATERIAL ///  MES DE JULIO 2021 ////  DESTINO: COLEGIOS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9877"/>
    <s v="D"/>
    <d v="2021-08-25T00:00:00"/>
    <n v="22021001968"/>
    <s v="2021 11 1321 22199"/>
    <n v="84.78"/>
    <x v="116"/>
    <s v="ACUERDO MARCO. SUMINISTRO DE MATERIAL PARA REPARACIONES DEPENDENCIAS DE POLICÍA MUNICIPAL (DISTRITO 2º)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50619"/>
    <s v="D"/>
    <d v="2021-09-02T00:00:00"/>
    <n v="22021002088"/>
    <s v="2021 03 9241 212"/>
    <n v="76.25"/>
    <x v="116"/>
    <s v="ALBARAN: 2106857 DE 09-07-2021 ///  FINO TERRAZO 40X40 (4 UNID.)  ///// DESTINO: C.C. CONDE ANSUR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50585"/>
    <s v="D"/>
    <d v="2021-09-02T00:00:00"/>
    <n v="22021002143"/>
    <s v="2021 10 2311 212"/>
    <n v="38.549999999999997"/>
    <x v="116"/>
    <s v="F-9242. CERAMICAS SANCHEZ, S L. PELDAÑO MONTS BEIG BISELADO + PLUS 27X31 (16 UNID.) VIV. PLAZA CHURRERÍA 7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3870"/>
    <s v="AD"/>
    <d v="2021-07-28T00:00:00"/>
    <n v="22021005872"/>
    <s v="2021 03 9241 22602"/>
    <n v="108.9"/>
    <x v="860"/>
    <s v="ANUNCIO DE PAGINA COMPLETA EN REVISTA DIGITAL. MES DE JULI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2"/>
  </r>
  <r>
    <n v="220210039544"/>
    <s v="AD"/>
    <d v="2021-07-16T00:00:00"/>
    <n v="22021005722"/>
    <s v="2021 08 1532 210"/>
    <n v="1578.64"/>
    <x v="901"/>
    <s v="SUMINISTRO DE 25.080 KG. DE POLVO ASFÁLTICO.-"/>
    <s v="220"/>
    <s v="ATAURI"/>
    <s v="ALAVA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36830"/>
    <s v="AD"/>
    <d v="2021-07-09T00:00:00"/>
    <n v="22021005567"/>
    <s v="2021 11 1321 22104"/>
    <n v="252.5"/>
    <x v="902"/>
    <s v="ADQUISICIÓN DE VESTUARIO DEPORTIVO PARA NUEVO AGENTE DESTINADO A LA UNIDAD CICLISTA DE POLICÍA MUNICIPAL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104"/>
  </r>
  <r>
    <n v="220210044733"/>
    <s v="AD"/>
    <d v="2021-07-30T00:00:00"/>
    <n v="22021000273"/>
    <s v="2021 10 2311 22799"/>
    <n v="1177000"/>
    <x v="903"/>
    <s v="2ª AMPLIACION SERVICIO AYUDA A DOMICILIO LOTE 1-POR MAYOR DEMANDA E INCREMENTO FINANCIACION-ANUALIDAD 2021.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1"/>
    <s v="2311. Intervención social"/>
    <s v="22"/>
    <s v="22799"/>
  </r>
  <r>
    <n v="220210044734"/>
    <s v="AD"/>
    <d v="2021-07-30T00:00:00"/>
    <n v="22021000405"/>
    <s v="2021 10 2311 22799"/>
    <n v="323000"/>
    <x v="903"/>
    <s v="2º INCREMENTO CONTRATO SERVICIO DE AYUDA A DOMICILIO-COVID-19-MAYOR DEMANDA E INCREMENTO FINANCIACION-ANUALIDAD 2021.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1"/>
    <s v="2311. Intervención social"/>
    <s v="22"/>
    <s v="22799"/>
  </r>
  <r>
    <n v="220210051245"/>
    <s v="AD"/>
    <d v="2021-09-09T00:00:00"/>
    <n v="22021006406"/>
    <s v="2021 01 9203 623"/>
    <n v="4653.55"/>
    <x v="195"/>
    <s v="ADQUISICION EQUIPO AUDIOVISUAL PARA SALA DE COMUNICACIONES"/>
    <s v="220"/>
    <s v="ZARATAN"/>
    <s v="VALLADOLID"/>
    <x v="1"/>
    <s v="AdDirec - Adjudicación Directa"/>
    <s v="SinC - Sin Criterio"/>
    <x v="0"/>
    <x v="2"/>
    <s v="6"/>
    <s v="6. Inversiones reales"/>
    <s v="01"/>
    <x v="4"/>
    <s v="9203"/>
    <s v="9203. Unidad de régimen interior"/>
    <s v="62"/>
    <s v="623"/>
  </r>
  <r>
    <n v="220210036876"/>
    <s v="AD"/>
    <d v="2021-07-13T00:00:00"/>
    <n v="22021005672"/>
    <s v="2021 08 1532 22706"/>
    <n v="907.5"/>
    <x v="904"/>
    <s v="A.T. para Replanteo con plantilla de trazado siluetas de renovación acabado decorativo con pintura en C/Claudio Moyano.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706"/>
  </r>
  <r>
    <n v="220210050708"/>
    <s v="AD"/>
    <d v="2021-09-02T00:00:00"/>
    <n v="22021006322"/>
    <s v="2021 02 9332 632"/>
    <n v="4432.62"/>
    <x v="263"/>
    <s v="Independización del sistema de alarma en las Naves 4, 6 7 y 9 de Soto de Medinilla"/>
    <s v="220"/>
    <s v="VALLADOLID"/>
    <s v="VALLADOLID"/>
    <x v="2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53625"/>
    <s v="D"/>
    <d v="2021-09-13T00:00:00"/>
    <n v="22021005979"/>
    <s v="2021 07 1711 213"/>
    <n v="3055.61"/>
    <x v="587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40127"/>
    <s v="D"/>
    <d v="2021-07-19T00:00:00"/>
    <n v="22021002054"/>
    <s v="2021 11 1631 214"/>
    <n v="2284.52"/>
    <x v="110"/>
    <s v="AC MARCO EXP. V36-2017: CEPILLOS REPARACION Y MANTENIMIENTO BARREDORAS DE LIMPIEZA VI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1"/>
    <s v="214"/>
  </r>
  <r>
    <n v="220210040113"/>
    <s v="D"/>
    <d v="2021-07-19T00:00:00"/>
    <n v="22021002048"/>
    <s v="2021 11 1621 214"/>
    <n v="1418.1"/>
    <x v="110"/>
    <s v="AC MARCO EXP V36-2017: SUMINISTRO DE RECAMBIOS PARA REPARACIONES VEHICULOS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0934"/>
    <s v="D"/>
    <d v="2021-07-20T00:00:00"/>
    <n v="22021002048"/>
    <s v="2021 11 1621 214"/>
    <n v="1173.01"/>
    <x v="110"/>
    <s v="AC MARCOI EXP V36-2017: REPUEST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36811"/>
    <s v="D"/>
    <d v="2021-07-09T00:00:00"/>
    <n v="22021002048"/>
    <s v="2021 11 1621 214"/>
    <n v="554.69000000000005"/>
    <x v="110"/>
    <s v="AC MARCO EXP V36-2017: REPUESTOS PARA REPARACION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7024"/>
    <s v="D"/>
    <d v="2021-08-13T00:00:00"/>
    <n v="22021002054"/>
    <s v="2021 11 1631 214"/>
    <n v="3943.03"/>
    <x v="110"/>
    <s v="AC MARCO EXP V36-2017:  CEPILLOS PARA REPARACION Y MANTENIMIENTO DE BARREDORA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1"/>
    <s v="214"/>
  </r>
  <r>
    <n v="220210045668"/>
    <s v="D"/>
    <d v="2021-08-06T00:00:00"/>
    <n v="22021002057"/>
    <s v="2021 11 1631 22199"/>
    <n v="364.31"/>
    <x v="110"/>
    <s v="AC MARCO EXP V36-2017:  RECOGEDOR PLEGABLE (12 UDS) //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5664"/>
    <s v="D"/>
    <d v="2021-08-06T00:00:00"/>
    <n v="22021002048"/>
    <s v="2021 11 1621 214"/>
    <n v="2470.9699999999998"/>
    <x v="110"/>
    <s v="AC MARCO EXP V36-2017: RECAMBIOS PARA REPARACION VEHICULO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7018"/>
    <s v="D"/>
    <d v="2021-08-13T00:00:00"/>
    <n v="22021002048"/>
    <s v="2021 11 1621 214"/>
    <n v="809.82"/>
    <x v="110"/>
    <s v="AC MARCO EXP V36-2017: REPUESTOS PARA REPARACION VEHÍCULOS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494"/>
    <s v="D"/>
    <d v="2021-09-13T00:00:00"/>
    <n v="22021002048"/>
    <s v="2021 11 1621 214"/>
    <n v="2578.16"/>
    <x v="110"/>
    <s v="AC MARCO EXP V36-2017: RECAMBIOS PARA VEHÍ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498"/>
    <s v="D"/>
    <d v="2021-09-13T00:00:00"/>
    <n v="22021002048"/>
    <s v="2021 11 1621 214"/>
    <n v="2435.83"/>
    <x v="110"/>
    <s v="AC MARCO EXP V36-2017: RECAMBIOS PARA REPARACIONES VEHÍ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0947"/>
    <s v="D"/>
    <d v="2021-07-20T00:00:00"/>
    <n v="22021002449"/>
    <s v="2021 07 1711 619"/>
    <n v="80.400000000000006"/>
    <x v="750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6439"/>
    <s v="D"/>
    <d v="2021-07-07T00:00:00"/>
    <n v="22021001275"/>
    <s v="2021 07 1711 22199"/>
    <n v="718.32"/>
    <x v="114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37289"/>
    <s v="AD"/>
    <d v="2021-07-14T00:00:00"/>
    <n v="22021004840"/>
    <s v="2021 11 1621 22104"/>
    <n v="3217.63"/>
    <x v="114"/>
    <s v="PRORROGA CONTRATO VESTUARIO Sº LIMPIEZA EXP V28.216 LOTE 1: GUANTES"/>
    <s v="22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4"/>
  </r>
  <r>
    <n v="220210037292"/>
    <s v="AD"/>
    <d v="2021-07-14T00:00:00"/>
    <n v="22021004844"/>
    <s v="2021 11 1631 22104"/>
    <n v="6837.47"/>
    <x v="114"/>
    <s v="PRORROGA CONTRATO VESTUARIO LIMPIEZA VIARIA EXP V28/2016 LOTE 1: GUANTES"/>
    <s v="22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104"/>
  </r>
  <r>
    <n v="220210036394"/>
    <s v="D"/>
    <d v="2021-07-07T00:00:00"/>
    <n v="22021000542"/>
    <s v="2021 08 1341 22699"/>
    <n v="49.32"/>
    <x v="114"/>
    <s v="SPRAY CRC ECOMARK BLANCO (6)/ SPRAY CRC ECOMARK NEGRO (3) // MOVILIDAD"/>
    <s v="300"/>
    <s v="VALLADOLID"/>
    <s v="VALLADOLID"/>
    <x v="4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699"/>
  </r>
  <r>
    <n v="220210043921"/>
    <s v="D"/>
    <d v="2021-07-28T00:00:00"/>
    <n v="22021001968"/>
    <s v="2021 11 1321 22199"/>
    <n v="93.56"/>
    <x v="114"/>
    <s v="ACUERDO MARCO. SUMINISTRO CALZADO DE SEGURIDAD PARA OPERARIOS DE GRU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4622"/>
    <s v="D"/>
    <d v="2021-07-30T00:00:00"/>
    <n v="22021001970"/>
    <s v="2021 11 1321 22699"/>
    <n v="1210"/>
    <x v="114"/>
    <s v="ACUERDO MARCO. SUMINISTRO ROPA DEPORTIVA EQUIPO DE ATLETISMO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699"/>
  </r>
  <r>
    <n v="220210043905"/>
    <s v="D"/>
    <d v="2021-07-28T00:00:00"/>
    <n v="22021003381"/>
    <s v="2021 11 1361 22199"/>
    <n v="29.89"/>
    <x v="114"/>
    <s v="ACUERDO MARCO SUMINISTROS: DISCO CORTE EH 230-3.2 SG STEEL (6 UDS) // 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3903"/>
    <s v="D"/>
    <d v="2021-07-28T00:00:00"/>
    <n v="22021003381"/>
    <s v="2021 11 1361 22199"/>
    <n v="74.2"/>
    <x v="114"/>
    <s v="ACUERDO MARCO SUMINISTROS: SILICONA SINEX 300ML (24 UD)/ESPUMA POLIURETANO SINEX PISTOLA (5 UD)/EXTINCION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4492"/>
    <s v="D"/>
    <d v="2021-07-30T00:00:00"/>
    <n v="22021002006"/>
    <s v="2021 11 3111 22199"/>
    <n v="150.68"/>
    <x v="114"/>
    <s v="GUANTE PIEL T/FLOR BLANCO (23) / ROLLO CINTA EMBALAJE (2) / GUANTE NITRILO (10) / TRINCAJE SIN FIN (1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36384"/>
    <s v="D"/>
    <d v="2021-07-07T00:00:00"/>
    <n v="22021002006"/>
    <s v="2021 11 3111 22199"/>
    <n v="107.45"/>
    <x v="114"/>
    <s v="A.M. V. 36/2017 - CINTA AISLANTE/ CINTA DE ENMASCARAR/ PISTOLA SILICONA (2)/ GORRA PROMOTION (12)/ BOBINA RAFIA (12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45419"/>
    <s v="D"/>
    <d v="2021-08-05T00:00:00"/>
    <n v="22021001275"/>
    <s v="2021 07 1711 22199"/>
    <n v="401.72"/>
    <x v="114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5149"/>
    <s v="D"/>
    <d v="2021-08-03T00:00:00"/>
    <n v="22021001275"/>
    <s v="2021 07 1711 22199"/>
    <n v="207.82"/>
    <x v="114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5101"/>
    <s v="D"/>
    <d v="2021-08-03T00:00:00"/>
    <n v="22021003381"/>
    <s v="2021 11 1361 22199"/>
    <n v="41.31"/>
    <x v="114"/>
    <s v="ACUERDO MARCO SUMINISTROS: ELECTRODO OK-46.00   (256) ////   PREVENCION Y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5103"/>
    <s v="D"/>
    <d v="2021-08-03T00:00:00"/>
    <n v="22021003381"/>
    <s v="2021 11 1361 22199"/>
    <n v="16.27"/>
    <x v="114"/>
    <s v="ACUERDO MARCO SUMINISTROS: SISTEMA TRINCAJE BAGAGESET  (2 UNIDADES) ////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5641"/>
    <s v="D"/>
    <d v="2021-08-06T00:00:00"/>
    <n v="22021004482"/>
    <s v="2021 04 9204 213"/>
    <n v="279.56"/>
    <x v="114"/>
    <s v="ADQUISICIÓN DE DOS TAQUILLAS"/>
    <s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3"/>
    <s v="9204"/>
    <s v="9204. Tecnologías de la información y comunicación"/>
    <s v="21"/>
    <s v="213"/>
  </r>
  <r>
    <n v="220210048763"/>
    <s v="D"/>
    <d v="2021-08-20T00:00:00"/>
    <n v="22021000542"/>
    <s v="2021 08 1341 22699"/>
    <n v="33.69"/>
    <x v="114"/>
    <s v="SPRAY CRC ECOMARK BLANCO (4 UDS) / SPRAY CRC ECOMARK NEGRO (2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699"/>
  </r>
  <r>
    <n v="220210036212"/>
    <s v="AD"/>
    <d v="2021-07-06T00:00:00"/>
    <n v="22021005306"/>
    <s v="2021 10 2313 22699"/>
    <n v="7080.92"/>
    <x v="117"/>
    <s v="Asistencia técnica elaboración pliegos de aplicaciones de gestion de la información y accesibilidad a Serv. Sociales"/>
    <s v="220"/>
    <s v="BOECILLO"/>
    <s v="VALLADOLID"/>
    <x v="0"/>
    <s v="AdDirec - Adjudicación Directa"/>
    <s v="SinC - Sin Criterio"/>
    <x v="0"/>
    <x v="2"/>
    <s v="2"/>
    <s v="2. Gastos corrientes en bienes y servicios"/>
    <s v="10"/>
    <x v="8"/>
    <s v="2313"/>
    <s v="2313. Dirección del área de servicios sociales"/>
    <s v="22"/>
    <s v="22699"/>
  </r>
  <r>
    <n v="220210037246"/>
    <s v="D"/>
    <d v="2021-07-14T00:00:00"/>
    <n v="22021002927"/>
    <s v="2021 10 2312 632"/>
    <n v="51271.86"/>
    <x v="905"/>
    <s v="contratación obra: cubierta CPM LA VICTORIA- GARSAN"/>
    <s v="300"/>
    <s v="BURGOS"/>
    <s v="BURGOS"/>
    <x v="2"/>
    <s v="PrAbier - Procedimiento Abierto"/>
    <s v="MultiC - MultiCriterio"/>
    <x v="1"/>
    <x v="2"/>
    <s v="6"/>
    <s v="6. Inversiones reales"/>
    <s v="10"/>
    <x v="8"/>
    <s v="2312"/>
    <s v="2312. Iniciativas sociales"/>
    <s v="63"/>
    <s v="632"/>
  </r>
  <r>
    <n v="220210050925"/>
    <s v="AD"/>
    <d v="2021-09-06T00:00:00"/>
    <n v="22021006418"/>
    <s v="2021 02 9332 632"/>
    <n v="4070.03"/>
    <x v="333"/>
    <s v="MANTENIMIENTO Y REPARACIÓN ASCENSOR PARKING PLZA.MAYOR, ACTUALMENTE SIN SERVICIO"/>
    <s v="220"/>
    <s v="VALLADOLID"/>
    <s v="VALLADOLID"/>
    <x v="0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34308"/>
    <s v="AD"/>
    <d v="2021-07-01T00:00:00"/>
    <n v="22021005114"/>
    <s v="2021 06 3231 632"/>
    <n v="19831.5"/>
    <x v="120"/>
    <s v="OBRAS REFORMA ASEOS CASA NIÑOS Y NIÑAS PAJARILLOS. PLAZO DE EJECUCIÓN: 40 DÍAS DESDE EL INICIO"/>
    <s v="220"/>
    <s v="VALLADOLID"/>
    <s v="VALLADOLID"/>
    <x v="2"/>
    <s v="AdDirec - Adjudicación Directa"/>
    <s v="SinC - Sin Criterio"/>
    <x v="0"/>
    <x v="2"/>
    <s v="6"/>
    <s v="6. Inversiones reales"/>
    <s v="06"/>
    <x v="0"/>
    <s v="3231"/>
    <s v="3231. Escuelas infantiles"/>
    <s v="63"/>
    <s v="632"/>
  </r>
  <r>
    <n v="220210043796"/>
    <s v="AD"/>
    <d v="2021-07-27T00:00:00"/>
    <n v="22021005576"/>
    <s v="2021 10 2311 632"/>
    <n v="10248.65"/>
    <x v="120"/>
    <s v="REFORMA VIVIENDAS PROG.DE ALOJAMIENTOS PROVISIONALES -C/GUARDERIA, 6 BAJO D: 6.746,68 Y C/OSA MENOR, 4: 3.501,97"/>
    <s v="220"/>
    <s v="VALLADOLID"/>
    <s v="VALLADOLID"/>
    <x v="2"/>
    <s v="AdDirec - Adjudicación Directa"/>
    <s v="SinC - Sin Criterio"/>
    <x v="0"/>
    <x v="2"/>
    <s v="6"/>
    <s v="6. Inversiones reales"/>
    <s v="10"/>
    <x v="8"/>
    <s v="2311"/>
    <s v="2311. Intervención social"/>
    <s v="63"/>
    <s v="632"/>
  </r>
  <r>
    <n v="220210043874"/>
    <s v="AD"/>
    <d v="2021-07-28T00:00:00"/>
    <n v="22021005789"/>
    <s v="2021 11 1321 212"/>
    <n v="174.9"/>
    <x v="124"/>
    <s v="ALQUILER Y RETIRADA DE CONTENEDOR ESCOBROS REPARACIÓN FUGA DE AGUA DEPENDENCIAS POLICÍA MUNICIPAL."/>
    <s v="220"/>
    <s v="LA FLECHA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2"/>
  </r>
  <r>
    <n v="220210036879"/>
    <s v="AD"/>
    <d v="2021-07-13T00:00:00"/>
    <n v="22021005676"/>
    <s v="2021 11 1631 22700"/>
    <n v="132"/>
    <x v="124"/>
    <s v="COLOCACION Y RETIRADA CONTENEDOR 5 M3 EN INSTALACIONES DEL SERVICIO LIMPIEZA EN C/ TOPACIO"/>
    <s v="220"/>
    <s v="LA FLECHA"/>
    <s v="VALLADOLID"/>
    <x v="0"/>
    <s v="AdDirec - Adjudicación Directa"/>
    <s v="SinC - Sin Criterio"/>
    <x v="0"/>
    <x v="2"/>
    <s v="2"/>
    <s v="2. Gastos corrientes en bienes y servicios"/>
    <s v="11"/>
    <x v="5"/>
    <s v="1631"/>
    <s v="1631. Limpieza viaria"/>
    <s v="22"/>
    <s v="22700"/>
  </r>
  <r>
    <n v="220210056294"/>
    <s v="AD"/>
    <d v="2021-09-15T00:00:00"/>
    <n v="22021006330"/>
    <s v="2021 06 2315 22614"/>
    <n v="3580"/>
    <x v="906"/>
    <s v="Programación Patios en Verano en centros educativos durante los meses de julio y agosto / 2 meses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50953"/>
    <s v="AD"/>
    <d v="2021-09-07T00:00:00"/>
    <n v="22021006402"/>
    <s v="2021 02 9332 203"/>
    <n v="3448.5"/>
    <x v="907"/>
    <s v="ALQUILER ANDAMIO PARA PINTAR DESPACHOS CASA CONSISTORIAL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0"/>
    <s v="203"/>
  </r>
  <r>
    <n v="220210047099"/>
    <s v="AD"/>
    <d v="2021-08-13T00:00:00"/>
    <n v="22021002235"/>
    <s v="2021 11 1621 219"/>
    <n v="9500"/>
    <x v="125"/>
    <s v="SUMINISTRO DE REPUESTOS PARA LA REPARACION DE CONTENEDORES DE CARGA LATERAL DEL SERVICIO DE LIMPIEZA"/>
    <s v="220"/>
    <s v="GETAFE"/>
    <s v="MADR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9"/>
  </r>
  <r>
    <n v="220210043881"/>
    <s v="AD"/>
    <d v="2021-07-28T00:00:00"/>
    <n v="22021005728"/>
    <s v="2021 11 1621 212"/>
    <n v="7980.19"/>
    <x v="131"/>
    <s v="REPARACIÓN PUERTA ACCESO CABINA EN NAVE DE LAVADO DE VEHÍCULOS DEL SERVICIO DE LIMPIEZA"/>
    <s v="220"/>
    <s v="ZAMORA"/>
    <s v="ZAMORA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2"/>
  </r>
  <r>
    <n v="220210045521"/>
    <s v="REIN"/>
    <d v="2021-08-05T00:00:00"/>
    <n v="22020003682"/>
    <s v="2021 10 2312 622"/>
    <n v="-112757.92"/>
    <x v="131"/>
    <s v="CERTIFICACION Nº 6 B - MARZO 2021.- BIBLIOTECA CPM PARQUESOL, EXPTE 55/20"/>
    <s v="891"/>
    <s v="ZAMORA"/>
    <s v="ZAMORA"/>
    <x v="2"/>
    <s v="PrAbier - Procedimiento Abierto"/>
    <s v="MultiC - MultiCriterio"/>
    <x v="1"/>
    <x v="2"/>
    <s v="6"/>
    <s v="6. Inversiones reales"/>
    <s v="10"/>
    <x v="8"/>
    <s v="2312"/>
    <s v="2312. Iniciativas sociales"/>
    <s v="62"/>
    <s v="622"/>
  </r>
  <r>
    <n v="220210050962"/>
    <s v="AD"/>
    <d v="2021-09-07T00:00:00"/>
    <n v="22021003203"/>
    <s v="2021 11 1621 213"/>
    <n v="3441.36"/>
    <x v="343"/>
    <s v="TRABAJOS DE MANTENIMIENTO CORRECTIVO EN INSTALACIONES DEL SISTEMA CONTRA INCENDIOS DEL SERVICIO DE LIMPIEZA"/>
    <s v="220"/>
    <s v="ZARATAN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3"/>
  </r>
  <r>
    <n v="220210044921"/>
    <s v="AD"/>
    <d v="2021-08-02T00:00:00"/>
    <n v="22021005961"/>
    <s v="2021 04 9204 213"/>
    <n v="3327.5"/>
    <x v="128"/>
    <s v="REVISIÓN DE LAS BOTELLAS DE GAS A PRESIÓN, Y PRUEBA DE RETIMBRADO DE LOS SISTEMAS DE DETECCIÓN Y EXTINCIÓN DE INCENDIOS"/>
    <s v="22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4"/>
    <s v="9204. Tecnologías de la información y comunicación"/>
    <s v="21"/>
    <s v="213"/>
  </r>
  <r>
    <n v="220210056314"/>
    <s v="AD"/>
    <d v="2021-09-15T00:00:00"/>
    <n v="22021006462"/>
    <s v="2021 05 4331 22799"/>
    <n v="3351.7"/>
    <x v="908"/>
    <s v="DESMONTAJE, DESPLAZAMIETNO Y MONTAJE ESTRUCTURA RETRUILUMINADA DE AGENCIA DE INNOVACION"/>
    <s v="220"/>
    <s v="SAN MIGUEL DEL ARROYO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54484"/>
    <s v="AD"/>
    <d v="2021-09-14T00:00:00"/>
    <n v="22021006331"/>
    <s v="2021 11 1361 214"/>
    <n v="3327.5"/>
    <x v="722"/>
    <s v="REPARACIÓN DE CISTERNA-ALJIBE EN BOMBA FORESTAL PESADA (BFP-18) MATR. 0130-DWZ///SERVICIO DE EXTINCION DE INCENDIOS"/>
    <s v="220"/>
    <s v="RENEDO DE ESGUEVA"/>
    <s v="VALLADOLID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4"/>
  </r>
  <r>
    <n v="220210056713"/>
    <s v="D"/>
    <d v="2021-09-16T00:00:00"/>
    <n v="22021002054"/>
    <s v="2021 11 1631 214"/>
    <n v="4192.24"/>
    <x v="110"/>
    <s v="AC MARCO EXP V36-2017: SUMINISTRO CEPILLOS REPARACION Y MANTENIMIENTO BARREDORAS DEL S. DE LIMPIEZA VIAR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1"/>
    <s v="214"/>
  </r>
  <r>
    <n v="220210056632"/>
    <s v="D"/>
    <d v="2021-09-16T00:00:00"/>
    <n v="22021002048"/>
    <s v="2021 11 1621 214"/>
    <n v="1518.6"/>
    <x v="110"/>
    <s v="SUMINISTRO DE RECAMBIOS // AC. MARC. EXP V36-2017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61326"/>
    <s v="D"/>
    <d v="2021-09-29T00:00:00"/>
    <n v="22021002048"/>
    <s v="2021 11 1621 214"/>
    <n v="1260.71"/>
    <x v="110"/>
    <s v="SUMINISTRO DE REPUESTOS VARIOS VEHICULOS// AM EXP. V36-2017. SERVICIO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6647"/>
    <s v="D"/>
    <d v="2021-09-16T00:00:00"/>
    <n v="22021002057"/>
    <s v="2021 11 1631 22199"/>
    <n v="364.31"/>
    <x v="110"/>
    <s v="CEGUI/210600013 - RECOGEDOR PLEGABLE (12 UNIDADES) ///  SERV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8672"/>
    <s v="D"/>
    <d v="2021-09-22T00:00:00"/>
    <n v="22021002048"/>
    <s v="2021 11 1621 214"/>
    <n v="1731.95"/>
    <x v="110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4274"/>
    <s v="AD"/>
    <d v="2021-07-29T00:00:00"/>
    <n v="22021005945"/>
    <s v="2021 01 9206 22199"/>
    <n v="150.02000000000001"/>
    <x v="830"/>
    <s v="6 CRISTALES 4 MM CORTADOS A MEDIDA CON LOS CANTOS PULIDOS, PARA USO POR PARTE DEL DIGITALIZADOR EN EL ARCHIVO MUNICIPAL"/>
    <s v="220"/>
    <s v="ZARATAN"/>
    <s v="VALLADOLID"/>
    <x v="1"/>
    <s v="PrAbier - Procedimiento Abierto"/>
    <s v="MultiC - MultiCriterio"/>
    <x v="2"/>
    <x v="2"/>
    <s v="2"/>
    <s v="2. Gastos corrientes en bienes y servicios"/>
    <s v="01"/>
    <x v="4"/>
    <s v="9206"/>
    <s v="9206. Archivo municipal"/>
    <s v="22"/>
    <s v="22199"/>
  </r>
  <r>
    <n v="220210036408"/>
    <s v="D"/>
    <d v="2021-07-07T00:00:00"/>
    <n v="22021002228"/>
    <s v="2021 06 3232 212"/>
    <n v="1955.73"/>
    <x v="830"/>
    <s v="SEGURIDAD 4+4 / LUNA 4MM / SEGURIDAD 3+3 / CLIMALIT / ARMADO (COLEGIOS PÚBLICOS). juni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4413"/>
    <s v="D"/>
    <d v="2021-07-30T00:00:00"/>
    <n v="22021002088"/>
    <s v="2021 03 9241 212"/>
    <n v="1015.78"/>
    <x v="830"/>
    <s v="CLIMALIT 5+5/12/6 600X425 (2 UNID.) CIC SANTIAGO LOPEZ  + ESPEJO 5 MM (2 UNID.) CC DELICIAS"/>
    <s v="300"/>
    <s v="ZARATAN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0707"/>
    <s v="AD"/>
    <d v="2021-09-02T00:00:00"/>
    <n v="22021006194"/>
    <s v="2021 02 9332 632"/>
    <n v="2879.8"/>
    <x v="430"/>
    <s v="TRABAJO REHABILITACIÓN TARIMAS DIVERSOS DESPACHOS CASA CONSISTORIAL"/>
    <s v="220"/>
    <s v="VALLADOLID"/>
    <s v="VALLADOLID"/>
    <x v="2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45985"/>
    <s v="AD"/>
    <d v="2021-08-10T00:00:00"/>
    <n v="22021006016"/>
    <s v="2021 06 3231 632"/>
    <n v="30199.4"/>
    <x v="909"/>
    <s v="CTTO DE OBRAS DE REFORMA SOLERA Y ZONA DE LA CUBIERTA EN LA ESCUELA INFANTIL CAMPANILLA. PLAZO DE EJECUCIÓN: 30-SEPTIEMB"/>
    <s v="220"/>
    <s v="VALLADOLID"/>
    <s v="VALLADOLID"/>
    <x v="2"/>
    <s v="AdDirec - Adjudicación Directa"/>
    <s v="SinC - Sin Criterio"/>
    <x v="0"/>
    <x v="2"/>
    <s v="6"/>
    <s v="6. Inversiones reales"/>
    <s v="06"/>
    <x v="0"/>
    <s v="3231"/>
    <s v="3231. Escuelas infantiles"/>
    <s v="63"/>
    <s v="632"/>
  </r>
  <r>
    <n v="220210036221"/>
    <s v="AD"/>
    <d v="2021-07-06T00:00:00"/>
    <n v="22021005095"/>
    <s v="2021 04 9202 22607"/>
    <n v="1796.69"/>
    <x v="134"/>
    <s v="SERVICIO DE AMBULANCIA PARA PRUEBAS FÍSICAS OPOSICIÓN DE 68 PEONES LIMPIEZA. -mjsi-"/>
    <s v="22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51247"/>
    <s v="AD"/>
    <d v="2021-09-09T00:00:00"/>
    <n v="22021006390"/>
    <s v="2021 05 4331 622"/>
    <n v="2846.13"/>
    <x v="643"/>
    <s v="Dirección facultativa de obras de adecuación en nave sita en la calle Valle de Arán nº 1 para Hub Innonación-LUC"/>
    <s v="220"/>
    <s v="VALLADOLID"/>
    <s v="VALLADOLID"/>
    <x v="2"/>
    <s v="AdDirec - Adjudicación Directa"/>
    <s v="SinC - Sin Criterio"/>
    <x v="0"/>
    <x v="2"/>
    <s v="6"/>
    <s v="6. Inversiones reales"/>
    <s v="05"/>
    <x v="6"/>
    <s v="4331"/>
    <s v="4331. Desarrollo empresarial"/>
    <s v="62"/>
    <s v="622"/>
  </r>
  <r>
    <n v="220210043792"/>
    <s v="D"/>
    <d v="2021-07-27T00:00:00"/>
    <n v="22021003344"/>
    <s v="2021 04 9204 216"/>
    <n v="3012.9"/>
    <x v="910"/>
    <s v="SERVICIO DE ACCESIBILIDAD WEB AUMENTADA INCLUSITE, LOTE 12"/>
    <s v="300"/>
    <s v="VILA-REAL"/>
    <s v="CASTELLON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8358"/>
    <s v="AD"/>
    <d v="2021-07-15T00:00:00"/>
    <n v="22021005612"/>
    <s v="2021 11 1321 214"/>
    <n v="1919.23"/>
    <x v="783"/>
    <s v="REPARACIÓN DE MOTOCICLETAS: 9086 JPW, 9096 JPW, 8717 KHL Y 1376 LJD. (ACUERDO MARCO EN TRAMITACIÓN)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4"/>
  </r>
  <r>
    <n v="220210045362"/>
    <s v="AD"/>
    <d v="2021-08-05T00:00:00"/>
    <n v="22021005965"/>
    <s v="2021 07 1711 624"/>
    <n v="8999.01"/>
    <x v="783"/>
    <s v="SUMINISTRO DE 3 MOTOCICLETAS PARA EL SERVICIO DE PARQUES Y JARDINES."/>
    <s v="220"/>
    <s v="VALLADOLID"/>
    <s v="VALLADOLID"/>
    <x v="1"/>
    <s v="AdDirec - Adjudicación Directa"/>
    <s v="SinC - Sin Criterio"/>
    <x v="0"/>
    <x v="2"/>
    <s v="6"/>
    <s v="6. Inversiones reales"/>
    <s v="07"/>
    <x v="7"/>
    <s v="1711"/>
    <s v="1711. Parques y jardines"/>
    <s v="62"/>
    <s v="624"/>
  </r>
  <r>
    <n v="220210049867"/>
    <s v="D"/>
    <d v="2021-08-25T00:00:00"/>
    <n v="22021005946"/>
    <s v="2021 11 1321 214"/>
    <n v="752.29"/>
    <x v="783"/>
    <s v="ACUERDO MARCO. REPARACIÓN MOTOCICLETA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9773"/>
    <s v="D"/>
    <d v="2021-08-25T00:00:00"/>
    <n v="22021005946"/>
    <s v="2021 11 1321 214"/>
    <n v="622.82000000000005"/>
    <x v="783"/>
    <s v="ACUERDO MARCO. REPAR. MOTOC. 8616KHL Chequeo  Máquina Diagnósitico / Disco de Freno (2) / Juego de Pastillas Freno (5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903"/>
    <s v="AD"/>
    <d v="2021-09-03T00:00:00"/>
    <n v="22021006388"/>
    <s v="2021 02 1511 641"/>
    <n v="2831.4"/>
    <x v="911"/>
    <s v="ACTUALIZACIÓN, SOPORTE DE VERSIONES DE LAS HERRAMIENTAS, REVISIÓN DE LOGS Y MANIMIENTO DE LA INFRAES.AWS."/>
    <s v="220"/>
    <s v="HUESCA"/>
    <s v="HUESCA"/>
    <x v="0"/>
    <s v="AdDirec - Adjudicación Directa"/>
    <s v="SinC - Sin Criterio"/>
    <x v="0"/>
    <x v="2"/>
    <s v="6"/>
    <s v="6. Inversiones reales"/>
    <s v="02"/>
    <x v="10"/>
    <s v="1511"/>
    <s v="1511. Planficación y gestión del urbanismo"/>
    <s v="64"/>
    <s v="641"/>
  </r>
  <r>
    <n v="220210050960"/>
    <s v="AD"/>
    <d v="2021-09-07T00:00:00"/>
    <n v="22021006417"/>
    <s v="2021 08 1532 22699"/>
    <n v="2662"/>
    <x v="628"/>
    <s v="Mantenimiento instalaciones agua caliente sanitaria y calefacción del Parque del Cabildo en C/ Título, 51 (12 meses).-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699"/>
  </r>
  <r>
    <n v="220210044272"/>
    <s v="AD"/>
    <d v="2021-07-29T00:00:00"/>
    <n v="22021005923"/>
    <s v="2021 07 1701 22706"/>
    <n v="544.5"/>
    <x v="912"/>
    <s v="Montaje, transporte y desmontaje de la exposición sobre la estrategia alimentaria en 3 ocasiones durante el añ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01"/>
    <s v="1701. Dirección del área de medio ambiente"/>
    <s v="22"/>
    <s v="22706"/>
  </r>
  <r>
    <n v="220210037306"/>
    <s v="AD"/>
    <d v="2021-07-15T00:00:00"/>
    <n v="22021005719"/>
    <s v="2021 10 2316 22616"/>
    <n v="242"/>
    <x v="913"/>
    <s v="Intervención en lectura de poemas interculturales-XVIII Semana Intercultural"/>
    <s v="220"/>
    <s v="VALLADOLID"/>
    <s v="VALLADOLID"/>
    <x v="4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6877"/>
    <s v="AD"/>
    <d v="2021-07-13T00:00:00"/>
    <n v="22021005673"/>
    <s v="2021 08 1532 210"/>
    <n v="7260"/>
    <x v="139"/>
    <s v="Suministro de pinturas de todo tipo, disolventes, herramientas de pintor, etc. según necesidades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37254"/>
    <s v="AD"/>
    <d v="2021-07-14T00:00:00"/>
    <n v="22021005616"/>
    <s v="2021 02 9332 212"/>
    <n v="587.02"/>
    <x v="139"/>
    <s v="MATERIAL PINTURA INTERIOR NAVE PINGÜINOS,TAPANDO GRAFITIS,GOLPES Y DESCONCHADOS POR VANDALISMO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2"/>
  </r>
  <r>
    <n v="220210051311"/>
    <s v="AD"/>
    <d v="2021-09-10T00:00:00"/>
    <n v="22021001302"/>
    <s v="2021 11 1621 214"/>
    <n v="2500"/>
    <x v="542"/>
    <s v="TRABAJOS EN MATERIAL FERRICO PARA REPARACIONES DE VEHICULOS DEL Sº DE LIMPIEZA"/>
    <s v="220"/>
    <s v="LA CISTERNIGA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36479"/>
    <s v="AD"/>
    <d v="2021-07-07T00:00:00"/>
    <n v="22021005527"/>
    <s v="2021 11 3111 214"/>
    <n v="508.2"/>
    <x v="914"/>
    <s v="MANTENIMIENTO DEL SISTEMA GPS DE LOS VEHICULOS DE LA BRIGADA DE ZOONOSIS"/>
    <s v="220"/>
    <s v="TRES CANTOS"/>
    <s v="MADRID"/>
    <x v="0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1"/>
    <s v="214"/>
  </r>
  <r>
    <n v="220210044920"/>
    <s v="AD"/>
    <d v="2021-08-02T00:00:00"/>
    <n v="22021005578"/>
    <s v="2021 09 3341 22799"/>
    <n v="9790.98"/>
    <x v="171"/>
    <s v="PRORROGA CONTRATO PRESTACION SERVICIO MANTENIMIENTO COMUNICACION 2.0 AREA DE CULTURA Y TURISMO.29-08-21 AL 31-12-21"/>
    <s v="220"/>
    <s v="VALLADOLID"/>
    <s v="VALLADOLID"/>
    <x v="0"/>
    <s v="PrAbier - Procedimiento Abierto"/>
    <s v="MultiC - MultiCriterio"/>
    <x v="1"/>
    <x v="2"/>
    <s v="2"/>
    <s v="2. Gastos corrientes en bienes y servicios"/>
    <s v="09"/>
    <x v="1"/>
    <s v="3341"/>
    <s v="3341. Coordinación de políticas culturales"/>
    <s v="22"/>
    <s v="22799"/>
  </r>
  <r>
    <n v="220210045353"/>
    <s v="AD"/>
    <d v="2021-08-04T00:00:00"/>
    <n v="22021005889"/>
    <s v="2021 06 3321 22001"/>
    <n v="57.03"/>
    <x v="915"/>
    <s v="SUMINISTRO DE DIARIOS PARA LAS BIBLIOTECAS MUNICIPALES. 1 AÑO."/>
    <s v="220"/>
    <s v="MADRID"/>
    <s v="MADR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001"/>
  </r>
  <r>
    <n v="220210036226"/>
    <s v="AD"/>
    <d v="2021-07-06T00:00:00"/>
    <n v="22021005031"/>
    <s v="2021 05 4331 22602"/>
    <n v="3630"/>
    <x v="916"/>
    <s v="Publicación de página de contenido y anuncio en Cinco Días, el día 25 de junio,  &quot;&quot;Especial Recuperación Económica&quot;&quot;"/>
    <s v="220"/>
    <s v="MADRID"/>
    <s v="MADR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02"/>
  </r>
  <r>
    <n v="220210048445"/>
    <s v="AD"/>
    <d v="2021-08-19T00:00:00"/>
    <n v="22021006107"/>
    <s v="2021 07 1721 22799"/>
    <n v="2464.62"/>
    <x v="187"/>
    <s v="REVISADA LA INSTALACION ELÉCTRICA DE LAS ESTACIONES DE MEDICION CONTAMINACION DE LA RCCVA, HAY DEFICIENCIAS PARA REPARAR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99"/>
  </r>
  <r>
    <n v="220210042229"/>
    <s v="D"/>
    <d v="2021-07-23T00:00:00"/>
    <n v="22021002723"/>
    <s v="2021 01 9206 22001"/>
    <n v="282.44"/>
    <x v="812"/>
    <s v="SUMINISTROS DE DIFERENTES EJEMPLARES PARA USO DEL ARCHIVO MPAL"/>
    <s v="300"/>
    <s v="MADRID"/>
    <s v="MADRID"/>
    <x v="1"/>
    <s v="AdDirec - Adjudicación Directa"/>
    <s v="SinC - Sin Criterio"/>
    <x v="0"/>
    <x v="2"/>
    <s v="2"/>
    <s v="2. Gastos corrientes en bienes y servicios"/>
    <s v="01"/>
    <x v="4"/>
    <s v="9206"/>
    <s v="9206. Archivo municipal"/>
    <s v="22"/>
    <s v="22001"/>
  </r>
  <r>
    <n v="220210043787"/>
    <s v="D"/>
    <d v="2021-07-27T00:00:00"/>
    <n v="22021003305"/>
    <s v="2021 04 9204 216"/>
    <n v="3296.62"/>
    <x v="917"/>
    <s v="SOFTWARE DE PRESUPUESTOS, MEDICIONES Y CONTROL DE COSTES PARA EDIFICACIÓN Y OBRA CIVIL- PRESTO, LOTE 6"/>
    <s v="300"/>
    <s v="LLANERA"/>
    <s v="OVIEDO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6412"/>
    <s v="D"/>
    <d v="2021-07-07T00:00:00"/>
    <n v="22021002602"/>
    <s v="2021 06 3321 629"/>
    <n v="2720.29"/>
    <x v="918"/>
    <s v="VARIEDAD DE DVDs PARA LAS BIBLIOTECAS MUNICIPALES (EXPTE SE-EIJI 19/2020).JUNIO 2021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3998"/>
    <s v="D"/>
    <d v="2021-07-28T00:00:00"/>
    <n v="22021002602"/>
    <s v="2021 06 3321 629"/>
    <n v="145.71"/>
    <x v="918"/>
    <s v="SUMINISTRO DE DIFERENTES TÍTULOS EN DVD PARA BIBLIOTECAS PUBL. MPALES (10)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39687"/>
    <s v="AD"/>
    <d v="2021-07-16T00:00:00"/>
    <n v="22021005730"/>
    <s v="2021 03 9241 22602"/>
    <n v="60.5"/>
    <x v="152"/>
    <s v="SUMINISTRO DE PAPEL PARA CARTELERÍA CENTROS CÍVICOS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2"/>
  </r>
  <r>
    <n v="220210036848"/>
    <s v="AD"/>
    <d v="2021-07-12T00:00:00"/>
    <n v="22021005574"/>
    <s v="2021 07 1701 22699"/>
    <n v="54.64"/>
    <x v="152"/>
    <s v="Papel para impresión de carteles y folletos dentro del proyecto de la Estrategia Alimentaria de Valladolid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7"/>
    <s v="1701"/>
    <s v="1701. Dirección del área de medio ambiente"/>
    <s v="22"/>
    <s v="22699"/>
  </r>
  <r>
    <n v="220210036638"/>
    <s v="AD"/>
    <d v="2021-07-08T00:00:00"/>
    <n v="22021005585"/>
    <s v="2021 11 1361 22199"/>
    <n v="7.08"/>
    <x v="154"/>
    <s v="TAPON DEPOSITO LIMPIAPARABRISAS PARA AUTOESCALA SCANIA MAGIRUS AEA-9 , MATRICULA 6263LCL /SERV. EXTINCION DE INCENDIOS"/>
    <s v="220"/>
    <s v="FUENSALDAÑA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48681"/>
    <s v="D"/>
    <d v="2021-08-20T00:00:00"/>
    <n v="22021005716"/>
    <s v="2021 11 1621 634"/>
    <n v="1021.4"/>
    <x v="154"/>
    <s v="A.M. SPSC 23-2020: REPARACION VEHICULO 0370LDD (C.ACEITE, FILTROS, BUJIAS) DEL Sº DE LIMPIEZA"/>
    <s v="300"/>
    <s v="FUENSALDAÑA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45354"/>
    <s v="AD"/>
    <d v="2021-08-04T00:00:00"/>
    <n v="22021005891"/>
    <s v="2021 06 3321 22199"/>
    <n v="998.25"/>
    <x v="919"/>
    <s v="SUMINISTRO PRODUCTOS DESINFECTANTES PARA LA LIMPIEZA CON MOTIVO DE LA CONVID-19 EN LAS BIBLIOTECAS PUBLICAS-1 DÍA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199"/>
  </r>
  <r>
    <n v="220210045561"/>
    <s v="AD"/>
    <d v="2021-08-06T00:00:00"/>
    <n v="22021006028"/>
    <s v="2021 11 1631 22700"/>
    <n v="86.92"/>
    <x v="159"/>
    <s v="GESTIÓN DE ESCOMBROS DE HORMIGÓN EN PLANTA DE RECICLAJE Y DEMOLICIÓN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31"/>
    <s v="1631. Limpieza viaria"/>
    <s v="22"/>
    <s v="22700"/>
  </r>
  <r>
    <n v="220210048520"/>
    <s v="AD"/>
    <d v="2021-08-20T00:00:00"/>
    <n v="22021006053"/>
    <s v="2021 06 2314 212"/>
    <n v="2445"/>
    <x v="904"/>
    <s v="TRABAJOS DE PINTURA ESPACIO JOVEN SUR Y PINAR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1"/>
    <s v="212"/>
  </r>
  <r>
    <n v="220210043880"/>
    <s v="AD"/>
    <d v="2021-07-28T00:00:00"/>
    <n v="22021005911"/>
    <s v="2021 05 4314 632"/>
    <n v="23340.14"/>
    <x v="165"/>
    <s v="contrato obra puesto 29 mercado delicias para destinarlo a depósito piloto de punto limpio de proximidad merc Delicias"/>
    <s v="220"/>
    <s v="MEDINA DEL CAMPO"/>
    <s v="VALLADOLID"/>
    <x v="2"/>
    <s v="AdDirec - Adjudicación Directa"/>
    <s v="SinC - Sin Criterio"/>
    <x v="0"/>
    <x v="2"/>
    <s v="6"/>
    <s v="6. Inversiones reales"/>
    <s v="05"/>
    <x v="6"/>
    <s v="4314"/>
    <s v="4314. Fomento del comercio"/>
    <s v="63"/>
    <s v="632"/>
  </r>
  <r>
    <n v="220210056309"/>
    <s v="AD"/>
    <d v="2021-09-15T00:00:00"/>
    <n v="22021005092"/>
    <s v="2021 08 1651 619"/>
    <n v="2208.9499999999998"/>
    <x v="368"/>
    <s v="SERVICIO DE SEGURIDAD Y SALUD CONTRATO MANTENIMIENTO DE ALUMBRADO. EXP: 8/2021"/>
    <s v="220"/>
    <s v="VALLADOLID"/>
    <s v="VALLADOLID"/>
    <x v="0"/>
    <s v="PrAbier - Procedimiento Abierto"/>
    <s v="MultiC - MultiCriterio"/>
    <x v="1"/>
    <x v="2"/>
    <s v="6"/>
    <s v="6. Inversiones reales"/>
    <s v="08"/>
    <x v="9"/>
    <s v="1651"/>
    <s v="1651. Alumbrado público"/>
    <s v="61"/>
    <s v="619"/>
  </r>
  <r>
    <n v="220210045980"/>
    <s v="AD"/>
    <d v="2021-08-10T00:00:00"/>
    <n v="22021006027"/>
    <s v="2021 06 3231 633"/>
    <n v="3023.94"/>
    <x v="920"/>
    <s v="REPOSICIÓN ARMARIO REFRIGERADO PARA LA ESCUELA INFANTIL MUNICIPAL LA COMETA.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3231"/>
    <s v="3231. Escuelas infantiles"/>
    <s v="63"/>
    <s v="633"/>
  </r>
  <r>
    <n v="220210043873"/>
    <s v="AD"/>
    <d v="2021-07-28T00:00:00"/>
    <n v="22021005810"/>
    <s v="2021 01 9207 22001"/>
    <n v="880.06"/>
    <x v="921"/>
    <s v="ADJUDICACIÓN DOS SUSCRIPCIONES ANUALES AL PERIÓDICO EL PAÍS - GABINETE DE GOBIERNO Y RELACIONES"/>
    <s v="220"/>
    <s v="MADRID"/>
    <s v="MADRID"/>
    <x v="1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001"/>
  </r>
  <r>
    <n v="220210043778"/>
    <s v="AD"/>
    <d v="2021-07-27T00:00:00"/>
    <n v="22021005811"/>
    <s v="2021 01 9207 22001"/>
    <n v="55"/>
    <x v="922"/>
    <s v="ADJUDICA SUSCRIPCIÓN ANUAL AL PERIÓDICO DIGITAL INFOLIBRE.ES - GABINETE DE GOBIERNO Y RELACIONES"/>
    <s v="220"/>
    <s v="MADRID"/>
    <s v="MADRID"/>
    <x v="0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001"/>
  </r>
  <r>
    <n v="220210048418"/>
    <s v="D"/>
    <d v="2021-08-18T00:00:00"/>
    <n v="22021000545"/>
    <s v="2021 08 1341 22699"/>
    <n v="7500"/>
    <x v="18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699"/>
  </r>
  <r>
    <n v="220210048417"/>
    <s v="D"/>
    <d v="2021-08-18T00:00:00"/>
    <n v="22021000543"/>
    <s v="2021 08 1341 22602"/>
    <n v="3000"/>
    <x v="18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602"/>
  </r>
  <r>
    <n v="220210048419"/>
    <s v="D"/>
    <d v="2021-08-18T00:00:00"/>
    <n v="22021000546"/>
    <s v="2021 08 1341 22799"/>
    <n v="2500"/>
    <x v="18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799"/>
  </r>
  <r>
    <n v="220210039699"/>
    <s v="AD"/>
    <d v="2021-07-16T00:00:00"/>
    <n v="22021005763"/>
    <s v="2021 02 1511 22602"/>
    <n v="425.92"/>
    <x v="184"/>
    <s v="PUBLICACIÓN EN PRENSA EXPROPIACIÓN LOCAL LAS FRANCESAS"/>
    <s v="220"/>
    <s v="VALLADOLID"/>
    <s v="VALLADOLID"/>
    <x v="4"/>
    <s v="PrAbier - Procedimiento Abierto"/>
    <s v="MultiC - MultiCriterio"/>
    <x v="2"/>
    <x v="2"/>
    <s v="2"/>
    <s v="2. Gastos corrientes en bienes y servicios"/>
    <s v="02"/>
    <x v="10"/>
    <s v="1511"/>
    <s v="1511. Planficación y gestión del urbanismo"/>
    <s v="22"/>
    <s v="22602"/>
  </r>
  <r>
    <n v="220210043877"/>
    <s v="AD"/>
    <d v="2021-07-28T00:00:00"/>
    <n v="22021005754"/>
    <s v="2021 07 1711 22104"/>
    <n v="6000"/>
    <x v="161"/>
    <s v="VESTUARIO PARA EL PERSONAL TEMPORAL DEL SERVICIO DE PARQUES Y JARDINES.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7"/>
    <s v="1711"/>
    <s v="1711. Parques y jardines"/>
    <s v="22"/>
    <s v="22104"/>
  </r>
  <r>
    <n v="220210040953"/>
    <s v="D"/>
    <d v="2021-07-20T00:00:00"/>
    <n v="22021001275"/>
    <s v="2021 07 1711 22199"/>
    <n v="1257.6600000000001"/>
    <x v="161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0900"/>
    <s v="D"/>
    <d v="2021-07-20T00:00:00"/>
    <n v="22021001183"/>
    <s v="2021 10 2412 22199"/>
    <n v="205.1"/>
    <x v="161"/>
    <s v="MATERIAL PARA EL CURSO DE PINTURA DECORATIVA III DEL CENTRO DE FORMACION PARA EL EMPLEO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10040898"/>
    <s v="D"/>
    <d v="2021-07-20T00:00:00"/>
    <n v="22021001169"/>
    <s v="2021 10 2412 212"/>
    <n v="162.62"/>
    <x v="161"/>
    <s v="MANTENIMENTO, SUMINISTRO DE MATERIAL PARA REPARACIONES DEL  CENTRO. F. JACINTO BENAVENTE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10040123"/>
    <s v="D"/>
    <d v="2021-07-19T00:00:00"/>
    <n v="22021002055"/>
    <s v="2021 11 1631 22104"/>
    <n v="116.11"/>
    <x v="161"/>
    <s v="AC MARCO EXP. V36-2017: SUMINISTRO CALZADO PARA EL PERSONAL DEL S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04"/>
  </r>
  <r>
    <n v="220210040100"/>
    <s v="D"/>
    <d v="2021-07-19T00:00:00"/>
    <n v="22021003381"/>
    <s v="2021 11 1361 22199"/>
    <n v="38.26"/>
    <x v="161"/>
    <s v="ACUERDO MARCO SUMINISTROS / ALBARANES: 03410 - 02883 (JUNIO-21)//// DISCO CORTE- DISCO METAL - PISTOLA SELLANTE/ SEIS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4012"/>
    <s v="D"/>
    <d v="2021-07-28T00:00:00"/>
    <n v="22021001275"/>
    <s v="2021 07 1711 22199"/>
    <n v="20.61"/>
    <x v="161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0139"/>
    <s v="D"/>
    <d v="2021-07-19T00:00:00"/>
    <n v="22021002227"/>
    <s v="2021 06 3321 212"/>
    <n v="14.94"/>
    <x v="161"/>
    <s v="ALBARAN AV21/02999 DE 07/06/2021: CUBRE TODO ESPECIAL 2*50 UND (BIBLIOTECA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40137"/>
    <s v="D"/>
    <d v="2021-07-19T00:00:00"/>
    <n v="22021002227"/>
    <s v="2021 06 3321 212"/>
    <n v="2.92"/>
    <x v="161"/>
    <s v="ALBARAN AV21/02964 DE 04/06/2021: TORNILLOS AUTOTALADRANTES (BIBLIOTECA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46992"/>
    <s v="D"/>
    <d v="2021-08-13T00:00:00"/>
    <n v="22021002052"/>
    <s v="2021 11 1621 22199"/>
    <n v="22.02"/>
    <x v="161"/>
    <s v="AC MARCO EXP V36-2017: SUMINISTROS VARIOS PARA EL SERVICIO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6994"/>
    <s v="D"/>
    <d v="2021-08-13T00:00:00"/>
    <n v="22021002055"/>
    <s v="2021 11 1631 22104"/>
    <n v="152.86000000000001"/>
    <x v="161"/>
    <s v="AC MARCO EXP. V36-2017: SUMINISTRO DE CALZADO PARA PERSONAL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04"/>
  </r>
  <r>
    <n v="220210047039"/>
    <s v="D"/>
    <d v="2021-08-13T00:00:00"/>
    <n v="22021001275"/>
    <s v="2021 07 1711 22199"/>
    <n v="413.12"/>
    <x v="161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5447"/>
    <s v="D"/>
    <d v="2021-08-05T00:00:00"/>
    <n v="22021002228"/>
    <s v="2021 06 3232 212"/>
    <n v="22.26"/>
    <x v="161"/>
    <s v="ALB: 03433 de 28/06/21 - CEPILLO MBCP (COLEGIOS) ///// ALB: 03118 de 11-06-21- REJILLA ALUM. (C.P.GONZALO CORDOBA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6066"/>
    <s v="D"/>
    <d v="2021-08-10T00:00:00"/>
    <n v="22021002089"/>
    <s v="2021 03 9241 213"/>
    <n v="12.98"/>
    <x v="161"/>
    <s v="ALBARAN AV21/03534 DE 01/07/2021: TACO FISCHER SX 6 (300 UNIDADES) // CIC EMPECINAD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3"/>
  </r>
  <r>
    <n v="220210047001"/>
    <s v="D"/>
    <d v="2021-08-13T00:00:00"/>
    <n v="22021001038"/>
    <s v="2021 10 2312 212"/>
    <n v="51.52"/>
    <x v="161"/>
    <s v="MANT.SUMINISTRO DECARTUCHO SIKAFLEX , BOTE ESPUMA (CPM A. REAL)/ SELLANTE ADHESIVO CRISTAL (CPM PTE. COLGANTE)- DUR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7001"/>
    <s v="D"/>
    <d v="2021-08-13T00:00:00"/>
    <n v="22021001039"/>
    <s v="2021 10 2312 212"/>
    <n v="48.6"/>
    <x v="161"/>
    <s v="MANT.SUMINISTRO DECARTUCHO SIKAFLEX , BOTE ESPUMA (CPM A. REAL)/ SELLANTE ADHESIVO CRISTAL (CPM PTE. COLGANTE)- DUR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6986"/>
    <s v="D"/>
    <d v="2021-08-13T00:00:00"/>
    <n v="22021001169"/>
    <s v="2021 10 2412 212"/>
    <n v="255.03"/>
    <x v="161"/>
    <s v="MANT.SUMINISTRO DEFELPUDO / ESCALERA ALUMINIO 5 PELDAÑOS/ EXTENSIBLE ELECTRICO 10 M/ C. F. JACINTO BENAVENTE-DUR-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10046988"/>
    <s v="D"/>
    <d v="2021-08-13T00:00:00"/>
    <n v="22021001183"/>
    <s v="2021 10 2412 22199"/>
    <n v="47.98"/>
    <x v="161"/>
    <s v="SUMINISTRO DE  PUNTAL TELESCOPICO (2) / CURSO PINTURA DECORATIVA III DEL C. FORMACION PARA EL EMPLEO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10046061"/>
    <s v="D"/>
    <d v="2021-08-10T00:00:00"/>
    <n v="22021002228"/>
    <s v="2021 06 3232 212"/>
    <n v="131.71"/>
    <x v="161"/>
    <s v="TACO FISHER (CP EMPECINADO)/ CARTUCHO SIKAFLEX (CP F.G. LORCA)/ ALAMBRE (CP I.LA CATÓLICA)/ REJILLA/ TORNILLO (COLEGIOS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7102"/>
    <s v="AD"/>
    <d v="2021-08-13T00:00:00"/>
    <n v="22021006063"/>
    <s v="2021 08 1532 22104"/>
    <n v="3827.84"/>
    <x v="161"/>
    <s v="Suministro de guantes y equipos de protección individual:  rodilleras, protectores auditivos, fajas lumbares, gorras...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104"/>
  </r>
  <r>
    <n v="220210051076"/>
    <s v="D"/>
    <d v="2021-09-09T00:00:00"/>
    <n v="22021002132"/>
    <s v="2021 08 1532 210"/>
    <n v="2223.42"/>
    <x v="161"/>
    <s v="ALBARAN: AV21/02903 de 02/06/2021 ///// SUMINISTRO DE DIFERENTES ACCESORIO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1177"/>
    <s v="D"/>
    <d v="2021-09-09T00:00:00"/>
    <n v="22021002055"/>
    <s v="2021 11 1631 22104"/>
    <n v="187.22"/>
    <x v="161"/>
    <s v="ALB. DE 30/08/21/ ALB. DE 02/08/21. AM EXP. V36-2017.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04"/>
  </r>
  <r>
    <n v="220210051215"/>
    <s v="D"/>
    <d v="2021-09-09T00:00:00"/>
    <n v="22021002228"/>
    <s v="2021 06 3232 212"/>
    <n v="76.75"/>
    <x v="161"/>
    <s v="SUMINISTRO ACCESORIOS /// ALBARANES:  AV21/04246 - 04245- 03695 ///  DESTINOS: COLEGIO - CP PABLO PICASS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786"/>
    <s v="D"/>
    <d v="2021-08-20T00:00:00"/>
    <n v="22021002369"/>
    <s v="2021 02 9332 212"/>
    <n v="70.48"/>
    <x v="161"/>
    <s v="ALBARAN AV21/03917: CUCHILLA/ ALBARÁN AV21/03533: ESPIRAL MANGUERA/ LLANA BELLOTA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8528"/>
    <s v="AD"/>
    <d v="2021-08-20T00:00:00"/>
    <n v="22021006104"/>
    <s v="2021 10 2412 22699"/>
    <n v="67.650000000000006"/>
    <x v="161"/>
    <s v="VENTILADOR MESA  PARA EL JACINTO BENAVENTE- CENTRO DE FORMACION PARA EL EMPLEO.DUR 1 DÍ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699"/>
  </r>
  <r>
    <n v="220210048676"/>
    <s v="D"/>
    <d v="2021-08-20T00:00:00"/>
    <n v="22021002088"/>
    <s v="2021 03 9241 212"/>
    <n v="4.33"/>
    <x v="161"/>
    <s v="ALBARAN AV21/03914 F DE 22/07/21: TACO FISCHER SX 8 (100 UDS) // CENTRO SANTIAGO LOP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49417"/>
    <s v="AD"/>
    <d v="2021-08-24T00:00:00"/>
    <n v="22021006165"/>
    <s v="2021 09 3341 22609"/>
    <n v="2000"/>
    <x v="923"/>
    <s v="TRABAJOS PARA EXPOSICION EL HECHO COMUNERO EN EL LIBRO ESCOLAR CON MOTIVO DE 5º CENTENRIO GUERRA DE LOS COMUNEROS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609"/>
  </r>
  <r>
    <n v="220210037250"/>
    <s v="AD"/>
    <d v="2021-07-14T00:00:00"/>
    <n v="22021005528"/>
    <s v="2021 05 4331 22602"/>
    <n v="7260"/>
    <x v="162"/>
    <s v="PATROCINIO DEL ENCUENTRO &quot;&quot;ECOMOBILITY: Encuentro de movilidad sostenible: encuentro digital y exposición de VE&quot;&quot; 2-3 Jul."/>
    <s v="220"/>
    <s v="VALLADOLID"/>
    <s v="VALLADOLID"/>
    <x v="4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02"/>
  </r>
  <r>
    <n v="220210039685"/>
    <s v="AD"/>
    <d v="2021-07-16T00:00:00"/>
    <n v="22021005721"/>
    <s v="2021 06 2315 22611"/>
    <n v="4840"/>
    <x v="162"/>
    <s v="COLABORACION EN LA 4º MARCHA Y CARRERA DE LAS MUJERES ORGANIZADA POR EL NORTE DE CASTILLA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36636"/>
    <s v="AD"/>
    <d v="2021-07-08T00:00:00"/>
    <n v="22021005555"/>
    <s v="2021 05 4314 22602"/>
    <n v="3630"/>
    <x v="162"/>
    <s v="PATROCINIO JORNADAS DE COMERCIO 'CONSTRUYENDO FUTURO, SUMANDO ESFUERZOS' DE EL NORTE DE CASTILLA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14"/>
    <s v="4314. Fomento del comercio"/>
    <s v="22"/>
    <s v="22602"/>
  </r>
  <r>
    <n v="220210036635"/>
    <s v="AD"/>
    <d v="2021-07-08T00:00:00"/>
    <n v="22021005546"/>
    <s v="2021 10 2312 22602"/>
    <n v="2541"/>
    <x v="162"/>
    <s v="PUBLICACION EN EL NORTE DE CASTILLA DURANTE 5 DIAS DE ACTIVIDADES EN LOS CENTROS DE PERSONAS MAYORES DE VALLADOLID"/>
    <s v="220"/>
    <s v="VALLADOLID"/>
    <s v="VALLADOLID"/>
    <x v="4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2"/>
    <s v="22602"/>
  </r>
  <r>
    <n v="220210036635"/>
    <s v="AD"/>
    <d v="2021-07-08T00:00:00"/>
    <n v="22021005547"/>
    <s v="2021 10 2312 22602"/>
    <n v="2541"/>
    <x v="162"/>
    <s v="PUBLICACION EN EL NORTE DE CASTILLA DURANTE 5 DIAS DE ACTIVIDADES EN LOS CENTROS DE PERSONAS MAYORES DE VALLADOLID"/>
    <s v="220"/>
    <s v="VALLADOLID"/>
    <s v="VALLADOLID"/>
    <x v="4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2"/>
    <s v="22602"/>
  </r>
  <r>
    <n v="220210036827"/>
    <s v="AD"/>
    <d v="2021-07-09T00:00:00"/>
    <n v="22021005013"/>
    <s v="2021 03 9241 22602"/>
    <n v="2000"/>
    <x v="162"/>
    <s v="ESPACIOS EN PRENSA DIGITAL PARA PUBLICIDAD WEB DEL PROCESO VOTACIÓN PRESUPUESTOS PARTICIPATIVOS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602"/>
  </r>
  <r>
    <n v="220210044968"/>
    <s v="AD"/>
    <d v="2021-08-03T00:00:00"/>
    <n v="22021005927"/>
    <s v="2021 08 1301 22699"/>
    <n v="7139"/>
    <x v="162"/>
    <s v="PATROCINIO DEL TERCER DÍA DE LA BICI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301"/>
    <s v="1301. Dirección del área de seguridad"/>
    <s v="22"/>
    <s v="22699"/>
  </r>
  <r>
    <n v="220210037247"/>
    <s v="AD"/>
    <d v="2021-07-14T00:00:00"/>
    <n v="22021004641"/>
    <s v="2021 08 1532 623"/>
    <n v="9485.36"/>
    <x v="187"/>
    <s v="Instalación de 5 puntos de recarga para vehículos eléct5ricos en instalaciones del Parque Vías Públicas, C/ Títulos 51.-"/>
    <s v="220"/>
    <s v="VALLADOLID"/>
    <s v="VALLADOLID"/>
    <x v="1"/>
    <s v="AdDirec - Adjudicación Directa"/>
    <s v="SinC - Sin Criterio"/>
    <x v="0"/>
    <x v="2"/>
    <s v="6"/>
    <s v="6. Inversiones reales"/>
    <s v="08"/>
    <x v="9"/>
    <s v="1532"/>
    <s v="1532. Pavimentación vias públicas y otros servicios urbanísticos"/>
    <s v="62"/>
    <s v="623"/>
  </r>
  <r>
    <n v="220210050963"/>
    <s v="AD"/>
    <d v="2021-09-07T00:00:00"/>
    <n v="22021006432"/>
    <s v="2021 11 3111 22110"/>
    <n v="2000"/>
    <x v="307"/>
    <s v="ADQUISICION DE PRODUCTOS DE LIMPIEZA Y ASEO PARA CASA DEL BARCO Y CENTRO MUNICIPAL DE PROTECCION ANIMAL PARA EL AÑO 2021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2"/>
    <s v="22110"/>
  </r>
  <r>
    <n v="220210048516"/>
    <s v="AD"/>
    <d v="2021-08-20T00:00:00"/>
    <n v="22021006118"/>
    <s v="2021 08 1532 619"/>
    <n v="1671.09"/>
    <x v="368"/>
    <s v="Trabajos de Coordinación de Seguridad y Salud para la obra &quot;&quot;Urbanización de la Calle Nueva del Carmen&quot;&quot;.-"/>
    <s v="220"/>
    <s v="VALLADOLID"/>
    <s v="VALLADOLID"/>
    <x v="0"/>
    <s v="PrAbier - Procedimiento Abierto"/>
    <s v="SinC - Sin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51248"/>
    <s v="AD"/>
    <d v="2021-09-09T00:00:00"/>
    <n v="22021006326"/>
    <s v="2021 04 9204 641"/>
    <n v="1631.56"/>
    <x v="424"/>
    <s v="MANTENIMIENTO DE LOS SISTEMAS DE GESTIÓN DE INVENTARIO Y DE CARTOGRAFÍA - INVEN Y E-MAP"/>
    <s v="220"/>
    <s v="BARCELONA"/>
    <s v="BARCELONA"/>
    <x v="0"/>
    <s v="AdDirec - Adjudicación Directa"/>
    <s v="SinC - Sin Criterio"/>
    <x v="0"/>
    <x v="2"/>
    <s v="6"/>
    <s v="6. Inversiones reales"/>
    <s v="04"/>
    <x v="3"/>
    <s v="9204"/>
    <s v="9204. Tecnologías de la información y comunicación"/>
    <s v="64"/>
    <s v="641"/>
  </r>
  <r>
    <n v="220210050349"/>
    <s v="AD"/>
    <d v="2021-08-30T00:00:00"/>
    <n v="22021006203"/>
    <s v="2021 11 1321 22699"/>
    <n v="1573"/>
    <x v="501"/>
    <s v="SUMINISTRO DE KITS DETECTORES DE DROGA Y TUBOS DE ENSAYO PARA CONTROLES POLICÍA."/>
    <s v="220"/>
    <s v="MADRID"/>
    <s v="MADRID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699"/>
  </r>
  <r>
    <n v="220210050898"/>
    <s v="AD"/>
    <d v="2021-09-03T00:00:00"/>
    <n v="22021006366"/>
    <s v="2021 06 3232 213"/>
    <n v="1490.72"/>
    <x v="128"/>
    <s v="TIMBRADO DE MANGERAS BIE DE LOS EQUIPOS DE EXTINCION EN COLEGIOS PUBLICOS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48793"/>
    <s v="D"/>
    <d v="2021-08-20T00:00:00"/>
    <n v="22021005716"/>
    <s v="2021 11 1621 634"/>
    <n v="550.04999999999995"/>
    <x v="924"/>
    <s v="AC. MARCO EXP SPSC 23/2020: REPARACION EQUIPO AIRE ACONDICIONADO VEHÍCULO 4459KLP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36187"/>
    <s v="AD"/>
    <d v="2021-07-06T00:00:00"/>
    <n v="22021005315"/>
    <s v="2021 11 1321 213"/>
    <n v="1445.95"/>
    <x v="189"/>
    <s v="SUMINISTRO Y MONTAJE MODULO GRUPO ELECTRÓGENO, BATERÍA Y PROGRAMACIÓN EN DEPENDENCIAS DISTRITO 3º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36186"/>
    <s v="AD"/>
    <d v="2021-07-06T00:00:00"/>
    <n v="22021005316"/>
    <s v="2021 11 1321 213"/>
    <n v="631.62"/>
    <x v="189"/>
    <s v="REVISIÓN ANUAL E INSPECCIÓN PERIÓDICA OBLIGATORIA EN CENTRO DE  TRANSFORMACIÓN DE FUENTE EL SOL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45366"/>
    <s v="AD"/>
    <d v="2021-08-05T00:00:00"/>
    <n v="22021005987"/>
    <s v="2021 11 1321 213"/>
    <n v="3509"/>
    <x v="189"/>
    <s v="LEGALIZACIÓN DE INSTALACIÓN ELÉCTRICA EN EDIFICIO DE POLICÍA MUNICIPAL EN AVDA. PALENCIA 45 (DISTRITO 2º)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45367"/>
    <s v="AD"/>
    <d v="2021-08-05T00:00:00"/>
    <n v="22021005988"/>
    <s v="2021 11 1321 213"/>
    <n v="6382.75"/>
    <x v="189"/>
    <s v="LEGALIZACIÓN DE INSTALACIÓN ELÉCTRICA EN EDIFICIO DE POLICÍA MUNICIPAL EN C/ HORNIJA, 5 (DELICIAS)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36445"/>
    <s v="D"/>
    <d v="2021-07-07T00:00:00"/>
    <n v="22021002006"/>
    <s v="2021 11 3111 22199"/>
    <n v="13.31"/>
    <x v="925"/>
    <s v="AM V. 36/2017: ALM067 ALIMENTADOR 5-12V 1000MA (1 UD) // SALUD PÚBLICA"/>
    <s v="30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2"/>
    <s v="22199"/>
  </r>
  <r>
    <n v="220210048391"/>
    <s v="AD"/>
    <d v="2021-08-18T00:00:00"/>
    <n v="22021006079"/>
    <s v="2021 01 9203 22601"/>
    <n v="1287.5"/>
    <x v="703"/>
    <s v="ATENCIONES PROTOCOLARIAS VISITAS OFICIALES"/>
    <s v="220"/>
    <s v="VALLADOLID"/>
    <s v="VALLADOLID"/>
    <x v="1"/>
    <s v="AdDirec - Adjudicación Directa"/>
    <s v="SinC - Sin Criterio"/>
    <x v="0"/>
    <x v="2"/>
    <s v="2"/>
    <s v="2. Gastos corrientes en bienes y servicios"/>
    <s v="01"/>
    <x v="4"/>
    <s v="9203"/>
    <s v="9203. Unidad de régimen interior"/>
    <s v="22"/>
    <s v="22601"/>
  </r>
  <r>
    <n v="220210044487"/>
    <s v="D"/>
    <d v="2021-07-30T00:00:00"/>
    <n v="22021002006"/>
    <s v="2021 11 3111 22199"/>
    <n v="55.26"/>
    <x v="830"/>
    <s v="VIDRIO TEMPLADO 5MM (950X345) ///   DESTINO: DEPOSITO CANINO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36431"/>
    <s v="D"/>
    <d v="2021-07-07T00:00:00"/>
    <n v="22021002052"/>
    <s v="2021 11 1621 22199"/>
    <n v="51.49"/>
    <x v="830"/>
    <s v="AC. M. CARGLAS (860X625) // ENCERRADERO CADENAS DE SAN GREGORIO. SERVICIO DE LIMPIEZA.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36787"/>
    <s v="D"/>
    <d v="2021-07-09T00:00:00"/>
    <n v="22021002375"/>
    <s v="2021 02 9332 212"/>
    <n v="26.52"/>
    <x v="830"/>
    <s v="CARGLASS (505X330) // CASA CONSISTORIAL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6043"/>
    <s v="D"/>
    <d v="2021-08-10T00:00:00"/>
    <n v="22021002228"/>
    <s v="2021 06 3232 212"/>
    <n v="3093.66"/>
    <x v="830"/>
    <s v="C.P. QUEVEDO (LUNA) //// MARINA ESCOBAR (SEGURIDAD)  // PABLO PICASSO (SEGURIDAD+ ARMADO+ U-GLASS). juli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5192"/>
    <s v="D"/>
    <d v="2021-08-03T00:00:00"/>
    <n v="22021004466"/>
    <s v="2021 10 2311 212"/>
    <n v="146.13999999999999"/>
    <x v="830"/>
    <s v="F-8144. CRISTALERIA ZARATAN,S.L. SEGURIDAD 3+3 (2060X810) CENTRO INTEGRADO. 1 DIA. COVID-19"/>
    <s v="300"/>
    <s v="ZARATAN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8732"/>
    <s v="D"/>
    <d v="2021-08-20T00:00:00"/>
    <n v="22021002375"/>
    <s v="2021 02 9332 212"/>
    <n v="71.87"/>
    <x v="830"/>
    <s v="CAJAS EN VIDRIO PARA REJILLA ( 3 UNIDADES ) ///  DESTINO: REAL DE LA FERIA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1295"/>
    <s v="D"/>
    <d v="2021-09-29T00:00:00"/>
    <n v="22021001968"/>
    <s v="2021 11 1321 22199"/>
    <n v="627.03"/>
    <x v="830"/>
    <s v="ACUERDO MARCO. CRISTALES DE SEGURIDAD 3+3 965X830 ( 8 UNIDADES ) ////   UBICACION: POLICIA MUNICIPAL (LA RUBIA)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58820"/>
    <s v="D"/>
    <d v="2021-09-23T00:00:00"/>
    <n v="22021002228"/>
    <s v="2021 06 3232 212"/>
    <n v="1413.11"/>
    <x v="830"/>
    <s v="CRISTALES SEGURIDAD 3+3 (C.P. LEÓN FELIPE)/ LUNA (C.P. CRISTOBAL COLÓN)/ ARMADO (C.P. NARCISO A. CORTÉS). agost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63178"/>
    <s v="D"/>
    <d v="2021-09-30T00:00:00"/>
    <n v="22021002228"/>
    <s v="2021 06 3232 212"/>
    <n v="1275.93"/>
    <x v="830"/>
    <s v="SEGURIDAD 3+3 (NARCISO A. CORTES) // CLIMALIT (PQ ALAMEDA - FCO PINO- MARINA ESCOBAR) // LUNA 4 MM (CRIST.COLÓN)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347"/>
    <s v="AD"/>
    <d v="2021-08-30T00:00:00"/>
    <n v="22021004954"/>
    <s v="2021 06 3231 212"/>
    <n v="1210"/>
    <x v="124"/>
    <s v="SUMINISTRO DE CONTENEDORES, ÁRIDOS Y RETIRADA DE ESCOMBROS POR LAS OBRAS EN LAS E.I.M. AÑO 2021. AMPLIACIÓN."/>
    <s v="220"/>
    <s v="LA FLECHA"/>
    <s v="VALLADOLID"/>
    <x v="1"/>
    <s v="AdDirec - Adjudicación Directa"/>
    <s v="SinC - Sin Criterio"/>
    <x v="0"/>
    <x v="2"/>
    <s v="2"/>
    <s v="2. Gastos corrientes en bienes y servicios"/>
    <s v="06"/>
    <x v="0"/>
    <s v="3231"/>
    <s v="3231. Escuelas infantiles"/>
    <s v="21"/>
    <s v="212"/>
  </r>
  <r>
    <n v="220210043882"/>
    <s v="AD"/>
    <d v="2021-07-28T00:00:00"/>
    <n v="22021005615"/>
    <s v="2021 07 1721 623"/>
    <n v="21812.79"/>
    <x v="198"/>
    <s v="V 6/2020 CONTRATO SUMINISTRO DE UN ANALIZADOR DE REFERENCIA DE MEDIDA NO/NO2/NOX (REMANENTE INCORPORADO)"/>
    <s v="220"/>
    <s v="LLANERA"/>
    <s v="ASTURIAS"/>
    <x v="1"/>
    <s v="PrAbier - Procedimiento Abierto"/>
    <s v="MultiC - MultiCriterio"/>
    <x v="1"/>
    <x v="2"/>
    <s v="6"/>
    <s v="6. Inversiones reales"/>
    <s v="07"/>
    <x v="7"/>
    <s v="1721"/>
    <s v="1721. Protección del medio ambiente"/>
    <s v="62"/>
    <s v="623"/>
  </r>
  <r>
    <n v="220210041569"/>
    <s v="AD"/>
    <d v="2021-07-21T00:00:00"/>
    <n v="22021005688"/>
    <s v="2021 07 1721 22799"/>
    <n v="3790.7"/>
    <x v="198"/>
    <s v="CALIBRACIÓN EQUIPOS DE BENCENO DE LA RED. SERVICIO DE MEDIO AMBIENTE"/>
    <s v="220"/>
    <s v="LLANERA"/>
    <s v="ASTURIAS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99"/>
  </r>
  <r>
    <n v="220210039692"/>
    <s v="AD"/>
    <d v="2021-07-16T00:00:00"/>
    <n v="22021005735"/>
    <s v="2021 03 9241 22699"/>
    <n v="853.05"/>
    <x v="926"/>
    <s v="SESIÓN DE CINE AL AIRE LIBRE CIC EMPECINADO (AV BARRIO GIRÓN) 25/06/2021"/>
    <s v="220"/>
    <s v="OLMEDO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43989"/>
    <s v="D"/>
    <d v="2021-07-28T00:00:00"/>
    <n v="22021002601"/>
    <s v="2021 06 3321 629"/>
    <n v="125.67"/>
    <x v="757"/>
    <s v="COMPRA DE MATERIAL BIBLIOGRÁFICO: 8 EJEMPLARES DIFERENTES PARA LAS BIBLIOTECAS MPALES"/>
    <s v="300"/>
    <s v="POZUELO DE ALARCON"/>
    <s v="MADR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37309"/>
    <s v="AD"/>
    <d v="2021-07-15T00:00:00"/>
    <n v="22021005696"/>
    <s v="2021 05 4331 22799"/>
    <n v="2394.25"/>
    <x v="177"/>
    <s v="Mantenimiento de la cubierta vegetal del mercado El Campillo&quot;&quot; Proyecto URBAN GreenUP -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45983"/>
    <s v="AD"/>
    <d v="2021-08-10T00:00:00"/>
    <n v="22021005699"/>
    <s v="2021 05 4331 22799"/>
    <n v="10000"/>
    <x v="177"/>
    <s v="SEGUNDA PRÓRROGA DEL CONTRATO 010 (ATENCIÓN PRESENCIAL Y TELEFÓNICA EN LA AGENCIA DE INNOVACIÓN) AÑO 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05"/>
    <x v="6"/>
    <s v="4331"/>
    <s v="4331. Desarrollo empresarial"/>
    <s v="22"/>
    <s v="22799"/>
  </r>
  <r>
    <n v="220210045359"/>
    <s v="AD"/>
    <d v="2021-08-05T00:00:00"/>
    <n v="22021004507"/>
    <s v="2021 04 9231 22799"/>
    <n v="78750"/>
    <x v="177"/>
    <s v="SEGUNDA PRORROGA SERVICIO ATENCION TELEFONICA 010, CENTRALITA Y ATENCION PRESENCIAL - INFORMACION 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04"/>
    <x v="3"/>
    <s v="9231"/>
    <s v="9231. Información, registro y gestión del padrón"/>
    <s v="22"/>
    <s v="22799"/>
  </r>
  <r>
    <n v="220210043981"/>
    <s v="D"/>
    <d v="2021-07-28T00:00:00"/>
    <n v="22021002601"/>
    <s v="2021 06 3321 629"/>
    <n v="3627.9"/>
    <x v="761"/>
    <s v="VARIEDAD DE EJEMPLARES PARA LAS BIBLIOTE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3983"/>
    <s v="D"/>
    <d v="2021-07-28T00:00:00"/>
    <n v="22021002601"/>
    <s v="2021 06 3321 629"/>
    <n v="227.97"/>
    <x v="761"/>
    <s v="SUMINISTRO DE DIFERENTES TÍTULOS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1568"/>
    <s v="AD"/>
    <d v="2021-07-21T00:00:00"/>
    <n v="22021005684"/>
    <s v="2021 07 1721 22799"/>
    <n v="2147.75"/>
    <x v="927"/>
    <s v="CALIBRACIÓN DE CAUDALÍMETROS HYVOLCAL Y DELTACAL DE LA RCCVA. SERVICIO DE MEDIO AMBIENTE"/>
    <s v="220"/>
    <s v="BARCELONA"/>
    <s v="BARCELONA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99"/>
  </r>
  <r>
    <n v="220210043816"/>
    <s v="AD"/>
    <d v="2021-07-27T00:00:00"/>
    <n v="22021005873"/>
    <s v="2021 03 9241 22609"/>
    <n v="544.5"/>
    <x v="212"/>
    <s v="ACTUACION EN LAS MORERAS, DIA 16/07/2021. MFS"/>
    <s v="220"/>
    <s v="SIMANCAS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63187"/>
    <s v="D"/>
    <d v="2021-09-30T00:00:00"/>
    <n v="22021002228"/>
    <s v="2021 06 3232 212"/>
    <n v="1015.57"/>
    <x v="830"/>
    <s v="CRISTALES ARMADO 915X640 / ARMADO 1500X625 / ARMADO 640X420 / CLIMALIT 870X475 // COLEGIO TIERNO GALVAN"/>
    <s v="300"/>
    <s v="ZARATAN"/>
    <s v="VALLADOLID"/>
    <x v="1"/>
    <s v="PrAbier - Procedimiento Abierto"/>
    <s v="MultiC - Multi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63153"/>
    <s v="D"/>
    <d v="2021-09-30T00:00:00"/>
    <n v="22021002375"/>
    <s v="2021 02 9332 212"/>
    <n v="119.91"/>
    <x v="830"/>
    <s v="SEGURIDAD 3+3 MATE (1100 X 630) /////  DESTINO UBICACIÓN:  CASA CONSISTORIAL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3163"/>
    <s v="D"/>
    <d v="2021-09-30T00:00:00"/>
    <n v="22021002088"/>
    <s v="2021 03 9241 212"/>
    <n v="98.59"/>
    <x v="830"/>
    <s v="CRISTALES CLIMALIT 4/6/4 (565X470) - 2 UDS // APERTURA VENTANA EN LOCAL ASOC. DE VECINOS VIEJO COSO"/>
    <s v="300"/>
    <s v="ZARATAN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8817"/>
    <s v="D"/>
    <d v="2021-09-23T00:00:00"/>
    <n v="22021002225"/>
    <s v="2021 06 3231 212"/>
    <n v="84.3"/>
    <x v="830"/>
    <s v="SEGURIDAD 3+3 (1520X580)  /////   DESTINO UBICACIÓN:  E.I.M. LA COMETA. agost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40197"/>
    <s v="D"/>
    <d v="2021-07-19T00:00:00"/>
    <n v="22021003187"/>
    <s v="2021 06 2314 212"/>
    <n v="935.49"/>
    <x v="168"/>
    <s v="Foco Carril Trifasico 34W 2789Lm 50º Color Blanco (15) / Luminaria Lineal Bl. (2) // DESTINO: ESPACIO JOVEN ZONA SU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0197"/>
    <s v="D"/>
    <d v="2021-07-19T00:00:00"/>
    <n v="22021003187"/>
    <s v="2021 06 2314 212"/>
    <n v="653.97"/>
    <x v="168"/>
    <s v="Foco Carril Trifasico 34W 2789Lm 50º Color Blanco (15) / Luminaria Lineal Bl. (2) // DESTINO: ESPACIO JOVEN ZONA SU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0180"/>
    <s v="D"/>
    <d v="2021-07-19T00:00:00"/>
    <n v="22021002089"/>
    <s v="2021 03 9241 213"/>
    <n v="1401.45"/>
    <x v="168"/>
    <s v="16 uds- Panel LED 33W 4000K 600x600 (CC J.L.MOSQUERA) // 112 uds- Downlight PHILIPS 11W 220V LED10/840 (CC RONDILLA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36773"/>
    <s v="D"/>
    <d v="2021-07-09T00:00:00"/>
    <n v="22021001966"/>
    <s v="2021 11 1321 213"/>
    <n v="916.97"/>
    <x v="168"/>
    <s v="ACUERDO MARCO. SUMINISTRO 10 uds- Bateria casco audio 3,7V 140mAh / 25 uds- Soporte monitor  con cajon // POLICÍ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3"/>
  </r>
  <r>
    <n v="220210043974"/>
    <s v="D"/>
    <d v="2021-07-28T00:00:00"/>
    <n v="22021003381"/>
    <s v="2021 11 1361 22199"/>
    <n v="322.58999999999997"/>
    <x v="168"/>
    <s v="ACUERDO MARCO EXPTE: V. 36_2017; LOTE 6; GUANTES DIELECTRICOS CLASE 3 TALLA 10 30KV SG-30 / 5 UNID: SEISY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0908"/>
    <s v="D"/>
    <d v="2021-07-20T00:00:00"/>
    <n v="22021002371"/>
    <s v="2021 02 9332 212"/>
    <n v="45.85"/>
    <x v="168"/>
    <s v="2 uds - Regleta espejo 22W IP44 4200K  760mm. // CASA CONSISTO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0092"/>
    <s v="D"/>
    <d v="2021-07-19T00:00:00"/>
    <n v="22021003381"/>
    <s v="2021 11 1361 22199"/>
    <n v="9.9"/>
    <x v="168"/>
    <s v="ACUERDO MARCO SUMINISTROS: 20 uds - Pila alcalina Duracell-Procell AAA LR03 1,5V/EXTINCION DE INCENDIOS -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0153"/>
    <s v="D"/>
    <d v="2021-08-27T00:00:00"/>
    <n v="22021002048"/>
    <s v="2021 11 1621 214"/>
    <n v="216.83"/>
    <x v="168"/>
    <s v="AC MARCO EXP. V36-2017. ensor Onrom inductivo corto Enr. 15mm M30 REPARACION RECOLECTORES FMO VEHIUC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9873"/>
    <s v="D"/>
    <d v="2021-08-25T00:00:00"/>
    <n v="22021001966"/>
    <s v="2021 11 1321 213"/>
    <n v="38.97"/>
    <x v="168"/>
    <s v="ACUERDO MARCO  SUMINISTRO PILAS DESFIBRILADORES Y OTROS  TOTAL 20 UNIDADES /// DESTINO:  POLICIA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3"/>
  </r>
  <r>
    <n v="220210061282"/>
    <s v="D"/>
    <d v="2021-09-29T00:00:00"/>
    <n v="22021001039"/>
    <s v="2021 10 2312 212"/>
    <n v="184.43"/>
    <x v="168"/>
    <s v="SUMINISTRO, Lámpara Led Industrial 30W E27 4200k / T ( 5 UNIDADES )  DESTINO: CPM ZONA SUR-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36817"/>
    <s v="D"/>
    <d v="2021-07-09T00:00:00"/>
    <n v="22021002047"/>
    <s v="2021 11 1621 213"/>
    <n v="244.37"/>
    <x v="216"/>
    <s v="AC MARCO EXP V36-2017: REPUESTOS REPARACON Y MANTENIMIENTO DESBROZADORSA Y SOPLADORE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0912"/>
    <s v="D"/>
    <d v="2021-07-20T00:00:00"/>
    <n v="22021002371"/>
    <s v="2021 02 9332 212"/>
    <n v="181.28"/>
    <x v="216"/>
    <s v="SUMINISTROS PARA MANTENIMIENTO (APARCAMIENTO PLAZA MAYOR/ PARQUE LAS NORIAS/ PINGÜINO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0141"/>
    <s v="D"/>
    <d v="2021-07-19T00:00:00"/>
    <n v="22021002227"/>
    <s v="2021 06 3321 212"/>
    <n v="149.56"/>
    <x v="216"/>
    <s v="BOMBILLO MCM EAN: 30-30 E-23312/ E-23313/ COPIA LLAVE // BIBLIOTECA FCO JAVIER MARTÍN ABRIL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36804"/>
    <s v="D"/>
    <d v="2021-07-09T00:00:00"/>
    <n v="22021002047"/>
    <s v="2021 11 1621 213"/>
    <n v="124"/>
    <x v="216"/>
    <s v="AC MARCO EXP V36-2017: SUMISNTRO REPUESTOS REPARACION DESBROZADORAS DEL SERVCIO DE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1864"/>
    <s v="D"/>
    <d v="2021-07-22T00:00:00"/>
    <n v="22021002143"/>
    <s v="2021 10 2311 212"/>
    <n v="121.46"/>
    <x v="216"/>
    <s v="F-7176. EXC.MAOR. UÑERO PARA VENTANAS F4151N LL/IGUALES (6)/ MANILLA EPSILON NEGRA. VIV. CAMINO VIEJO EL POLVORÍN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0938"/>
    <s v="D"/>
    <d v="2021-07-20T00:00:00"/>
    <n v="22021002047"/>
    <s v="2021 11 1621 213"/>
    <n v="98.62"/>
    <x v="216"/>
    <s v="ACUERDO MARCO EXP V36-2017: REPUESTOS REPARACION DESBROZADORA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0186"/>
    <s v="D"/>
    <d v="2021-07-19T00:00:00"/>
    <n v="22021002088"/>
    <s v="2021 03 9241 212"/>
    <n v="29.38"/>
    <x v="216"/>
    <s v="LLAVES MECANIZADAS (ASOC. VECINOS C/ AZUCENA) // PASADOR WINK HAUS 4068 (CC. DELICIAS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36823"/>
    <s v="D"/>
    <d v="2021-07-09T00:00:00"/>
    <n v="22021002057"/>
    <s v="2021 11 1631 22199"/>
    <n v="7.26"/>
    <x v="216"/>
    <s v="AC MARCO EXP. V36-2017: MANILLA AMIG 280x45 MOD. 100P NEGRO (JGO) // VESTUARIO CASETA JARDÍN BOTÁNIC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3958"/>
    <s v="D"/>
    <d v="2021-07-28T00:00:00"/>
    <n v="22021002006"/>
    <s v="2021 11 3111 22199"/>
    <n v="6.39"/>
    <x v="216"/>
    <s v="TORNILLO ERLE ENSAMBLE 102020 (4 unidade) ///  Destino: DEPOSIT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45662"/>
    <s v="D"/>
    <d v="2021-08-06T00:00:00"/>
    <n v="22021002047"/>
    <s v="2021 11 1621 213"/>
    <n v="145.43"/>
    <x v="216"/>
    <s v="AC MARCO EXP V36-2017: SUMINISTRO RPUESTOS DESBROZADORA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7016"/>
    <s v="D"/>
    <d v="2021-08-13T00:00:00"/>
    <n v="22021002052"/>
    <s v="2021 11 1621 22199"/>
    <n v="78.09"/>
    <x v="216"/>
    <s v="AC MARCO EXP V36-2017: SUMINISTROS PARA 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094"/>
    <s v="D"/>
    <d v="2021-08-03T00:00:00"/>
    <n v="22021003381"/>
    <s v="2021 11 1361 22199"/>
    <n v="15.9"/>
    <x v="216"/>
    <s v="ACUERDO MARCO SUMINISTROS / CERRADURA ISEO CORTAFUEGOS RF STAND. 216120654 (1 UNIDAD ) ////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7048"/>
    <s v="D"/>
    <d v="2021-08-13T00:00:00"/>
    <n v="22021002225"/>
    <s v="2021 06 3231 212"/>
    <n v="8.43"/>
    <x v="216"/>
    <s v="ACEITE  WD-40  500ML D/ACCION CANULA FIJA // E.I.M. TOBOGAN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46063"/>
    <s v="D"/>
    <d v="2021-08-10T00:00:00"/>
    <n v="22021002228"/>
    <s v="2021 06 3232 212"/>
    <n v="380.15"/>
    <x v="216"/>
    <s v="BOMBILLO/ COPIA LLAVE/ TAMBOR/ ENGANCHE/ TACO FISCHER/ TOR.INOX/ CLAVOS/ MANILLA (COLEGIOS PÚBLICOS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6003"/>
    <s v="D"/>
    <d v="2021-08-10T00:00:00"/>
    <n v="22021002228"/>
    <s v="2021 06 3232 212"/>
    <n v="115.39"/>
    <x v="216"/>
    <s v="BROCA COBALTO/ BURLETE ALUMINIO PLATA/ TOR.AUTO.C/RED/ JUEGO LL. ALLEN/ LLAVE ALLEN (CEIP PQUE ALAMEDA/ COLEGIO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5457"/>
    <s v="D"/>
    <d v="2021-08-05T00:00:00"/>
    <n v="22021002225"/>
    <s v="2021 06 3231 212"/>
    <n v="18.760000000000002"/>
    <x v="216"/>
    <s v="BURLETE AMIG 2-1000 ALUMINIO PLATA. (2 unidades) //// Destino: EIM EL GLOBO 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36312"/>
    <s v="AD"/>
    <d v="2021-07-07T00:00:00"/>
    <n v="22021005557"/>
    <s v="2021 10 2316 22616"/>
    <n v="1357.62"/>
    <x v="928"/>
    <s v="Impartir Curso Danza oriental a mujeres étnicamente diversas y exhibición en la XVIII Semana Intercultural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9400"/>
    <s v="AD"/>
    <d v="2021-07-15T00:00:00"/>
    <n v="22021005466"/>
    <s v="2021 10 2316 22616"/>
    <n v="3872"/>
    <x v="929"/>
    <s v="Desarrollo e impartición de dos talleres de estrategias antirrumores formato online para personal técnico. 2021"/>
    <s v="220"/>
    <s v="SEVILLA"/>
    <s v="SEVILLA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51243"/>
    <s v="AD"/>
    <d v="2021-09-09T00:00:00"/>
    <n v="22021006427"/>
    <s v="2021 02 9332 203"/>
    <n v="1200"/>
    <x v="124"/>
    <s v="ALQUILER CONTENEDORES NECESIDADES CENTRO MANTENIMIENTO (2)"/>
    <s v="220"/>
    <s v="LA FLECHA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0"/>
    <s v="203"/>
  </r>
  <r>
    <n v="220210036213"/>
    <s v="AD/"/>
    <d v="2021-07-06T00:00:00"/>
    <n v="22021004583"/>
    <s v="2021 01 9207 22602"/>
    <n v="-1754.5"/>
    <x v="221"/>
    <s v="ANULACIÓN POR DUPLICIDAD adjudica INSERCIÓN PUBLICITARIA EN ANUARIO TAURINO (tramitado operación 920210004645)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602"/>
  </r>
  <r>
    <n v="220210045550"/>
    <s v="AD"/>
    <d v="2021-08-06T00:00:00"/>
    <n v="22021005771"/>
    <s v="2021 11 1631 632"/>
    <n v="44831.71"/>
    <x v="930"/>
    <s v="CONSTRUCCIÓN MÓDULO OFICINAS Y LAVANDERIA PARA TALLER DEL SERVICIO DE LIMPIEZA"/>
    <s v="230"/>
    <s v="SANTOVENIA DE PISUERGA"/>
    <s v="VALLADOLID"/>
    <x v="2"/>
    <s v="AdDirec - Adjudicación Directa"/>
    <s v="SinC - Sin Criterio"/>
    <x v="0"/>
    <x v="2"/>
    <s v="6"/>
    <s v="6. Inversiones reales"/>
    <s v="11"/>
    <x v="5"/>
    <s v="1631"/>
    <s v="1631. Limpieza viaria"/>
    <s v="63"/>
    <s v="632"/>
  </r>
  <r>
    <n v="220210047053"/>
    <s v="D"/>
    <d v="2021-08-13T00:00:00"/>
    <n v="22021002006"/>
    <s v="2021 11 3111 22199"/>
    <n v="281.54000000000002"/>
    <x v="216"/>
    <s v="CANDADO/ BOMBILLO/ COPIA LLAVE (DEPÓSITO CANINO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46014"/>
    <s v="D"/>
    <d v="2021-08-10T00:00:00"/>
    <n v="22021002228"/>
    <s v="2021 06 3232 212"/>
    <n v="294.99"/>
    <x v="216"/>
    <s v="SUMINISTRO DE REPUESTOS Y MATERIALES /// DESTINOS: CEIP PQ ALAMEDA - CP GINER DE LOS RIO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3634"/>
    <s v="D"/>
    <d v="2021-09-13T00:00:00"/>
    <n v="22021005979"/>
    <s v="2021 07 1711 213"/>
    <n v="5446.54"/>
    <x v="216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3609"/>
    <s v="D"/>
    <d v="2021-09-13T00:00:00"/>
    <n v="22021005979"/>
    <s v="2021 07 1711 213"/>
    <n v="1669.92"/>
    <x v="216"/>
    <s v="ACUERDO MARCO 3/2020, REPUESTOS PARA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48527"/>
    <s v="AD"/>
    <d v="2021-08-20T00:00:00"/>
    <n v="22021006103"/>
    <s v="2021 10 2412 633"/>
    <n v="650.98"/>
    <x v="216"/>
    <s v="DOS UNIDADES DE AIRE ACONDICIOANDO PORTATIL, REPOSICION,  PARA EL JACINTO BENAVENTE DEL C.F. PARA EL EMPLEO-"/>
    <s v="220"/>
    <s v="VALLADOLID"/>
    <s v="VALLADOLID"/>
    <x v="1"/>
    <s v="AdDirec - Adjudicación Directa"/>
    <s v="SinC - Sin Criterio"/>
    <x v="0"/>
    <x v="2"/>
    <s v="6"/>
    <s v="6. Inversiones reales"/>
    <s v="10"/>
    <x v="8"/>
    <s v="2412"/>
    <s v="2412. Formación para el empleo"/>
    <s v="63"/>
    <s v="633"/>
  </r>
  <r>
    <n v="220210051217"/>
    <s v="D"/>
    <d v="2021-09-09T00:00:00"/>
    <n v="22021002228"/>
    <s v="2021 06 3232 212"/>
    <n v="626.79"/>
    <x v="216"/>
    <s v="CERRADURA/ TACO/ CHAPA INOX./ ÁNGULO INOX./ ENGANCHE HOJA (CEIP ENTRERIOS -FCO. PINO -M.DELIBES -M.ISCAR)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3505"/>
    <s v="D"/>
    <d v="2021-09-13T00:00:00"/>
    <n v="22021002047"/>
    <s v="2021 11 1621 213"/>
    <n v="122.98"/>
    <x v="216"/>
    <s v="AC MARCO EXP V36-2017: HILO NYLON 2,7MM 215MT STIHL ROJO (3 UDS) PARA DESBROZADORA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9853"/>
    <s v="D"/>
    <d v="2021-08-25T00:00:00"/>
    <n v="22021002228"/>
    <s v="2021 06 3232 212"/>
    <n v="100.19"/>
    <x v="216"/>
    <s v="SUMINISTRO DE MATERIALES ///  DESTINOS: CEIP FEDERICO GARCIA LORCA  Y  CEIP FRANCISCO PIN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730"/>
    <s v="D"/>
    <d v="2021-08-20T00:00:00"/>
    <n v="22021002374"/>
    <s v="2021 02 9332 212"/>
    <n v="87.89"/>
    <x v="216"/>
    <s v="DISCO LAMINAS LAMIFLEX ZN 115x22  80 INOX (30) / VARILLA ROSCADA  M14 ZINC (6)  / TOR.AUTO.C/R (2,5)///  DESTINO: TALLE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3511"/>
    <s v="D"/>
    <d v="2021-09-13T00:00:00"/>
    <n v="22021002088"/>
    <s v="2021 03 9241 212"/>
    <n v="38.44"/>
    <x v="216"/>
    <s v="PERNIO SOLDAR (1)-(C.C.LUENGO) // BURLETE  ALUMIN (2) + BROCA (6) - (C.SEGUNDO MONTES) // ACEITE (1)-(C. INTEG. Z. ESTE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3467"/>
    <s v="D"/>
    <d v="2021-09-13T00:00:00"/>
    <n v="22021001169"/>
    <s v="2021 10 2412 212"/>
    <n v="30.24"/>
    <x v="216"/>
    <s v="MANT. SUMINISTRO LLAVES MECANIZADAS ESPECIAL-ACERO (6) -ACERO DOBLE (2),MOSQUETÓN  FORMAC. PARA EL EMPLEO-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10050581"/>
    <s v="D"/>
    <d v="2021-09-02T00:00:00"/>
    <n v="22021004466"/>
    <s v="2021 10 2311 212"/>
    <n v="28.89"/>
    <x v="216"/>
    <s v="F-9170. EXCLUSIVAS MAOR. CREMONA OSCILOBATIENTE 1104 (3 UNIDADES) C.INTEGRADO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0093"/>
    <s v="D"/>
    <d v="2021-08-27T00:00:00"/>
    <n v="22021002143"/>
    <s v="2021 10 2311 212"/>
    <n v="21.26"/>
    <x v="216"/>
    <s v="F-8724. MAOR. LLAVES MECANIZADAS ACERO/LLAVERO PORTAETIQUETAS/MALLA CUADRADA/BRIDA NYLON. C/ VINOS DE RUEDA, 22, 1º M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3515"/>
    <s v="D"/>
    <d v="2021-09-13T00:00:00"/>
    <n v="22021002046"/>
    <s v="2021 11 1621 212"/>
    <n v="15.32"/>
    <x v="216"/>
    <s v="AC MARCO EXP V36-2017: SUMINISTRO MATERILAES PARA REPARACION EN VESTUARIOS DE RUIBERA DE CASTILL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2"/>
  </r>
  <r>
    <n v="220210056668"/>
    <s v="D"/>
    <d v="2021-09-16T00:00:00"/>
    <n v="22021005979"/>
    <s v="2021 07 1711 213"/>
    <n v="2704.68"/>
    <x v="216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6670"/>
    <s v="D"/>
    <d v="2021-09-16T00:00:00"/>
    <n v="22021005979"/>
    <s v="2021 07 1711 213"/>
    <n v="1271.1099999999999"/>
    <x v="216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6685"/>
    <s v="D"/>
    <d v="2021-09-16T00:00:00"/>
    <n v="22021005979"/>
    <s v="2021 07 1711 213"/>
    <n v="881.07"/>
    <x v="216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7780"/>
    <s v="D"/>
    <d v="2021-09-20T00:00:00"/>
    <n v="22021005979"/>
    <s v="2021 07 1711 213"/>
    <n v="292.05"/>
    <x v="216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7782"/>
    <s v="D"/>
    <d v="2021-09-20T00:00:00"/>
    <n v="22021001275"/>
    <s v="2021 07 1711 22199"/>
    <n v="576.80999999999995"/>
    <x v="216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8785"/>
    <s v="D"/>
    <d v="2021-09-23T00:00:00"/>
    <n v="22021005979"/>
    <s v="2021 07 1711 213"/>
    <n v="1082.99"/>
    <x v="216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63143"/>
    <s v="D"/>
    <d v="2021-09-30T00:00:00"/>
    <n v="22021005979"/>
    <s v="2021 07 1711 213"/>
    <n v="1702.36"/>
    <x v="216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8685"/>
    <s v="D"/>
    <d v="2021-09-22T00:00:00"/>
    <n v="22021002369"/>
    <s v="2021 02 9332 212"/>
    <n v="1591.59"/>
    <x v="216"/>
    <s v="BOMBA TALADRINA / BINCEL TUBO CONTACTO / PERNIO SOLDAR / TACO/ DISCO / BROCA / CERROJO / MANGO /// DESTINO: MANTENIMIENT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7724"/>
    <s v="D"/>
    <d v="2021-09-20T00:00:00"/>
    <n v="22021002369"/>
    <s v="2021 02 9332 212"/>
    <n v="469"/>
    <x v="216"/>
    <s v="TACO FISCHER/ TORNILLERIA/ CADENA GENOVESA/ LLAVES MECANIZADAS/ LLAVES EN BRUTO/ CERROJO/ COLA (MNTO - PINGÜINO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8659"/>
    <s v="D"/>
    <d v="2021-09-22T00:00:00"/>
    <n v="22021002369"/>
    <s v="2021 02 9332 212"/>
    <n v="349.61"/>
    <x v="216"/>
    <s v="BANDEJA/ PERFIL/ TORN.TUERCA/ BANDEJA MOVIL/ ESCUADRA/ PALETA/ TALOCHA/ TENAZA/ MANGA (SAN BENITO/ SALA COMITE EMPRESA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9404"/>
    <s v="D"/>
    <d v="2021-09-27T00:00:00"/>
    <n v="22021002228"/>
    <s v="2021 06 3232 212"/>
    <n v="205.59"/>
    <x v="216"/>
    <s v="MATERIAL DE FERRETERÍA PARA CENTROS CEIP LEÓN FELIPE -G. DE CÓRDOBA -P. PICASSO -ALLUE MOER -ENTRERRIOS/ E.I.LA COMET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8762"/>
    <s v="D"/>
    <d v="2021-09-23T00:00:00"/>
    <n v="22021002143"/>
    <s v="2021 10 2311 212"/>
    <n v="77.709999999999994"/>
    <x v="216"/>
    <s v="F-9549. EXCLUSIVAS MAOR, S.L. CERRADURA ARREGUI CESORA10R (12). VIVIENDA C/ VINOS DE RUEDA 22,1ºM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63157"/>
    <s v="D"/>
    <d v="2021-09-30T00:00:00"/>
    <n v="22021002374"/>
    <s v="2021 02 9332 212"/>
    <n v="50.05"/>
    <x v="216"/>
    <s v="PLOMADA TORREMAT (2) / MAZA GOMA / MADERA 75 MM / LLAVERO PORTAETIQUETAS (50) // DESTINO: CERRAJERIA / AMAESTRA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8643"/>
    <s v="D"/>
    <d v="2021-09-22T00:00:00"/>
    <n v="22021002374"/>
    <s v="2021 02 9332 212"/>
    <n v="11.37"/>
    <x v="216"/>
    <s v="TOR. AUTO. C/PLA. 7504P DE 4,8x 32 (2,5)  ///   DESTINO: TALLE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6682"/>
    <s v="D"/>
    <d v="2021-09-16T00:00:00"/>
    <n v="22021003187"/>
    <s v="2021 06 2314 212"/>
    <n v="11.14"/>
    <x v="216"/>
    <s v="CINTA ADH. SEÑALIZ. 50x33MT. AMA/NEGRO (2 UNIDADES) ///  CENTRO PROG. JUVENILES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36355"/>
    <s v="D"/>
    <d v="2021-07-07T00:00:00"/>
    <n v="22021003187"/>
    <s v="2021 06 2314 212"/>
    <n v="44.88"/>
    <x v="188"/>
    <s v="CERRADURA MCM 1312-2-40 EMBUTIR C/CIL. (2 UNIDADES) ///  DESTINO: CIRCULO CAMPESTRE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0195"/>
    <s v="D"/>
    <d v="2021-07-19T00:00:00"/>
    <n v="22021003187"/>
    <s v="2021 06 2314 212"/>
    <n v="27.99"/>
    <x v="188"/>
    <s v="SEÑAL EBER POLIE 148,5X148.5 (4 UDS) / SEÑAL EBER VARIOS 250X62.5 (6 UDS) // CÍRCULO CAMPESTRE PINAR DE ANTEQUER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3916"/>
    <s v="D"/>
    <d v="2021-07-28T00:00:00"/>
    <n v="22021003187"/>
    <s v="2021 06 2314 212"/>
    <n v="22.39"/>
    <x v="188"/>
    <s v="ESPACIO JOVEN, ZONA SUR / SEÑAL EBER POLIE 148,5X148.5 //// CENTRO INTEGRADOR / PASADOR EBRO FUE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0151"/>
    <s v="D"/>
    <d v="2021-07-19T00:00:00"/>
    <n v="22021002057"/>
    <s v="2021 11 1631 22199"/>
    <n v="466.13"/>
    <x v="188"/>
    <s v="AC MARCO EXP V36-2017: SUMINISTRO MATERIAL CERRAJERIA PARA EL S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0090"/>
    <s v="D"/>
    <d v="2021-07-19T00:00:00"/>
    <n v="22021002088"/>
    <s v="2021 03 9241 212"/>
    <n v="219.45"/>
    <x v="188"/>
    <s v="MANGUERA/ SOPORTE MANGUERA/ BL FISCHER/ RACCORD RIEGO/ CONECTOR/ LANZA (CC RONDILLA) // PERCHAS BRINOX (CC J.M.LUELMO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36757"/>
    <s v="D"/>
    <d v="2021-07-09T00:00:00"/>
    <n v="22021002374"/>
    <s v="2021 02 9332 212"/>
    <n v="146.74"/>
    <x v="188"/>
    <s v="DESTINO: AYTO PLAZA MAYOR / PERNIO MATE - TOR. DIN - TIRAFONDO//// DESTINO: ARCHIVO / GRASSO- MALLA MOSQ.-CERRADUR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4441"/>
    <s v="D"/>
    <d v="2021-07-30T00:00:00"/>
    <n v="22021004466"/>
    <s v="2021 10 2311 212"/>
    <n v="48.44"/>
    <x v="188"/>
    <s v="F-7841. FERRETERIA ORTIZ VALLADOLID, S.L. CERRADURA TESA EMBUTIR (1) CENTRO INTEGRADO. 1 DIA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0170"/>
    <s v="D"/>
    <d v="2021-07-19T00:00:00"/>
    <n v="22021001968"/>
    <s v="2021 11 1321 22199"/>
    <n v="14.75"/>
    <x v="188"/>
    <s v="ACUERDO MARCO. SUMINISTRO DE MATERIAL DE FERRETERIA PARA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0892"/>
    <s v="D"/>
    <d v="2021-07-20T00:00:00"/>
    <n v="22021003170"/>
    <s v="2021 05 4314 22199"/>
    <n v="12.6"/>
    <x v="188"/>
    <s v="COPIA LLAVE NORMAL (7 UDS) // FOMENTO DEL COMERCIO"/>
    <s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6"/>
    <s v="4314"/>
    <s v="4314. Fomento del comercio"/>
    <s v="22"/>
    <s v="22199"/>
  </r>
  <r>
    <n v="220210044439"/>
    <s v="D"/>
    <d v="2021-07-30T00:00:00"/>
    <n v="22021002143"/>
    <s v="2021 10 2311 212"/>
    <n v="3.75"/>
    <x v="188"/>
    <s v="F-7839. FERRETERIA ORTIZ VALLADOLID, S.L. MIRILLA MICELL 180º 35/60 LTD 90103 (1) UBICACION:  C/ SALUD Nº15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7010"/>
    <s v="D"/>
    <d v="2021-08-13T00:00:00"/>
    <n v="22021004482"/>
    <s v="2021 04 9204 213"/>
    <n v="2.25"/>
    <x v="188"/>
    <s v="ADQUISICIÓN TOPE PUERTA"/>
    <s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3"/>
    <s v="9204"/>
    <s v="9204. Tecnologías de la información y comunicación"/>
    <s v="21"/>
    <s v="213"/>
  </r>
  <r>
    <n v="220210045670"/>
    <s v="D"/>
    <d v="2021-08-06T00:00:00"/>
    <n v="22021002057"/>
    <s v="2021 11 1631 22199"/>
    <n v="16.54"/>
    <x v="188"/>
    <s v="AC MARCO EXP V36-2017: SUMINISTROS DE CERRAJERIA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5113"/>
    <s v="D"/>
    <d v="2021-08-03T00:00:00"/>
    <n v="22021001275"/>
    <s v="2021 07 1711 22199"/>
    <n v="52.24"/>
    <x v="188"/>
    <s v="ACUERDO MARCO 2017/36, MATERIAL DE CERRAJ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4565"/>
    <s v="AD"/>
    <d v="2021-07-30T00:00:00"/>
    <n v="22021005949"/>
    <s v="2021 03 9241 212"/>
    <n v="2288.6999999999998"/>
    <x v="931"/>
    <s v="REPARACION GOTERA ESCENARIO CC BAILARIN VICENTE ESCUDERO"/>
    <s v="220"/>
    <s v="MADRID"/>
    <s v="MADR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40135"/>
    <s v="D"/>
    <d v="2021-07-19T00:00:00"/>
    <n v="22021001276"/>
    <s v="2021 07 1711 22106"/>
    <n v="462.37"/>
    <x v="580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45416"/>
    <s v="D"/>
    <d v="2021-08-05T00:00:00"/>
    <n v="22021001276"/>
    <s v="2021 07 1711 22106"/>
    <n v="2102.86"/>
    <x v="580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45151"/>
    <s v="D"/>
    <d v="2021-08-03T00:00:00"/>
    <n v="22021001276"/>
    <s v="2021 07 1711 22106"/>
    <n v="227.28"/>
    <x v="580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40949"/>
    <s v="D"/>
    <d v="2021-07-20T00:00:00"/>
    <n v="22021002449"/>
    <s v="2021 07 1711 619"/>
    <n v="3352.51"/>
    <x v="191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6808"/>
    <s v="D"/>
    <d v="2021-07-09T00:00:00"/>
    <n v="22021002047"/>
    <s v="2021 11 1621 213"/>
    <n v="1115.5"/>
    <x v="191"/>
    <s v="AC MARCO EXP V36-2017: SUMINISTROS PARA REPARACIONEES DE MAQUINARIA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0096"/>
    <s v="D"/>
    <d v="2021-07-19T00:00:00"/>
    <n v="22021003381"/>
    <s v="2021 11 1361 22199"/>
    <n v="511.15"/>
    <x v="191"/>
    <s v="ACUERDO MARCO SUMINISTROS: ALBARANES 21-217356 / 21-217582 / 21-218204 / 21-218769: MATERIALES PARA EL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0184"/>
    <s v="D"/>
    <d v="2021-07-19T00:00:00"/>
    <n v="22021002088"/>
    <s v="2021 03 9241 212"/>
    <n v="208.94"/>
    <x v="191"/>
    <s v="ALBARÁN 21-219835 (CIC CONDE ANSÚREZ): MATERIALES PARA EL MANTENIMIENTO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40153"/>
    <s v="D"/>
    <d v="2021-07-19T00:00:00"/>
    <n v="22021002057"/>
    <s v="2021 11 1631 22199"/>
    <n v="186.47"/>
    <x v="191"/>
    <s v="AC MARCO EXP V36-2017: SUMINISTROS INDUSTRIAL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0176"/>
    <s v="D"/>
    <d v="2021-07-19T00:00:00"/>
    <n v="22021002449"/>
    <s v="2021 07 1711 619"/>
    <n v="102.55"/>
    <x v="191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0182"/>
    <s v="D"/>
    <d v="2021-07-19T00:00:00"/>
    <n v="22021002088"/>
    <s v="2021 03 9241 212"/>
    <n v="32.880000000000003"/>
    <x v="191"/>
    <s v="ALBARAN 21-219596 (CC JOSE Mª LUELMO): GRIFO BOLA/ CODO/ TE/ MACHÓN/ RACOR HEMBRA/ RED.MARSELLA LATÓN/ RED.MARSELLA ALAR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40166"/>
    <s v="D"/>
    <d v="2021-07-19T00:00:00"/>
    <n v="22021001039"/>
    <s v="2021 10 2312 212"/>
    <n v="30.18"/>
    <x v="191"/>
    <s v="SUMINISTRO REPARACIONES  (CPM RIO ESGUEVA): MANGUERA/ MACHÓN/ TE/ GRIFO/ CINTA AISLANTE/ JUNTAS/ CAJA PLÁSTICO-DUR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1751"/>
    <s v="D"/>
    <d v="2021-07-22T00:00:00"/>
    <n v="22021004276"/>
    <s v="2021 09 3341 213"/>
    <n v="29.46"/>
    <x v="191"/>
    <s v="SUMINISTRO  REPUESTOS FONTANERIA PARA GALERIAS VALLADOLID. JUNIO 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1"/>
    <s v="3341"/>
    <s v="3341. Coordinación de políticas culturales"/>
    <s v="21"/>
    <s v="213"/>
  </r>
  <r>
    <n v="220210040906"/>
    <s v="D"/>
    <d v="2021-07-20T00:00:00"/>
    <n v="22021002369"/>
    <s v="2021 02 9332 212"/>
    <n v="5.46"/>
    <x v="191"/>
    <s v="ALB: 21-220856: BOLSAS DE 10 UDS. ABRAZADERAS ISOFONICAS M6 DN 14-15 (2 UDS) // PARQUE -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5147"/>
    <s v="D"/>
    <d v="2021-08-03T00:00:00"/>
    <n v="22021002449"/>
    <s v="2021 07 1711 619"/>
    <n v="1235.69"/>
    <x v="191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5998"/>
    <s v="D"/>
    <d v="2021-08-10T00:00:00"/>
    <n v="22021002228"/>
    <s v="2021 06 3232 212"/>
    <n v="146.65"/>
    <x v="191"/>
    <s v="ALB: 21-213267 (CP MIGUEL DE CERVANTES): LAVABO VICTORIA/ PEDESTAL VICTORIA/ GRIFO MEZCLADOR CROMAD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5658"/>
    <s v="D"/>
    <d v="2021-08-06T00:00:00"/>
    <n v="22021002228"/>
    <s v="2021 06 3232 212"/>
    <n v="18.600000000000001"/>
    <x v="191"/>
    <s v="ALB: 21-215483 (CP MIGUEL DE CERVANTES): BOTE HILO TEFLON UNILOCK 160M TANGIT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1110"/>
    <s v="D"/>
    <d v="2021-09-09T00:00:00"/>
    <n v="22021002132"/>
    <s v="2021 08 1532 210"/>
    <n v="611.11"/>
    <x v="191"/>
    <s v="ML TUBO C.ELECTRICO/ DISCO CORTE/ ROLLO MALLA/ MAZA/ SOPLADOR LIMPIADOR/ BROCA/ CINTA BALIZAMIENTO/ EXTINTOR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48799"/>
    <s v="D"/>
    <d v="2021-08-20T00:00:00"/>
    <n v="22021002057"/>
    <s v="2021 11 1631 22199"/>
    <n v="295.23"/>
    <x v="191"/>
    <s v="AC MARCO EXP V36-2017. SUMUNISTROS VARIOS PARA EL S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0579"/>
    <s v="D"/>
    <d v="2021-09-02T00:00:00"/>
    <n v="22021002143"/>
    <s v="2021 10 2311 212"/>
    <n v="32.96"/>
    <x v="191"/>
    <s v="F-8925. FLUME.  VÁLVULA ESCUADRA/ TERMOSTATO AMBIENTE (VIVIENDA C/ VINOS DE RUEDA, 22)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0577"/>
    <s v="D"/>
    <d v="2021-09-02T00:00:00"/>
    <n v="22021002143"/>
    <s v="2021 10 2311 212"/>
    <n v="21.16"/>
    <x v="191"/>
    <s v="F-8858. FLUME S.L. TUBO RECTANGULAR/ CODO RECTANGULAR HORIZONTAL Y VERTICAL/ EMPALME/ (C/VINOS DE RUEDA,22,1ºM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9779"/>
    <s v="D"/>
    <d v="2021-08-25T00:00:00"/>
    <n v="22021002225"/>
    <s v="2021 06 3231 212"/>
    <n v="16.43"/>
    <x v="191"/>
    <s v="ALB 21-224917: BOLSAS DE 10 JUNTAS TORICAS // CASCANUEC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49777"/>
    <s v="D"/>
    <d v="2021-08-25T00:00:00"/>
    <n v="22021002225"/>
    <s v="2021 06 3231 212"/>
    <n v="7.85"/>
    <x v="191"/>
    <s v="ALB 21-224918: JUEGO LLAVES ALLEN 9 PZS LARGAS // CASCANUEC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49794"/>
    <s v="D"/>
    <d v="2021-08-25T00:00:00"/>
    <n v="22021002228"/>
    <s v="2021 06 3232 212"/>
    <n v="6.72"/>
    <x v="191"/>
    <s v="ALB 21-225367: VÁLVULA COMPUERTA LATÓN // COLEGIO NARCISO ALONS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6280"/>
    <s v="AD"/>
    <d v="2021-09-15T00:00:00"/>
    <n v="22021006073"/>
    <s v="2021 08 1341 619"/>
    <n v="1143.21"/>
    <x v="368"/>
    <s v="SEGURIDAD Y SALUD CONTRATO SEÑALIZACIÓN VIAL LOTE 2"/>
    <s v="220"/>
    <s v="VALLADOLID"/>
    <s v="VALLADOLID"/>
    <x v="0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36842"/>
    <s v="AD"/>
    <d v="2021-07-12T00:00:00"/>
    <n v="22021005549"/>
    <s v="2021 06 3232 212"/>
    <n v="1790.8"/>
    <x v="932"/>
    <s v="REPARACIONES DE BALDOSAS Y CLARABOYA EN EL ALONSO BERRUGUETE (834,90 ¿) Y REPARACIÓN GOTERA EN EL ENTRE RIOS (955,9) 1 M"/>
    <s v="220"/>
    <s v="VALLADOLID"/>
    <s v="VALLADOLID"/>
    <x v="2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4266"/>
    <s v="AD"/>
    <d v="2021-07-29T00:00:00"/>
    <n v="22021005870"/>
    <s v="2021 10 2311 213"/>
    <n v="211.75"/>
    <x v="851"/>
    <s v="Revisión y reparación de la caldera Beretta, en la vivienda municipal sita en la C/ Huelgas nº 30, 1º C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38351"/>
    <s v="AD"/>
    <d v="2021-07-15T00:00:00"/>
    <n v="22021005469"/>
    <s v="2021 10 2311 213"/>
    <n v="145.19999999999999"/>
    <x v="851"/>
    <s v="Revisión de instalación y puesta en marcha de la caldera vivienda en C/ Cádiz 13, 1º C. Julio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41573"/>
    <s v="AD"/>
    <d v="2021-07-21T00:00:00"/>
    <n v="22021005815"/>
    <s v="2021 04 9341 22699"/>
    <n v="159.34"/>
    <x v="236"/>
    <s v="PC COMPACTO 3MM PARA MAMPARA SECCIÓN CONTROL INGRESOS"/>
    <s v="220"/>
    <s v="VALLADOLID"/>
    <s v="VALLADOLID"/>
    <x v="4"/>
    <s v="AdDirec - Adjudicación Directa"/>
    <s v="SinC - Sin Criterio"/>
    <x v="0"/>
    <x v="2"/>
    <s v="2"/>
    <s v="2. Gastos corrientes en bienes y servicios"/>
    <s v="04"/>
    <x v="3"/>
    <s v="9341"/>
    <s v="9341. Tesorería y recaudación"/>
    <s v="22"/>
    <s v="22699"/>
  </r>
  <r>
    <n v="220210045556"/>
    <s v="AD"/>
    <d v="2021-08-06T00:00:00"/>
    <n v="22021005995"/>
    <s v="2021 03 9241 22699"/>
    <n v="140.36000000000001"/>
    <x v="236"/>
    <s v="POLICARBONATO 3mm PARA MAMPARAS PROTECCIÓN COVID EN CIC SEGUNDO MONTES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44966"/>
    <s v="AD"/>
    <d v="2021-08-03T00:00:00"/>
    <n v="22021005924"/>
    <s v="2021 10 2311 22199"/>
    <n v="280.7"/>
    <x v="236"/>
    <s v="PLACAS PC COMPACTO INCOLORO PARA PANTALLAS PROTECTORAS DE SOBREMESA. COMEDOR SOCIAL. COVID-19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2"/>
    <s v="22199"/>
  </r>
  <r>
    <n v="220210045557"/>
    <s v="AD"/>
    <d v="2021-08-06T00:00:00"/>
    <n v="22021005996"/>
    <s v="2021 03 9241 22699"/>
    <n v="424.92"/>
    <x v="236"/>
    <s v="POLICARBONATO 4 mm PARA CONTENEDORES PARA EL CC CANAL DE CASTILLA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50894"/>
    <s v="AD"/>
    <d v="2021-09-03T00:00:00"/>
    <n v="22021006327"/>
    <s v="2021 08 1532 214"/>
    <n v="1100.58"/>
    <x v="43"/>
    <s v="Reparación por sustitución de cascada luminosa de señalización en la caldera de asfalto fundido.-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4"/>
  </r>
  <r>
    <n v="220210040943"/>
    <s v="D"/>
    <d v="2021-07-20T00:00:00"/>
    <n v="22021004322"/>
    <s v="2021 07 1711 619"/>
    <n v="1683"/>
    <x v="559"/>
    <s v="ACUERDO MARCO 2017/36, ARBUSTOS."/>
    <s v="300"/>
    <s v="PEÑAFIEL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6380"/>
    <s v="D"/>
    <d v="2021-07-07T00:00:00"/>
    <n v="22021001275"/>
    <s v="2021 07 1711 22199"/>
    <n v="1440.2"/>
    <x v="559"/>
    <s v="ACUERDO MARCO 2017/36, SUMINISTRO DE PLANTAS."/>
    <s v="300"/>
    <s v="PEÑAFIEL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36437"/>
    <s v="D"/>
    <d v="2021-07-07T00:00:00"/>
    <n v="22021004322"/>
    <s v="2021 07 1711 619"/>
    <n v="1427.25"/>
    <x v="559"/>
    <s v="ACUERDO MARCO 2017/36, SUMINISTRO ARBUSTOS."/>
    <s v="300"/>
    <s v="PEÑAFIEL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9691"/>
    <s v="AD"/>
    <d v="2021-07-16T00:00:00"/>
    <n v="22021005734"/>
    <s v="2021 03 9241 22609"/>
    <n v="300"/>
    <x v="933"/>
    <s v="ESPECTÁCULO DE MAGIA CIC EMPECINADO (AV BARRIO GIRÓN) 25/06/2021"/>
    <s v="220"/>
    <s v="POBLADURA DEL BERNESGA"/>
    <s v="LEON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39684"/>
    <s v="AD"/>
    <d v="2021-07-16T00:00:00"/>
    <n v="22021005713"/>
    <s v="2021 06 3261 22799"/>
    <n v="6000"/>
    <x v="244"/>
    <s v="CAMPUS URBANO MULTIDEPORTE EN DELICIAS DEL 24 DE JUNIO AL 30 DE JULIO PARA NIÑOS DE 5 A 15 AÑOS.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61"/>
    <s v="3261. Servicios complementarios de educación"/>
    <s v="22"/>
    <s v="22799"/>
  </r>
  <r>
    <n v="220210045371"/>
    <s v="AD"/>
    <d v="2021-08-05T00:00:00"/>
    <n v="22021006011"/>
    <s v="2021 10 2311 22799"/>
    <n v="4000"/>
    <x v="244"/>
    <s v="Actividades socio deportivas para niños y adolescentes 2º Trimestre 2021.FUTBOL ANDANDO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2"/>
    <s v="22799"/>
  </r>
  <r>
    <n v="220210045981"/>
    <s v="AD"/>
    <d v="2021-08-10T00:00:00"/>
    <n v="22021006018"/>
    <s v="2021 06 2315 22614"/>
    <n v="6000"/>
    <x v="244"/>
    <s v="TALLERES INFANTILES PARA NIÑOS Y NIÑAS DE 6 A 14 AÑOS EN EL BARRIO DE PAJARILLOS DURANTE LOS MESES DE JULIO Y AGOSTO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38350"/>
    <s v="AD"/>
    <d v="2021-07-15T00:00:00"/>
    <n v="22021005468"/>
    <s v="2021 10 2316 22616"/>
    <n v="732.77"/>
    <x v="934"/>
    <s v="Adquisición de productos de comercio justo como detalle por la participación ponentes. XVIII Semana Intercultural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9717"/>
    <s v="AD"/>
    <d v="2021-08-25T00:00:00"/>
    <n v="22021006191"/>
    <s v="2021 08 1651 22199"/>
    <n v="1097.94"/>
    <x v="270"/>
    <s v="Suministro material diverso (esmaltes, disolvente, esmeril, minirodiillo...) con destino a ALUMBRADO PÚBLICO. Mes JULIO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651"/>
    <s v="1651. Alumbrado público"/>
    <s v="22"/>
    <s v="22199"/>
  </r>
  <r>
    <n v="220210036338"/>
    <s v="ADO"/>
    <d v="2021-07-07T00:00:00"/>
    <n v="22021005152"/>
    <s v="2021 04 9202 22607"/>
    <n v="2595.6"/>
    <x v="372"/>
    <s v="UTILIZACIÓN INSTALACIONES FMD PRUEBAS FÍSICAS DE PEÓN // DEL 21 AL 26 Y EL 28 DE JUNIO-21. -mjsi-"/>
    <s v="24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44969"/>
    <s v="AD"/>
    <d v="2021-08-03T00:00:00"/>
    <n v="22021005957"/>
    <s v="2021 10 2316 22616"/>
    <n v="150"/>
    <x v="935"/>
    <s v="Ponencia de Ghizlane Darkaoui. Jornada técnica de la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5542"/>
    <s v="AD"/>
    <d v="2021-08-06T00:00:00"/>
    <n v="22021000182"/>
    <s v="2021 11 1361 22102"/>
    <n v="2238.69"/>
    <x v="205"/>
    <s v="AMPLIACION SUMINISTRO GAS PARA PARQUES DE BOMBEROS, DE JUNIO A SEPTIEMBRE DE 2021"/>
    <s v="220"/>
    <s v="BARCELONA"/>
    <s v="BARCELONA"/>
    <x v="1"/>
    <s v="PrAbier - Procedimiento Abierto"/>
    <s v="MultiC - MultiCriterio"/>
    <x v="1"/>
    <x v="2"/>
    <s v="2"/>
    <s v="2. Gastos corrientes en bienes y servicios"/>
    <s v="11"/>
    <x v="5"/>
    <s v="1361"/>
    <s v="1361. Prevención y extinción de incencios"/>
    <s v="22"/>
    <s v="22102"/>
  </r>
  <r>
    <n v="220210037257"/>
    <s v="AD"/>
    <d v="2021-07-14T00:00:00"/>
    <n v="22021005400"/>
    <s v="2021 10 2316 22616"/>
    <n v="247.5"/>
    <x v="936"/>
    <s v="Comida ponentes jornada técnica en inmigración dentro de la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5984"/>
    <s v="AD"/>
    <d v="2021-08-10T00:00:00"/>
    <n v="22021006014"/>
    <s v="2021 06 3231 632"/>
    <n v="13948.88"/>
    <x v="675"/>
    <s v="CONTRATO DE OBRAS PARA REPARACIÓN DE GOTERAS EN CASA NIÑAS Y NIÑOS MAESTRO CLAUDIO. PLAZO: HASTA EL 31 AGOSTO."/>
    <s v="220"/>
    <s v="VALLADOLID"/>
    <s v="VALLADOLID"/>
    <x v="2"/>
    <s v="AdDirec - Adjudicación Directa"/>
    <s v="SinC - Sin Criterio"/>
    <x v="0"/>
    <x v="2"/>
    <s v="6"/>
    <s v="6. Inversiones reales"/>
    <s v="06"/>
    <x v="0"/>
    <s v="3231"/>
    <s v="3231. Escuelas infantiles"/>
    <s v="63"/>
    <s v="632"/>
  </r>
  <r>
    <n v="220210048519"/>
    <s v="AD"/>
    <d v="2021-08-20T00:00:00"/>
    <n v="22021006051"/>
    <s v="2021 06 2314 212"/>
    <n v="1076.9000000000001"/>
    <x v="937"/>
    <s v="REPARACIÓN PISTA DE PATINAJE Y VALLADO ÁREA RECREATIVA PINAR DE ANTEQUERA / 1 DIA"/>
    <s v="220"/>
    <s v="VALLADOLID"/>
    <s v="VALLADOLID"/>
    <x v="2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1"/>
    <s v="212"/>
  </r>
  <r>
    <n v="220210044284"/>
    <s v="AD"/>
    <d v="2021-07-29T00:00:00"/>
    <n v="22021005698"/>
    <s v="2021 07 1701 22799"/>
    <n v="6413"/>
    <x v="551"/>
    <s v="Dinamización del proceso participativo para la elaboración del plan de acción de la Agenda Urbana Valladolid 2030.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01"/>
    <s v="1701. Dirección del área de medio ambiente"/>
    <s v="22"/>
    <s v="22799"/>
  </r>
  <r>
    <n v="220210043995"/>
    <s v="D"/>
    <d v="2021-07-28T00:00:00"/>
    <n v="22021002601"/>
    <s v="2021 06 3321 629"/>
    <n v="3845.05"/>
    <x v="938"/>
    <s v="SUMINISTRO DE DIFERENTES TÍTULOS PARA BIBLIOTECAS PUB. MUNICIPALES"/>
    <s v="300"/>
    <s v="SANTANDER"/>
    <s v="SANTANDER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5979"/>
    <s v="AD"/>
    <d v="2021-08-10T00:00:00"/>
    <n v="22021006029"/>
    <s v="2021 10 2312 22615"/>
    <n v="169.4"/>
    <x v="777"/>
    <s v="DISEÑO Y MAQUETACION DEL PROGRMA DE PREVENCION DE ALCOHOL, TABACO Y CANNABIS EN LOS JOVENES-PLAN DE DROGAS-DURACION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15"/>
  </r>
  <r>
    <n v="220210036216"/>
    <s v="AD"/>
    <d v="2021-07-06T00:00:00"/>
    <n v="22021005148"/>
    <s v="2021 06 2315 22611"/>
    <n v="855.47"/>
    <x v="825"/>
    <s v="DISEÑO Y MAQUETACIÓN DEL VI PLAN MUNICIPAL INTEGRAL DE IGUALDAD Y CONTRA LA VG, ASÍ COMO ROLL UP / 1 DIA"/>
    <s v="220"/>
    <s v="LEON"/>
    <s v="LEON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36843"/>
    <s v="AD"/>
    <d v="2021-07-12T00:00:00"/>
    <n v="22021005568"/>
    <s v="2021 06 3232 632"/>
    <n v="3100.02"/>
    <x v="719"/>
    <s v="SUMINISTRO DE CORTINA VENECIANA DE ALUMINIO PARA EL COLEGIO FRANCISCO PINO (1292,28) Y MACIAS PICAVEA (1807,74)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3232"/>
    <s v="3232. Conservación y mantenimiento centros educación infantil y primaria"/>
    <s v="63"/>
    <s v="632"/>
  </r>
  <r>
    <n v="220210040199"/>
    <s v="D"/>
    <d v="2021-07-19T00:00:00"/>
    <n v="22021003187"/>
    <s v="2021 06 2314 212"/>
    <n v="34.64"/>
    <x v="210"/>
    <s v="CLAVIJA 10/16A 4 ,8MM ( 3 UNID.)  / BASE 5 TOMAS 16A 250V (2 UNID) / BASE 4 TOMAS 16A 250V  POT .3600W (1 UNID)"/>
    <s v="300"/>
    <s v="BARCELONA"/>
    <s v="BARCELONA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43815"/>
    <s v="AD"/>
    <d v="2021-07-27T00:00:00"/>
    <n v="22021005876"/>
    <s v="2021 01 9206 22199"/>
    <n v="29.62"/>
    <x v="210"/>
    <s v="CAJA CONEXIÓN-DERIVACIÓN (5 UDS.) Y CELLPACK AUTOVULCANIZABLE (2 UDS.) PARA TAREAS DE MANTENIMIENTO EN ARCHIVO MUNICIPAL"/>
    <s v="220"/>
    <s v="BARCELONA"/>
    <s v="BARCELONA"/>
    <x v="1"/>
    <s v="PrAbier - Procedimiento Abierto"/>
    <s v="MultiC - MultiCriterio"/>
    <x v="2"/>
    <x v="2"/>
    <s v="2"/>
    <s v="2. Gastos corrientes en bienes y servicios"/>
    <s v="01"/>
    <x v="4"/>
    <s v="9206"/>
    <s v="9206. Archivo municipal"/>
    <s v="22"/>
    <s v="22199"/>
  </r>
  <r>
    <n v="220210036352"/>
    <s v="D"/>
    <d v="2021-07-07T00:00:00"/>
    <n v="22021002133"/>
    <s v="2021 08 1651 22199"/>
    <n v="6381.54"/>
    <x v="210"/>
    <s v="MST SON-T PIA PLUS 250W E E40 1SL/12 (36) // MASTER CITYWH CDO-TT PLUS (96) // TFORCE LED HPL ND (72)"/>
    <s v="300"/>
    <s v="BARCELONA"/>
    <s v="BARCELONA"/>
    <x v="1"/>
    <s v="PrAbier - Procedimiento Abierto"/>
    <s v="MultiC - MultiCriterio"/>
    <x v="2"/>
    <x v="2"/>
    <s v="2"/>
    <s v="2. Gastos corrientes en bienes y servicios"/>
    <s v="08"/>
    <x v="9"/>
    <s v="1651"/>
    <s v="1651. Alumbrado público"/>
    <s v="22"/>
    <s v="22199"/>
  </r>
  <r>
    <n v="220210040873"/>
    <s v="D"/>
    <d v="2021-07-20T00:00:00"/>
    <n v="22021001038"/>
    <s v="2021 10 2312 212"/>
    <n v="363.48"/>
    <x v="210"/>
    <s v="MANT, SUMINISTRO DE INTERRUPTOR, BASE ,CLAVIJA, REGLETA ,ENCHUFE,   PARA EL CPMVICT-ROND-FRAY LUIS Y A. REAL-DUR 1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0873"/>
    <s v="D"/>
    <d v="2021-07-20T00:00:00"/>
    <n v="22021001039"/>
    <s v="2021 10 2312 212"/>
    <n v="279.22000000000003"/>
    <x v="210"/>
    <s v="MANT, SUMINISTRO DE INTERRUPTOR, BASE ,CLAVIJA, REGLETA ,ENCHUFE,   PARA EL CPMVICT-ROND-FRAY LUIS Y A. REAL-DUR 1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0145"/>
    <s v="D"/>
    <d v="2021-07-19T00:00:00"/>
    <n v="22021002006"/>
    <s v="2021 11 3111 22199"/>
    <n v="221.95"/>
    <x v="210"/>
    <s v="AM. V. 36/2017 CINTA BLISTER/ CAJA DERIVACIÓN C/ CONOS/ REGLETA/ PL-MBL SUP/ CAJA SUPERF./ BASE DOBLE/ INT.AUT.SERIE/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40102"/>
    <s v="D"/>
    <d v="2021-07-19T00:00:00"/>
    <n v="22021003381"/>
    <s v="2021 11 1361 22199"/>
    <n v="39.450000000000003"/>
    <x v="210"/>
    <s v="RODA 1783 LED 39W CLD CELL GRIS (1 UNIDAD) ///   SERV. EXTINCION DE INCENDIOS"/>
    <s v="300"/>
    <s v="BARCELONA"/>
    <s v="BARCELONA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40914"/>
    <s v="D"/>
    <d v="2021-07-20T00:00:00"/>
    <n v="22021002371"/>
    <s v="2021 02 9332 212"/>
    <n v="108.74"/>
    <x v="210"/>
    <s v="LAMPARA LED SIN FILAMENTO/ CLAVIJA/ BASE 5 TOMAS/ RACORES TUBO ELECTROFLEX/ CONTRATUERCAS GRIS/ BRIDA NEGRA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4416"/>
    <s v="D"/>
    <d v="2021-07-30T00:00:00"/>
    <n v="22021002143"/>
    <s v="2021 10 2311 212"/>
    <n v="36.07"/>
    <x v="210"/>
    <s v="F-7373. GRUPO ELECTRO STOCKS, S.L. MATERIALES VARIOS DE ELECTRICIDAD. COMEDOR SOCIAL/VIVIENDA PROV. 1 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0189"/>
    <s v="D"/>
    <d v="2021-07-19T00:00:00"/>
    <n v="22021002089"/>
    <s v="2021 03 9241 213"/>
    <n v="34.69"/>
    <x v="210"/>
    <s v="MATERIALES (BRIDAS, BASE ADHESIVA, CAJA DERIV., RACORES, MOLDURA) PARA CC BAILARIN VICENTE ESCUDERO"/>
    <s v="300"/>
    <s v="BARCELONA"/>
    <s v="BARCELONA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40162"/>
    <s v="D"/>
    <d v="2021-07-19T00:00:00"/>
    <n v="22021001968"/>
    <s v="2021 11 1321 22199"/>
    <n v="27.27"/>
    <x v="210"/>
    <s v="ACUERDO MARCO, SUMINISTRO SEÑALIZACIÓN EMERGENCIA. MASTER PL-C 26W/840/2P 1CT/5X10BOX (10 UDS)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0143"/>
    <s v="D"/>
    <d v="2021-07-19T00:00:00"/>
    <n v="22021002227"/>
    <s v="2021 06 3321 212"/>
    <n v="21.27"/>
    <x v="210"/>
    <s v="CONMUTADOR SUPERFICIE IP55 GRIS (1 UNIDAD)  / DOBLE CONMUTADOR SUPERFICIE IP55 GRIS (1 UNIDAD). JUNIO"/>
    <s v="300"/>
    <s v="BARCELONA"/>
    <s v="BARCELONA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44416"/>
    <s v="D"/>
    <d v="2021-07-30T00:00:00"/>
    <n v="22021002142"/>
    <s v="2021 10 2311 212"/>
    <n v="17.53"/>
    <x v="210"/>
    <s v="F-7373. GRUPO ELECTRO STOCKS, S.L. MATERIALES VARIOS DE ELECTRICIDAD. COMEDOR SOCIAL/VIVIENDA PROV. 1 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3566"/>
    <s v="D"/>
    <d v="2021-09-13T00:00:00"/>
    <n v="22021002006"/>
    <s v="2021 11 3111 22199"/>
    <n v="47.06"/>
    <x v="210"/>
    <s v="CAJA DERIVACION (1) / MTS CABLE RETFLEX(25) / 22 BRIDA NEGRA (100) ////  PROTECCION DE LA SALUD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53491"/>
    <s v="D"/>
    <d v="2021-09-13T00:00:00"/>
    <n v="22021002057"/>
    <s v="2021 11 1631 22199"/>
    <n v="21.34"/>
    <x v="210"/>
    <s v="AC MARCO EXP V36-2017: MATERIAL ELECTRICO  // LIMPIEZA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3496"/>
    <s v="D"/>
    <d v="2021-09-13T00:00:00"/>
    <n v="22021002089"/>
    <s v="2021 03 9241 213"/>
    <n v="16.7"/>
    <x v="210"/>
    <s v="IP20 POWER SUPPLY INPUT 176-264VAC OUTPUT 57-86 700MmA 60.2W (1) // CIC SANTIAGO LÓPEZ"/>
    <s v="300"/>
    <s v="BARCELONA"/>
    <s v="BARCELONA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48526"/>
    <s v="AD"/>
    <d v="2021-08-20T00:00:00"/>
    <n v="22021006098"/>
    <s v="2021 10 2312 212"/>
    <n v="1025.17"/>
    <x v="651"/>
    <s v="SUSTITUCION ACOMETIDA Y ARMARIO CONTEDORES DEL CPM RONDILLA- DURACION 1 DIA"/>
    <s v="220"/>
    <s v="MEDINA DEL CAMPO"/>
    <s v="VALLADOLID"/>
    <x v="0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6313"/>
    <s v="AD"/>
    <d v="2021-09-15T00:00:00"/>
    <n v="22021006475"/>
    <s v="2021 06 2315 22699"/>
    <n v="1000"/>
    <x v="358"/>
    <s v="IMPRESIÓN DE SOPORTES PUBLICITARIOS DE IGUALDAD A TRAVÉS DE IMPRENTA MUNICIPAL (PROGRAMAS, DÍPTICOS...) / DURANT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99"/>
  </r>
  <r>
    <n v="220210039536"/>
    <s v="AD"/>
    <d v="2021-07-16T00:00:00"/>
    <n v="22021003218"/>
    <s v="2021 11 1621 22706"/>
    <n v="2970.03"/>
    <x v="531"/>
    <s v="SERVICIO ANUAL TRANSMISIÓN DATOS EQUIPOS GPS INSTALADOS EN VEHICULOS DEL SERVICIO LIMPIEZA AÑO 2021"/>
    <s v="220"/>
    <s v="TRES CANTOS"/>
    <s v="MADR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2"/>
    <s v="22706"/>
  </r>
  <r>
    <n v="220210044269"/>
    <s v="AD"/>
    <d v="2021-07-29T00:00:00"/>
    <n v="22021005902"/>
    <s v="2021 10 2316 22616"/>
    <n v="242"/>
    <x v="939"/>
    <s v="Organización, desarrollo y servicio de guía acompañante ruta ciclista intercultural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56346"/>
    <s v="AD"/>
    <d v="2021-09-15T00:00:00"/>
    <n v="22021006360"/>
    <s v="2021 07 1711 619"/>
    <n v="989.01"/>
    <x v="368"/>
    <s v="COORDINACION SEGURIDAD Y SALUD ACTUACIONES EN LOS BOMBEOS DE LA CIUDAD DE VALLADOLID FASE II. V.6/2020 LOTE 1 PS21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8355"/>
    <s v="AD"/>
    <d v="2021-07-15T00:00:00"/>
    <n v="22021005559"/>
    <s v="2021 05 4314 632"/>
    <n v="36926.949999999997"/>
    <x v="599"/>
    <s v="CONTRATO DE OBRA DE REPARACION DE LAS ESCALERAS DE ACCESO AL MERCADO MUNICIPAL DE LAS DELICIAS"/>
    <s v="220"/>
    <s v="VALLADOLID"/>
    <s v="VALLADOLID"/>
    <x v="2"/>
    <s v="AdDirec - Adjudicación Directa"/>
    <s v="SinC - Sin Criterio"/>
    <x v="0"/>
    <x v="2"/>
    <s v="6"/>
    <s v="6. Inversiones reales"/>
    <s v="05"/>
    <x v="6"/>
    <s v="4314"/>
    <s v="4314. Fomento del comercio"/>
    <s v="63"/>
    <s v="632"/>
  </r>
  <r>
    <n v="220210045436"/>
    <s v="D"/>
    <d v="2021-08-05T00:00:00"/>
    <n v="22021005156"/>
    <s v="2021 10 2412 214"/>
    <n v="701.84"/>
    <x v="585"/>
    <s v="REPARACION ( PASTILLAS FRENO, CALEFACTOR)+ MATERIALES ///  VEHICULO MATRÍCULA: 0394-CCX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10045438"/>
    <s v="D"/>
    <d v="2021-08-05T00:00:00"/>
    <n v="22021005156"/>
    <s v="2021 10 2412 214"/>
    <n v="330.55"/>
    <x v="585"/>
    <s v="REPARACION (BOMBA Y CILINDRO EMB.)+ MATERIALES ///  VEHICULO MATRÍCULA: 0394-CCX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10045432"/>
    <s v="D"/>
    <d v="2021-08-05T00:00:00"/>
    <n v="22021005156"/>
    <s v="2021 10 2412 214"/>
    <n v="703.18"/>
    <x v="585"/>
    <s v="REPARACION + MATERIALES ///  VEHICULO MATRÍCULA: 6817-GJG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10046984"/>
    <s v="D"/>
    <d v="2021-08-13T00:00:00"/>
    <n v="22021005156"/>
    <s v="2021 10 2412 214"/>
    <n v="228.92"/>
    <x v="585"/>
    <s v="REPARACIÓN VEHICULO 0394-CCX //// LIQ. FRENOS  / ACEITE / SIGAUS / ANTICONGELANTE / F. AIRE-ACEITE // C.F.JACINTO BENAV.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10045434"/>
    <s v="D"/>
    <d v="2021-08-05T00:00:00"/>
    <n v="22021005156"/>
    <s v="2021 10 2412 214"/>
    <n v="1273.6600000000001"/>
    <x v="585"/>
    <s v="REPARACION( LIQUIDOS FRENOS, KIT EMBRAGE + MATERIALES ///  VEHICULO MATRÍCULA: 0394-CCX -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10048796"/>
    <s v="D"/>
    <d v="2021-08-20T00:00:00"/>
    <n v="22021005717"/>
    <s v="2021 11 1631 634"/>
    <n v="5968.77"/>
    <x v="585"/>
    <s v="AC MARCO EXP SPSC 23/2020: SUSTITUCIÓN CATALIZADOR ESCAPE VEHICULO 4795 JCT S.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48825"/>
    <s v="D"/>
    <d v="2021-08-20T00:00:00"/>
    <n v="22021005717"/>
    <s v="2021 11 1631 634"/>
    <n v="4050.87"/>
    <x v="585"/>
    <s v="AC MARCO EXP SPSC 23/2020: REPARACION DE GOLPE FRONTAL EN BARREDORA E4374BFX DEL S DE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49765"/>
    <s v="D"/>
    <d v="2021-08-25T00:00:00"/>
    <n v="22021005717"/>
    <s v="2021 11 1631 634"/>
    <n v="3118.85"/>
    <x v="585"/>
    <s v="AM SPSC 23/2020: RECAMIOS REPARACIONES VEHICULOS E3465BGW,0120GJY,3855GLG,E3462BGW,4795JCT,1277KMD,2941CBL, LIMP. VIARI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3584"/>
    <s v="D"/>
    <d v="2021-09-13T00:00:00"/>
    <n v="22021005716"/>
    <s v="2021 11 1621 634"/>
    <n v="1894.44"/>
    <x v="585"/>
    <s v="AC MARCO EXP SPSC 23/2020: PIEZAS REPARACIONES VEHÍCULOS 9067JCH, E3465BGW -4223JDZ -5461BZY -4178JDZ -4459KLP Sº L.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0603"/>
    <s v="D"/>
    <d v="2021-09-02T00:00:00"/>
    <n v="22021005717"/>
    <s v="2021 11 1631 634"/>
    <n v="1733.95"/>
    <x v="585"/>
    <s v="AC MARCO EXP SPSC 23/2020: SUSTITUCIÓN SENSORES DELTA y NOX VEHÍCULO 4795 JCT DEL S. LIMPIEZA VIARAI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0696"/>
    <s v="D"/>
    <d v="2021-09-02T00:00:00"/>
    <n v="22021005717"/>
    <s v="2021 11 1631 634"/>
    <n v="1444.62"/>
    <x v="585"/>
    <s v="AC MARCO EXP SPSC 23/2020: SUSTITUIR ELECTROINYECTOR (4223-JDZ) Y SENSOR NOX (4224-JCV), VEHICULOS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0605"/>
    <s v="D"/>
    <d v="2021-09-02T00:00:00"/>
    <n v="22021005717"/>
    <s v="2021 11 1631 634"/>
    <n v="1406.07"/>
    <x v="585"/>
    <s v="AC MARCO EXP SPSC 23/2020:  VEHICULO S. LIMPIEZA  4178-JDZ, SUSTITUCION DEPOSITO CIRCUITO DIRECCION EJE TRASERO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0607"/>
    <s v="D"/>
    <d v="2021-09-02T00:00:00"/>
    <n v="22021005717"/>
    <s v="2021 11 1631 634"/>
    <n v="948.25"/>
    <x v="585"/>
    <s v="AC MARCO EXP SPSC 23/2020: SUSTITUCIÓN SENSORES NOX VEHICULO 4178 JDZ DEL S.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0680"/>
    <s v="D"/>
    <d v="2021-09-02T00:00:00"/>
    <n v="22021005717"/>
    <s v="2021 11 1631 634"/>
    <n v="702.86"/>
    <x v="585"/>
    <s v="AC MARCO EXP. SPSC23/2020 REPARACION GRUA 2756-LLV. SERVICIO DE LIMPIEZA VIARIA.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50675"/>
    <s v="D"/>
    <d v="2021-09-02T00:00:00"/>
    <n v="22021005717"/>
    <s v="2021 11 1631 634"/>
    <n v="405.99"/>
    <x v="585"/>
    <s v="AC MARCO EXP SPSC 23/2020: REARACION FALLOS CIRCUITO DIRECCION EJE TRASERO DE VEHIUCLO 4178JDZ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36224"/>
    <s v="AD"/>
    <d v="2021-07-06T00:00:00"/>
    <n v="22021001198"/>
    <s v="2021 11 1621 214"/>
    <n v="5000"/>
    <x v="231"/>
    <s v="SUMINSITRO REPUESTOS REPARACIONES HIDRÁULICAS DE VEHÍCULOS DEL SERVICIO DE LIMPIEZ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45368"/>
    <s v="AD"/>
    <d v="2021-08-05T00:00:00"/>
    <n v="22021001198"/>
    <s v="2021 11 1621 214"/>
    <n v="2300"/>
    <x v="231"/>
    <s v="SUMINISTRO DE REPUESTOS HIDRÁULICOS PARA REPARACIONES VEHICULOS Sº LIMPIEZ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45768"/>
    <s v="AD"/>
    <d v="2021-08-09T00:00:00"/>
    <n v="22021006020"/>
    <s v="2021 07 1711 213"/>
    <n v="78"/>
    <x v="615"/>
    <s v="REPARACION Y REPUESTOS PARA MAQUINARIA.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11"/>
    <s v="1711. Parques y jardines"/>
    <s v="21"/>
    <s v="213"/>
  </r>
  <r>
    <n v="220210038357"/>
    <s v="AD"/>
    <d v="2021-07-15T00:00:00"/>
    <n v="22021005531"/>
    <s v="2021 02 9332 632"/>
    <n v="156.32"/>
    <x v="762"/>
    <s v="MATERIAL CERRAJERÍA PARA FABRICAR POR EL PERSONAL DEL CENTRO DE MANTEN.PROTEC.NAVE EDIF. PINGÜINOS"/>
    <s v="220"/>
    <s v="VALLADOLID"/>
    <s v="VALLADOLID"/>
    <x v="1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50951"/>
    <s v="AD"/>
    <d v="2021-09-07T00:00:00"/>
    <n v="22021006367"/>
    <s v="2021 06 3232 212"/>
    <n v="986.45"/>
    <x v="940"/>
    <s v="SUMINISTRO DE HORMIGÓN PARA LA ENTRADA Y LA RAMPA EXISTENTE EN EL C.E.I.P. ENTRE RÍOS. PLAZO EJECUCIÓN 1 DÍA.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1246"/>
    <s v="AD"/>
    <d v="2021-09-09T00:00:00"/>
    <n v="22021006391"/>
    <s v="2021 02 1511 619"/>
    <n v="916.83"/>
    <x v="368"/>
    <s v="ESTUDIO B.S.S. DEL PROYECTO URBAN.CALLE DANIEL DEL OLMO Y PRIMER TRAMO DE LA AVDA.NORTE DE CASTILLA.EXP 30/19 LOTE 2."/>
    <s v="220"/>
    <s v="VALLADOLID"/>
    <s v="VALLADOLID"/>
    <x v="0"/>
    <s v="PrAbier - Procedimiento Abierto"/>
    <s v="MultiC - MultiCriterio"/>
    <x v="1"/>
    <x v="2"/>
    <s v="6"/>
    <s v="6. Inversiones reales"/>
    <s v="02"/>
    <x v="10"/>
    <s v="1511"/>
    <s v="1511. Planficación y gestión del urbanismo"/>
    <s v="61"/>
    <s v="619"/>
  </r>
  <r>
    <n v="220210056288"/>
    <s v="AD"/>
    <d v="2021-09-15T00:00:00"/>
    <n v="22021005291"/>
    <s v="2021 08 1341 619"/>
    <n v="912.72"/>
    <x v="368"/>
    <s v="PRORROGA LOTE 2_SEÑALIZACIÓN HORIZONTAL_SEGURIDAD Y SALUD_Contrato señalización vial en Valladolid_Agosto-Dic'2021"/>
    <s v="220"/>
    <s v="VALLADOLID"/>
    <s v="VALLADOLID"/>
    <x v="2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50896"/>
    <s v="AD"/>
    <d v="2021-09-03T00:00:00"/>
    <n v="22021006355"/>
    <s v="2021 11 1621 22110"/>
    <n v="795"/>
    <x v="941"/>
    <s v="SUMINISTRO DE DESODORIZANTE PARA LA LIMPIEZA DE LAS VIAS PUBLICAS DEL AYUNTAMIENTO DE VALLADOLID"/>
    <s v="220"/>
    <s v="ARRANKUDIAGA"/>
    <s v="VIZCAYA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2"/>
    <s v="22110"/>
  </r>
  <r>
    <n v="220210042105"/>
    <s v="AD"/>
    <d v="2021-07-23T00:00:00"/>
    <n v="22021005802"/>
    <s v="2021 11 1361 623"/>
    <n v="11884.78"/>
    <x v="390"/>
    <s v="Colchón de salvamento para intervenciones con tentativa de suicidio; SEISYPC."/>
    <s v="220"/>
    <s v="CAMPO REAL"/>
    <s v="MADRID"/>
    <x v="1"/>
    <s v="AdDirec - Adjudicación Directa"/>
    <s v="SinC - Sin Criterio"/>
    <x v="0"/>
    <x v="2"/>
    <s v="6"/>
    <s v="6. Inversiones reales"/>
    <s v="11"/>
    <x v="5"/>
    <s v="1361"/>
    <s v="1361. Prevención y extinción de incencios"/>
    <s v="62"/>
    <s v="623"/>
  </r>
  <r>
    <n v="220210051244"/>
    <s v="AD"/>
    <d v="2021-09-09T00:00:00"/>
    <n v="22021006405"/>
    <s v="2021 01 9207 22602"/>
    <n v="726"/>
    <x v="942"/>
    <s v="FERIAS 2021 ADJUDICA CAMPAÑA DIFUSIÓN BANDO CIVISMO Y RESPONSABILIDAD"/>
    <s v="220"/>
    <s v="BOECILLO"/>
    <s v="VALLADOLID"/>
    <x v="0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602"/>
  </r>
  <r>
    <n v="220210050350"/>
    <s v="AD"/>
    <d v="2021-08-30T00:00:00"/>
    <n v="22021006206"/>
    <s v="2021 04 9209 625"/>
    <n v="710.39"/>
    <x v="702"/>
    <s v="ADQUISICIÓN DE MOBILIARIO CON DESTINO AL CENTRO MUNICIPAL DE PROTECCIÓN ANIMAL (SERVICIO DE SALUD PÚBLICA)."/>
    <s v="220"/>
    <s v="VALLADOLID"/>
    <s v="VALLADOLID"/>
    <x v="1"/>
    <s v="AdDirec - Adjudicación Directa"/>
    <s v="SinC - Sin Criterio"/>
    <x v="0"/>
    <x v="2"/>
    <s v="6"/>
    <s v="6. Inversiones reales"/>
    <s v="04"/>
    <x v="3"/>
    <s v="9209"/>
    <s v="9209. Dirección del area de hacienda y función pública"/>
    <s v="62"/>
    <s v="625"/>
  </r>
  <r>
    <n v="220210044265"/>
    <s v="AD"/>
    <d v="2021-07-29T00:00:00"/>
    <n v="22021005786"/>
    <s v="2021 10 2312 212"/>
    <n v="946.05"/>
    <x v="869"/>
    <s v="DERECHOS DE EXTENSION, AUMENTO POTENCIA ELECTRICA  DEL CPM RONDILLA- DURACION 1 DIA"/>
    <s v="220"/>
    <s v="BILBAO"/>
    <s v="VIZCAYA"/>
    <x v="0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1242"/>
    <s v="AD"/>
    <d v="2021-09-09T00:00:00"/>
    <n v="22021006436"/>
    <s v="2021 03 9241 212"/>
    <n v="702.1"/>
    <x v="270"/>
    <s v="MATERIALES PARA TRABAJOS DE PINTURA EN VARIOS CENTROS DEL SPC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49416"/>
    <s v="AD"/>
    <d v="2021-08-24T00:00:00"/>
    <n v="22021006173"/>
    <s v="2021 06 3321 22799"/>
    <n v="690"/>
    <x v="943"/>
    <s v="TALLERES DE ROBÓTICA Y ANIMACIÓN A LA LECTURA EN LA BIBLIOTECA CAMPO GRANDE. VERAN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799"/>
  </r>
  <r>
    <n v="220210045350"/>
    <s v="AD"/>
    <d v="2021-08-04T00:00:00"/>
    <n v="22021005817"/>
    <s v="2021 06 2315 22611"/>
    <n v="922.02"/>
    <x v="944"/>
    <s v="Exposición fotográfica en Espacio Joven Zona Norte. Día del Orgullo 2021. 1 dí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41570"/>
    <s v="AD"/>
    <d v="2021-07-21T00:00:00"/>
    <n v="22021005689"/>
    <s v="2021 07 1721 22706"/>
    <n v="6824.4"/>
    <x v="482"/>
    <s v="RENOVACIÓN Y MANTENIMIENTO DE LA APP VALLAAIRE. SERVICIO DE MEDIO AMBIENTE"/>
    <s v="220"/>
    <s v="PALENCIA"/>
    <s v="PALENCIA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06"/>
  </r>
  <r>
    <n v="220210037260"/>
    <s v="D"/>
    <d v="2021-07-14T00:00:00"/>
    <n v="22021000006"/>
    <s v="2021 09 3301 22799"/>
    <n v="32246.5"/>
    <x v="250"/>
    <s v="CTO. SERVICIO INGENIERIA ASISTENCIA TECNICA AREA CULTURA Y TURISMO PARA SEGURIDAD CIUDADANA ESPECT, Y ACTIVIDADES RECR"/>
    <s v="300"/>
    <s v="ZARATAN"/>
    <s v="VALLADOLID"/>
    <x v="0"/>
    <s v="PrAbier - Procedimiento Abierto"/>
    <s v="MultiC - MultiCriterio"/>
    <x v="1"/>
    <x v="2"/>
    <s v="2"/>
    <s v="2. Gastos corrientes en bienes y servicios"/>
    <s v="09"/>
    <x v="1"/>
    <s v="3301"/>
    <s v="3301. Dirección del área de cultura"/>
    <s v="22"/>
    <s v="22799"/>
  </r>
  <r>
    <n v="220210037286"/>
    <s v="AD"/>
    <d v="2021-07-14T00:00:00"/>
    <n v="22021002658"/>
    <s v="2021 08 1532 619"/>
    <n v="18089.5"/>
    <x v="250"/>
    <s v="LOTE B: Control Calidad en ejecución, asistencia técnica, inspecciones y vigilancia de obras Contrato Conserv.Vias Públi"/>
    <s v="220"/>
    <s v="ZARATAN"/>
    <s v="VALLADOLID"/>
    <x v="0"/>
    <s v="AdDirec - Adjudicación Directa"/>
    <s v="SinC - Sin Criterio"/>
    <x v="0"/>
    <x v="2"/>
    <s v="6"/>
    <s v="6. Inversiones reales"/>
    <s v="08"/>
    <x v="9"/>
    <s v="1532"/>
    <s v="1532. Pavimentación vias públicas y otros servicios urbanísticos"/>
    <s v="61"/>
    <s v="619"/>
  </r>
  <r>
    <n v="220210043799"/>
    <s v="AD"/>
    <d v="2021-07-27T00:00:00"/>
    <n v="22021005773"/>
    <s v="2021 02 9332 632"/>
    <n v="7199.5"/>
    <x v="250"/>
    <s v="INFORME PATOLOGÍAS Y PROPUESTAS DE ACTUACIÓN EN LAS ESTRUCTURAS DEL TEATRO LOPE DE VEGA"/>
    <s v="220"/>
    <s v="ZARATAN"/>
    <s v="VALLADOLID"/>
    <x v="0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36308"/>
    <s v="AD"/>
    <d v="2021-07-07T00:00:00"/>
    <n v="22021005107"/>
    <s v="2021 07 1711 619"/>
    <n v="5201.79"/>
    <x v="250"/>
    <s v="CONTROL DE CALIDAD ADECUACION CAMINOS EN VILLA DEL PRADO Y HUERTA DEL REY."/>
    <s v="220"/>
    <s v="ZARATAN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36840"/>
    <s v="AD"/>
    <d v="2021-07-12T00:00:00"/>
    <n v="22021004558"/>
    <s v="2021 07 1711 619"/>
    <n v="682.87"/>
    <x v="250"/>
    <s v="CONTROL DE CALIDAD, AJARDINAMIENTO LATERAL CALLE LUGANO."/>
    <s v="220"/>
    <s v="ZARATAN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5769"/>
    <s v="AD"/>
    <d v="2021-08-09T00:00:00"/>
    <n v="22021006044"/>
    <s v="2021 05 4314 22706"/>
    <n v="7253.95"/>
    <x v="250"/>
    <s v="CONTRATO SERVICIOS PARA LA REDACCION, IMPLANTACION Y REVISION DEL PLAN DE  EVACUACION DEL MERCADO DELICIAS Y VAL"/>
    <s v="220"/>
    <s v="ZARATAN"/>
    <s v="VALLADOLID"/>
    <x v="0"/>
    <s v="AdDirec - Adjudicación Directa"/>
    <s v="SinC - Sin Criterio"/>
    <x v="0"/>
    <x v="2"/>
    <s v="2"/>
    <s v="2. Gastos corrientes en bienes y servicios"/>
    <s v="05"/>
    <x v="6"/>
    <s v="4314"/>
    <s v="4314. Fomento del comercio"/>
    <s v="22"/>
    <s v="22706"/>
  </r>
  <r>
    <n v="220210047074"/>
    <s v="D"/>
    <d v="2021-08-13T00:00:00"/>
    <n v="22021001296"/>
    <s v="2021 08 1532 619"/>
    <n v="1231.1099999999999"/>
    <x v="250"/>
    <s v="CONTROL CALIDAD CONSERV.- REPAR. REF. DE INFRAEST.VIARIAS // LOTE 1 - PPTO PARTICIPATIVO // MES DE MAYO 2021"/>
    <s v="300"/>
    <s v="ZARATAN"/>
    <s v="VALLADOLID"/>
    <x v="0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7072"/>
    <s v="D"/>
    <d v="2021-08-13T00:00:00"/>
    <n v="22021001296"/>
    <s v="2021 08 1532 619"/>
    <n v="1001.31"/>
    <x v="250"/>
    <s v="CONTROL CALIDAD CONSERV.-REF.-REP. INFRAEST. VIARIAS // LOTE 1 // PPTO PARTICIPATIVO // MES DE ABRIL 2021"/>
    <s v="300"/>
    <s v="ZARATAN"/>
    <s v="VALLADOLID"/>
    <x v="0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7076"/>
    <s v="D"/>
    <d v="2021-08-13T00:00:00"/>
    <n v="22021001296"/>
    <s v="2021 08 1532 619"/>
    <n v="1723.56"/>
    <x v="250"/>
    <s v="CONTROL CALIDAD OBRA: CONSERVACIÓN, REP. Y REF. DE INFRAESTR. V. DE VALLADOLID (LOTE 1 -PPTOS. PARTICIPATIVOS) // JUNIO"/>
    <s v="300"/>
    <s v="ZARATAN"/>
    <s v="VALLADOLID"/>
    <x v="0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7070"/>
    <s v="D"/>
    <d v="2021-08-13T00:00:00"/>
    <n v="22021001296"/>
    <s v="2021 08 1532 619"/>
    <n v="541.69000000000005"/>
    <x v="250"/>
    <s v="CONTROL CALIDAD OBRA: CONSERVACIÓN, REP. Y REF. DE INFRAESTR. V. DE VALLADOLID -LOTE 1 -PPTOS. PARTICIPATIVOS // MARZO"/>
    <s v="300"/>
    <s v="ZARATAN"/>
    <s v="VALLADOLID"/>
    <x v="0"/>
    <s v="PrAbier - Procedimiento Abierto"/>
    <s v="MultiC - Multi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56347"/>
    <s v="AD"/>
    <d v="2021-09-15T00:00:00"/>
    <n v="22021006361"/>
    <s v="2021 07 1711 619"/>
    <n v="7260"/>
    <x v="250"/>
    <s v="CONTROL DE CALIDAD  ACTUACIONES EN LOS BOMBEOS DE LA CIUDAD DE VALLADOLID FASE II. V.6/2020 LOTE 1 PS21."/>
    <s v="220"/>
    <s v="ZARATAN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1589"/>
    <s v="AD"/>
    <d v="2021-07-22T00:00:00"/>
    <n v="22021005746"/>
    <s v="2021 11 1361 213"/>
    <n v="8788.99"/>
    <x v="945"/>
    <s v="REVISION ANUAL DE EQUIPOS DE RESCATE HIDRAULICOS DEL SERVICIO DE EXTINCION DE INCENDIOS, SALVAMENTO Y PROTECCION CIVIL"/>
    <s v="220"/>
    <s v="MOS"/>
    <s v="PONTEVEDRA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3"/>
  </r>
  <r>
    <n v="220210054483"/>
    <s v="AD"/>
    <d v="2021-09-14T00:00:00"/>
    <n v="22021006325"/>
    <s v="2021 11 1361 213"/>
    <n v="653.52"/>
    <x v="128"/>
    <s v="Revisión y operaciones de mantenimiento de los extintores; SEISYPC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3"/>
  </r>
  <r>
    <n v="220210050364"/>
    <s v="AD"/>
    <d v="2021-08-31T00:00:00"/>
    <n v="22021006295"/>
    <s v="2021 08 1651 22199"/>
    <n v="639.26"/>
    <x v="270"/>
    <s v="Suministro de herramientas y material (minirodillo ant / paletina radiad/ cinta/ eurolux/ disolventes/limpia cristales.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651"/>
    <s v="1651. Alumbrado público"/>
    <s v="22"/>
    <s v="22199"/>
  </r>
  <r>
    <n v="220210050959"/>
    <s v="AD"/>
    <d v="2021-09-07T00:00:00"/>
    <n v="22021006415"/>
    <s v="2021 08 1532 204"/>
    <n v="597.84"/>
    <x v="946"/>
    <s v="Transporte de polvo asfáltico suministrado por Alfaltos Maestu, S.a. desde Álava hasta nuestras instalaciones.-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0"/>
    <s v="204"/>
  </r>
  <r>
    <n v="220210042189"/>
    <s v="AD"/>
    <d v="2021-07-23T00:00:00"/>
    <n v="22021004764"/>
    <s v="2021 04 9204 641"/>
    <n v="25639.78"/>
    <x v="253"/>
    <s v="MTO.  Y ASISTENCIA TÉCNICA  ADMON.ELECTRÓNICA DEL AYTO.VALL. BASADAS AMARA SUITE. (2ª PRÓRROGA)  12/09/2021 AL 31/12/20"/>
    <s v="220"/>
    <s v="ALCOBENDAS"/>
    <s v="MADRID"/>
    <x v="0"/>
    <s v="PrAbier - Procedimiento Abierto"/>
    <s v="MultiC - MultiCriterio"/>
    <x v="1"/>
    <x v="2"/>
    <s v="6"/>
    <s v="6. Inversiones reales"/>
    <s v="04"/>
    <x v="3"/>
    <s v="9204"/>
    <s v="9204. Tecnologías de la información y comunicación"/>
    <s v="64"/>
    <s v="641"/>
  </r>
  <r>
    <n v="220210043783"/>
    <s v="D"/>
    <d v="2021-07-27T00:00:00"/>
    <n v="22021003303"/>
    <s v="2021 04 9204 216"/>
    <n v="7963.01"/>
    <x v="253"/>
    <s v="SOFTWARE DE INTERCAMBIO DE FICHEROS CON ENTIDADES BACARIAS, EDITRAN, LOTE 2"/>
    <s v="300"/>
    <s v="ALCOBENDAS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36182"/>
    <s v="AD"/>
    <d v="2021-07-06T00:00:00"/>
    <n v="22021005524"/>
    <s v="2021 11 1621 214"/>
    <n v="857.29"/>
    <x v="947"/>
    <s v="REVISION Y PRUEBAS DE CAMIÓN REPARADO CON ANTERIORIDAD PERO SIN RELACION EN AVERIA. SERVICIO DE LIMPIEZA."/>
    <s v="220"/>
    <s v="SAN AGUSTIN DE GUADALIX"/>
    <s v="MADR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51240"/>
    <s v="AD"/>
    <d v="2021-09-09T00:00:00"/>
    <n v="22021006437"/>
    <s v="2021 03 9241 213"/>
    <n v="579.24"/>
    <x v="665"/>
    <s v="REPARACIÓN DE CALDERA ESCLAVA EN CC ZONA SUR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3"/>
  </r>
  <r>
    <n v="220210045560"/>
    <s v="AD"/>
    <d v="2021-08-06T00:00:00"/>
    <n v="22021006021"/>
    <s v="2021 10 2311 212"/>
    <n v="43.56"/>
    <x v="408"/>
    <s v="Compra de 2 unidades de &quot;&quot;compás retenedor&quot;&quot; para arreglo de ventana en Centro Integrado. COVID-19.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56315"/>
    <s v="AD"/>
    <d v="2021-09-15T00:00:00"/>
    <n v="22021006434"/>
    <s v="2021 01 9207 22602"/>
    <n v="568.70000000000005"/>
    <x v="835"/>
    <s v="ADJUDICACIÓN DISEÑO LOGO CAMPAÑA DEPORTE VALLADOLID SE MUEVE CONTIGO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7"/>
    <s v="9207. Gobierno y relaciones"/>
    <s v="22"/>
    <s v="22602"/>
  </r>
  <r>
    <n v="220210050957"/>
    <s v="AD"/>
    <d v="2021-09-07T00:00:00"/>
    <n v="22021006411"/>
    <s v="2021 03 9241 22609"/>
    <n v="544.5"/>
    <x v="395"/>
    <s v="ACTUACIÓN EN CC ZONA SUR, DÍA 16/05/2021. MFS"/>
    <s v="220"/>
    <s v="MANZANILLO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56310"/>
    <s v="AD"/>
    <d v="2021-09-15T00:00:00"/>
    <n v="22021006491"/>
    <s v="2021 11 1361 213"/>
    <n v="534.82000000000005"/>
    <x v="948"/>
    <s v="Revisión_cambio aceite, filtros y mantenimiento diversos en compresores A.C.que montan unid. FSV_5 y FSV_6; SEISYPC"/>
    <s v="220"/>
    <s v="CABEZON DE PISUERGA"/>
    <s v="VALLADOLID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3"/>
  </r>
  <r>
    <n v="220210043786"/>
    <s v="D"/>
    <d v="2021-07-27T00:00:00"/>
    <n v="22021003304"/>
    <s v="2021 04 9204 216"/>
    <n v="2200"/>
    <x v="949"/>
    <s v="SOFTWARE DE CONTROL DE ACCESSOS A INTERNET DESDE LAS BIBILIOTECAS MUNICIPALES, MyPC, LOTE 5"/>
    <s v="300"/>
    <s v="LEGANES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42188"/>
    <s v="D"/>
    <d v="2021-07-23T00:00:00"/>
    <n v="22021003266"/>
    <s v="2021 04 9204 22002"/>
    <n v="5730.97"/>
    <x v="950"/>
    <s v="SUMINISTRO DE FUNGIBLES DE IMPRESIÓN COMPATIBLES, LOTE 2"/>
    <s v="300"/>
    <s v="MADRID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2"/>
    <s v="22002"/>
  </r>
  <r>
    <n v="220210037296"/>
    <s v="D"/>
    <d v="2021-07-14T00:00:00"/>
    <n v="22021002412"/>
    <s v="2021 08 1532 619"/>
    <n v="121144.7"/>
    <x v="951"/>
    <s v="Expte. 5/2021  &quot;&quot;Contrato de obras de actuaciones y reformas en varias plazas&quot;&quot;"/>
    <s v="300"/>
    <s v="VALLADOLID"/>
    <s v="VALLADOLID"/>
    <x v="2"/>
    <s v="PrAbier - Procedimiento Abierto"/>
    <s v="UniC - Único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4567"/>
    <s v="AD"/>
    <d v="2021-07-30T00:00:00"/>
    <n v="22021005953"/>
    <s v="2021 03 9241 213"/>
    <n v="605"/>
    <x v="951"/>
    <s v="MANTENIMIENTO ANUAL LINEA MEDIA TENSIÓN Y CENTRO DE TRANSFORMACIÓN AULARIO HUERTA DEL REY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3"/>
  </r>
  <r>
    <n v="220210051305"/>
    <s v="AD"/>
    <d v="2021-09-10T00:00:00"/>
    <n v="22021006458"/>
    <s v="2021 11 1321 626"/>
    <n v="515.46"/>
    <x v="682"/>
    <s v="ADQUISICIÓN DE IMPRESORA PARA ETILÓMETRO DE POLICÍA MUNICIPAL."/>
    <s v="220"/>
    <s v="JUMILLA"/>
    <s v="MURCIA"/>
    <x v="1"/>
    <s v="AdDirec - Adjudicación Directa"/>
    <s v="SinC - Sin Criterio"/>
    <x v="0"/>
    <x v="2"/>
    <s v="6"/>
    <s v="6. Inversiones reales"/>
    <s v="11"/>
    <x v="5"/>
    <s v="1321"/>
    <s v="1321. Policía municipal"/>
    <s v="62"/>
    <s v="626"/>
  </r>
  <r>
    <n v="220210054496"/>
    <s v="AD"/>
    <d v="2021-09-14T00:00:00"/>
    <n v="22021003024"/>
    <s v="2021 10 2412 22110"/>
    <n v="500"/>
    <x v="313"/>
    <s v="SUMINISTRO MATERIAL LIMPIEZA PARA EL CENTRO DE FORMACION PARA EL EMPLEO EN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50955"/>
    <s v="AD"/>
    <d v="2021-09-07T00:00:00"/>
    <n v="22021006409"/>
    <s v="2021 03 9241 22609"/>
    <n v="495"/>
    <x v="704"/>
    <s v="ACTUACIÓN CIRCO EN CIC SEGUNDO MONTES EL DÍA 12/06/2021. MFS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36484"/>
    <s v="AD"/>
    <d v="2021-07-07T00:00:00"/>
    <n v="22021005359"/>
    <s v="2021 09 3341 22701"/>
    <n v="1978.35"/>
    <x v="491"/>
    <s v="REALIZACION CABLEADO PARA INSTALACION DEL SISTEMA DE SEGURIDAD EN EL ESPACIO DE EVENTOS EN LA ANTIGUA HIPICA MILITAR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701"/>
  </r>
  <r>
    <n v="220210043788"/>
    <s v="D"/>
    <d v="2021-07-27T00:00:00"/>
    <n v="22021003306"/>
    <s v="2021 04 9204 216"/>
    <n v="1996.5"/>
    <x v="879"/>
    <s v="SISTEMA DE INFORMACIÓN PARA LA RECOGIDA Y GESTIÓN DE LAS ITES  DE LOS INFORMES DE EVALUACIÓN DE EDIFICIOS RECITE, LOTE 7"/>
    <s v="300"/>
    <s v="BURGOS"/>
    <s v="BURGOS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56298"/>
    <s v="AD"/>
    <d v="2021-09-15T00:00:00"/>
    <n v="22021006508"/>
    <s v="2021 06 2315 22614"/>
    <n v="484"/>
    <x v="952"/>
    <s v="RENOVACIÓN CARTELES CIUDAD AMIGA DE LA INFANCIA 2021-2025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45370"/>
    <s v="AD"/>
    <d v="2021-08-05T00:00:00"/>
    <n v="22021006007"/>
    <s v="2021 11 1361 214"/>
    <n v="666.25"/>
    <x v="736"/>
    <s v="Reparación avería en vehículo Mercedes-Atego, BFP-15, matric. 0095DWZ; SEISYPC.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4"/>
  </r>
  <r>
    <n v="220210036485"/>
    <s v="AD"/>
    <d v="2021-07-07T00:00:00"/>
    <n v="22021005349"/>
    <s v="2021 09 3341 22701"/>
    <n v="9517.94"/>
    <x v="263"/>
    <s v="REALIZACION INSTALACION Y MANTENIMIENTO DEL SISTEMA DE SEGURIDAD DEL ESPACIO DE EVENTOS EN LA ANTIGUA HIPICA MILITAR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701"/>
  </r>
  <r>
    <n v="220210036832"/>
    <s v="AD"/>
    <d v="2021-07-09T00:00:00"/>
    <n v="22021004675"/>
    <s v="2021 03 9241 633"/>
    <n v="7260"/>
    <x v="263"/>
    <s v="SUMINISTRO E INSTALACIÓN DE SISTEMA DE SEGURIDAD EN CC DELICIAS"/>
    <s v="220"/>
    <s v="VALLADOLID"/>
    <s v="VALLADOLID"/>
    <x v="1"/>
    <s v="AdDirec - Adjudicación Directa"/>
    <s v="SinC - Sin Criterio"/>
    <x v="0"/>
    <x v="2"/>
    <s v="6"/>
    <s v="6. Inversiones reales"/>
    <s v="03"/>
    <x v="2"/>
    <s v="9241"/>
    <s v="9241. Participación ciudadana"/>
    <s v="63"/>
    <s v="633"/>
  </r>
  <r>
    <n v="220210043776"/>
    <s v="AD"/>
    <d v="2021-07-27T00:00:00"/>
    <n v="22021005760"/>
    <s v="2021 10 2311 623"/>
    <n v="5227.16"/>
    <x v="263"/>
    <s v="Instalación de medidas de seguridad (alarmas) en el local sito en Calle Pato 3. 2021"/>
    <s v="220"/>
    <s v="VALLADOLID"/>
    <s v="VALLADOLID"/>
    <x v="0"/>
    <s v="AdDirec - Adjudicación Directa"/>
    <s v="SinC - Sin Criterio"/>
    <x v="0"/>
    <x v="2"/>
    <s v="6"/>
    <s v="6. Inversiones reales"/>
    <s v="10"/>
    <x v="8"/>
    <s v="2311"/>
    <s v="2311. Intervención social"/>
    <s v="62"/>
    <s v="623"/>
  </r>
  <r>
    <n v="220210034307"/>
    <s v="AD"/>
    <d v="2021-07-01T00:00:00"/>
    <n v="22021005108"/>
    <s v="2021 06 2314 22799"/>
    <n v="640.91"/>
    <x v="263"/>
    <s v="INSTALACIÓN, CABLEADO Y PUESTA A PUNTO DE SIST. SEGURIDAD EN ESPACIO JOVEN NORTE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799"/>
  </r>
  <r>
    <n v="220210050517"/>
    <s v="AD"/>
    <d v="2021-09-01T00:00:00"/>
    <n v="22021006190"/>
    <s v="2021 06 3232 212"/>
    <n v="470"/>
    <x v="91"/>
    <s v="BRAZOS ARTICULADOS Y TIJERAS ELÉCTRICAS PARA SU UTILIZACIÓN POR EL CENTRO DE MANTENIMIENTO EN  COLEGIOS PÚBLICO. 2021"/>
    <s v="220"/>
    <s v="CABEZON DE PISUERGA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518"/>
    <s v="AD"/>
    <d v="2021-09-01T00:00:00"/>
    <n v="22021006201"/>
    <s v="2021 06 3232 212"/>
    <n v="459.8"/>
    <x v="953"/>
    <s v="LOCALIZACIÓN DE FUGA EN EL PATIO DEL COLEGIO NARCISO ALONSO CORTES PARA SU REPARACIÓN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6300"/>
    <s v="AD"/>
    <d v="2021-09-15T00:00:00"/>
    <n v="22021006506"/>
    <s v="2021 06 3321 22001"/>
    <n v="445"/>
    <x v="954"/>
    <s v="SUSCRIPCIÓN A LAS REVISTAS &quot;&quot;COMPUTER HOY&quot;&quot; Y &quot;&quot;HOBBY CONSOLAS&quot;&quot; PARA LAS BIBLIOTECAS PÚBLICAS Y LOS PUNTOS DE PRÉSTAMO.2021"/>
    <s v="220"/>
    <s v="MADRID"/>
    <s v="MADR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001"/>
  </r>
  <r>
    <n v="220210040861"/>
    <s v="D"/>
    <d v="2021-07-20T00:00:00"/>
    <n v="22021002412"/>
    <s v="2021 08 1532 619"/>
    <n v="541.85"/>
    <x v="368"/>
    <s v="Expte. 5/2021  &quot;&quot;Seguridad y salud del contrato de obras de actuaciones y reformas en varias plazas&quot;&quot;"/>
    <s v="300"/>
    <s v="VALLADOLID"/>
    <s v="VALLADOLID"/>
    <x v="2"/>
    <s v="PrAbier - Procedimiento Abierto"/>
    <s v="UniC - Único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3775"/>
    <s v="AD"/>
    <d v="2021-07-27T00:00:00"/>
    <n v="22021005759"/>
    <s v="2021 10 2311 22799"/>
    <n v="3025"/>
    <x v="368"/>
    <s v="Elaboración de los Planes de Emergencias y Autoprotección de varios edificios Intervención Social 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1"/>
    <s v="2311. Intervención social"/>
    <s v="22"/>
    <s v="22799"/>
  </r>
  <r>
    <n v="220210035430"/>
    <s v="AD"/>
    <d v="2021-07-02T00:00:00"/>
    <n v="22021004778"/>
    <s v="2021 07 1711 619"/>
    <n v="1518.1"/>
    <x v="368"/>
    <s v="COORDINACION SEGURIDAD Y SALUD, ADECUACION CAMINOS EN VILLA DEL PRADO Y HUERTA DEL REY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5428"/>
    <s v="AD"/>
    <d v="2021-07-02T00:00:00"/>
    <n v="22021004838"/>
    <s v="2021 07 1711 619"/>
    <n v="706.33"/>
    <x v="368"/>
    <s v="COORDINACION SEGURIDAD Y SALUD, MEJORA DE INSTALACIONES EN PARQUE DE LAS NORIAS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7301"/>
    <s v="AD"/>
    <d v="2021-07-15T00:00:00"/>
    <n v="22021004884"/>
    <s v="2021 07 1711 619"/>
    <n v="273.91000000000003"/>
    <x v="368"/>
    <s v="COORDINACION SEGURIDAD Y SALUD, ACONDICIONAMIENTO PARQUE LAS LAVANDERAS, LA OVERUELA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43855"/>
    <s v="AD"/>
    <d v="2021-07-28T00:00:00"/>
    <n v="22021004897"/>
    <s v="2021 07 1711 619"/>
    <n v="240.89"/>
    <x v="368"/>
    <s v="COORDINACION SEGURIDAD Y SALUD ADECUACION PASARELA PARQUE DE LOS ALMENDROS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7298"/>
    <s v="AD"/>
    <d v="2021-07-15T00:00:00"/>
    <n v="22021004893"/>
    <s v="2021 07 1711 619"/>
    <n v="140.47999999999999"/>
    <x v="368"/>
    <s v="COORDINACION SEGURIDAD Y SALUD REMODELACION FUENTE EN PARQUE CALLE ALCAPARRA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43878"/>
    <s v="AD"/>
    <d v="2021-07-28T00:00:00"/>
    <n v="22021005171"/>
    <s v="2021 07 1711 619"/>
    <n v="129.69"/>
    <x v="368"/>
    <s v="COORDINACION SEGURIDADY SALUD CAMINO PAVIMENTADO JUNTO A PARQUE PATRICIA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6839"/>
    <s v="AD"/>
    <d v="2021-07-12T00:00:00"/>
    <n v="22021004557"/>
    <s v="2021 07 1711 619"/>
    <n v="54.63"/>
    <x v="368"/>
    <s v="COORDINACION SEGURIDAD Y SALUD, AJARDINAMIENTO LATERAL CALLE LUGANO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50021"/>
    <s v="AD"/>
    <d v="2021-08-26T00:00:00"/>
    <n v="22021006200"/>
    <s v="2021 09 3341 22699"/>
    <n v="440"/>
    <x v="780"/>
    <s v="DINAMIZACIÓN EL ACTO DE ENTREGA DEL 68 PREMIO DE NOVELA &quot;&quot;ATENEO-CIUDAD DE VALLADOLID&quot;&quot; CON ESPECTACULO DE MIMO 16/09/2021"/>
    <s v="220"/>
    <s v="ALDEA DE SAN MIGUEL"/>
    <s v="VALLADOLID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699"/>
  </r>
  <r>
    <n v="220210048529"/>
    <s v="AD"/>
    <d v="2021-08-20T00:00:00"/>
    <n v="22021004822"/>
    <s v="2021 06 3261 22799"/>
    <n v="423.5"/>
    <x v="720"/>
    <s v="AMPLIACION DE FUNCIONALIDADES WEB GUÍA EDUCATIVA PLAZO DE EJECUCIÓN: 1 MES"/>
    <s v="220"/>
    <s v="BOECILLO"/>
    <s v="VALLADOLID"/>
    <x v="0"/>
    <s v="AdDirec - Adjudicación Directa"/>
    <s v="SinC - Sin Criterio"/>
    <x v="0"/>
    <x v="2"/>
    <s v="2"/>
    <s v="2. Gastos corrientes en bienes y servicios"/>
    <s v="06"/>
    <x v="0"/>
    <s v="3261"/>
    <s v="3261. Servicios complementarios de educación"/>
    <s v="22"/>
    <s v="22799"/>
  </r>
  <r>
    <n v="220210054487"/>
    <s v="AD"/>
    <d v="2021-09-14T00:00:00"/>
    <n v="22021006464"/>
    <s v="2021 06 2314 22100"/>
    <n v="379.18"/>
    <x v="869"/>
    <s v="ENTRONQUE CON RED DE DISTRIBUCION Y REFUERZO DE RED EXISTENTE ESPACIO JOVEN NORTE / 1 DIA"/>
    <s v="220"/>
    <s v="BILBAO"/>
    <s v="BIZKAIA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100"/>
  </r>
  <r>
    <n v="220210056344"/>
    <s v="AD"/>
    <d v="2021-09-15T00:00:00"/>
    <n v="22021006357"/>
    <s v="2021 07 1711 632"/>
    <n v="442.29"/>
    <x v="368"/>
    <s v="COORDINACION DE SEGURIDAD Y SALUD ADECUACIÓN  CASETA DE LOS JARDINEROS EN  PARQUE DE LOS JERÓNIMOS. V.6-2020 LOTE1 PS20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3"/>
    <s v="632"/>
  </r>
  <r>
    <n v="220210048525"/>
    <s v="AD"/>
    <d v="2021-08-20T00:00:00"/>
    <n v="22021006097"/>
    <s v="2021 10 2312 213"/>
    <n v="362.4"/>
    <x v="955"/>
    <s v="REPARACION PUERTA AUTOMATICA DEL CPM VICTORIA- DURACION 1 DIA"/>
    <s v="220"/>
    <s v="GRIÑON"/>
    <s v="MADRID"/>
    <x v="0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3"/>
  </r>
  <r>
    <n v="220210054492"/>
    <s v="AD"/>
    <d v="2021-09-14T00:00:00"/>
    <n v="22021006441"/>
    <s v="2021 10 2311 212"/>
    <n v="341.32"/>
    <x v="270"/>
    <s v="Compra de productos de pintura/barniz para la restauración del mobiliario de CEAS BELEN PILARICA . Agosto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56282"/>
    <s v="AD"/>
    <d v="2021-09-15T00:00:00"/>
    <n v="22021006074"/>
    <s v="2021 08 1341 619"/>
    <n v="415.72"/>
    <x v="368"/>
    <s v="SEGURIDAD Y SALUD CONTRATRO SEÑALIZACIÓN VIAL LOTE 1_Vertical"/>
    <s v="220"/>
    <s v="VALLADOLID"/>
    <s v="VALLADOLID"/>
    <x v="0"/>
    <s v="PrAbier - Procedimiento Abierto"/>
    <s v="SinC - Sin Criterio"/>
    <x v="1"/>
    <x v="2"/>
    <s v="6"/>
    <s v="6. Inversiones reales"/>
    <s v="08"/>
    <x v="9"/>
    <s v="1341"/>
    <s v="1341. Movilidad"/>
    <s v="61"/>
    <s v="619"/>
  </r>
  <r>
    <n v="220210054488"/>
    <s v="AD"/>
    <d v="2021-09-14T00:00:00"/>
    <n v="22021006466"/>
    <s v="2021 06 2314 22701"/>
    <n v="244"/>
    <x v="263"/>
    <s v="MANTENIMIENTO SISTEMA DE SEGURIDAD PINAR DE ANTEQUERA CONEXIÓN A CRA / DURANT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701"/>
  </r>
  <r>
    <n v="220210050348"/>
    <s v="AD"/>
    <d v="2021-08-30T00:00:00"/>
    <n v="22021006184"/>
    <s v="2021 06 3231 213"/>
    <n v="242"/>
    <x v="333"/>
    <s v="SUSTITUCIÓN PIEZAS EN EL ASCENSOR UBICADO EN LA E.I.M. LA COMETA FUERA DEL CONTRATO DE MANTENIMIENTO. PLAZO AÑ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31"/>
    <s v="3231. Escuelas infantiles"/>
    <s v="21"/>
    <s v="213"/>
  </r>
  <r>
    <n v="220210050523"/>
    <s v="AD"/>
    <d v="2021-09-01T00:00:00"/>
    <n v="22021006321"/>
    <s v="2021 10 2311 212"/>
    <n v="240.11"/>
    <x v="270"/>
    <s v="COMPRA DE MATERIAL DE PINTURA PARA VIVIENDA EN C/ SALUD 15.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54499"/>
    <s v="AD"/>
    <d v="2021-09-14T00:00:00"/>
    <n v="22021006453"/>
    <s v="2021 10 2312 212"/>
    <n v="338.8"/>
    <x v="119"/>
    <s v="CIERRE POSTERIOR, CIMENTACION DEL ARMARIO DE CONTADORES DEL CPM RONDILLA- DURACION 1 DIA"/>
    <s v="220"/>
    <s v="VALLADOLID"/>
    <s v="VALLADOLID"/>
    <x v="4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0020"/>
    <s v="AD"/>
    <d v="2021-08-26T00:00:00"/>
    <n v="22021006186"/>
    <s v="2021 11 1321 213"/>
    <n v="175.45"/>
    <x v="312"/>
    <s v="SUSTITUCIÓN DE MICRÓFONO JIRAFA DE LA SALA DE CONTROL DE POLICÍA MUNICIPAL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36305"/>
    <s v="AD"/>
    <d v="2021-07-07T00:00:00"/>
    <n v="22021005320"/>
    <s v="2021 06 3321 22799"/>
    <n v="6402"/>
    <x v="565"/>
    <s v="PROGRAMA DE MEDIACIÓN LECTORA EN LA RED DE BIBLIOTECAS MUNICIPALES DE VALLADOLID. JUNIO A SEPTIEMBRE 2021."/>
    <s v="220"/>
    <s v="SAN MIGUEL DEL PINO"/>
    <s v="VALLADOLID"/>
    <x v="0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799"/>
  </r>
  <r>
    <n v="220210056287"/>
    <s v="AD"/>
    <d v="2021-09-15T00:00:00"/>
    <n v="22021005289"/>
    <s v="2021 08 1341 619"/>
    <n v="331.9"/>
    <x v="368"/>
    <s v="PRORROGA LOTE 1 _SEÑALIZACIÓN VERTICAL_SEGURIDAD Y SALUD_Contrato señalización vial Valladolid_Agosto-Dic'2021"/>
    <s v="220"/>
    <s v="VALLADOLID"/>
    <s v="VALLADOLID"/>
    <x v="2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45559"/>
    <s v="AD"/>
    <d v="2021-08-06T00:00:00"/>
    <n v="22021005998"/>
    <s v="2021 03 9241 22609"/>
    <n v="598.95000000000005"/>
    <x v="956"/>
    <s v="ESPECTÁCULO MAGIA FREDDY VARÓ LAS MORERAS DIA 02/07/2021. MFS"/>
    <s v="220"/>
    <s v="MEDINA DEL CAMPO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47035"/>
    <s v="D"/>
    <d v="2021-08-13T00:00:00"/>
    <n v="22021004322"/>
    <s v="2021 07 1711 619"/>
    <n v="247.5"/>
    <x v="271"/>
    <s v="ACUERDO MARCO 2017/36, ROSAL SEVILLANA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7031"/>
    <s v="D"/>
    <d v="2021-08-13T00:00:00"/>
    <n v="22021004322"/>
    <s v="2021 07 1711 619"/>
    <n v="990"/>
    <x v="271"/>
    <s v="ACUERDO MARCO 2017/36, SUMINISTRO DE ARBUSTOS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6982"/>
    <s v="D"/>
    <d v="2021-08-13T00:00:00"/>
    <n v="22021001181"/>
    <s v="2021 10 2412 22199"/>
    <n v="66.55"/>
    <x v="271"/>
    <s v="POINSETIA (22 UNIDADES) //// C.F. JACINTO BENAVENTE - PROG. MIXTO PQ. Y JARDINES 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10039695"/>
    <s v="AD"/>
    <d v="2021-07-16T00:00:00"/>
    <n v="22021005738"/>
    <s v="2021 03 9241 22609"/>
    <n v="440"/>
    <x v="780"/>
    <s v="REPRESENTACIÓN &quot;&quot;LAS AVENTURAS DE CHARLOT&quot;&quot; PROGRAMA &quot;&quot;EN JUNIO LA ESGUEVA 2021&quot;&quot;"/>
    <s v="220"/>
    <s v="ALDEA DE SAN MIGUEL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50522"/>
    <s v="AD"/>
    <d v="2021-09-01T00:00:00"/>
    <n v="22021006301"/>
    <s v="2021 10 2311 212"/>
    <n v="162.9"/>
    <x v="270"/>
    <s v="Compra de material de pintura para vivienda C/ Vinos de Rueda nº 22, 1º M.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36847"/>
    <s v="AD"/>
    <d v="2021-07-12T00:00:00"/>
    <n v="22021005624"/>
    <s v="2021 03 9200 22602"/>
    <n v="1750"/>
    <x v="398"/>
    <s v="CONTRATACIÓN DE ESPACIOS EN RADIO PARA DIFUSIÓN DEL PROCESO PRESUPUESTOS PARTICIPATIVOS 21-22 (290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40149"/>
    <s v="D"/>
    <d v="2021-07-19T00:00:00"/>
    <n v="22021002056"/>
    <s v="2021 11 1631 22110"/>
    <n v="736.59"/>
    <x v="285"/>
    <s v="AC MARCO EXP V36-2017: BONDERITE C-MC 12110 DESENGRASANTE LAVADO VEHICULOS //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3939"/>
    <s v="D"/>
    <d v="2021-07-28T00:00:00"/>
    <n v="22021003381"/>
    <s v="2021 11 1361 22199"/>
    <n v="573.38"/>
    <x v="285"/>
    <s v="ACUERDO MARCO EXPTE.:V.36_2017; LOTE 1; SUMINISTROS INDUSTRIALES PARA EL SERVICIO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0159"/>
    <s v="D"/>
    <d v="2021-07-19T00:00:00"/>
    <n v="22021002048"/>
    <s v="2021 11 1621 214"/>
    <n v="569.66999999999996"/>
    <x v="285"/>
    <s v="AC MARCO EXP V36-2017: SUMINISTRO DE DIFERENTES REPUESTOS  /////  DESTINO: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0172"/>
    <s v="D"/>
    <d v="2021-07-19T00:00:00"/>
    <n v="22021001968"/>
    <s v="2021 11 1321 22199"/>
    <n v="65.739999999999995"/>
    <x v="285"/>
    <s v="ACUERDO MARCO. SUMINISTRO REMACHE ALUMINIO/ALUMINIO GESIPA // POLICÍA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4016"/>
    <s v="D"/>
    <d v="2021-07-28T00:00:00"/>
    <n v="22021001275"/>
    <s v="2021 07 1711 22199"/>
    <n v="0.77"/>
    <x v="285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3599"/>
    <s v="D"/>
    <d v="2021-09-13T00:00:00"/>
    <n v="22021002056"/>
    <s v="2021 11 1631 22110"/>
    <n v="1507.42"/>
    <x v="285"/>
    <s v="DESENGRASANTE MANTENIMIENTO / DESENGRASANTE USO GENERAL // MES AGOSTO. AM EXP V36-2017 SERVICIO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8721"/>
    <s v="D"/>
    <d v="2021-08-20T00:00:00"/>
    <n v="22021002056"/>
    <s v="2021 11 1631 22110"/>
    <n v="917.18"/>
    <x v="285"/>
    <s v="AC MARCO EXP V36-2017: SUMINISTRO DESENGRASANT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7864"/>
    <s v="D"/>
    <d v="2021-08-17T00:00:00"/>
    <n v="22021002133"/>
    <s v="2021 08 1651 22199"/>
    <n v="774.67"/>
    <x v="285"/>
    <s v="ROLLO DE FLEJE LISO NORMETA 12,7X0,70 NORMA  (10)  / CIERRE NORMETTA NB-D12 (caja 100 unds) (4) //// ALUMBRADO PUBL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651"/>
    <s v="1651. Alumbrado público"/>
    <s v="22"/>
    <s v="22199"/>
  </r>
  <r>
    <n v="220210053586"/>
    <s v="D"/>
    <d v="2021-09-13T00:00:00"/>
    <n v="22021002052"/>
    <s v="2021 11 1621 22199"/>
    <n v="220.01"/>
    <x v="285"/>
    <s v="AC MARCO EXP V36-2017: SUMINISTROS VARIOS PARA 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8713"/>
    <s v="D"/>
    <d v="2021-08-20T00:00:00"/>
    <n v="22021002052"/>
    <s v="2021 11 1621 22199"/>
    <n v="156.99"/>
    <x v="285"/>
    <s v="AC MARCO EXP V36-2017: SUMINISTROS VARIOS PARA EL SERVICIO DEL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36841"/>
    <s v="AD"/>
    <d v="2021-07-12T00:00:00"/>
    <n v="22021005180"/>
    <s v="2021 04 9202 22607"/>
    <n v="54.99"/>
    <x v="957"/>
    <s v="RECUPERACIÓN DATOS DE DOS DISCOS, OPOSICIÓN 3 DELINEANTES."/>
    <s v="22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51188"/>
    <s v="D"/>
    <d v="2021-09-09T00:00:00"/>
    <n v="22021002132"/>
    <s v="2021 08 1532 210"/>
    <n v="1195.29"/>
    <x v="782"/>
    <s v="BALDOSA COLEGIATA 40X20X6 BLANCA // BALDOSA COLEGIATA 40X20X6 VERDE // PALETS DE MADERA"/>
    <s v="300"/>
    <s v="TORO"/>
    <s v="ZAMORA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1249"/>
    <s v="AD"/>
    <d v="2021-09-09T00:00:00"/>
    <n v="22021006286"/>
    <s v="2021 08 1532 619"/>
    <n v="284.04000000000002"/>
    <x v="368"/>
    <s v="Estudio Seguridad ySalud Actualización de Proyecto &quot;&quot;Seguridad vial, mejora del firme, señalización antigua N-620&quot;&quot;.-"/>
    <s v="220"/>
    <s v="VALLADOLID"/>
    <s v="VALLADOLID"/>
    <x v="0"/>
    <s v="PrAbier - Procedimiento Abierto"/>
    <s v="SinC - Sin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4261"/>
    <s v="AD"/>
    <d v="2021-07-29T00:00:00"/>
    <n v="22021005877"/>
    <s v="2021 09 3341 632"/>
    <n v="6023.27"/>
    <x v="958"/>
    <s v="DIRECCION FACULTATIVA Y DE EJECUCION OBRA DE ADECUACION DEL ESPACIO MARCELINA PONCELA COMO CENTRO RESTAURACION. AÑO 2021"/>
    <s v="220"/>
    <s v="VALLADOLID"/>
    <s v="VALLADOLID"/>
    <x v="0"/>
    <s v="AdDirec - Adjudicación Directa"/>
    <s v="SinC - Sin Criterio"/>
    <x v="0"/>
    <x v="2"/>
    <s v="6"/>
    <s v="6. Inversiones reales"/>
    <s v="09"/>
    <x v="1"/>
    <s v="3341"/>
    <s v="3341. Coordinación de políticas culturales"/>
    <s v="63"/>
    <s v="632"/>
  </r>
  <r>
    <n v="220210054485"/>
    <s v="AD"/>
    <d v="2021-09-14T00:00:00"/>
    <n v="22021006419"/>
    <s v="2021 10 2316 22616"/>
    <n v="150"/>
    <x v="929"/>
    <s v="Ponencia de José Miguel Morales, Director Gral de Andalucía Acoge jornada técnica de la XVIII Semana Intercultural"/>
    <s v="220"/>
    <s v="SEVILLA"/>
    <s v="SEVILLA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3808"/>
    <s v="AD"/>
    <d v="2021-07-27T00:00:00"/>
    <n v="22021005809"/>
    <s v="2021 03 9241 22609"/>
    <n v="499.4"/>
    <x v="959"/>
    <s v="ACTUACIÓN &quot;&quot;EL CIRCO DE LAS RANAS&quot;&quot; EN CC J.M. LUELMO 30/05/2021"/>
    <s v="220"/>
    <s v="BERLANGA DE DUERO"/>
    <s v="SORIA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39399"/>
    <s v="AD"/>
    <d v="2021-07-15T00:00:00"/>
    <n v="22021005573"/>
    <s v="2021 05 4314 22706"/>
    <n v="6655"/>
    <x v="643"/>
    <s v="CONTRATACION DE REDACCIÓN DE PROYECTO Y DIRECCIÓN FACULTATIVA DE LAS OBRAS DE REPARACION DE LAS ESCALERAS DEL M DELICIAS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14"/>
    <s v="4314. Fomento del comercio"/>
    <s v="22"/>
    <s v="22706"/>
  </r>
  <r>
    <n v="220210056352"/>
    <s v="AD"/>
    <d v="2021-09-15T00:00:00"/>
    <n v="22021006363"/>
    <s v="2021 07 1711 619"/>
    <n v="265.51"/>
    <x v="368"/>
    <s v="COORDINACION SEGURIDAD Y SALUD EJECUCIÓN FIRME DE LOS CAMINOS DEL NUEVO BOSQUE URBANO DE SANTA ANA V.6/2020 LOTE 1 PS22."/>
    <s v="220"/>
    <s v="VALLADOLID"/>
    <s v="VALLADOLID"/>
    <x v="0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54491"/>
    <s v="AD"/>
    <d v="2021-09-14T00:00:00"/>
    <n v="22021006399"/>
    <s v="2021 10 2311 213"/>
    <n v="145.19999999999999"/>
    <x v="263"/>
    <s v="Mantenimiento de medidas de seguridad (alarmas) en el local sito en Calle Pato 3. De julio a diciembre de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43813"/>
    <s v="AD"/>
    <d v="2021-07-27T00:00:00"/>
    <n v="22021005793"/>
    <s v="2021 03 9241 22199"/>
    <n v="200"/>
    <x v="960"/>
    <s v="Material suministrado por copisteria Totem: 2º premio concurso ideas mejora CC JL Mosquera colab. con Arquitectura UVA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199"/>
  </r>
  <r>
    <n v="220210045543"/>
    <s v="AD"/>
    <d v="2021-08-06T00:00:00"/>
    <n v="22021005783"/>
    <s v="2021 06 2314 22799"/>
    <n v="7260"/>
    <x v="961"/>
    <s v="TALA Y SANEAMIENTO URGENTE DE PINOS EN LA ZONA RECREATIVA PINAR DE ANTEQUERA 15 DIAS"/>
    <s v="220"/>
    <s v="VIANA DE CEGA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799"/>
  </r>
  <r>
    <n v="220210036875"/>
    <s v="AD"/>
    <d v="2021-07-13T00:00:00"/>
    <n v="22021005653"/>
    <s v="2021 03 9200 22602"/>
    <n v="1250"/>
    <x v="962"/>
    <s v="CONTRATACIÓN ESPACIO MEDIO COMUNICACIÓN RADIO PROCESO PRESUPUESTOS PARTICIPATIVOS 21-22 (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37249"/>
    <s v="AD"/>
    <d v="2021-07-14T00:00:00"/>
    <n v="22021004904"/>
    <s v="2021 10 2316 22799"/>
    <n v="11495"/>
    <x v="281"/>
    <s v="ORGANIZACIÓN Y GESTIÓN DE VARIAS ACTIVIDADES CULTURALES. XVIIISEMANA INTERCULTURAL. 21JUNIO A 5 JULIO 2021"/>
    <s v="220"/>
    <s v="SANTOVENIA DE PISUERGA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799"/>
  </r>
  <r>
    <n v="220210046279"/>
    <s v="AD"/>
    <d v="2021-08-11T00:00:00"/>
    <n v="22021005918"/>
    <s v="2021 06 3232 212"/>
    <n v="15860.93"/>
    <x v="730"/>
    <s v="CONTRATO DE OBRAS PARA REPARACIÓN Y SUSTITUCIÓN DE PUERTAS DE MADERA EN EL CEIP FRAY LUIS DE LEON. PLAZO UN MES."/>
    <s v="220"/>
    <s v="VALLADOLID"/>
    <s v="VALLADOLID"/>
    <x v="2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517"/>
    <s v="AD"/>
    <d v="2021-08-20T00:00:00"/>
    <n v="22021004921"/>
    <s v="2021 06 2314 22799"/>
    <n v="140.79"/>
    <x v="159"/>
    <s v="GESTIÓN DE RESIDUOS AREA RECREATIVA PINAR DE ANTEQUERA (CIRCULO CAMPESTRE)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799"/>
  </r>
  <r>
    <n v="220210051241"/>
    <s v="AD"/>
    <d v="2021-09-09T00:00:00"/>
    <n v="22021006435"/>
    <s v="2021 03 9241 212"/>
    <n v="128.91"/>
    <x v="139"/>
    <s v="MATERIALES PARA TRABAJOS DE PINTURA EN CC JOSÉ M. LUELMO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43791"/>
    <s v="D"/>
    <d v="2021-07-27T00:00:00"/>
    <n v="22021003312"/>
    <s v="2021 04 9204 216"/>
    <n v="3900"/>
    <x v="963"/>
    <s v="SOFTWARE DE ESCÁNERES PARA PROYECTOS DE DIGITALIZACIÓN DE ALTA PRODUCCIÓN, LOTE 10"/>
    <s v="300"/>
    <s v="MADRID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43987"/>
    <s v="D"/>
    <d v="2021-07-28T00:00:00"/>
    <n v="22021002601"/>
    <s v="2021 06 3321 629"/>
    <n v="3851.07"/>
    <x v="814"/>
    <s v="SUMINISTRO DE DIFERENTES TÍTULOS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3985"/>
    <s v="D"/>
    <d v="2021-07-28T00:00:00"/>
    <n v="22021002602"/>
    <s v="2021 06 3321 629"/>
    <n v="3273.14"/>
    <x v="814"/>
    <s v="SUMINISTRO DE DIFERENTES TÍTULOS EN DVD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3991"/>
    <s v="D"/>
    <d v="2021-07-28T00:00:00"/>
    <n v="22021002601"/>
    <s v="2021 06 3321 629"/>
    <n v="3816.86"/>
    <x v="378"/>
    <s v="VARIEDAD DE LIBROS PARA LAS BIBLIOTECAS MUNICIPALES // ALBARANES DEL MES DE JUNIO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9798"/>
    <s v="D"/>
    <d v="2021-08-25T00:00:00"/>
    <n v="22021002601"/>
    <s v="2021 06 3321 629"/>
    <n v="17.77"/>
    <x v="378"/>
    <s v="1 EJEMPLAR DE &quot;&quot;LAS IMPERFECTAS&quot;&quot; PARA BIBLIOTECAS MUNICIPALES. JULIO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36189"/>
    <s v="AD"/>
    <d v="2021-07-06T00:00:00"/>
    <n v="22021004935"/>
    <s v="2021 11 3111 22706"/>
    <n v="3440.94"/>
    <x v="302"/>
    <s v="CUSTODIA Y CUIDADO DE 15 GALLOS PELEA"/>
    <s v="220"/>
    <s v="ASTORGA"/>
    <s v="LEON"/>
    <x v="0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2"/>
    <s v="22706"/>
  </r>
  <r>
    <n v="220210040094"/>
    <s v="D"/>
    <d v="2021-07-19T00:00:00"/>
    <n v="22021001967"/>
    <s v="2021 11 1321 214"/>
    <n v="651.42999999999995"/>
    <x v="303"/>
    <s v="ACUERDO  MARCO. SUM.  CORREA/ BOMBA/ RESTAURADOR FAROS / MOTOR/ LIMPIA FRENOS/ CANÓN/ FILTROS/ TENSOR/ CINTA/ BARR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7014"/>
    <s v="D"/>
    <d v="2021-08-13T00:00:00"/>
    <n v="22021002048"/>
    <s v="2021 11 1621 214"/>
    <n v="208.73"/>
    <x v="303"/>
    <s v="ac marco exp. v36-2017: ADQUISICION EXTINTORES 2KG (5 UNIDADES) PARA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0119"/>
    <s v="D"/>
    <d v="2021-08-27T00:00:00"/>
    <n v="22021001967"/>
    <s v="2021 11 1321 214"/>
    <n v="388.18"/>
    <x v="303"/>
    <s v="ACUERDO MARCO. SUMINISTRO MATERIAL PARA TALLER DE REPARACIÓN DE VEHÍ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8696"/>
    <s v="D"/>
    <d v="2021-08-20T00:00:00"/>
    <n v="22021002052"/>
    <s v="2021 11 1621 22199"/>
    <n v="203.28"/>
    <x v="303"/>
    <s v="AC MARCO EXP V36-2017: SUMINISTROS INDUSTRIALES PARA 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3955"/>
    <s v="D"/>
    <d v="2021-07-28T00:00:00"/>
    <n v="22021001967"/>
    <s v="2021 11 1321 214"/>
    <n v="137.29"/>
    <x v="304"/>
    <s v="ACUERDO MARCO. SUMINISTRO MATERIALES PARA TALLER DE REPARACIÓN DE VEHÍCULOS DE POLICÍ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0107"/>
    <s v="D"/>
    <d v="2021-07-19T00:00:00"/>
    <n v="22021002049"/>
    <s v="2021 11 1621 22103"/>
    <n v="3483.11"/>
    <x v="304"/>
    <s v="AC MARCO EXP V36-2017: SUMINISTRO LUBRICANTES MOTORES Y CIRCUITOS HIDRÁULICOS VEHÍCULOS Sº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0111"/>
    <s v="D"/>
    <d v="2021-07-19T00:00:00"/>
    <n v="22021002049"/>
    <s v="2021 11 1621 22103"/>
    <n v="578.99"/>
    <x v="304"/>
    <s v="AC MARCO EXP V36-2017: ADBLUE A GRANEL (1.450 m3) VEHIUCLOS Sº LIMPIEZA  // MES JUNI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0109"/>
    <s v="D"/>
    <d v="2021-07-19T00:00:00"/>
    <n v="22021002049"/>
    <s v="2021 11 1621 22103"/>
    <n v="363"/>
    <x v="304"/>
    <s v="AC MARCO EXP V36-2017: DYNAMIC-GRASA DYNAKOTE EP-00 EC 18 K (4 UNIDADES) VEHICULOS SERVICIO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0098"/>
    <s v="D"/>
    <d v="2021-07-19T00:00:00"/>
    <n v="22021001967"/>
    <s v="2021 11 1321 214"/>
    <n v="253.31"/>
    <x v="304"/>
    <s v="ACUERDO MARCO. FADEIN MEGAGEL/ DESCONECTADOR BATERÍA/ ESCOBILLA LIMPIAPARABRISAS/ LIMPIADOR DE FRENOS/ MOTUL-C4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36769"/>
    <s v="D"/>
    <d v="2021-07-09T00:00:00"/>
    <n v="22021001967"/>
    <s v="2021 11 1321 214"/>
    <n v="151.86000000000001"/>
    <x v="304"/>
    <s v="ACUERDO MARCO.  SUMINISTRO  LLANTAS 500 ML (2) // BATERIA VARTA SILVER AGM 70 A 760EN TALLER REPARACIÓN VEHÍCULOS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5169"/>
    <s v="D"/>
    <d v="2021-08-03T00:00:00"/>
    <n v="22021002049"/>
    <s v="2021 11 1621 22103"/>
    <n v="578.99"/>
    <x v="304"/>
    <s v="AC MARCO EXP V36-2017: ADBLUE A GRANEL (1450 LITROS)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5165"/>
    <s v="D"/>
    <d v="2021-08-03T00:00:00"/>
    <n v="22021002048"/>
    <s v="2021 11 1621 214"/>
    <n v="556.6"/>
    <x v="304"/>
    <s v="AC MARCO EXP V36-2017: -ANTICONGELANTE 3000 50% 185 K (2 UNIDADES)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5167"/>
    <s v="D"/>
    <d v="2021-08-03T00:00:00"/>
    <n v="22021002048"/>
    <s v="2021 11 1621 214"/>
    <n v="265.58"/>
    <x v="304"/>
    <s v="AC MARCO EXP V36-2017: FILTROS HIDRÁULICOS PARA VEHICULOS SERV.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513"/>
    <s v="D"/>
    <d v="2021-09-13T00:00:00"/>
    <n v="22021002049"/>
    <s v="2021 11 1621 22103"/>
    <n v="1903.57"/>
    <x v="304"/>
    <s v="AC MARCO EXP V36-2017: SUMINISTRO LUBICANTE HIDRÁULICO PARA VEHICULOS DEL SERV. DE LIMPIEZA // AGOST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8709"/>
    <s v="D"/>
    <d v="2021-08-20T00:00:00"/>
    <n v="22021002049"/>
    <s v="2021 11 1621 22103"/>
    <n v="1432.34"/>
    <x v="304"/>
    <s v="ADITIVOS GASOIL VEHIUCLOS: AK-ADIGAS 6 CTN 25 L (2 UDS) // KLINER FUNGY OIL B2B OPACA BLANCA 25L (SERVICIO DE LIMPIEZA)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53509"/>
    <s v="D"/>
    <d v="2021-09-13T00:00:00"/>
    <n v="22021002049"/>
    <s v="2021 11 1621 22103"/>
    <n v="938.36"/>
    <x v="304"/>
    <s v="AC MARCO EXP V36-2017: ADBLUE A GRANEL (1.300) / ADBLUE A GRANEL (1.050) // VEHICULOS SERVICIO DE LIMPIEZA // AGOST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49875"/>
    <s v="D"/>
    <d v="2021-08-25T00:00:00"/>
    <n v="22021001967"/>
    <s v="2021 11 1321 214"/>
    <n v="649.30999999999995"/>
    <x v="304"/>
    <s v="ACUERDO MARCO. SUMINISTRO MATERIALES PARA TALLER DE REPARACIÓN DE VEHÍCULOS DE  POLICIA MPAL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128"/>
    <s v="D"/>
    <d v="2021-08-27T00:00:00"/>
    <n v="22021001967"/>
    <s v="2021 11 1321 214"/>
    <n v="387.01"/>
    <x v="304"/>
    <s v="ACUERDO MARCO. SUMINISTRO TALLER REPARACIÓN VEHÍ.  BATERIA VARTA  (2) / MOTUL-7100 (4) / APORTACIÓN SIGAUS (4) POLICÍ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8701"/>
    <s v="D"/>
    <d v="2021-08-20T00:00:00"/>
    <n v="22021002048"/>
    <s v="2021 11 1621 214"/>
    <n v="85.85"/>
    <x v="304"/>
    <s v="AC MARCO EXP V36-2017: FILTRO HIDRAULICO SH-67371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36304"/>
    <s v="AD"/>
    <d v="2021-07-07T00:00:00"/>
    <n v="22021005328"/>
    <s v="2021 08 1532 22104"/>
    <n v="1352"/>
    <x v="964"/>
    <s v="Suministro de gafas de protección graduadas. 4 monturas con lentes monofocales y 4 monturas con lentes progresivas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104"/>
  </r>
  <r>
    <n v="220210049800"/>
    <s v="D"/>
    <d v="2021-08-25T00:00:00"/>
    <n v="22021002601"/>
    <s v="2021 06 3321 629"/>
    <n v="1345.59"/>
    <x v="756"/>
    <s v="LIBROS PARA LAS BIBLIOTECAS PÚBLICAS // LIBRERÍA PAPIRO. JULIO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36307"/>
    <s v="AD"/>
    <d v="2021-07-07T00:00:00"/>
    <n v="22021005178"/>
    <s v="2021 03 9241 212"/>
    <n v="210.06"/>
    <x v="268"/>
    <s v="METACRILATO BURDEOS PARA CC ZONA SUR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45356"/>
    <s v="AD"/>
    <d v="2021-08-04T00:00:00"/>
    <n v="22021005875"/>
    <s v="2021 10 2412 213"/>
    <n v="123.42"/>
    <x v="268"/>
    <s v="METACRILATO PARA REPARAR LOS CARROS DEL JACINTO BENAVENTE DEL CENTRO DEF ORMACION PARA EL EMPLEO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1"/>
    <s v="213"/>
  </r>
  <r>
    <n v="220210054486"/>
    <s v="AD"/>
    <d v="2021-09-14T00:00:00"/>
    <n v="22021006428"/>
    <s v="2021 11 1361 22199"/>
    <n v="216.37"/>
    <x v="965"/>
    <s v="15 collarines para adulto STIFNECK; Servicio de Extinción de Incendios, Salvamento y Protección Civil."/>
    <s v="220"/>
    <s v="SAN SEBASTIAN DE LOS REYES"/>
    <s v="MADR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45562"/>
    <s v="AD"/>
    <d v="2021-08-06T00:00:00"/>
    <n v="22021005901"/>
    <s v="2021 11 1621 212"/>
    <n v="3031.59"/>
    <x v="638"/>
    <s v="REPARACION SOLERA DUCHAS VESTUARIO PERSONAL MASCULINO EN C/ TOPACIO 63. SERVICIO DE LIMPIEZA."/>
    <s v="23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2"/>
  </r>
  <r>
    <n v="220210056301"/>
    <s v="AD"/>
    <d v="2021-09-15T00:00:00"/>
    <n v="22021006507"/>
    <s v="2021 06 3231 213"/>
    <n v="200"/>
    <x v="236"/>
    <s v="SUMINISTRO DE PVC FLEX PARA LA INSTALACION DE PROTECTORES DE PUERTAS QUE SE DISTRIBUIRAN POR LAS E.I.M. 2021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1"/>
    <s v="3231. Escuelas infantiles"/>
    <s v="21"/>
    <s v="213"/>
  </r>
  <r>
    <n v="220210036217"/>
    <s v="AD"/>
    <d v="2021-07-06T00:00:00"/>
    <n v="22021005076"/>
    <s v="2021 04 3121 623"/>
    <n v="2904"/>
    <x v="367"/>
    <s v="Adquis. dos aparatos magnetoterapia Iacer I-Tech Mag2000 para tratamientos de electroterapia en empleados. Salud Laboral"/>
    <s v="220"/>
    <s v="VALDESTILLAS"/>
    <s v="VALLADOLID"/>
    <x v="1"/>
    <s v="AdDirec - Adjudicación Directa"/>
    <s v="SinC - Sin Criterio"/>
    <x v="0"/>
    <x v="2"/>
    <s v="6"/>
    <s v="6. Inversiones reales"/>
    <s v="04"/>
    <x v="3"/>
    <s v="3121"/>
    <s v="3121. Prevención y salud laboral"/>
    <s v="62"/>
    <s v="623"/>
  </r>
  <r>
    <n v="220210043798"/>
    <s v="AD"/>
    <d v="2021-07-27T00:00:00"/>
    <n v="22021005704"/>
    <s v="2021 09 3341 632"/>
    <n v="4572.28"/>
    <x v="966"/>
    <s v="CONTRATO MENOR SUMINISTRO E INSTALACION PUERTA CORREDERA ENTRADA PRINCIPAL CENTRO GALERIAS VALLADOLID"/>
    <s v="220"/>
    <s v="SANT CUGAT DEL VALLES"/>
    <s v="BARCELONA"/>
    <x v="1"/>
    <s v="AdDirec - Adjudicación Directa"/>
    <s v="SinC - Sin Criterio"/>
    <x v="0"/>
    <x v="2"/>
    <s v="6"/>
    <s v="6. Inversiones reales"/>
    <s v="09"/>
    <x v="1"/>
    <s v="3341"/>
    <s v="3341. Coordinación de políticas culturales"/>
    <s v="63"/>
    <s v="632"/>
  </r>
  <r>
    <n v="220210051116"/>
    <s v="D"/>
    <d v="2021-09-09T00:00:00"/>
    <n v="22021002602"/>
    <s v="2021 06 3321 629"/>
    <n v="2966.07"/>
    <x v="755"/>
    <s v="SUMINISTRO DE DIFERENTES TÍTULOS //// PARA BIBLIOTECAS PUBLICAS MUNICIPALES. AGOSTO"/>
    <s v="300"/>
    <s v="VALLADOLID"/>
    <s v="VALLADOLID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37248"/>
    <s v="AD"/>
    <d v="2021-07-14T00:00:00"/>
    <n v="22021005560"/>
    <s v="2021 04 9202 22607"/>
    <n v="2928.2"/>
    <x v="803"/>
    <s v="PRUEBAS PSICOTÉCNICAS PARA LA PROVISIÓN DE 20 AGENTES DE LA P.M. -mjsi."/>
    <s v="22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36184"/>
    <s v="AD"/>
    <d v="2021-07-06T00:00:00"/>
    <n v="22021005329"/>
    <s v="2021 04 9202 22607"/>
    <n v="36.299999999999997"/>
    <x v="803"/>
    <s v="ENTREVISTA PERSONAL CON ASPIRANTE A PROMOCIÓN INTERNA PLAZAS SUBINSPECTOR POLICÍA MUNICIPAL. PRUEBA PSICOTÉCNICA."/>
    <s v="220"/>
    <s v="VALLADOLID"/>
    <s v="VALLADOLID"/>
    <x v="4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43805"/>
    <s v="AD"/>
    <d v="2021-07-27T00:00:00"/>
    <n v="22021005804"/>
    <s v="2021 03 9241 22609"/>
    <n v="544.5"/>
    <x v="394"/>
    <s v="ESPECTÁCULO EN LA OVERUELA 13/06/2021 MFS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38353"/>
    <s v="AD"/>
    <d v="2021-07-15T00:00:00"/>
    <n v="22021004782"/>
    <s v="2021 06 2315 22799"/>
    <n v="133.1"/>
    <x v="591"/>
    <s v="DISEÑO DE CARTELERÍA, ROLLUP, INSTAGRAM, MANIFIESTO Y MOCHILA PARA CAMPAÑA LGTBI 2021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799"/>
  </r>
  <r>
    <n v="220210050516"/>
    <s v="AD"/>
    <d v="2021-09-01T00:00:00"/>
    <n v="22021006189"/>
    <s v="2021 06 3232 212"/>
    <n v="200"/>
    <x v="967"/>
    <s v="SUMINISTRO DE PIEDRA PARA REVESTIMIENTOS EN COLEGIOS PÚBLICOS POR PARTE DEL CENTRO DE MANTENIMIENTO- 2021"/>
    <s v="220"/>
    <s v="PEÑAFIEL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5363"/>
    <s v="AD"/>
    <d v="2021-08-05T00:00:00"/>
    <n v="22021005558"/>
    <s v="2021 06 2315 22619"/>
    <n v="15691.36"/>
    <x v="624"/>
    <s v="REAJUSTE ANUALIDADES CONTRATO DE SERVICIOS DE GESTION Y DESARROLLO DE LAS ACTIVIDADES INFANTILES EN EPOCA DE VACACIONES"/>
    <s v="220"/>
    <s v="ARROYO DE LA ENCOMIENDA"/>
    <s v="VALLADOLID"/>
    <x v="0"/>
    <s v="PrAbier - Procedimiento Abierto"/>
    <s v="MultiC - MultiCriterio"/>
    <x v="1"/>
    <x v="2"/>
    <s v="2"/>
    <s v="2. Gastos corrientes en bienes y servicios"/>
    <s v="06"/>
    <x v="0"/>
    <s v="2315"/>
    <s v="2315. Políticas de Igualdad e infancia"/>
    <s v="22"/>
    <s v="22619"/>
  </r>
  <r>
    <n v="220210053597"/>
    <s v="D"/>
    <d v="2021-09-13T00:00:00"/>
    <n v="22021002374"/>
    <s v="2021 02 9332 212"/>
    <n v="1252.06"/>
    <x v="314"/>
    <s v="MATERIALES PARA SALA PLENOS DEL AYTO/ CERRAMIENTO ALMACÉN/ PATRIMONIO/ SAN BENITO, OFICINA 4/ CTRO DE PROYECT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1121"/>
    <s v="D"/>
    <d v="2021-09-09T00:00:00"/>
    <n v="22021004276"/>
    <s v="2021 09 3341 213"/>
    <n v="278.58999999999997"/>
    <x v="314"/>
    <s v="TIRAFONDOS/ TABLERO/ GUIAS CAJÓN/ TIRADOR/ RECHAPADO/ JAMBA PINO (GALERIAS VALLADOLID)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1"/>
    <s v="3341"/>
    <s v="3341. Coordinación de políticas culturales"/>
    <s v="21"/>
    <s v="213"/>
  </r>
  <r>
    <n v="220210048773"/>
    <s v="D"/>
    <d v="2021-08-20T00:00:00"/>
    <n v="22021002006"/>
    <s v="2021 11 3111 22199"/>
    <n v="192"/>
    <x v="314"/>
    <s v="MELANINA PORO/ TACON PREENCOLADO/ PERFIL PINO/ CANTO PVC/ TIRADOR/ GUIAS CAJÓN/ RUEDA GIRATORIA (SALUD PÚBLIC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53453"/>
    <s v="D"/>
    <d v="2021-09-13T00:00:00"/>
    <n v="22021001038"/>
    <s v="2021 10 2312 212"/>
    <n v="107.26"/>
    <x v="314"/>
    <s v="MANT,SUMINISTROS DE PLETINA PVC/ RODAPIE/ MELAMINA/ TIRAFONDOS (CPM HTA DEL REY  Y PTE COLGANTE)DURAC 1 DIA.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9788"/>
    <s v="D"/>
    <d v="2021-08-25T00:00:00"/>
    <n v="22021002227"/>
    <s v="2021 06 3321 212"/>
    <n v="57.6"/>
    <x v="314"/>
    <s v="TABLERO OKUMEN 7 MM (BIBLOTECA FRANCISCO PINO)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50161"/>
    <s v="D"/>
    <d v="2021-08-27T00:00:00"/>
    <n v="22021004466"/>
    <s v="2021 10 2311 212"/>
    <n v="42.4"/>
    <x v="314"/>
    <s v="F-8946. MARINO DE LA FUENTE. CERRADURA 2030/HN CANTO REDONDO (CENTRO INTEGRADO)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0624"/>
    <s v="D"/>
    <d v="2021-09-02T00:00:00"/>
    <n v="22021002088"/>
    <s v="2021 03 9241 212"/>
    <n v="28.75"/>
    <x v="314"/>
    <s v="ALBARAN DE ENTREGA VA21/3501: MANILLA (1 UD) // CENTRO INTEGRADO ZONA ESTE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53453"/>
    <s v="D"/>
    <d v="2021-09-13T00:00:00"/>
    <n v="22021001039"/>
    <s v="2021 10 2312 212"/>
    <n v="7.88"/>
    <x v="314"/>
    <s v="MANT,SUMINISTROS DE PLETINA PVC/ RODAPIE/ MELAMINA/ TIRAFONDOS (CPM HTA DEL REY  Y PTE COLGANTE)DURAC 1 DIA.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39698"/>
    <s v="AD"/>
    <d v="2021-07-16T00:00:00"/>
    <n v="22021005755"/>
    <s v="2021 11 1361 213"/>
    <n v="1815"/>
    <x v="968"/>
    <s v="DESARROLLO SISTEMA GEOPOSICIONAMIENTO EN BASE FILMAKER Y REPARACIÓN SIRENA MARTIN HORNER EN AEA-10//EXTINCION INCENDIOS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1"/>
    <s v="213"/>
  </r>
  <r>
    <n v="220210048443"/>
    <s v="AD"/>
    <d v="2021-08-19T00:00:00"/>
    <n v="22021006045"/>
    <s v="2021 06 3231 632"/>
    <n v="105.46"/>
    <x v="0"/>
    <s v="COORDINACION SEGURIDAD Y SALUD PARA LA OBRA DE REPARACION SOLERA Y ZONA DE CUBIERTA EIM CAMPANILLA"/>
    <s v="220"/>
    <s v="VALLADOLID"/>
    <s v="VALLADOLID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39688"/>
    <s v="AD"/>
    <d v="2021-07-16T00:00:00"/>
    <n v="22021005731"/>
    <s v="2021 03 9241 22602"/>
    <n v="704.34"/>
    <x v="380"/>
    <s v="CARTELES Y FLYERS PARA VOTACIONES PRESUPUESTOS PARTICIPATIVOS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2"/>
  </r>
  <r>
    <n v="220210036306"/>
    <s v="AD"/>
    <d v="2021-07-07T00:00:00"/>
    <n v="22021005179"/>
    <s v="2021 03 9241 22602"/>
    <n v="568.07000000000005"/>
    <x v="380"/>
    <s v="MUPIS (26 uds.) Y 100 CARTELES A3 COLOR. PRESUPUESTOS PARTICIPATIVOS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2"/>
  </r>
  <r>
    <n v="220210045555"/>
    <s v="AD"/>
    <d v="2021-08-06T00:00:00"/>
    <n v="22021005994"/>
    <s v="2021 03 9241 22602"/>
    <n v="99.99"/>
    <x v="380"/>
    <s v="IMPRESIÓN A COLOR EN LONA 100 x 200 cm CON ESTRUCTURA ROLL-UP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2"/>
  </r>
  <r>
    <n v="220210043785"/>
    <s v="D"/>
    <d v="2021-07-27T00:00:00"/>
    <n v="22021003333"/>
    <s v="2021 04 9204 641"/>
    <n v="20831.64"/>
    <x v="969"/>
    <s v="SISTEMA DE GESTIÓN DE PERSONAL Y NÓMINA: LICENCIAS MET4MIND SECTOR PÚBLICO, LOTE 4"/>
    <s v="300"/>
    <s v="LAS ROZAS"/>
    <s v="MADRID"/>
    <x v="1"/>
    <s v="PrAbier - Procedimiento Abierto"/>
    <s v="UniC - Único Criterio"/>
    <x v="1"/>
    <x v="2"/>
    <s v="6"/>
    <s v="6. Inversiones reales"/>
    <s v="04"/>
    <x v="3"/>
    <s v="9204"/>
    <s v="9204. Tecnologías de la información y comunicación"/>
    <s v="64"/>
    <s v="641"/>
  </r>
  <r>
    <n v="220210043790"/>
    <s v="D"/>
    <d v="2021-07-27T00:00:00"/>
    <n v="22021003310"/>
    <s v="2021 04 9204 216"/>
    <n v="3773.26"/>
    <x v="495"/>
    <s v="GESTOR DE BASES DE DATOS DOCUMENTALES DEL ARCHIVO MUNICIPAL -KNOSYS, LOTE 9"/>
    <s v="300"/>
    <s v="SAN SEBASTIAN DE LOS REYES"/>
    <s v="MADRID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1"/>
    <s v="216"/>
  </r>
  <r>
    <n v="220210044268"/>
    <s v="AD"/>
    <d v="2021-07-29T00:00:00"/>
    <n v="22021005892"/>
    <s v="2021 10 2316 22616"/>
    <n v="363"/>
    <x v="970"/>
    <s v="Concierto joven cantante Estrella Mendoza, espacio joven el día 25 de junio de 2021.XVIII Semana Intercultural"/>
    <s v="220"/>
    <s v="MURCIA"/>
    <s v="MURCIA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3807"/>
    <s v="AD"/>
    <d v="2021-07-27T00:00:00"/>
    <n v="22021005808"/>
    <s v="2021 03 9241 213"/>
    <n v="1437.48"/>
    <x v="318"/>
    <s v="SERVICIOS TECNICOS DE REPARACION DISTINTOS CENTROS DEL SERVICIO DE PARTICIPACIÓN CIUDADANA"/>
    <s v="220"/>
    <s v="MADRID"/>
    <s v="MADR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3"/>
  </r>
  <r>
    <n v="220210045361"/>
    <s v="AD"/>
    <d v="2021-08-05T00:00:00"/>
    <n v="22021005097"/>
    <s v="2021 03 9241 22799"/>
    <n v="35420.46"/>
    <x v="318"/>
    <s v="PRÓRROGA CONTRATO ASISTENCIA DE EQUIPOS AUDIOVISUALES (DEL 4/10/2021 AL 31/12/2021)"/>
    <s v="220"/>
    <s v="MADRID"/>
    <s v="MADRID"/>
    <x v="0"/>
    <s v="PrAbier - Procedimiento Abierto"/>
    <s v="MultiC - MultiCriterio"/>
    <x v="1"/>
    <x v="2"/>
    <s v="2"/>
    <s v="2. Gastos corrientes en bienes y servicios"/>
    <s v="03"/>
    <x v="2"/>
    <s v="9241"/>
    <s v="9241. Participación ciudadana"/>
    <s v="22"/>
    <s v="22799"/>
  </r>
  <r>
    <n v="220210056311"/>
    <s v="AD"/>
    <d v="2021-09-15T00:00:00"/>
    <n v="22021006492"/>
    <s v="2021 11 1361 22199"/>
    <n v="86.4"/>
    <x v="356"/>
    <s v="Recarga de botella de oxígeno medicinal; SEISYPC."/>
    <s v="220"/>
    <s v="BARCELONA"/>
    <s v="BARCELONA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6291"/>
    <s v="AD"/>
    <d v="2021-09-15T00:00:00"/>
    <n v="22021005812"/>
    <s v="2021 10 2311 632"/>
    <n v="170.59"/>
    <x v="0"/>
    <s v="redac.15,51 coord.seg.y salud 155,07 obras reparación e impermeab.aseos Centro Integrado para pers.sin hogar. COVID-19"/>
    <s v="230"/>
    <s v="VALLADOLID"/>
    <s v="VALLADOLID"/>
    <x v="2"/>
    <s v="PrAbier - Procedimiento Abierto"/>
    <s v="MultiC - MultiCriterio"/>
    <x v="2"/>
    <x v="2"/>
    <s v="6"/>
    <s v="6. Inversiones reales"/>
    <s v="10"/>
    <x v="8"/>
    <s v="2311"/>
    <s v="2311. Intervención social"/>
    <s v="63"/>
    <s v="632"/>
  </r>
  <r>
    <n v="220210037305"/>
    <s v="AD"/>
    <d v="2021-07-15T00:00:00"/>
    <n v="22021005718"/>
    <s v="2021 10 2316 22616"/>
    <n v="250"/>
    <x v="516"/>
    <s v="Ponencia técnica e jornada 25-junio  XVIII Semana Intercultural-La diversidad cultural y las conductas que lo niegan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9531"/>
    <s v="AD"/>
    <d v="2021-07-15T00:00:00"/>
    <n v="22021004992"/>
    <s v="2021 02 1511 609"/>
    <n v="14692.16"/>
    <x v="971"/>
    <s v="A.T. VIGILANCIA HOMOLOGADA LÍNEA FERROVIARIA AV TRASLADO TEMPORAL ELEMENTOS INFRAES.FERROVIARIA Y ELECTRIFI-CACIÓN."/>
    <s v="220"/>
    <s v="ZAIDIN"/>
    <s v="HUESCA"/>
    <x v="0"/>
    <s v="AdDirec - Adjudicación Directa"/>
    <s v="SinC - Sin Criterio"/>
    <x v="0"/>
    <x v="2"/>
    <s v="6"/>
    <s v="6. Inversiones reales"/>
    <s v="02"/>
    <x v="10"/>
    <s v="1511"/>
    <s v="1511. Planficación y gestión del urbanismo"/>
    <s v="60"/>
    <s v="609"/>
  </r>
  <r>
    <n v="220210036828"/>
    <s v="AD"/>
    <d v="2021-07-09T00:00:00"/>
    <n v="22021005014"/>
    <s v="2021 03 9241 22602"/>
    <n v="2000"/>
    <x v="972"/>
    <s v="ESPACIOS EN PRENSA DIGITAL PARA DIFUSIÓN WEB DEL PROCESO DE VOTACIÓN DE LOS PRESUPUESTOS PARTICIPATIVOS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602"/>
  </r>
  <r>
    <n v="220210039689"/>
    <s v="AD"/>
    <d v="2021-07-16T00:00:00"/>
    <n v="22021005732"/>
    <s v="2021 06 2314 626"/>
    <n v="840"/>
    <x v="418"/>
    <s v="SISTEMA PARA CONECTAR DISPOSITIVOS INFORMATICOS AL PROYECTOR DEL AUDITORIO EN EL ESPACIO JOVEN SUR 1 DIA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2314"/>
    <s v="2314. Centro de programas juveniles"/>
    <s v="62"/>
    <s v="626"/>
  </r>
  <r>
    <n v="220210039690"/>
    <s v="AD"/>
    <d v="2021-07-16T00:00:00"/>
    <n v="22021005733"/>
    <s v="2021 06 2314 633"/>
    <n v="750"/>
    <x v="418"/>
    <s v="REPOSICION PANTALLA ELECTRICA EN EL ESPACIO JOVEN SUR 1 DIA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2314"/>
    <s v="2314. Centro de programas juveniles"/>
    <s v="63"/>
    <s v="633"/>
  </r>
  <r>
    <n v="220210043869"/>
    <s v="AD"/>
    <d v="2021-07-28T00:00:00"/>
    <n v="22021005878"/>
    <s v="2021 11 1361 22199"/>
    <n v="288"/>
    <x v="973"/>
    <s v="Kit para realizar las revisiones anuales de los 5 motores de las barcas de rescate acuático; SEISYPC."/>
    <s v="220"/>
    <s v="CADIZ"/>
    <s v="CADIZ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48444"/>
    <s v="AD"/>
    <d v="2021-08-19T00:00:00"/>
    <n v="22021006046"/>
    <s v="2021 06 3231 632"/>
    <n v="50.54"/>
    <x v="0"/>
    <s v="COORDINACIÓN DE SEGURIDAD Y SALUD EN LA OBRA DE REPARACIÓN GOTERAS EN CASA NIÑAS Y NIÑOS MAESTRO CLAUDIO"/>
    <s v="220"/>
    <s v="VALLADOLID"/>
    <s v="VALLADOLID"/>
    <x v="0"/>
    <s v="PrAbier - Procedimiento Abierto"/>
    <s v="MultiC - MultiCriterio"/>
    <x v="2"/>
    <x v="2"/>
    <s v="6"/>
    <s v="6. Inversiones reales"/>
    <s v="06"/>
    <x v="0"/>
    <s v="3231"/>
    <s v="3231. Escuelas infantiles"/>
    <s v="63"/>
    <s v="632"/>
  </r>
  <r>
    <n v="220210037244"/>
    <s v="AD"/>
    <d v="2021-07-14T00:00:00"/>
    <n v="22021004955"/>
    <s v="2021 07 1721 633"/>
    <n v="10890"/>
    <x v="974"/>
    <s v="SUMINISTRO Y EXPLOT. NANOSENSORES CONTAMINACIÓN ATMOSFÉRICO ZONA BAJAS EMISIONES DE VALLADOLID. SERVICIO MEDIO AMBIENTE"/>
    <s v="220"/>
    <s v="CASTRO-URDIALES"/>
    <s v="CANTABRIA"/>
    <x v="1"/>
    <s v="AdDirec - Adjudicación Directa"/>
    <s v="SinC - Sin Criterio"/>
    <x v="0"/>
    <x v="2"/>
    <s v="6"/>
    <s v="6. Inversiones reales"/>
    <s v="07"/>
    <x v="7"/>
    <s v="1721"/>
    <s v="1721. Protección del medio ambiente"/>
    <s v="63"/>
    <s v="633"/>
  </r>
  <r>
    <n v="220210045407"/>
    <s v="D"/>
    <d v="2021-08-05T00:00:00"/>
    <n v="22021001276"/>
    <s v="2021 07 1711 22106"/>
    <n v="910.25"/>
    <x v="845"/>
    <s v="ACUERDO MARCO 2017/36, PRODUCTOS FITOSANITARIOS."/>
    <s v="300"/>
    <s v="MOJADO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50924"/>
    <s v="AD"/>
    <d v="2021-09-06T00:00:00"/>
    <n v="22021006407"/>
    <s v="2021 03 9241 213"/>
    <n v="166.1"/>
    <x v="213"/>
    <s v="REPARACIÓN RIEGO AUTOMÁTICO EN CC CANAL DE CASTILLA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3"/>
  </r>
  <r>
    <n v="220210050895"/>
    <s v="AD"/>
    <d v="2021-09-03T00:00:00"/>
    <n v="22021006354"/>
    <s v="2021 10 2311 213"/>
    <n v="79.5"/>
    <x v="975"/>
    <s v="PUESTA EN MARCHA CALDERA EN VIVIENDA CALLE SALUD 15, 2º DERECHA. AGOSTO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45554"/>
    <s v="AD"/>
    <d v="2021-08-06T00:00:00"/>
    <n v="22021005993"/>
    <s v="2021 03 9241 22609"/>
    <n v="598.95000000000005"/>
    <x v="811"/>
    <s v="ESPECTÁCULO DE TITERES. LAS MORERAS 23/07/2021. MFS"/>
    <s v="220"/>
    <s v="MADRID"/>
    <s v="MADR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09"/>
  </r>
  <r>
    <n v="220210046280"/>
    <s v="AD"/>
    <d v="2021-08-11T00:00:00"/>
    <n v="22021006033"/>
    <s v="2021 10 2412 22699"/>
    <n v="25.4"/>
    <x v="839"/>
    <s v="AURICULARES Y CABLE DE RED PARA SALA DE AUDIVISUALES DEL CENTRO DE FORMACION PARA EL EMPLEO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699"/>
  </r>
  <r>
    <n v="220210050016"/>
    <s v="AD"/>
    <d v="2021-08-26T00:00:00"/>
    <n v="22021005600"/>
    <s v="2021 05 4314 632"/>
    <n v="150.04"/>
    <x v="0"/>
    <s v="COORDINACION SEGURIDADY SALUD OBRA DE REPARACION ESCALERAS MERCADO DE LAS DELICIAS"/>
    <s v="220"/>
    <s v="VALLADOLID"/>
    <s v="VALLADOLID"/>
    <x v="2"/>
    <s v="PrAbier - Procedimiento Abierto"/>
    <s v="MultiC - MultiCriterio"/>
    <x v="2"/>
    <x v="2"/>
    <s v="6"/>
    <s v="6. Inversiones reales"/>
    <s v="05"/>
    <x v="6"/>
    <s v="4314"/>
    <s v="4314. Fomento del comercio"/>
    <s v="63"/>
    <s v="632"/>
  </r>
  <r>
    <n v="220210048390"/>
    <s v="AD"/>
    <d v="2021-08-18T00:00:00"/>
    <n v="22021006059"/>
    <s v="2021 10 2312 212"/>
    <n v="77.680000000000007"/>
    <x v="270"/>
    <s v="MANT. SUMINISTRO DE PINTURA PARA REPARACIONES DEL CPM PTE. COLGANTE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0521"/>
    <s v="AD"/>
    <d v="2021-09-01T00:00:00"/>
    <n v="22021002015"/>
    <s v="2021 10 2311 22200"/>
    <n v="150"/>
    <x v="322"/>
    <s v="Ampliación contrato consumo para varias terminales durante el 2021. COVID-19"/>
    <s v="220"/>
    <s v="MADRID"/>
    <s v="MADR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2"/>
    <s v="22200"/>
  </r>
  <r>
    <n v="220210036225"/>
    <s v="AD"/>
    <d v="2021-07-06T00:00:00"/>
    <n v="22021005189"/>
    <s v="2021 02 9332 212"/>
    <n v="1652.25"/>
    <x v="976"/>
    <s v="TRATAMIENTO DESINFECCIÓN INSTALACIÓN DE FRIO DEL EDIFICIO MUNICIPAL DE SAN BENITO."/>
    <s v="220"/>
    <s v="BERGONDO"/>
    <s v="LA CORUÑA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2"/>
  </r>
  <r>
    <n v="220210037307"/>
    <s v="AD"/>
    <d v="2021-07-15T00:00:00"/>
    <n v="22021005714"/>
    <s v="2021 02 9332 213"/>
    <n v="374.67"/>
    <x v="976"/>
    <s v="SUSTITUCIÓN BOMBAS DOSIFICADORAS EN TORRE DE EVAPORACIÓN EN EL EDIF.MUNICIPAL DE SAN BENITO."/>
    <s v="220"/>
    <s v="BERGONDO"/>
    <s v="LA CORUÑA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3"/>
  </r>
  <r>
    <n v="220210050956"/>
    <s v="AD"/>
    <d v="2021-09-07T00:00:00"/>
    <n v="22021006410"/>
    <s v="2021 03 9241 213"/>
    <n v="67.89"/>
    <x v="50"/>
    <s v="SUSTITUCIÓN TARJETA DE RELÉS EQUIPO CC ZONA SUR (PARTE DEL DÍA 14/06/2021)"/>
    <s v="220"/>
    <s v="VIGO"/>
    <s v="PONTEVEDRA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3"/>
  </r>
  <r>
    <n v="220210044278"/>
    <s v="AD"/>
    <d v="2021-07-29T00:00:00"/>
    <n v="22021005944"/>
    <s v="2021 01 9206 22001"/>
    <n v="1185.8"/>
    <x v="456"/>
    <s v="SUSCRIPCIÓN BASES DE DATOS INFORMACIÓN CONCURSAL: &quot;&quot;USUARIO PROFESIONAL&quot;&quot; E &quot;&quot;INFORME DIARIO&quot;&quot;. DE AGOSTO 2021 A AGOSTO 2022"/>
    <s v="220"/>
    <s v="BOECILLO"/>
    <s v="VALLADOLID"/>
    <x v="1"/>
    <s v="AdDirec - Adjudicación Directa"/>
    <s v="SinC - Sin Criterio"/>
    <x v="0"/>
    <x v="2"/>
    <s v="2"/>
    <s v="2. Gastos corrientes en bienes y servicios"/>
    <s v="01"/>
    <x v="4"/>
    <s v="9206"/>
    <s v="9206. Archivo municipal"/>
    <s v="22"/>
    <s v="22001"/>
  </r>
  <r>
    <n v="220210036309"/>
    <s v="AD"/>
    <d v="2021-07-07T00:00:00"/>
    <n v="22021005033"/>
    <s v="2021 03 9241 22699"/>
    <n v="93.9"/>
    <x v="832"/>
    <s v="RATÓN SOBREMESA PARA PORTÁTILES CENTROS CÍVICOS (4 UDS.)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45978"/>
    <s v="AD"/>
    <d v="2021-08-10T00:00:00"/>
    <n v="22021006041"/>
    <s v="2021 06 3231 633"/>
    <n v="1132.5"/>
    <x v="832"/>
    <s v="SUMINISTRO. REPOSICION DESTRUCTORA DE PAPEL CENTRO DE ESCUELAS INFANTILES. 1 DÍA."/>
    <s v="220"/>
    <s v="VALLADOLID"/>
    <s v="VALLADOLID"/>
    <x v="1"/>
    <s v="AdDirec - Adjudicación Directa"/>
    <s v="SinC - Sin Criterio"/>
    <x v="0"/>
    <x v="2"/>
    <s v="6"/>
    <s v="6. Inversiones reales"/>
    <s v="06"/>
    <x v="0"/>
    <s v="3231"/>
    <s v="3231. Escuelas infantiles"/>
    <s v="63"/>
    <s v="633"/>
  </r>
  <r>
    <n v="220210043993"/>
    <s v="D"/>
    <d v="2021-07-28T00:00:00"/>
    <n v="22021002601"/>
    <s v="2021 06 3321 629"/>
    <n v="3712.31"/>
    <x v="977"/>
    <s v="SUMINISTRO DE FONDOS BIBLIOGRÁFIC OS PARA BIBLIOTECAS MPALES Y ARCHIVO MPAL /// EXPTE: SE-EIJI 19/2020"/>
    <s v="300"/>
    <s v="VILLANUEVA DE LOS INFANTES"/>
    <s v="CIUDAD REAL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6275"/>
    <s v="AD"/>
    <d v="2021-08-11T00:00:00"/>
    <n v="22021006039"/>
    <s v="2021 01 9203 22000"/>
    <n v="2456.3000000000002"/>
    <x v="978"/>
    <s v="ADQUISICION MATERIAL ORDINARIO NO INVENTARIABLE ALMACEN, BOLSAS DE PAPEL AYTO. VALLADOLID, R.I."/>
    <s v="220"/>
    <s v="VALLADOLID"/>
    <s v="VALLADOLID"/>
    <x v="1"/>
    <s v="AdDirec - Adjudicación Directa"/>
    <s v="SinC - Sin Criterio"/>
    <x v="0"/>
    <x v="2"/>
    <s v="2"/>
    <s v="2. Gastos corrientes en bienes y servicios"/>
    <s v="01"/>
    <x v="4"/>
    <s v="9203"/>
    <s v="9203. Unidad de régimen interior"/>
    <s v="22"/>
    <s v="22000"/>
  </r>
  <r>
    <n v="220210038354"/>
    <s v="AD"/>
    <d v="2021-07-15T00:00:00"/>
    <n v="22021005575"/>
    <s v="2021 06 2315 22611"/>
    <n v="180"/>
    <x v="457"/>
    <s v="CHARLA TALLER ONLYFANS CELEBRADA EN EL CENTRO MUNICIPAL DE IGUALDAD EL 29 DE JUNIO DE 2021"/>
    <s v="220"/>
    <s v="RENEDO DE ESGUEVA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45357"/>
    <s v="AD"/>
    <d v="2021-08-04T00:00:00"/>
    <n v="22021005978"/>
    <s v="2021 02 9332 22799"/>
    <n v="2904"/>
    <x v="458"/>
    <s v="REALIZACIÓN INFOGRAFÍAS NUEVOS PASOS INFERIORES FERROVIARIOS EN C/P.CLARET,C/ESTACIÓN Y SALIDA C/GUIPÚZCOA FRT. M.DELICI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2"/>
    <s v="22799"/>
  </r>
  <r>
    <n v="220210050952"/>
    <s v="AD"/>
    <d v="2021-09-07T00:00:00"/>
    <n v="22021006398"/>
    <s v="2021 07 1721 214"/>
    <n v="66.55"/>
    <x v="831"/>
    <s v="ROTULACIÓN DE LA PUERTA DERECHA DEL COCHE AURIS DEL SERVICIO DE MEDIO AMBIENTE.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1"/>
    <s v="214"/>
  </r>
  <r>
    <n v="220210036878"/>
    <s v="AD"/>
    <d v="2021-07-13T00:00:00"/>
    <n v="22021005631"/>
    <s v="2021 11 3111 213"/>
    <n v="80.47"/>
    <x v="979"/>
    <s v="CABEZAL CUCHILLA MAQUINA CMPA"/>
    <s v="220"/>
    <s v="LEON"/>
    <s v="LEON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1"/>
    <s v="213"/>
  </r>
  <r>
    <n v="220210044275"/>
    <s v="AD"/>
    <d v="2021-07-29T00:00:00"/>
    <n v="22021005948"/>
    <s v="2021 01 9206 22799"/>
    <n v="762.3"/>
    <x v="764"/>
    <s v="TRABAJOS DE REPARACIÓN, MANTENIMIENTO Y PROTECCIÓN DE ELEMENTOS DE MADERA EN EL EDIFICIO DEL ARCHIVO MUNICIPAL, AÑ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6"/>
    <s v="9206. Archivo municipal"/>
    <s v="22"/>
    <s v="22799"/>
  </r>
  <r>
    <n v="220210045365"/>
    <s v="AD"/>
    <d v="2021-08-05T00:00:00"/>
    <n v="22021004902"/>
    <s v="2021 11 1621 212"/>
    <n v="256"/>
    <x v="764"/>
    <s v="INCREMENTO POR SER MAS METROS DE LOS PRESUPUESTADOS PARA PINTURA DEL APARCAMIENTO. SERVICIO DE LIMPIEZA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2"/>
  </r>
  <r>
    <n v="220210050710"/>
    <s v="AD"/>
    <d v="2021-09-02T00:00:00"/>
    <n v="22021006353"/>
    <s v="2021 06 2315 22614"/>
    <n v="58.08"/>
    <x v="310"/>
    <s v="REPARTO DIPLOMAS CONSEJO DE LA INFANCIA POR CENTROS ESCOLARES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43806"/>
    <s v="AD"/>
    <d v="2021-07-27T00:00:00"/>
    <n v="22021005805"/>
    <s v="2021 03 9241 22699"/>
    <n v="581.41"/>
    <x v="733"/>
    <s v="PLACA Y CARTELES IDENTIFICATIVOS ESPACIO AMIGO CIC LA OVERUELA. PLACA CONMEMORATIVA CC ESGUEVA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2"/>
    <s v="22699"/>
  </r>
  <r>
    <n v="220210046276"/>
    <s v="AD"/>
    <d v="2021-08-11T00:00:00"/>
    <n v="22021006040"/>
    <s v="2021 01 9203 22699"/>
    <n v="318.23"/>
    <x v="733"/>
    <s v="ADQUISICION PLACA HOMENAJE GITANOS GRAN REDADA, R.I."/>
    <s v="220"/>
    <s v="VALLADOLID"/>
    <s v="VALLADOLID"/>
    <x v="1"/>
    <s v="AdDirec - Adjudicación Directa"/>
    <s v="SinC - Sin Criterio"/>
    <x v="0"/>
    <x v="2"/>
    <s v="2"/>
    <s v="2. Gastos corrientes en bienes y servicios"/>
    <s v="01"/>
    <x v="4"/>
    <s v="9203"/>
    <s v="9203. Unidad de régimen interior"/>
    <s v="22"/>
    <s v="22699"/>
  </r>
  <r>
    <n v="220210037256"/>
    <s v="AD"/>
    <d v="2021-07-14T00:00:00"/>
    <n v="22021005348"/>
    <s v="2021 06 2314 22609"/>
    <n v="3388"/>
    <x v="980"/>
    <s v="PLAY DIGITAL DAYS: ENCUENTRO VIRTUAL PARA LA PROMOCIÓN E IMPULSO DEL ECOSISTEMA DIGITAL EN LOS ESPACIOS JOVENES / 2 DIAS"/>
    <s v="220"/>
    <s v="ARMILLA"/>
    <s v="GRANADA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609"/>
  </r>
  <r>
    <n v="220210035431"/>
    <s v="AD"/>
    <d v="2021-07-02T00:00:00"/>
    <n v="22021005168"/>
    <s v="2021 10 2312 22617"/>
    <n v="382.66"/>
    <x v="981"/>
    <s v="ADAPTACION A LF  , DISEÑO ACORDE A LAS REGLAS LF Y CON PICTOGRAMAS  DEL REGLAMENTODEL ALBERGUE  - DURACION 1 DIA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17"/>
  </r>
  <r>
    <n v="220210038349"/>
    <s v="AD"/>
    <d v="2021-07-15T00:00:00"/>
    <n v="22021005467"/>
    <s v="2021 10 2316 22616"/>
    <n v="348.55"/>
    <x v="809"/>
    <s v="Diseño de imagen, maquetación y traducción de tablas salariales de trabajadores/as del sector del serv. doméstico.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4970"/>
    <s v="AD"/>
    <d v="2021-08-03T00:00:00"/>
    <n v="22021005958"/>
    <s v="2021 10 2316 22616"/>
    <n v="150"/>
    <x v="809"/>
    <s v="Ponencia de Sophia Gómez en la jornada técnica de la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8544"/>
    <s v="REIN"/>
    <d v="2021-08-20T00:00:00"/>
    <n v="22021000419"/>
    <s v="2021 06 3232 213"/>
    <n v="-118.52"/>
    <x v="84"/>
    <s v="CONSERVACION Y MANTENIMIENTO DE LOS INMUEBLES ADSCRITOS AL AREA DE EDUCAC., INFANC., JUVENTUD E IGUALDAD // ENERO"/>
    <s v="891"/>
    <s v="VALLADOLID"/>
    <s v="VALLADOLID"/>
    <x v="0"/>
    <s v="PrAbier - Procedimiento Abierto"/>
    <s v="MultiC - Multi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48548"/>
    <s v="REIN"/>
    <d v="2021-08-20T00:00:00"/>
    <n v="22021000419"/>
    <s v="2021 06 3232 213"/>
    <n v="-118.52"/>
    <x v="84"/>
    <s v="SERVICIOS CONSERV.-MNTO DE LOS INMUEBLES ADSCRITOS AL AREA DE EDUCACION / EXPTE: SE EIJI 11/20- LOTE 1 / MES FEBRERO-21"/>
    <s v="891"/>
    <s v="VALLADOLID"/>
    <s v="VALLADOLID"/>
    <x v="0"/>
    <s v="PrAbier - Procedimiento Abierto"/>
    <s v="MultiC - Multi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50525"/>
    <s v="AD"/>
    <d v="2021-09-01T00:00:00"/>
    <n v="22021006332"/>
    <s v="2021 06 3232 213"/>
    <n v="114.02"/>
    <x v="268"/>
    <s v="SUMINISTRO FILM POLIETILENO NATURAL G-400 MTS PARA LA ELABORACIÓN DE MAMPARA PARA LA CONSERJERÍA DEL C.E.I.P. Mª MOLINA.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54500"/>
    <s v="AD"/>
    <d v="2021-09-14T00:00:00"/>
    <n v="22021006454"/>
    <s v="2021 10 2312 22699"/>
    <n v="52.27"/>
    <x v="300"/>
    <s v="PAPEL BLANCO  PARA  LA IMPRESION  DE LAS INSCRIPCIONES DE ENVEJECIMIENTO ACTIVO REALIZADAS EN LA IMPRENTA MUNICIPAL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99"/>
  </r>
  <r>
    <n v="220210050945"/>
    <s v="AD"/>
    <d v="2021-09-07T00:00:00"/>
    <n v="22021005131"/>
    <s v="2021 03 9241 632"/>
    <n v="193.83"/>
    <x v="0"/>
    <s v="COORDINACIÓN SEGURIDAD OBRA ARREGLO GOTERAS Y HUMEDADES TEJADO CIC CONDE ANSÚREZ. LOTE 3"/>
    <s v="220"/>
    <s v="VALLADOLID"/>
    <s v="VALLADOLID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54495"/>
    <s v="AD/"/>
    <d v="2021-09-14T00:00:00"/>
    <n v="22021003023"/>
    <s v="2021 10 2412 22110"/>
    <n v="-31.51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43800"/>
    <s v="AD"/>
    <d v="2021-07-27T00:00:00"/>
    <n v="22021005806"/>
    <s v="2021 10 2312 626"/>
    <n v="8918.92"/>
    <x v="982"/>
    <s v="TABLET PARA LOS CENTROS DE PERSONAS MAYORES, 47 UNIDADES- DURACION 1 DIA"/>
    <s v="220"/>
    <s v="VALLADOLID"/>
    <s v="VALLADOLID"/>
    <x v="1"/>
    <s v="AdDirec - Adjudicación Directa"/>
    <s v="SinC - Sin Criterio"/>
    <x v="0"/>
    <x v="2"/>
    <s v="6"/>
    <s v="6. Inversiones reales"/>
    <s v="10"/>
    <x v="8"/>
    <s v="2312"/>
    <s v="2312. Iniciativas sociales"/>
    <s v="62"/>
    <s v="626"/>
  </r>
  <r>
    <n v="220210054495"/>
    <s v="AD/"/>
    <d v="2021-09-14T00:00:00"/>
    <n v="22021003025"/>
    <s v="2021 10 2412 22110"/>
    <n v="-51.1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50943"/>
    <s v="AD"/>
    <d v="2021-09-07T00:00:00"/>
    <n v="22021005127"/>
    <s v="2021 03 9241 632"/>
    <n v="169.04"/>
    <x v="0"/>
    <s v="COORDINACIÓN SEGURIDAD EN OBRA ARREGLO INTEGRAL DEL TEJADO CC PILARICA. LOTE 1"/>
    <s v="220"/>
    <s v="VALLADOLID"/>
    <s v="VALLADOLID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40168"/>
    <s v="D"/>
    <d v="2021-07-19T00:00:00"/>
    <n v="22021001967"/>
    <s v="2021 11 1321 214"/>
    <n v="386.74"/>
    <x v="347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0133"/>
    <s v="D"/>
    <d v="2021-07-19T00:00:00"/>
    <n v="22021002146"/>
    <s v="2021 07 1711 214"/>
    <n v="317.83999999999997"/>
    <x v="347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40157"/>
    <s v="D"/>
    <d v="2021-07-19T00:00:00"/>
    <n v="22021002051"/>
    <s v="2021 11 1621 22110"/>
    <n v="193.6"/>
    <x v="347"/>
    <s v="AC MARCO EXP V36-2017: SUMINISTRO SEPIOLITA 20KG. 15-30 (20) // LIMPIEZA DERRAMES DE FLUIDOS DE VEHICUL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10"/>
  </r>
  <r>
    <n v="220210043901"/>
    <s v="D"/>
    <d v="2021-07-28T00:00:00"/>
    <n v="22021003381"/>
    <s v="2021 11 1361 22199"/>
    <n v="73.510000000000005"/>
    <x v="347"/>
    <s v="ACUERDO MARCO SUMINISTROS: JUNTA RACOR  STORZ KA-66 NBR (60) ///// DESTINO: 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45409"/>
    <s v="D"/>
    <d v="2021-08-05T00:00:00"/>
    <n v="22021002146"/>
    <s v="2021 07 1711 214"/>
    <n v="170.21"/>
    <x v="347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45116"/>
    <s v="D"/>
    <d v="2021-08-03T00:00:00"/>
    <n v="22021002146"/>
    <s v="2021 07 1711 214"/>
    <n v="103.23"/>
    <x v="347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0133"/>
    <s v="D"/>
    <d v="2021-08-27T00:00:00"/>
    <n v="22021001967"/>
    <s v="2021 11 1321 214"/>
    <n v="372.95"/>
    <x v="347"/>
    <s v="ACUERDO MARCO. SUMINISTRO DE MATERIAL PARA TALLER DE REPARACIONE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36873"/>
    <s v="AD"/>
    <d v="2021-07-13T00:00:00"/>
    <n v="22021005626"/>
    <s v="2021 03 9200 22602"/>
    <n v="1997.94"/>
    <x v="428"/>
    <s v="CONTRATACIÓN DE ESPACIOS EN RADIO PARA DIFUSIÓN DEL PROCESO PRESUPUESTOS PARTICIPATIVOS 21-22 (28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43811"/>
    <s v="AD"/>
    <d v="2021-07-27T00:00:00"/>
    <n v="22021005770"/>
    <s v="2021 08 1532 214"/>
    <n v="4537.5"/>
    <x v="983"/>
    <s v="Reparación de pinchazos y equilibrado de neumáticos en vehículos adscritos al SEPI durante el año 2021.-"/>
    <s v="220"/>
    <s v="ZARATAN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4"/>
  </r>
  <r>
    <n v="220210042187"/>
    <s v="D"/>
    <d v="2021-07-23T00:00:00"/>
    <n v="22021003265"/>
    <s v="2021 04 9204 22002"/>
    <n v="20928.61"/>
    <x v="352"/>
    <s v="SUMINISTRO DE FUNGIBLES DE IMPRESIÓN ORIGINALES, LOTE 1"/>
    <s v="300"/>
    <s v="BASAURI"/>
    <s v="VIZCAYA"/>
    <x v="1"/>
    <s v="PrAbier - Procedimiento Abierto"/>
    <s v="UniC - Único Criterio"/>
    <x v="1"/>
    <x v="2"/>
    <s v="2"/>
    <s v="2. Gastos corrientes en bienes y servicios"/>
    <s v="04"/>
    <x v="3"/>
    <s v="9204"/>
    <s v="9204. Tecnologías de la información y comunicación"/>
    <s v="22"/>
    <s v="22002"/>
  </r>
  <r>
    <n v="220210041558"/>
    <s v="D"/>
    <d v="2021-07-21T00:00:00"/>
    <n v="22021002556"/>
    <s v="2021 11 3111 632"/>
    <n v="87251.89"/>
    <x v="984"/>
    <s v="CONTRATO DE OBRAS DE REFORMA DEL CENTRO MUNICIPAL DE PROTECCION ANIMAL"/>
    <s v="300"/>
    <s v="VALLADOLID"/>
    <s v="VALLADOLID"/>
    <x v="2"/>
    <s v="PrAbier - Procedimiento Abierto"/>
    <s v="MultiC - MultiCriterio"/>
    <x v="1"/>
    <x v="2"/>
    <s v="6"/>
    <s v="6. Inversiones reales"/>
    <s v="11"/>
    <x v="5"/>
    <s v="3111"/>
    <s v="3111. Protección de la salubridad pública"/>
    <s v="63"/>
    <s v="632"/>
  </r>
  <r>
    <n v="220210044267"/>
    <s v="AD"/>
    <d v="2021-07-29T00:00:00"/>
    <n v="22021005880"/>
    <s v="2021 10 2311 212"/>
    <n v="689.7"/>
    <x v="984"/>
    <s v="Modificación de la instalación del gas en la vivienda municipal sita en c/ Soto 58, 1º A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40105"/>
    <s v="D"/>
    <d v="2021-07-19T00:00:00"/>
    <n v="22021002052"/>
    <s v="2021 11 1621 22199"/>
    <n v="1952.37"/>
    <x v="353"/>
    <s v="AC MARCO EXP V36-2017: SUMINISTRO INDUSTRIALES PARA LOS TRABAJOS DEL SERVICIO DE LIMPIEZA // PEDIDOS DEL MES DE JUNI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0945"/>
    <s v="D"/>
    <d v="2021-07-20T00:00:00"/>
    <n v="22021001275"/>
    <s v="2021 07 1711 22199"/>
    <n v="202.55"/>
    <x v="353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0119"/>
    <s v="D"/>
    <d v="2021-07-19T00:00:00"/>
    <n v="22021002057"/>
    <s v="2021 11 1631 22199"/>
    <n v="171.92"/>
    <x v="353"/>
    <s v="AC MARCO EXP V36-2017: GARRAS Y MANGOS CEPILLOS BARRIDO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3594"/>
    <s v="D"/>
    <d v="2021-09-13T00:00:00"/>
    <n v="22021002057"/>
    <s v="2021 11 1631 22199"/>
    <n v="1195.99"/>
    <x v="353"/>
    <s v="BARRENDERO ROJO 520 5/F 520X65MM / ESCOBIJO BARRENDERO / MANGO / GARRA ESP./ PALA ALUMUNIO. AN EXP V36-2017. Sº L V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8699"/>
    <s v="D"/>
    <d v="2021-08-20T00:00:00"/>
    <n v="22021002048"/>
    <s v="2021 11 1621 214"/>
    <n v="1056.6600000000001"/>
    <x v="353"/>
    <s v="AC MARCO EXP V36-2017: REPUESTOS PARA EL SERVICIO DE LIMPIEZA // PEDIDOS DEL MES DE JULI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588"/>
    <s v="D"/>
    <d v="2021-09-13T00:00:00"/>
    <n v="22021002057"/>
    <s v="2021 11 1631 22199"/>
    <n v="269.13"/>
    <x v="353"/>
    <s v="ESCOBIJO BARRENDERO CON MANGO 90MM (36) / PALA ALUMINIO MANGO MADERA (6). AM EXP V36-2017. SERVICIO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8723"/>
    <s v="D"/>
    <d v="2021-08-20T00:00:00"/>
    <n v="22021002057"/>
    <s v="2021 11 1631 22199"/>
    <n v="216.06"/>
    <x v="353"/>
    <s v="AC MARCO EXP V36-2017: ESCOBIJO BARRENDERO CON MANGO 90MM (48 UDS) // FECHA PEDIDO 07/07/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40193"/>
    <s v="D"/>
    <d v="2021-07-19T00:00:00"/>
    <n v="22021002132"/>
    <s v="2021 08 1532 210"/>
    <n v="1277.3399999999999"/>
    <x v="274"/>
    <s v="Horas Camión Grúa (5 uds) / Saco cemento gris 25kg 32.5R (378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1103"/>
    <s v="D"/>
    <d v="2021-09-09T00:00:00"/>
    <n v="22021002132"/>
    <s v="2021 08 1532 210"/>
    <n v="1147.5999999999999"/>
    <x v="274"/>
    <s v="Saco Cemento Gris 25kg 32.5R (378)  / Saco Cemento Blanco (15)  / Saco de Yeso Tosco (15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1070"/>
    <s v="D"/>
    <d v="2021-09-09T00:00:00"/>
    <n v="22021002132"/>
    <s v="2021 08 1532 210"/>
    <n v="876.46"/>
    <x v="274"/>
    <s v="M2 BALDOSA ESTRELLA PULIDA 40X40 (55) ////  DESTINO: PAVIM. V. PU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4495"/>
    <s v="AD/"/>
    <d v="2021-09-14T00:00:00"/>
    <n v="22021003024"/>
    <s v="2021 10 2412 22110"/>
    <n v="-203.58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50944"/>
    <s v="AD"/>
    <d v="2021-09-07T00:00:00"/>
    <n v="22021005129"/>
    <s v="2021 03 9241 632"/>
    <n v="92.78"/>
    <x v="0"/>
    <s v="COORDINACIÓN SEGURIDAD OBRA ARREGLO INTEGRAL TEJADO ANFITEATRO CC PARQUESOL. LOTE 2"/>
    <s v="220"/>
    <s v="VALLADOLID"/>
    <s v="VALLADOLID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44273"/>
    <s v="AD"/>
    <d v="2021-07-29T00:00:00"/>
    <n v="22021005932"/>
    <s v="2021 05 4331 22799"/>
    <n v="1452"/>
    <x v="835"/>
    <s v="DISEÑO Y MAQUETACIÓN DEL PLAN ESTRATÉGICO DE TRANSFORMACIÓN DIGITAL E INNOVACIÓN, APLICADA DE LA CIUDAD DE VALLADOLID.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54495"/>
    <s v="AD/"/>
    <d v="2021-09-14T00:00:00"/>
    <n v="22021003026"/>
    <s v="2021 10 2412 22110"/>
    <n v="-264.70999999999998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37304"/>
    <s v="AD"/>
    <d v="2021-07-15T00:00:00"/>
    <n v="22021005720"/>
    <s v="2021 10 2316 22616"/>
    <n v="1331"/>
    <x v="985"/>
    <s v="Actividades de verano Aramburu-Plan de Convivencia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6849"/>
    <s v="AD"/>
    <d v="2021-07-12T00:00:00"/>
    <n v="22021005410"/>
    <s v="2021 06 3321 22001"/>
    <n v="725.4"/>
    <x v="487"/>
    <s v="SUMINISTRO DE REVISTAS PARA LAS BIBLIOTECAS MUNICIPALES. PLAZO AÑO 2021.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001"/>
  </r>
  <r>
    <n v="220210043861"/>
    <s v="AD"/>
    <d v="2021-07-28T00:00:00"/>
    <n v="22021005561"/>
    <s v="2021 04 9202 16204"/>
    <n v="290.39999999999998"/>
    <x v="526"/>
    <s v="PLACA CONMEMORATIVA GRABADA A LASER, STA. RITA 20. -mjsi."/>
    <s v="220"/>
    <s v="VALLADOLID"/>
    <s v="VALLADOLID"/>
    <x v="1"/>
    <s v="AdDirec - Adjudicación Directa"/>
    <s v="SinC - Sin Criterio"/>
    <x v="0"/>
    <x v="2"/>
    <s v="1"/>
    <s v="1. Gastos de personal"/>
    <s v="04"/>
    <x v="3"/>
    <s v="9202"/>
    <s v="9202. Gestión de recursos humanos"/>
    <s v="16"/>
    <s v="16204"/>
  </r>
  <r>
    <n v="220210048388"/>
    <s v="AD"/>
    <d v="2021-08-18T00:00:00"/>
    <n v="22021006057"/>
    <s v="2021 10 2312 212"/>
    <n v="333.36"/>
    <x v="22"/>
    <s v="MANT.SUMINISTRO DE PLATO DE DUCHA ,DESMONTAJE  Y MONTAJEMAMPARA DEL BAÑO  DE LAS E. DIURNAS DEL CPM ARCA REAS-DURA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0958"/>
    <s v="AD"/>
    <d v="2021-09-07T00:00:00"/>
    <n v="22021006414"/>
    <s v="2021 03 9241 203"/>
    <n v="75.02"/>
    <x v="91"/>
    <s v="ALQUILER DE PLATAFORMA ARTICULADA EN CC. DELICIAS (16/07/2021) PARA TRABAJOS EN ALTURA"/>
    <s v="220"/>
    <s v="CABEZON DE PISUERGA"/>
    <s v="VALLADOLID"/>
    <x v="0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0"/>
    <s v="203"/>
  </r>
  <r>
    <n v="220210043822"/>
    <s v="AD"/>
    <d v="2021-07-27T00:00:00"/>
    <n v="22021005777"/>
    <s v="2021 09 3341 632"/>
    <n v="47746.6"/>
    <x v="536"/>
    <s v="EJECUCION OBRA VALLADO DE LOS EDIFICIOS DE LA PARCELA DE LA ANTIGUA HIPICA MILITAR"/>
    <s v="220"/>
    <s v="AVILA"/>
    <s v="AVILA"/>
    <x v="2"/>
    <s v="AdDirec - Adjudicación Directa"/>
    <s v="SinC - Sin Criterio"/>
    <x v="0"/>
    <x v="2"/>
    <s v="6"/>
    <s v="6. Inversiones reales"/>
    <s v="09"/>
    <x v="1"/>
    <s v="3341"/>
    <s v="3341. Coordinación de políticas culturales"/>
    <s v="63"/>
    <s v="632"/>
  </r>
  <r>
    <n v="220210045982"/>
    <s v="AD"/>
    <d v="2021-08-10T00:00:00"/>
    <n v="22021006003"/>
    <s v="2021 06 2314 609"/>
    <n v="7098.22"/>
    <x v="536"/>
    <s v="SUMINISTRO E INSTALACIÓN DE FUENTE Y FREGADERO EXTERIOR EN EL ÁREA RECREATIVA DEL PINAR DE ANTEQUERA / 1 DIA"/>
    <s v="220"/>
    <s v="AVILA"/>
    <s v="AVILA"/>
    <x v="1"/>
    <s v="AdDirec - Adjudicación Directa"/>
    <s v="SinC - Sin Criterio"/>
    <x v="0"/>
    <x v="2"/>
    <s v="6"/>
    <s v="6. Inversiones reales"/>
    <s v="06"/>
    <x v="0"/>
    <s v="2314"/>
    <s v="2314. Centro de programas juveniles"/>
    <s v="60"/>
    <s v="609"/>
  </r>
  <r>
    <n v="220210036310"/>
    <s v="AD"/>
    <d v="2021-07-07T00:00:00"/>
    <n v="22021005554"/>
    <s v="2021 10 2316 22616"/>
    <n v="200"/>
    <x v="844"/>
    <s v="Reserva patio-jardín y consumiciones en Claurura de dos cursos de Referentes Culturales para personas inmigrantes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8352"/>
    <s v="AD"/>
    <d v="2021-07-15T00:00:00"/>
    <n v="22021005470"/>
    <s v="2021 10 2316 22616"/>
    <n v="120"/>
    <x v="844"/>
    <s v="Servicio de hostelería, reserva de patio-jardín y consumiciones para café-tertulia.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36311"/>
    <s v="AD"/>
    <d v="2021-07-07T00:00:00"/>
    <n v="22021005556"/>
    <s v="2021 10 2316 22616"/>
    <n v="150"/>
    <x v="844"/>
    <s v="Reserva patio-jardín y consuminciones en clausura de dos Cursos de Referentes Culturales para personas inmigrantes-mayo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47101"/>
    <s v="AD"/>
    <d v="2021-08-13T00:00:00"/>
    <n v="22021006062"/>
    <s v="2021 08 1532 210"/>
    <n v="968"/>
    <x v="356"/>
    <s v="Recarga periódica de las botellas de O2 y de Ar/CO2 para los equipos de oxicorte de la Brigada de Forja."/>
    <s v="220"/>
    <s v="BARCELONA"/>
    <s v="BARCELONA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47033"/>
    <s v="D"/>
    <d v="2021-08-13T00:00:00"/>
    <n v="22021001275"/>
    <s v="2021 07 1711 22199"/>
    <n v="307.01"/>
    <x v="188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37308"/>
    <s v="AD"/>
    <d v="2021-07-15T00:00:00"/>
    <n v="22021005677"/>
    <s v="2021 02 9332 212"/>
    <n v="1000"/>
    <x v="270"/>
    <s v="SUMINISTRO MATERIAL PARA PINTAR INTERIORES DISTINTAS DEPENDENCIAS MUNICIPALES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2"/>
  </r>
  <r>
    <n v="220210039535"/>
    <s v="AD"/>
    <d v="2021-07-16T00:00:00"/>
    <n v="22021005740"/>
    <s v="2021 08 1651 22199"/>
    <n v="639.26"/>
    <x v="270"/>
    <s v="Suministro de pinturas de todo tipo, disolventes y herramientas de pinturas según necesidades, mes de junio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651"/>
    <s v="1651. Alumbrado público"/>
    <s v="22"/>
    <s v="22199"/>
  </r>
  <r>
    <n v="220210044967"/>
    <s v="AD"/>
    <d v="2021-08-03T00:00:00"/>
    <n v="22021005925"/>
    <s v="2021 10 2311 212"/>
    <n v="157.63999999999999"/>
    <x v="270"/>
    <s v="Compra de material de pintura para vivienda en Calle CAMINO VIEJO DEL POLVORIN 43, 3º D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2"/>
  </r>
  <r>
    <n v="220210046273"/>
    <s v="AD"/>
    <d v="2021-08-11T00:00:00"/>
    <n v="22021005725"/>
    <s v="2021 08 1651 22199"/>
    <n v="961.28"/>
    <x v="270"/>
    <s v="Suministro de material diverso ( esmalte, disolvente, rodillo...)  con destino a ALUMBRADO PÚBLICO. S.E.P.I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651"/>
    <s v="1651. Alumbrado público"/>
    <s v="22"/>
    <s v="22199"/>
  </r>
  <r>
    <n v="220210050510"/>
    <s v="AD"/>
    <d v="2021-09-01T00:00:00"/>
    <n v="22021006188"/>
    <s v="2021 06 3232 212"/>
    <n v="600"/>
    <x v="762"/>
    <s v="SUMINISTRO DE HIERROS PARA INTERVENCIONES EN COLEGIOS PÚBLICOS  POR PARTE DEL CENTRO DE MANTENIMIENTO. AÑO 2021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897"/>
    <s v="AD"/>
    <d v="2021-09-03T00:00:00"/>
    <n v="22021006365"/>
    <s v="2021 06 3231 212"/>
    <n v="300"/>
    <x v="762"/>
    <s v="SUMINISTRO DE HIERROS PARA INTERVENCIONES EN LAS ESCUELAS INFANTILES MUNI POR PARTE DEL CENTRO DE MANTENIMIENTO. 2021.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1"/>
    <s v="3231. Escuelas infantiles"/>
    <s v="21"/>
    <s v="212"/>
  </r>
  <r>
    <n v="220210048542"/>
    <s v="REIN"/>
    <d v="2021-08-20T00:00:00"/>
    <n v="22021000419"/>
    <s v="2021 06 3232 213"/>
    <n v="-59.26"/>
    <x v="84"/>
    <s v="CONSERVACION Y MANTENIMIENTO DE LOS INMUEBLES ADSCRITOS AL AREA DE EDUCAC., INFANC., JUVENTUD E IGUALDAD // ENERO"/>
    <s v="891"/>
    <s v="VALLADOLID"/>
    <s v="VALLADOLID"/>
    <x v="0"/>
    <s v="PrAbier - Procedimiento Abierto"/>
    <s v="MultiC - Multi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48546"/>
    <s v="REIN"/>
    <d v="2021-08-20T00:00:00"/>
    <n v="22021000419"/>
    <s v="2021 06 3232 213"/>
    <n v="-59.26"/>
    <x v="84"/>
    <s v="SERVICIOS CONSERV.-MNTO DE LOS INMUEBLES ADSCRITOS AL AREA DE EDUCACION / EXPTE: SE EIJI 11/20- LOTE 1 / MES FEBRERO-21"/>
    <s v="891"/>
    <s v="VALLADOLID"/>
    <s v="VALLADOLID"/>
    <x v="0"/>
    <s v="PrAbier - Procedimiento Abierto"/>
    <s v="MultiC - Multi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54497"/>
    <s v="AD"/>
    <d v="2021-09-14T00:00:00"/>
    <n v="22021006450"/>
    <s v="2021 10 2312 212"/>
    <n v="275.70999999999998"/>
    <x v="762"/>
    <s v="SUMINISTRO MATERIAL PARA REPARACIONES, CHAPA GALVANIZADA 5 UNIDADES  Y PLETINA PARA EL CPM ARCA REAL- DURACION 1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4501"/>
    <s v="AD"/>
    <d v="2021-09-14T00:00:00"/>
    <n v="22021006479"/>
    <s v="2021 10 2412 212"/>
    <n v="113.49"/>
    <x v="762"/>
    <s v="SUMINISTRO DE MATERIAL PARA REPARACIONES(PLETINA, ANGULO) PARA EL JACINTO BENAVENTE-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1"/>
    <s v="212"/>
  </r>
  <r>
    <n v="220210054496"/>
    <s v="AD"/>
    <d v="2021-09-14T00:00:00"/>
    <n v="22021003026"/>
    <s v="2021 10 2412 22110"/>
    <n v="50.9"/>
    <x v="313"/>
    <s v="SUMINISTRO MATERIAL LIMPIEZA PARA EL CENTRO DE FORMACION PARA EL EMPLEO EN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10"/>
  </r>
  <r>
    <n v="220210043774"/>
    <s v="AD"/>
    <d v="2021-07-27T00:00:00"/>
    <n v="22021005762"/>
    <s v="2021 11 1621 22706"/>
    <n v="76.599999999999994"/>
    <x v="986"/>
    <s v="INSPECCIÓN TÉCNICA PERIODICA ANUAL DEL ASCENSOR SITO EN C/ TOPACIO, 63, INSTALACIONES DEL Sº DE LIMPIEZA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2"/>
    <s v="22706"/>
  </r>
  <r>
    <n v="220210036218"/>
    <s v="AD"/>
    <d v="2021-07-06T00:00:00"/>
    <n v="22021004964"/>
    <s v="2021 07 1721 213"/>
    <n v="429.55"/>
    <x v="987"/>
    <s v="PUESTA A PUNTO DE LA CALDERA DEL CENTRO MUNICIPAL DE ACÚSTICA. SERVICIO DE MEDIO AMBIENTE"/>
    <s v="220"/>
    <s v="ZARATAN"/>
    <s v="VALLADOLID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1"/>
    <s v="213"/>
  </r>
  <r>
    <n v="220210050946"/>
    <s v="AD"/>
    <d v="2021-09-07T00:00:00"/>
    <n v="22021005133"/>
    <s v="2021 03 9241 632"/>
    <n v="28.21"/>
    <x v="0"/>
    <s v="COORDINACIÓN SEGURIDAD OBRA RECONSTRUCCIÓN DEL ACCESO AL CEAS CC DELICIAS. LOTE 4"/>
    <s v="220"/>
    <s v="VALLADOLID"/>
    <s v="VALLADOLID"/>
    <x v="0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2"/>
  </r>
  <r>
    <n v="220210036424"/>
    <s v="ADO"/>
    <d v="2021-07-07T00:00:00"/>
    <n v="22021005311"/>
    <s v="2021 10 2312 22799"/>
    <n v="1105.3499999999999"/>
    <x v="317"/>
    <s v="Servicio SMA Centros de Mayores // Cuota Diciembre 2020"/>
    <s v="24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2"/>
    <s v="2312. Iniciativas sociales"/>
    <s v="22"/>
    <s v="22799"/>
  </r>
  <r>
    <n v="220210036425"/>
    <s v="ADO"/>
    <d v="2021-07-07T00:00:00"/>
    <n v="22021005312"/>
    <s v="2021 10 2312 22799"/>
    <n v="1105.3499999999999"/>
    <x v="317"/>
    <s v="Servicio SMA Centros de Mayores // Cuota Noviembre 2020"/>
    <s v="24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2"/>
    <s v="2312. Iniciativas sociales"/>
    <s v="22"/>
    <s v="22799"/>
  </r>
  <r>
    <n v="220210043795"/>
    <s v="D"/>
    <d v="2021-07-27T00:00:00"/>
    <n v="22021003337"/>
    <s v="2021 04 9204 641"/>
    <n v="4742.75"/>
    <x v="988"/>
    <s v="SUSCRIPCIONES A AVID MEDIA COMPOSER, ADOBE:  CREATIVE CLOUD, PHOTOSHOP  Y A ACROBAT DC, LOTE 15"/>
    <s v="300"/>
    <s v="LLEIDA"/>
    <s v="LLEIDA"/>
    <x v="1"/>
    <s v="PrAbier - Procedimiento Abierto"/>
    <s v="UniC - Único Criterio"/>
    <x v="1"/>
    <x v="2"/>
    <s v="6"/>
    <s v="6. Inversiones reales"/>
    <s v="04"/>
    <x v="3"/>
    <s v="9204"/>
    <s v="9204. Tecnologías de la información y comunicación"/>
    <s v="64"/>
    <s v="641"/>
  </r>
  <r>
    <n v="220210048540"/>
    <s v="REIN"/>
    <d v="2021-08-20T00:00:00"/>
    <n v="22021000470"/>
    <s v="2021 06 3232 213"/>
    <n v="-38.119999999999997"/>
    <x v="50"/>
    <s v="Servicio mantenimiento equipos durante el mes de Enero 2021 (Colegios Públicos)"/>
    <s v="891"/>
    <s v="VIGO"/>
    <s v="PONTEVEDRA"/>
    <x v="0"/>
    <s v="PrAbier - Procedimiento Abierto"/>
    <s v="UniC - Único 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48538"/>
    <s v="REIN"/>
    <d v="2021-08-20T00:00:00"/>
    <n v="22021000470"/>
    <s v="2021 06 3232 213"/>
    <n v="-38.11"/>
    <x v="50"/>
    <s v="Servicio mantenimiento equipos durante el mes de Enero 2021 (Colegios Públicos)"/>
    <s v="891"/>
    <s v="VIGO"/>
    <s v="PONTEVEDRA"/>
    <x v="0"/>
    <s v="PrAbier - Procedimiento Abierto"/>
    <s v="UniC - Único Criterio"/>
    <x v="1"/>
    <x v="2"/>
    <s v="2"/>
    <s v="2. Gastos corrientes en bienes y servicios"/>
    <s v="06"/>
    <x v="0"/>
    <s v="3232"/>
    <s v="3232. Conservación y mantenimiento centros educación infantil y primaria"/>
    <s v="21"/>
    <s v="213"/>
  </r>
  <r>
    <n v="220210045558"/>
    <s v="AD"/>
    <d v="2021-08-06T00:00:00"/>
    <n v="22021005997"/>
    <s v="2021 03 9241 212"/>
    <n v="2662"/>
    <x v="989"/>
    <s v="SUSTITUCIÓN DE LAMAS ROTAS (POR ACTO VANDÁLICO) EN CC CANAL DE CASTILLA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39533"/>
    <s v="AD"/>
    <d v="2021-07-16T00:00:00"/>
    <n v="22021005743"/>
    <s v="2021 03 9200 22602"/>
    <n v="3000"/>
    <x v="479"/>
    <s v="35 CUÑAS DE LUNES A DOMINGO PROCESO PRESUPUESTOS PARTICIPATIVOS DE 14 A 28 DE JUNIO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36487"/>
    <s v="AD"/>
    <d v="2021-07-07T00:00:00"/>
    <n v="22021005003"/>
    <s v="2021 04 9231 22200"/>
    <n v="551528.84"/>
    <x v="267"/>
    <s v="PRORROGA CONTRATO SERVICIOS POSTALES  DE JULIO A DICIEMBRE 2021"/>
    <s v="220"/>
    <s v="VALLADOLID"/>
    <s v="VALLADOLID"/>
    <x v="0"/>
    <s v="PrAbier - Procedimiento Abierto"/>
    <s v="MultiC - MultiCriterio"/>
    <x v="1"/>
    <x v="2"/>
    <s v="2"/>
    <s v="2. Gastos corrientes en bienes y servicios"/>
    <s v="04"/>
    <x v="3"/>
    <s v="9231"/>
    <s v="9231. Información, registro y gestión del padrón"/>
    <s v="22"/>
    <s v="22200"/>
  </r>
  <r>
    <n v="220210039701"/>
    <s v="AD"/>
    <d v="2021-07-16T00:00:00"/>
    <n v="22021005767"/>
    <s v="2021 08 1532 22103"/>
    <n v="4500"/>
    <x v="252"/>
    <s v="Suministro de AUTOGAS a vehículos del Servicio de Espacio Público e Infraestructuras. Año 2021.-"/>
    <s v="220"/>
    <s v="MADRID"/>
    <s v="MADR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103"/>
  </r>
  <r>
    <n v="220210048530"/>
    <s v="AD"/>
    <d v="2021-08-20T00:00:00"/>
    <n v="22021006152"/>
    <s v="2021 08 1532 619"/>
    <n v="33.67"/>
    <x v="368"/>
    <s v="Redacción EBSS del Proyecto de Reparación de estructuras, mobiliario y edificio en Plaza de la Solidaridad.-"/>
    <s v="220"/>
    <s v="VALLADOLID"/>
    <s v="VALLADOLID"/>
    <x v="0"/>
    <s v="PrAbier - Procedimiento Abierto"/>
    <s v="SinC - Sin Criterio"/>
    <x v="1"/>
    <x v="2"/>
    <s v="6"/>
    <s v="6. Inversiones reales"/>
    <s v="08"/>
    <x v="9"/>
    <s v="1532"/>
    <s v="1532. Pavimentación vias públicas y otros servicios urbanísticos"/>
    <s v="61"/>
    <s v="619"/>
  </r>
  <r>
    <n v="220210042191"/>
    <s v="AD"/>
    <d v="2021-07-23T00:00:00"/>
    <n v="22021005529"/>
    <s v="2021 09 3301 22799"/>
    <n v="2400"/>
    <x v="463"/>
    <s v="CONTRATO SERVICIO DE BUSQUEDA DE RESTOS DE LA CAPILLA LAS MARAVILLAS MEDIANTE MICROPERFORACIONES EN LOCAL B SANTANDER"/>
    <s v="220"/>
    <s v="LA CISTERNIGA"/>
    <s v="VALLADOLID"/>
    <x v="0"/>
    <s v="AdDirec - Adjudicación Directa"/>
    <s v="SinC - Sin Criterio"/>
    <x v="0"/>
    <x v="2"/>
    <s v="2"/>
    <s v="2. Gastos corrientes en bienes y servicios"/>
    <s v="09"/>
    <x v="1"/>
    <s v="3301"/>
    <s v="3301. Dirección del área de cultura"/>
    <s v="22"/>
    <s v="22799"/>
  </r>
  <r>
    <n v="220210044276"/>
    <s v="AD"/>
    <d v="2021-07-29T00:00:00"/>
    <n v="22021005915"/>
    <s v="2021 09 3301 22799"/>
    <n v="20"/>
    <x v="463"/>
    <s v="ERROR EN EL CALCULO DEL IVA EN PAG ANTERIOR/ AD COMPLEMENTARIO AL AD Nº 920210014657"/>
    <s v="220"/>
    <s v="LA CISTERNIGA"/>
    <s v="VALLADOLID"/>
    <x v="0"/>
    <s v="AdDirec - Adjudicación Directa"/>
    <s v="SinC - Sin Criterio"/>
    <x v="0"/>
    <x v="2"/>
    <s v="2"/>
    <s v="2. Gastos corrientes en bienes y servicios"/>
    <s v="09"/>
    <x v="1"/>
    <s v="3301"/>
    <s v="3301. Dirección del área de cultura"/>
    <s v="22"/>
    <s v="22799"/>
  </r>
  <r>
    <n v="220210041809"/>
    <s v="D"/>
    <d v="2021-07-22T00:00:00"/>
    <n v="22021002088"/>
    <s v="2021 03 9241 212"/>
    <n v="656.2"/>
    <x v="410"/>
    <s v="SUMINISTRO DE DIFERENTES REPUESTOS /// DESTINOS: C.C. RONDILLA - C.C.DELICIAS - CC PILARICA - CIC CONDE ANSUREZ"/>
    <s v="300"/>
    <s v="VALDELAFUENTE"/>
    <s v="LEON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36406"/>
    <s v="D"/>
    <d v="2021-07-07T00:00:00"/>
    <n v="22021002228"/>
    <s v="2021 06 3232 212"/>
    <n v="497.7"/>
    <x v="410"/>
    <s v="SUMINISTRO REPUESTOS/ DESTINOS C.P.: ALONSO BERRUG.- FCO PINO- EL CORRO- GINER RIOS- MARTIN B.-GAB.Y GALAN- COLEG jun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0910"/>
    <s v="D"/>
    <d v="2021-07-20T00:00:00"/>
    <n v="22021002369"/>
    <s v="2021 02 9332 212"/>
    <n v="328.06"/>
    <x v="410"/>
    <s v="MATERIALES PARA EL MANTENIMIENTO (PARKING PLAZA MAYOR / PARQUE MANTENIMIENTO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36777"/>
    <s v="D"/>
    <d v="2021-07-09T00:00:00"/>
    <n v="22021001968"/>
    <s v="2021 11 1321 22199"/>
    <n v="260.88"/>
    <x v="410"/>
    <s v="ACUERDO MARCO. SUMINISTRO DE MATERIAL DE FONTANERIA PARA REPARACIONES DEPENDENCIAS DE POLICÍA MUNICIPAL.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36447"/>
    <s v="D"/>
    <d v="2021-07-07T00:00:00"/>
    <n v="22021001275"/>
    <s v="2021 07 1711 22199"/>
    <n v="51.56"/>
    <x v="410"/>
    <s v="ACUERDO MARCO 2017/36, MATERIAL DE FONTANERIA."/>
    <s v="300"/>
    <s v="VALDELAFUENTE"/>
    <s v="LEON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4398"/>
    <s v="D"/>
    <d v="2021-07-30T00:00:00"/>
    <n v="22021002144"/>
    <s v="2021 10 2311 212"/>
    <n v="41.73"/>
    <x v="410"/>
    <s v="F-7553. GARCICHAO. D2P CON TIRANTE PULSADOR ENRAS/KIT G PULSADOR ENRAS/KIT TAPON LIMP URINARI SUSP. CEAS CENTRO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36819"/>
    <s v="D"/>
    <d v="2021-07-09T00:00:00"/>
    <n v="22021002052"/>
    <s v="2021 11 1621 22199"/>
    <n v="40.119999999999997"/>
    <x v="410"/>
    <s v="AC MARCO EXP. V36-2017: SUMINISTRO MATERIAL FONTANERIA Y SANEAMIENTO (LIMPIEZA, C/ GARCÍA LESMES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36745"/>
    <s v="D"/>
    <d v="2021-07-09T00:00:00"/>
    <n v="22021001169"/>
    <s v="2021 10 2412 212"/>
    <n v="35.049999999999997"/>
    <x v="410"/>
    <s v="MANT. REDUCCIÓN EXCÉNTRICA,TAPÓN REDUCC, MANGUITO, CODOS, TUBERÍA , SOLDADOR COLLAK DEL C.F. PARA EL EMPLEO- DURAC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10036361"/>
    <s v="D"/>
    <d v="2021-07-07T00:00:00"/>
    <n v="22021001039"/>
    <s v="2021 10 2312 212"/>
    <n v="27.83"/>
    <x v="410"/>
    <s v="MANT. SUMINISTRO DE DOSIFICADOR JABON VISION 1,4LT ( 1 UNID.) / DESTINO: CPM HUERTA DEL REY -DURACION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36759"/>
    <s v="D"/>
    <d v="2021-07-09T00:00:00"/>
    <n v="22021002369"/>
    <s v="2021 02 9332 212"/>
    <n v="22.35"/>
    <x v="410"/>
    <s v="VALVULA ESF.GENEBRE 3/4 MH MARIPO (2) / CODO 90º ROSCA METAL H 25 (2) / TAPÓN LATÓN (2) // RECINTO FERIAL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0164"/>
    <s v="D"/>
    <d v="2021-07-19T00:00:00"/>
    <n v="22021001038"/>
    <s v="2021 10 2312 212"/>
    <n v="17.809999999999999"/>
    <x v="410"/>
    <s v="SUMINISTRO REPARACIONE-DISPENS PAPEL(CPM PUENTE COLGANTE) / MECANISMO UNIVERSAL ROCA E/LATERAL (CPM ZONA ESTE)DUR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0164"/>
    <s v="D"/>
    <d v="2021-07-19T00:00:00"/>
    <n v="22021001039"/>
    <s v="2021 10 2312 212"/>
    <n v="13.64"/>
    <x v="410"/>
    <s v="SUMINISTRO REPARACIONE-DISPENS PAPEL(CPM PUENTE COLGANTE) / MECANISMO UNIVERSAL ROCA E/LATERAL (CPM ZONA ESTE)DUR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5666"/>
    <s v="D"/>
    <d v="2021-08-06T00:00:00"/>
    <n v="22021002046"/>
    <s v="2021 11 1621 212"/>
    <n v="38.79"/>
    <x v="410"/>
    <s v="AC MARCO EXP. V36-2017: MATERIALES DE FONTANERIA PARA REPARACION EN VESTUARIOS PRADO DE LA MAGDALENA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2"/>
  </r>
  <r>
    <n v="220210045190"/>
    <s v="D"/>
    <d v="2021-08-03T00:00:00"/>
    <n v="22021002142"/>
    <s v="2021 10 2311 212"/>
    <n v="27.83"/>
    <x v="410"/>
    <s v="F-7951. SUMINISTROS GARCICHAO, S.L. DOSIFICADOR JABON VISION 1,4LT. COMEDOR SOCIAL.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5069"/>
    <s v="D"/>
    <d v="2021-08-03T00:00:00"/>
    <n v="22021001039"/>
    <s v="2021 10 2312 212"/>
    <n v="74.05"/>
    <x v="410"/>
    <s v="MANT. SUMINISTRO DE ASIENTO PRESTOWASH 700ASIENTO-TAP ///   DESTINO: CPM JOSE LUIS MOSQUERA-DURACION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6000"/>
    <s v="D"/>
    <d v="2021-08-10T00:00:00"/>
    <n v="22021002228"/>
    <s v="2021 06 3232 212"/>
    <n v="331.31"/>
    <x v="410"/>
    <s v="MATERIALES PARA EL MANTENIMIENTO // CP FCO PINO/ CP SAN FERNANDO/ CP GINER DE LOS RIOS/ CP GARCÍA QUINTANA. jun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6057"/>
    <s v="D"/>
    <d v="2021-08-10T00:00:00"/>
    <n v="22021002228"/>
    <s v="2021 06 3232 212"/>
    <n v="30.19"/>
    <x v="410"/>
    <s v="PRESTO CABEZA F-C/P 1028 (NARCISO ALONSO CORTÉS). jul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6010"/>
    <s v="D"/>
    <d v="2021-08-10T00:00:00"/>
    <n v="22021002228"/>
    <s v="2021 06 3232 212"/>
    <n v="286.42"/>
    <x v="410"/>
    <s v="SUMINISTRO DE REPUESTOS Y MATERIAL DIVERSO/ DESTINOS: C.P. ENTRERRIOS- CP NARCISO CORTÉS- CP ALLUE MORER. jul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961"/>
    <s v="AD"/>
    <d v="2021-09-07T00:00:00"/>
    <n v="22021006430"/>
    <s v="2021 02 9332 632"/>
    <n v="1029.07"/>
    <x v="410"/>
    <s v="SUMINISTRO BOMBAS ACHIQUE AGUA DESDE TERCER SÓTANO A CALLE EN ARCHIVO MUNICIPAL"/>
    <s v="220"/>
    <s v="VALDELAFUENTE"/>
    <s v="LEON"/>
    <x v="1"/>
    <s v="PrAbier - Procedimiento Abierto"/>
    <s v="MultiC - MultiCriterio"/>
    <x v="2"/>
    <x v="2"/>
    <s v="6"/>
    <s v="6. Inversiones reales"/>
    <s v="02"/>
    <x v="10"/>
    <s v="9332"/>
    <s v="9332. Mantenimiento de edificios e instalaciones municipales"/>
    <s v="63"/>
    <s v="632"/>
  </r>
  <r>
    <n v="220210053651"/>
    <s v="D"/>
    <d v="2021-09-13T00:00:00"/>
    <n v="22021002228"/>
    <s v="2021 06 3232 212"/>
    <n v="559.96"/>
    <x v="410"/>
    <s v="SUMINISTRO DE MATERIAL /// DESTINOS: CP. NARCISO A. CORTES- CP PONCE LEON - CP SAN FRANCISCO - EDUCACION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9862"/>
    <s v="D"/>
    <d v="2021-08-25T00:00:00"/>
    <n v="22021002225"/>
    <s v="2021 06 3231 212"/>
    <n v="281.88"/>
    <x v="410"/>
    <s v="SUMINISTRO DE PIEZAS Y RECAMBIOS ////   DESTINO: GUARDERIA INFANTIL PLATERO 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49855"/>
    <s v="D"/>
    <d v="2021-08-25T00:00:00"/>
    <n v="22021002228"/>
    <s v="2021 06 3232 212"/>
    <n v="212.43"/>
    <x v="410"/>
    <s v="SUMINISTRO DE MATERIAL Y RECAMBIOS. DESTINOS: C.P. NARCISO A. CORTES, C.P. PONCE DE LEON Y CP. GINER DE LOS RIOS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780"/>
    <s v="D"/>
    <d v="2021-08-20T00:00:00"/>
    <n v="22021002369"/>
    <s v="2021 02 9332 212"/>
    <n v="182.17"/>
    <x v="410"/>
    <s v="FILTRO VAPORES/ DESATASCADOR/ FILTRO ELIPSE/ DOSICO-DISPENS PAPEL/ DOSIFICADOR JABÓN/ ESCOBILLERO // MANTENIMIENTO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3653"/>
    <s v="D"/>
    <d v="2021-09-13T00:00:00"/>
    <n v="22021002228"/>
    <s v="2021 06 3232 212"/>
    <n v="112.13"/>
    <x v="410"/>
    <s v="LOCTITE 55 HILO SELLADOR TUBERIAS / RED. HEXAGONAL / ENLACE ROSCA METAL (CP NARCISO ALONSO CORTÉS)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7813"/>
    <s v="D"/>
    <d v="2021-08-17T00:00:00"/>
    <n v="22021002088"/>
    <s v="2021 03 9241 212"/>
    <n v="64.239999999999995"/>
    <x v="410"/>
    <s v="GOMA TOPE REBOSADERO/ PRESTO URINARIO/ MASILLA POLIMERO BLANCO/ PRESTO ENLACE URINARIO (CC PARQUESOL)"/>
    <s v="300"/>
    <s v="VALDELAFUENTE"/>
    <s v="LEON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48789"/>
    <s v="D"/>
    <d v="2021-08-20T00:00:00"/>
    <n v="22021002369"/>
    <s v="2021 02 9332 212"/>
    <n v="35.619999999999997"/>
    <x v="410"/>
    <s v="CAMPANA UNIVERSAL ECO CYCLO 10 3G/ FOMINAYA-FLOTADOR FENYX E/LATERAL (SANTA ANA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3462"/>
    <s v="D"/>
    <d v="2021-09-13T00:00:00"/>
    <n v="22021001038"/>
    <s v="2021 10 2312 212"/>
    <n v="27.37"/>
    <x v="410"/>
    <s v="MANT. SUMINISTRO DE  TUBO POLIET BD 10 ATM Y ENLACE RECTO METAL: CPM DELICIAS- DURACION 1 DIA- A. MARCO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0105"/>
    <s v="D"/>
    <d v="2021-08-27T00:00:00"/>
    <n v="22021002088"/>
    <s v="2021 03 9241 212"/>
    <n v="26.95"/>
    <x v="410"/>
    <s v="AIREADOR GRIFO MACHO / MECANISMO UNIVERSAL ROCA  / LATIGUILLO FLEX ////  DESTINO: C.C. JOSE LUIS MOSQUERA"/>
    <s v="300"/>
    <s v="VALDELAFUENTE"/>
    <s v="LEON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49869"/>
    <s v="D"/>
    <d v="2021-08-25T00:00:00"/>
    <n v="22021001968"/>
    <s v="2021 11 1321 22199"/>
    <n v="12.55"/>
    <x v="410"/>
    <s v="ACUERDO MARCO. COLLAK-DESATASCADOR 1 LT ACIDO DEPENDENCIAS POLICÍA (POLICÍA, AVDA DE BURGOS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0088"/>
    <s v="D"/>
    <d v="2021-07-19T00:00:00"/>
    <n v="22021002089"/>
    <s v="2021 03 9241 213"/>
    <n v="142.33000000000001"/>
    <x v="265"/>
    <s v="CIERRA PUERTAS DORMAN TS 68 (3 UDS) // CENTRO SEGUNDO MONTE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36821"/>
    <s v="D"/>
    <d v="2021-07-09T00:00:00"/>
    <n v="22021002057"/>
    <s v="2021 11 1631 22199"/>
    <n v="119.45"/>
    <x v="265"/>
    <s v="AC MARCO EXP V36-2017: SUMINISTRO CERRADURA PARA VESTUARIO LIMPIEZA VIARIA (PILARICA LOS SANTOS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36414"/>
    <s v="D"/>
    <d v="2021-07-07T00:00:00"/>
    <n v="22021002228"/>
    <s v="2021 06 3232 212"/>
    <n v="109.07"/>
    <x v="265"/>
    <s v="CIERRA PUERTAS TELESCO 33 (1 UNID.) // DESTINO: CEIP GONZALO DE CORDOBA -  RETIRA EL TECNIC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0086"/>
    <s v="D"/>
    <d v="2021-07-19T00:00:00"/>
    <n v="22021002089"/>
    <s v="2021 03 9241 213"/>
    <n v="60.99"/>
    <x v="265"/>
    <s v="KIT CERRADURA ARREGUI CER10 (3)/ SILICONA NEUTRA BLANCA (6) // CIC CONDE ANSÚREZ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36785"/>
    <s v="D"/>
    <d v="2021-07-09T00:00:00"/>
    <n v="22021002369"/>
    <s v="2021 02 9332 212"/>
    <n v="51.55"/>
    <x v="265"/>
    <s v="BROCA DIN338 HSS RECT.D3 (10)/ BROCA D.338 HSS D3.50 (10) // MANTENIMIENTO - TALLER DE CERRAJERÍ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36404"/>
    <s v="D"/>
    <d v="2021-07-07T00:00:00"/>
    <n v="22021002228"/>
    <s v="2021 06 3232 212"/>
    <n v="44.64"/>
    <x v="265"/>
    <s v="CERRADURA CORREDERA (3)  / CEYS MONTACK XPRESS (1) /// DESTINO: CP MIGUEL DELIBES - RETIRA EL TECNIC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36418"/>
    <s v="D"/>
    <d v="2021-07-07T00:00:00"/>
    <n v="22021002228"/>
    <s v="2021 06 3232 212"/>
    <n v="39.450000000000003"/>
    <x v="265"/>
    <s v="BURLETE AMIG MOD.2-100 PLATA (4 UDS) // CEIP MARINA ESCOBAR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36416"/>
    <s v="D"/>
    <d v="2021-07-07T00:00:00"/>
    <n v="22021002228"/>
    <s v="2021 06 3232 212"/>
    <n v="24.56"/>
    <x v="265"/>
    <s v="BURLETE AMIG MOD.2-100 PLATA (2) / PUNTA DESTORNILLADOR WIHA PH 2X25 TITANI (2) // CEIP GARCÍA QUINTANA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36427"/>
    <s v="D"/>
    <d v="2021-07-07T00:00:00"/>
    <n v="22021001038"/>
    <s v="2021 10 2312 212"/>
    <n v="23.93"/>
    <x v="265"/>
    <s v="MANT. SUMINISTRO DE M.BAS.2246/20E13AI PARA REPARACIONES DEL  C.P.M. RONDILL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36420"/>
    <s v="D"/>
    <d v="2021-07-07T00:00:00"/>
    <n v="22021002228"/>
    <s v="2021 06 3232 212"/>
    <n v="7.5"/>
    <x v="265"/>
    <s v="PASADOR ALUMINIO 4015-150 PLATA // CEIP MARINA ESCOBAR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0170"/>
    <s v="D"/>
    <d v="2021-08-27T00:00:00"/>
    <n v="22021001968"/>
    <s v="2021 11 1321 22199"/>
    <n v="92.71"/>
    <x v="265"/>
    <s v="ACUERDO MARCO. SUMINISTRO CERRADURA DEPENDENCIAS DISTRITO 1º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40129"/>
    <s v="D"/>
    <d v="2021-07-19T00:00:00"/>
    <n v="22021002054"/>
    <s v="2021 11 1631 214"/>
    <n v="3443.3"/>
    <x v="411"/>
    <s v="AC MARCO EXP. V36-2017: SUMINISTRO DE REPUESTOS ///  DESTINO: REPARACION BARREDORAS SERVICIO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1"/>
    <s v="214"/>
  </r>
  <r>
    <n v="220210040125"/>
    <s v="D"/>
    <d v="2021-07-19T00:00:00"/>
    <n v="22021002056"/>
    <s v="2021 11 1631 22110"/>
    <n v="860.27"/>
    <x v="411"/>
    <s v="AC MARCO EXP. V36-2017: 10 UDS- BOLSA NEGRA 90X95 G-140 BDR PL TOTAL (1000 unid) //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0117"/>
    <s v="D"/>
    <d v="2021-07-19T00:00:00"/>
    <n v="22021002052"/>
    <s v="2021 11 1621 22199"/>
    <n v="235.95"/>
    <x v="411"/>
    <s v="AC MARCO EXP V36-2017: SUMISNITROS VARIOS PARA EL SERV.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472"/>
    <s v="D"/>
    <d v="2021-08-05T00:00:00"/>
    <n v="22021002052"/>
    <s v="2021 11 1621 22199"/>
    <n v="356.44"/>
    <x v="411"/>
    <s v="AC MARCO ESP. V36-2017: SUMINISTROS VARIOS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476"/>
    <s v="D"/>
    <d v="2021-08-05T00:00:00"/>
    <n v="22021002056"/>
    <s v="2021 11 1631 22110"/>
    <n v="860.27"/>
    <x v="411"/>
    <s v="AC MARCO EXP V36-2017: 10 UDS- BOLSA NEGRA 90X95 G-140 BDR PL TOTAL (1000 unid) CARROS BARRIDO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5470"/>
    <s v="D"/>
    <d v="2021-08-05T00:00:00"/>
    <n v="22021002052"/>
    <s v="2021 11 1621 22199"/>
    <n v="96.2"/>
    <x v="411"/>
    <s v="AC MARCO EXP V36-2017: JUEGO 103 VASOS 1/4-1/2 (HERRAMIENTA TALLER SERVICIO LIMPIEZ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478"/>
    <s v="D"/>
    <d v="2021-08-05T00:00:00"/>
    <n v="22021002056"/>
    <s v="2021 11 1631 22110"/>
    <n v="1804.07"/>
    <x v="411"/>
    <s v="AC MARCO EXP. V36-2017: SUMINISTRO BOLSAS CARROS BARRIDO, CUBOS Y CONTENEDOR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45474"/>
    <s v="D"/>
    <d v="2021-08-05T00:00:00"/>
    <n v="22021002052"/>
    <s v="2021 11 1621 22199"/>
    <n v="298.14"/>
    <x v="411"/>
    <s v="AC MARCO EXP. V36-2017: SUMINISTROS INDUSTRIALES sª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5480"/>
    <s v="D"/>
    <d v="2021-08-05T00:00:00"/>
    <n v="22021002057"/>
    <s v="2021 11 1631 22199"/>
    <n v="3332.12"/>
    <x v="411"/>
    <s v="AC. MARCO EXP V36-2017: CARRO TALLER PORTA HERRAMIENTAS Y CONTENEDORES CON RUEDAS TALLE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1095"/>
    <s v="D"/>
    <d v="2021-09-09T00:00:00"/>
    <n v="22021002056"/>
    <s v="2021 11 1631 22110"/>
    <n v="3608.15"/>
    <x v="411"/>
    <s v="AC MARCO EXP V36-2017: SUMINISTRO BOLSA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53483"/>
    <s v="D"/>
    <d v="2021-09-13T00:00:00"/>
    <n v="22021002052"/>
    <s v="2021 11 1621 22199"/>
    <n v="1418.22"/>
    <x v="411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48706"/>
    <s v="D"/>
    <d v="2021-08-20T00:00:00"/>
    <n v="22021002048"/>
    <s v="2021 11 1621 214"/>
    <n v="1377.48"/>
    <x v="411"/>
    <s v="AC MARCO EXP V36-2017: REPUESTOS PARA VEHICULO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3481"/>
    <s v="D"/>
    <d v="2021-09-13T00:00:00"/>
    <n v="22021002048"/>
    <s v="2021 11 1621 214"/>
    <n v="318.47000000000003"/>
    <x v="411"/>
    <s v="AC MARCO EXP V36-2017: RODAMIENTOS REPARACION ELELVADOR FMO VEHIU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7862"/>
    <s v="D"/>
    <d v="2021-08-17T00:00:00"/>
    <n v="22021002133"/>
    <s v="2021 08 1651 22199"/>
    <n v="211.57"/>
    <x v="411"/>
    <s v="TIJERA/ FLEXÓMETRO/ LLAVE/ INSECTICIDA/ ESCUADRA REDONDA/ DESTOR AISLO/ LLAVE L/ CREMA SOLAR/ MULTIUSO/ DISCO CORTE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651"/>
    <s v="1651. Alumbrado público"/>
    <s v="22"/>
    <s v="22199"/>
  </r>
  <r>
    <n v="220210050155"/>
    <s v="D"/>
    <d v="2021-08-27T00:00:00"/>
    <n v="22021002048"/>
    <s v="2021 11 1621 214"/>
    <n v="180.79"/>
    <x v="411"/>
    <s v="AC MARCO EXP V36-2017: SUMINISTROS PARA VEHICULO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43810"/>
    <s v="AD"/>
    <d v="2021-07-27T00:00:00"/>
    <n v="22021005764"/>
    <s v="2021 10 2412 22199"/>
    <n v="243"/>
    <x v="461"/>
    <s v="SUMINISTRO DE GUANTES DE VINILO PARA EL CURSO DE V. CUIDA IV DEL C.DE FORMACION PARA EL EMPLEO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412"/>
    <s v="2412. Formación para el empleo"/>
    <s v="22"/>
    <s v="22199"/>
  </r>
  <r>
    <n v="220210036834"/>
    <s v="AD"/>
    <d v="2021-07-12T00:00:00"/>
    <n v="22021005584"/>
    <s v="2021 11 1321 214"/>
    <n v="1142.28"/>
    <x v="381"/>
    <s v="REPARACIÓN DE VEHÍCULOS 6234 JKP, 0672 HHG, 3715 KGD Y 3709 KGD. ( ACUERDO MARCO EN TRAMITACIÓN)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4"/>
  </r>
  <r>
    <n v="220210045482"/>
    <s v="D"/>
    <d v="2021-08-05T00:00:00"/>
    <n v="22021004982"/>
    <s v="2021 06 3261 214"/>
    <n v="679.8"/>
    <x v="381"/>
    <s v="ACUERDO MARCO_2024FSB: ACEITE Y FILTROS/ SUSTITUIR BOMBA Y CORREA Y ANTICONGELANTE/ LAMPARA PILOTO DERECH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0"/>
    <s v="3261"/>
    <s v="3261. Servicios complementarios de educación"/>
    <s v="21"/>
    <s v="214"/>
  </r>
  <r>
    <n v="220210047087"/>
    <s v="D"/>
    <d v="2021-08-13T00:00:00"/>
    <n v="22021004423"/>
    <s v="2021 08 1341 214"/>
    <n v="98.62"/>
    <x v="381"/>
    <s v="ACUERDO MARCO_7614GSB: LIMPIEZA DE INYECTORES Y DIAGNOSIS/ LECTURA Y BORRADO DE AVERIA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9"/>
    <s v="1341"/>
    <s v="1341. Movilidad"/>
    <s v="21"/>
    <s v="214"/>
  </r>
  <r>
    <n v="220210048745"/>
    <s v="D"/>
    <d v="2021-08-20T00:00:00"/>
    <n v="22021006022"/>
    <s v="2021 01 9203 214"/>
    <n v="202.53"/>
    <x v="381"/>
    <s v="ACUERDO MARCO REPARACION VEHICULO RENAULT LAGUNA 1426DLN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4"/>
    <s v="9203"/>
    <s v="9203. Unidad de régimen interior"/>
    <s v="21"/>
    <s v="214"/>
  </r>
  <r>
    <n v="220210048743"/>
    <s v="D"/>
    <d v="2021-08-20T00:00:00"/>
    <n v="22021006022"/>
    <s v="2021 01 9203 214"/>
    <n v="171.87"/>
    <x v="381"/>
    <s v="ACUERDO MARCO_REPARACION VEHICULO RENAULT LAGUNA 0901GKZ: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4"/>
    <s v="9203"/>
    <s v="9203. Unidad de régimen interior"/>
    <s v="21"/>
    <s v="214"/>
  </r>
  <r>
    <n v="220210049786"/>
    <s v="D"/>
    <d v="2021-08-25T00:00:00"/>
    <n v="22021005946"/>
    <s v="2021 11 1321 214"/>
    <n v="114.72"/>
    <x v="381"/>
    <s v="ACUERDO MARCO REPARACION VEHÍCULO _2893-CCZ: CARGA AA - VALVULA DE CARGA E IMPUESTO GASE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8683"/>
    <s v="D"/>
    <d v="2021-08-20T00:00:00"/>
    <n v="22021005716"/>
    <s v="2021 11 1621 634"/>
    <n v="2546.0300000000002"/>
    <x v="541"/>
    <s v="A.M. SPSC 23-2020: REPARACIONES EQUIPOS A/AC Y REVISIONES TACÓGRAFOS VEHÍCULOS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48694"/>
    <s v="D"/>
    <d v="2021-08-20T00:00:00"/>
    <n v="22021005716"/>
    <s v="2021 11 1621 634"/>
    <n v="1941.53"/>
    <x v="541"/>
    <s v="A.M. SPSC 23-2020: REPARACIONES A/AC 1410JNL Y E7337BDK, REVISONES TACOGRAFOS VEHICULOS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44000"/>
    <s v="D"/>
    <d v="2021-07-28T00:00:00"/>
    <n v="22021002602"/>
    <s v="2021 06 3321 629"/>
    <n v="2051.37"/>
    <x v="847"/>
    <s v="SUMINISTRO DE DIFERENTES TÍTULOS DVD ///  DESTINO: MONASTERIO SAN BENITO /// MES DE JUNIO DE 2021"/>
    <s v="300"/>
    <s v="BARCELONA"/>
    <s v="BARCELONA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9802"/>
    <s v="D"/>
    <d v="2021-08-25T00:00:00"/>
    <n v="22021002602"/>
    <s v="2021 06 3321 629"/>
    <n v="422.02"/>
    <x v="847"/>
    <s v="EJEMPLARES PARA LAS BIBLIOTECAS MUNICIPALES (7 TÍTULOS DVD´S). JULIO"/>
    <s v="300"/>
    <s v="BARCELONA"/>
    <s v="BARCELONA"/>
    <x v="1"/>
    <s v="PrAbier - Procedimiento Abierto"/>
    <s v="MultiC - MultiCriterio"/>
    <x v="2"/>
    <x v="2"/>
    <s v="6"/>
    <s v="6. Inversiones reales"/>
    <s v="06"/>
    <x v="0"/>
    <s v="3321"/>
    <s v="3321. Bibliotecas públicas"/>
    <s v="62"/>
    <s v="629"/>
  </r>
  <r>
    <n v="220210041567"/>
    <s v="AD"/>
    <d v="2021-07-21T00:00:00"/>
    <n v="22021005679"/>
    <s v="2021 07 1711 213"/>
    <n v="2000"/>
    <x v="449"/>
    <s v="COMPLEMENTARIO, REPARACION MAQUINARIA PARQUES Y JARDINES.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11"/>
    <s v="1711. Parques y jardines"/>
    <s v="21"/>
    <s v="213"/>
  </r>
  <r>
    <n v="220210043871"/>
    <s v="AD"/>
    <d v="2021-07-28T00:00:00"/>
    <n v="22021005816"/>
    <s v="2021 11 1361 22199"/>
    <n v="1972.3"/>
    <x v="423"/>
    <s v="Suministro, instalación y puesta en servicio de dos equipos de aire acondicionado que sustituyen a 2 averiados; SEISYPC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35418"/>
    <s v="AD"/>
    <d v="2021-07-02T00:00:00"/>
    <n v="22021005274"/>
    <s v="2021 10 2312 213"/>
    <n v="94.38"/>
    <x v="423"/>
    <s v="REPARACION RADIADOR, SUMINISTRO DE  2 TAPONES, 1 PURGADOR Y 4 MARSELLAS PARA EL  CPM DELICIAS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3"/>
  </r>
  <r>
    <n v="220210040688"/>
    <s v="AD"/>
    <d v="2021-07-20T00:00:00"/>
    <n v="22021005710"/>
    <s v="2021 10 2312 213"/>
    <n v="2160"/>
    <x v="423"/>
    <s v="MANTENIMIENTO CALEFACCION DE LOS CPM TRANSFERIDOS DURANTE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3"/>
  </r>
  <r>
    <n v="220210041848"/>
    <s v="D"/>
    <d v="2021-07-22T00:00:00"/>
    <n v="22021002144"/>
    <s v="2021 10 2311 212"/>
    <n v="43.56"/>
    <x v="423"/>
    <s v="F-6900. TAHE. SUSTITUCIÓN DE 2 PURGADORES AUT. DE COLUMNA EN CEAS DELICIAS CANTERAC (SALIDA+M.O.+MATERIALES) 02/06/21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36374"/>
    <s v="D"/>
    <d v="2021-07-07T00:00:00"/>
    <n v="22021002047"/>
    <s v="2021 11 1621 213"/>
    <n v="38.72"/>
    <x v="423"/>
    <s v="AC. M. EXP. V36-2017. CREAR SIFON EN FANCOIL DSPACHO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3"/>
  </r>
  <r>
    <n v="220210045369"/>
    <s v="AD"/>
    <d v="2021-08-05T00:00:00"/>
    <n v="22021006001"/>
    <s v="2021 10 2311 213"/>
    <n v="293.18"/>
    <x v="975"/>
    <s v="Revisión y puesta en marcha de la caldera Baxiroca en vivienda C/ Vinos de Rueda nº 22, 1º M.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54489"/>
    <s v="AD"/>
    <d v="2021-09-14T00:00:00"/>
    <n v="22021006467"/>
    <s v="2021 06 3232 632"/>
    <n v="82.52"/>
    <x v="0"/>
    <s v="COORDINACIÓN DE SEGURIDAD Y SALUD OBRA REPARACIÓN CONDENSACIÓN CUBIERTA POLIDEPORITVO TIERNO GALVAN"/>
    <s v="220"/>
    <s v="VALLADOLID"/>
    <s v="VALLADOLID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51123"/>
    <s v="ADO"/>
    <d v="2021-09-09T00:00:00"/>
    <n v="22021006298"/>
    <s v="2021 04 9321 22000"/>
    <n v="214.23"/>
    <x v="763"/>
    <s v="Papel QSystem 57x80x12 TRM 55 - Caja 25 Rollos DISPENSADOR DE TIQUES GESTION INGRESOS - PZA STA ANA 6 BJ/CITA PREVIA"/>
    <s v="240"/>
    <s v="MADRID"/>
    <s v="MADRID"/>
    <x v="1"/>
    <s v="AdDirec - Adjudicación Directa"/>
    <s v="SinC - Sin Criterio"/>
    <x v="0"/>
    <x v="2"/>
    <s v="2"/>
    <s v="2. Gastos corrientes en bienes y servicios"/>
    <s v="04"/>
    <x v="3"/>
    <s v="9321"/>
    <s v="9321. Gestión de ingresos e inspección"/>
    <s v="22"/>
    <s v="22000"/>
  </r>
  <r>
    <n v="220210043779"/>
    <s v="AD"/>
    <d v="2021-07-27T00:00:00"/>
    <n v="22021005874"/>
    <s v="2021 09 3341 22609"/>
    <n v="27.5"/>
    <x v="426"/>
    <s v="GASTO COMPLEMENTARIO LLAMADAS RDSI FERIA DEL LIBRO VALLADOLID 2021"/>
    <s v="220"/>
    <s v="TOLEDO"/>
    <s v="TOLEDO"/>
    <x v="0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609"/>
  </r>
  <r>
    <n v="220210056299"/>
    <s v="AD"/>
    <d v="2021-09-15T00:00:00"/>
    <n v="22021006513"/>
    <s v="2021 06 3232 212"/>
    <n v="15.9"/>
    <x v="990"/>
    <s v="SUMINISTRO DE MATERIAL EXCEPCIONAL DE FONTANERÍA. ROSCA 3&quot;&quot; T.N.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389"/>
    <s v="AD"/>
    <d v="2021-08-18T00:00:00"/>
    <n v="22021006058"/>
    <s v="2021 10 2312 212"/>
    <n v="15"/>
    <x v="876"/>
    <s v="MANT. SUMINISTRO MATERIAL REPARACION PERSIANA DEL CPM PTE. COLGANTE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34309"/>
    <s v="AD"/>
    <d v="2021-07-01T00:00:00"/>
    <n v="22021005144"/>
    <s v="2021 06 3232 632"/>
    <n v="38720"/>
    <x v="295"/>
    <s v="REFORMA SOLERAS EN PATIOS DEL CEIP VICENTE ALEIXANDRE Y PONCE DE LEÓN"/>
    <s v="220"/>
    <s v="TORDESILLAS"/>
    <s v="VALLADOLID"/>
    <x v="2"/>
    <s v="AdDirec - Adjudicación Directa"/>
    <s v="SinC - Sin Criterio"/>
    <x v="0"/>
    <x v="2"/>
    <s v="6"/>
    <s v="6. Inversiones reales"/>
    <s v="06"/>
    <x v="0"/>
    <s v="3232"/>
    <s v="3232. Conservación y mantenimiento centros educación infantil y primaria"/>
    <s v="63"/>
    <s v="632"/>
  </r>
  <r>
    <n v="220210036314"/>
    <s v="AD"/>
    <d v="2021-07-07T00:00:00"/>
    <n v="22021004776"/>
    <s v="2021 07 1711 619"/>
    <n v="229017.34"/>
    <x v="564"/>
    <s v="ADECUACION DE CAMINOS EN VILLA DEL PRADO Y HUERTA DEL REY."/>
    <s v="220"/>
    <s v="VALLADOLID"/>
    <s v="VALLADOLID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43854"/>
    <s v="AD"/>
    <d v="2021-07-28T00:00:00"/>
    <n v="22021004895"/>
    <s v="2021 07 1711 619"/>
    <n v="36340.21"/>
    <x v="564"/>
    <s v="ADECUACION DE PASARELA DEL PARQUE DE LOS ALMENDROS."/>
    <s v="220"/>
    <s v="VALLADOLID"/>
    <s v="VALLADOLID"/>
    <x v="2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3857"/>
    <s v="AD"/>
    <d v="2021-07-28T00:00:00"/>
    <n v="22021005170"/>
    <s v="2021 07 1711 619"/>
    <n v="19565.12"/>
    <x v="564"/>
    <s v="REALIZACION CAMINO PAVIMENTADO JUNTO AL PARQUE PATRICIA."/>
    <s v="220"/>
    <s v="VALLADOLID"/>
    <s v="VALLADOLID"/>
    <x v="2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8521"/>
    <s v="AD"/>
    <d v="2021-08-20T00:00:00"/>
    <n v="22021006096"/>
    <s v="2021 11 1621 212"/>
    <n v="4.59"/>
    <x v="251"/>
    <s v="CONTROL DE SEGURIDAD OBRAS DE PINTURA EN ZONA DE APARCAMIENTO EN INSATLACIONES DEL Sº DE LIMPIEZA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2"/>
  </r>
  <r>
    <n v="220210037293"/>
    <s v="AD"/>
    <d v="2021-07-14T00:00:00"/>
    <n v="22021004845"/>
    <s v="2021 11 1631 22104"/>
    <n v="65909.899999999994"/>
    <x v="601"/>
    <s v="PRORROGA CONTRATO VESTUARIO LIMPIEZA VIARIA EXP V28/2016 LOTES 5, 7 Y 8: POLOS, PANTALONES, ANORAKS, CHALECOS"/>
    <s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104"/>
  </r>
  <r>
    <n v="220210037290"/>
    <s v="AD"/>
    <d v="2021-07-14T00:00:00"/>
    <n v="22021004841"/>
    <s v="2021 11 1621 22104"/>
    <n v="31016.43"/>
    <x v="601"/>
    <s v="PRORROGA CONTRATO VESTUARIO Sº LIMPIEZA EXP V28/2016 LOTES 5, 7 Y 8: POLOS, PANTALONES, ANORAKS, CHALECOS"/>
    <s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4"/>
  </r>
  <r>
    <n v="220210036223"/>
    <s v="AD"/>
    <d v="2021-07-06T00:00:00"/>
    <n v="22021005277"/>
    <s v="2021 11 1621 22104"/>
    <n v="1234.2"/>
    <x v="601"/>
    <s v="SUMINISTRO CHALECOS CON LOGOS PARA PERSONAL CONTRATADO SUBVENCION PREPLAN. SERVICIO DE LIMPIEZA."/>
    <s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4"/>
  </r>
  <r>
    <n v="220210036756"/>
    <s v="ADO"/>
    <d v="2021-07-09T00:00:00"/>
    <n v="22021005533"/>
    <s v="2021 11 1631 22104"/>
    <n v="16458.77"/>
    <x v="601"/>
    <s v="SUMINISTRO VESTUARIO PRORROGA CONTRATO EXP. V 28/2016 EJERCICIO 2020 (LOTE 5), LIMPIEZA VIARIA"/>
    <s v="240"/>
    <s v="LA CISTERNIGA"/>
    <s v="VALLADOLID"/>
    <x v="1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104"/>
  </r>
  <r>
    <n v="220210036755"/>
    <s v="ADO"/>
    <d v="2021-07-09T00:00:00"/>
    <n v="22021005532"/>
    <s v="2021 11 1621 22104"/>
    <n v="2243.8200000000002"/>
    <x v="601"/>
    <s v="SUMINISTRO VESTAURIO PROROORGA CONTRATO EXP. V 28/2016 EJERCICIO 2020 (LOTE 5) Sº LIMPIEZA"/>
    <s v="240"/>
    <s v="LA CISTERNIGA"/>
    <s v="VALLADOL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4"/>
  </r>
  <r>
    <n v="220210039545"/>
    <s v="AD"/>
    <d v="2021-07-16T00:00:00"/>
    <n v="22021005674"/>
    <s v="2021 08 1532 203"/>
    <n v="3569.5"/>
    <x v="525"/>
    <s v="Alquier maquinaria pesada (motoniveladora,retroexcavadora,rodillos)con conductor y camiones distinto tonelaje a demanda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0"/>
    <s v="203"/>
  </r>
  <r>
    <n v="220210039545"/>
    <s v="AD"/>
    <d v="2021-07-16T00:00:00"/>
    <n v="22021005675"/>
    <s v="2021 08 1532 204"/>
    <n v="3569.5"/>
    <x v="525"/>
    <s v="Alquier maquinaria pesada (motoniveladora,retroexcavadora,rodillos)con conductor y camiones distinto tonelaje a demanda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0"/>
    <s v="204"/>
  </r>
  <r>
    <n v="220210036831"/>
    <s v="AD"/>
    <d v="2021-07-09T00:00:00"/>
    <n v="22021005604"/>
    <s v="2021 01 9207 22602"/>
    <n v="2420"/>
    <x v="507"/>
    <s v="ADJUDICA ACCIÓN ESPECIAL PUBLICIDAD INAUGURACIÓN ASCENSORES EN BARRIO SAN ISIDRO - GOBIERNO Y RELACIONES"/>
    <s v="220"/>
    <s v="SALAMANCA"/>
    <s v="SALAMANCA"/>
    <x v="0"/>
    <s v="PrAbier - Procedimiento Abierto"/>
    <s v="MultiC - MultiCriterio"/>
    <x v="2"/>
    <x v="2"/>
    <s v="2"/>
    <s v="2. Gastos corrientes en bienes y servicios"/>
    <s v="01"/>
    <x v="4"/>
    <s v="9207"/>
    <s v="9207. Gobierno y relaciones"/>
    <s v="22"/>
    <s v="22602"/>
  </r>
  <r>
    <n v="220210043825"/>
    <s v="AD"/>
    <d v="2021-07-27T00:00:00"/>
    <n v="22021005835"/>
    <s v="2021 05 4331 22602"/>
    <n v="2420"/>
    <x v="507"/>
    <s v="A.M. 30/2018. INFORMACIÓN/DIFUSIÓN EN TRIBUNAL DIGITAL JORNADAS &quot;&quot;VALLADOLID RESILIENTE&quot;&quot;, CELEBRADAS EL 21 DE JULIO-2021"/>
    <s v="220"/>
    <s v="SALAMANCA"/>
    <s v="SALAMANCA"/>
    <x v="0"/>
    <s v="PrAbier - Procedimiento Abierto"/>
    <s v="MultiC - MultiCriterio"/>
    <x v="2"/>
    <x v="2"/>
    <s v="2"/>
    <s v="2. Gastos corrientes en bienes y servicios"/>
    <s v="05"/>
    <x v="6"/>
    <s v="4331"/>
    <s v="4331. Desarrollo empresarial"/>
    <s v="22"/>
    <s v="22602"/>
  </r>
  <r>
    <n v="220210036829"/>
    <s v="AD"/>
    <d v="2021-07-09T00:00:00"/>
    <n v="22021005015"/>
    <s v="2021 03 9241 22602"/>
    <n v="2000"/>
    <x v="507"/>
    <s v="ESPACIOS EN PRENSA DIGITAL PARA DIFUSIÓN WEB DEL PROCESO DE VOTACIÓN DE LOS PRESUPUESTOS PARTICIPATIVOS"/>
    <s v="220"/>
    <s v="SALAMANCA"/>
    <s v="SALAMANCA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602"/>
  </r>
  <r>
    <n v="220210051118"/>
    <s v="AD"/>
    <d v="2021-09-09T00:00:00"/>
    <n v="22021006002"/>
    <s v="2021 01 9207 22602"/>
    <n v="1500"/>
    <x v="507"/>
    <s v="ADJUDICACIÓN ACCIÓN INFORMATIVA DEL SERVICIO DE ATENCIÓN A PERSONAS MAYORES - GOBIERNO Y RELACIONES"/>
    <s v="220"/>
    <s v="SALAMANCA"/>
    <s v="SALAMANCA"/>
    <x v="0"/>
    <s v="PrAbier - Procedimiento Abierto"/>
    <s v="MultiC - MultiCriterio"/>
    <x v="2"/>
    <x v="2"/>
    <s v="2"/>
    <s v="2. Gastos corrientes en bienes y servicios"/>
    <s v="01"/>
    <x v="4"/>
    <s v="9207"/>
    <s v="9207. Gobierno y relaciones"/>
    <s v="22"/>
    <s v="22602"/>
  </r>
  <r>
    <n v="220210043784"/>
    <s v="D"/>
    <d v="2021-07-27T00:00:00"/>
    <n v="22021003332"/>
    <s v="2021 04 9204 641"/>
    <n v="11664.4"/>
    <x v="424"/>
    <s v="SISTEMA DE GESTIÓN DE INVENTARIO Y DE CARTOGRAFÍA: IVEN Y e-Map, LOTE 3"/>
    <s v="300"/>
    <s v="BARCELONA"/>
    <s v="BARCELONA"/>
    <x v="1"/>
    <s v="PrAbier - Procedimiento Abierto"/>
    <s v="UniC - Único Criterio"/>
    <x v="1"/>
    <x v="2"/>
    <s v="6"/>
    <s v="6. Inversiones reales"/>
    <s v="04"/>
    <x v="3"/>
    <s v="9204"/>
    <s v="9204. Tecnologías de la información y comunicación"/>
    <s v="64"/>
    <s v="641"/>
  </r>
  <r>
    <n v="220210045566"/>
    <s v="AD"/>
    <d v="2021-08-06T00:00:00"/>
    <n v="22021005917"/>
    <s v="2021 05 4331 22799"/>
    <n v="18029"/>
    <x v="424"/>
    <s v="CONTRATO DE SERVICIOS PARA EL DESARROLLO DE EVOLUTIVOS ASOCIADOS AL PROYECTO S2CITY, COMPONENTE 1, GESTIÓN SERV. MUNIC."/>
    <s v="220"/>
    <s v="BARCELONA"/>
    <s v="BARCELONA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56281"/>
    <s v="AD/"/>
    <d v="2021-09-15T00:00:00"/>
    <n v="22021000701"/>
    <s v="2021 08 1341 619"/>
    <n v="-415.72"/>
    <x v="251"/>
    <s v="SEGURIDAD Y SALUD CONTRATO SEÑALIZACION VIAL LOTE 1"/>
    <s v="220"/>
    <s v="MADRID"/>
    <s v="MADRID"/>
    <x v="0"/>
    <s v="AdDirec - Adjudicación Directa"/>
    <s v="MultiC - MultiCriterio"/>
    <x v="0"/>
    <x v="2"/>
    <s v="6"/>
    <s v="6. Inversiones reales"/>
    <s v="08"/>
    <x v="9"/>
    <s v="1341"/>
    <s v="1341. Movilidad"/>
    <s v="61"/>
    <s v="619"/>
  </r>
  <r>
    <n v="220210039534"/>
    <s v="AD"/>
    <d v="2021-07-16T00:00:00"/>
    <n v="22021005741"/>
    <s v="2021 03 9200 22602"/>
    <n v="2500"/>
    <x v="609"/>
    <s v="CUÑAS EN ONDA CERO VALLADOLID DEL 14 AL 28 DE JUNIO PROCESO PRESUPUESTOS PARTICIPATICOS"/>
    <s v="220"/>
    <s v="S.S.DE LOS REYES"/>
    <s v="MADRID"/>
    <x v="0"/>
    <s v="PrAbier - Procedimiento Abierto"/>
    <s v="MultiC - MultiCriterio"/>
    <x v="2"/>
    <x v="2"/>
    <s v="2"/>
    <s v="2. Gastos corrientes en bienes y servicios"/>
    <s v="03"/>
    <x v="2"/>
    <s v="9200"/>
    <s v="9200. Dirección del area de participación ciudadana"/>
    <s v="22"/>
    <s v="22602"/>
  </r>
  <r>
    <n v="220210041571"/>
    <s v="AD"/>
    <d v="2021-07-21T00:00:00"/>
    <n v="22021005692"/>
    <s v="2021 07 1721 22799"/>
    <n v="242"/>
    <x v="388"/>
    <s v="CALIBRACIÓN DEL TERMOHIGRÓMETRO DE CALOR DE LA RED. SERVICIO DE MEDIO AMBIENTE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99"/>
  </r>
  <r>
    <n v="220210043812"/>
    <s v="AD"/>
    <d v="2021-07-27T00:00:00"/>
    <n v="22021005691"/>
    <s v="2021 07 1721 22799"/>
    <n v="145.19999999999999"/>
    <x v="388"/>
    <s v="CALIBRACIÓN DE LA BALANZA DEL LABORATORIO DE LA RED. SERVICIO DE MEDIO AMBIENTE"/>
    <s v="220"/>
    <s v="VALLADOLID"/>
    <s v="VALLADOLID"/>
    <x v="0"/>
    <s v="AdDirec - Adjudicación Directa"/>
    <s v="SinC - Sin Criterio"/>
    <x v="0"/>
    <x v="2"/>
    <s v="2"/>
    <s v="2. Gastos corrientes en bienes y servicios"/>
    <s v="07"/>
    <x v="7"/>
    <s v="1721"/>
    <s v="1721. Protección del medio ambiente"/>
    <s v="22"/>
    <s v="22799"/>
  </r>
  <r>
    <n v="220210039723"/>
    <s v="ADO"/>
    <d v="2021-07-19T00:00:00"/>
    <n v="22021005530"/>
    <s v="2021 04 9202 22607"/>
    <n v="518.70000000000005"/>
    <x v="388"/>
    <s v="PRUEBAS AGENTE DE POLICIA MPAL (DÍA 22/06/2021): USO DE ESPACIOS PÚBLICOS- AULAS -mjsi-."/>
    <s v="240"/>
    <s v="VALLADOLID"/>
    <s v="VALLADOLID"/>
    <x v="0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07"/>
  </r>
  <r>
    <n v="220210043827"/>
    <s v="AD"/>
    <d v="2021-07-27T00:00:00"/>
    <n v="22021000141"/>
    <s v="2021 11 1621 22700"/>
    <n v="138266.97"/>
    <x v="277"/>
    <s v="PRORROGA CONTRATO SERVICIO MANTENIMIENTO Y LAVADO CONTENEDORES DEL Sº DE LIMPIEZA DEL 1-10 AL 31-12-2021"/>
    <s v="220"/>
    <s v="MADRID"/>
    <s v="MADRID"/>
    <x v="0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700"/>
  </r>
  <r>
    <n v="220210056279"/>
    <s v="AD/"/>
    <d v="2021-09-15T00:00:00"/>
    <n v="22021000702"/>
    <s v="2021 08 1341 619"/>
    <n v="-1143.21"/>
    <x v="251"/>
    <s v="SEGURIDAD Y SALUD CONTRATO SEÑALIZACION VIAL LOTE 2. 2020 Y 2021"/>
    <s v="220"/>
    <s v="MADRID"/>
    <s v="MADRID"/>
    <x v="0"/>
    <s v="AdDirec - Adjudicación Directa"/>
    <s v="MultiC - MultiCriterio"/>
    <x v="0"/>
    <x v="2"/>
    <s v="6"/>
    <s v="6. Inversiones reales"/>
    <s v="08"/>
    <x v="9"/>
    <s v="1341"/>
    <s v="1341. Movilidad"/>
    <s v="61"/>
    <s v="619"/>
  </r>
  <r>
    <n v="220210035429"/>
    <s v="AD"/>
    <d v="2021-07-02T00:00:00"/>
    <n v="22021004836"/>
    <s v="2021 07 1711 619"/>
    <n v="108859.35"/>
    <x v="309"/>
    <s v="MEJORA DE INSTALACIONES EN EL PARQUE DE LAS NORIAS."/>
    <s v="220"/>
    <s v="PONTEVEDRA"/>
    <s v="PONTEVEDRA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7300"/>
    <s v="AD"/>
    <d v="2021-07-15T00:00:00"/>
    <n v="22021004881"/>
    <s v="2021 07 1711 619"/>
    <n v="71494.179999999993"/>
    <x v="309"/>
    <s v="ACONDICIONAMIENTO PARQUE DE LAS LAVANDERAS, EN LA OVERUELA."/>
    <s v="220"/>
    <s v="PONTEVEDRA"/>
    <s v="PONTEVEDRA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7297"/>
    <s v="AD"/>
    <d v="2021-07-15T00:00:00"/>
    <n v="22021004891"/>
    <s v="2021 07 1711 619"/>
    <n v="42214.37"/>
    <x v="309"/>
    <s v="REMODELACIÓN FUENTE EN PARQUE CALLE ALCAPARRA."/>
    <s v="220"/>
    <s v="PONTEVEDRA"/>
    <s v="PONTEVEDRA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36838"/>
    <s v="AD"/>
    <d v="2021-07-12T00:00:00"/>
    <n v="22021004556"/>
    <s v="2021 07 1711 619"/>
    <n v="16416.8"/>
    <x v="309"/>
    <s v="OBRAS AJARDINAMIENTO LATERAL CALLE LUGANO."/>
    <s v="220"/>
    <s v="PONTEVEDRA"/>
    <s v="PONTEVEDRA"/>
    <x v="2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48856"/>
    <s v="D"/>
    <d v="2021-08-23T00:00:00"/>
    <n v="22021003490"/>
    <s v="2021 08 1532 624"/>
    <n v="138116.6"/>
    <x v="326"/>
    <s v="Suministro de 5 vehículos compactos eléctricos con destino al S.E.P.I. (expediente 13/2021)"/>
    <s v="300"/>
    <s v="VALLADOLID"/>
    <s v="VALLADOLID"/>
    <x v="1"/>
    <s v="PrAbier - Procedimiento Abierto"/>
    <s v="UniC - Único Criterio"/>
    <x v="2"/>
    <x v="2"/>
    <s v="6"/>
    <s v="6. Inversiones reales"/>
    <s v="08"/>
    <x v="9"/>
    <s v="1532"/>
    <s v="1532. Pavimentación vias públicas y otros servicios urbanísticos"/>
    <s v="62"/>
    <s v="624"/>
  </r>
  <r>
    <n v="220210050511"/>
    <s v="AD"/>
    <d v="2021-09-01T00:00:00"/>
    <n v="22021006042"/>
    <s v="2021 08 1341 203"/>
    <n v="978.6"/>
    <x v="326"/>
    <s v="Alquiler de baterías vehículos eléctricos del Centro de Movilidad Urbana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341"/>
    <s v="1341. Movilidad"/>
    <s v="20"/>
    <s v="203"/>
  </r>
  <r>
    <n v="220210050101"/>
    <s v="D"/>
    <d v="2021-08-27T00:00:00"/>
    <n v="22021005946"/>
    <s v="2021 11 1321 214"/>
    <n v="130.16"/>
    <x v="326"/>
    <s v="ACUERDO MARCO. REPARACIÓN VEHÍCULO 3959 JKP: COND.SALIDA AIRE (MATERIALES).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099"/>
    <s v="D"/>
    <d v="2021-08-27T00:00:00"/>
    <n v="22021005946"/>
    <s v="2021 11 1321 214"/>
    <n v="125.56"/>
    <x v="326"/>
    <s v="ACUERDO MARCO. REPARACIÓN  VEHÍCULO 4117 JKP: COND.SALIDA AIRE (MATERIALES). (POLICÍA MUNICIPAL)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0103"/>
    <s v="D"/>
    <d v="2021-08-27T00:00:00"/>
    <n v="22021005946"/>
    <s v="2021 11 1321 214"/>
    <n v="33.21"/>
    <x v="326"/>
    <s v="ACUERDO MARCO. REPARACIÓN VEHÍCULO 3999-JKP: PLETINA ELEVALUNA (MATERIALES). POLICI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43971"/>
    <s v="D"/>
    <d v="2021-07-28T00:00:00"/>
    <n v="22021002006"/>
    <s v="2021 11 3111 22199"/>
    <n v="23.05"/>
    <x v="300"/>
    <s v="RESMA FORMULA:  1ª (CB) BLANCO LASER Y  3ª (CF) ROSA - TRAZO NEGRO //// TRABAJO: IMPRESO ENTREGA ANIMALES"/>
    <s v="30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2"/>
    <s v="22199"/>
  </r>
  <r>
    <n v="220210044972"/>
    <s v="AD"/>
    <d v="2021-08-03T00:00:00"/>
    <n v="22021005999"/>
    <s v="2021 04 9202 22699"/>
    <n v="83.49"/>
    <x v="300"/>
    <s v="SOBRES Y PLICAS PARA EXÁMENES DE PROCESOS SELECTIVOS. mjsi."/>
    <s v="220"/>
    <s v="VALLADOLID"/>
    <s v="VALLADOLID"/>
    <x v="1"/>
    <s v="AdDirec - Adjudicación Directa"/>
    <s v="SinC - Sin Criterio"/>
    <x v="0"/>
    <x v="2"/>
    <s v="2"/>
    <s v="2. Gastos corrientes en bienes y servicios"/>
    <s v="04"/>
    <x v="3"/>
    <s v="9202"/>
    <s v="9202. Gestión de recursos humanos"/>
    <s v="22"/>
    <s v="22699"/>
  </r>
  <r>
    <n v="220210044965"/>
    <s v="AD"/>
    <d v="2021-08-03T00:00:00"/>
    <n v="22021005893"/>
    <s v="2021 10 2312 22699"/>
    <n v="92.2"/>
    <x v="300"/>
    <s v="PAPEL PARA LA IMPRESION DE LAS HOJAS DE INSCRIPCION DE ENVEJECIMIENTO ACTIVO- CPM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99"/>
  </r>
  <r>
    <n v="220210050357"/>
    <s v="AD"/>
    <d v="2021-08-30T00:00:00"/>
    <n v="22021006320"/>
    <s v="2021 11 1621 214"/>
    <n v="105.17"/>
    <x v="947"/>
    <s v="SUMINISTRO TUBERIA CIRCUITO AD BLUE PARA REPARACION VEHICULO E4762BFT DEL Sº DE LIMPIEZA"/>
    <s v="220"/>
    <s v="SAN AGUSTIN DE GUADALIX"/>
    <s v="MADR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39538"/>
    <s v="AD"/>
    <d v="2021-07-16T00:00:00"/>
    <n v="22021005694"/>
    <s v="2021 10 2312 22618"/>
    <n v="968"/>
    <x v="991"/>
    <s v="REVISTA DISFRUTANDO  CON INFORMACION DE PERSONAS MAYORES, 5 EDICIONES  DE ABRIL A DICIEMBRE DE 2021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18"/>
  </r>
  <r>
    <n v="220210046274"/>
    <s v="AD"/>
    <d v="2021-08-11T00:00:00"/>
    <n v="22021006038"/>
    <s v="2021 01 9203 213"/>
    <n v="121"/>
    <x v="555"/>
    <s v="AD COMPLEMENTARIO MANTENIMIENTO RELOJ TORREON CASA CONSISTORIAL AÑO 2021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3"/>
    <s v="9203. Unidad de régimen interior"/>
    <s v="21"/>
    <s v="213"/>
  </r>
  <r>
    <n v="220210051190"/>
    <s v="D"/>
    <d v="2021-09-09T00:00:00"/>
    <n v="22021002369"/>
    <s v="2021 02 9332 212"/>
    <n v="96.8"/>
    <x v="408"/>
    <s v="CORTES Y PLEGADOS EN DOS CHAPAS, SEGUN SUS PLANTILLAS (SAN BENITO)"/>
    <s v="30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2"/>
  </r>
  <r>
    <n v="220210049418"/>
    <s v="AD"/>
    <d v="2021-08-24T00:00:00"/>
    <n v="22021001247"/>
    <s v="2021 11 1631 214"/>
    <n v="600"/>
    <x v="419"/>
    <s v="SUMINISTRO REPUESTOS NEUMÁTICOS PARA REPARACIONES DE VEHICULOS S. LIMPIEZA VIARI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631"/>
    <s v="1631. Limpieza viaria"/>
    <s v="21"/>
    <s v="214"/>
  </r>
  <r>
    <n v="220210050524"/>
    <s v="AD"/>
    <d v="2021-09-01T00:00:00"/>
    <n v="22021006323"/>
    <s v="2021 08 1532 214"/>
    <n v="3811.5"/>
    <x v="502"/>
    <s v="Desmontaje de caldera de asfalto y posterior montaje y homologación sobre nuevo camión municipal."/>
    <s v="220"/>
    <s v="ALDEAMAYOR DE SAN MARTIN"/>
    <s v="VALLADOLID"/>
    <x v="0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4"/>
  </r>
  <r>
    <n v="220210037258"/>
    <s v="AD"/>
    <d v="2021-07-14T00:00:00"/>
    <n v="22021005409"/>
    <s v="2021 10 2316 22616"/>
    <n v="471.9"/>
    <x v="767"/>
    <s v="Creación de imagen e impresión de elementos publicitarios de la XVIII Semana Intercultural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54498"/>
    <s v="AD"/>
    <d v="2021-09-14T00:00:00"/>
    <n v="22021006451"/>
    <s v="2021 10 2312 22199"/>
    <n v="647.62"/>
    <x v="322"/>
    <s v="TERMINALES , TELEFONOS INALÁMBRICOS PARA EL CPM DELICIAS Y VICTORIA- DURACION 1 DIA"/>
    <s v="220"/>
    <s v="MADRID"/>
    <s v="MADR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199"/>
  </r>
  <r>
    <n v="220209000649"/>
    <s v="AD"/>
    <d v="2021-01-02T00:00:00"/>
    <n v="22021000413"/>
    <s v="2021 11 1631 22700"/>
    <n v="54961.75"/>
    <x v="328"/>
    <s v="CONTRATO LIMPIEZA INSATALACIONES DEL S. LIMPIEZA VIARIA, AÑOS 2021 Y 2022"/>
    <s v="220"/>
    <s v="BURGOS"/>
    <s v="BURGOS"/>
    <x v="0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700"/>
  </r>
  <r>
    <n v="220209000648"/>
    <s v="AD"/>
    <d v="2021-01-02T00:00:00"/>
    <n v="22021000412"/>
    <s v="2021 11 1621 22700"/>
    <n v="24898.25"/>
    <x v="328"/>
    <s v="CONTRATO LIMPIEZA INSTALACIONES DEL SERVICIO DE LIMPIEZA, AÑOS 2021 Y 2022"/>
    <s v="220"/>
    <s v="BURGOS"/>
    <s v="BURGOS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44589"/>
    <s v="D"/>
    <d v="2021-07-30T00:00:00"/>
    <n v="22021005036"/>
    <s v="2021 04 9331 224"/>
    <n v="180486.09"/>
    <x v="470"/>
    <s v="EXPTE.70/2021. SEGURO RESPONSABILIDAD CIVIL DEL 01/08/2021 AL 31/01/2022. ACUERDO MARCO FEMP. AYUNTAMIENTO VALLADOLID."/>
    <s v="300"/>
    <s v="BARCELONA"/>
    <s v="BARCELONA"/>
    <x v="4"/>
    <s v="PrAbier - Procedimiento Abierto"/>
    <s v="MultiC - MultiCriterio"/>
    <x v="2"/>
    <x v="2"/>
    <s v="2"/>
    <s v="2. Gastos corrientes en bienes y servicios"/>
    <s v="04"/>
    <x v="3"/>
    <s v="9331"/>
    <s v="9331. Gestión del patrimonio"/>
    <s v="22"/>
    <s v="224"/>
  </r>
  <r>
    <n v="220210057513"/>
    <s v="AD"/>
    <d v="2021-09-17T00:00:00"/>
    <n v="22021006359"/>
    <s v="2021 07 1711 619"/>
    <n v="290917.76000000001"/>
    <x v="564"/>
    <s v="ACTUACIONES EN LOS BOMBEOS DE LA CIUDAD DE VALLADOLID FASE II. V.6/2020 LOTE 1 PS21."/>
    <s v="220"/>
    <s v="VALLADOLID"/>
    <s v="VALLADOLID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57701"/>
    <s v="AD"/>
    <d v="2021-09-17T00:00:00"/>
    <n v="22021004943"/>
    <s v="2021 08 1341 619"/>
    <n v="269366.78999999998"/>
    <x v="260"/>
    <s v="CONTRATO GESTIÓN INTEGRAL SISTEMA CENTRALIZADO CONTROL DE TRÁFICO (septiembre-noviembre 2021)"/>
    <s v="230"/>
    <s v="ALCOBENDAS"/>
    <s v="MADRID"/>
    <x v="0"/>
    <s v="PrAbier - Procedimiento Abierto"/>
    <s v="MultiC - MultiCriterio"/>
    <x v="1"/>
    <x v="2"/>
    <s v="6"/>
    <s v="6. Inversiones reales"/>
    <s v="08"/>
    <x v="9"/>
    <s v="1341"/>
    <s v="1341. Movilidad"/>
    <s v="61"/>
    <s v="619"/>
  </r>
  <r>
    <n v="220210059033"/>
    <s v="D"/>
    <d v="2021-09-24T00:00:00"/>
    <n v="22021004333"/>
    <s v="2021 09 3341 632"/>
    <n v="268957.95"/>
    <x v="641"/>
    <s v="CONTRATO DE  OBRA  ADECUACION ESPACIO MARCELINA PONCELA COMO CENTRO ALMACENAMIENTO Y RESTAURACION PATRIMONIO MUEBLE"/>
    <s v="300"/>
    <s v="VALLADOLID"/>
    <s v="VALLADOLID"/>
    <x v="2"/>
    <s v="PrAbier - Procedimiento Abierto"/>
    <s v="MultiC - MultiCriterio"/>
    <x v="1"/>
    <x v="2"/>
    <s v="6"/>
    <s v="6. Inversiones reales"/>
    <s v="09"/>
    <x v="1"/>
    <s v="3341"/>
    <s v="3341. Coordinación de políticas culturales"/>
    <s v="63"/>
    <s v="632"/>
  </r>
  <r>
    <n v="220210058709"/>
    <s v="D"/>
    <d v="2021-09-22T00:00:00"/>
    <n v="22021002865"/>
    <s v="2021 11 1321 22104"/>
    <n v="149531.79999999999"/>
    <x v="992"/>
    <s v="SUMINISTRO DE ROPA POLICIAL PARA POLICÍA MUNICIPAL. EJERCICIO 2021. EXP. SPSC- 02/2021. LOTE Nº. 2."/>
    <s v="300"/>
    <s v="RIBARROJA DEL TURIA"/>
    <s v="VALENCIA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7019"/>
    <s v="AD"/>
    <d v="2021-09-17T00:00:00"/>
    <n v="22021004962"/>
    <s v="2021 11 1621 22103"/>
    <n v="85000"/>
    <x v="993"/>
    <s v="CONTRATO SUMINISTRO &quot;&quot;GNC&quot;&quot; PARA VEHÍCULOS DEL SERVICIO DE LIMPIEZA"/>
    <s v="220"/>
    <s v="MADRID"/>
    <s v="MADRID"/>
    <x v="1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103"/>
  </r>
  <r>
    <n v="220210057514"/>
    <s v="AD"/>
    <d v="2021-09-17T00:00:00"/>
    <n v="22021006362"/>
    <s v="2021 07 1711 619"/>
    <n v="78100.3"/>
    <x v="564"/>
    <s v="EJECUCIÓN DE FIRME DE LOS CAMINOS DEL NUEVO BOSQUE URBANO DE SANTA ANA. V.6/2020 LOTE 1 PS22."/>
    <s v="220"/>
    <s v="VALLADOLID"/>
    <s v="VALLADOLID"/>
    <x v="2"/>
    <s v="PrAbier - Procedimiento Abierto"/>
    <s v="MultiC - MultiCriterio"/>
    <x v="1"/>
    <x v="2"/>
    <s v="6"/>
    <s v="6. Inversiones reales"/>
    <s v="07"/>
    <x v="7"/>
    <s v="1711"/>
    <s v="1711. Parques y jardines"/>
    <s v="61"/>
    <s v="619"/>
  </r>
  <r>
    <n v="220210057512"/>
    <s v="AD"/>
    <d v="2021-09-17T00:00:00"/>
    <n v="22021006356"/>
    <s v="2021 07 1711 632"/>
    <n v="66722.320000000007"/>
    <x v="564"/>
    <s v="ADECUACIÓN DE LA CASETA DE LOS JARDINEROS EN EL PARQUE DE LOS JERÓNIMOS.  V.6-2020 . PS 20. LOTE 1."/>
    <s v="220"/>
    <s v="VALLADOLID"/>
    <s v="VALLADOLID"/>
    <x v="2"/>
    <s v="PrAbier - Procedimiento Abierto"/>
    <s v="MultiC - MultiCriterio"/>
    <x v="1"/>
    <x v="2"/>
    <s v="6"/>
    <s v="6. Inversiones reales"/>
    <s v="07"/>
    <x v="7"/>
    <s v="1711"/>
    <s v="1711. Parques y jardines"/>
    <s v="63"/>
    <s v="632"/>
  </r>
  <r>
    <n v="220210058313"/>
    <s v="D"/>
    <d v="2021-09-21T00:00:00"/>
    <n v="22021003739"/>
    <s v="2021 03 9241 632"/>
    <n v="59221.78"/>
    <x v="994"/>
    <s v="CIC CONDE ANSÚREZ: REPARACIÓN DE GOTERAS Y HUMEDADES. LOTE 3"/>
    <s v="300"/>
    <s v="VALLADOLID"/>
    <s v="VALLADOLID"/>
    <x v="2"/>
    <s v="PrAbier - Procedimiento Abierto"/>
    <s v="UniC - Único Criterio"/>
    <x v="1"/>
    <x v="2"/>
    <s v="6"/>
    <s v="6. Inversiones reales"/>
    <s v="03"/>
    <x v="2"/>
    <s v="9241"/>
    <s v="9241. Participación ciudadana"/>
    <s v="63"/>
    <s v="632"/>
  </r>
  <r>
    <n v="220210058712"/>
    <s v="D"/>
    <d v="2021-09-22T00:00:00"/>
    <n v="22021002865"/>
    <s v="2021 11 1321 22104"/>
    <n v="48400"/>
    <x v="995"/>
    <s v="SUMINISTRO CHALECOS ANTIBALA Y FUNDA PARA POLICÍA. EJERCICIO 2021. EXP. SPSC-02/2021. LOTE Nº 5."/>
    <s v="300"/>
    <s v="REDONDELA"/>
    <s v="PONTEVEDRA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7695"/>
    <s v="AD"/>
    <d v="2021-09-17T00:00:00"/>
    <n v="22021005977"/>
    <s v="2021 02 1511 609"/>
    <n v="26143"/>
    <x v="250"/>
    <s v="A.MARCO (AJG19.05.2020)C.CALIDAD LOTE 2 A.TÉCNICA OBRA PASOS INFERIORES PANADEROS Y LABRADORES CON AVDA.SEGOVIA"/>
    <s v="220"/>
    <s v="ZARATAN"/>
    <s v="VALLADOLID"/>
    <x v="0"/>
    <s v="PrAbier - Procedimiento Abierto"/>
    <s v="MultiC - MultiCriterio"/>
    <x v="2"/>
    <x v="2"/>
    <s v="6"/>
    <s v="6. Inversiones reales"/>
    <s v="02"/>
    <x v="10"/>
    <s v="1511"/>
    <s v="1511. Planficación y gestión del urbanismo"/>
    <s v="60"/>
    <s v="609"/>
  </r>
  <r>
    <n v="220210058711"/>
    <s v="D"/>
    <d v="2021-09-22T00:00:00"/>
    <n v="22021002865"/>
    <s v="2021 11 1321 22104"/>
    <n v="24835.25"/>
    <x v="182"/>
    <s v="SUMINISTRO DE ROPA TÉRMINA UNIFORMIDAD POLICÍA. EJERCICIO 2021. EXP. SPSC- 02/2021. LOTE Nº 4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9034"/>
    <s v="D"/>
    <d v="2021-09-24T00:00:00"/>
    <n v="22021004335"/>
    <s v="2021 09 3341 632"/>
    <n v="836.36"/>
    <x v="0"/>
    <s v="COORDINACION SEGURIDAD Y SALUD OBRA ADECUACION ESPACIO MARCELINA PONCELA COMO CENTRO ALMACENAMIENT Y RESTAURACION B MUE"/>
    <s v="300"/>
    <s v="VALLADOLID"/>
    <s v="VALLADOLID"/>
    <x v="0"/>
    <s v="PrAbier - Procedimiento Abierto"/>
    <s v="MultiC - MultiCriterio"/>
    <x v="2"/>
    <x v="2"/>
    <s v="6"/>
    <s v="6. Inversiones reales"/>
    <s v="09"/>
    <x v="1"/>
    <s v="3341"/>
    <s v="3341. Coordinación de políticas culturales"/>
    <s v="63"/>
    <s v="632"/>
  </r>
  <r>
    <n v="220210058713"/>
    <s v="D"/>
    <d v="2021-09-22T00:00:00"/>
    <n v="22021002865"/>
    <s v="2021 11 1321 22104"/>
    <n v="23080.75"/>
    <x v="996"/>
    <s v="SUMINISTRO COMPLEMENTOS POLICIALES. EJERCICIO 2021. EXPTE. SPSC -02/2021. LOTE Nº 7."/>
    <s v="300"/>
    <s v="MURCIA"/>
    <s v="MURCIA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8715"/>
    <s v="D"/>
    <d v="2021-09-22T00:00:00"/>
    <n v="22021002865"/>
    <s v="2021 11 1321 22104"/>
    <n v="19753.25"/>
    <x v="182"/>
    <s v="SUMINISTRO UNIFORMES DE GALA Y GORRA COPY PARA POLICÍA. EJERC. 2021. EXP. SPSC-02/2021. LOTE 1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8580"/>
    <s v="AD"/>
    <d v="2021-09-22T00:00:00"/>
    <n v="22021005161"/>
    <s v="2021 08 1532 619"/>
    <n v="19176.47"/>
    <x v="250"/>
    <s v="AT.CONTROL CALIDAD.LOTE 2  AGLOMERADO.Contrato Conservación Vías Públicas. De julio a diciembre-2021.-"/>
    <s v="220"/>
    <s v="ZARATAN"/>
    <s v="VALLADOLID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58710"/>
    <s v="D"/>
    <d v="2021-09-22T00:00:00"/>
    <n v="22021002865"/>
    <s v="2021 11 1321 22104"/>
    <n v="18376.87"/>
    <x v="182"/>
    <s v="SUMINISTRO DE CALZADO PARA UNIFORME DE POLICIA MUNICIPAL. EJERCICIO 2021. EXP. SPSC- 02/2021. LOTE Nº. 3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8788"/>
    <s v="D"/>
    <d v="2021-09-23T00:00:00"/>
    <n v="22021001275"/>
    <s v="2021 07 1711 22199"/>
    <n v="1433.8"/>
    <x v="549"/>
    <s v="ACUERDO MARCO 2017/36,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9125"/>
    <s v="D"/>
    <d v="2021-09-27T00:00:00"/>
    <n v="22021004537"/>
    <s v="2021 02 1511 609"/>
    <n v="17878.490000000002"/>
    <x v="747"/>
    <s v="ADJ.EXPTE. ASIST.TÉCNIC.A LA DIREC.OBRA CONST.PASO INFERIOR CONEX ENTRE C/PANADEROS Y LABRADORES CON AVDA. SEGOVIA"/>
    <s v="300"/>
    <s v="MALAGA"/>
    <s v="MALAGA"/>
    <x v="0"/>
    <s v="PrAbier - Procedimiento Abierto"/>
    <s v="MultiC - MultiCriterio"/>
    <x v="1"/>
    <x v="2"/>
    <s v="6"/>
    <s v="6. Inversiones reales"/>
    <s v="02"/>
    <x v="10"/>
    <s v="1511"/>
    <s v="1511. Planficación y gestión del urbanismo"/>
    <s v="60"/>
    <s v="609"/>
  </r>
  <r>
    <n v="220210058920"/>
    <s v="AD"/>
    <d v="2021-09-23T00:00:00"/>
    <n v="22021005975"/>
    <s v="2021 02 1511 609"/>
    <n v="17404"/>
    <x v="997"/>
    <s v="ACUERDO MARCO(A.J.G. 19.05.2020) C.CALIDAD LOTE 1 (ENSAYOS) OBRAS PASOS INFERIORES LABRADORES Y PANADEROS CON AVDA.SEGOV"/>
    <s v="220"/>
    <s v="VALLADOLID"/>
    <s v="VALLADOLID"/>
    <x v="0"/>
    <s v="PrAbier - Procedimiento Abierto"/>
    <s v="MultiC - MultiCriterio"/>
    <x v="2"/>
    <x v="2"/>
    <s v="6"/>
    <s v="6. Inversiones reales"/>
    <s v="02"/>
    <x v="10"/>
    <s v="1511"/>
    <s v="1511. Planficación y gestión del urbanismo"/>
    <s v="60"/>
    <s v="609"/>
  </r>
  <r>
    <n v="220210059129"/>
    <s v="ADO"/>
    <d v="2021-09-27T00:00:00"/>
    <n v="22021006631"/>
    <s v="2021 08 1513 83100"/>
    <n v="30.13"/>
    <x v="0"/>
    <s v="Coordinación de seguridad y salud - Obra: Actuación subsidaria deficiencias inmueble sito en Plaza San Nicolás, 1"/>
    <s v="240"/>
    <s v="VALLADOLID"/>
    <s v="VALLADOLID"/>
    <x v="0"/>
    <s v="PrAbier - Procedimiento Abierto"/>
    <s v="MultiC - MultiCriterio"/>
    <x v="2"/>
    <x v="2"/>
    <s v="8"/>
    <s v="8. Activos financieros"/>
    <s v="08"/>
    <x v="9"/>
    <s v="1513"/>
    <s v="1513. Licencias urbanísticas"/>
    <s v="83"/>
    <s v="83100"/>
  </r>
  <r>
    <n v="220210058810"/>
    <s v="D"/>
    <d v="2021-09-23T00:00:00"/>
    <n v="22021001275"/>
    <s v="2021 07 1711 22199"/>
    <n v="1462.94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8997"/>
    <s v="D"/>
    <d v="2021-09-24T00:00:00"/>
    <n v="22021001275"/>
    <s v="2021 07 1711 22199"/>
    <n v="616"/>
    <x v="549"/>
    <s v="ACUERDO MARCO 2017/36, SUMINISTRO DE MANTILLO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6728"/>
    <s v="D"/>
    <d v="2021-09-16T00:00:00"/>
    <n v="22021005946"/>
    <s v="2021 11 1321 214"/>
    <n v="1455.73"/>
    <x v="32"/>
    <s v="ACUERDO MARCO. REPARACIÓN VEHÍCULO 3712KGD DE POLICÍA MUNICIPAL."/>
    <s v="300"/>
    <s v="VALLADOLID"/>
    <s v="VALLADOLID"/>
    <x v="0"/>
    <s v="PrAbier - Procedimiento Abierto"/>
    <s v="UniC - Único Criterio"/>
    <x v="2"/>
    <x v="2"/>
    <s v="2"/>
    <s v="2. Gastos corrientes en bienes y servicios"/>
    <s v="11"/>
    <x v="5"/>
    <s v="1321"/>
    <s v="1321. Policía municipal"/>
    <s v="21"/>
    <s v="214"/>
  </r>
  <r>
    <n v="220210063147"/>
    <s v="D"/>
    <d v="2021-09-30T00:00:00"/>
    <n v="22021001275"/>
    <s v="2021 07 1711 22199"/>
    <n v="46.95"/>
    <x v="82"/>
    <s v="ACUERDO MARCO 2017/36, MATERIAL ELECTRICO PARA JARDINE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9124"/>
    <s v="D"/>
    <d v="2021-09-27T00:00:00"/>
    <n v="22021003950"/>
    <s v="2021 10 2312 22799"/>
    <n v="3200"/>
    <x v="654"/>
    <s v="adjudicacion prev.drogas -L3 REDUCCION RIESGOS CON COLECTIVOS VULNERABLES- PA.1600 ¿/PROG (2 PROG.INSERC.LAB Y MUJ.VUL)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2"/>
    <s v="2312. Iniciativas sociales"/>
    <s v="22"/>
    <s v="22799"/>
  </r>
  <r>
    <n v="220210063207"/>
    <s v="D"/>
    <d v="2021-09-30T00:00:00"/>
    <n v="22021005981"/>
    <s v="2021 07 1711 214"/>
    <n v="318.41000000000003"/>
    <x v="85"/>
    <s v="ACUERDO MARCO 3/2020, REPARACION VEHICULO 3856-DDD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6690"/>
    <s v="D"/>
    <d v="2021-09-16T00:00:00"/>
    <n v="22021005946"/>
    <s v="2021 11 1321 214"/>
    <n v="362.26"/>
    <x v="96"/>
    <s v="ACUERDO MARCO. REPARACION CAMIÓN PORTAVEHÍCULOS 9447-HMT: REVISAR Y REPARAR PUERTA DELANTERA IZQ. (M.O. + MATERIALES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7784"/>
    <s v="D"/>
    <d v="2021-09-20T00:00:00"/>
    <n v="22021005981"/>
    <s v="2021 07 1711 214"/>
    <n v="12.78"/>
    <x v="96"/>
    <s v="ACUERDO MARCO 3/2020, TRABAJOS EN VEHICULOS JARDINES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7786"/>
    <s v="D"/>
    <d v="2021-09-20T00:00:00"/>
    <n v="22021005981"/>
    <s v="2021 07 1711 214"/>
    <n v="188.35"/>
    <x v="96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8581"/>
    <s v="AD"/>
    <d v="2021-09-22T00:00:00"/>
    <n v="22021005162"/>
    <s v="2021 08 1532 619"/>
    <n v="13177.48"/>
    <x v="250"/>
    <s v="A.T. CONTROL CALIDAD. LOTE 1. Contrato Conservación Vías Públicas. de julio a diciembre-2021.-"/>
    <s v="220"/>
    <s v="ZARATAN"/>
    <s v="VALLADOLID"/>
    <x v="0"/>
    <s v="PrAbier - Procedimiento Abierto"/>
    <s v="MultiC - MultiCriterio"/>
    <x v="2"/>
    <x v="2"/>
    <s v="6"/>
    <s v="6. Inversiones reales"/>
    <s v="08"/>
    <x v="9"/>
    <s v="1532"/>
    <s v="1532. Pavimentación vias públicas y otros servicios urbanísticos"/>
    <s v="61"/>
    <s v="619"/>
  </r>
  <r>
    <n v="220210057788"/>
    <s v="D"/>
    <d v="2021-09-20T00:00:00"/>
    <n v="22021005981"/>
    <s v="2021 07 1711 214"/>
    <n v="1475.03"/>
    <x v="96"/>
    <s v="ACUERDO MARCO 3/2020, REPARACION VEHICULO 4416-KJ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8314"/>
    <s v="D"/>
    <d v="2021-09-21T00:00:00"/>
    <n v="22021003741"/>
    <s v="2021 03 9241 632"/>
    <n v="9072.56"/>
    <x v="165"/>
    <s v="CC DELICIAS: RECONSTRUCCIÓN DEL ACCESO AL CEAS. LOTE 4"/>
    <s v="300"/>
    <s v="MEDINA DEL CAMPO"/>
    <s v="VALLADOLID"/>
    <x v="2"/>
    <s v="PrAbier - Procedimiento Abierto"/>
    <s v="UniC - Único Criterio"/>
    <x v="1"/>
    <x v="2"/>
    <s v="6"/>
    <s v="6. Inversiones reales"/>
    <s v="03"/>
    <x v="2"/>
    <s v="9241"/>
    <s v="9241. Participación ciudadana"/>
    <s v="63"/>
    <s v="632"/>
  </r>
  <r>
    <n v="220210059003"/>
    <s v="D"/>
    <d v="2021-09-24T00:00:00"/>
    <n v="22021005981"/>
    <s v="2021 07 1711 214"/>
    <n v="951.31"/>
    <x v="96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62268"/>
    <s v="AD"/>
    <d v="2021-09-30T00:00:00"/>
    <n v="22021006683"/>
    <s v="2021 06 2315 22611"/>
    <n v="1200"/>
    <x v="654"/>
    <s v="PREPARACIÓN Y REALIZACIÓN DE LA MESA DE TRATA EL 23 DE SEPTIEMBRE DE 2021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63191"/>
    <s v="D"/>
    <d v="2021-09-30T00:00:00"/>
    <n v="22021005981"/>
    <s v="2021 07 1711 214"/>
    <n v="672.07"/>
    <x v="96"/>
    <s v="ACUERDO MARCO 3/2020, REPARACION VEHICULO 3687-FJM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6638"/>
    <s v="D"/>
    <d v="2021-09-16T00:00:00"/>
    <n v="22021001968"/>
    <s v="2021 11 1321 22199"/>
    <n v="291.62"/>
    <x v="116"/>
    <s v="ACUERDO MARCO. SUMINISTRO MATERIAL PARA MANTENIMIENTO DEPENDENCIAS DISTRITO 1º POLIC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59377"/>
    <s v="D"/>
    <d v="2021-09-27T00:00:00"/>
    <n v="22021002048"/>
    <s v="2021 11 1621 214"/>
    <n v="1567.88"/>
    <x v="25"/>
    <s v="AC MARCO EXP V36-2017:  RECAMBI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6707"/>
    <s v="D"/>
    <d v="2021-09-16T00:00:00"/>
    <n v="22021005716"/>
    <s v="2021 11 1621 634"/>
    <n v="678.81"/>
    <x v="71"/>
    <s v="AC MARCO EXP SPSC 23/2020: REPARACION BALLESTAS VEHIUCLO 0999FVN DEL SERVIC.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8620"/>
    <s v="D"/>
    <d v="2021-09-22T00:00:00"/>
    <n v="22021002053"/>
    <s v="2021 11 1631 212"/>
    <n v="425.19"/>
    <x v="116"/>
    <s v="AC MARCO EXP V36-2017: SUMINSITRO MATERIALES CONSTRUCCION REPARACION VESTUARIO ZONA &quot;&quot;JUAN DE AUSTRIA&quot;&quot;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1"/>
    <s v="212"/>
  </r>
  <r>
    <n v="220210058791"/>
    <s v="D"/>
    <d v="2021-09-23T00:00:00"/>
    <n v="22021001275"/>
    <s v="2021 07 1711 22199"/>
    <n v="2.86"/>
    <x v="116"/>
    <s v="ACUERDO MARCO 2017/36, MATERIALES DE CONSTRUCCIÓN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6660"/>
    <s v="D"/>
    <d v="2021-09-16T00:00:00"/>
    <n v="22021005979"/>
    <s v="2021 07 1711 213"/>
    <n v="3629.46"/>
    <x v="587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56678"/>
    <s v="D"/>
    <d v="2021-09-16T00:00:00"/>
    <n v="22021005979"/>
    <s v="2021 07 1711 213"/>
    <n v="6817.7"/>
    <x v="587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10045182"/>
    <s v="D"/>
    <d v="2021-08-03T00:00:00"/>
    <n v="22021002143"/>
    <s v="2021 10 2311 212"/>
    <n v="1.8"/>
    <x v="188"/>
    <s v="F-7838. FERRETERIA ORTIZ. COPIA LLAVE NORMAL  (1)  CALLE CELTAS CORTOS, Nº20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63197"/>
    <s v="D"/>
    <d v="2021-09-30T00:00:00"/>
    <n v="22021001275"/>
    <s v="2021 07 1711 22199"/>
    <n v="1039.2"/>
    <x v="114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45184"/>
    <s v="D"/>
    <d v="2021-08-03T00:00:00"/>
    <n v="22021002144"/>
    <s v="2021 10 2311 212"/>
    <n v="62.61"/>
    <x v="188"/>
    <s v="F-7840. FERRETERIA ORTIZ. MATERIAL DE FERRETERIA.  CEAS BELEN -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8937"/>
    <s v="AD"/>
    <d v="2021-09-23T00:00:00"/>
    <n v="22021006592"/>
    <s v="2021 02 9332 212"/>
    <n v="357"/>
    <x v="998"/>
    <s v="MATERIALES Y MANTENIMIENTO EDIF. MUNICIPALES"/>
    <s v="220"/>
    <s v="LA CISTERNIGA"/>
    <s v="VALLADOLID"/>
    <x v="1"/>
    <s v="AdDirec - Adjudicación Directa"/>
    <s v="MultiC - MultiCriterio"/>
    <x v="0"/>
    <x v="2"/>
    <s v="2"/>
    <s v="2. Gastos corrientes en bienes y servicios"/>
    <s v="02"/>
    <x v="10"/>
    <s v="9332"/>
    <s v="9332. Mantenimiento de edificios e instalaciones municipales"/>
    <s v="21"/>
    <s v="212"/>
  </r>
  <r>
    <n v="220210056726"/>
    <s v="D"/>
    <d v="2021-09-16T00:00:00"/>
    <n v="22021005946"/>
    <s v="2021 11 1321 214"/>
    <n v="500.89"/>
    <x v="783"/>
    <s v="ACUERDO MARCO. REPARACIÓN DE MOTOCICLETA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8714"/>
    <s v="D"/>
    <d v="2021-09-22T00:00:00"/>
    <n v="22021002865"/>
    <s v="2021 11 1321 22104"/>
    <n v="7260"/>
    <x v="114"/>
    <s v="SUMINISTRO ROPA DE TRABAJO LABORAL PERSONAL POLICÍA. EJERCICIO 2021. EXPTE. SPSC.- 02/2021. LOTE Nº 9."/>
    <s v="300"/>
    <s v="VALLADOLID"/>
    <s v="VALLADOLID"/>
    <x v="1"/>
    <s v="PrAbier - Procedimiento Abierto"/>
    <s v="MultiC - MultiCriterio"/>
    <x v="1"/>
    <x v="2"/>
    <s v="2"/>
    <s v="2. Gastos corrientes en bienes y servicios"/>
    <s v="11"/>
    <x v="5"/>
    <s v="1321"/>
    <s v="1321. Policía municipal"/>
    <s v="22"/>
    <s v="22104"/>
  </r>
  <r>
    <n v="220210058628"/>
    <s v="D"/>
    <d v="2021-09-22T00:00:00"/>
    <n v="22021005946"/>
    <s v="2021 11 1321 214"/>
    <n v="345.68"/>
    <x v="783"/>
    <s v="ACUERDO MARCO. REPARACIÓN DE MOTOCICLETA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61287"/>
    <s v="D"/>
    <d v="2021-09-29T00:00:00"/>
    <n v="22021005946"/>
    <s v="2021 11 1321 214"/>
    <n v="700.11"/>
    <x v="783"/>
    <s v="ACUERDO MARCO. REPARACIÓN MOTOCICLETAS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63202"/>
    <s v="D"/>
    <d v="2021-09-30T00:00:00"/>
    <n v="22021005981"/>
    <s v="2021 07 1711 214"/>
    <n v="142.1"/>
    <x v="783"/>
    <s v="ACUERDO MARCO 3/2020, REPARACION MOTO 9575-JTL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9391"/>
    <s v="D"/>
    <d v="2021-09-27T00:00:00"/>
    <n v="22021001275"/>
    <s v="2021 07 1711 22199"/>
    <n v="312.12"/>
    <x v="161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8922"/>
    <s v="AD"/>
    <d v="2021-09-23T00:00:00"/>
    <n v="22021006621"/>
    <s v="2021 11 3111 203"/>
    <n v="1112"/>
    <x v="999"/>
    <s v="ALQUILER MODULO AISLADO PARA VESTUARIOS Y ASEO EN CENTRO MUNICIPAL DE PROTECCIÓN ANIMAL"/>
    <s v="220"/>
    <s v="SANTOVENIA DE  PISUERGA"/>
    <s v="VALLADOLID"/>
    <x v="1"/>
    <s v="AdDirec - Adjudicación Directa"/>
    <s v="SinC - Sin Criterio"/>
    <x v="0"/>
    <x v="2"/>
    <s v="2"/>
    <s v="2. Gastos corrientes en bienes y servicios"/>
    <s v="11"/>
    <x v="5"/>
    <s v="3111"/>
    <s v="3111. Protección de la salubridad pública"/>
    <s v="20"/>
    <s v="203"/>
  </r>
  <r>
    <n v="220210062277"/>
    <s v="AD"/>
    <d v="2021-09-30T00:00:00"/>
    <n v="22021006731"/>
    <s v="2021 06 2315 22611"/>
    <n v="880"/>
    <x v="23"/>
    <s v="Realización de dos talleres en el Centro Municipal de la Igualdad en el mes de septiembre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58828"/>
    <s v="D"/>
    <d v="2021-09-23T00:00:00"/>
    <n v="22021002378"/>
    <s v="2021 02 9332 214"/>
    <n v="65.84"/>
    <x v="1000"/>
    <s v="FILTRO DE AIRE HONDA GX39 / BUJIA TIPO HONDA / CUERDA ARRANQUE 4,5 MM (2) / M.OBRA (4)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6535"/>
    <s v="D"/>
    <d v="2021-09-16T00:00:00"/>
    <n v="22021003381"/>
    <s v="2021 11 1361 22199"/>
    <n v="5.65"/>
    <x v="25"/>
    <s v="CABLE ARRANQUE 16MM NEGRO / TERMINAL P/SOLDAR 16X10,5 mm (2) //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320"/>
    <s v="AD"/>
    <d v="2021-09-21T00:00:00"/>
    <n v="22021006558"/>
    <s v="2021 03 9241 212"/>
    <n v="1049.19"/>
    <x v="876"/>
    <s v="SUMINISTRO DE PERSIANAS PARA CC DELICIAS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59123"/>
    <s v="D"/>
    <d v="2021-09-27T00:00:00"/>
    <n v="22021003950"/>
    <s v="2021 10 2312 22799"/>
    <n v="6669.61"/>
    <x v="662"/>
    <s v="ADJUD.PMDROGAS-L1 SEP-DIC 21:3765 (3 MONEO 428 Y 1 DEDALO 2481)-L2 PREV.EN C.ESCOLARES Y OT.ENTIDADES 2.904,61 (40,91E/H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8"/>
    <s v="2312"/>
    <s v="2312. Iniciativas sociales"/>
    <s v="22"/>
    <s v="22799"/>
  </r>
  <r>
    <n v="220210058923"/>
    <s v="AD"/>
    <d v="2021-09-23T00:00:00"/>
    <n v="22021006622"/>
    <s v="2021 11 1321 22699"/>
    <n v="215.99"/>
    <x v="1001"/>
    <s v="REALIZACIÓN ANÁLISIS DETERMINACIÓN EXISTENCIA DE ALCOHOL EN BEBIDAS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699"/>
  </r>
  <r>
    <n v="220210061342"/>
    <s v="AD"/>
    <d v="2021-09-29T00:00:00"/>
    <n v="22021006682"/>
    <s v="2021 10 2316 22616"/>
    <n v="350"/>
    <x v="54"/>
    <s v="DESARROLLO TRES MICRO-JORNADAS FORMATO ON LINE EN MATERIA DE TRATA DE SERES HUMANOS. PERSONAL SERV.SOCIALES Y ENTIDADES."/>
    <s v="220"/>
    <s v="MADRID"/>
    <s v="MADR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59025"/>
    <s v="AD"/>
    <d v="2021-09-24T00:00:00"/>
    <n v="22021006512"/>
    <s v="2021 06 2315 22611"/>
    <n v="2931.83"/>
    <x v="886"/>
    <s v="SERVICIO DE MONTAJE CASETAS Y ASISTENCIA CAMPAÑA SOLO SI ES SI / HASTA 12/09/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62279"/>
    <s v="AD"/>
    <d v="2021-09-30T00:00:00"/>
    <n v="22021006744"/>
    <s v="2021 06 2314 22613"/>
    <n v="7260"/>
    <x v="63"/>
    <s v="DISEÑO E IMPRESION DE MATERIALES PARA CAMPAÑA DE JUVENTUD 2021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613"/>
  </r>
  <r>
    <n v="220210059409"/>
    <s v="AD"/>
    <d v="2021-09-28T00:00:00"/>
    <n v="22021000782"/>
    <s v="2021 11 1621 204"/>
    <n v="600"/>
    <x v="66"/>
    <s v="SERVICIOS DE GRUAS PARA TRASLADO VEHICULOS AVERIADOS DEL SERVICO DE LIMPIEZA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0"/>
    <s v="204"/>
  </r>
  <r>
    <n v="220210058927"/>
    <s v="AD"/>
    <d v="2021-09-23T00:00:00"/>
    <n v="22021006619"/>
    <s v="2021 05 4331 224"/>
    <n v="603.66"/>
    <x v="77"/>
    <s v="Contratación seguro (Póliza 1-50-8370713) de 6 bicicletas eléctricas propiedad del Ayuntamiento de Valladolid"/>
    <s v="220"/>
    <s v="GETXO"/>
    <s v="VIZCAYA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4"/>
  </r>
  <r>
    <n v="220210062282"/>
    <s v="AD"/>
    <d v="2021-09-30T00:00:00"/>
    <n v="22021006724"/>
    <s v="2021 01 9312 22706"/>
    <n v="6731.04"/>
    <x v="1002"/>
    <s v="CONTRATO CONTROL FINANCIERO AUDITORIA SUBVENCION JUEGOS ESCOLARES 2019-2020 FUNDACION MUNICIPAL DEPORTES"/>
    <s v="220"/>
    <s v="OURENSE"/>
    <s v="OURENSE"/>
    <x v="1"/>
    <s v="AdDirec - Adjudicación Directa"/>
    <s v="SinC - Sin Criterio"/>
    <x v="0"/>
    <x v="2"/>
    <s v="2"/>
    <s v="2. Gastos corrientes en bienes y servicios"/>
    <s v="01"/>
    <x v="4"/>
    <s v="9312"/>
    <s v="9312. Intervención general"/>
    <s v="22"/>
    <s v="22706"/>
  </r>
  <r>
    <n v="220210057023"/>
    <s v="AD"/>
    <d v="2021-09-17T00:00:00"/>
    <n v="22021006524"/>
    <s v="2021 06 3232 632"/>
    <n v="320.75"/>
    <x v="802"/>
    <s v="ASISTENCIA TECNICA EN EL CONTROL DE CALIDAD (L.2) OBRA DE REPARACIÓN CONDENSACIÓN CUBIERTA POLIDEPORTIVO TIERNO GALVAN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0"/>
    <s v="3232"/>
    <s v="3232. Conservación y mantenimiento centros educación infantil y primaria"/>
    <s v="63"/>
    <s v="632"/>
  </r>
  <r>
    <n v="220210062272"/>
    <s v="AD"/>
    <d v="2021-09-30T00:00:00"/>
    <n v="22021006697"/>
    <s v="2021 06 3321 22799"/>
    <n v="4158"/>
    <x v="565"/>
    <s v="ACTIVIDADES AL AIRE LIBRE EN BIBLIOTECA DE VERANO CAMPO GRANDE. &quot;&quot;HISTORIAS DE SOL Y SOMBRA&quot;&quot;."/>
    <s v="220"/>
    <s v="SAN MIGUEL DEL PINO"/>
    <s v="VALLADOLID"/>
    <x v="0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799"/>
  </r>
  <r>
    <n v="220210059122"/>
    <s v="AD"/>
    <d v="2021-09-27T00:00:00"/>
    <n v="22021006626"/>
    <s v="2021 08 1532 22699"/>
    <n v="906.29"/>
    <x v="628"/>
    <s v="Suministro e instalación bomba para circuito agua caliente sanitaria, como sustitución por avería de la existente.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2"/>
    <s v="22699"/>
  </r>
  <r>
    <n v="220210061328"/>
    <s v="D"/>
    <d v="2021-09-29T00:00:00"/>
    <n v="22021005716"/>
    <s v="2021 11 1621 634"/>
    <n v="1280.26"/>
    <x v="85"/>
    <s v="SUMINISTRO DE DIFERENTES REPUESTOS (MES DE AGOSTO 2021)  AM EXP. SPSC 23/2020. SERVICIO DE LIMPIEZA."/>
    <s v="300"/>
    <s v="VALLADOLID"/>
    <s v="VALLADOLID"/>
    <x v="1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8319"/>
    <s v="AD"/>
    <d v="2021-09-21T00:00:00"/>
    <n v="22021006541"/>
    <s v="2021 02 1511 22706"/>
    <n v="1656.2"/>
    <x v="895"/>
    <s v="50% EDICIÓN 300 LIBROS &quot;&quot;GEOMORFOLOGÍA URBANA DE VALLADOLID Y SU ENTORNO&quot;&quot;.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1511"/>
    <s v="1511. Planficación y gestión del urbanismo"/>
    <s v="22"/>
    <s v="22706"/>
  </r>
  <r>
    <n v="220210058251"/>
    <s v="AD"/>
    <d v="2021-09-20T00:00:00"/>
    <n v="22021006560"/>
    <s v="2021 11 1631 214"/>
    <n v="5890.8"/>
    <x v="94"/>
    <s v="REPUESTOS REPARACION CUCHILLA QUITANIEVES MARCA MEYER DEL VEHICULO VA4940Z DEL Sº LIMPIEZA VIARIA"/>
    <s v="220"/>
    <s v="MADRID"/>
    <s v="MADRID"/>
    <x v="1"/>
    <s v="AdDirec - Adjudicación Directa"/>
    <s v="SinC - Sin Criterio"/>
    <x v="0"/>
    <x v="2"/>
    <s v="2"/>
    <s v="2. Gastos corrientes en bienes y servicios"/>
    <s v="11"/>
    <x v="5"/>
    <s v="1631"/>
    <s v="1631. Limpieza viaria"/>
    <s v="21"/>
    <s v="214"/>
  </r>
  <r>
    <n v="220210056557"/>
    <s v="D"/>
    <d v="2021-09-16T00:00:00"/>
    <n v="22021005928"/>
    <s v="2021 11 1361 214"/>
    <n v="241.69"/>
    <x v="96"/>
    <s v="REPARACIÓN CAMIÓN 4894-JLF: PANEL PUERTA DERECHA Y CAMBIAR ELEVALUNAS (M.O.+MATERIALES) SERV.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1"/>
    <s v="214"/>
  </r>
  <r>
    <n v="220210058678"/>
    <s v="D"/>
    <d v="2021-09-22T00:00:00"/>
    <n v="22021002378"/>
    <s v="2021 02 9332 214"/>
    <n v="237.92"/>
    <x v="96"/>
    <s v="REPARACION VEHICULO: 7688-BMH // Cº ACEITE MOTOR LD. 002L CAMBIAR FILTRO DE ACEITE. 003L CAMBIAR FILT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8601"/>
    <s v="D"/>
    <d v="2021-09-22T00:00:00"/>
    <n v="22021005928"/>
    <s v="2021 11 1361 214"/>
    <n v="150.19"/>
    <x v="96"/>
    <s v="ALB: 3154 de 31/08/2021  JUEGO ASIENTOS BUP Nº 1 MATRÍCULA 4894JLF // ALB: 3159 de  31/08/2021  JUEGO REPARACION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1"/>
    <s v="214"/>
  </r>
  <r>
    <n v="220210058676"/>
    <s v="D"/>
    <d v="2021-09-22T00:00:00"/>
    <n v="22021002378"/>
    <s v="2021 02 9332 214"/>
    <n v="95.95"/>
    <x v="96"/>
    <s v="REPARACION VEHICULO MATRICULA: VA-9253-V //// COMPROBAR NEYMAN Y SUSTITUIR  INTERRUPTO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8830"/>
    <s v="D"/>
    <d v="2021-09-23T00:00:00"/>
    <n v="22021002378"/>
    <s v="2021 02 9332 214"/>
    <n v="35"/>
    <x v="96"/>
    <s v="REPARACION VEHICULO: 3816-GKW /// REJILLA Y FARO -  Cº LAMPARA DE CRUCE /// 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8833"/>
    <s v="D"/>
    <d v="2021-09-23T00:00:00"/>
    <n v="22021002373"/>
    <s v="2021 02 9332 212"/>
    <n v="80.45"/>
    <x v="116"/>
    <s v="ALB: 2108470 de 27-08-21 ///  CEMENTO / ARENA / LADRILLO MAC. Y HUECO / YESO TOSCO //// DESTINO: PQ LAS NOR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6642"/>
    <s v="D"/>
    <d v="2021-09-16T00:00:00"/>
    <n v="22021001038"/>
    <s v="2021 10 2312 212"/>
    <n v="28.51"/>
    <x v="116"/>
    <s v="MANT, SUMINISTRO DE  CEMENTO GRIS PARA EL  CPM DELICIAS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6553"/>
    <s v="D"/>
    <d v="2021-09-16T00:00:00"/>
    <n v="22021003381"/>
    <s v="2021 11 1361 22199"/>
    <n v="20.260000000000002"/>
    <x v="116"/>
    <s v="ALBARAN: 2106619 (02-07-2021) ////  KUBIC BEIGE CERAMICA 30X30 ( 1,260) //// DESTINO: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647"/>
    <s v="D"/>
    <d v="2021-09-22T00:00:00"/>
    <n v="22021002373"/>
    <s v="2021 02 9332 212"/>
    <n v="8.6999999999999993"/>
    <x v="116"/>
    <s v="ALB: 2106709 DE 06-07-21 -ANGULO METAL. 30X30 (6 UN.) // ALB:2107183 DE 19-07-21 -ESCAYOLA 17 KG (2 UN.)/// MNTO ACOPI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7021"/>
    <s v="AD"/>
    <d v="2021-09-17T00:00:00"/>
    <n v="22021006542"/>
    <s v="2021 05 4331 22799"/>
    <n v="5929"/>
    <x v="1003"/>
    <s v="CONTRATO por la plataforma online gamificada y soporte técnico para el reto de Movilidad Urbana Sostenible (16-9 a 20-10"/>
    <s v="220"/>
    <s v="SEVILLA"/>
    <s v="SEVILLA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63185"/>
    <s v="D"/>
    <d v="2021-09-30T00:00:00"/>
    <n v="22021002132"/>
    <s v="2021 08 1532 210"/>
    <n v="1732.9"/>
    <x v="161"/>
    <s v="ALBARAN: AV21/03766 de 14/07/2021 ////   SUMINISTRO DE MATERIAL DIVERSO ///  PAVIM. V. PU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8318"/>
    <s v="AD/"/>
    <d v="2021-09-21T00:00:00"/>
    <n v="22021005797"/>
    <s v="2021 02 9332 22706"/>
    <n v="-13673"/>
    <x v="881"/>
    <s v="ASISTENCIA TÉCNICA TRABAJOS DE REGULACIÓN DE LAS VÍAS PECUARIAS QUE ATRAVIESAN EL TÉRMINO MUNICIPAL DE VALLADOLID.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2"/>
    <s v="22706"/>
  </r>
  <r>
    <n v="220210045186"/>
    <s v="D"/>
    <d v="2021-08-03T00:00:00"/>
    <n v="22021002144"/>
    <s v="2021 10 2311 212"/>
    <n v="42"/>
    <x v="188"/>
    <s v="F-7842. FERRETERIA ORTIZ. PALOMILLA MICEL REFORZADA 400X280 (4). CEAS BARRIO BELEN  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5188"/>
    <s v="D"/>
    <d v="2021-08-03T00:00:00"/>
    <n v="22021002144"/>
    <s v="2021 10 2311 212"/>
    <n v="105"/>
    <x v="188"/>
    <s v="F-7843. FERRETERIA ORTIZ. MATERIAL DE FERRETERIA. CEAS BELEN 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6999"/>
    <s v="D"/>
    <d v="2021-08-13T00:00:00"/>
    <n v="22021001039"/>
    <s v="2021 10 2312 212"/>
    <n v="7.6"/>
    <x v="188"/>
    <s v="MANT.SUMINISTRO DE  PLETINA MET ROB ADH 35MM (CPM J.L. MOSQUERA) / PROTEGE ESQUINAS BRINOX (CPM RONDILLA)DURACION-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6999"/>
    <s v="D"/>
    <d v="2021-08-13T00:00:00"/>
    <n v="22021001038"/>
    <s v="2021 10 2312 212"/>
    <n v="2.75"/>
    <x v="188"/>
    <s v="MANT.SUMINISTRO DE  PLETINA MET ROB ADH 35MM (CPM J.L. MOSQUERA) / PROTEGE ESQUINAS BRINOX (CPM RONDILLA)DURACION-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46979"/>
    <s v="D"/>
    <d v="2021-08-13T00:00:00"/>
    <n v="22021002006"/>
    <s v="2021 11 3111 22199"/>
    <n v="8.23"/>
    <x v="188"/>
    <s v="POMO BERNIAL DADO ALUM. SATIN. 25MM // DEPÓSIT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46048"/>
    <s v="D"/>
    <d v="2021-08-10T00:00:00"/>
    <n v="22021002228"/>
    <s v="2021 06 3232 212"/>
    <n v="67.17"/>
    <x v="188"/>
    <s v="SUMINISTRO DE REPUESTOS /////   DESTINOS: ESPECIAL Nº 1 - C.P. MIGUEL HDEZ - C.P. MACIAS PICAVEA / DEL 14-06 A 05-07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5672"/>
    <s v="D"/>
    <d v="2021-08-06T00:00:00"/>
    <n v="22021002227"/>
    <s v="2021 06 3321 212"/>
    <n v="21.45"/>
    <x v="188"/>
    <s v="TUERCA EMBUTIR M6X11X11 BL MICEL (250)  / CONTERA RED INTERIOR PLASTICO 30 (10) BIBLIOTECAS PUBLICAS.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53489"/>
    <s v="D"/>
    <d v="2021-09-13T00:00:00"/>
    <n v="22021002057"/>
    <s v="2021 11 1631 22199"/>
    <n v="127.26"/>
    <x v="188"/>
    <s v="AC MARCO EXP V36-2017: SUMINISTRO MATERIAL CERRAJERIA PARA EL S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56666"/>
    <s v="D"/>
    <d v="2021-09-16T00:00:00"/>
    <n v="22021005981"/>
    <s v="2021 07 1711 214"/>
    <n v="1800.61"/>
    <x v="215"/>
    <s v="ACUERDO MARCO 3/2020, REPARACION VEHICULO 1617-DTJ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47816"/>
    <s v="D"/>
    <d v="2021-08-17T00:00:00"/>
    <n v="22021002088"/>
    <s v="2021 03 9241 212"/>
    <n v="126.95"/>
    <x v="188"/>
    <s v="PARASOL EHLIS ALUMINIO 3MTS/ SOPORTE RESINA EHL/ SOPORTE CEMENTERIO EHLIS (CC CANAL DE CASTILLA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58841"/>
    <s v="D"/>
    <d v="2021-09-23T00:00:00"/>
    <n v="22021002369"/>
    <s v="2021 02 9332 212"/>
    <n v="1524.73"/>
    <x v="410"/>
    <s v="SUMINISTROS PARA MANTENIMIENTO (RECINTO FERIAL/ PINGÜINOS/ IGLESIA DE SAN BENITO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3500"/>
    <s v="D"/>
    <d v="2021-09-13T00:00:00"/>
    <n v="22021002088"/>
    <s v="2021 03 9241 212"/>
    <n v="114.64"/>
    <x v="188"/>
    <s v="TACO FISCHER/ CERRADURA/ CINTA AMERICANA/ TELA PLÁSTICO/ RED INTERIOR // CC RONDILLA/ CC ESGUEVA/ CIC C.ANSUREZ/ S.MONT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9410"/>
    <s v="AD"/>
    <d v="2021-09-28T00:00:00"/>
    <n v="22021006613"/>
    <s v="2021 11 1631 22700"/>
    <n v="16500"/>
    <x v="130"/>
    <s v="COLOCACION Y RETIRADA DE CONTENEDORES PARA LA RECOGIDA DE HOJA PROCEDENTE DE LA LIMPIEZA VIARIA"/>
    <s v="220"/>
    <s v="PALENCIA"/>
    <s v="PALENCIA"/>
    <x v="0"/>
    <s v="AdDirec - Adjudicación Directa"/>
    <s v="SinC - Sin Criterio"/>
    <x v="0"/>
    <x v="2"/>
    <s v="2"/>
    <s v="2. Gastos corrientes en bienes y servicios"/>
    <s v="11"/>
    <x v="5"/>
    <s v="1631"/>
    <s v="1631. Limpieza viaria"/>
    <s v="22"/>
    <s v="22700"/>
  </r>
  <r>
    <n v="220210057027"/>
    <s v="AD"/>
    <d v="2021-09-17T00:00:00"/>
    <n v="22021006483"/>
    <s v="2021 05 4331 212"/>
    <n v="133.1"/>
    <x v="124"/>
    <s v="Contenedor de escombros pedido por el Centro de Mantenimiento para reparación en Agencia de Innovación"/>
    <s v="220"/>
    <s v="LA FLECHA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1"/>
    <s v="212"/>
  </r>
  <r>
    <n v="220210049792"/>
    <s v="D"/>
    <d v="2021-08-25T00:00:00"/>
    <n v="22021002228"/>
    <s v="2021 06 3232 212"/>
    <n v="63.09"/>
    <x v="188"/>
    <s v="TACO FISCH SX 10X50 CAJA 30UD / TRINQUETE PONSA SEG CANARIO / SEÑAL EBER ALU. BANDERA ROJA Y PLATA (CP MACIAS PICAVEA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8768"/>
    <s v="D"/>
    <d v="2021-08-20T00:00:00"/>
    <n v="22021002374"/>
    <s v="2021 02 9332 212"/>
    <n v="60.05"/>
    <x v="188"/>
    <s v="REPOSAPIES FELLOWES/ CONTERA CUADRADA PLASTICO (4)/ CAJA TORNILLAS (1.000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8674"/>
    <s v="D"/>
    <d v="2021-08-20T00:00:00"/>
    <n v="22021002088"/>
    <s v="2021 03 9241 212"/>
    <n v="54.95"/>
    <x v="188"/>
    <s v="CERRADURA TESA 130 50 R HN // CC JOSE LUIS MOSQUERA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1"/>
    <s v="212"/>
  </r>
  <r>
    <n v="220210050645"/>
    <s v="D"/>
    <d v="2021-09-02T00:00:00"/>
    <n v="22021001962"/>
    <s v="2021 07 1721 22199"/>
    <n v="39.450000000000003"/>
    <x v="188"/>
    <s v="MANDO A DISTANCIA DC.PVC48 // CASA DEL B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99"/>
  </r>
  <r>
    <n v="220210048782"/>
    <s v="D"/>
    <d v="2021-08-20T00:00:00"/>
    <n v="22021002374"/>
    <s v="2021 02 9332 212"/>
    <n v="36.64"/>
    <x v="188"/>
    <s v="NIVELADOR NEGRO/ TORNI.DIN/ ARANDELA ANCHA/ TUERCA AUTOBLOCANTE/ ESCUADRA BOPE ROBUSTA // SAN BENITO, PUERTA 4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8784"/>
    <s v="D"/>
    <d v="2021-08-20T00:00:00"/>
    <n v="22021002374"/>
    <s v="2021 02 9332 212"/>
    <n v="8.82"/>
    <x v="188"/>
    <s v="ANGULO AMIG 3 BICROMATADO 20X20X16 (20 UDS) / DESTORN 246 1,5X60 FELO // MANTENIMIEN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7020"/>
    <s v="AD"/>
    <d v="2021-09-17T00:00:00"/>
    <n v="22021006567"/>
    <s v="2021 04 3121 22706"/>
    <n v="1034.82"/>
    <x v="135"/>
    <s v="Evaluación riesgos psicosociales personal taller de Limpieza. DEPARTAMENTO DE PREVENCIÓN Y SALUD LABORAL"/>
    <s v="220"/>
    <s v="MADRID"/>
    <s v="MADRID"/>
    <x v="0"/>
    <s v="AdDirec - Adjudicación Directa"/>
    <s v="SinC - Sin Criterio"/>
    <x v="0"/>
    <x v="2"/>
    <s v="2"/>
    <s v="2. Gastos corrientes en bienes y servicios"/>
    <s v="04"/>
    <x v="3"/>
    <s v="3121"/>
    <s v="3121. Prevención y salud laboral"/>
    <s v="22"/>
    <s v="22706"/>
  </r>
  <r>
    <n v="220210062275"/>
    <s v="AD"/>
    <d v="2021-09-30T00:00:00"/>
    <n v="22021006703"/>
    <s v="2021 08 1532 214"/>
    <n v="1350.44"/>
    <x v="724"/>
    <s v="Revisión, mantenimiento y reparaciones de máquina perteneciente al  SEPI matrícula JCB 3CXT.-"/>
    <s v="220"/>
    <s v="VALLADOLID"/>
    <s v="VALLADOLID"/>
    <x v="0"/>
    <s v="AdDirec - Adjudicación Directa"/>
    <s v="SinC - Sin Criterio"/>
    <x v="0"/>
    <x v="2"/>
    <s v="2"/>
    <s v="2. Gastos corrientes en bienes y servicios"/>
    <s v="08"/>
    <x v="9"/>
    <s v="1532"/>
    <s v="1532. Pavimentación vias públicas y otros servicios urbanísticos"/>
    <s v="21"/>
    <s v="214"/>
  </r>
  <r>
    <n v="220210059128"/>
    <s v="ADO"/>
    <d v="2021-09-27T00:00:00"/>
    <n v="22021006630"/>
    <s v="2021 08 1513 83100"/>
    <n v="292.5"/>
    <x v="746"/>
    <s v="SERVICIO DIRECCIÓN FACULTATIVA DE OBRA DE ELIMINACIÓN DE RIESGO EN EDIF. DE VIVIENDAS EN PZA SAN NICOLÁS, 1"/>
    <s v="240"/>
    <s v="VALLADOLID"/>
    <s v="VALLADOLID"/>
    <x v="0"/>
    <s v="AdDirec - Adjudicación Directa"/>
    <s v="SinC - Sin Criterio"/>
    <x v="0"/>
    <x v="2"/>
    <s v="8"/>
    <s v="8. Activos financieros"/>
    <s v="08"/>
    <x v="9"/>
    <s v="1513"/>
    <s v="1513. Licencias urbanísticas"/>
    <s v="83"/>
    <s v="83100"/>
  </r>
  <r>
    <n v="220210062264"/>
    <s v="AD"/>
    <d v="2021-09-30T00:00:00"/>
    <n v="22021006105"/>
    <s v="2021 05 4331 22602"/>
    <n v="1815"/>
    <x v="171"/>
    <s v="Realización de campañas publicitarias en redes sociales para difusión de actividades de la Agencia de Innovación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02"/>
  </r>
  <r>
    <n v="220210059026"/>
    <s v="AD"/>
    <d v="2021-09-24T00:00:00"/>
    <n v="22021006515"/>
    <s v="2021 06 2315 22699"/>
    <n v="2000"/>
    <x v="152"/>
    <s v="IMPRESIÓN DE SOPORTES PUBLICITARIOS A TRAVÉS DE IMPRENTA MUNICIPAL (PROGRAMAS, DÍPTICOS¿) / DURANT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99"/>
  </r>
  <r>
    <n v="220210059118"/>
    <s v="AD"/>
    <d v="2021-09-27T00:00:00"/>
    <n v="22021006641"/>
    <s v="2021 11 1621 214"/>
    <n v="600"/>
    <x v="154"/>
    <s v="REPUESTOS REPARACIONES VEHICULOS MARCA SCANIA DEL SERVICIO DE LIMPIEZA"/>
    <s v="220"/>
    <s v="FUENSALDAÑA"/>
    <s v="VALLADOL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59027"/>
    <s v="AD"/>
    <d v="2021-09-24T00:00:00"/>
    <n v="22021004921"/>
    <s v="2021 06 2314 22799"/>
    <n v="158.22"/>
    <x v="159"/>
    <s v="AMPLIACIÓN GESTIÓN RESIDUOS Y RETIRADA DE CONTENEDORES PINAR DE ANTEQUERA (ZONA JOVEN PINAR)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799"/>
  </r>
  <r>
    <n v="220210057026"/>
    <s v="AD"/>
    <d v="2021-09-17T00:00:00"/>
    <n v="22021006484"/>
    <s v="2021 05 4331 22001"/>
    <n v="90"/>
    <x v="173"/>
    <s v="2 suscripciones a la revista Castilla Y Leon Económica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001"/>
  </r>
  <r>
    <n v="220210062273"/>
    <s v="AD"/>
    <d v="2021-09-30T00:00:00"/>
    <n v="22021006698"/>
    <s v="2021 06 3321 22001"/>
    <n v="441"/>
    <x v="1004"/>
    <s v="SUSCRIPCIÓN A VARIAS REVISTAS PARA LAS BIBLIOTECAS MUNICIPALES. PLAZO 1 AÑO."/>
    <s v="220"/>
    <s v="MAJADAHONDA"/>
    <s v="MADR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001"/>
  </r>
  <r>
    <n v="220210049790"/>
    <s v="D"/>
    <d v="2021-08-25T00:00:00"/>
    <n v="22021002227"/>
    <s v="2021 06 3321 212"/>
    <n v="8.25"/>
    <x v="188"/>
    <s v="GOTAS BRINOX 7062 TRANSP ADH 25P (2 UDS) // BIBLIOTECAS PÚBLICA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321"/>
    <s v="3321. Bibliotecas públicas"/>
    <s v="21"/>
    <s v="212"/>
  </r>
  <r>
    <n v="220210058622"/>
    <s v="D"/>
    <d v="2021-09-22T00:00:00"/>
    <n v="22021005716"/>
    <s v="2021 11 1621 634"/>
    <n v="374.06"/>
    <x v="924"/>
    <s v="AC MARCO EXP SPSC 23/2020: REPARACION EQUIPO AIRE ACONDICIONADO VEHICULO 4224 JCV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21"/>
    <s v="1621. Servicio de limpieza"/>
    <s v="63"/>
    <s v="634"/>
  </r>
  <r>
    <n v="220210056698"/>
    <s v="D"/>
    <d v="2021-09-16T00:00:00"/>
    <n v="22021005981"/>
    <s v="2021 07 1711 214"/>
    <n v="1104.3399999999999"/>
    <x v="215"/>
    <s v="ACUERDO MARCO 3/2020, TRABAJOS EN VEHICULO 4272-GHL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9408"/>
    <s v="AD"/>
    <d v="2021-09-28T00:00:00"/>
    <n v="22021006684"/>
    <s v="2021 02 9332 632"/>
    <n v="2163.44"/>
    <x v="160"/>
    <s v="REPARACIION EN INSTALACION DE CLIMATIZACION DEL  ARCHIVO MUNICIPAL"/>
    <s v="220"/>
    <s v="ALBACETE"/>
    <s v="ALBACETE"/>
    <x v="0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63159"/>
    <s v="D"/>
    <d v="2021-09-30T00:00:00"/>
    <n v="22021002371"/>
    <s v="2021 02 9332 212"/>
    <n v="1017.23"/>
    <x v="82"/>
    <s v="SUMINISTRO DE MATERIAL DE ELECTRICIDAD PARA CASA CONSIST. (PLANIF. Y RECURSOS/ CONTABILIDAD)/ ARCHIVO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2270"/>
    <s v="AD"/>
    <d v="2021-09-30T00:00:00"/>
    <n v="22021006693"/>
    <s v="2021 11 1321 213"/>
    <n v="885.72"/>
    <x v="189"/>
    <s v="REALIZACIÓN DE CORRECCIONES EN CENTRO DE TRANFORMACIÓN FUENTE EL SOL PARA LA INSPECCIÓN OBLIGATORIA (OCA)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3"/>
  </r>
  <r>
    <n v="220210059121"/>
    <s v="AD"/>
    <d v="2021-09-27T00:00:00"/>
    <n v="22021006540"/>
    <s v="2021 01 9206 22799"/>
    <n v="591.69000000000005"/>
    <x v="189"/>
    <s v="MANTENIMIENTO PREVENTIVO ANUAL DEL 01-01-21 AL 31-12-21 E INSPECCION PERIODICA REGLAMENTARIA DEL C.T. AMVA.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4"/>
    <s v="9206"/>
    <s v="9206. Archivo municipal"/>
    <s v="22"/>
    <s v="22799"/>
  </r>
  <r>
    <n v="220210049413"/>
    <s v="AD"/>
    <d v="2021-08-24T00:00:00"/>
    <n v="22021006108"/>
    <s v="2021 01 9206 22199"/>
    <n v="1.8"/>
    <x v="188"/>
    <s v="COPIA DE LLAVE NORMAL PARA EL SERVICIO DE ARCHIVO MUNICIPAL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4"/>
    <s v="9206"/>
    <s v="9206. Archivo municipal"/>
    <s v="22"/>
    <s v="22199"/>
  </r>
  <r>
    <n v="220210059031"/>
    <s v="AD"/>
    <d v="2021-09-24T00:00:00"/>
    <n v="22021006648"/>
    <s v="2021 09 3341 22699"/>
    <n v="726"/>
    <x v="1005"/>
    <s v="GASTO REALIZACION VIDEO PARA PROMOCION DE VALLADOLID COMO CIUDAD CREATIVA DE CINE EN FILM EXPO DE QUINDAO. SEPTIEMBRE 21"/>
    <s v="220"/>
    <s v="LAGUNA DE DUERO"/>
    <s v="VALLADOLID"/>
    <x v="4"/>
    <s v="AdDirec - Adjudicación Directa"/>
    <s v="SinC - Sin Criterio"/>
    <x v="0"/>
    <x v="2"/>
    <s v="2"/>
    <s v="2. Gastos corrientes en bienes y servicios"/>
    <s v="09"/>
    <x v="1"/>
    <s v="3341"/>
    <s v="3341. Coordinación de políticas culturales"/>
    <s v="22"/>
    <s v="22699"/>
  </r>
  <r>
    <n v="220210057029"/>
    <s v="AD"/>
    <d v="2021-09-17T00:00:00"/>
    <n v="22021006473"/>
    <s v="2021 05 4331 212"/>
    <n v="983.81"/>
    <x v="410"/>
    <s v="Tuberías para conexiones se saneamiento realizadas por el Centro de Mantenimiento en Agencia de Innovación"/>
    <s v="220"/>
    <s v="VALDELAFUENTE"/>
    <s v="LEON"/>
    <x v="1"/>
    <s v="PrAbier - Procedimiento Abierto"/>
    <s v="MultiC - MultiCriterio"/>
    <x v="2"/>
    <x v="2"/>
    <s v="2"/>
    <s v="2. Gastos corrientes en bienes y servicios"/>
    <s v="05"/>
    <x v="6"/>
    <s v="4331"/>
    <s v="4331. Desarrollo empresarial"/>
    <s v="21"/>
    <s v="212"/>
  </r>
  <r>
    <n v="220210058807"/>
    <s v="D"/>
    <d v="2021-09-23T00:00:00"/>
    <n v="22021001275"/>
    <s v="2021 07 1711 22199"/>
    <n v="23.96"/>
    <x v="188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8653"/>
    <s v="D"/>
    <d v="2021-09-22T00:00:00"/>
    <n v="22021002369"/>
    <s v="2021 02 9332 212"/>
    <n v="315.43"/>
    <x v="188"/>
    <s v="SUMINISTRO DE MATERIAL /// DESTINOS: TORREON PATRIMONIO - CARPINTERIA -S. BENITO PTA BAÑO SRAS 2º - ALCALDÍ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6582"/>
    <s v="D"/>
    <d v="2021-09-16T00:00:00"/>
    <n v="22021001038"/>
    <s v="2021 10 2312 212"/>
    <n v="63.31"/>
    <x v="188"/>
    <s v="MANT. SUMINISTRO DE CILINDRO 5200 3030N MULETILLA IGUALADOS (2) // CPM RONDILL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6570"/>
    <s v="D"/>
    <d v="2021-09-16T00:00:00"/>
    <n v="22021004466"/>
    <s v="2021 10 2311 212"/>
    <n v="38.74"/>
    <x v="188"/>
    <s v="F-9484. FERRETERIA ORTIZ. CERRADURA TESA EMBUTIR 2030 50 HL  (1) DESTINO: CENTRO INTEGRADO. 1 DIA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63151"/>
    <s v="D"/>
    <d v="2021-09-30T00:00:00"/>
    <n v="22021002374"/>
    <s v="2021 02 9332 212"/>
    <n v="6.05"/>
    <x v="188"/>
    <s v="TORNI. DIN 7982 C/AVE.PHI. CINC. 3.5X25 (250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43892"/>
    <s v="D"/>
    <d v="2021-07-28T00:00:00"/>
    <n v="22021003381"/>
    <s v="2021 11 1361 22199"/>
    <n v="503.66"/>
    <x v="238"/>
    <s v="ACUERDO MARCO SUMINISTROS: CHAPA PERFORADA 2000X1000X1,5 /2 CHAPA /PLACAS NE /CIRCULO 6 UNID/ PARQ. BOMBEROS (JUNIO-21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9386"/>
    <s v="D"/>
    <d v="2021-09-27T00:00:00"/>
    <n v="22021005717"/>
    <s v="2021 11 1631 634"/>
    <n v="909.54"/>
    <x v="585"/>
    <s v="AC MARCO EXP SPSC 23/2020: ALINEACION DOBLE DIRECCION VEHICULO 4178-JDZ, SUSTITUCION SENSOR VEHICULO 1410-JNL"/>
    <s v="300"/>
    <s v="VALLADOLID"/>
    <s v="VALLADOLID"/>
    <x v="0"/>
    <s v="PrAbier - Procedimiento Abierto"/>
    <s v="MultiC - MultiCriterio"/>
    <x v="2"/>
    <x v="2"/>
    <s v="6"/>
    <s v="6. Inversiones reales"/>
    <s v="11"/>
    <x v="5"/>
    <s v="1631"/>
    <s v="1631. Limpieza viaria"/>
    <s v="63"/>
    <s v="634"/>
  </r>
  <r>
    <n v="220210044393"/>
    <s v="D"/>
    <d v="2021-07-30T00:00:00"/>
    <n v="22021004466"/>
    <s v="2021 10 2311 212"/>
    <n v="285.02999999999997"/>
    <x v="238"/>
    <s v="F-7427. FERROINDUSTRIAS YUSTOS S.L. TUBOS CARPINTERÍA/ TUBOS CUADRADOS/ TUBOS RECTANGULARES. C.INTEGRADO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40147"/>
    <s v="D"/>
    <d v="2021-07-19T00:00:00"/>
    <n v="22021002006"/>
    <s v="2021 11 3111 22199"/>
    <n v="127.41"/>
    <x v="238"/>
    <s v="TUBO CARPINTERIA A  R-5851  L DD11 (30 UNIDADES)  /////  DESTINO: CENTR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61330"/>
    <s v="D"/>
    <d v="2021-09-29T00:00:00"/>
    <n v="22021002048"/>
    <s v="2021 11 1621 214"/>
    <n v="769.98"/>
    <x v="411"/>
    <s v="LANZA ALEMANA (4)/ ASPERSOR ATOMIZADOR (8)/ CERRADURA PARA COMPUERTA LATERAL (4) AM EXP. V36-2017.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63194"/>
    <s v="D"/>
    <d v="2021-09-30T00:00:00"/>
    <n v="22021001276"/>
    <s v="2021 07 1711 22106"/>
    <n v="346.37"/>
    <x v="580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45453"/>
    <s v="D"/>
    <d v="2021-08-05T00:00:00"/>
    <n v="22021002225"/>
    <s v="2021 06 3231 212"/>
    <n v="47.35"/>
    <x v="238"/>
    <s v="5 PLETINAS DE 25X4 S 275 JR // E.I. EL PRINCIPIT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1"/>
    <s v="3231. Escuelas infantiles"/>
    <s v="21"/>
    <s v="212"/>
  </r>
  <r>
    <n v="220210059330"/>
    <s v="D"/>
    <d v="2021-09-27T00:00:00"/>
    <n v="22021003187"/>
    <s v="2021 06 2314 212"/>
    <n v="738.45"/>
    <x v="410"/>
    <s v="DOSICO-DISPENS PAPEL/ DISPENS. JABON / PAPELERA / ESCOBILLERO / PERCHA //// DESTINO: ESPACIO JOVEN PINAR"/>
    <s v="300"/>
    <s v="VALDELAFUENTE"/>
    <s v="LEON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58248"/>
    <s v="AD"/>
    <d v="2021-09-20T00:00:00"/>
    <n v="22021006521"/>
    <s v="2021 11 1321 214"/>
    <n v="2893.98"/>
    <x v="744"/>
    <s v="REPARACIÓN DE MOTOCICLETA EN PERIODO DE GARANTÍA (1428LJD) POR DESPERFECTOS EN ACCIDENTE DE CIRCULACIÓN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1"/>
    <s v="214"/>
  </r>
  <r>
    <n v="220210046005"/>
    <s v="D"/>
    <d v="2021-08-10T00:00:00"/>
    <n v="22021002228"/>
    <s v="2021 06 3232 212"/>
    <n v="1775.22"/>
    <x v="238"/>
    <s v="CHAPAS/ TUBOS CARPINTERÍA/ PLETINAS/ TUBOS CUADRADOS PARA COLEGIOS J.ZORRILLA/ M.DELIBES/ TIERNO GALVÁN/ FCO PINO.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46046"/>
    <s v="D"/>
    <d v="2021-08-10T00:00:00"/>
    <n v="22021002228"/>
    <s v="2021 06 3232 212"/>
    <n v="279.55"/>
    <x v="238"/>
    <s v="TUBO CARPINTERIA C  R-5860 T DD11 (24 UDS) // COLEGIO FRANCISCO PIN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1169"/>
    <s v="D"/>
    <d v="2021-09-09T00:00:00"/>
    <n v="22021002132"/>
    <s v="2021 08 1532 210"/>
    <n v="2544.81"/>
    <x v="238"/>
    <s v="PLETINAS/ TUBOS CUADRADOS/ CHAPAS L.CALIENTE/ CHAPA ESTAMPADA/ CORRUGADO/ TUBOS RECTANGULARE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48718"/>
    <s v="D"/>
    <d v="2021-08-20T00:00:00"/>
    <n v="22021002374"/>
    <s v="2021 02 9332 212"/>
    <n v="162.41"/>
    <x v="238"/>
    <s v="CHAPA PERFORADA 2000X1000X1,5  R 5 T 7,5 DD11 / 3 PLETINA DE 30 /////   MNTO EDIFICIOS: RECINTO FE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9402"/>
    <s v="D"/>
    <d v="2021-09-27T00:00:00"/>
    <n v="22021002228"/>
    <s v="2021 06 3232 212"/>
    <n v="655.29"/>
    <x v="410"/>
    <s v="SUMINISTRO DE MATERIAL Y REPUESTOS ///  DESTINOS: PARA NUEVE C.P. Y CENTRO AUTISTA EL CORR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8593"/>
    <s v="D"/>
    <d v="2021-09-22T00:00:00"/>
    <n v="22021003381"/>
    <s v="2021 11 1361 22199"/>
    <n v="640.41999999999996"/>
    <x v="238"/>
    <s v="CIRCULO ACERO/ ARANDELA EXCÉNTRICA/ PLACAS ACERO/ CHAPA NEGRA (PARQUE DE BOMBEROS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6531"/>
    <s v="D"/>
    <d v="2021-09-16T00:00:00"/>
    <n v="22021003381"/>
    <s v="2021 11 1361 22199"/>
    <n v="308.95999999999998"/>
    <x v="238"/>
    <s v="PLACAS RANURADAS DE ACERO (36)/ PLACAS DE ACERO (4) // PARQUE DE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61340"/>
    <s v="AD"/>
    <d v="2021-09-29T00:00:00"/>
    <n v="22021006679"/>
    <s v="2021 10 2311 213"/>
    <n v="223.85"/>
    <x v="851"/>
    <s v="ADECUACIÓN A NORMATIVA ACTUAL DE INSTALACIÓN INTERIOR DE GAS EN VIVIENDA CALLE CELTAS CORTOS Nº 20 1º B."/>
    <s v="220"/>
    <s v="VALLADOLID"/>
    <s v="VALLADOLID"/>
    <x v="4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59030"/>
    <s v="AD"/>
    <d v="2021-09-24T00:00:00"/>
    <n v="22021006590"/>
    <s v="2021 06 3261 22799"/>
    <n v="3000"/>
    <x v="1006"/>
    <s v="CURSOS DE COMPETENCIAS DIGITALES PARA LA CIUDADANÍA. DE SEPTIEMBRE A DICIEMBR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61"/>
    <s v="3261. Servicios complementarios de educación"/>
    <s v="22"/>
    <s v="22799"/>
  </r>
  <r>
    <n v="220210059407"/>
    <s v="AD"/>
    <d v="2021-09-28T00:00:00"/>
    <n v="22021006694"/>
    <s v="2021 11 1621 213"/>
    <n v="816.69"/>
    <x v="444"/>
    <s v="SUMINISTRO BOTELLAS DE GASES (OXIGENO Y ARKAL 21) PARA LOS EQUIPOS DE SOLDADURA DEL TALLEr MECÁNICO DEL Sº LIMPIEZ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3"/>
  </r>
  <r>
    <n v="220210058843"/>
    <s v="D"/>
    <d v="2021-09-23T00:00:00"/>
    <n v="22021002369"/>
    <s v="2021 02 9332 212"/>
    <n v="594.05999999999995"/>
    <x v="410"/>
    <s v="MATERIAL FERRETERÍA, HERRAMIENTA Y ACCESORIOS(LOTE 1) CENTRO MANTENIMIENTO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7791"/>
    <s v="D"/>
    <d v="2021-09-20T00:00:00"/>
    <n v="22021002449"/>
    <s v="2021 07 1711 619"/>
    <n v="5391.29"/>
    <x v="191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10056700"/>
    <s v="D"/>
    <d v="2021-09-16T00:00:00"/>
    <n v="22021001275"/>
    <s v="2021 07 1711 22199"/>
    <n v="8.1300000000000008"/>
    <x v="285"/>
    <s v="ACUERDO MARCO 36/2017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6802"/>
    <s v="D"/>
    <d v="2021-09-16T00:00:00"/>
    <n v="22021005946"/>
    <s v="2021 11 1321 214"/>
    <n v="1131.96"/>
    <x v="273"/>
    <s v="ACUERDO MARCO NEUMAT.MICHELIN PRIM (8) + S.I.GEST.  NFU (8)    VEH. : 3715-KGD - 3960-JKP - 3707-KGD - 3998-JKP. POLIC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6757"/>
    <s v="D"/>
    <d v="2021-09-16T00:00:00"/>
    <n v="22021001967"/>
    <s v="2021 11 1321 214"/>
    <n v="179.27"/>
    <x v="303"/>
    <s v="ACUERDO MARCO. SUMINISTRO DE MATERIAL PARA TALLER DE REPARACIONE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6674"/>
    <s v="D"/>
    <d v="2021-09-16T00:00:00"/>
    <n v="22021001967"/>
    <s v="2021 11 1321 214"/>
    <n v="261.36"/>
    <x v="304"/>
    <s v="ACUERDO MARCO. SUMINISTRO DE MATERIAL PARA TALLER DE REPARACIONES DE POLICÍAQ MUNICIPAL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8938"/>
    <s v="AD"/>
    <d v="2021-09-23T00:00:00"/>
    <n v="22021006593"/>
    <s v="2021 02 9332 213"/>
    <n v="550"/>
    <x v="444"/>
    <s v="SUMINISTRO Y LLENADO BOMBONAS DE GAS Y MAQUINARIA DE SOLDADURA"/>
    <s v="220"/>
    <s v="VALLADOLID"/>
    <s v="VALLADOLID"/>
    <x v="1"/>
    <s v="AdDirec - Adjudicación Directa"/>
    <s v="MultiC - MultiCriterio"/>
    <x v="0"/>
    <x v="2"/>
    <s v="2"/>
    <s v="2. Gastos corrientes en bienes y servicios"/>
    <s v="02"/>
    <x v="10"/>
    <s v="9332"/>
    <s v="9332. Mantenimiento de edificios e instalaciones municipales"/>
    <s v="21"/>
    <s v="213"/>
  </r>
  <r>
    <n v="220210058651"/>
    <s v="D"/>
    <d v="2021-09-22T00:00:00"/>
    <n v="22021002371"/>
    <s v="2021 02 9332 212"/>
    <n v="211.15"/>
    <x v="210"/>
    <s v="CONMUTADOR / CANAL / BASE 4 TOMAS / CEYS / BASE 6 TOMAS / CLAVIJA / SALVACABLES //// MANTENIMIENTO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8925"/>
    <s v="AD"/>
    <d v="2021-09-23T00:00:00"/>
    <n v="22021006597"/>
    <s v="2021 05 4331 22799"/>
    <n v="608.39"/>
    <x v="1007"/>
    <s v="Diseño e impresión de Colgadores para el reto de Movilidad Urbana Sostenible - Urban Mobility Challenge Sep.2021"/>
    <s v="220"/>
    <s v="EIVISSA"/>
    <s v="ILLES BALEARS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99"/>
  </r>
  <r>
    <n v="220210059028"/>
    <s v="AD"/>
    <d v="2021-09-24T00:00:00"/>
    <n v="22021006564"/>
    <s v="2021 06 2315 22614"/>
    <n v="544.5"/>
    <x v="610"/>
    <s v="REALIZACION VÍDEOS DE NIÑOS DEL CONSEJO DE LA INFANCIA, PARA ACTO DE RENOV. SELLO &quot;&quot;CIUDAD AMIGA DE LA INFANCIA&quot;&quot;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4"/>
  </r>
  <r>
    <n v="220210062267"/>
    <s v="AD"/>
    <d v="2021-09-30T00:00:00"/>
    <n v="22021006663"/>
    <s v="2021 09 4321 22799"/>
    <n v="998.25"/>
    <x v="1008"/>
    <s v="REDACCION DE LA MEMORIA VALORADA Y DIRECCION TECNICA DE LA OBRA DE LA PERGOLA EN EL ALBERGUE DE PEREGRINOS PUENTE DUERO"/>
    <s v="220"/>
    <s v="ARROYO DE LA ENCOMIENDA"/>
    <s v="VALLADOLID"/>
    <x v="4"/>
    <s v="AdDirec - Adjudicación Directa"/>
    <s v="SinC - Sin Criterio"/>
    <x v="0"/>
    <x v="2"/>
    <s v="2"/>
    <s v="2. Gastos corrientes en bienes y servicios"/>
    <s v="09"/>
    <x v="1"/>
    <s v="4321"/>
    <s v="4321. Turismo"/>
    <s v="22"/>
    <s v="22799"/>
  </r>
  <r>
    <n v="220210058989"/>
    <s v="D"/>
    <d v="2021-09-24T00:00:00"/>
    <n v="22021001967"/>
    <s v="2021 11 1321 214"/>
    <n v="224.91"/>
    <x v="304"/>
    <s v="ACUERDO MARCO. SUMINISTRO DE MATERIALES PARA TALLER DE REPARACIÓN DE VEHÍCULOS DE POLICÍA MUNICIPAL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63161"/>
    <s v="D"/>
    <d v="2021-09-30T00:00:00"/>
    <n v="22021002371"/>
    <s v="2021 02 9332 212"/>
    <n v="512.36"/>
    <x v="82"/>
    <s v="SUMINISTRO DE MATERIAL /// DESTINOS: CASA CONSISTORIAL - REAL FERIA - CENTRO MNTO - STA ANA - DPCHO DEL ALCALD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3183"/>
    <s v="D"/>
    <d v="2021-09-30T00:00:00"/>
    <n v="22021002132"/>
    <s v="2021 08 1532 210"/>
    <n v="489.2"/>
    <x v="161"/>
    <s v="ALBARAN AV21/04730 DE 14/09/2021: REPARACION MARTILLO GBH 11DE / REPARACION MARTILLO GBH 12 // VÍAS PÚ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6537"/>
    <s v="D"/>
    <d v="2021-09-16T00:00:00"/>
    <n v="22021003381"/>
    <s v="2021 11 1361 22199"/>
    <n v="475.41"/>
    <x v="191"/>
    <s v="VÁLVULA BOLA PALANCA/ NIPPELS GALVANIZADO/ RUEDA TRANSPORTE ORIENTABLE/ ESCALERA ANCHO ESPECIAL/S.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247"/>
    <s v="AD"/>
    <d v="2021-09-20T00:00:00"/>
    <n v="22021006501"/>
    <s v="2021 10 2312 212"/>
    <n v="89.54"/>
    <x v="1009"/>
    <s v="SUNIMISTROS DE 10 GUARDAVIVOS EN COLOR NOGAL PARA  EL CPM RONDILLA- DURACION 1 DIA"/>
    <s v="220"/>
    <s v="LAGUNA DE DUERO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1"/>
    <s v="212"/>
  </r>
  <r>
    <n v="220210059130"/>
    <s v="ADO"/>
    <d v="2021-09-27T00:00:00"/>
    <n v="22021006632"/>
    <s v="2021 08 1513 83100"/>
    <n v="8135.12"/>
    <x v="872"/>
    <s v="OBRAS SUBSIDIARIAS: DESARROLLO DE ACTUACIONES OBLIGATORIAS POR ENCARGO DEL AYTO (EXPT 33/2019) // PLZA SAN NICOLAS, 1"/>
    <s v="240"/>
    <s v="MADRID"/>
    <s v="MADRID"/>
    <x v="2"/>
    <s v="PrAbier - Procedimiento Abierto"/>
    <s v="MultiC - MultiCriterio"/>
    <x v="1"/>
    <x v="2"/>
    <s v="8"/>
    <s v="8. Activos financieros"/>
    <s v="08"/>
    <x v="9"/>
    <s v="1513"/>
    <s v="1513. Licencias urbanísticas"/>
    <s v="83"/>
    <s v="83100"/>
  </r>
  <r>
    <n v="220210056575"/>
    <s v="D"/>
    <d v="2021-09-16T00:00:00"/>
    <n v="22021001183"/>
    <s v="2021 10 2412 22199"/>
    <n v="442.3"/>
    <x v="161"/>
    <s v="SUMINIST FERRETERIA, SEÑAL POLIESTIRENO/ MACETA/ CORTAFRIOS/ GUANTE/ MTS CANAL/ LIJADORA -PINTURA DECORATIVA III- D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10059131"/>
    <s v="ADO"/>
    <d v="2021-09-27T00:00:00"/>
    <n v="22021006633"/>
    <s v="2021 08 1513 83100"/>
    <n v="37.659999999999997"/>
    <x v="872"/>
    <s v="ACTUACIONES OBLIGATORIAS SUBSIDIARIAS POR ENCARGO DEL AYTO (EXPT 33/19): TASA OCUPAC.VIA PÚBLICA // PLZA SAN NICOLAS, 1"/>
    <s v="240"/>
    <s v="MADRID"/>
    <s v="MADRID"/>
    <x v="4"/>
    <s v="PrAbier - Procedimiento Abierto"/>
    <s v="MultiC - MultiCriterio"/>
    <x v="1"/>
    <x v="2"/>
    <s v="8"/>
    <s v="8. Activos financieros"/>
    <s v="08"/>
    <x v="9"/>
    <s v="1513"/>
    <s v="1513. Licencias urbanísticas"/>
    <s v="83"/>
    <s v="83100"/>
  </r>
  <r>
    <n v="220210058666"/>
    <s v="D"/>
    <d v="2021-09-22T00:00:00"/>
    <n v="22021002371"/>
    <s v="2021 02 9332 212"/>
    <n v="435.6"/>
    <x v="82"/>
    <s v="PANEL KLARSTEIN Air Art Smart 300W INFRARR (2 UNIDADES) ///// DESTINO: ARCHIVO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2266"/>
    <s v="AD"/>
    <d v="2021-09-30T00:00:00"/>
    <n v="22021006627"/>
    <s v="2021 06 3321 22799"/>
    <n v="1113.2"/>
    <x v="605"/>
    <s v="AMENIZACIÓN MUSICAL EN LA BIBLIOTECA DEL CAMPO GRANDE LOS MESES DEJULIO Y DE AGOSTO. PLAZO DE EJECUCIÓN 3 MESES."/>
    <s v="220"/>
    <s v="VALLADOLID"/>
    <s v="VALLADOLID"/>
    <x v="0"/>
    <s v="AdDirec - Adjudicación Directa"/>
    <s v="UniC - Único Criterio"/>
    <x v="0"/>
    <x v="2"/>
    <s v="2"/>
    <s v="2. Gastos corrientes en bienes y servicios"/>
    <s v="06"/>
    <x v="0"/>
    <s v="3321"/>
    <s v="3321. Bibliotecas públicas"/>
    <s v="22"/>
    <s v="22799"/>
  </r>
  <r>
    <n v="220210059029"/>
    <s v="AD"/>
    <d v="2021-09-24T00:00:00"/>
    <n v="22021006565"/>
    <s v="2021 07 1701 623"/>
    <n v="139.54"/>
    <x v="251"/>
    <s v="Coordinación de Seguridad y Salud. Eliminación de bajantes de fibrocemento en centros educativos. Plazo: Dos meses"/>
    <s v="220"/>
    <s v="MADRID"/>
    <s v="MADRID"/>
    <x v="0"/>
    <s v="AdDirec - Adjudicación Directa"/>
    <s v="SinC - Sin Criterio"/>
    <x v="0"/>
    <x v="2"/>
    <s v="6"/>
    <s v="6. Inversiones reales"/>
    <s v="07"/>
    <x v="7"/>
    <s v="1701"/>
    <s v="1701. Dirección del área de medio ambiente"/>
    <s v="62"/>
    <s v="623"/>
  </r>
  <r>
    <n v="220210056594"/>
    <s v="D"/>
    <d v="2021-09-16T00:00:00"/>
    <n v="22021002088"/>
    <s v="2021 03 9241 212"/>
    <n v="407.69"/>
    <x v="314"/>
    <s v="SUMINISTRO DE MATERIAL /// C.C. ARTURO EYRIES / ZONA SUR / ESGUEVA / C. BIOLOGO VALVERDE / CENTRO SEGUNDO MONTE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63165"/>
    <s v="D"/>
    <d v="2021-09-30T00:00:00"/>
    <n v="22021002088"/>
    <s v="2021 03 9241 212"/>
    <n v="389.37"/>
    <x v="314"/>
    <s v="RECHAPADO+CANTO (CC ESGUEVA) ///  MELAMINA +CORTES+CANTO (CC MOSQUERA) / MELAMINA+CANTO (CC DELICIAS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7793"/>
    <s v="D"/>
    <d v="2021-09-20T00:00:00"/>
    <n v="22021001275"/>
    <s v="2021 07 1711 22199"/>
    <n v="106.02"/>
    <x v="314"/>
    <s v="ACUERDO MARCO 2017/36, ARTICULOS DE MADERA PARA JARDINE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59032"/>
    <s v="AD"/>
    <d v="2021-09-24T00:00:00"/>
    <n v="22021006511"/>
    <s v="2021 06 3232 22706"/>
    <n v="119.61"/>
    <x v="251"/>
    <s v="CONTROL DE SEGURIDAD Y SALUD, VINCULADO AL CONTRATO MENOR DE ELIMINACIÓN DE FIBROCEMENTO EN COLEGIOS PÚBLICOS. SE 21/21"/>
    <s v="220"/>
    <s v="MADRID"/>
    <s v="MADRID"/>
    <x v="0"/>
    <s v="AdDirec - Adjudicación Directa"/>
    <s v="MultiC - MultiCriterio"/>
    <x v="0"/>
    <x v="2"/>
    <s v="2"/>
    <s v="2. Gastos corrientes en bienes y servicios"/>
    <s v="06"/>
    <x v="0"/>
    <s v="3232"/>
    <s v="3232. Conservación y mantenimiento centros educación infantil y primaria"/>
    <s v="22"/>
    <s v="22706"/>
  </r>
  <r>
    <n v="220210053439"/>
    <s v="AD/"/>
    <d v="2021-09-13T00:00:00"/>
    <n v="22021000412"/>
    <s v="2021 11 1621 22700"/>
    <n v="-24898.25"/>
    <x v="328"/>
    <s v="CAMBIO ADJUDICATARIO POR RESOLUCION DE JUNTA DE GOBIERNO"/>
    <s v="220"/>
    <s v="BURGOS"/>
    <s v="BURGOS"/>
    <x v="0"/>
    <s v="PrAbier - Procedimiento Abierto"/>
    <s v="MultiC - MultiCriterio"/>
    <x v="1"/>
    <x v="2"/>
    <s v="2"/>
    <s v="2. Gastos corrientes en bienes y servicios"/>
    <s v="11"/>
    <x v="5"/>
    <s v="1621"/>
    <s v="1621. Servicio de limpieza"/>
    <s v="22"/>
    <s v="22700"/>
  </r>
  <r>
    <n v="220210053440"/>
    <s v="AD/"/>
    <d v="2021-09-13T00:00:00"/>
    <n v="22021000413"/>
    <s v="2021 11 1631 22700"/>
    <n v="-54961.75"/>
    <x v="328"/>
    <s v="CAMBIO ADJUDICATARIO POR RESOLUCION DE JUNTA DE GOBIERNO"/>
    <s v="220"/>
    <s v="BURGOS"/>
    <s v="BURGOS"/>
    <x v="0"/>
    <s v="PrAbier - Procedimiento Abierto"/>
    <s v="MultiC - MultiCriterio"/>
    <x v="1"/>
    <x v="2"/>
    <s v="2"/>
    <s v="2. Gastos corrientes en bienes y servicios"/>
    <s v="11"/>
    <x v="5"/>
    <s v="1631"/>
    <s v="1631. Limpieza viaria"/>
    <s v="22"/>
    <s v="22700"/>
  </r>
  <r>
    <n v="220210058316"/>
    <s v="AD"/>
    <d v="2021-09-21T00:00:00"/>
    <n v="22021006523"/>
    <s v="2021 05 4331 22606"/>
    <n v="2898.5"/>
    <x v="1010"/>
    <s v="Exposición de UPCYCLING y buenas prácticas en EC así como la realización de talleres de UPCYCLING en Feria de Muestras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06"/>
  </r>
  <r>
    <n v="220210058317"/>
    <s v="AD/"/>
    <d v="2021-09-21T00:00:00"/>
    <n v="22021005894"/>
    <s v="2021 02 9332 22799"/>
    <n v="-18089.5"/>
    <x v="879"/>
    <s v="IMPLEMENT. MARCO SEGUIMIENTO DE INDICADORES MEDIOAMBIEN. Y ECONÓMICOS DEL IMPACTO DE LA REHAB.DE EDIF. PARA EL AYUNT.VAL"/>
    <s v="220"/>
    <s v="BURGOS"/>
    <s v="BURGOS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2"/>
    <s v="22799"/>
  </r>
  <r>
    <n v="220210057028"/>
    <s v="AD"/>
    <d v="2021-09-17T00:00:00"/>
    <n v="22021006469"/>
    <s v="2021 05 4331 22701"/>
    <n v="1564.36"/>
    <x v="263"/>
    <s v="Ampliación del sistema de seguridad de la Agencia de innovación por el aumento de la superfice tras las obras de ampliac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701"/>
  </r>
  <r>
    <n v="220210062271"/>
    <s v="AD"/>
    <d v="2021-09-30T00:00:00"/>
    <n v="22021006696"/>
    <s v="2021 06 3261 213"/>
    <n v="467.69"/>
    <x v="263"/>
    <s v="INSTALACION Y MANTENIMIENTO (OCT-DIC 21) ALARMA EN EL COLEGIO MARIA DE MOLINA PARA LA ESCUELA MUNICIPAL DE MUSICA.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61"/>
    <s v="3261. Servicios complementarios de educación"/>
    <s v="21"/>
    <s v="213"/>
  </r>
  <r>
    <n v="220210058669"/>
    <s v="D"/>
    <d v="2021-09-22T00:00:00"/>
    <n v="22021002228"/>
    <s v="2021 06 3232 212"/>
    <n v="314.72000000000003"/>
    <x v="191"/>
    <s v="SUMINISTRO PIEZAS AL CEIP NARCISO ALONSO CORTES. AGOSTO. SE APLICA ABONO 138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8924"/>
    <s v="AD"/>
    <d v="2021-09-23T00:00:00"/>
    <n v="22021006623"/>
    <s v="2021 11 1321 22699"/>
    <n v="1754.5"/>
    <x v="1011"/>
    <s v="REALIZACIÓN DE 500 CUADERNILLOS DE &quot;&quot;RELACIÓN CODIFICADA DE INFRACCIONES&quot;&quot; PARA PERSONAL DE POLICÍ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699"/>
  </r>
  <r>
    <n v="220210057022"/>
    <s v="AD"/>
    <d v="2021-09-17T00:00:00"/>
    <n v="22021006516"/>
    <s v="2021 06 3261 22799"/>
    <n v="7139"/>
    <x v="1012"/>
    <s v="VIDEO MATERIAL EDUCATIVO PARA DIFUNDIR EL PATRIMONIO CULTURAL VALLISOLETANO EN LOS CENTROS EDUCATIVOS. HASTA 31/12/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261"/>
    <s v="3261. Servicios complementarios de educación"/>
    <s v="22"/>
    <s v="22799"/>
  </r>
  <r>
    <n v="220210059395"/>
    <s v="D"/>
    <d v="2021-09-27T00:00:00"/>
    <n v="22021001275"/>
    <s v="2021 07 1711 22199"/>
    <n v="74.62"/>
    <x v="314"/>
    <s v="ACUERDO MARCO 2017/36, MATERIAL DE CARPINT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63204"/>
    <s v="D"/>
    <d v="2021-09-30T00:00:00"/>
    <n v="22021001276"/>
    <s v="2021 07 1711 22106"/>
    <n v="566.5"/>
    <x v="845"/>
    <s v="ACUERDO MARCO 2017/36, PRODUCTOS FITOSANITARIOS."/>
    <s v="300"/>
    <s v="MOJADOS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10058321"/>
    <s v="AD"/>
    <d v="2021-09-21T00:00:00"/>
    <n v="22021006559"/>
    <s v="2021 02 9332 213"/>
    <n v="209.04"/>
    <x v="829"/>
    <s v="REPARACION DEL SISTEMA CENTRAL DE CONTROL DE INSTALACIONES- ARCHIVO MUNICIPAL"/>
    <s v="220"/>
    <s v="MADRID"/>
    <s v="MADR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3"/>
  </r>
  <r>
    <n v="220210056784"/>
    <s v="D"/>
    <d v="2021-09-16T00:00:00"/>
    <n v="22021001967"/>
    <s v="2021 11 1321 214"/>
    <n v="550.61"/>
    <x v="347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6770"/>
    <s v="D"/>
    <d v="2021-09-16T00:00:00"/>
    <n v="22021002006"/>
    <s v="2021 11 3111 22199"/>
    <n v="248.97"/>
    <x v="410"/>
    <s v="SUMINISTROS DE RIEGO (DEPÓSITO CANINO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3111"/>
    <s v="3111. Protección de la salubridad pública"/>
    <s v="22"/>
    <s v="22199"/>
  </r>
  <r>
    <n v="220210057797"/>
    <s v="D"/>
    <d v="2021-09-20T00:00:00"/>
    <n v="22021002146"/>
    <s v="2021 07 1711 214"/>
    <n v="411.25"/>
    <x v="347"/>
    <s v="ACUERDO MARCO 2017/36, REPUESTOS PARA VEHICI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6599"/>
    <s v="D"/>
    <d v="2021-09-16T00:00:00"/>
    <n v="22021002089"/>
    <s v="2021 03 9241 213"/>
    <n v="247.65"/>
    <x v="82"/>
    <s v="MANGUERA / LAMPARA / CEBADOR / TASA + CONMUTADOR + ZOCALO /// DESTINOS: CIC EMPECINADO - J. LUIS MOSQUERA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56525"/>
    <s v="D"/>
    <d v="2021-09-16T00:00:00"/>
    <n v="22021005928"/>
    <s v="2021 11 1361 214"/>
    <n v="2500.4699999999998"/>
    <x v="273"/>
    <s v="CUBIERTA NUEVA CONTINENTAL HCS/ ECO TASA/ JUNTA TÓRICA PARA VEHÍCULO MATRÍCULA 0095DWZ///SERV.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1"/>
    <s v="214"/>
  </r>
  <r>
    <n v="220210063155"/>
    <s v="D"/>
    <d v="2021-09-30T00:00:00"/>
    <n v="22021002369"/>
    <s v="2021 02 9332 212"/>
    <n v="229.02"/>
    <x v="410"/>
    <s v="SUMINISTROS PARA SAN BENITO/ RECINTO FERIAL/ PLAZA SANTA ANA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2280"/>
    <s v="AD"/>
    <d v="2021-09-30T00:00:00"/>
    <n v="22021006746"/>
    <s v="2021 06 2315 22611"/>
    <n v="6000"/>
    <x v="1013"/>
    <s v="ACTUACIONES EN CENTROS EDUCATIVOS SOBRE PREVENCION DE LA VIOLENCIA DE GENERO EN LA INFANCIA Y ADOLESC. / DURANTE 2021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5"/>
    <s v="2315. Políticas de Igualdad e infancia"/>
    <s v="22"/>
    <s v="22611"/>
  </r>
  <r>
    <n v="220210059332"/>
    <s v="D"/>
    <d v="2021-09-27T00:00:00"/>
    <n v="22021002049"/>
    <s v="2021 11 1621 22103"/>
    <n v="1844.44"/>
    <x v="304"/>
    <s v="RUBIA TIR 9900 FE 5W30 208 L (2)  / APORTACION SIGAUS 208 L (2) EXP 36-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59336"/>
    <s v="D"/>
    <d v="2021-09-27T00:00:00"/>
    <n v="22021002049"/>
    <s v="2021 11 1621 22103"/>
    <n v="859.1"/>
    <x v="304"/>
    <s v="AK-ADIGAS 6 CTN 25 L (2) //  EXP. V36-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03"/>
  </r>
  <r>
    <n v="220210059334"/>
    <s v="D"/>
    <d v="2021-09-27T00:00:00"/>
    <n v="22021002048"/>
    <s v="2021 11 1621 214"/>
    <n v="556.6"/>
    <x v="304"/>
    <s v="DYNAMIC-ANTICONGELANTE 3000 50% 185 K (2 UNID.) ///  EXP. 36/2017. SERV.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8768"/>
    <s v="D"/>
    <d v="2021-09-23T00:00:00"/>
    <n v="22021002144"/>
    <s v="2021 10 2311 212"/>
    <n v="210.93"/>
    <x v="314"/>
    <s v="F-9711.MARINO DE LA F. TAB PINO/TIRAFONDOS/BISAGRA/CERRADURA/TIRADOR. VIV.C/MACIZO DE GREDOS, 90/CEAS HTA DEL REY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9338"/>
    <s v="D"/>
    <d v="2021-09-27T00:00:00"/>
    <n v="22021002048"/>
    <s v="2021 11 1621 214"/>
    <n v="250.13"/>
    <x v="304"/>
    <s v="FILTRO HIDRAULICO SH-67784V ( 4 UNIDADES) /// EXP. V36/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8608"/>
    <s v="D"/>
    <d v="2021-09-22T00:00:00"/>
    <n v="22021003381"/>
    <s v="2021 11 1361 22199"/>
    <n v="206.14"/>
    <x v="285"/>
    <s v="R2NANO VASOS 1/4 DE 5,5 A 14 MM Y ACCESORIOS FACOM  (1) ////  TORNILLO BROCA C/E 6.3X25 P16 INDEX (50)///SEIS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588"/>
    <s v="D"/>
    <d v="2021-09-22T00:00:00"/>
    <n v="22021003381"/>
    <s v="2021 11 1361 22199"/>
    <n v="43.27"/>
    <x v="417"/>
    <s v="AdBlue Granel ( 25,32 + 31,80 + 24,17 ) ///  SERV. SEIS Y PC  ///// MES DE JUNIO DE 2021"/>
    <s v="300"/>
    <s v="LA CISTERNIGA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8584"/>
    <s v="D"/>
    <d v="2021-09-22T00:00:00"/>
    <n v="22021003381"/>
    <s v="2021 11 1361 22199"/>
    <n v="20.79"/>
    <x v="417"/>
    <s v="AdBlue Granel (27,30 + 11,74) ////  SERV. SEIS Y PC //// MES DE NOVIEMBRE DE 2020"/>
    <s v="300"/>
    <s v="LA CISTERNIGA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8612"/>
    <s v="D"/>
    <d v="2021-09-22T00:00:00"/>
    <n v="22021003381"/>
    <s v="2021 11 1361 22199"/>
    <n v="16.87"/>
    <x v="417"/>
    <s v="Adblue Granel ( TOTAL 31,70) ////  SERV. PREVENCION Y EXTINC. - SEIS Y PC"/>
    <s v="300"/>
    <s v="LA CISTERNIGA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7771"/>
    <s v="D"/>
    <d v="2021-09-20T00:00:00"/>
    <n v="22021002088"/>
    <s v="2021 03 9241 212"/>
    <n v="165.9"/>
    <x v="410"/>
    <s v="SUMINISTROS PARA CENTRO SEGUNDO MONTES/ CC VICENTE ESCUDERO"/>
    <s v="300"/>
    <s v="VALDELAFUENTE"/>
    <s v="LEON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2"/>
  </r>
  <r>
    <n v="220210058586"/>
    <s v="D"/>
    <d v="2021-09-22T00:00:00"/>
    <n v="22021003381"/>
    <s v="2021 11 1361 22199"/>
    <n v="14.47"/>
    <x v="417"/>
    <s v="AdBlue Granel (27,18) ////  SERV. SEIS Y PC /// MES DE MARZO DE 2021"/>
    <s v="300"/>
    <s v="LA CISTERNIGA"/>
    <s v="VALLADOLID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6688"/>
    <s v="D"/>
    <d v="2021-09-16T00:00:00"/>
    <n v="22021002228"/>
    <s v="2021 06 3232 212"/>
    <n v="157.6"/>
    <x v="191"/>
    <s v="NIPPELS GALVANIZADO/ ENLACE MACHO (ALBARÁN 21-227441) // CP NARCISO A. CORTÉS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8940"/>
    <s v="AD"/>
    <d v="2021-09-23T00:00:00"/>
    <n v="22021006599"/>
    <s v="2021 02 9332 22699"/>
    <n v="99.34"/>
    <x v="268"/>
    <s v="BURBUJA ROLLO 70GR 1,60  X  1,50ML (240 UNIDADES)"/>
    <s v="220"/>
    <s v="VALLADOLID"/>
    <s v="VALLADOLID"/>
    <x v="1"/>
    <s v="AdDirec - Adjudicación Directa"/>
    <s v="MultiC - MultiCriterio"/>
    <x v="0"/>
    <x v="2"/>
    <s v="2"/>
    <s v="2. Gastos corrientes en bienes y servicios"/>
    <s v="02"/>
    <x v="10"/>
    <s v="9332"/>
    <s v="9332. Mantenimiento de edificios e instalaciones municipales"/>
    <s v="22"/>
    <s v="22699"/>
  </r>
  <r>
    <n v="220210058604"/>
    <s v="D"/>
    <d v="2021-09-22T00:00:00"/>
    <n v="22021002601"/>
    <s v="2021 06 3321 629"/>
    <n v="3549.18"/>
    <x v="755"/>
    <s v="SUMINISTRO DE DIFERENTES TÍTULOS /// DESTINO: BIBLIOTECAS MUNICIPALES ///  MES DE AGOSTO DE 2021"/>
    <s v="300"/>
    <s v="VALLADOLID"/>
    <s v="VALLADOLID"/>
    <x v="1"/>
    <s v="PrAbier - Procedimiento Abierto"/>
    <s v="UniC - Único Criterio"/>
    <x v="2"/>
    <x v="2"/>
    <s v="6"/>
    <s v="6. Inversiones reales"/>
    <s v="06"/>
    <x v="0"/>
    <s v="3321"/>
    <s v="3321. Bibliotecas públicas"/>
    <s v="62"/>
    <s v="629"/>
  </r>
  <r>
    <n v="220210061339"/>
    <s v="AD"/>
    <d v="2021-09-29T00:00:00"/>
    <n v="22021006502"/>
    <s v="2021 10 2312 22699"/>
    <n v="146.11000000000001"/>
    <x v="1014"/>
    <s v="50 CAMISETAS CON EL LOGO-NOS MOVEMOSDE MANERA SOSTENIBLE- PARA LOS CPM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99"/>
  </r>
  <r>
    <n v="220210061339"/>
    <s v="AD"/>
    <d v="2021-09-29T00:00:00"/>
    <n v="22021006503"/>
    <s v="2021 10 2312 22699"/>
    <n v="146.11000000000001"/>
    <x v="1014"/>
    <s v="50 CAMISETAS CON EL LOGO-NOS MOVEMOSDE MANERA SOSTENIBLE- PARA LOS CPM- DURACION 1 DIA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8"/>
    <s v="2312"/>
    <s v="2312. Iniciativas sociales"/>
    <s v="22"/>
    <s v="22699"/>
  </r>
  <r>
    <n v="220210059400"/>
    <s v="D"/>
    <d v="2021-09-27T00:00:00"/>
    <n v="22021002228"/>
    <s v="2021 06 3232 212"/>
    <n v="140.93"/>
    <x v="265"/>
    <s v="TESA 2031F/602 REV AI DS S/CIL ( 1 UNIDAD ) ////  DESTINO:  CEIP MARINA ESBOBA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7030"/>
    <s v="AD"/>
    <d v="2021-09-17T00:00:00"/>
    <n v="22021006474"/>
    <s v="2021 05 4331 212"/>
    <n v="139.33000000000001"/>
    <x v="750"/>
    <s v="Lote 4 A.M. Proveedores. Compra de arquetas para conexiones realizadas por el Centro de Mantenimiento en la Agencia Inno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6"/>
    <s v="4331"/>
    <s v="4331. Desarrollo empresarial"/>
    <s v="21"/>
    <s v="212"/>
  </r>
  <r>
    <n v="220210058606"/>
    <s v="D"/>
    <d v="2021-09-22T00:00:00"/>
    <n v="22021005928"/>
    <s v="2021 11 1361 214"/>
    <n v="139.27000000000001"/>
    <x v="191"/>
    <s v="ALBARÁN 21-222417: REPARACIÓN DE VENTILADOR DE MARCA TEMPEST/ REPUESTOS/ SERVICIOS LOGÍSTICOS (SEIS Y PC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1"/>
    <s v="214"/>
  </r>
  <r>
    <n v="220210058661"/>
    <s v="D"/>
    <d v="2021-09-22T00:00:00"/>
    <n v="22021002369"/>
    <s v="2021 02 9332 212"/>
    <n v="127.96"/>
    <x v="314"/>
    <s v="MELAMINA/ CANTO PVC/ TIRAFONDO/ TABLERO // MESA DE ALCALDÍA / PQUE DE LAS NOR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9348"/>
    <s v="D"/>
    <d v="2021-09-27T00:00:00"/>
    <n v="22021002089"/>
    <s v="2021 03 9241 213"/>
    <n v="127.53"/>
    <x v="82"/>
    <s v="DOWNLIGHT + TASA ECORAEE (RONDILLA) / PROYECTOR +TASA ECORAE (C.C.ESGUEVA) / DOWNLIGHT + TASA (C.C.ZONA SUR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56738"/>
    <s v="D"/>
    <d v="2021-09-16T00:00:00"/>
    <n v="22021002048"/>
    <s v="2021 11 1621 214"/>
    <n v="202.01"/>
    <x v="348"/>
    <s v="AC MARCO EXP V36-2017: RADIADOR RECONSTRUIDO REPARACION BARREDORA E3814BDK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1"/>
    <s v="214"/>
  </r>
  <r>
    <n v="220210056710"/>
    <s v="D"/>
    <d v="2021-09-16T00:00:00"/>
    <n v="22021002052"/>
    <s v="2021 11 1621 22199"/>
    <n v="74.02"/>
    <x v="410"/>
    <s v="AC MARCO EXP V36-2017: SUMINISTRO MATERIALES DE FONTANERIA PARA EL SERVICIO DE LIMPIEZA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99"/>
  </r>
  <r>
    <n v="220210059010"/>
    <s v="D"/>
    <d v="2021-09-24T00:00:00"/>
    <n v="22021002146"/>
    <s v="2021 07 1711 214"/>
    <n v="74.16"/>
    <x v="347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63145"/>
    <s v="D"/>
    <d v="2021-09-30T00:00:00"/>
    <n v="22021001275"/>
    <s v="2021 07 1711 22199"/>
    <n v="40.39"/>
    <x v="353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10062278"/>
    <s v="AD"/>
    <d v="2021-09-30T00:00:00"/>
    <n v="22021006739"/>
    <s v="2021 06 3321 22799"/>
    <n v="420"/>
    <x v="579"/>
    <s v="ACTIVIDADES AL AIRE LIBRE EN LA BIBLIOTCA DE VERANO &quot;&quot;CAMPO GRANDE&quot;&quot; ARTE Y NATURALEZA. PLAZO DE EJECUCIÓN TRES MESES.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2"/>
    <s v="22799"/>
  </r>
  <r>
    <n v="220210061265"/>
    <s v="D"/>
    <d v="2021-09-29T00:00:00"/>
    <n v="22021003381"/>
    <s v="2021 11 1361 22199"/>
    <n v="116.01"/>
    <x v="114"/>
    <s v="PREBEN AVISPAS 750ML (12 UDS) ///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7031"/>
    <s v="AD"/>
    <d v="2021-09-17T00:00:00"/>
    <n v="22021006477"/>
    <s v="2021 05 4331 212"/>
    <n v="108.39"/>
    <x v="191"/>
    <s v="LOTE 4 A.M. Proveedores - Compra material por el Centro de Mantenimiento para obra de sanemiento en Agencia de Innovacio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6"/>
    <s v="4331"/>
    <s v="4331. Desarrollo empresarial"/>
    <s v="21"/>
    <s v="212"/>
  </r>
  <r>
    <n v="220210058657"/>
    <s v="D"/>
    <d v="2021-09-22T00:00:00"/>
    <n v="22021002369"/>
    <s v="2021 02 9332 212"/>
    <n v="104.74"/>
    <x v="161"/>
    <s v="PASADOR 10MM/ ADAPTADOR GRIFO HEMBRA/ RUEDA P/CARRETILLO DE OBRA MACIZA/ MACETA (MANTENIMIENTO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8645"/>
    <s v="D"/>
    <d v="2021-09-22T00:00:00"/>
    <n v="22021002371"/>
    <s v="2021 02 9332 212"/>
    <n v="103.48"/>
    <x v="82"/>
    <s v="SUMINISTRO DE MATERIAL DIVERSO DE ELECTRICIDAD /// DESTINO: CASA CONSISTO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61344"/>
    <s v="AD"/>
    <d v="2021-09-29T00:00:00"/>
    <n v="22021006685"/>
    <s v="2021 10 2316 22616"/>
    <n v="2000"/>
    <x v="516"/>
    <s v="TALLERES PREVENCIÓN INTOLERANCIA Y DELITOS DE ODIO. ALUMNOS IES. NOVIEMBRE Y DICIEMBRE 2021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62281"/>
    <s v="AD"/>
    <d v="2021-09-30T00:00:00"/>
    <n v="22021006747"/>
    <s v="2021 03 9241 635"/>
    <n v="152.46"/>
    <x v="415"/>
    <s v="SILLA CON BRAZOS ERGONÓMICA CC CANAL DE CASTILLA (CM LA OVERUELA)"/>
    <s v="220"/>
    <s v="VALLADOLID"/>
    <s v="VALLADOLID"/>
    <x v="1"/>
    <s v="AdDirec - Adjudicación Directa"/>
    <s v="SinC - Sin Criterio"/>
    <x v="0"/>
    <x v="2"/>
    <s v="6"/>
    <s v="6. Inversiones reales"/>
    <s v="03"/>
    <x v="2"/>
    <s v="9241"/>
    <s v="9241. Participación ciudadana"/>
    <s v="63"/>
    <s v="635"/>
  </r>
  <r>
    <n v="220210056781"/>
    <s v="D"/>
    <d v="2021-09-16T00:00:00"/>
    <n v="22021001968"/>
    <s v="2021 11 1321 22199"/>
    <n v="119.06"/>
    <x v="410"/>
    <s v="ACUERDO MARCO. SUMINISTRO MATERIAL FONTANERIA DEPENDENCIAS DE JEFATURA DE POLICÍA.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2"/>
    <s v="22199"/>
  </r>
  <r>
    <n v="220210058770"/>
    <s v="D"/>
    <d v="2021-09-23T00:00:00"/>
    <n v="22021002144"/>
    <s v="2021 10 2311 212"/>
    <n v="92.58"/>
    <x v="82"/>
    <s v="F-9813. CADIELSA. FLUORESCENTE / TASA ECORAEE / CEBADOR (CEAS DELICIAS - ARGALES) 1 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6672"/>
    <s v="D"/>
    <d v="2021-09-16T00:00:00"/>
    <n v="22021003187"/>
    <s v="2021 06 2314 212"/>
    <n v="91.94"/>
    <x v="314"/>
    <s v="TABLERO CONTR.PINO II/III 30MM (3,13) / TIRAFONDO SPAX 4*70 XL 150U.(1) ///// DESTINO: CENTRO NORTE, C/ OLMO 56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2314"/>
    <s v="2314. Centro de programas juveniles"/>
    <s v="21"/>
    <s v="212"/>
  </r>
  <r>
    <n v="220210061278"/>
    <s v="D"/>
    <d v="2021-09-29T00:00:00"/>
    <n v="22021001038"/>
    <s v="2021 10 2312 212"/>
    <n v="87.39"/>
    <x v="265"/>
    <s v="MANT. SUMINISTRO DE CERRADURA TESA 2031-40 HL ( 2 UNIDADES ) DESTINO: C.P.M. DELICIAS - DURACION 1 DIA- ACUERDO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6676"/>
    <s v="D"/>
    <d v="2021-09-16T00:00:00"/>
    <n v="22021005946"/>
    <s v="2021 11 1321 214"/>
    <n v="54.45"/>
    <x v="381"/>
    <s v="ACUERDO MARCO.  - MATRÍCULA 3707KGD: REPARAR ALINEACION VEHÍCULO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7821"/>
    <s v="D"/>
    <d v="2021-09-20T00:00:00"/>
    <n v="22019009556"/>
    <s v="2021 02 9332 633"/>
    <n v="181.5"/>
    <x v="1015"/>
    <s v="INSPECCION DE BAJA TENSION EN C/ SANTO DOMIINGO DE GUZMAN, 8 (ARCHIVO MPAL)"/>
    <s v="300"/>
    <s v="ARROYO DE LA ENCOMIENDA"/>
    <s v="VALLADOLID"/>
    <x v="0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3"/>
  </r>
  <r>
    <n v="220210058939"/>
    <s v="AD"/>
    <d v="2021-09-23T00:00:00"/>
    <n v="22021006594"/>
    <s v="2021 02 9332 213"/>
    <n v="525"/>
    <x v="1016"/>
    <s v="COMPLEMENTOS SILLERIA:PISTON DE GAS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3"/>
  </r>
  <r>
    <n v="220210062274"/>
    <s v="AD"/>
    <d v="2021-09-30T00:00:00"/>
    <n v="22021006702"/>
    <s v="2021 06 2314 22613"/>
    <n v="961.95"/>
    <x v="342"/>
    <s v="DISEÑO, MAQUETACIÓN Y ARTE DE ROLL-UP, PHOTOCALL ZONA JOVEN PINAR / 1 DIA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0"/>
    <s v="2314"/>
    <s v="2314. Centro de programas juveniles"/>
    <s v="22"/>
    <s v="22613"/>
  </r>
  <r>
    <n v="220210056752"/>
    <s v="D"/>
    <d v="2021-09-16T00:00:00"/>
    <n v="22021001038"/>
    <s v="2021 10 2312 212"/>
    <n v="84.46"/>
    <x v="82"/>
    <s v="MANT. SUMINISTRO  CONMUTADOR NIESSEN,TECLA I  NIESSEN, MARCO NIESSEN ,PARA  CPM PUENTE COLGANTE- DURACION 1 DIA-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61313"/>
    <s v="D"/>
    <d v="2021-09-29T00:00:00"/>
    <n v="22021002057"/>
    <s v="2021 11 1631 22199"/>
    <n v="302.08"/>
    <x v="411"/>
    <s v="AC MARCO EXP V36-2017: SUMINISTRO PARA EL  SERVICIO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99"/>
  </r>
  <r>
    <n v="220210061315"/>
    <s v="D"/>
    <d v="2021-09-29T00:00:00"/>
    <n v="22021002056"/>
    <s v="2021 11 1631 22110"/>
    <n v="2664.35"/>
    <x v="411"/>
    <s v="AC MARCO EXP V36-2017: BOLSAS NEGRA 90X95 Y  BOLSAS NEGRA 115X150  SERV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10"/>
  </r>
  <r>
    <n v="220210058250"/>
    <s v="AD"/>
    <d v="2021-09-20T00:00:00"/>
    <n v="22021006554"/>
    <s v="2021 11 1621 213"/>
    <n v="1355.2"/>
    <x v="334"/>
    <s v="SOFTWARE ACTUALIZACIÓN MAQUINA DE DIAGNOSIS DEL TALLER DEL SERVICIO DE LIMPIEZA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3"/>
  </r>
  <r>
    <n v="220210061308"/>
    <s v="D"/>
    <d v="2021-09-29T00:00:00"/>
    <n v="22021002228"/>
    <s v="2021 06 3232 212"/>
    <n v="82.47"/>
    <x v="314"/>
    <s v="MELAMINA 19 MM / CORTES / CANTO PVC ///   DESTINO:  ESCUELA DE MUSICA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7025"/>
    <s v="AD"/>
    <d v="2021-09-17T00:00:00"/>
    <n v="22021006517"/>
    <s v="2021 02 1511 22799"/>
    <n v="4235"/>
    <x v="458"/>
    <s v="REALIZACIÓN DE INFOGRAFÍAS DEL PROYECTO DE INTEGRACIÓN FERROVIARIA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10"/>
    <s v="1511"/>
    <s v="1511. Planficación y gestión del urbanismo"/>
    <s v="22"/>
    <s v="22799"/>
  </r>
  <r>
    <n v="220210061341"/>
    <s v="AD"/>
    <d v="2021-09-29T00:00:00"/>
    <n v="22021006680"/>
    <s v="2021 10 2311 213"/>
    <n v="718.14"/>
    <x v="343"/>
    <s v="REVISIÓN Y SUBSANACIÓN DE ANOMALÍAS EN EXTINTORES Y SISTEMA DE DETECCIÓN DE INCENDIOS EN CEAS, COMEDOR Y ALBERGUE."/>
    <s v="220"/>
    <s v="ZARATAN"/>
    <s v="VALLADOLID"/>
    <x v="4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61341"/>
    <s v="AD"/>
    <d v="2021-09-29T00:00:00"/>
    <n v="22021006681"/>
    <s v="2021 10 2311 213"/>
    <n v="23.84"/>
    <x v="343"/>
    <s v="REVISIÓN Y SUBSANACIÓN DE ANOMALÍAS EN EXTINTORES Y SISTEMA DE DETECCIÓN DE INCENDIOS EN CEAS, COMEDOR Y ALBERGUE."/>
    <s v="220"/>
    <s v="ZARATAN"/>
    <s v="VALLADOLID"/>
    <x v="4"/>
    <s v="AdDirec - Adjudicación Directa"/>
    <s v="SinC - Sin Criterio"/>
    <x v="0"/>
    <x v="2"/>
    <s v="2"/>
    <s v="2. Gastos corrientes en bienes y servicios"/>
    <s v="10"/>
    <x v="8"/>
    <s v="2311"/>
    <s v="2311. Intervención social"/>
    <s v="21"/>
    <s v="213"/>
  </r>
  <r>
    <n v="220210056541"/>
    <s v="D"/>
    <d v="2021-09-16T00:00:00"/>
    <n v="22021003381"/>
    <s v="2021 11 1361 22199"/>
    <n v="674.49"/>
    <x v="347"/>
    <s v="BATERÍA TUDOR/ PILA LONG LIFE/ PILAS AAA ULTRA/ BATERÍA MOTO 12V/ MULTIUSOS 500 ML //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610"/>
    <s v="D"/>
    <d v="2021-09-22T00:00:00"/>
    <n v="22021003381"/>
    <s v="2021 11 1361 22199"/>
    <n v="63.65"/>
    <x v="82"/>
    <s v="LUMINARIA SIMON (2) / TASA ECORAEE (2) // PARQUE DE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63172"/>
    <s v="D"/>
    <d v="2021-09-30T00:00:00"/>
    <n v="22021001038"/>
    <s v="2021 10 2312 212"/>
    <n v="63.65"/>
    <x v="82"/>
    <s v="MANT. SUMINISTRO DE LUMINARIA SIMON (2) +  TASA ECORAEE (2), DESTINO: C.P.M. RONDILLA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6625"/>
    <s v="D"/>
    <d v="2021-09-16T00:00:00"/>
    <n v="22021002051"/>
    <s v="2021 11 1621 22110"/>
    <n v="242"/>
    <x v="347"/>
    <s v="SEPIOLITA 20KG. /  15-30 / 25 UNIDADES)  AC. MARC. OP36/2017.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21"/>
    <s v="1621. Servicio de limpieza"/>
    <s v="22"/>
    <s v="22110"/>
  </r>
  <r>
    <n v="220210061284"/>
    <s v="D"/>
    <d v="2021-09-29T00:00:00"/>
    <n v="22021001039"/>
    <s v="2021 10 2312 212"/>
    <n v="62.81"/>
    <x v="410"/>
    <s v="MANT. SUMINISTRO DE DOSIFICADOR JABON  (PARQUESOL) Y  ASIENTO VICTORIA  BLANCO (HUERTA DEL REY)DURACION 1 DIA-A. MARCO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9398"/>
    <s v="D"/>
    <d v="2021-09-27T00:00:00"/>
    <n v="22021002228"/>
    <s v="2021 06 3232 212"/>
    <n v="60.62"/>
    <x v="82"/>
    <s v="ASIENTO ROCA T.GAP BLANCO C/TAPA / DESATASCADOR COLLAK // C.P. PABLO PICASSO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56636"/>
    <s v="D"/>
    <d v="2021-09-16T00:00:00"/>
    <n v="22021001038"/>
    <s v="2021 10 2312 212"/>
    <n v="51.01"/>
    <x v="314"/>
    <s v="MANT. SUMINISTRO DE MELAMINA LISA BLANCA 19 MM PARA EL C.P.M. PUENTE COLGANTE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10058941"/>
    <s v="AD"/>
    <d v="2021-09-23T00:00:00"/>
    <n v="22021006600"/>
    <s v="2021 02 9332 214"/>
    <n v="21.78"/>
    <x v="983"/>
    <s v="REPARACION: EQUILIBRADO Y PINCHAZO"/>
    <s v="220"/>
    <s v="ZARATAN"/>
    <s v="VALLADOLID"/>
    <x v="0"/>
    <s v="AdDirec - Adjudicación Directa"/>
    <s v="SinC - Sin Criterio"/>
    <x v="0"/>
    <x v="2"/>
    <s v="2"/>
    <s v="2. Gastos corrientes en bienes y servicios"/>
    <s v="02"/>
    <x v="10"/>
    <s v="9332"/>
    <s v="9332. Mantenimiento de edificios e instalaciones municipales"/>
    <s v="21"/>
    <s v="214"/>
  </r>
  <r>
    <n v="220210058839"/>
    <s v="D"/>
    <d v="2021-09-23T00:00:00"/>
    <n v="22021002369"/>
    <s v="2021 02 9332 212"/>
    <n v="43.55"/>
    <x v="191"/>
    <s v="ALBARAN: 227169 ///  BOCA DE RIEGO (1) / TUERCA (1) / MACHON (2) /// UBICACION: RECINTO FE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7024"/>
    <s v="AD"/>
    <d v="2021-09-17T00:00:00"/>
    <n v="22021006505"/>
    <s v="2021 02 9332 632"/>
    <n v="4235"/>
    <x v="490"/>
    <s v="DOCUMENTACION TECNICA Y DIRECCION FACULTATIVA EJECUCION DE INSTALAC ELECTR -PLAZA DE LA SOLIDARIDAD"/>
    <s v="220"/>
    <s v="VALLADOLID"/>
    <s v="VALLADOLID"/>
    <x v="2"/>
    <s v="AdDirec - Adjudicación Directa"/>
    <s v="SinC - Sin Criterio"/>
    <x v="0"/>
    <x v="2"/>
    <s v="6"/>
    <s v="6. Inversiones reales"/>
    <s v="02"/>
    <x v="10"/>
    <s v="9332"/>
    <s v="9332. Mantenimiento de edificios e instalaciones municipales"/>
    <s v="63"/>
    <s v="632"/>
  </r>
  <r>
    <n v="220210058768"/>
    <s v="D"/>
    <d v="2021-09-23T00:00:00"/>
    <n v="22021002143"/>
    <s v="2021 10 2311 212"/>
    <n v="40.119999999999997"/>
    <x v="314"/>
    <s v="F-9711.MARINO DE LA F. TAB PINO/TIRAFONDOS/BISAGRA/CERRADURA/TIRADOR. VIV.C/MACIZO DE GREDOS, 90/CEAS HTA DEL REY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10058649"/>
    <s v="D"/>
    <d v="2021-09-22T00:00:00"/>
    <n v="22021002380"/>
    <s v="2021 02 9332 213"/>
    <n v="39.33"/>
    <x v="411"/>
    <s v="CINTA DE GRADOS K-300 (60º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3"/>
  </r>
  <r>
    <n v="220210059000"/>
    <s v="D"/>
    <d v="2021-09-24T00:00:00"/>
    <n v="22021002132"/>
    <s v="2021 08 1532 210"/>
    <n v="1035.97"/>
    <x v="274"/>
    <s v="Saco cemento gris 25kg 32.5R (378 unidades) // VIAS PÚ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532"/>
    <s v="1532. Pavimentación vias públicas y otros servicios urbanísticos"/>
    <s v="21"/>
    <s v="210"/>
  </r>
  <r>
    <n v="220210056550"/>
    <s v="D"/>
    <d v="2021-09-16T00:00:00"/>
    <n v="22021003381"/>
    <s v="2021 11 1361 22199"/>
    <n v="36.42"/>
    <x v="410"/>
    <s v="WATERSIDE-CARTUCHO CA GRANULADO (2 UNID.) ////   DESTINO: BOMBEROS CANTERAC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61305"/>
    <s v="D"/>
    <d v="2021-09-29T00:00:00"/>
    <n v="22021000542"/>
    <s v="2021 08 1341 22699"/>
    <n v="35.700000000000003"/>
    <x v="114"/>
    <s v="PILA PARA BALIZA SINEX (10 UDS) // MOVILIDAD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9"/>
    <s v="1341"/>
    <s v="1341. Movilidad"/>
    <s v="22"/>
    <s v="22699"/>
  </r>
  <r>
    <n v="220210058252"/>
    <s v="AD"/>
    <d v="2021-09-20T00:00:00"/>
    <n v="22021000780"/>
    <s v="2021 11 1621 214"/>
    <n v="7000"/>
    <x v="473"/>
    <s v="RPEUESTOS REPARACION DE RECOLECTORES MARCA ROS ROCA DE VEHICULOS DEL SERVICIO DE LIMPIEZA"/>
    <s v="220"/>
    <s v="TARREGA"/>
    <s v="LERIDA"/>
    <x v="1"/>
    <s v="AdDirec - Adjudicación Directa"/>
    <s v="SinC - Sin Criterio"/>
    <x v="0"/>
    <x v="2"/>
    <s v="2"/>
    <s v="2. Gastos corrientes en bienes y servicios"/>
    <s v="11"/>
    <x v="5"/>
    <s v="1621"/>
    <s v="1621. Servicio de limpieza"/>
    <s v="21"/>
    <s v="214"/>
  </r>
  <r>
    <n v="220210061267"/>
    <s v="D"/>
    <d v="2021-09-29T00:00:00"/>
    <n v="22021003381"/>
    <s v="2021 11 1361 22199"/>
    <n v="27.06"/>
    <x v="410"/>
    <s v="MECANISMO DESCARGA D2D D/PULSADOR (1) ////  DESTINO: PARQUE DE BOMBEROS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655"/>
    <s v="D"/>
    <d v="2021-09-22T00:00:00"/>
    <n v="22021002369"/>
    <s v="2021 02 9332 212"/>
    <n v="25.48"/>
    <x v="161"/>
    <s v="ALBARAN AV21/04291 DE 17/08/2021: JUNTA GOMA TORICA MEDIANA (24) // ARCHIVO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2"/>
  </r>
  <r>
    <n v="220210056692"/>
    <s v="D"/>
    <d v="2021-09-16T00:00:00"/>
    <n v="22021002228"/>
    <s v="2021 06 3232 212"/>
    <n v="23.82"/>
    <x v="191"/>
    <s v="ALBARAN: 226671 ///  CODO (3) / MANGUITO (1) / PEGAMENTO PVC (1) ////  CONSERV. MNTO CENTROS INF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0"/>
    <s v="3232"/>
    <s v="3232. Conservación y mantenimiento centros educación infantil y primaria"/>
    <s v="21"/>
    <s v="212"/>
  </r>
  <r>
    <n v="220210061343"/>
    <s v="AD"/>
    <d v="2021-09-29T00:00:00"/>
    <n v="22021005720"/>
    <s v="2021 10 2316 22616"/>
    <n v="363"/>
    <x v="985"/>
    <s v="AMPLIACIÓN ACTIVIDADES DE VERANO ARAMBURU. TALLER DE CAJÓN Y ZUMBA FLAMENCO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8"/>
    <s v="2316"/>
    <s v="2316. Mediación comunitaria"/>
    <s v="22"/>
    <s v="22616"/>
  </r>
  <r>
    <n v="220210062269"/>
    <s v="AD"/>
    <d v="2021-09-30T00:00:00"/>
    <n v="22021006692"/>
    <s v="2021 11 1321 22699"/>
    <n v="550.54999999999995"/>
    <x v="358"/>
    <s v="ENCUADERNACIÓN 1.500 CUADERNILLOS (ENCARGADOS A LA IMPRENTA MUNICIPAL) PARA LA ACADEMIA DE POLICÍA MUNICIPAL.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699"/>
  </r>
  <r>
    <n v="220210056645"/>
    <s v="D"/>
    <d v="2021-09-16T00:00:00"/>
    <n v="22021002055"/>
    <s v="2021 11 1631 22104"/>
    <n v="20.45"/>
    <x v="191"/>
    <s v="ALBARAN: 21-226968  ///  CINTURÓN ANTI LUMBAGO CON VELCRO (1 UNIDAD ) ////  AC. MARC. EXP V36-2017 SERV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631"/>
    <s v="1631. Limpieza viaria"/>
    <s v="22"/>
    <s v="22104"/>
  </r>
  <r>
    <n v="220210062265"/>
    <s v="AD"/>
    <d v="2021-09-30T00:00:00"/>
    <n v="22021006624"/>
    <s v="2021 11 1361 22199"/>
    <n v="86.4"/>
    <x v="35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0"/>
    <x v="2"/>
    <s v="2"/>
    <s v="2. Gastos corrientes en bienes y servicios"/>
    <s v="11"/>
    <x v="5"/>
    <s v="1361"/>
    <s v="1361. Prevención y extinción de incencios"/>
    <s v="22"/>
    <s v="22199"/>
  </r>
  <r>
    <n v="220210058246"/>
    <s v="AD"/>
    <d v="2021-09-20T00:00:00"/>
    <n v="22021006456"/>
    <s v="2021 06 3321 212"/>
    <n v="300"/>
    <x v="270"/>
    <s v="SUMINISTRO DE PINTURA PARA REPARACIONES EN LAS BIBLIOTECAS PÚBLICAS MUNICIPALES. AÑO 2021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0"/>
    <s v="3321"/>
    <s v="3321. Bibliotecas públicas"/>
    <s v="21"/>
    <s v="212"/>
  </r>
  <r>
    <n v="220210056720"/>
    <s v="D"/>
    <d v="2021-09-16T00:00:00"/>
    <n v="22021004982"/>
    <s v="2021 06 3261 214"/>
    <n v="88.74"/>
    <x v="381"/>
    <s v="ACUERDO MARCO_ VEHÍCULO 2024FSB: CARGA AA Y GAS. AGOST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0"/>
    <s v="3261"/>
    <s v="3261. Servicios complementarios de educación"/>
    <s v="21"/>
    <s v="214"/>
  </r>
  <r>
    <n v="220210056744"/>
    <s v="D"/>
    <d v="2021-09-16T00:00:00"/>
    <n v="22021005946"/>
    <s v="2021 11 1321 214"/>
    <n v="543.4"/>
    <x v="381"/>
    <s v="ACUERDO MARCO REPARACIÓN  VEHICULO: 3715- KGD ///   VENTILADOR MOTOR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6746"/>
    <s v="D"/>
    <d v="2021-09-16T00:00:00"/>
    <n v="22021005946"/>
    <s v="2021 11 1321 214"/>
    <n v="458.54"/>
    <x v="381"/>
    <s v="ACUERDO MARCO REPARACIÓN VEHÍCULO 3959JKP POLICÍA MUNICIPAL : LIMPIA/ PASO DE RUEDA/ RUEDAS TRASERA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9343"/>
    <s v="D"/>
    <d v="2021-09-27T00:00:00"/>
    <n v="22021001966"/>
    <s v="2021 11 1321 213"/>
    <n v="15.74"/>
    <x v="82"/>
    <s v="BOTONERA GEWISS/ PULSADOR SE ZB4-BA3  VERDE/ CAMARA C SE ZB4-BZ101 1NA . PUERTA ENTRADA JEFATURA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3"/>
  </r>
  <r>
    <n v="220210058928"/>
    <s v="AD"/>
    <d v="2021-09-23T00:00:00"/>
    <n v="22021006620"/>
    <s v="2021 05 4331 22699"/>
    <n v="331.31"/>
    <x v="766"/>
    <s v="Suministro pizarra vitrificada con marco de aluminio anodizado"/>
    <s v="220"/>
    <s v="VALLADOLID"/>
    <s v="VALLADOLID"/>
    <x v="1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99"/>
  </r>
  <r>
    <n v="220210058847"/>
    <s v="D"/>
    <d v="2021-09-23T00:00:00"/>
    <n v="22021004276"/>
    <s v="2021 09 3341 213"/>
    <n v="11.47"/>
    <x v="410"/>
    <s v="SUMINISTRO ABRAZADERAS METALICAS, TIRAFONDOS, CODOS 45º, PARA LA  CUPULA DEL MILENIO. SEPTIEMBRE 2021"/>
    <s v="300"/>
    <s v="VALDELAFUENTE"/>
    <s v="LEON"/>
    <x v="1"/>
    <s v="PrAbier - Procedimiento Abierto"/>
    <s v="MultiC - MultiCriterio"/>
    <x v="2"/>
    <x v="2"/>
    <s v="2"/>
    <s v="2. Gastos corrientes en bienes y servicios"/>
    <s v="09"/>
    <x v="1"/>
    <s v="3341"/>
    <s v="3341. Coordinación de políticas culturales"/>
    <s v="21"/>
    <s v="213"/>
  </r>
  <r>
    <n v="220210058322"/>
    <s v="AD"/>
    <d v="2021-09-21T00:00:00"/>
    <n v="22021006586"/>
    <s v="2021 03 9241 212"/>
    <n v="1766.6"/>
    <x v="702"/>
    <s v="SUMINISTRO E INSTALACIÓN DE DOCE CORTINAS ENROLLABLES PARA CC PILARICA EN SUSTITUCIÓN DE LAS EXISTENTES EN MAL ESTADO.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2"/>
    <s v="9241"/>
    <s v="9241. Participación ciudadana"/>
    <s v="21"/>
    <s v="212"/>
  </r>
  <r>
    <n v="220210062276"/>
    <s v="AD"/>
    <d v="2021-09-30T00:00:00"/>
    <n v="22021006721"/>
    <s v="2021 11 1631 214"/>
    <n v="7000"/>
    <x v="337"/>
    <s v="SUMINISTRO DE REPUESTOS HIDRÁULICOS PARA LA REPARACION DE VEHICULOS DE LIMPIEZA VIARI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631"/>
    <s v="1631. Limpieza viaria"/>
    <s v="21"/>
    <s v="214"/>
  </r>
  <r>
    <n v="220210056533"/>
    <s v="D"/>
    <d v="2021-09-16T00:00:00"/>
    <n v="22021003381"/>
    <s v="2021 11 1361 22199"/>
    <n v="9.11"/>
    <x v="410"/>
    <s v="WATERSIDE-CARTUCHO CARBON ACTIVO // BOMBEROS HUERTA DEL REY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5"/>
    <s v="1361"/>
    <s v="1361. Prevención y extinción de incencios"/>
    <s v="22"/>
    <s v="22199"/>
  </r>
  <r>
    <n v="220210058249"/>
    <s v="AD"/>
    <d v="2021-09-20T00:00:00"/>
    <n v="22021006528"/>
    <s v="2021 11 1321 22199"/>
    <n v="647.47"/>
    <x v="1017"/>
    <s v="SUMINISTRO DE BOQUILLAS ETILÓMETRO Y PAPEL PARA IMPRESORA ETILÓMETRO INSPECCIÓN CENTRAL DE GUARDIA."/>
    <s v="220"/>
    <s v="SONDIKA"/>
    <s v="VIZCAYA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199"/>
  </r>
  <r>
    <n v="220210058689"/>
    <s v="D"/>
    <d v="2021-09-22T00:00:00"/>
    <n v="22021002089"/>
    <s v="2021 03 9241 213"/>
    <n v="8.0500000000000007"/>
    <x v="265"/>
    <s v="COPIA LLAVE JMA DOBLE DENTADO (5) // CC ZONA SUR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2"/>
    <s v="9241"/>
    <s v="9241. Participación ciudadana"/>
    <s v="21"/>
    <s v="213"/>
  </r>
  <r>
    <n v="220210057730"/>
    <s v="D"/>
    <d v="2021-09-20T00:00:00"/>
    <n v="22021004482"/>
    <s v="2021 04 9204 213"/>
    <n v="6.21"/>
    <x v="410"/>
    <s v="ADQUISICIÓN MANGUITO PARA TERMO AGUA CALIENTE"/>
    <s v="300"/>
    <s v="VALDELAFUENTE"/>
    <s v="LEON"/>
    <x v="1"/>
    <s v="PrAbier - Procedimiento Abierto"/>
    <s v="MultiC - MultiCriterio"/>
    <x v="2"/>
    <x v="2"/>
    <s v="2"/>
    <s v="2. Gastos corrientes en bienes y servicios"/>
    <s v="04"/>
    <x v="3"/>
    <s v="9204"/>
    <s v="9204. Tecnologías de la información y comunicación"/>
    <s v="21"/>
    <s v="213"/>
  </r>
  <r>
    <n v="220210059127"/>
    <s v="AD"/>
    <d v="2021-09-27T00:00:00"/>
    <n v="22021006640"/>
    <s v="2021 11 1321 22699"/>
    <n v="1000"/>
    <x v="300"/>
    <s v="ADQUISICIÓN DE PAPEL PARA LA REALIZACIÓN DE TRABAJOS ENCARGADOS POR LA POLICÍA MUNICIPAL A LA IMPRENT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5"/>
    <s v="1321"/>
    <s v="1321. Policía municipal"/>
    <s v="22"/>
    <s v="22699"/>
  </r>
  <r>
    <n v="220210057353"/>
    <s v="AD"/>
    <d v="2021-09-17T00:00:00"/>
    <n v="22021006181"/>
    <s v="2021 05 4331 22606"/>
    <n v="7139"/>
    <x v="767"/>
    <s v="CONTRATO PARA CONTRATAC. SERVICIO PARA LA ORGANIZ., GESTION, COORD, FUNCIONAMIENTO DEL ENCUENTRO REGIONAL ESPACIOS INNOV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2"/>
    <s v="22606"/>
  </r>
  <r>
    <n v="220210057032"/>
    <s v="AD"/>
    <d v="2021-09-17T00:00:00"/>
    <n v="22021006481"/>
    <s v="2021 05 4331 212"/>
    <n v="729.39"/>
    <x v="364"/>
    <s v="Compra de Broca y Accesorio para perforar con destino al Centro de Mantenimiento para reparacion en Agencia de Innovacio"/>
    <s v="220"/>
    <s v="PALAU-SOLITA I PLEGAMANS"/>
    <s v="BARCELONA"/>
    <x v="1"/>
    <s v="AdDirec - Adjudicación Directa"/>
    <s v="SinC - Sin Criterio"/>
    <x v="0"/>
    <x v="2"/>
    <s v="2"/>
    <s v="2. Gastos corrientes en bienes y servicios"/>
    <s v="05"/>
    <x v="6"/>
    <s v="4331"/>
    <s v="4331. Desarrollo empresarial"/>
    <s v="21"/>
    <s v="212"/>
  </r>
  <r>
    <n v="220210058674"/>
    <s v="D"/>
    <d v="2021-09-22T00:00:00"/>
    <n v="22021002378"/>
    <s v="2021 02 9332 214"/>
    <n v="70.930000000000007"/>
    <x v="381"/>
    <s v="ACUERDO MARCO_VA-9917-Y:  SUSTITUIR RELE DE INTERMITENCIAS Y FUNDAS ASIENT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8682"/>
    <s v="D"/>
    <d v="2021-09-22T00:00:00"/>
    <n v="22021002378"/>
    <s v="2021 02 9332 214"/>
    <n v="316.83999999999997"/>
    <x v="381"/>
    <s v="ACUERDO MARCO_8367-JKB: MNTO REV-Cº ACEITE - FILTROS ACEITE-POLEN, PASTILLAS /// AC.MARCO_8282-DFF REPAR. CIERRE PORTO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8835"/>
    <s v="D"/>
    <d v="2021-09-23T00:00:00"/>
    <n v="22021002378"/>
    <s v="2021 02 9332 214"/>
    <n v="140.84"/>
    <x v="381"/>
    <s v="ACUERDO MARCO VEHICULOS: VA-3249-T - 7688-BMH ////  REPARACIÓN INST TRAS. MATRICULA, PINCHAZOS RUEDAS..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0"/>
    <s v="9332"/>
    <s v="9332. Mantenimiento de edificios e instalaciones municipales"/>
    <s v="21"/>
    <s v="214"/>
  </r>
  <r>
    <n v="220210056800"/>
    <s v="D"/>
    <d v="2021-09-16T00:00:00"/>
    <n v="22021005946"/>
    <s v="2021 11 1321 214"/>
    <n v="403.2"/>
    <x v="541"/>
    <s v="ACUERDO MARCO. REPARACIÓN CAMIÓN 8671 JXF// MATERIALES: EMISOR IMPULSOS TACOGRAFO // REVISION TACOG. DIGIT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7864"/>
    <s v="D"/>
    <d v="2021-09-20T00:00:00"/>
    <n v="22021005946"/>
    <s v="2021 11 1321 214"/>
    <n v="217.8"/>
    <x v="1018"/>
    <s v="ACUERDO MARCO. SERVICIOS TUNEL LAVADO DE VEHÍCULOS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  <r>
    <n v="220210056680"/>
    <s v="D"/>
    <d v="2021-09-16T00:00:00"/>
    <n v="22021005946"/>
    <s v="2021 11 1321 214"/>
    <n v="196.64"/>
    <x v="326"/>
    <s v="ACUERDO MARCO. REPARACIÓN VEHÍCULO 3998 JKP DE POLIC. MPAL // MATERIALES: LUZ DE FRENO ELEVADA/ COND. SALIDA AIRE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5"/>
    <s v="1321"/>
    <s v="1321. Policía municipal"/>
    <s v="21"/>
    <s v="2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806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1682">
        <item m="1" x="1459"/>
        <item m="1" x="1294"/>
        <item x="2"/>
        <item m="1" x="1233"/>
        <item x="4"/>
        <item m="1" x="1223"/>
        <item x="5"/>
        <item m="1" x="1227"/>
        <item x="6"/>
        <item x="873"/>
        <item x="7"/>
        <item x="8"/>
        <item x="654"/>
        <item x="9"/>
        <item x="10"/>
        <item m="1" x="1566"/>
        <item m="1" x="1070"/>
        <item x="729"/>
        <item x="13"/>
        <item x="14"/>
        <item x="18"/>
        <item m="1" x="1381"/>
        <item x="19"/>
        <item x="625"/>
        <item x="21"/>
        <item x="998"/>
        <item m="1" x="1541"/>
        <item x="24"/>
        <item m="1" x="1637"/>
        <item m="1" x="1375"/>
        <item m="1" x="1648"/>
        <item m="1" x="1137"/>
        <item x="22"/>
        <item m="1" x="1255"/>
        <item m="1" x="1127"/>
        <item m="1" x="1243"/>
        <item x="999"/>
        <item m="1" x="1067"/>
        <item x="23"/>
        <item x="1000"/>
        <item x="31"/>
        <item x="25"/>
        <item m="1" x="1133"/>
        <item m="1" x="1639"/>
        <item x="26"/>
        <item x="27"/>
        <item m="1" x="1364"/>
        <item x="28"/>
        <item x="30"/>
        <item m="1" x="1640"/>
        <item x="34"/>
        <item m="1" x="1553"/>
        <item x="790"/>
        <item m="1" x="1204"/>
        <item m="1" x="1334"/>
        <item x="877"/>
        <item x="33"/>
        <item x="35"/>
        <item m="1" x="1114"/>
        <item m="1" x="1429"/>
        <item x="37"/>
        <item m="1" x="1021"/>
        <item m="1" x="1302"/>
        <item m="1" x="1085"/>
        <item x="38"/>
        <item x="39"/>
        <item m="1" x="1430"/>
        <item m="1" x="1184"/>
        <item m="1" x="1225"/>
        <item x="40"/>
        <item x="622"/>
        <item x="41"/>
        <item m="1" x="1409"/>
        <item m="1" x="1377"/>
        <item m="1" x="1436"/>
        <item x="43"/>
        <item m="1" x="1618"/>
        <item m="1" x="1405"/>
        <item x="1001"/>
        <item m="1" x="1261"/>
        <item x="627"/>
        <item x="53"/>
        <item x="505"/>
        <item x="45"/>
        <item m="1" x="1151"/>
        <item m="1" x="1417"/>
        <item x="47"/>
        <item m="1" x="1584"/>
        <item m="1" x="1101"/>
        <item x="48"/>
        <item m="1" x="1613"/>
        <item m="1" x="1330"/>
        <item m="1" x="1321"/>
        <item m="1" x="1108"/>
        <item x="50"/>
        <item x="52"/>
        <item m="1" x="1588"/>
        <item m="1" x="1509"/>
        <item m="1" x="1675"/>
        <item m="1" x="1120"/>
        <item m="1" x="1132"/>
        <item m="1" x="1036"/>
        <item m="1" x="1042"/>
        <item m="1" x="1309"/>
        <item x="880"/>
        <item m="1" x="1421"/>
        <item m="1" x="1395"/>
        <item m="1" x="1080"/>
        <item x="55"/>
        <item m="1" x="1057"/>
        <item m="1" x="1492"/>
        <item m="1" x="1475"/>
        <item m="1" x="1466"/>
        <item m="1" x="1661"/>
        <item m="1" x="1272"/>
        <item m="1" x="1589"/>
        <item m="1" x="1533"/>
        <item x="815"/>
        <item m="1" x="1486"/>
        <item m="1" x="1424"/>
        <item m="1" x="1062"/>
        <item m="1" x="1585"/>
        <item m="1" x="1383"/>
        <item x="57"/>
        <item m="1" x="1219"/>
        <item x="854"/>
        <item m="1" x="1516"/>
        <item m="1" x="1480"/>
        <item m="1" x="1630"/>
        <item m="1" x="1412"/>
        <item m="1" x="1662"/>
        <item m="1" x="1089"/>
        <item x="885"/>
        <item x="59"/>
        <item m="1" x="1153"/>
        <item m="1" x="1638"/>
        <item x="60"/>
        <item x="61"/>
        <item m="1" x="1138"/>
        <item m="1" x="1267"/>
        <item x="62"/>
        <item x="886"/>
        <item m="1" x="1081"/>
        <item x="63"/>
        <item x="64"/>
        <item x="793"/>
        <item m="1" x="1181"/>
        <item x="65"/>
        <item m="1" x="1380"/>
        <item m="1" x="1251"/>
        <item x="597"/>
        <item x="66"/>
        <item m="1" x="1299"/>
        <item m="1" x="1382"/>
        <item m="1" x="1023"/>
        <item x="954"/>
        <item x="67"/>
        <item x="69"/>
        <item x="70"/>
        <item x="71"/>
        <item x="765"/>
        <item x="889"/>
        <item m="1" x="1152"/>
        <item m="1" x="1315"/>
        <item m="1" x="1072"/>
        <item x="72"/>
        <item m="1" x="1212"/>
        <item m="1" x="1264"/>
        <item m="1" x="1652"/>
        <item m="1" x="1230"/>
        <item m="1" x="1249"/>
        <item x="73"/>
        <item m="1" x="1367"/>
        <item m="1" x="1277"/>
        <item x="74"/>
        <item m="1" x="1678"/>
        <item m="1" x="1275"/>
        <item x="76"/>
        <item m="1" x="1535"/>
        <item x="77"/>
        <item x="538"/>
        <item x="80"/>
        <item x="90"/>
        <item m="1" x="1193"/>
        <item m="1" x="1039"/>
        <item x="596"/>
        <item m="1" x="1041"/>
        <item m="1" x="1161"/>
        <item x="893"/>
        <item m="1" x="1095"/>
        <item x="641"/>
        <item m="1" x="1102"/>
        <item x="82"/>
        <item x="83"/>
        <item x="84"/>
        <item m="1" x="1485"/>
        <item m="1" x="1564"/>
        <item x="85"/>
        <item m="1" x="1316"/>
        <item x="86"/>
        <item m="1" x="1372"/>
        <item x="87"/>
        <item x="895"/>
        <item x="89"/>
        <item m="1" x="1342"/>
        <item m="1" x="1527"/>
        <item m="1" x="1096"/>
        <item m="1" x="1641"/>
        <item x="91"/>
        <item x="92"/>
        <item m="1" x="1325"/>
        <item x="93"/>
        <item m="1" x="1115"/>
        <item m="1" x="1205"/>
        <item m="1" x="1345"/>
        <item x="95"/>
        <item m="1" x="1060"/>
        <item x="96"/>
        <item m="1" x="1379"/>
        <item m="1" x="1614"/>
        <item m="1" x="1241"/>
        <item m="1" x="1199"/>
        <item m="1" x="1361"/>
        <item x="868"/>
        <item x="97"/>
        <item x="98"/>
        <item x="99"/>
        <item x="100"/>
        <item x="572"/>
        <item m="1" x="1180"/>
        <item m="1" x="1493"/>
        <item m="1" x="1046"/>
        <item m="1" x="1562"/>
        <item x="109"/>
        <item x="533"/>
        <item x="102"/>
        <item m="1" x="1213"/>
        <item m="1" x="1091"/>
        <item m="1" x="1124"/>
        <item x="901"/>
        <item m="1" x="1346"/>
        <item x="902"/>
        <item m="1" x="1593"/>
        <item x="104"/>
        <item m="1" x="1242"/>
        <item x="658"/>
        <item x="821"/>
        <item m="1" x="1594"/>
        <item x="123"/>
        <item x="126"/>
        <item m="1" x="1437"/>
        <item x="776"/>
        <item m="1" x="1644"/>
        <item m="1" x="1447"/>
        <item x="670"/>
        <item m="1" x="1170"/>
        <item x="107"/>
        <item x="108"/>
        <item x="587"/>
        <item x="110"/>
        <item x="111"/>
        <item x="750"/>
        <item x="112"/>
        <item x="113"/>
        <item x="114"/>
        <item x="535"/>
        <item x="115"/>
        <item m="1" x="1629"/>
        <item x="843"/>
        <item m="1" x="1597"/>
        <item x="127"/>
        <item m="1" x="1598"/>
        <item x="117"/>
        <item m="1" x="1265"/>
        <item m="1" x="1451"/>
        <item m="1" x="1348"/>
        <item x="120"/>
        <item x="629"/>
        <item m="1" x="1063"/>
        <item x="122"/>
        <item x="130"/>
        <item x="124"/>
        <item x="125"/>
        <item m="1" x="1165"/>
        <item m="1" x="1221"/>
        <item m="1" x="1083"/>
        <item m="1" x="1442"/>
        <item m="1" x="1098"/>
        <item m="1" x="1568"/>
        <item x="128"/>
        <item m="1" x="1440"/>
        <item x="129"/>
        <item x="148"/>
        <item x="133"/>
        <item x="135"/>
        <item m="1" x="1025"/>
        <item x="136"/>
        <item x="724"/>
        <item m="1" x="1263"/>
        <item x="867"/>
        <item m="1" x="1329"/>
        <item m="1" x="1207"/>
        <item m="1" x="1211"/>
        <item m="1" x="1053"/>
        <item m="1" x="1419"/>
        <item m="1" x="1476"/>
        <item x="138"/>
        <item m="1" x="1331"/>
        <item x="834"/>
        <item x="139"/>
        <item m="1" x="1082"/>
        <item x="914"/>
        <item m="1" x="1090"/>
        <item m="1" x="1460"/>
        <item x="140"/>
        <item x="171"/>
        <item m="1" x="1521"/>
        <item m="1" x="1561"/>
        <item x="142"/>
        <item x="792"/>
        <item x="915"/>
        <item m="1" x="1666"/>
        <item x="891"/>
        <item x="144"/>
        <item x="145"/>
        <item x="146"/>
        <item m="1" x="1633"/>
        <item x="149"/>
        <item m="1" x="1301"/>
        <item m="1" x="1237"/>
        <item m="1" x="1394"/>
        <item m="1" x="1587"/>
        <item x="154"/>
        <item x="150"/>
        <item m="1" x="1146"/>
        <item m="1" x="1396"/>
        <item x="760"/>
        <item x="151"/>
        <item x="156"/>
        <item x="157"/>
        <item x="165"/>
        <item x="166"/>
        <item m="1" x="1404"/>
        <item x="634"/>
        <item m="1" x="1468"/>
        <item m="1" x="1032"/>
        <item x="167"/>
        <item x="155"/>
        <item x="169"/>
        <item x="170"/>
        <item m="1" x="1567"/>
        <item x="921"/>
        <item x="173"/>
        <item x="183"/>
        <item m="1" x="1388"/>
        <item x="184"/>
        <item x="1004"/>
        <item x="176"/>
        <item m="1" x="1280"/>
        <item x="179"/>
        <item m="1" x="1048"/>
        <item x="160"/>
        <item x="161"/>
        <item x="182"/>
        <item m="1" x="1350"/>
        <item x="186"/>
        <item x="162"/>
        <item x="163"/>
        <item m="1" x="1210"/>
        <item x="187"/>
        <item m="1" x="1550"/>
        <item x="189"/>
        <item x="925"/>
        <item m="1" x="1236"/>
        <item m="1" x="1145"/>
        <item m="1" x="1549"/>
        <item m="1" x="1413"/>
        <item x="194"/>
        <item x="195"/>
        <item m="1" x="1024"/>
        <item x="631"/>
        <item x="168"/>
        <item m="1" x="1507"/>
        <item x="943"/>
        <item m="1" x="1104"/>
        <item x="196"/>
        <item x="197"/>
        <item m="1" x="1385"/>
        <item x="198"/>
        <item m="1" x="1129"/>
        <item m="1" x="1319"/>
        <item x="200"/>
        <item x="201"/>
        <item x="174"/>
        <item x="757"/>
        <item m="1" x="1187"/>
        <item m="1" x="1491"/>
        <item x="204"/>
        <item m="1" x="1110"/>
        <item m="1" x="1244"/>
        <item x="177"/>
        <item x="180"/>
        <item m="1" x="1092"/>
        <item m="1" x="1414"/>
        <item m="1" x="1034"/>
        <item x="211"/>
        <item m="1" x="1528"/>
        <item m="1" x="1642"/>
        <item x="212"/>
        <item x="181"/>
        <item x="214"/>
        <item m="1" x="1246"/>
        <item x="216"/>
        <item m="1" x="1190"/>
        <item x="215"/>
        <item x="185"/>
        <item m="1" x="1595"/>
        <item m="1" x="1100"/>
        <item x="929"/>
        <item m="1" x="1052"/>
        <item x="220"/>
        <item x="221"/>
        <item m="1" x="1163"/>
        <item m="1" x="1624"/>
        <item x="222"/>
        <item x="636"/>
        <item x="188"/>
        <item m="1" x="1513"/>
        <item x="238"/>
        <item m="1" x="1284"/>
        <item x="931"/>
        <item x="225"/>
        <item m="1" x="1087"/>
        <item x="580"/>
        <item m="1" x="1471"/>
        <item x="191"/>
        <item x="227"/>
        <item m="1" x="1529"/>
        <item m="1" x="1117"/>
        <item m="1" x="1121"/>
        <item x="230"/>
        <item m="1" x="1576"/>
        <item m="1" x="1335"/>
        <item x="233"/>
        <item m="1" x="1308"/>
        <item x="234"/>
        <item m="1" x="1494"/>
        <item m="1" x="1296"/>
        <item m="1" x="1279"/>
        <item m="1" x="1307"/>
        <item m="1" x="1360"/>
        <item x="236"/>
        <item m="1" x="1631"/>
        <item x="237"/>
        <item x="239"/>
        <item x="199"/>
        <item x="240"/>
        <item m="1" x="1076"/>
        <item x="241"/>
        <item x="242"/>
        <item x="676"/>
        <item x="245"/>
        <item x="846"/>
        <item m="1" x="1423"/>
        <item x="372"/>
        <item m="1" x="1402"/>
        <item x="496"/>
        <item m="1" x="1320"/>
        <item m="1" x="1607"/>
        <item m="1" x="1355"/>
        <item m="1" x="1547"/>
        <item x="205"/>
        <item x="444"/>
        <item m="1" x="1282"/>
        <item x="475"/>
        <item x="554"/>
        <item m="1" x="1109"/>
        <item m="1" x="1358"/>
        <item m="1" x="1141"/>
        <item x="551"/>
        <item m="1" x="1546"/>
        <item m="1" x="1203"/>
        <item x="498"/>
        <item x="517"/>
        <item m="1" x="1105"/>
        <item x="208"/>
        <item x="480"/>
        <item m="1" x="1069"/>
        <item x="777"/>
        <item x="825"/>
        <item m="1" x="1088"/>
        <item m="1" x="1290"/>
        <item m="1" x="1079"/>
        <item x="539"/>
        <item m="1" x="1175"/>
        <item m="1" x="1228"/>
        <item m="1" x="1310"/>
        <item m="1" x="1453"/>
        <item x="817"/>
        <item x="210"/>
        <item m="1" x="1534"/>
        <item x="213"/>
        <item m="1" x="1020"/>
        <item m="1" x="1387"/>
        <item m="1" x="1158"/>
        <item m="1" x="1406"/>
        <item m="1" x="1539"/>
        <item m="1" x="1452"/>
        <item x="286"/>
        <item x="603"/>
        <item x="448"/>
        <item x="497"/>
        <item x="481"/>
        <item x="721"/>
        <item x="396"/>
        <item m="1" x="1416"/>
        <item m="1" x="1545"/>
        <item m="1" x="1391"/>
        <item m="1" x="1304"/>
        <item x="229"/>
        <item m="1" x="1487"/>
        <item m="1" x="1268"/>
        <item x="585"/>
        <item x="506"/>
        <item x="231"/>
        <item x="615"/>
        <item m="1" x="1461"/>
        <item m="1" x="1278"/>
        <item x="940"/>
        <item m="1" x="1103"/>
        <item x="232"/>
        <item m="1" x="1473"/>
        <item x="261"/>
        <item x="276"/>
        <item m="1" x="1636"/>
        <item m="1" x="1344"/>
        <item x="299"/>
        <item m="1" x="1338"/>
        <item x="560"/>
        <item m="1" x="1371"/>
        <item x="869"/>
        <item x="610"/>
        <item x="680"/>
        <item m="1" x="1318"/>
        <item x="1009"/>
        <item m="1" x="1362"/>
        <item x="246"/>
        <item m="1" x="1332"/>
        <item x="247"/>
        <item m="1" x="1449"/>
        <item x="872"/>
        <item m="1" x="1373"/>
        <item m="1" x="1462"/>
        <item m="1" x="1155"/>
        <item x="944"/>
        <item x="482"/>
        <item m="1" x="1645"/>
        <item x="605"/>
        <item x="250"/>
        <item x="251"/>
        <item m="1" x="1327"/>
        <item x="573"/>
        <item m="1" x="1610"/>
        <item m="1" x="1112"/>
        <item x="408"/>
        <item x="949"/>
        <item x="256"/>
        <item x="774"/>
        <item m="1" x="1047"/>
        <item x="297"/>
        <item x="483"/>
        <item x="503"/>
        <item x="794"/>
        <item m="1" x="1632"/>
        <item x="951"/>
        <item x="484"/>
        <item x="328"/>
        <item x="992"/>
        <item m="1" x="1086"/>
        <item x="491"/>
        <item m="1" x="1665"/>
        <item m="1" x="1147"/>
        <item x="1010"/>
        <item m="1" x="1045"/>
        <item x="262"/>
        <item m="1" x="1590"/>
        <item x="736"/>
        <item m="1" x="1512"/>
        <item m="1" x="1323"/>
        <item m="1" x="1303"/>
        <item x="263"/>
        <item m="1" x="1179"/>
        <item x="594"/>
        <item x="368"/>
        <item x="336"/>
        <item m="1" x="1126"/>
        <item x="565"/>
        <item m="1" x="1497"/>
        <item x="602"/>
        <item m="1" x="1601"/>
        <item x="509"/>
        <item x="355"/>
        <item m="1" x="1201"/>
        <item x="685"/>
        <item m="1" x="1571"/>
        <item m="1" x="1054"/>
        <item m="1" x="1311"/>
        <item m="1" x="1029"/>
        <item x="312"/>
        <item m="1" x="1498"/>
        <item m="1" x="1111"/>
        <item x="613"/>
        <item m="1" x="1369"/>
        <item m="1" x="1022"/>
        <item m="1" x="1077"/>
        <item m="1" x="1186"/>
        <item m="1" x="1579"/>
        <item x="956"/>
        <item m="1" x="1172"/>
        <item m="1" x="1635"/>
        <item m="1" x="1028"/>
        <item m="1" x="1663"/>
        <item x="271"/>
        <item x="740"/>
        <item m="1" x="1131"/>
        <item x="285"/>
        <item m="1" x="1220"/>
        <item m="1" x="1621"/>
        <item x="315"/>
        <item x="287"/>
        <item m="1" x="1408"/>
        <item x="957"/>
        <item x="273"/>
        <item x="529"/>
        <item x="782"/>
        <item x="786"/>
        <item m="1" x="1164"/>
        <item x="768"/>
        <item m="1" x="1596"/>
        <item x="430"/>
        <item m="1" x="1119"/>
        <item m="1" x="1463"/>
        <item x="370"/>
        <item m="1" x="1427"/>
        <item x="703"/>
        <item m="1" x="1215"/>
        <item x="643"/>
        <item x="946"/>
        <item m="1" x="1399"/>
        <item x="374"/>
        <item m="1" x="1259"/>
        <item m="1" x="1511"/>
        <item x="291"/>
        <item m="1" x="1432"/>
        <item x="798"/>
        <item m="1" x="1113"/>
        <item m="1" x="1366"/>
        <item x="266"/>
        <item m="1" x="1224"/>
        <item x="260"/>
        <item m="1" x="1061"/>
        <item m="1" x="1176"/>
        <item m="1" x="1552"/>
        <item x="1013"/>
        <item m="1" x="1214"/>
        <item x="298"/>
        <item x="281"/>
        <item m="1" x="1317"/>
        <item m="1" x="1572"/>
        <item m="1" x="1150"/>
        <item m="1" x="1343"/>
        <item x="730"/>
        <item m="1" x="1668"/>
        <item x="965"/>
        <item m="1" x="1206"/>
        <item m="1" x="1443"/>
        <item m="1" x="1616"/>
        <item m="1" x="1256"/>
        <item m="1" x="1445"/>
        <item m="1" x="1142"/>
        <item m="1" x="1398"/>
        <item m="1" x="1084"/>
        <item x="302"/>
        <item x="303"/>
        <item m="1" x="1368"/>
        <item x="304"/>
        <item x="417"/>
        <item m="1" x="1503"/>
        <item m="1" x="1198"/>
        <item m="1" x="1094"/>
        <item m="1" x="1611"/>
        <item x="964"/>
        <item m="1" x="1159"/>
        <item m="1" x="1428"/>
        <item x="836"/>
        <item m="1" x="1232"/>
        <item m="1" x="1457"/>
        <item m="1" x="1037"/>
        <item x="756"/>
        <item m="1" x="1106"/>
        <item x="305"/>
        <item m="1" x="1556"/>
        <item x="268"/>
        <item x="638"/>
        <item m="1" x="1266"/>
        <item m="1" x="1245"/>
        <item m="1" x="1262"/>
        <item x="306"/>
        <item m="1" x="1166"/>
        <item m="1" x="1415"/>
        <item x="307"/>
        <item x="308"/>
        <item x="290"/>
        <item m="1" x="1446"/>
        <item m="1" x="1573"/>
        <item x="413"/>
        <item x="755"/>
        <item m="1" x="1055"/>
        <item m="1" x="1563"/>
        <item x="773"/>
        <item m="1" x="1370"/>
        <item m="1" x="1454"/>
        <item m="1" x="1157"/>
        <item m="1" x="1058"/>
        <item m="1" x="1502"/>
        <item x="394"/>
        <item x="759"/>
        <item x="258"/>
        <item m="1" x="1333"/>
        <item x="591"/>
        <item x="436"/>
        <item m="1" x="1222"/>
        <item x="624"/>
        <item m="1" x="1226"/>
        <item m="1" x="1506"/>
        <item m="1" x="1605"/>
        <item x="314"/>
        <item m="1" x="1659"/>
        <item x="968"/>
        <item m="1" x="1038"/>
        <item x="967"/>
        <item m="1" x="1465"/>
        <item m="1" x="1627"/>
        <item m="1" x="1570"/>
        <item m="1" x="1626"/>
        <item x="387"/>
        <item x="639"/>
        <item x="380"/>
        <item m="1" x="1287"/>
        <item m="1" x="1483"/>
        <item x="357"/>
        <item m="1" x="1472"/>
        <item m="1" x="1612"/>
        <item m="1" x="1182"/>
        <item m="1" x="1298"/>
        <item m="1" x="1619"/>
        <item x="969"/>
        <item x="784"/>
        <item x="495"/>
        <item x="421"/>
        <item m="1" x="1185"/>
        <item m="1" x="1324"/>
        <item x="553"/>
        <item m="1" x="1592"/>
        <item m="1" x="1291"/>
        <item m="1" x="1418"/>
        <item m="1" x="1274"/>
        <item x="320"/>
        <item m="1" x="1526"/>
        <item x="335"/>
        <item m="1" x="1326"/>
        <item x="318"/>
        <item m="1" x="1293"/>
        <item m="1" x="1517"/>
        <item x="516"/>
        <item x="415"/>
        <item m="1" x="1351"/>
        <item x="418"/>
        <item m="1" x="1033"/>
        <item m="1" x="1068"/>
        <item m="1" x="1125"/>
        <item x="329"/>
        <item m="1" x="1555"/>
        <item m="1" x="1238"/>
        <item x="419"/>
        <item m="1" x="1504"/>
        <item m="1" x="1044"/>
        <item m="1" x="1654"/>
        <item m="1" x="1148"/>
        <item m="1" x="1240"/>
        <item m="1" x="1050"/>
        <item m="1" x="1174"/>
        <item m="1" x="1523"/>
        <item m="1" x="1354"/>
        <item x="492"/>
        <item x="349"/>
        <item m="1" x="1130"/>
        <item m="1" x="1258"/>
        <item x="799"/>
        <item m="1" x="1615"/>
        <item m="1" x="1154"/>
        <item x="684"/>
        <item m="1" x="1257"/>
        <item m="1" x="1680"/>
        <item x="1015"/>
        <item x="341"/>
        <item m="1" x="1425"/>
        <item x="331"/>
        <item m="1" x="1499"/>
        <item m="1" x="1188"/>
        <item x="1016"/>
        <item m="1" x="1606"/>
        <item x="811"/>
        <item m="1" x="1643"/>
        <item m="1" x="1489"/>
        <item m="1" x="1051"/>
        <item m="1" x="1183"/>
        <item m="1" x="1136"/>
        <item m="1" x="1271"/>
        <item x="332"/>
        <item m="1" x="1501"/>
        <item x="333"/>
        <item m="1" x="1536"/>
        <item x="342"/>
        <item m="1" x="1581"/>
        <item m="1" x="1376"/>
        <item m="1" x="1525"/>
        <item m="1" x="1677"/>
        <item x="321"/>
        <item x="542"/>
        <item m="1" x="1107"/>
        <item x="494"/>
        <item m="1" x="1389"/>
        <item m="1" x="1314"/>
        <item m="1" x="1168"/>
        <item x="832"/>
        <item x="978"/>
        <item m="1" x="1340"/>
        <item m="1" x="1260"/>
        <item m="1" x="1178"/>
        <item x="800"/>
        <item m="1" x="1669"/>
        <item x="457"/>
        <item m="1" x="1558"/>
        <item m="1" x="1514"/>
        <item x="458"/>
        <item m="1" x="1218"/>
        <item x="979"/>
        <item m="1" x="1467"/>
        <item x="674"/>
        <item m="1" x="1231"/>
        <item m="1" x="1435"/>
        <item x="566"/>
        <item x="764"/>
        <item x="582"/>
        <item m="1" x="1140"/>
        <item m="1" x="1634"/>
        <item m="1" x="1464"/>
        <item m="1" x="1600"/>
        <item m="1" x="1337"/>
        <item m="1" x="1040"/>
        <item x="344"/>
        <item m="1" x="1540"/>
        <item m="1" x="1575"/>
        <item m="1" x="1441"/>
        <item m="1" x="1622"/>
        <item x="809"/>
        <item m="1" x="1235"/>
        <item m="1" x="1649"/>
        <item x="313"/>
        <item m="1" x="1560"/>
        <item m="1" x="1530"/>
        <item x="690"/>
        <item x="343"/>
        <item m="1" x="1655"/>
        <item m="1" x="1216"/>
        <item m="1" x="1458"/>
        <item x="319"/>
        <item m="1" x="1524"/>
        <item x="941"/>
        <item x="347"/>
        <item x="348"/>
        <item x="428"/>
        <item m="1" x="1339"/>
        <item m="1" x="1217"/>
        <item m="1" x="1623"/>
        <item m="1" x="1349"/>
        <item m="1" x="1628"/>
        <item m="1" x="1300"/>
        <item m="1" x="1197"/>
        <item m="1" x="1505"/>
        <item x="983"/>
        <item x="518"/>
        <item m="1" x="1384"/>
        <item x="540"/>
        <item x="352"/>
        <item m="1" x="1422"/>
        <item x="363"/>
        <item m="1" x="1403"/>
        <item x="984"/>
        <item x="425"/>
        <item x="391"/>
        <item m="1" x="1426"/>
        <item m="1" x="1438"/>
        <item x="353"/>
        <item x="490"/>
        <item x="373"/>
        <item x="274"/>
        <item m="1" x="1559"/>
        <item x="288"/>
        <item m="1" x="1353"/>
        <item m="1" x="1565"/>
        <item x="473"/>
        <item m="1" x="1508"/>
        <item x="741"/>
        <item m="1" x="1347"/>
        <item m="1" x="1322"/>
        <item m="1" x="1495"/>
        <item x="835"/>
        <item m="1" x="1065"/>
        <item x="487"/>
        <item x="526"/>
        <item x="358"/>
        <item m="1" x="1625"/>
        <item m="1" x="1160"/>
        <item x="360"/>
        <item x="467"/>
        <item x="995"/>
        <item x="536"/>
        <item m="1" x="1189"/>
        <item m="1" x="1470"/>
        <item m="1" x="1490"/>
        <item x="259"/>
        <item m="1" x="1031"/>
        <item x="514"/>
        <item m="1" x="1209"/>
        <item m="1" x="1620"/>
        <item x="493"/>
        <item m="1" x="1171"/>
        <item m="1" x="1481"/>
        <item x="692"/>
        <item m="1" x="1254"/>
        <item x="366"/>
        <item x="356"/>
        <item x="270"/>
        <item x="986"/>
        <item m="1" x="1341"/>
        <item m="1" x="1434"/>
        <item m="1" x="1569"/>
        <item m="1" x="1531"/>
        <item x="310"/>
        <item x="284"/>
        <item x="279"/>
        <item m="1" x="1313"/>
        <item x="781"/>
        <item x="406"/>
        <item x="840"/>
        <item x="376"/>
        <item x="317"/>
        <item x="283"/>
        <item m="1" x="1518"/>
        <item x="866"/>
        <item m="1" x="1071"/>
        <item m="1" x="1554"/>
        <item x="280"/>
        <item m="1" x="1066"/>
        <item x="459"/>
        <item x="766"/>
        <item m="1" x="1359"/>
        <item x="440"/>
        <item m="1" x="1283"/>
        <item x="614"/>
        <item x="623"/>
        <item x="382"/>
        <item x="558"/>
        <item x="278"/>
        <item x="479"/>
        <item x="267"/>
        <item m="1" x="1543"/>
        <item m="1" x="1482"/>
        <item x="252"/>
        <item x="397"/>
        <item x="775"/>
        <item m="1" x="1276"/>
        <item m="1" x="1557"/>
        <item m="1" x="1306"/>
        <item m="1" x="1515"/>
        <item m="1" x="1433"/>
        <item x="702"/>
        <item x="468"/>
        <item m="1" x="1288"/>
        <item m="1" x="1192"/>
        <item m="1" x="1532"/>
        <item x="292"/>
        <item m="1" x="1019"/>
        <item x="316"/>
        <item x="410"/>
        <item x="569"/>
        <item m="1" x="1144"/>
        <item x="265"/>
        <item x="411"/>
        <item x="337"/>
        <item x="590"/>
        <item x="461"/>
        <item m="1" x="1156"/>
        <item m="1" x="1297"/>
        <item m="1" x="1195"/>
        <item x="862"/>
        <item m="1" x="1479"/>
        <item x="464"/>
        <item m="1" x="1247"/>
        <item m="1" x="1420"/>
        <item x="293"/>
        <item x="381"/>
        <item m="1" x="1281"/>
        <item x="519"/>
        <item x="791"/>
        <item m="1" x="1510"/>
        <item m="1" x="1194"/>
        <item m="1" x="1134"/>
        <item m="1" x="1285"/>
        <item x="521"/>
        <item x="847"/>
        <item m="1" x="1116"/>
        <item m="1" x="1234"/>
        <item x="414"/>
        <item m="1" x="1049"/>
        <item x="449"/>
        <item x="423"/>
        <item x="595"/>
        <item m="1" x="1162"/>
        <item x="1018"/>
        <item x="763"/>
        <item x="586"/>
        <item x="523"/>
        <item m="1" x="1400"/>
        <item m="1" x="1143"/>
        <item x="476"/>
        <item x="361"/>
        <item m="1" x="1356"/>
        <item x="426"/>
        <item m="1" x="1122"/>
        <item m="1" x="1444"/>
        <item m="1" x="1519"/>
        <item x="427"/>
        <item m="1" x="1191"/>
        <item x="441"/>
        <item m="1" x="1676"/>
        <item x="477"/>
        <item x="524"/>
        <item m="1" x="1651"/>
        <item m="1" x="1650"/>
        <item x="351"/>
        <item x="564"/>
        <item x="501"/>
        <item x="723"/>
        <item x="520"/>
        <item x="601"/>
        <item m="1" x="1073"/>
        <item m="1" x="1608"/>
        <item x="525"/>
        <item x="534"/>
        <item x="269"/>
        <item m="1" x="1401"/>
        <item x="805"/>
        <item x="507"/>
        <item m="1" x="1149"/>
        <item x="424"/>
        <item m="1" x="1474"/>
        <item m="1" x="1286"/>
        <item x="431"/>
        <item x="432"/>
        <item m="1" x="1544"/>
        <item x="612"/>
        <item x="437"/>
        <item m="1" x="1027"/>
        <item x="407"/>
        <item m="1" x="1431"/>
        <item m="1" x="1488"/>
        <item m="1" x="1250"/>
        <item x="789"/>
        <item x="388"/>
        <item x="277"/>
        <item m="1" x="1580"/>
        <item m="1" x="1672"/>
        <item m="1" x="1455"/>
        <item m="1" x="1252"/>
        <item m="1" x="1574"/>
        <item m="1" x="1270"/>
        <item m="1" x="1056"/>
        <item m="1" x="1173"/>
        <item x="294"/>
        <item x="452"/>
        <item m="1" x="1292"/>
        <item x="453"/>
        <item x="326"/>
        <item x="354"/>
        <item x="300"/>
        <item x="683"/>
        <item m="1" x="1289"/>
        <item m="1" x="1118"/>
        <item x="289"/>
        <item x="611"/>
        <item x="850"/>
        <item m="1" x="1656"/>
        <item m="1" x="1496"/>
        <item m="1" x="1410"/>
        <item m="1" x="1059"/>
        <item m="1" x="1456"/>
        <item x="555"/>
        <item x="502"/>
        <item x="510"/>
        <item m="1" x="1500"/>
        <item x="471"/>
        <item m="1" x="1074"/>
        <item m="1" x="1484"/>
        <item x="618"/>
        <item x="364"/>
        <item m="1" x="1253"/>
        <item m="1" x="1097"/>
        <item x="466"/>
        <item x="548"/>
        <item x="576"/>
        <item x="429"/>
        <item m="1" x="1448"/>
        <item m="1" x="1093"/>
        <item m="1" x="1295"/>
        <item m="1" x="1548"/>
        <item m="1" x="1099"/>
        <item m="1" x="1520"/>
        <item m="1" x="1603"/>
        <item m="1" x="1664"/>
        <item m="1" x="1670"/>
        <item x="892"/>
        <item m="1" x="1609"/>
        <item x="704"/>
        <item m="1" x="1026"/>
        <item m="1" x="1200"/>
        <item m="1" x="1551"/>
        <item m="1" x="1397"/>
        <item m="1" x="1374"/>
        <item m="1" x="1169"/>
        <item x="562"/>
        <item m="1" x="1363"/>
        <item m="1" x="1653"/>
        <item m="1" x="1167"/>
        <item m="1" x="1582"/>
        <item x="470"/>
        <item m="1" x="1407"/>
        <item x="118"/>
        <item m="1" x="1075"/>
        <item m="1" x="1658"/>
        <item m="1" x="1647"/>
        <item x="963"/>
        <item m="1" x="1657"/>
        <item x="917"/>
        <item x="879"/>
        <item m="1" x="1269"/>
        <item m="1" x="1135"/>
        <item m="1" x="1411"/>
        <item x="552"/>
        <item x="561"/>
        <item x="649"/>
        <item x="365"/>
        <item m="1" x="1273"/>
        <item x="446"/>
        <item m="1" x="1450"/>
        <item m="1" x="1035"/>
        <item m="1" x="1378"/>
        <item x="559"/>
        <item m="1" x="1239"/>
        <item m="1" x="1586"/>
        <item m="1" x="1617"/>
        <item m="1" x="1646"/>
        <item x="20"/>
        <item m="1" x="1439"/>
        <item x="568"/>
        <item m="1" x="1679"/>
        <item m="1" x="1522"/>
        <item m="1" x="1542"/>
        <item x="29"/>
        <item m="1" x="1202"/>
        <item x="701"/>
        <item m="1" x="1123"/>
        <item m="1" x="1208"/>
        <item x="193"/>
        <item m="1" x="1674"/>
        <item m="1" x="1537"/>
        <item x="0"/>
        <item m="1" x="1043"/>
        <item m="1" x="1248"/>
        <item m="1" x="1365"/>
        <item x="485"/>
        <item m="1" x="1328"/>
        <item x="445"/>
        <item m="1" x="1602"/>
        <item m="1" x="1196"/>
        <item m="1" x="1577"/>
        <item m="1" x="1177"/>
        <item x="578"/>
        <item x="158"/>
        <item x="420"/>
        <item x="547"/>
        <item x="192"/>
        <item x="78"/>
        <item x="511"/>
        <item x="207"/>
        <item m="1" x="1357"/>
        <item m="1" x="1673"/>
        <item m="1" x="1583"/>
        <item x="779"/>
        <item m="1" x="1386"/>
        <item x="640"/>
        <item m="1" x="1078"/>
        <item m="1" x="1477"/>
        <item m="1" x="1392"/>
        <item m="1" x="1538"/>
        <item m="1" x="1139"/>
        <item x="530"/>
        <item x="438"/>
        <item m="1" x="1128"/>
        <item m="1" x="1393"/>
        <item x="537"/>
        <item x="16"/>
        <item m="1" x="1030"/>
        <item m="1" x="1312"/>
        <item x="734"/>
        <item x="711"/>
        <item m="1" x="1229"/>
        <item x="409"/>
        <item x="795"/>
        <item x="584"/>
        <item m="1" x="1660"/>
        <item m="1" x="1599"/>
        <item m="1" x="1305"/>
        <item x="855"/>
        <item x="975"/>
        <item m="1" x="1064"/>
        <item x="322"/>
        <item x="249"/>
        <item m="1" x="1578"/>
        <item x="945"/>
        <item m="1" x="1591"/>
        <item x="223"/>
        <item m="1" x="1336"/>
        <item x="311"/>
        <item m="1" x="1469"/>
        <item m="1" x="1478"/>
        <item m="1" x="1352"/>
        <item m="1" x="1604"/>
        <item m="1" x="1390"/>
        <item x="190"/>
        <item m="1" x="1671"/>
        <item x="1"/>
        <item x="3"/>
        <item x="11"/>
        <item x="12"/>
        <item x="15"/>
        <item x="17"/>
        <item x="32"/>
        <item x="36"/>
        <item x="42"/>
        <item x="44"/>
        <item x="46"/>
        <item x="49"/>
        <item x="51"/>
        <item x="54"/>
        <item x="56"/>
        <item x="58"/>
        <item x="68"/>
        <item x="75"/>
        <item x="79"/>
        <item x="81"/>
        <item x="88"/>
        <item x="94"/>
        <item x="101"/>
        <item x="103"/>
        <item x="105"/>
        <item x="106"/>
        <item x="116"/>
        <item x="119"/>
        <item x="121"/>
        <item x="131"/>
        <item x="132"/>
        <item x="134"/>
        <item x="137"/>
        <item x="141"/>
        <item x="143"/>
        <item x="147"/>
        <item x="152"/>
        <item x="153"/>
        <item x="159"/>
        <item x="164"/>
        <item x="172"/>
        <item x="175"/>
        <item x="178"/>
        <item x="202"/>
        <item x="203"/>
        <item x="206"/>
        <item x="209"/>
        <item x="217"/>
        <item x="218"/>
        <item x="219"/>
        <item x="224"/>
        <item x="226"/>
        <item x="228"/>
        <item x="235"/>
        <item x="243"/>
        <item x="244"/>
        <item x="248"/>
        <item x="253"/>
        <item x="254"/>
        <item x="255"/>
        <item x="257"/>
        <item x="264"/>
        <item x="272"/>
        <item x="275"/>
        <item x="282"/>
        <item x="295"/>
        <item x="296"/>
        <item x="301"/>
        <item x="309"/>
        <item x="323"/>
        <item x="324"/>
        <item x="325"/>
        <item x="327"/>
        <item x="330"/>
        <item x="334"/>
        <item x="338"/>
        <item x="339"/>
        <item x="340"/>
        <item m="1" x="1667"/>
        <item x="345"/>
        <item x="346"/>
        <item x="350"/>
        <item x="359"/>
        <item x="362"/>
        <item x="367"/>
        <item x="369"/>
        <item x="371"/>
        <item x="375"/>
        <item x="377"/>
        <item x="378"/>
        <item x="379"/>
        <item x="383"/>
        <item x="384"/>
        <item x="385"/>
        <item x="386"/>
        <item x="389"/>
        <item x="390"/>
        <item x="392"/>
        <item x="393"/>
        <item x="395"/>
        <item x="398"/>
        <item x="399"/>
        <item x="400"/>
        <item x="401"/>
        <item x="402"/>
        <item x="403"/>
        <item x="404"/>
        <item x="405"/>
        <item x="412"/>
        <item x="416"/>
        <item x="422"/>
        <item x="433"/>
        <item x="434"/>
        <item x="435"/>
        <item x="439"/>
        <item x="442"/>
        <item x="443"/>
        <item x="447"/>
        <item x="450"/>
        <item x="451"/>
        <item x="454"/>
        <item x="455"/>
        <item x="456"/>
        <item x="460"/>
        <item x="462"/>
        <item x="463"/>
        <item x="465"/>
        <item x="469"/>
        <item x="472"/>
        <item x="474"/>
        <item x="478"/>
        <item x="486"/>
        <item x="488"/>
        <item x="489"/>
        <item x="499"/>
        <item x="500"/>
        <item x="504"/>
        <item x="508"/>
        <item x="512"/>
        <item x="513"/>
        <item x="515"/>
        <item x="522"/>
        <item x="527"/>
        <item x="528"/>
        <item x="531"/>
        <item x="532"/>
        <item x="541"/>
        <item x="543"/>
        <item x="544"/>
        <item x="545"/>
        <item x="546"/>
        <item x="549"/>
        <item x="550"/>
        <item x="556"/>
        <item x="557"/>
        <item x="563"/>
        <item x="567"/>
        <item x="570"/>
        <item x="571"/>
        <item x="574"/>
        <item x="575"/>
        <item x="577"/>
        <item x="579"/>
        <item x="581"/>
        <item x="583"/>
        <item x="588"/>
        <item x="589"/>
        <item x="592"/>
        <item x="593"/>
        <item x="598"/>
        <item x="599"/>
        <item x="600"/>
        <item x="604"/>
        <item x="606"/>
        <item x="607"/>
        <item x="608"/>
        <item x="609"/>
        <item x="616"/>
        <item x="617"/>
        <item x="619"/>
        <item x="620"/>
        <item x="621"/>
        <item x="626"/>
        <item x="628"/>
        <item x="630"/>
        <item x="632"/>
        <item x="633"/>
        <item x="635"/>
        <item x="637"/>
        <item x="642"/>
        <item x="644"/>
        <item x="645"/>
        <item x="646"/>
        <item x="647"/>
        <item x="648"/>
        <item x="650"/>
        <item x="651"/>
        <item x="652"/>
        <item x="653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1"/>
        <item x="672"/>
        <item x="673"/>
        <item x="675"/>
        <item x="677"/>
        <item x="678"/>
        <item x="679"/>
        <item x="681"/>
        <item x="682"/>
        <item x="686"/>
        <item x="687"/>
        <item x="688"/>
        <item x="689"/>
        <item x="691"/>
        <item x="693"/>
        <item x="694"/>
        <item x="695"/>
        <item x="696"/>
        <item x="697"/>
        <item x="698"/>
        <item x="699"/>
        <item x="700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2"/>
        <item x="725"/>
        <item x="726"/>
        <item x="727"/>
        <item x="728"/>
        <item x="731"/>
        <item x="732"/>
        <item x="733"/>
        <item x="735"/>
        <item x="737"/>
        <item x="738"/>
        <item x="739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8"/>
        <item x="761"/>
        <item x="762"/>
        <item x="767"/>
        <item x="769"/>
        <item x="770"/>
        <item x="771"/>
        <item x="772"/>
        <item x="778"/>
        <item x="780"/>
        <item x="783"/>
        <item x="785"/>
        <item x="787"/>
        <item x="788"/>
        <item x="796"/>
        <item x="797"/>
        <item x="801"/>
        <item x="802"/>
        <item x="803"/>
        <item x="804"/>
        <item x="806"/>
        <item x="807"/>
        <item x="808"/>
        <item x="810"/>
        <item x="812"/>
        <item x="813"/>
        <item x="814"/>
        <item x="816"/>
        <item x="818"/>
        <item x="819"/>
        <item x="820"/>
        <item x="822"/>
        <item x="823"/>
        <item x="824"/>
        <item x="826"/>
        <item x="827"/>
        <item x="828"/>
        <item x="829"/>
        <item x="830"/>
        <item x="831"/>
        <item x="833"/>
        <item x="837"/>
        <item x="838"/>
        <item x="839"/>
        <item x="841"/>
        <item x="842"/>
        <item x="844"/>
        <item x="845"/>
        <item x="848"/>
        <item x="849"/>
        <item x="851"/>
        <item x="852"/>
        <item x="853"/>
        <item x="856"/>
        <item x="857"/>
        <item x="858"/>
        <item x="859"/>
        <item x="860"/>
        <item x="861"/>
        <item x="863"/>
        <item x="864"/>
        <item x="865"/>
        <item x="870"/>
        <item x="871"/>
        <item x="874"/>
        <item x="875"/>
        <item x="876"/>
        <item x="878"/>
        <item x="881"/>
        <item x="882"/>
        <item x="883"/>
        <item x="884"/>
        <item x="887"/>
        <item x="888"/>
        <item x="890"/>
        <item x="894"/>
        <item x="896"/>
        <item x="897"/>
        <item x="898"/>
        <item x="899"/>
        <item x="900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6"/>
        <item x="918"/>
        <item x="919"/>
        <item x="920"/>
        <item x="922"/>
        <item x="923"/>
        <item x="924"/>
        <item x="926"/>
        <item x="927"/>
        <item x="928"/>
        <item x="930"/>
        <item x="932"/>
        <item x="933"/>
        <item x="934"/>
        <item x="935"/>
        <item x="936"/>
        <item x="937"/>
        <item x="938"/>
        <item x="939"/>
        <item x="942"/>
        <item x="947"/>
        <item x="948"/>
        <item x="950"/>
        <item x="952"/>
        <item x="953"/>
        <item x="955"/>
        <item x="958"/>
        <item x="959"/>
        <item x="960"/>
        <item x="961"/>
        <item x="962"/>
        <item x="966"/>
        <item x="970"/>
        <item x="971"/>
        <item x="972"/>
        <item x="973"/>
        <item x="974"/>
        <item x="976"/>
        <item x="977"/>
        <item x="980"/>
        <item x="981"/>
        <item x="982"/>
        <item x="985"/>
        <item x="987"/>
        <item x="988"/>
        <item x="989"/>
        <item x="990"/>
        <item x="991"/>
        <item x="993"/>
        <item x="994"/>
        <item x="996"/>
        <item x="997"/>
        <item x="1002"/>
        <item x="1003"/>
        <item x="1005"/>
        <item x="1006"/>
        <item x="1007"/>
        <item x="1008"/>
        <item x="1011"/>
        <item x="1012"/>
        <item x="1014"/>
        <item x="1017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1">
        <item m="1" x="7"/>
        <item h="1" x="2"/>
        <item x="0"/>
        <item m="1" x="6"/>
        <item m="1" x="9"/>
        <item h="1" x="1"/>
        <item h="1" x="4"/>
        <item h="1" m="1" x="8"/>
        <item h="1" x="3"/>
        <item h="1"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02">
    <i>
      <x v="2"/>
    </i>
    <i>
      <x v="4"/>
    </i>
    <i>
      <x v="6"/>
    </i>
    <i>
      <x v="8"/>
    </i>
    <i>
      <x v="9"/>
    </i>
    <i>
      <x v="12"/>
    </i>
    <i>
      <x v="13"/>
    </i>
    <i>
      <x v="14"/>
    </i>
    <i>
      <x v="17"/>
    </i>
    <i>
      <x v="18"/>
    </i>
    <i>
      <x v="19"/>
    </i>
    <i>
      <x v="20"/>
    </i>
    <i>
      <x v="22"/>
    </i>
    <i>
      <x v="25"/>
    </i>
    <i>
      <x v="32"/>
    </i>
    <i>
      <x v="36"/>
    </i>
    <i>
      <x v="38"/>
    </i>
    <i>
      <x v="44"/>
    </i>
    <i>
      <x v="47"/>
    </i>
    <i>
      <x v="48"/>
    </i>
    <i>
      <x v="52"/>
    </i>
    <i>
      <x v="55"/>
    </i>
    <i>
      <x v="56"/>
    </i>
    <i>
      <x v="57"/>
    </i>
    <i>
      <x v="64"/>
    </i>
    <i>
      <x v="65"/>
    </i>
    <i>
      <x v="69"/>
    </i>
    <i>
      <x v="70"/>
    </i>
    <i>
      <x v="75"/>
    </i>
    <i>
      <x v="78"/>
    </i>
    <i>
      <x v="81"/>
    </i>
    <i>
      <x v="82"/>
    </i>
    <i>
      <x v="89"/>
    </i>
    <i>
      <x v="94"/>
    </i>
    <i>
      <x v="95"/>
    </i>
    <i>
      <x v="104"/>
    </i>
    <i>
      <x v="108"/>
    </i>
    <i>
      <x v="117"/>
    </i>
    <i>
      <x v="125"/>
    </i>
    <i>
      <x v="132"/>
    </i>
    <i>
      <x v="133"/>
    </i>
    <i>
      <x v="136"/>
    </i>
    <i>
      <x v="137"/>
    </i>
    <i>
      <x v="140"/>
    </i>
    <i>
      <x v="141"/>
    </i>
    <i>
      <x v="143"/>
    </i>
    <i>
      <x v="144"/>
    </i>
    <i>
      <x v="145"/>
    </i>
    <i>
      <x v="150"/>
    </i>
    <i>
      <x v="151"/>
    </i>
    <i>
      <x v="155"/>
    </i>
    <i>
      <x v="156"/>
    </i>
    <i>
      <x v="158"/>
    </i>
    <i>
      <x v="159"/>
    </i>
    <i>
      <x v="160"/>
    </i>
    <i>
      <x v="165"/>
    </i>
    <i>
      <x v="171"/>
    </i>
    <i>
      <x v="174"/>
    </i>
    <i>
      <x v="177"/>
    </i>
    <i>
      <x v="179"/>
    </i>
    <i>
      <x v="180"/>
    </i>
    <i>
      <x v="181"/>
    </i>
    <i>
      <x v="185"/>
    </i>
    <i>
      <x v="188"/>
    </i>
    <i>
      <x v="190"/>
    </i>
    <i>
      <x v="192"/>
    </i>
    <i>
      <x v="193"/>
    </i>
    <i>
      <x v="194"/>
    </i>
    <i>
      <x v="197"/>
    </i>
    <i>
      <x v="201"/>
    </i>
    <i>
      <x v="202"/>
    </i>
    <i>
      <x v="203"/>
    </i>
    <i>
      <x v="208"/>
    </i>
    <i>
      <x v="209"/>
    </i>
    <i>
      <x v="211"/>
    </i>
    <i>
      <x v="215"/>
    </i>
    <i>
      <x v="217"/>
    </i>
    <i>
      <x v="223"/>
    </i>
    <i>
      <x v="225"/>
    </i>
    <i>
      <x v="226"/>
    </i>
    <i>
      <x v="227"/>
    </i>
    <i>
      <x v="228"/>
    </i>
    <i>
      <x v="234"/>
    </i>
    <i>
      <x v="235"/>
    </i>
    <i>
      <x v="239"/>
    </i>
    <i>
      <x v="241"/>
    </i>
    <i>
      <x v="243"/>
    </i>
    <i>
      <x v="245"/>
    </i>
    <i>
      <x v="246"/>
    </i>
    <i>
      <x v="249"/>
    </i>
    <i>
      <x v="251"/>
    </i>
    <i>
      <x v="254"/>
    </i>
    <i>
      <x v="256"/>
    </i>
    <i>
      <x v="257"/>
    </i>
    <i>
      <x v="258"/>
    </i>
    <i>
      <x v="260"/>
    </i>
    <i>
      <x v="264"/>
    </i>
    <i>
      <x v="265"/>
    </i>
    <i>
      <x v="266"/>
    </i>
    <i>
      <x v="268"/>
    </i>
    <i>
      <x v="272"/>
    </i>
    <i>
      <x v="276"/>
    </i>
    <i>
      <x v="279"/>
    </i>
    <i>
      <x v="280"/>
    </i>
    <i>
      <x v="281"/>
    </i>
    <i>
      <x v="282"/>
    </i>
    <i>
      <x v="289"/>
    </i>
    <i>
      <x v="291"/>
    </i>
    <i>
      <x v="293"/>
    </i>
    <i>
      <x v="294"/>
    </i>
    <i>
      <x v="296"/>
    </i>
    <i>
      <x v="297"/>
    </i>
    <i>
      <x v="299"/>
    </i>
    <i>
      <x v="306"/>
    </i>
    <i>
      <x v="308"/>
    </i>
    <i>
      <x v="309"/>
    </i>
    <i>
      <x v="311"/>
    </i>
    <i>
      <x v="314"/>
    </i>
    <i>
      <x v="315"/>
    </i>
    <i>
      <x v="318"/>
    </i>
    <i>
      <x v="319"/>
    </i>
    <i>
      <x v="320"/>
    </i>
    <i>
      <x v="322"/>
    </i>
    <i>
      <x v="324"/>
    </i>
    <i>
      <x v="325"/>
    </i>
    <i>
      <x v="327"/>
    </i>
    <i>
      <x v="332"/>
    </i>
    <i>
      <x v="336"/>
    </i>
    <i>
      <x v="337"/>
    </i>
    <i>
      <x v="339"/>
    </i>
    <i>
      <x v="340"/>
    </i>
    <i>
      <x v="341"/>
    </i>
    <i>
      <x v="343"/>
    </i>
    <i>
      <x v="346"/>
    </i>
    <i>
      <x v="348"/>
    </i>
    <i>
      <x v="349"/>
    </i>
    <i>
      <x v="351"/>
    </i>
    <i>
      <x v="352"/>
    </i>
    <i>
      <x v="356"/>
    </i>
    <i>
      <x v="357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2"/>
    </i>
    <i>
      <x v="378"/>
    </i>
    <i>
      <x v="381"/>
    </i>
    <i>
      <x v="383"/>
    </i>
    <i>
      <x v="385"/>
    </i>
    <i>
      <x v="386"/>
    </i>
    <i>
      <x v="388"/>
    </i>
    <i>
      <x v="391"/>
    </i>
    <i>
      <x v="392"/>
    </i>
    <i>
      <x v="394"/>
    </i>
    <i>
      <x v="400"/>
    </i>
    <i>
      <x v="405"/>
    </i>
    <i>
      <x v="408"/>
    </i>
    <i>
      <x v="412"/>
    </i>
    <i>
      <x v="414"/>
    </i>
    <i>
      <x v="418"/>
    </i>
    <i>
      <x v="421"/>
    </i>
    <i>
      <x v="424"/>
    </i>
    <i>
      <x v="425"/>
    </i>
    <i>
      <x v="426"/>
    </i>
    <i>
      <x v="430"/>
    </i>
    <i>
      <x v="431"/>
    </i>
    <i>
      <x v="435"/>
    </i>
    <i>
      <x v="436"/>
    </i>
    <i>
      <x v="440"/>
    </i>
    <i>
      <x v="443"/>
    </i>
    <i>
      <x v="445"/>
    </i>
    <i>
      <x v="451"/>
    </i>
    <i>
      <x v="453"/>
    </i>
    <i>
      <x v="454"/>
    </i>
    <i>
      <x v="455"/>
    </i>
    <i>
      <x v="456"/>
    </i>
    <i>
      <x v="458"/>
    </i>
    <i>
      <x v="459"/>
    </i>
    <i>
      <x v="460"/>
    </i>
    <i>
      <x v="461"/>
    </i>
    <i>
      <x v="462"/>
    </i>
    <i>
      <x v="464"/>
    </i>
    <i>
      <x v="466"/>
    </i>
    <i>
      <x v="471"/>
    </i>
    <i>
      <x v="472"/>
    </i>
    <i>
      <x v="474"/>
    </i>
    <i>
      <x v="479"/>
    </i>
    <i>
      <x v="482"/>
    </i>
    <i>
      <x v="483"/>
    </i>
    <i>
      <x v="486"/>
    </i>
    <i>
      <x v="488"/>
    </i>
    <i>
      <x v="489"/>
    </i>
    <i>
      <x v="493"/>
    </i>
    <i>
      <x v="498"/>
    </i>
    <i>
      <x v="499"/>
    </i>
    <i>
      <x v="501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22"/>
    </i>
    <i>
      <x v="523"/>
    </i>
    <i>
      <x v="524"/>
    </i>
    <i>
      <x v="525"/>
    </i>
    <i>
      <x v="528"/>
    </i>
    <i>
      <x v="532"/>
    </i>
    <i>
      <x v="536"/>
    </i>
    <i>
      <x v="538"/>
    </i>
    <i>
      <x v="540"/>
    </i>
    <i>
      <x v="541"/>
    </i>
    <i>
      <x v="542"/>
    </i>
    <i>
      <x v="544"/>
    </i>
    <i>
      <x v="546"/>
    </i>
    <i>
      <x v="554"/>
    </i>
    <i>
      <x v="555"/>
    </i>
    <i>
      <x v="557"/>
    </i>
    <i>
      <x v="558"/>
    </i>
    <i>
      <x v="559"/>
    </i>
    <i>
      <x v="561"/>
    </i>
    <i>
      <x v="564"/>
    </i>
    <i>
      <x v="567"/>
    </i>
    <i>
      <x v="570"/>
    </i>
    <i>
      <x v="572"/>
    </i>
    <i>
      <x v="574"/>
    </i>
    <i>
      <x v="575"/>
    </i>
    <i>
      <x v="576"/>
    </i>
    <i>
      <x v="579"/>
    </i>
    <i>
      <x v="582"/>
    </i>
    <i>
      <x v="586"/>
    </i>
    <i>
      <x v="590"/>
    </i>
    <i>
      <x v="592"/>
    </i>
    <i>
      <x v="593"/>
    </i>
    <i>
      <x v="594"/>
    </i>
    <i>
      <x v="596"/>
    </i>
    <i>
      <x v="600"/>
    </i>
    <i>
      <x v="601"/>
    </i>
    <i>
      <x v="603"/>
    </i>
    <i>
      <x v="608"/>
    </i>
    <i>
      <x v="617"/>
    </i>
    <i>
      <x v="622"/>
    </i>
    <i>
      <x v="623"/>
    </i>
    <i>
      <x v="628"/>
    </i>
    <i>
      <x v="631"/>
    </i>
    <i>
      <x v="632"/>
    </i>
    <i>
      <x v="633"/>
    </i>
    <i>
      <x v="635"/>
    </i>
    <i>
      <x v="639"/>
    </i>
    <i>
      <x v="642"/>
    </i>
    <i>
      <x v="644"/>
    </i>
    <i>
      <x v="646"/>
    </i>
    <i>
      <x v="647"/>
    </i>
    <i>
      <x v="649"/>
    </i>
    <i>
      <x v="654"/>
    </i>
    <i>
      <x v="657"/>
    </i>
    <i>
      <x v="659"/>
    </i>
    <i>
      <x v="663"/>
    </i>
    <i>
      <x v="666"/>
    </i>
    <i>
      <x v="671"/>
    </i>
    <i>
      <x v="673"/>
    </i>
    <i>
      <x v="682"/>
    </i>
    <i>
      <x v="686"/>
    </i>
    <i>
      <x v="691"/>
    </i>
    <i>
      <x v="694"/>
    </i>
    <i>
      <x v="700"/>
    </i>
    <i>
      <x v="702"/>
    </i>
    <i>
      <x v="703"/>
    </i>
    <i>
      <x v="707"/>
    </i>
    <i>
      <x v="710"/>
    </i>
    <i>
      <x v="712"/>
    </i>
    <i>
      <x v="715"/>
    </i>
    <i>
      <x v="725"/>
    </i>
    <i>
      <x v="726"/>
    </i>
    <i>
      <x v="729"/>
    </i>
    <i>
      <x v="730"/>
    </i>
    <i>
      <x v="738"/>
    </i>
    <i>
      <x v="740"/>
    </i>
    <i>
      <x v="745"/>
    </i>
    <i>
      <x v="746"/>
    </i>
    <i>
      <x v="747"/>
    </i>
    <i>
      <x v="750"/>
    </i>
    <i>
      <x v="757"/>
    </i>
    <i>
      <x v="758"/>
    </i>
    <i>
      <x v="759"/>
    </i>
    <i>
      <x v="762"/>
    </i>
    <i>
      <x v="767"/>
    </i>
    <i>
      <x v="769"/>
    </i>
    <i>
      <x v="771"/>
    </i>
    <i>
      <x v="774"/>
    </i>
    <i>
      <x v="775"/>
    </i>
    <i>
      <x v="777"/>
    </i>
    <i>
      <x v="784"/>
    </i>
    <i>
      <x v="794"/>
    </i>
    <i>
      <x v="795"/>
    </i>
    <i>
      <x v="798"/>
    </i>
    <i>
      <x v="804"/>
    </i>
    <i>
      <x v="805"/>
    </i>
    <i>
      <x v="807"/>
    </i>
    <i>
      <x v="810"/>
    </i>
    <i>
      <x v="812"/>
    </i>
    <i>
      <x v="819"/>
    </i>
    <i>
      <x v="821"/>
    </i>
    <i>
      <x v="823"/>
    </i>
    <i>
      <x v="828"/>
    </i>
    <i>
      <x v="829"/>
    </i>
    <i>
      <x v="831"/>
    </i>
    <i>
      <x v="835"/>
    </i>
    <i>
      <x v="836"/>
    </i>
    <i>
      <x v="840"/>
    </i>
    <i>
      <x v="842"/>
    </i>
    <i>
      <x v="845"/>
    </i>
    <i>
      <x v="847"/>
    </i>
    <i>
      <x v="849"/>
    </i>
    <i>
      <x v="852"/>
    </i>
    <i>
      <x v="853"/>
    </i>
    <i>
      <x v="854"/>
    </i>
    <i>
      <x v="861"/>
    </i>
    <i>
      <x v="866"/>
    </i>
    <i>
      <x v="869"/>
    </i>
    <i>
      <x v="873"/>
    </i>
    <i>
      <x v="877"/>
    </i>
    <i>
      <x v="879"/>
    </i>
    <i>
      <x v="891"/>
    </i>
    <i>
      <x v="892"/>
    </i>
    <i>
      <x v="894"/>
    </i>
    <i>
      <x v="899"/>
    </i>
    <i>
      <x v="900"/>
    </i>
    <i>
      <x v="901"/>
    </i>
    <i>
      <x v="905"/>
    </i>
    <i>
      <x v="906"/>
    </i>
    <i>
      <x v="909"/>
    </i>
    <i>
      <x v="912"/>
    </i>
    <i>
      <x v="914"/>
    </i>
    <i>
      <x v="918"/>
    </i>
    <i>
      <x v="920"/>
    </i>
    <i>
      <x v="921"/>
    </i>
    <i>
      <x v="922"/>
    </i>
    <i>
      <x v="926"/>
    </i>
    <i>
      <x v="928"/>
    </i>
    <i>
      <x v="934"/>
    </i>
    <i>
      <x v="937"/>
    </i>
    <i>
      <x v="943"/>
    </i>
    <i>
      <x v="944"/>
    </i>
    <i>
      <x v="945"/>
    </i>
    <i>
      <x v="950"/>
    </i>
    <i>
      <x v="954"/>
    </i>
    <i>
      <x v="955"/>
    </i>
    <i>
      <x v="956"/>
    </i>
    <i>
      <x v="957"/>
    </i>
    <i>
      <x v="961"/>
    </i>
    <i>
      <x v="964"/>
    </i>
    <i>
      <x v="966"/>
    </i>
    <i>
      <x v="967"/>
    </i>
    <i>
      <x v="969"/>
    </i>
    <i>
      <x v="973"/>
    </i>
    <i>
      <x v="974"/>
    </i>
    <i>
      <x v="975"/>
    </i>
    <i>
      <x v="980"/>
    </i>
    <i>
      <x v="981"/>
    </i>
    <i>
      <x v="982"/>
    </i>
    <i>
      <x v="988"/>
    </i>
    <i>
      <x v="989"/>
    </i>
    <i>
      <x v="993"/>
    </i>
    <i>
      <x v="995"/>
    </i>
    <i>
      <x v="996"/>
    </i>
    <i>
      <x v="997"/>
    </i>
    <i>
      <x v="999"/>
    </i>
    <i>
      <x v="1001"/>
    </i>
    <i>
      <x v="1002"/>
    </i>
    <i>
      <x v="1003"/>
    </i>
    <i>
      <x v="1007"/>
    </i>
    <i>
      <x v="1009"/>
    </i>
    <i>
      <x v="1012"/>
    </i>
    <i>
      <x v="1013"/>
    </i>
    <i>
      <x v="1015"/>
    </i>
    <i>
      <x v="1016"/>
    </i>
    <i>
      <x v="1021"/>
    </i>
    <i>
      <x v="1027"/>
    </i>
    <i>
      <x v="1028"/>
    </i>
    <i>
      <x v="1029"/>
    </i>
    <i>
      <x v="1032"/>
    </i>
    <i>
      <x v="1033"/>
    </i>
    <i>
      <x v="1034"/>
    </i>
    <i>
      <x v="1037"/>
    </i>
    <i>
      <x v="1038"/>
    </i>
    <i>
      <x v="1040"/>
    </i>
    <i>
      <x v="1046"/>
    </i>
    <i>
      <x v="1048"/>
    </i>
    <i>
      <x v="1049"/>
    </i>
    <i>
      <x v="1053"/>
    </i>
    <i>
      <x v="1054"/>
    </i>
    <i>
      <x v="1055"/>
    </i>
    <i>
      <x v="1056"/>
    </i>
    <i>
      <x v="1057"/>
    </i>
    <i>
      <x v="1060"/>
    </i>
    <i>
      <x v="1061"/>
    </i>
    <i>
      <x v="1062"/>
    </i>
    <i>
      <x v="1064"/>
    </i>
    <i>
      <x v="1067"/>
    </i>
    <i>
      <x v="1070"/>
    </i>
    <i>
      <x v="1076"/>
    </i>
    <i>
      <x v="1080"/>
    </i>
    <i>
      <x v="1081"/>
    </i>
    <i>
      <x v="1091"/>
    </i>
    <i>
      <x v="1094"/>
    </i>
    <i>
      <x v="1095"/>
    </i>
    <i>
      <x v="1097"/>
    </i>
    <i>
      <x v="1098"/>
    </i>
    <i>
      <x v="1101"/>
    </i>
    <i>
      <x v="1103"/>
    </i>
    <i>
      <x v="1109"/>
    </i>
    <i>
      <x v="1110"/>
    </i>
    <i>
      <x v="1111"/>
    </i>
    <i>
      <x v="1113"/>
    </i>
    <i>
      <x v="1116"/>
    </i>
    <i>
      <x v="1117"/>
    </i>
    <i>
      <x v="1121"/>
    </i>
    <i>
      <x v="1122"/>
    </i>
    <i>
      <x v="1123"/>
    </i>
    <i>
      <x v="1133"/>
    </i>
    <i>
      <x v="1135"/>
    </i>
    <i>
      <x v="1142"/>
    </i>
    <i>
      <x v="1156"/>
    </i>
    <i>
      <x v="1160"/>
    </i>
    <i>
      <x v="1161"/>
    </i>
    <i>
      <x v="1162"/>
    </i>
    <i>
      <x v="1165"/>
    </i>
    <i>
      <x v="1174"/>
    </i>
    <i>
      <x v="1176"/>
    </i>
    <i>
      <x v="1180"/>
    </i>
    <i>
      <x v="1182"/>
    </i>
    <i>
      <x v="1185"/>
    </i>
    <i>
      <x v="1188"/>
    </i>
    <i>
      <x v="1192"/>
    </i>
    <i>
      <x v="1194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10"/>
    </i>
    <i>
      <x v="1212"/>
    </i>
    <i>
      <x v="1218"/>
    </i>
    <i>
      <x v="1219"/>
    </i>
    <i>
      <x v="1222"/>
    </i>
    <i>
      <x v="1226"/>
    </i>
    <i>
      <x v="1227"/>
    </i>
    <i>
      <x v="1230"/>
    </i>
    <i>
      <x v="1231"/>
    </i>
    <i>
      <x v="1235"/>
    </i>
    <i>
      <x v="1236"/>
    </i>
    <i>
      <x v="1238"/>
    </i>
    <i>
      <x v="1239"/>
    </i>
    <i>
      <x v="1241"/>
    </i>
    <i>
      <x v="1243"/>
    </i>
    <i>
      <x v="1245"/>
    </i>
    <i>
      <x v="1254"/>
    </i>
    <i>
      <x v="1256"/>
    </i>
    <i>
      <x v="1257"/>
    </i>
    <i>
      <x v="1258"/>
    </i>
    <i>
      <x v="1259"/>
    </i>
    <i>
      <x v="1260"/>
    </i>
    <i>
      <x v="1261"/>
    </i>
    <i>
      <x v="1264"/>
    </i>
    <i>
      <x v="1265"/>
    </i>
    <i>
      <x v="1266"/>
    </i>
    <i>
      <x v="1267"/>
    </i>
    <i>
      <x v="1268"/>
    </i>
    <i>
      <x v="1270"/>
    </i>
    <i>
      <x v="1271"/>
    </i>
    <i>
      <x v="1272"/>
    </i>
    <i>
      <x v="1274"/>
    </i>
    <i>
      <x v="1275"/>
    </i>
    <i>
      <x v="1276"/>
    </i>
    <i>
      <x v="1278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9"/>
    </i>
    <i>
      <x v="1291"/>
    </i>
    <i>
      <x v="1292"/>
    </i>
    <i>
      <x v="1293"/>
    </i>
    <i>
      <x v="1295"/>
    </i>
    <i>
      <x v="1297"/>
    </i>
    <i>
      <x v="1298"/>
    </i>
    <i>
      <x v="1299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20"/>
    </i>
    <i>
      <x v="1322"/>
    </i>
    <i>
      <x v="1324"/>
    </i>
    <i>
      <x v="1326"/>
    </i>
    <i>
      <x v="1327"/>
    </i>
    <i>
      <x v="1328"/>
    </i>
    <i>
      <x v="1329"/>
    </i>
    <i>
      <x v="1330"/>
    </i>
    <i>
      <x v="1333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7"/>
    </i>
    <i>
      <x v="1348"/>
    </i>
    <i>
      <x v="1349"/>
    </i>
    <i>
      <x v="1351"/>
    </i>
    <i>
      <x v="1352"/>
    </i>
    <i>
      <x v="1354"/>
    </i>
    <i>
      <x v="1355"/>
    </i>
    <i>
      <x v="1356"/>
    </i>
    <i>
      <x v="1358"/>
    </i>
    <i>
      <x v="1359"/>
    </i>
    <i>
      <x v="1362"/>
    </i>
    <i>
      <x v="1363"/>
    </i>
    <i>
      <x v="1364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80"/>
    </i>
    <i>
      <x v="1381"/>
    </i>
    <i>
      <x v="1382"/>
    </i>
    <i>
      <x v="1384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7"/>
    </i>
    <i>
      <x v="1398"/>
    </i>
    <i>
      <x v="1399"/>
    </i>
    <i>
      <x v="1400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8"/>
    </i>
    <i>
      <x v="1419"/>
    </i>
    <i>
      <x v="1420"/>
    </i>
    <i>
      <x v="1421"/>
    </i>
    <i>
      <x v="1422"/>
    </i>
    <i>
      <x v="1423"/>
    </i>
    <i>
      <x v="1425"/>
    </i>
    <i>
      <x v="1426"/>
    </i>
    <i>
      <x v="1428"/>
    </i>
    <i>
      <x v="1430"/>
    </i>
    <i>
      <x v="1431"/>
    </i>
    <i>
      <x v="1433"/>
    </i>
    <i>
      <x v="1436"/>
    </i>
    <i>
      <x v="1439"/>
    </i>
    <i>
      <x v="1440"/>
    </i>
    <i>
      <x v="1441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7"/>
    </i>
    <i>
      <x v="1458"/>
    </i>
    <i>
      <x v="1459"/>
    </i>
    <i>
      <x v="1461"/>
    </i>
    <i>
      <x v="1464"/>
    </i>
    <i>
      <x v="1465"/>
    </i>
    <i>
      <x v="1466"/>
    </i>
    <i>
      <x v="1469"/>
    </i>
    <i>
      <x v="1470"/>
    </i>
    <i>
      <x v="1471"/>
    </i>
    <i>
      <x v="1472"/>
    </i>
    <i>
      <x v="1474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4"/>
    </i>
    <i>
      <x v="1487"/>
    </i>
    <i>
      <x v="1488"/>
    </i>
    <i>
      <x v="1490"/>
    </i>
    <i>
      <x v="1491"/>
    </i>
    <i>
      <x v="1492"/>
    </i>
    <i>
      <x v="1493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5"/>
    </i>
    <i>
      <x v="1506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1"/>
    </i>
    <i>
      <x v="1522"/>
    </i>
    <i>
      <x v="1523"/>
    </i>
    <i>
      <x v="1524"/>
    </i>
    <i>
      <x v="1525"/>
    </i>
    <i>
      <x v="1526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6"/>
    </i>
    <i>
      <x v="1567"/>
    </i>
    <i>
      <x v="1568"/>
    </i>
    <i>
      <x v="1569"/>
    </i>
    <i>
      <x v="1570"/>
    </i>
    <i>
      <x v="1571"/>
    </i>
    <i>
      <x v="1573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91"/>
    </i>
    <i>
      <x v="1592"/>
    </i>
    <i>
      <x v="1593"/>
    </i>
    <i>
      <x v="1594"/>
    </i>
    <i>
      <x v="1595"/>
    </i>
    <i>
      <x v="1597"/>
    </i>
    <i>
      <x v="1598"/>
    </i>
    <i>
      <x v="1601"/>
    </i>
    <i>
      <x v="1602"/>
    </i>
    <i>
      <x v="1603"/>
    </i>
    <i>
      <x v="1605"/>
    </i>
    <i>
      <x v="1607"/>
    </i>
    <i>
      <x v="1609"/>
    </i>
    <i>
      <x v="1611"/>
    </i>
    <i>
      <x v="1612"/>
    </i>
    <i>
      <x v="1613"/>
    </i>
    <i>
      <x v="1614"/>
    </i>
    <i>
      <x v="1616"/>
    </i>
    <i>
      <x v="1617"/>
    </i>
    <i>
      <x v="1618"/>
    </i>
    <i>
      <x v="1619"/>
    </i>
    <i>
      <x v="1621"/>
    </i>
    <i>
      <x v="1622"/>
    </i>
    <i>
      <x v="1623"/>
    </i>
    <i>
      <x v="1624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7"/>
    </i>
    <i>
      <x v="1638"/>
    </i>
    <i>
      <x v="1639"/>
    </i>
    <i>
      <x v="1640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50"/>
    </i>
    <i>
      <x v="1651"/>
    </i>
    <i>
      <x v="1652"/>
    </i>
    <i>
      <x v="1654"/>
    </i>
    <i>
      <x v="1655"/>
    </i>
    <i>
      <x v="1656"/>
    </i>
    <i>
      <x v="1658"/>
    </i>
    <i>
      <x v="1659"/>
    </i>
    <i>
      <x v="1660"/>
    </i>
    <i>
      <x v="1661"/>
    </i>
    <i>
      <x v="1662"/>
    </i>
    <i>
      <x v="1664"/>
    </i>
    <i>
      <x v="1665"/>
    </i>
    <i>
      <x v="1666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3097">
      <pivotArea grandRow="1" outline="0" collapsedLevelsAreSubtotals="1" fieldPosition="0"/>
    </format>
    <format dxfId="3096">
      <pivotArea dataOnly="0" labelOnly="1" grandRow="1" outline="0" fieldPosition="0"/>
    </format>
    <format dxfId="3095">
      <pivotArea dataOnly="0" labelOnly="1" outline="0" axis="axisValues" fieldPosition="0"/>
    </format>
    <format dxfId="3094">
      <pivotArea dataOnly="0" labelOnly="1" outline="0" axis="axisValues" fieldPosition="0"/>
    </format>
    <format dxfId="3093">
      <pivotArea dataOnly="0" labelOnly="1" outline="0" axis="axisValues" fieldPosition="0"/>
    </format>
    <format dxfId="3092">
      <pivotArea dataOnly="0" labelOnly="1" outline="0" axis="axisValues" fieldPosition="0"/>
    </format>
    <format dxfId="3091">
      <pivotArea type="all" dataOnly="0" outline="0" fieldPosition="0"/>
    </format>
    <format dxfId="3090">
      <pivotArea outline="0" collapsedLevelsAreSubtotals="1" fieldPosition="0"/>
    </format>
    <format dxfId="3089">
      <pivotArea field="6" type="button" dataOnly="0" labelOnly="1" outline="0" axis="axisRow" fieldPosition="0"/>
    </format>
    <format dxfId="3088">
      <pivotArea dataOnly="0" labelOnly="1" outline="0" axis="axisValues" fieldPosition="0"/>
    </format>
    <format dxfId="3087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3086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3085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3084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3083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3082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3081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3080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3079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3078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3077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3076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3075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3074">
      <pivotArea dataOnly="0" labelOnly="1" grandRow="1" outline="0" fieldPosition="0"/>
    </format>
    <format dxfId="30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FEDEB-E5AF-41C1-B9FB-06B45D8D4516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h="1" x="0"/>
        <item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2796">
      <pivotArea type="all" dataOnly="0" outline="0" fieldPosition="0"/>
    </format>
    <format dxfId="2795">
      <pivotArea outline="0" collapsedLevelsAreSubtotals="1" fieldPosition="0"/>
    </format>
    <format dxfId="2794">
      <pivotArea type="origin" dataOnly="0" labelOnly="1" outline="0" fieldPosition="0"/>
    </format>
    <format dxfId="2793">
      <pivotArea field="19" type="button" dataOnly="0" labelOnly="1" outline="0" axis="axisCol" fieldPosition="0"/>
    </format>
    <format dxfId="2792">
      <pivotArea type="topRight" dataOnly="0" labelOnly="1" outline="0" fieldPosition="0"/>
    </format>
    <format dxfId="2791">
      <pivotArea field="14" type="button" dataOnly="0" labelOnly="1" outline="0" axis="axisRow" fieldPosition="0"/>
    </format>
    <format dxfId="2790">
      <pivotArea dataOnly="0" labelOnly="1" fieldPosition="0">
        <references count="1">
          <reference field="14" count="0"/>
        </references>
      </pivotArea>
    </format>
    <format dxfId="2789">
      <pivotArea dataOnly="0" labelOnly="1" grandRow="1" outline="0" fieldPosition="0"/>
    </format>
    <format dxfId="2788">
      <pivotArea dataOnly="0" labelOnly="1" fieldPosition="0">
        <references count="1">
          <reference field="19" count="0"/>
        </references>
      </pivotArea>
    </format>
    <format dxfId="2787">
      <pivotArea dataOnly="0" labelOnly="1" grandCol="1" outline="0" fieldPosition="0"/>
    </format>
    <format dxfId="2786">
      <pivotArea type="all" dataOnly="0" outline="0" fieldPosition="0"/>
    </format>
    <format dxfId="2785">
      <pivotArea outline="0" collapsedLevelsAreSubtotals="1" fieldPosition="0"/>
    </format>
    <format dxfId="2784">
      <pivotArea type="origin" dataOnly="0" labelOnly="1" outline="0" fieldPosition="0"/>
    </format>
    <format dxfId="2783">
      <pivotArea field="19" type="button" dataOnly="0" labelOnly="1" outline="0" axis="axisCol" fieldPosition="0"/>
    </format>
    <format dxfId="2782">
      <pivotArea type="topRight" dataOnly="0" labelOnly="1" outline="0" fieldPosition="0"/>
    </format>
    <format dxfId="2781">
      <pivotArea field="14" type="button" dataOnly="0" labelOnly="1" outline="0" axis="axisRow" fieldPosition="0"/>
    </format>
    <format dxfId="2780">
      <pivotArea dataOnly="0" labelOnly="1" fieldPosition="0">
        <references count="1">
          <reference field="14" count="0"/>
        </references>
      </pivotArea>
    </format>
    <format dxfId="2779">
      <pivotArea dataOnly="0" labelOnly="1" grandRow="1" outline="0" fieldPosition="0"/>
    </format>
    <format dxfId="2778">
      <pivotArea dataOnly="0" labelOnly="1" fieldPosition="0">
        <references count="1">
          <reference field="19" count="0"/>
        </references>
      </pivotArea>
    </format>
    <format dxfId="2777">
      <pivotArea dataOnly="0" labelOnly="1" grandCol="1" outline="0" fieldPosition="0"/>
    </format>
    <format dxfId="2776">
      <pivotArea type="all" dataOnly="0" outline="0" fieldPosition="0"/>
    </format>
    <format dxfId="2775">
      <pivotArea outline="0" collapsedLevelsAreSubtotals="1" fieldPosition="0"/>
    </format>
    <format dxfId="2774">
      <pivotArea type="origin" dataOnly="0" labelOnly="1" outline="0" fieldPosition="0"/>
    </format>
    <format dxfId="2773">
      <pivotArea field="19" type="button" dataOnly="0" labelOnly="1" outline="0" axis="axisCol" fieldPosition="0"/>
    </format>
    <format dxfId="2772">
      <pivotArea type="topRight" dataOnly="0" labelOnly="1" outline="0" fieldPosition="0"/>
    </format>
    <format dxfId="2771">
      <pivotArea field="14" type="button" dataOnly="0" labelOnly="1" outline="0" axis="axisRow" fieldPosition="0"/>
    </format>
    <format dxfId="2770">
      <pivotArea dataOnly="0" labelOnly="1" fieldPosition="0">
        <references count="1">
          <reference field="14" count="0"/>
        </references>
      </pivotArea>
    </format>
    <format dxfId="2769">
      <pivotArea dataOnly="0" labelOnly="1" grandRow="1" outline="0" fieldPosition="0"/>
    </format>
    <format dxfId="2768">
      <pivotArea dataOnly="0" labelOnly="1" fieldPosition="0">
        <references count="1">
          <reference field="19" count="0"/>
        </references>
      </pivotArea>
    </format>
    <format dxfId="2767">
      <pivotArea dataOnly="0" labelOnly="1" grandCol="1" outline="0" fieldPosition="0"/>
    </format>
    <format dxfId="2766">
      <pivotArea type="all" dataOnly="0" outline="0" fieldPosition="0"/>
    </format>
    <format dxfId="2765">
      <pivotArea outline="0" collapsedLevelsAreSubtotals="1" fieldPosition="0"/>
    </format>
    <format dxfId="2764">
      <pivotArea type="origin" dataOnly="0" labelOnly="1" outline="0" fieldPosition="0"/>
    </format>
    <format dxfId="2763">
      <pivotArea field="19" type="button" dataOnly="0" labelOnly="1" outline="0" axis="axisCol" fieldPosition="0"/>
    </format>
    <format dxfId="2762">
      <pivotArea type="topRight" dataOnly="0" labelOnly="1" outline="0" fieldPosition="0"/>
    </format>
    <format dxfId="2761">
      <pivotArea field="14" type="button" dataOnly="0" labelOnly="1" outline="0" axis="axisRow" fieldPosition="0"/>
    </format>
    <format dxfId="2760">
      <pivotArea dataOnly="0" labelOnly="1" fieldPosition="0">
        <references count="1">
          <reference field="14" count="0"/>
        </references>
      </pivotArea>
    </format>
    <format dxfId="2759">
      <pivotArea dataOnly="0" labelOnly="1" grandRow="1" outline="0" fieldPosition="0"/>
    </format>
    <format dxfId="2758">
      <pivotArea dataOnly="0" labelOnly="1" fieldPosition="0">
        <references count="1">
          <reference field="19" count="0"/>
        </references>
      </pivotArea>
    </format>
    <format dxfId="2757">
      <pivotArea dataOnly="0" labelOnly="1" grandCol="1" outline="0" fieldPosition="0"/>
    </format>
    <format dxfId="2756">
      <pivotArea outline="0" collapsedLevelsAreSubtotals="1" fieldPosition="0"/>
    </format>
    <format dxfId="2755">
      <pivotArea dataOnly="0" labelOnly="1" fieldPosition="0">
        <references count="1">
          <reference field="14" count="0"/>
        </references>
      </pivotArea>
    </format>
    <format dxfId="2754">
      <pivotArea dataOnly="0" labelOnly="1" grandRow="1" outline="0" fieldPosition="0"/>
    </format>
    <format dxfId="2753">
      <pivotArea dataOnly="0" labelOnly="1" fieldPosition="0">
        <references count="1">
          <reference field="19" count="0"/>
        </references>
      </pivotArea>
    </format>
    <format dxfId="2752">
      <pivotArea dataOnly="0" labelOnly="1" grandCol="1" outline="0" fieldPosition="0"/>
    </format>
    <format dxfId="2751">
      <pivotArea field="14" type="button" dataOnly="0" labelOnly="1" outline="0" axis="axisRow" fieldPosition="0"/>
    </format>
    <format dxfId="2750">
      <pivotArea dataOnly="0" labelOnly="1" fieldPosition="0">
        <references count="1">
          <reference field="19" count="0"/>
        </references>
      </pivotArea>
    </format>
    <format dxfId="2749">
      <pivotArea dataOnly="0" labelOnly="1" grandCol="1" outline="0" fieldPosition="0"/>
    </format>
    <format dxfId="2748">
      <pivotArea type="all" dataOnly="0" outline="0" fieldPosition="0"/>
    </format>
    <format dxfId="2747">
      <pivotArea outline="0" collapsedLevelsAreSubtotals="1" fieldPosition="0"/>
    </format>
    <format dxfId="2746">
      <pivotArea type="origin" dataOnly="0" labelOnly="1" outline="0" fieldPosition="0"/>
    </format>
    <format dxfId="2745">
      <pivotArea field="19" type="button" dataOnly="0" labelOnly="1" outline="0" axis="axisCol" fieldPosition="0"/>
    </format>
    <format dxfId="2744">
      <pivotArea type="topRight" dataOnly="0" labelOnly="1" outline="0" fieldPosition="0"/>
    </format>
    <format dxfId="2743">
      <pivotArea field="14" type="button" dataOnly="0" labelOnly="1" outline="0" axis="axisRow" fieldPosition="0"/>
    </format>
    <format dxfId="2742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2741">
      <pivotArea dataOnly="0" labelOnly="1" grandRow="1" outline="0" fieldPosition="0"/>
    </format>
    <format dxfId="2740">
      <pivotArea dataOnly="0" labelOnly="1" fieldPosition="0">
        <references count="1">
          <reference field="19" count="0"/>
        </references>
      </pivotArea>
    </format>
    <format dxfId="273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0:B56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>
      <items count="19">
        <item x="4"/>
        <item m="1" x="12"/>
        <item m="1" x="13"/>
        <item m="1" x="14"/>
        <item m="1" x="15"/>
        <item m="1" x="16"/>
        <item m="1" x="11"/>
        <item x="1"/>
        <item m="1" x="17"/>
        <item x="6"/>
        <item x="5"/>
        <item x="10"/>
        <item x="2"/>
        <item x="3"/>
        <item x="9"/>
        <item x="8"/>
        <item x="0"/>
        <item x="7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2848">
      <pivotArea type="all" dataOnly="0" outline="0" fieldPosition="0"/>
    </format>
    <format dxfId="2847">
      <pivotArea outline="0" collapsedLevelsAreSubtotals="1" fieldPosition="0"/>
    </format>
    <format dxfId="2846">
      <pivotArea type="origin" dataOnly="0" labelOnly="1" outline="0" fieldPosition="0"/>
    </format>
    <format dxfId="2845">
      <pivotArea field="19" type="button" dataOnly="0" labelOnly="1" outline="0"/>
    </format>
    <format dxfId="2844">
      <pivotArea type="topRight" dataOnly="0" labelOnly="1" outline="0" fieldPosition="0"/>
    </format>
    <format dxfId="2843">
      <pivotArea field="14" type="button" dataOnly="0" labelOnly="1" outline="0" axis="axisRow" fieldPosition="0"/>
    </format>
    <format dxfId="2842">
      <pivotArea dataOnly="0" labelOnly="1" fieldPosition="0">
        <references count="1">
          <reference field="14" count="0"/>
        </references>
      </pivotArea>
    </format>
    <format dxfId="2841">
      <pivotArea dataOnly="0" labelOnly="1" grandRow="1" outline="0" fieldPosition="0"/>
    </format>
    <format dxfId="2840">
      <pivotArea dataOnly="0" labelOnly="1" grandCol="1" outline="0" fieldPosition="0"/>
    </format>
    <format dxfId="2839">
      <pivotArea type="all" dataOnly="0" outline="0" fieldPosition="0"/>
    </format>
    <format dxfId="2838">
      <pivotArea outline="0" collapsedLevelsAreSubtotals="1" fieldPosition="0"/>
    </format>
    <format dxfId="2837">
      <pivotArea type="origin" dataOnly="0" labelOnly="1" outline="0" fieldPosition="0"/>
    </format>
    <format dxfId="2836">
      <pivotArea field="19" type="button" dataOnly="0" labelOnly="1" outline="0"/>
    </format>
    <format dxfId="2835">
      <pivotArea type="topRight" dataOnly="0" labelOnly="1" outline="0" fieldPosition="0"/>
    </format>
    <format dxfId="2834">
      <pivotArea field="14" type="button" dataOnly="0" labelOnly="1" outline="0" axis="axisRow" fieldPosition="0"/>
    </format>
    <format dxfId="2833">
      <pivotArea dataOnly="0" labelOnly="1" fieldPosition="0">
        <references count="1">
          <reference field="14" count="0"/>
        </references>
      </pivotArea>
    </format>
    <format dxfId="2832">
      <pivotArea dataOnly="0" labelOnly="1" grandRow="1" outline="0" fieldPosition="0"/>
    </format>
    <format dxfId="2831">
      <pivotArea dataOnly="0" labelOnly="1" grandCol="1" outline="0" fieldPosition="0"/>
    </format>
    <format dxfId="2830">
      <pivotArea type="all" dataOnly="0" outline="0" fieldPosition="0"/>
    </format>
    <format dxfId="2829">
      <pivotArea outline="0" collapsedLevelsAreSubtotals="1" fieldPosition="0"/>
    </format>
    <format dxfId="2828">
      <pivotArea type="origin" dataOnly="0" labelOnly="1" outline="0" fieldPosition="0"/>
    </format>
    <format dxfId="2827">
      <pivotArea field="19" type="button" dataOnly="0" labelOnly="1" outline="0"/>
    </format>
    <format dxfId="2826">
      <pivotArea type="topRight" dataOnly="0" labelOnly="1" outline="0" fieldPosition="0"/>
    </format>
    <format dxfId="2825">
      <pivotArea field="14" type="button" dataOnly="0" labelOnly="1" outline="0" axis="axisRow" fieldPosition="0"/>
    </format>
    <format dxfId="2824">
      <pivotArea dataOnly="0" labelOnly="1" fieldPosition="0">
        <references count="1">
          <reference field="14" count="0"/>
        </references>
      </pivotArea>
    </format>
    <format dxfId="2823">
      <pivotArea dataOnly="0" labelOnly="1" grandRow="1" outline="0" fieldPosition="0"/>
    </format>
    <format dxfId="2822">
      <pivotArea dataOnly="0" labelOnly="1" grandCol="1" outline="0" fieldPosition="0"/>
    </format>
    <format dxfId="2821">
      <pivotArea type="all" dataOnly="0" outline="0" fieldPosition="0"/>
    </format>
    <format dxfId="2820">
      <pivotArea outline="0" collapsedLevelsAreSubtotals="1" fieldPosition="0"/>
    </format>
    <format dxfId="2819">
      <pivotArea type="origin" dataOnly="0" labelOnly="1" outline="0" fieldPosition="0"/>
    </format>
    <format dxfId="2818">
      <pivotArea field="19" type="button" dataOnly="0" labelOnly="1" outline="0"/>
    </format>
    <format dxfId="2817">
      <pivotArea type="topRight" dataOnly="0" labelOnly="1" outline="0" fieldPosition="0"/>
    </format>
    <format dxfId="2816">
      <pivotArea field="14" type="button" dataOnly="0" labelOnly="1" outline="0" axis="axisRow" fieldPosition="0"/>
    </format>
    <format dxfId="2815">
      <pivotArea dataOnly="0" labelOnly="1" fieldPosition="0">
        <references count="1">
          <reference field="14" count="0"/>
        </references>
      </pivotArea>
    </format>
    <format dxfId="2814">
      <pivotArea dataOnly="0" labelOnly="1" grandRow="1" outline="0" fieldPosition="0"/>
    </format>
    <format dxfId="2813">
      <pivotArea dataOnly="0" labelOnly="1" grandCol="1" outline="0" fieldPosition="0"/>
    </format>
    <format dxfId="2812">
      <pivotArea outline="0" collapsedLevelsAreSubtotals="1" fieldPosition="0"/>
    </format>
    <format dxfId="2811">
      <pivotArea dataOnly="0" labelOnly="1" fieldPosition="0">
        <references count="1">
          <reference field="14" count="0"/>
        </references>
      </pivotArea>
    </format>
    <format dxfId="2810">
      <pivotArea dataOnly="0" labelOnly="1" grandRow="1" outline="0" fieldPosition="0"/>
    </format>
    <format dxfId="2809">
      <pivotArea dataOnly="0" labelOnly="1" grandCol="1" outline="0" fieldPosition="0"/>
    </format>
    <format dxfId="2808">
      <pivotArea field="14" type="button" dataOnly="0" labelOnly="1" outline="0" axis="axisRow" fieldPosition="0"/>
    </format>
    <format dxfId="2807">
      <pivotArea dataOnly="0" labelOnly="1" grandCol="1" outline="0" fieldPosition="0"/>
    </format>
    <format dxfId="2806">
      <pivotArea type="all" dataOnly="0" outline="0" fieldPosition="0"/>
    </format>
    <format dxfId="2805">
      <pivotArea outline="0" collapsedLevelsAreSubtotals="1" fieldPosition="0"/>
    </format>
    <format dxfId="2804">
      <pivotArea type="origin" dataOnly="0" labelOnly="1" outline="0" fieldPosition="0"/>
    </format>
    <format dxfId="2803">
      <pivotArea field="19" type="button" dataOnly="0" labelOnly="1" outline="0"/>
    </format>
    <format dxfId="2802">
      <pivotArea type="topRight" dataOnly="0" labelOnly="1" outline="0" fieldPosition="0"/>
    </format>
    <format dxfId="2801">
      <pivotArea field="14" type="button" dataOnly="0" labelOnly="1" outline="0" axis="axisRow" fieldPosition="0"/>
    </format>
    <format dxfId="2800">
      <pivotArea dataOnly="0" labelOnly="1" fieldPosition="0">
        <references count="1">
          <reference field="14" count="0"/>
        </references>
      </pivotArea>
    </format>
    <format dxfId="2799">
      <pivotArea dataOnly="0" labelOnly="1" grandRow="1" outline="0" fieldPosition="0"/>
    </format>
    <format dxfId="2798">
      <pivotArea dataOnly="0" labelOnly="1" grandCol="1" outline="0" fieldPosition="0"/>
    </format>
    <format dxfId="279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h="1"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2906">
      <pivotArea type="all" dataOnly="0" outline="0" fieldPosition="0"/>
    </format>
    <format dxfId="2905">
      <pivotArea outline="0" collapsedLevelsAreSubtotals="1" fieldPosition="0"/>
    </format>
    <format dxfId="2904">
      <pivotArea type="origin" dataOnly="0" labelOnly="1" outline="0" fieldPosition="0"/>
    </format>
    <format dxfId="2903">
      <pivotArea field="19" type="button" dataOnly="0" labelOnly="1" outline="0" axis="axisCol" fieldPosition="0"/>
    </format>
    <format dxfId="2902">
      <pivotArea type="topRight" dataOnly="0" labelOnly="1" outline="0" fieldPosition="0"/>
    </format>
    <format dxfId="2901">
      <pivotArea field="14" type="button" dataOnly="0" labelOnly="1" outline="0" axis="axisRow" fieldPosition="0"/>
    </format>
    <format dxfId="2900">
      <pivotArea dataOnly="0" labelOnly="1" fieldPosition="0">
        <references count="1">
          <reference field="14" count="0"/>
        </references>
      </pivotArea>
    </format>
    <format dxfId="2899">
      <pivotArea dataOnly="0" labelOnly="1" grandRow="1" outline="0" fieldPosition="0"/>
    </format>
    <format dxfId="2898">
      <pivotArea dataOnly="0" labelOnly="1" fieldPosition="0">
        <references count="1">
          <reference field="19" count="0"/>
        </references>
      </pivotArea>
    </format>
    <format dxfId="2897">
      <pivotArea dataOnly="0" labelOnly="1" grandCol="1" outline="0" fieldPosition="0"/>
    </format>
    <format dxfId="2896">
      <pivotArea type="all" dataOnly="0" outline="0" fieldPosition="0"/>
    </format>
    <format dxfId="2895">
      <pivotArea outline="0" collapsedLevelsAreSubtotals="1" fieldPosition="0"/>
    </format>
    <format dxfId="2894">
      <pivotArea type="origin" dataOnly="0" labelOnly="1" outline="0" fieldPosition="0"/>
    </format>
    <format dxfId="2893">
      <pivotArea field="19" type="button" dataOnly="0" labelOnly="1" outline="0" axis="axisCol" fieldPosition="0"/>
    </format>
    <format dxfId="2892">
      <pivotArea type="topRight" dataOnly="0" labelOnly="1" outline="0" fieldPosition="0"/>
    </format>
    <format dxfId="2891">
      <pivotArea field="14" type="button" dataOnly="0" labelOnly="1" outline="0" axis="axisRow" fieldPosition="0"/>
    </format>
    <format dxfId="2890">
      <pivotArea dataOnly="0" labelOnly="1" fieldPosition="0">
        <references count="1">
          <reference field="14" count="0"/>
        </references>
      </pivotArea>
    </format>
    <format dxfId="2889">
      <pivotArea dataOnly="0" labelOnly="1" grandRow="1" outline="0" fieldPosition="0"/>
    </format>
    <format dxfId="2888">
      <pivotArea dataOnly="0" labelOnly="1" fieldPosition="0">
        <references count="1">
          <reference field="19" count="0"/>
        </references>
      </pivotArea>
    </format>
    <format dxfId="2887">
      <pivotArea dataOnly="0" labelOnly="1" grandCol="1" outline="0" fieldPosition="0"/>
    </format>
    <format dxfId="2886">
      <pivotArea type="all" dataOnly="0" outline="0" fieldPosition="0"/>
    </format>
    <format dxfId="2885">
      <pivotArea outline="0" collapsedLevelsAreSubtotals="1" fieldPosition="0"/>
    </format>
    <format dxfId="2884">
      <pivotArea type="origin" dataOnly="0" labelOnly="1" outline="0" fieldPosition="0"/>
    </format>
    <format dxfId="2883">
      <pivotArea field="19" type="button" dataOnly="0" labelOnly="1" outline="0" axis="axisCol" fieldPosition="0"/>
    </format>
    <format dxfId="2882">
      <pivotArea type="topRight" dataOnly="0" labelOnly="1" outline="0" fieldPosition="0"/>
    </format>
    <format dxfId="2881">
      <pivotArea field="14" type="button" dataOnly="0" labelOnly="1" outline="0" axis="axisRow" fieldPosition="0"/>
    </format>
    <format dxfId="2880">
      <pivotArea dataOnly="0" labelOnly="1" fieldPosition="0">
        <references count="1">
          <reference field="14" count="0"/>
        </references>
      </pivotArea>
    </format>
    <format dxfId="2879">
      <pivotArea dataOnly="0" labelOnly="1" grandRow="1" outline="0" fieldPosition="0"/>
    </format>
    <format dxfId="2878">
      <pivotArea dataOnly="0" labelOnly="1" fieldPosition="0">
        <references count="1">
          <reference field="19" count="0"/>
        </references>
      </pivotArea>
    </format>
    <format dxfId="2877">
      <pivotArea dataOnly="0" labelOnly="1" grandCol="1" outline="0" fieldPosition="0"/>
    </format>
    <format dxfId="2876">
      <pivotArea type="all" dataOnly="0" outline="0" fieldPosition="0"/>
    </format>
    <format dxfId="2875">
      <pivotArea outline="0" collapsedLevelsAreSubtotals="1" fieldPosition="0"/>
    </format>
    <format dxfId="2874">
      <pivotArea type="origin" dataOnly="0" labelOnly="1" outline="0" fieldPosition="0"/>
    </format>
    <format dxfId="2873">
      <pivotArea field="19" type="button" dataOnly="0" labelOnly="1" outline="0" axis="axisCol" fieldPosition="0"/>
    </format>
    <format dxfId="2872">
      <pivotArea type="topRight" dataOnly="0" labelOnly="1" outline="0" fieldPosition="0"/>
    </format>
    <format dxfId="2871">
      <pivotArea field="14" type="button" dataOnly="0" labelOnly="1" outline="0" axis="axisRow" fieldPosition="0"/>
    </format>
    <format dxfId="2870">
      <pivotArea dataOnly="0" labelOnly="1" fieldPosition="0">
        <references count="1">
          <reference field="14" count="0"/>
        </references>
      </pivotArea>
    </format>
    <format dxfId="2869">
      <pivotArea dataOnly="0" labelOnly="1" grandRow="1" outline="0" fieldPosition="0"/>
    </format>
    <format dxfId="2868">
      <pivotArea dataOnly="0" labelOnly="1" fieldPosition="0">
        <references count="1">
          <reference field="19" count="0"/>
        </references>
      </pivotArea>
    </format>
    <format dxfId="2867">
      <pivotArea dataOnly="0" labelOnly="1" grandCol="1" outline="0" fieldPosition="0"/>
    </format>
    <format dxfId="2866">
      <pivotArea outline="0" collapsedLevelsAreSubtotals="1" fieldPosition="0"/>
    </format>
    <format dxfId="2865">
      <pivotArea dataOnly="0" labelOnly="1" fieldPosition="0">
        <references count="1">
          <reference field="14" count="0"/>
        </references>
      </pivotArea>
    </format>
    <format dxfId="2864">
      <pivotArea dataOnly="0" labelOnly="1" grandRow="1" outline="0" fieldPosition="0"/>
    </format>
    <format dxfId="2863">
      <pivotArea dataOnly="0" labelOnly="1" fieldPosition="0">
        <references count="1">
          <reference field="19" count="0"/>
        </references>
      </pivotArea>
    </format>
    <format dxfId="2862">
      <pivotArea dataOnly="0" labelOnly="1" grandCol="1" outline="0" fieldPosition="0"/>
    </format>
    <format dxfId="2861">
      <pivotArea field="14" type="button" dataOnly="0" labelOnly="1" outline="0" axis="axisRow" fieldPosition="0"/>
    </format>
    <format dxfId="2860">
      <pivotArea dataOnly="0" labelOnly="1" fieldPosition="0">
        <references count="1">
          <reference field="19" count="0"/>
        </references>
      </pivotArea>
    </format>
    <format dxfId="2859">
      <pivotArea dataOnly="0" labelOnly="1" grandCol="1" outline="0" fieldPosition="0"/>
    </format>
    <format dxfId="2858">
      <pivotArea type="all" dataOnly="0" outline="0" fieldPosition="0"/>
    </format>
    <format dxfId="2857">
      <pivotArea outline="0" collapsedLevelsAreSubtotals="1" fieldPosition="0"/>
    </format>
    <format dxfId="2856">
      <pivotArea type="origin" dataOnly="0" labelOnly="1" outline="0" fieldPosition="0"/>
    </format>
    <format dxfId="2855">
      <pivotArea field="19" type="button" dataOnly="0" labelOnly="1" outline="0" axis="axisCol" fieldPosition="0"/>
    </format>
    <format dxfId="2854">
      <pivotArea type="topRight" dataOnly="0" labelOnly="1" outline="0" fieldPosition="0"/>
    </format>
    <format dxfId="2853">
      <pivotArea field="14" type="button" dataOnly="0" labelOnly="1" outline="0" axis="axisRow" fieldPosition="0"/>
    </format>
    <format dxfId="2852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2851">
      <pivotArea dataOnly="0" labelOnly="1" grandRow="1" outline="0" fieldPosition="0"/>
    </format>
    <format dxfId="2850">
      <pivotArea dataOnly="0" labelOnly="1" fieldPosition="0">
        <references count="1">
          <reference field="19" count="0"/>
        </references>
      </pivotArea>
    </format>
    <format dxfId="284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71FB95-EC65-4B46-B0B7-22ACE7698DBD}" name="TablaDinámica4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7:M44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2964">
      <pivotArea type="all" dataOnly="0" outline="0" fieldPosition="0"/>
    </format>
    <format dxfId="2963">
      <pivotArea outline="0" collapsedLevelsAreSubtotals="1" fieldPosition="0"/>
    </format>
    <format dxfId="2962">
      <pivotArea type="origin" dataOnly="0" labelOnly="1" outline="0" fieldPosition="0"/>
    </format>
    <format dxfId="2961">
      <pivotArea field="19" type="button" dataOnly="0" labelOnly="1" outline="0" axis="axisCol" fieldPosition="0"/>
    </format>
    <format dxfId="2960">
      <pivotArea type="topRight" dataOnly="0" labelOnly="1" outline="0" fieldPosition="0"/>
    </format>
    <format dxfId="2959">
      <pivotArea field="14" type="button" dataOnly="0" labelOnly="1" outline="0" axis="axisRow" fieldPosition="0"/>
    </format>
    <format dxfId="2958">
      <pivotArea dataOnly="0" labelOnly="1" fieldPosition="0">
        <references count="1">
          <reference field="14" count="0"/>
        </references>
      </pivotArea>
    </format>
    <format dxfId="2957">
      <pivotArea dataOnly="0" labelOnly="1" grandRow="1" outline="0" fieldPosition="0"/>
    </format>
    <format dxfId="2956">
      <pivotArea dataOnly="0" labelOnly="1" fieldPosition="0">
        <references count="1">
          <reference field="19" count="0"/>
        </references>
      </pivotArea>
    </format>
    <format dxfId="2955">
      <pivotArea dataOnly="0" labelOnly="1" grandCol="1" outline="0" fieldPosition="0"/>
    </format>
    <format dxfId="2954">
      <pivotArea type="all" dataOnly="0" outline="0" fieldPosition="0"/>
    </format>
    <format dxfId="2953">
      <pivotArea outline="0" collapsedLevelsAreSubtotals="1" fieldPosition="0"/>
    </format>
    <format dxfId="2952">
      <pivotArea type="origin" dataOnly="0" labelOnly="1" outline="0" fieldPosition="0"/>
    </format>
    <format dxfId="2951">
      <pivotArea field="19" type="button" dataOnly="0" labelOnly="1" outline="0" axis="axisCol" fieldPosition="0"/>
    </format>
    <format dxfId="2950">
      <pivotArea type="topRight" dataOnly="0" labelOnly="1" outline="0" fieldPosition="0"/>
    </format>
    <format dxfId="2949">
      <pivotArea field="14" type="button" dataOnly="0" labelOnly="1" outline="0" axis="axisRow" fieldPosition="0"/>
    </format>
    <format dxfId="2948">
      <pivotArea dataOnly="0" labelOnly="1" fieldPosition="0">
        <references count="1">
          <reference field="14" count="0"/>
        </references>
      </pivotArea>
    </format>
    <format dxfId="2947">
      <pivotArea dataOnly="0" labelOnly="1" grandRow="1" outline="0" fieldPosition="0"/>
    </format>
    <format dxfId="2946">
      <pivotArea dataOnly="0" labelOnly="1" fieldPosition="0">
        <references count="1">
          <reference field="19" count="0"/>
        </references>
      </pivotArea>
    </format>
    <format dxfId="2945">
      <pivotArea dataOnly="0" labelOnly="1" grandCol="1" outline="0" fieldPosition="0"/>
    </format>
    <format dxfId="2944">
      <pivotArea type="all" dataOnly="0" outline="0" fieldPosition="0"/>
    </format>
    <format dxfId="2943">
      <pivotArea outline="0" collapsedLevelsAreSubtotals="1" fieldPosition="0"/>
    </format>
    <format dxfId="2942">
      <pivotArea type="origin" dataOnly="0" labelOnly="1" outline="0" fieldPosition="0"/>
    </format>
    <format dxfId="2941">
      <pivotArea field="19" type="button" dataOnly="0" labelOnly="1" outline="0" axis="axisCol" fieldPosition="0"/>
    </format>
    <format dxfId="2940">
      <pivotArea type="topRight" dataOnly="0" labelOnly="1" outline="0" fieldPosition="0"/>
    </format>
    <format dxfId="2939">
      <pivotArea field="14" type="button" dataOnly="0" labelOnly="1" outline="0" axis="axisRow" fieldPosition="0"/>
    </format>
    <format dxfId="2938">
      <pivotArea dataOnly="0" labelOnly="1" fieldPosition="0">
        <references count="1">
          <reference field="14" count="0"/>
        </references>
      </pivotArea>
    </format>
    <format dxfId="2937">
      <pivotArea dataOnly="0" labelOnly="1" grandRow="1" outline="0" fieldPosition="0"/>
    </format>
    <format dxfId="2936">
      <pivotArea dataOnly="0" labelOnly="1" fieldPosition="0">
        <references count="1">
          <reference field="19" count="0"/>
        </references>
      </pivotArea>
    </format>
    <format dxfId="2935">
      <pivotArea dataOnly="0" labelOnly="1" grandCol="1" outline="0" fieldPosition="0"/>
    </format>
    <format dxfId="2934">
      <pivotArea type="all" dataOnly="0" outline="0" fieldPosition="0"/>
    </format>
    <format dxfId="2933">
      <pivotArea outline="0" collapsedLevelsAreSubtotals="1" fieldPosition="0"/>
    </format>
    <format dxfId="2932">
      <pivotArea type="origin" dataOnly="0" labelOnly="1" outline="0" fieldPosition="0"/>
    </format>
    <format dxfId="2931">
      <pivotArea field="19" type="button" dataOnly="0" labelOnly="1" outline="0" axis="axisCol" fieldPosition="0"/>
    </format>
    <format dxfId="2930">
      <pivotArea type="topRight" dataOnly="0" labelOnly="1" outline="0" fieldPosition="0"/>
    </format>
    <format dxfId="2929">
      <pivotArea field="14" type="button" dataOnly="0" labelOnly="1" outline="0" axis="axisRow" fieldPosition="0"/>
    </format>
    <format dxfId="2928">
      <pivotArea dataOnly="0" labelOnly="1" fieldPosition="0">
        <references count="1">
          <reference field="14" count="0"/>
        </references>
      </pivotArea>
    </format>
    <format dxfId="2927">
      <pivotArea dataOnly="0" labelOnly="1" grandRow="1" outline="0" fieldPosition="0"/>
    </format>
    <format dxfId="2926">
      <pivotArea dataOnly="0" labelOnly="1" fieldPosition="0">
        <references count="1">
          <reference field="19" count="0"/>
        </references>
      </pivotArea>
    </format>
    <format dxfId="2925">
      <pivotArea dataOnly="0" labelOnly="1" grandCol="1" outline="0" fieldPosition="0"/>
    </format>
    <format dxfId="2924">
      <pivotArea outline="0" collapsedLevelsAreSubtotals="1" fieldPosition="0"/>
    </format>
    <format dxfId="2923">
      <pivotArea dataOnly="0" labelOnly="1" fieldPosition="0">
        <references count="1">
          <reference field="14" count="0"/>
        </references>
      </pivotArea>
    </format>
    <format dxfId="2922">
      <pivotArea dataOnly="0" labelOnly="1" grandRow="1" outline="0" fieldPosition="0"/>
    </format>
    <format dxfId="2921">
      <pivotArea dataOnly="0" labelOnly="1" fieldPosition="0">
        <references count="1">
          <reference field="19" count="0"/>
        </references>
      </pivotArea>
    </format>
    <format dxfId="2920">
      <pivotArea dataOnly="0" labelOnly="1" grandCol="1" outline="0" fieldPosition="0"/>
    </format>
    <format dxfId="2919">
      <pivotArea field="14" type="button" dataOnly="0" labelOnly="1" outline="0" axis="axisRow" fieldPosition="0"/>
    </format>
    <format dxfId="2918">
      <pivotArea dataOnly="0" labelOnly="1" fieldPosition="0">
        <references count="1">
          <reference field="19" count="0"/>
        </references>
      </pivotArea>
    </format>
    <format dxfId="2917">
      <pivotArea dataOnly="0" labelOnly="1" grandCol="1" outline="0" fieldPosition="0"/>
    </format>
    <format dxfId="2916">
      <pivotArea type="all" dataOnly="0" outline="0" fieldPosition="0"/>
    </format>
    <format dxfId="2915">
      <pivotArea outline="0" collapsedLevelsAreSubtotals="1" fieldPosition="0"/>
    </format>
    <format dxfId="2914">
      <pivotArea type="origin" dataOnly="0" labelOnly="1" outline="0" fieldPosition="0"/>
    </format>
    <format dxfId="2913">
      <pivotArea field="19" type="button" dataOnly="0" labelOnly="1" outline="0" axis="axisCol" fieldPosition="0"/>
    </format>
    <format dxfId="2912">
      <pivotArea type="topRight" dataOnly="0" labelOnly="1" outline="0" fieldPosition="0"/>
    </format>
    <format dxfId="2911">
      <pivotArea field="14" type="button" dataOnly="0" labelOnly="1" outline="0" axis="axisRow" fieldPosition="0"/>
    </format>
    <format dxfId="2910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2909">
      <pivotArea dataOnly="0" labelOnly="1" grandRow="1" outline="0" fieldPosition="0"/>
    </format>
    <format dxfId="2908">
      <pivotArea dataOnly="0" labelOnly="1" fieldPosition="0">
        <references count="1">
          <reference field="19" count="0"/>
        </references>
      </pivotArea>
    </format>
    <format dxfId="290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E63BFA-2685-4D5C-890C-7C8E1ABC19B5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h="1" x="0"/>
        <item h="1"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3022">
      <pivotArea type="all" dataOnly="0" outline="0" fieldPosition="0"/>
    </format>
    <format dxfId="3021">
      <pivotArea outline="0" collapsedLevelsAreSubtotals="1" fieldPosition="0"/>
    </format>
    <format dxfId="3020">
      <pivotArea type="origin" dataOnly="0" labelOnly="1" outline="0" fieldPosition="0"/>
    </format>
    <format dxfId="3019">
      <pivotArea field="19" type="button" dataOnly="0" labelOnly="1" outline="0" axis="axisCol" fieldPosition="0"/>
    </format>
    <format dxfId="3018">
      <pivotArea type="topRight" dataOnly="0" labelOnly="1" outline="0" fieldPosition="0"/>
    </format>
    <format dxfId="3017">
      <pivotArea field="14" type="button" dataOnly="0" labelOnly="1" outline="0" axis="axisRow" fieldPosition="0"/>
    </format>
    <format dxfId="3016">
      <pivotArea dataOnly="0" labelOnly="1" fieldPosition="0">
        <references count="1">
          <reference field="14" count="0"/>
        </references>
      </pivotArea>
    </format>
    <format dxfId="3015">
      <pivotArea dataOnly="0" labelOnly="1" grandRow="1" outline="0" fieldPosition="0"/>
    </format>
    <format dxfId="3014">
      <pivotArea dataOnly="0" labelOnly="1" fieldPosition="0">
        <references count="1">
          <reference field="19" count="0"/>
        </references>
      </pivotArea>
    </format>
    <format dxfId="3013">
      <pivotArea dataOnly="0" labelOnly="1" grandCol="1" outline="0" fieldPosition="0"/>
    </format>
    <format dxfId="3012">
      <pivotArea type="all" dataOnly="0" outline="0" fieldPosition="0"/>
    </format>
    <format dxfId="3011">
      <pivotArea outline="0" collapsedLevelsAreSubtotals="1" fieldPosition="0"/>
    </format>
    <format dxfId="3010">
      <pivotArea type="origin" dataOnly="0" labelOnly="1" outline="0" fieldPosition="0"/>
    </format>
    <format dxfId="3009">
      <pivotArea field="19" type="button" dataOnly="0" labelOnly="1" outline="0" axis="axisCol" fieldPosition="0"/>
    </format>
    <format dxfId="3008">
      <pivotArea type="topRight" dataOnly="0" labelOnly="1" outline="0" fieldPosition="0"/>
    </format>
    <format dxfId="3007">
      <pivotArea field="14" type="button" dataOnly="0" labelOnly="1" outline="0" axis="axisRow" fieldPosition="0"/>
    </format>
    <format dxfId="3006">
      <pivotArea dataOnly="0" labelOnly="1" fieldPosition="0">
        <references count="1">
          <reference field="14" count="0"/>
        </references>
      </pivotArea>
    </format>
    <format dxfId="3005">
      <pivotArea dataOnly="0" labelOnly="1" grandRow="1" outline="0" fieldPosition="0"/>
    </format>
    <format dxfId="3004">
      <pivotArea dataOnly="0" labelOnly="1" fieldPosition="0">
        <references count="1">
          <reference field="19" count="0"/>
        </references>
      </pivotArea>
    </format>
    <format dxfId="3003">
      <pivotArea dataOnly="0" labelOnly="1" grandCol="1" outline="0" fieldPosition="0"/>
    </format>
    <format dxfId="3002">
      <pivotArea type="all" dataOnly="0" outline="0" fieldPosition="0"/>
    </format>
    <format dxfId="3001">
      <pivotArea outline="0" collapsedLevelsAreSubtotals="1" fieldPosition="0"/>
    </format>
    <format dxfId="3000">
      <pivotArea type="origin" dataOnly="0" labelOnly="1" outline="0" fieldPosition="0"/>
    </format>
    <format dxfId="2999">
      <pivotArea field="19" type="button" dataOnly="0" labelOnly="1" outline="0" axis="axisCol" fieldPosition="0"/>
    </format>
    <format dxfId="2998">
      <pivotArea type="topRight" dataOnly="0" labelOnly="1" outline="0" fieldPosition="0"/>
    </format>
    <format dxfId="2997">
      <pivotArea field="14" type="button" dataOnly="0" labelOnly="1" outline="0" axis="axisRow" fieldPosition="0"/>
    </format>
    <format dxfId="2996">
      <pivotArea dataOnly="0" labelOnly="1" fieldPosition="0">
        <references count="1">
          <reference field="14" count="0"/>
        </references>
      </pivotArea>
    </format>
    <format dxfId="2995">
      <pivotArea dataOnly="0" labelOnly="1" grandRow="1" outline="0" fieldPosition="0"/>
    </format>
    <format dxfId="2994">
      <pivotArea dataOnly="0" labelOnly="1" fieldPosition="0">
        <references count="1">
          <reference field="19" count="0"/>
        </references>
      </pivotArea>
    </format>
    <format dxfId="2993">
      <pivotArea dataOnly="0" labelOnly="1" grandCol="1" outline="0" fieldPosition="0"/>
    </format>
    <format dxfId="2992">
      <pivotArea type="all" dataOnly="0" outline="0" fieldPosition="0"/>
    </format>
    <format dxfId="2991">
      <pivotArea outline="0" collapsedLevelsAreSubtotals="1" fieldPosition="0"/>
    </format>
    <format dxfId="2990">
      <pivotArea type="origin" dataOnly="0" labelOnly="1" outline="0" fieldPosition="0"/>
    </format>
    <format dxfId="2989">
      <pivotArea field="19" type="button" dataOnly="0" labelOnly="1" outline="0" axis="axisCol" fieldPosition="0"/>
    </format>
    <format dxfId="2988">
      <pivotArea type="topRight" dataOnly="0" labelOnly="1" outline="0" fieldPosition="0"/>
    </format>
    <format dxfId="2987">
      <pivotArea field="14" type="button" dataOnly="0" labelOnly="1" outline="0" axis="axisRow" fieldPosition="0"/>
    </format>
    <format dxfId="2986">
      <pivotArea dataOnly="0" labelOnly="1" fieldPosition="0">
        <references count="1">
          <reference field="14" count="0"/>
        </references>
      </pivotArea>
    </format>
    <format dxfId="2985">
      <pivotArea dataOnly="0" labelOnly="1" grandRow="1" outline="0" fieldPosition="0"/>
    </format>
    <format dxfId="2984">
      <pivotArea dataOnly="0" labelOnly="1" fieldPosition="0">
        <references count="1">
          <reference field="19" count="0"/>
        </references>
      </pivotArea>
    </format>
    <format dxfId="2983">
      <pivotArea dataOnly="0" labelOnly="1" grandCol="1" outline="0" fieldPosition="0"/>
    </format>
    <format dxfId="2982">
      <pivotArea outline="0" collapsedLevelsAreSubtotals="1" fieldPosition="0"/>
    </format>
    <format dxfId="2981">
      <pivotArea dataOnly="0" labelOnly="1" fieldPosition="0">
        <references count="1">
          <reference field="14" count="0"/>
        </references>
      </pivotArea>
    </format>
    <format dxfId="2980">
      <pivotArea dataOnly="0" labelOnly="1" grandRow="1" outline="0" fieldPosition="0"/>
    </format>
    <format dxfId="2979">
      <pivotArea dataOnly="0" labelOnly="1" fieldPosition="0">
        <references count="1">
          <reference field="19" count="0"/>
        </references>
      </pivotArea>
    </format>
    <format dxfId="2978">
      <pivotArea dataOnly="0" labelOnly="1" grandCol="1" outline="0" fieldPosition="0"/>
    </format>
    <format dxfId="2977">
      <pivotArea field="14" type="button" dataOnly="0" labelOnly="1" outline="0" axis="axisRow" fieldPosition="0"/>
    </format>
    <format dxfId="2976">
      <pivotArea dataOnly="0" labelOnly="1" fieldPosition="0">
        <references count="1">
          <reference field="19" count="0"/>
        </references>
      </pivotArea>
    </format>
    <format dxfId="2975">
      <pivotArea dataOnly="0" labelOnly="1" grandCol="1" outline="0" fieldPosition="0"/>
    </format>
    <format dxfId="2974">
      <pivotArea type="all" dataOnly="0" outline="0" fieldPosition="0"/>
    </format>
    <format dxfId="2973">
      <pivotArea outline="0" collapsedLevelsAreSubtotals="1" fieldPosition="0"/>
    </format>
    <format dxfId="2972">
      <pivotArea type="origin" dataOnly="0" labelOnly="1" outline="0" fieldPosition="0"/>
    </format>
    <format dxfId="2971">
      <pivotArea field="19" type="button" dataOnly="0" labelOnly="1" outline="0" axis="axisCol" fieldPosition="0"/>
    </format>
    <format dxfId="2970">
      <pivotArea type="topRight" dataOnly="0" labelOnly="1" outline="0" fieldPosition="0"/>
    </format>
    <format dxfId="2969">
      <pivotArea field="14" type="button" dataOnly="0" labelOnly="1" outline="0" axis="axisRow" fieldPosition="0"/>
    </format>
    <format dxfId="2968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2967">
      <pivotArea dataOnly="0" labelOnly="1" grandRow="1" outline="0" fieldPosition="0"/>
    </format>
    <format dxfId="2966">
      <pivotArea dataOnly="0" labelOnly="1" fieldPosition="0">
        <references count="1">
          <reference field="19" count="0"/>
        </references>
      </pivotArea>
    </format>
    <format dxfId="296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527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1682">
        <item x="0"/>
        <item m="1" x="1459"/>
        <item m="1" x="1294"/>
        <item x="644"/>
        <item m="1" x="1671"/>
        <item x="1"/>
        <item x="2"/>
        <item m="1" x="1233"/>
        <item x="3"/>
        <item x="4"/>
        <item x="661"/>
        <item m="1" x="1223"/>
        <item x="5"/>
        <item m="1" x="1227"/>
        <item x="549"/>
        <item x="6"/>
        <item x="873"/>
        <item x="7"/>
        <item x="8"/>
        <item x="654"/>
        <item x="9"/>
        <item x="10"/>
        <item m="1" x="1566"/>
        <item x="11"/>
        <item m="1" x="1070"/>
        <item x="996"/>
        <item x="12"/>
        <item x="544"/>
        <item x="874"/>
        <item x="729"/>
        <item x="13"/>
        <item x="14"/>
        <item m="1" x="1647"/>
        <item x="15"/>
        <item x="16"/>
        <item x="17"/>
        <item x="18"/>
        <item x="20"/>
        <item m="1" x="1381"/>
        <item x="19"/>
        <item x="625"/>
        <item x="21"/>
        <item x="998"/>
        <item m="1" x="1229"/>
        <item m="1" x="1541"/>
        <item x="24"/>
        <item m="1" x="1637"/>
        <item x="626"/>
        <item x="617"/>
        <item m="1" x="1375"/>
        <item m="1" x="1648"/>
        <item m="1" x="1137"/>
        <item x="22"/>
        <item m="1" x="1255"/>
        <item m="1" x="1127"/>
        <item m="1" x="1243"/>
        <item x="999"/>
        <item x="810"/>
        <item m="1" x="1067"/>
        <item x="23"/>
        <item m="1" x="1078"/>
        <item x="1000"/>
        <item x="31"/>
        <item x="856"/>
        <item x="875"/>
        <item x="25"/>
        <item x="876"/>
        <item m="1" x="1133"/>
        <item m="1" x="1639"/>
        <item x="26"/>
        <item x="27"/>
        <item m="1" x="1364"/>
        <item x="28"/>
        <item x="29"/>
        <item x="30"/>
        <item m="1" x="1640"/>
        <item x="34"/>
        <item m="1" x="1553"/>
        <item x="769"/>
        <item m="1" x="1397"/>
        <item x="790"/>
        <item m="1" x="1204"/>
        <item x="32"/>
        <item m="1" x="1334"/>
        <item x="877"/>
        <item x="33"/>
        <item x="35"/>
        <item x="898"/>
        <item x="770"/>
        <item m="1" x="1114"/>
        <item m="1" x="1429"/>
        <item x="713"/>
        <item x="36"/>
        <item x="37"/>
        <item m="1" x="1657"/>
        <item m="1" x="1021"/>
        <item m="1" x="1302"/>
        <item m="1" x="1085"/>
        <item x="38"/>
        <item x="39"/>
        <item m="1" x="1430"/>
        <item m="1" x="1184"/>
        <item x="633"/>
        <item m="1" x="1225"/>
        <item x="40"/>
        <item x="622"/>
        <item x="41"/>
        <item m="1" x="1409"/>
        <item x="42"/>
        <item m="1" x="1377"/>
        <item m="1" x="1436"/>
        <item x="43"/>
        <item m="1" x="1618"/>
        <item m="1" x="1405"/>
        <item x="1001"/>
        <item m="1" x="1261"/>
        <item x="627"/>
        <item x="44"/>
        <item x="53"/>
        <item x="505"/>
        <item x="45"/>
        <item m="1" x="1151"/>
        <item x="46"/>
        <item x="689"/>
        <item m="1" x="1417"/>
        <item x="47"/>
        <item m="1" x="1584"/>
        <item m="1" x="1101"/>
        <item x="890"/>
        <item x="668"/>
        <item x="48"/>
        <item m="1" x="1613"/>
        <item m="1" x="1330"/>
        <item x="49"/>
        <item m="1" x="1321"/>
        <item m="1" x="1658"/>
        <item m="1" x="1108"/>
        <item x="50"/>
        <item x="51"/>
        <item x="52"/>
        <item m="1" x="1439"/>
        <item x="785"/>
        <item m="1" x="1026"/>
        <item m="1" x="1588"/>
        <item m="1" x="1509"/>
        <item x="620"/>
        <item m="1" x="1675"/>
        <item m="1" x="1120"/>
        <item m="1" x="1132"/>
        <item m="1" x="1036"/>
        <item x="54"/>
        <item m="1" x="1042"/>
        <item m="1" x="1309"/>
        <item x="880"/>
        <item m="1" x="1421"/>
        <item m="1" x="1395"/>
        <item m="1" x="1080"/>
        <item x="55"/>
        <item m="1" x="1057"/>
        <item x="56"/>
        <item m="1" x="1492"/>
        <item m="1" x="1475"/>
        <item m="1" x="1466"/>
        <item m="1" x="1661"/>
        <item m="1" x="1272"/>
        <item m="1" x="1589"/>
        <item m="1" x="1533"/>
        <item x="815"/>
        <item x="923"/>
        <item x="704"/>
        <item m="1" x="1486"/>
        <item m="1" x="1424"/>
        <item m="1" x="1062"/>
        <item m="1" x="1585"/>
        <item m="1" x="1383"/>
        <item x="57"/>
        <item x="906"/>
        <item m="1" x="1219"/>
        <item x="854"/>
        <item m="1" x="1516"/>
        <item m="1" x="1480"/>
        <item m="1" x="1630"/>
        <item m="1" x="1412"/>
        <item m="1" x="1662"/>
        <item x="883"/>
        <item x="58"/>
        <item m="1" x="1089"/>
        <item x="884"/>
        <item x="669"/>
        <item x="717"/>
        <item x="885"/>
        <item x="59"/>
        <item m="1" x="1153"/>
        <item x="822"/>
        <item m="1" x="1638"/>
        <item x="60"/>
        <item x="61"/>
        <item x="68"/>
        <item m="1" x="1138"/>
        <item m="1" x="1267"/>
        <item x="62"/>
        <item m="1" x="1295"/>
        <item x="886"/>
        <item m="1" x="1081"/>
        <item x="63"/>
        <item x="64"/>
        <item x="793"/>
        <item m="1" x="1181"/>
        <item x="65"/>
        <item m="1" x="1380"/>
        <item m="1" x="1251"/>
        <item x="887"/>
        <item x="597"/>
        <item x="66"/>
        <item m="1" x="1299"/>
        <item m="1" x="1382"/>
        <item m="1" x="1023"/>
        <item x="954"/>
        <item x="67"/>
        <item x="69"/>
        <item x="70"/>
        <item x="888"/>
        <item x="71"/>
        <item x="765"/>
        <item x="889"/>
        <item m="1" x="1152"/>
        <item m="1" x="1315"/>
        <item m="1" x="1072"/>
        <item x="72"/>
        <item m="1" x="1212"/>
        <item x="550"/>
        <item m="1" x="1264"/>
        <item m="1" x="1652"/>
        <item x="616"/>
        <item m="1" x="1230"/>
        <item m="1" x="1249"/>
        <item x="804"/>
        <item x="73"/>
        <item m="1" x="1367"/>
        <item m="1" x="1277"/>
        <item x="499"/>
        <item x="74"/>
        <item m="1" x="1678"/>
        <item m="1" x="1275"/>
        <item x="853"/>
        <item x="75"/>
        <item x="76"/>
        <item m="1" x="1535"/>
        <item x="77"/>
        <item x="78"/>
        <item x="79"/>
        <item x="538"/>
        <item x="80"/>
        <item x="1002"/>
        <item x="90"/>
        <item x="863"/>
        <item m="1" x="1193"/>
        <item m="1" x="1039"/>
        <item x="596"/>
        <item m="1" x="1041"/>
        <item x="81"/>
        <item m="1" x="1161"/>
        <item x="893"/>
        <item x="802"/>
        <item x="557"/>
        <item m="1" x="1095"/>
        <item x="641"/>
        <item m="1" x="1328"/>
        <item m="1" x="1102"/>
        <item x="82"/>
        <item x="83"/>
        <item x="628"/>
        <item x="84"/>
        <item m="1" x="1485"/>
        <item x="824"/>
        <item m="1" x="1564"/>
        <item x="85"/>
        <item m="1" x="1316"/>
        <item x="86"/>
        <item m="1" x="1372"/>
        <item x="101"/>
        <item x="87"/>
        <item x="88"/>
        <item x="895"/>
        <item x="691"/>
        <item x="89"/>
        <item m="1" x="1342"/>
        <item m="1" x="1527"/>
        <item m="1" x="1096"/>
        <item x="896"/>
        <item x="897"/>
        <item m="1" x="1641"/>
        <item x="91"/>
        <item x="92"/>
        <item m="1" x="1325"/>
        <item x="93"/>
        <item m="1" x="1577"/>
        <item m="1" x="1115"/>
        <item x="94"/>
        <item x="593"/>
        <item m="1" x="1205"/>
        <item m="1" x="1345"/>
        <item x="95"/>
        <item m="1" x="1060"/>
        <item x="96"/>
        <item x="106"/>
        <item x="899"/>
        <item m="1" x="1379"/>
        <item m="1" x="1614"/>
        <item m="1" x="1241"/>
        <item m="1" x="1199"/>
        <item m="1" x="1361"/>
        <item x="563"/>
        <item x="868"/>
        <item x="747"/>
        <item m="1" x="1469"/>
        <item x="97"/>
        <item x="98"/>
        <item x="99"/>
        <item x="100"/>
        <item x="572"/>
        <item m="1" x="1180"/>
        <item x="659"/>
        <item x="649"/>
        <item x="900"/>
        <item m="1" x="1493"/>
        <item m="1" x="1046"/>
        <item m="1" x="1562"/>
        <item x="109"/>
        <item x="116"/>
        <item x="779"/>
        <item x="533"/>
        <item m="1" x="1099"/>
        <item x="102"/>
        <item m="1" x="1213"/>
        <item m="1" x="1091"/>
        <item x="860"/>
        <item m="1" x="1124"/>
        <item x="901"/>
        <item m="1" x="1346"/>
        <item x="1003"/>
        <item x="902"/>
        <item x="103"/>
        <item m="1" x="1593"/>
        <item x="104"/>
        <item m="1" x="1242"/>
        <item x="658"/>
        <item x="821"/>
        <item m="1" x="1594"/>
        <item x="105"/>
        <item x="903"/>
        <item x="123"/>
        <item x="126"/>
        <item x="588"/>
        <item m="1" x="1437"/>
        <item x="776"/>
        <item x="732"/>
        <item m="1" x="1644"/>
        <item m="1" x="1447"/>
        <item x="881"/>
        <item x="670"/>
        <item m="1" x="1170"/>
        <item x="904"/>
        <item x="107"/>
        <item x="108"/>
        <item x="587"/>
        <item x="110"/>
        <item x="111"/>
        <item x="855"/>
        <item x="750"/>
        <item x="112"/>
        <item x="113"/>
        <item x="114"/>
        <item x="535"/>
        <item x="115"/>
        <item m="1" x="1629"/>
        <item x="816"/>
        <item x="843"/>
        <item m="1" x="1597"/>
        <item x="127"/>
        <item m="1" x="1598"/>
        <item x="708"/>
        <item x="117"/>
        <item m="1" x="1265"/>
        <item m="1" x="1451"/>
        <item x="118"/>
        <item x="905"/>
        <item m="1" x="1348"/>
        <item x="119"/>
        <item x="120"/>
        <item x="629"/>
        <item m="1" x="1063"/>
        <item x="121"/>
        <item x="857"/>
        <item x="122"/>
        <item x="130"/>
        <item x="124"/>
        <item x="125"/>
        <item x="652"/>
        <item x="131"/>
        <item m="1" x="1165"/>
        <item x="141"/>
        <item m="1" x="1221"/>
        <item m="1" x="1083"/>
        <item m="1" x="1442"/>
        <item x="714"/>
        <item x="147"/>
        <item m="1" x="1098"/>
        <item m="1" x="1568"/>
        <item x="128"/>
        <item m="1" x="1440"/>
        <item x="129"/>
        <item x="830"/>
        <item x="148"/>
        <item x="132"/>
        <item x="909"/>
        <item x="133"/>
        <item x="134"/>
        <item x="135"/>
        <item m="1" x="1025"/>
        <item x="878"/>
        <item x="650"/>
        <item x="910"/>
        <item x="136"/>
        <item x="724"/>
        <item x="826"/>
        <item x="783"/>
        <item x="164"/>
        <item x="937"/>
        <item m="1" x="1263"/>
        <item x="867"/>
        <item m="1" x="1329"/>
        <item x="882"/>
        <item x="608"/>
        <item m="1" x="1207"/>
        <item m="1" x="1211"/>
        <item x="746"/>
        <item x="912"/>
        <item x="574"/>
        <item x="913"/>
        <item x="137"/>
        <item m="1" x="1053"/>
        <item m="1" x="1419"/>
        <item m="1" x="1476"/>
        <item x="138"/>
        <item x="731"/>
        <item m="1" x="1331"/>
        <item x="834"/>
        <item x="139"/>
        <item m="1" x="1082"/>
        <item x="914"/>
        <item m="1" x="1090"/>
        <item m="1" x="1460"/>
        <item x="140"/>
        <item x="171"/>
        <item x="175"/>
        <item x="827"/>
        <item m="1" x="1521"/>
        <item m="1" x="1561"/>
        <item x="142"/>
        <item x="143"/>
        <item x="792"/>
        <item x="915"/>
        <item x="916"/>
        <item m="1" x="1666"/>
        <item x="891"/>
        <item x="144"/>
        <item x="145"/>
        <item x="146"/>
        <item x="812"/>
        <item x="500"/>
        <item m="1" x="1633"/>
        <item x="149"/>
        <item m="1" x="1301"/>
        <item x="694"/>
        <item x="917"/>
        <item m="1" x="1237"/>
        <item x="918"/>
        <item m="1" x="1394"/>
        <item x="152"/>
        <item m="1" x="1587"/>
        <item x="154"/>
        <item x="748"/>
        <item x="919"/>
        <item x="150"/>
        <item m="1" x="1146"/>
        <item m="1" x="1396"/>
        <item x="760"/>
        <item x="151"/>
        <item x="849"/>
        <item x="156"/>
        <item x="157"/>
        <item x="158"/>
        <item x="159"/>
        <item x="165"/>
        <item x="166"/>
        <item m="1" x="1404"/>
        <item x="634"/>
        <item m="1" x="1468"/>
        <item x="153"/>
        <item x="478"/>
        <item x="920"/>
        <item x="645"/>
        <item m="1" x="1032"/>
        <item x="167"/>
        <item m="1" x="1035"/>
        <item x="155"/>
        <item x="169"/>
        <item x="170"/>
        <item m="1" x="1567"/>
        <item x="172"/>
        <item x="921"/>
        <item x="173"/>
        <item x="922"/>
        <item x="183"/>
        <item m="1" x="1388"/>
        <item x="184"/>
        <item x="1004"/>
        <item x="176"/>
        <item m="1" x="1280"/>
        <item x="671"/>
        <item x="178"/>
        <item x="179"/>
        <item m="1" x="1048"/>
        <item x="160"/>
        <item x="161"/>
        <item x="182"/>
        <item m="1" x="1378"/>
        <item x="908"/>
        <item x="864"/>
        <item m="1" x="1350"/>
        <item x="186"/>
        <item x="162"/>
        <item x="163"/>
        <item m="1" x="1210"/>
        <item x="187"/>
        <item m="1" x="1550"/>
        <item x="651"/>
        <item x="924"/>
        <item x="189"/>
        <item x="925"/>
        <item x="192"/>
        <item x="193"/>
        <item m="1" x="1236"/>
        <item m="1" x="1145"/>
        <item m="1" x="1549"/>
        <item m="1" x="1413"/>
        <item x="630"/>
        <item x="194"/>
        <item x="195"/>
        <item x="752"/>
        <item m="1" x="1024"/>
        <item x="631"/>
        <item x="993"/>
        <item x="168"/>
        <item x="801"/>
        <item m="1" x="1507"/>
        <item x="943"/>
        <item x="1005"/>
        <item m="1" x="1104"/>
        <item m="1" x="1167"/>
        <item m="1" x="1679"/>
        <item x="196"/>
        <item x="197"/>
        <item m="1" x="1385"/>
        <item x="198"/>
        <item x="997"/>
        <item m="1" x="1129"/>
        <item m="1" x="1583"/>
        <item m="1" x="1319"/>
        <item x="200"/>
        <item x="201"/>
        <item x="926"/>
        <item x="751"/>
        <item m="1" x="1177"/>
        <item x="203"/>
        <item x="637"/>
        <item x="174"/>
        <item m="1" x="1664"/>
        <item x="757"/>
        <item m="1" x="1187"/>
        <item m="1" x="1653"/>
        <item m="1" x="1491"/>
        <item x="204"/>
        <item x="206"/>
        <item m="1" x="1110"/>
        <item x="207"/>
        <item m="1" x="1244"/>
        <item x="819"/>
        <item m="1" x="1392"/>
        <item x="177"/>
        <item x="657"/>
        <item x="180"/>
        <item m="1" x="1092"/>
        <item m="1" x="1414"/>
        <item x="761"/>
        <item x="209"/>
        <item m="1" x="1034"/>
        <item x="211"/>
        <item m="1" x="1528"/>
        <item x="927"/>
        <item m="1" x="1642"/>
        <item x="212"/>
        <item x="181"/>
        <item x="214"/>
        <item x="546"/>
        <item m="1" x="1246"/>
        <item x="216"/>
        <item m="1" x="1190"/>
        <item x="744"/>
        <item x="215"/>
        <item x="583"/>
        <item x="663"/>
        <item x="185"/>
        <item x="217"/>
        <item x="218"/>
        <item x="928"/>
        <item x="219"/>
        <item x="632"/>
        <item m="1" x="1595"/>
        <item m="1" x="1100"/>
        <item x="929"/>
        <item m="1" x="1052"/>
        <item x="220"/>
        <item x="221"/>
        <item m="1" x="1163"/>
        <item m="1" x="1624"/>
        <item x="222"/>
        <item x="930"/>
        <item x="636"/>
        <item m="1" x="1670"/>
        <item x="223"/>
        <item x="224"/>
        <item x="188"/>
        <item m="1" x="1513"/>
        <item x="238"/>
        <item m="1" x="1284"/>
        <item x="931"/>
        <item x="808"/>
        <item x="225"/>
        <item m="1" x="1087"/>
        <item x="797"/>
        <item x="190"/>
        <item x="580"/>
        <item m="1" x="1471"/>
        <item x="226"/>
        <item x="191"/>
        <item x="227"/>
        <item m="1" x="1529"/>
        <item x="771"/>
        <item m="1" x="1139"/>
        <item m="1" x="1117"/>
        <item x="228"/>
        <item m="1" x="1121"/>
        <item x="230"/>
        <item m="1" x="1576"/>
        <item x="682"/>
        <item m="1" x="1335"/>
        <item x="233"/>
        <item m="1" x="1308"/>
        <item x="234"/>
        <item m="1" x="1494"/>
        <item x="932"/>
        <item m="1" x="1296"/>
        <item x="646"/>
        <item m="1" x="1279"/>
        <item m="1" x="1307"/>
        <item m="1" x="1360"/>
        <item x="851"/>
        <item x="235"/>
        <item x="236"/>
        <item x="559"/>
        <item x="933"/>
        <item m="1" x="1631"/>
        <item x="237"/>
        <item x="239"/>
        <item x="735"/>
        <item x="662"/>
        <item x="199"/>
        <item x="240"/>
        <item m="1" x="1076"/>
        <item x="241"/>
        <item x="242"/>
        <item x="243"/>
        <item x="202"/>
        <item x="244"/>
        <item x="676"/>
        <item x="934"/>
        <item x="245"/>
        <item x="846"/>
        <item m="1" x="1423"/>
        <item x="372"/>
        <item m="1" x="1402"/>
        <item x="528"/>
        <item x="496"/>
        <item m="1" x="1320"/>
        <item x="935"/>
        <item x="1006"/>
        <item m="1" x="1607"/>
        <item m="1" x="1673"/>
        <item m="1" x="1355"/>
        <item x="399"/>
        <item m="1" x="1547"/>
        <item m="1" x="1196"/>
        <item x="338"/>
        <item x="205"/>
        <item x="444"/>
        <item m="1" x="1282"/>
        <item x="936"/>
        <item x="475"/>
        <item m="1" x="1674"/>
        <item x="554"/>
        <item m="1" x="1109"/>
        <item m="1" x="1358"/>
        <item m="1" x="1141"/>
        <item x="737"/>
        <item x="675"/>
        <item x="551"/>
        <item x="325"/>
        <item m="1" x="1546"/>
        <item x="938"/>
        <item x="578"/>
        <item m="1" x="1203"/>
        <item x="498"/>
        <item x="517"/>
        <item m="1" x="1105"/>
        <item x="208"/>
        <item x="480"/>
        <item x="249"/>
        <item x="386"/>
        <item m="1" x="1069"/>
        <item x="598"/>
        <item x="777"/>
        <item x="825"/>
        <item m="1" x="1088"/>
        <item m="1" x="1290"/>
        <item m="1" x="1079"/>
        <item x="539"/>
        <item x="695"/>
        <item x="719"/>
        <item m="1" x="1175"/>
        <item m="1" x="1357"/>
        <item m="1" x="1228"/>
        <item x="589"/>
        <item m="1" x="1310"/>
        <item x="727"/>
        <item m="1" x="1453"/>
        <item x="817"/>
        <item x="210"/>
        <item m="1" x="1534"/>
        <item x="953"/>
        <item x="213"/>
        <item m="1" x="1020"/>
        <item x="531"/>
        <item m="1" x="1387"/>
        <item m="1" x="1158"/>
        <item x="488"/>
        <item m="1" x="1406"/>
        <item x="379"/>
        <item m="1" x="1539"/>
        <item m="1" x="1452"/>
        <item x="286"/>
        <item x="603"/>
        <item x="442"/>
        <item x="575"/>
        <item m="1" x="1208"/>
        <item x="448"/>
        <item x="939"/>
        <item x="497"/>
        <item x="481"/>
        <item x="282"/>
        <item x="721"/>
        <item x="396"/>
        <item x="522"/>
        <item m="1" x="1416"/>
        <item m="1" x="1545"/>
        <item m="1" x="1391"/>
        <item m="1" x="1548"/>
        <item m="1" x="1304"/>
        <item x="229"/>
        <item x="445"/>
        <item m="1" x="1487"/>
        <item x="599"/>
        <item x="705"/>
        <item m="1" x="1268"/>
        <item x="585"/>
        <item x="506"/>
        <item x="231"/>
        <item x="615"/>
        <item x="504"/>
        <item m="1" x="1461"/>
        <item x="762"/>
        <item x="369"/>
        <item m="1" x="1278"/>
        <item x="390"/>
        <item x="940"/>
        <item m="1" x="1103"/>
        <item x="232"/>
        <item x="472"/>
        <item m="1" x="1473"/>
        <item x="261"/>
        <item x="276"/>
        <item x="660"/>
        <item m="1" x="1636"/>
        <item m="1" x="1344"/>
        <item x="299"/>
        <item m="1" x="1338"/>
        <item x="607"/>
        <item x="1007"/>
        <item x="560"/>
        <item m="1" x="1371"/>
        <item x="869"/>
        <item x="610"/>
        <item x="680"/>
        <item m="1" x="1318"/>
        <item x="1008"/>
        <item x="1009"/>
        <item m="1" x="1362"/>
        <item x="246"/>
        <item m="1" x="1332"/>
        <item x="247"/>
        <item x="795"/>
        <item m="1" x="1586"/>
        <item m="1" x="1449"/>
        <item x="872"/>
        <item m="1" x="1030"/>
        <item m="1" x="1373"/>
        <item m="1" x="1305"/>
        <item x="716"/>
        <item x="841"/>
        <item m="1" x="1462"/>
        <item m="1" x="1155"/>
        <item x="944"/>
        <item x="482"/>
        <item m="1" x="1645"/>
        <item x="605"/>
        <item x="250"/>
        <item x="945"/>
        <item x="251"/>
        <item m="1" x="1327"/>
        <item x="573"/>
        <item x="253"/>
        <item m="1" x="1610"/>
        <item m="1" x="1112"/>
        <item x="947"/>
        <item x="408"/>
        <item x="990"/>
        <item x="722"/>
        <item x="330"/>
        <item x="715"/>
        <item x="327"/>
        <item x="949"/>
        <item x="950"/>
        <item x="256"/>
        <item m="1" x="1407"/>
        <item x="774"/>
        <item m="1" x="1047"/>
        <item x="297"/>
        <item x="678"/>
        <item x="483"/>
        <item x="503"/>
        <item x="345"/>
        <item x="688"/>
        <item x="734"/>
        <item x="664"/>
        <item x="794"/>
        <item m="1" x="1632"/>
        <item m="1" x="1542"/>
        <item x="951"/>
        <item x="484"/>
        <item x="328"/>
        <item x="992"/>
        <item m="1" x="1086"/>
        <item x="665"/>
        <item x="491"/>
        <item m="1" x="1665"/>
        <item m="1" x="1147"/>
        <item x="1010"/>
        <item x="879"/>
        <item m="1" x="1045"/>
        <item x="474"/>
        <item x="262"/>
        <item m="1" x="1590"/>
        <item x="736"/>
        <item m="1" x="1512"/>
        <item m="1" x="1323"/>
        <item m="1" x="1303"/>
        <item x="263"/>
        <item m="1" x="1179"/>
        <item x="255"/>
        <item x="594"/>
        <item x="368"/>
        <item x="336"/>
        <item m="1" x="1126"/>
        <item x="565"/>
        <item m="1" x="1497"/>
        <item x="796"/>
        <item x="602"/>
        <item m="1" x="1601"/>
        <item x="509"/>
        <item x="355"/>
        <item m="1" x="1201"/>
        <item x="685"/>
        <item m="1" x="1571"/>
        <item x="677"/>
        <item x="788"/>
        <item x="778"/>
        <item m="1" x="1054"/>
        <item x="666"/>
        <item m="1" x="1311"/>
        <item m="1" x="1029"/>
        <item x="312"/>
        <item m="1" x="1498"/>
        <item m="1" x="1111"/>
        <item x="613"/>
        <item m="1" x="1369"/>
        <item m="1" x="1022"/>
        <item m="1" x="1077"/>
        <item m="1" x="1186"/>
        <item m="1" x="1579"/>
        <item x="1011"/>
        <item x="956"/>
        <item m="1" x="1172"/>
        <item x="1012"/>
        <item m="1" x="1635"/>
        <item m="1" x="1028"/>
        <item x="412"/>
        <item m="1" x="1599"/>
        <item m="1" x="1663"/>
        <item x="271"/>
        <item x="740"/>
        <item x="780"/>
        <item x="398"/>
        <item m="1" x="1131"/>
        <item m="1" x="1169"/>
        <item x="285"/>
        <item m="1" x="1220"/>
        <item x="829"/>
        <item m="1" x="1621"/>
        <item x="315"/>
        <item x="287"/>
        <item x="400"/>
        <item m="1" x="1408"/>
        <item m="1" x="1363"/>
        <item x="957"/>
        <item x="667"/>
        <item x="439"/>
        <item x="273"/>
        <item x="529"/>
        <item x="782"/>
        <item x="786"/>
        <item m="1" x="1164"/>
        <item x="768"/>
        <item m="1" x="1596"/>
        <item x="430"/>
        <item x="958"/>
        <item m="1" x="1667"/>
        <item m="1" x="1119"/>
        <item m="1" x="1463"/>
        <item x="370"/>
        <item m="1" x="1646"/>
        <item m="1" x="1427"/>
        <item x="703"/>
        <item m="1" x="1215"/>
        <item x="959"/>
        <item x="643"/>
        <item x="946"/>
        <item m="1" x="1399"/>
        <item x="374"/>
        <item x="960"/>
        <item m="1" x="1259"/>
        <item m="1" x="1511"/>
        <item x="291"/>
        <item x="738"/>
        <item m="1" x="1432"/>
        <item x="742"/>
        <item x="798"/>
        <item x="375"/>
        <item m="1" x="1113"/>
        <item x="961"/>
        <item x="672"/>
        <item x="384"/>
        <item m="1" x="1366"/>
        <item m="1" x="1617"/>
        <item x="266"/>
        <item m="1" x="1224"/>
        <item x="260"/>
        <item x="409"/>
        <item m="1" x="1061"/>
        <item x="402"/>
        <item x="962"/>
        <item m="1" x="1176"/>
        <item x="296"/>
        <item m="1" x="1552"/>
        <item x="1013"/>
        <item x="248"/>
        <item m="1" x="1214"/>
        <item x="298"/>
        <item x="281"/>
        <item m="1" x="1317"/>
        <item m="1" x="1572"/>
        <item x="806"/>
        <item m="1" x="1150"/>
        <item m="1" x="1343"/>
        <item x="730"/>
        <item m="1" x="1668"/>
        <item x="965"/>
        <item x="700"/>
        <item m="1" x="1206"/>
        <item m="1" x="1443"/>
        <item m="1" x="1616"/>
        <item m="1" x="1256"/>
        <item x="537"/>
        <item x="393"/>
        <item x="942"/>
        <item m="1" x="1445"/>
        <item x="963"/>
        <item m="1" x="1142"/>
        <item x="814"/>
        <item x="378"/>
        <item m="1" x="1398"/>
        <item x="377"/>
        <item m="1" x="1084"/>
        <item x="673"/>
        <item x="302"/>
        <item x="303"/>
        <item m="1" x="1368"/>
        <item m="1" x="1591"/>
        <item x="304"/>
        <item x="417"/>
        <item m="1" x="1503"/>
        <item m="1" x="1198"/>
        <item x="693"/>
        <item m="1" x="1094"/>
        <item m="1" x="1611"/>
        <item x="964"/>
        <item m="1" x="1159"/>
        <item x="838"/>
        <item m="1" x="1428"/>
        <item x="836"/>
        <item m="1" x="1232"/>
        <item x="486"/>
        <item m="1" x="1457"/>
        <item m="1" x="1037"/>
        <item x="756"/>
        <item m="1" x="1106"/>
        <item x="305"/>
        <item m="1" x="1556"/>
        <item x="268"/>
        <item x="638"/>
        <item m="1" x="1266"/>
        <item m="1" x="1245"/>
        <item m="1" x="1262"/>
        <item x="306"/>
        <item m="1" x="1166"/>
        <item m="1" x="1415"/>
        <item x="307"/>
        <item x="359"/>
        <item x="367"/>
        <item x="308"/>
        <item x="966"/>
        <item x="556"/>
        <item x="290"/>
        <item x="865"/>
        <item x="362"/>
        <item m="1" x="1446"/>
        <item m="1" x="1573"/>
        <item x="413"/>
        <item x="755"/>
        <item m="1" x="1055"/>
        <item m="1" x="1563"/>
        <item m="1" x="1273"/>
        <item x="858"/>
        <item x="389"/>
        <item x="773"/>
        <item m="1" x="1370"/>
        <item x="803"/>
        <item m="1" x="1454"/>
        <item x="1014"/>
        <item m="1" x="1157"/>
        <item m="1" x="1058"/>
        <item x="571"/>
        <item m="1" x="1502"/>
        <item x="450"/>
        <item x="394"/>
        <item x="759"/>
        <item x="745"/>
        <item x="258"/>
        <item m="1" x="1333"/>
        <item x="758"/>
        <item m="1" x="1248"/>
        <item x="591"/>
        <item x="859"/>
        <item x="436"/>
        <item x="395"/>
        <item m="1" x="1222"/>
        <item x="624"/>
        <item m="1" x="1226"/>
        <item x="579"/>
        <item m="1" x="1506"/>
        <item m="1" x="1605"/>
        <item x="577"/>
        <item x="314"/>
        <item m="1" x="1659"/>
        <item x="968"/>
        <item m="1" x="1038"/>
        <item x="967"/>
        <item m="1" x="1465"/>
        <item x="681"/>
        <item m="1" x="1627"/>
        <item m="1" x="1570"/>
        <item m="1" x="1582"/>
        <item m="1" x="1626"/>
        <item x="387"/>
        <item x="639"/>
        <item x="828"/>
        <item x="380"/>
        <item m="1" x="1287"/>
        <item x="340"/>
        <item m="1" x="1483"/>
        <item x="357"/>
        <item m="1" x="1472"/>
        <item m="1" x="1064"/>
        <item m="1" x="1612"/>
        <item m="1" x="1182"/>
        <item m="1" x="1298"/>
        <item x="656"/>
        <item m="1" x="1619"/>
        <item x="508"/>
        <item x="511"/>
        <item x="969"/>
        <item x="784"/>
        <item x="495"/>
        <item x="421"/>
        <item m="1" x="1185"/>
        <item m="1" x="1324"/>
        <item x="553"/>
        <item x="530"/>
        <item x="383"/>
        <item m="1" x="1592"/>
        <item m="1" x="1291"/>
        <item m="1" x="1418"/>
        <item x="820"/>
        <item m="1" x="1274"/>
        <item x="970"/>
        <item x="320"/>
        <item m="1" x="1239"/>
        <item m="1" x="1526"/>
        <item x="335"/>
        <item m="1" x="1326"/>
        <item x="318"/>
        <item x="907"/>
        <item m="1" x="1293"/>
        <item m="1" x="1365"/>
        <item m="1" x="1517"/>
        <item x="911"/>
        <item x="516"/>
        <item x="971"/>
        <item x="469"/>
        <item x="527"/>
        <item x="972"/>
        <item x="415"/>
        <item m="1" x="1351"/>
        <item x="833"/>
        <item x="743"/>
        <item x="418"/>
        <item m="1" x="1033"/>
        <item m="1" x="1068"/>
        <item x="973"/>
        <item m="1" x="1538"/>
        <item x="443"/>
        <item x="433"/>
        <item m="1" x="1125"/>
        <item x="329"/>
        <item m="1" x="1555"/>
        <item m="1" x="1238"/>
        <item x="647"/>
        <item x="419"/>
        <item m="1" x="1504"/>
        <item m="1" x="1044"/>
        <item m="1" x="1654"/>
        <item m="1" x="1148"/>
        <item m="1" x="1240"/>
        <item m="1" x="1050"/>
        <item m="1" x="1174"/>
        <item m="1" x="1522"/>
        <item m="1" x="1523"/>
        <item m="1" x="1354"/>
        <item x="492"/>
        <item x="974"/>
        <item x="349"/>
        <item x="561"/>
        <item m="1" x="1130"/>
        <item m="1" x="1258"/>
        <item x="799"/>
        <item x="837"/>
        <item m="1" x="1615"/>
        <item x="845"/>
        <item m="1" x="1154"/>
        <item x="416"/>
        <item x="684"/>
        <item x="871"/>
        <item m="1" x="1257"/>
        <item m="1" x="1680"/>
        <item x="1015"/>
        <item x="341"/>
        <item x="485"/>
        <item m="1" x="1425"/>
        <item x="331"/>
        <item m="1" x="1499"/>
        <item m="1" x="1188"/>
        <item x="1016"/>
        <item m="1" x="1606"/>
        <item x="811"/>
        <item m="1" x="1643"/>
        <item m="1" x="1489"/>
        <item m="1" x="1051"/>
        <item m="1" x="1183"/>
        <item x="839"/>
        <item x="823"/>
        <item m="1" x="1136"/>
        <item x="686"/>
        <item m="1" x="1271"/>
        <item x="592"/>
        <item x="455"/>
        <item x="332"/>
        <item m="1" x="1501"/>
        <item x="333"/>
        <item m="1" x="1536"/>
        <item x="342"/>
        <item m="1" x="1581"/>
        <item m="1" x="1376"/>
        <item x="894"/>
        <item m="1" x="1525"/>
        <item m="1" x="1677"/>
        <item x="321"/>
        <item x="976"/>
        <item x="542"/>
        <item m="1" x="1107"/>
        <item x="456"/>
        <item x="494"/>
        <item m="1" x="1389"/>
        <item m="1" x="1314"/>
        <item m="1" x="1168"/>
        <item x="567"/>
        <item m="1" x="1537"/>
        <item x="581"/>
        <item x="832"/>
        <item m="1" x="1075"/>
        <item x="977"/>
        <item x="978"/>
        <item m="1" x="1340"/>
        <item m="1" x="1260"/>
        <item m="1" x="1178"/>
        <item x="800"/>
        <item m="1" x="1669"/>
        <item x="457"/>
        <item x="334"/>
        <item m="1" x="1477"/>
        <item m="1" x="1558"/>
        <item m="1" x="1514"/>
        <item x="458"/>
        <item x="454"/>
        <item x="948"/>
        <item m="1" x="1218"/>
        <item x="979"/>
        <item m="1" x="1467"/>
        <item x="674"/>
        <item m="1" x="1231"/>
        <item m="1" x="1435"/>
        <item x="566"/>
        <item x="512"/>
        <item x="764"/>
        <item x="582"/>
        <item m="1" x="1140"/>
        <item x="733"/>
        <item m="1" x="1312"/>
        <item m="1" x="1634"/>
        <item m="1" x="1464"/>
        <item m="1" x="1600"/>
        <item m="1" x="1337"/>
        <item m="1" x="1040"/>
        <item x="344"/>
        <item m="1" x="1540"/>
        <item x="980"/>
        <item x="981"/>
        <item x="711"/>
        <item m="1" x="1575"/>
        <item m="1" x="1441"/>
        <item m="1" x="1622"/>
        <item x="809"/>
        <item m="1" x="1235"/>
        <item m="1" x="1649"/>
        <item x="313"/>
        <item x="982"/>
        <item m="1" x="1578"/>
        <item m="1" x="1560"/>
        <item x="687"/>
        <item m="1" x="1530"/>
        <item x="690"/>
        <item x="343"/>
        <item x="275"/>
        <item x="545"/>
        <item x="257"/>
        <item m="1" x="1655"/>
        <item m="1" x="1216"/>
        <item m="1" x="1458"/>
        <item x="319"/>
        <item x="818"/>
        <item m="1" x="1524"/>
        <item x="941"/>
        <item x="339"/>
        <item m="1" x="1202"/>
        <item m="1" x="1200"/>
        <item x="347"/>
        <item x="348"/>
        <item x="428"/>
        <item m="1" x="1339"/>
        <item x="861"/>
        <item m="1" x="1217"/>
        <item x="371"/>
        <item m="1" x="1623"/>
        <item m="1" x="1349"/>
        <item x="697"/>
        <item x="701"/>
        <item m="1" x="1628"/>
        <item m="1" x="1300"/>
        <item x="787"/>
        <item m="1" x="1197"/>
        <item x="842"/>
        <item m="1" x="1505"/>
        <item x="983"/>
        <item x="518"/>
        <item m="1" x="1384"/>
        <item x="540"/>
        <item x="352"/>
        <item m="1" x="1422"/>
        <item m="1" x="1336"/>
        <item x="679"/>
        <item x="363"/>
        <item m="1" x="1403"/>
        <item x="739"/>
        <item x="984"/>
        <item x="425"/>
        <item x="391"/>
        <item m="1" x="1426"/>
        <item x="718"/>
        <item m="1" x="1438"/>
        <item x="353"/>
        <item x="490"/>
        <item x="373"/>
        <item x="848"/>
        <item x="274"/>
        <item m="1" x="1559"/>
        <item x="288"/>
        <item x="422"/>
        <item m="1" x="1353"/>
        <item m="1" x="1565"/>
        <item m="1" x="1386"/>
        <item x="473"/>
        <item m="1" x="1508"/>
        <item x="741"/>
        <item m="1" x="1347"/>
        <item m="1" x="1043"/>
        <item m="1" x="1322"/>
        <item x="831"/>
        <item x="952"/>
        <item m="1" x="1495"/>
        <item x="460"/>
        <item x="835"/>
        <item x="985"/>
        <item m="1" x="1065"/>
        <item x="487"/>
        <item x="526"/>
        <item x="358"/>
        <item x="489"/>
        <item m="1" x="1625"/>
        <item m="1" x="1160"/>
        <item x="648"/>
        <item x="360"/>
        <item x="404"/>
        <item x="467"/>
        <item x="995"/>
        <item x="536"/>
        <item m="1" x="1269"/>
        <item m="1" x="1189"/>
        <item m="1" x="1470"/>
        <item m="1" x="1490"/>
        <item x="259"/>
        <item x="844"/>
        <item x="543"/>
        <item m="1" x="1031"/>
        <item x="514"/>
        <item m="1" x="1209"/>
        <item x="753"/>
        <item m="1" x="1390"/>
        <item x="568"/>
        <item m="1" x="1620"/>
        <item x="493"/>
        <item x="547"/>
        <item m="1" x="1171"/>
        <item m="1" x="1481"/>
        <item x="692"/>
        <item m="1" x="1254"/>
        <item x="532"/>
        <item x="366"/>
        <item x="356"/>
        <item x="270"/>
        <item x="986"/>
        <item x="696"/>
        <item m="1" x="1341"/>
        <item m="1" x="1434"/>
        <item m="1" x="1478"/>
        <item m="1" x="1411"/>
        <item m="1" x="1569"/>
        <item x="621"/>
        <item m="1" x="1531"/>
        <item x="401"/>
        <item x="698"/>
        <item x="987"/>
        <item x="310"/>
        <item x="284"/>
        <item x="279"/>
        <item m="1" x="1313"/>
        <item x="272"/>
        <item x="781"/>
        <item x="406"/>
        <item x="446"/>
        <item x="840"/>
        <item x="376"/>
        <item x="317"/>
        <item m="1" x="1393"/>
        <item x="988"/>
        <item x="283"/>
        <item x="709"/>
        <item m="1" x="1518"/>
        <item x="866"/>
        <item m="1" x="1071"/>
        <item x="955"/>
        <item m="1" x="1554"/>
        <item x="892"/>
        <item x="280"/>
        <item x="699"/>
        <item m="1" x="1066"/>
        <item x="619"/>
        <item x="459"/>
        <item x="766"/>
        <item x="772"/>
        <item m="1" x="1359"/>
        <item x="311"/>
        <item x="440"/>
        <item m="1" x="1283"/>
        <item x="614"/>
        <item x="623"/>
        <item x="813"/>
        <item x="382"/>
        <item x="558"/>
        <item x="562"/>
        <item x="385"/>
        <item x="278"/>
        <item x="989"/>
        <item x="479"/>
        <item x="267"/>
        <item m="1" x="1543"/>
        <item x="852"/>
        <item x="392"/>
        <item m="1" x="1482"/>
        <item x="754"/>
        <item x="600"/>
        <item x="252"/>
        <item x="397"/>
        <item x="513"/>
        <item x="775"/>
        <item m="1" x="1123"/>
        <item m="1" x="1276"/>
        <item m="1" x="1557"/>
        <item x="707"/>
        <item x="405"/>
        <item m="1" x="1374"/>
        <item m="1" x="1306"/>
        <item m="1" x="1515"/>
        <item x="403"/>
        <item m="1" x="1433"/>
        <item x="702"/>
        <item x="468"/>
        <item m="1" x="1288"/>
        <item x="807"/>
        <item m="1" x="1192"/>
        <item x="346"/>
        <item x="463"/>
        <item m="1" x="1532"/>
        <item x="292"/>
        <item m="1" x="1019"/>
        <item x="316"/>
        <item x="410"/>
        <item x="569"/>
        <item m="1" x="1144"/>
        <item x="265"/>
        <item x="411"/>
        <item x="337"/>
        <item x="590"/>
        <item x="461"/>
        <item m="1" x="1156"/>
        <item x="1017"/>
        <item m="1" x="1297"/>
        <item m="1" x="1195"/>
        <item x="862"/>
        <item m="1" x="1479"/>
        <item x="464"/>
        <item m="1" x="1247"/>
        <item x="706"/>
        <item m="1" x="1420"/>
        <item x="293"/>
        <item x="381"/>
        <item m="1" x="1281"/>
        <item x="541"/>
        <item x="519"/>
        <item x="606"/>
        <item x="791"/>
        <item x="584"/>
        <item m="1" x="1604"/>
        <item m="1" x="1510"/>
        <item m="1" x="1194"/>
        <item m="1" x="1134"/>
        <item m="1" x="1285"/>
        <item x="521"/>
        <item x="847"/>
        <item x="451"/>
        <item m="1" x="1116"/>
        <item m="1" x="1234"/>
        <item x="414"/>
        <item x="604"/>
        <item m="1" x="1049"/>
        <item x="449"/>
        <item x="423"/>
        <item x="595"/>
        <item m="1" x="1162"/>
        <item x="462"/>
        <item m="1" x="1450"/>
        <item x="1018"/>
        <item x="975"/>
        <item x="763"/>
        <item x="586"/>
        <item x="523"/>
        <item m="1" x="1400"/>
        <item m="1" x="1143"/>
        <item x="476"/>
        <item m="1" x="1135"/>
        <item x="361"/>
        <item m="1" x="1356"/>
        <item x="426"/>
        <item x="552"/>
        <item x="712"/>
        <item m="1" x="1122"/>
        <item m="1" x="1444"/>
        <item x="570"/>
        <item m="1" x="1519"/>
        <item x="427"/>
        <item m="1" x="1551"/>
        <item m="1" x="1191"/>
        <item x="441"/>
        <item x="720"/>
        <item x="365"/>
        <item m="1" x="1676"/>
        <item x="477"/>
        <item m="1" x="1603"/>
        <item x="524"/>
        <item x="301"/>
        <item m="1" x="1651"/>
        <item m="1" x="1650"/>
        <item x="726"/>
        <item x="655"/>
        <item x="635"/>
        <item x="295"/>
        <item x="351"/>
        <item x="564"/>
        <item x="640"/>
        <item x="350"/>
        <item x="501"/>
        <item x="723"/>
        <item x="520"/>
        <item x="601"/>
        <item m="1" x="1073"/>
        <item m="1" x="1608"/>
        <item x="525"/>
        <item x="534"/>
        <item x="269"/>
        <item m="1" x="1401"/>
        <item x="805"/>
        <item x="507"/>
        <item m="1" x="1149"/>
        <item x="438"/>
        <item x="424"/>
        <item m="1" x="1474"/>
        <item m="1" x="1286"/>
        <item x="431"/>
        <item x="432"/>
        <item m="1" x="1544"/>
        <item x="612"/>
        <item x="434"/>
        <item x="437"/>
        <item m="1" x="1027"/>
        <item x="749"/>
        <item x="407"/>
        <item m="1" x="1431"/>
        <item x="447"/>
        <item m="1" x="1488"/>
        <item m="1" x="1250"/>
        <item x="609"/>
        <item x="789"/>
        <item x="388"/>
        <item x="435"/>
        <item x="277"/>
        <item m="1" x="1128"/>
        <item m="1" x="1580"/>
        <item m="1" x="1672"/>
        <item m="1" x="1455"/>
        <item x="870"/>
        <item m="1" x="1252"/>
        <item m="1" x="1574"/>
        <item x="324"/>
        <item x="309"/>
        <item m="1" x="1270"/>
        <item m="1" x="1056"/>
        <item m="1" x="1173"/>
        <item x="294"/>
        <item x="452"/>
        <item m="1" x="1292"/>
        <item m="1" x="1609"/>
        <item x="453"/>
        <item x="326"/>
        <item x="354"/>
        <item x="300"/>
        <item x="683"/>
        <item m="1" x="1289"/>
        <item x="323"/>
        <item x="710"/>
        <item m="1" x="1118"/>
        <item x="289"/>
        <item x="611"/>
        <item x="653"/>
        <item x="850"/>
        <item m="1" x="1656"/>
        <item m="1" x="1496"/>
        <item m="1" x="1410"/>
        <item m="1" x="1059"/>
        <item m="1" x="1602"/>
        <item x="515"/>
        <item m="1" x="1456"/>
        <item x="420"/>
        <item x="991"/>
        <item m="1" x="1660"/>
        <item x="555"/>
        <item x="994"/>
        <item x="322"/>
        <item x="502"/>
        <item x="725"/>
        <item x="510"/>
        <item x="642"/>
        <item x="728"/>
        <item m="1" x="1500"/>
        <item m="1" x="1520"/>
        <item x="471"/>
        <item x="264"/>
        <item m="1" x="1074"/>
        <item x="767"/>
        <item m="1" x="1484"/>
        <item x="618"/>
        <item x="364"/>
        <item m="1" x="1253"/>
        <item m="1" x="1097"/>
        <item x="254"/>
        <item m="1" x="1352"/>
        <item x="465"/>
        <item x="466"/>
        <item x="548"/>
        <item x="576"/>
        <item x="429"/>
        <item m="1" x="1448"/>
        <item m="1" x="1093"/>
        <item x="470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m="1" x="10"/>
        <item h="1" x="2"/>
        <item h="1" x="4"/>
        <item x="0"/>
        <item h="1" x="3"/>
        <item h="1" x="1"/>
        <item m="1" x="8"/>
        <item h="1" x="5"/>
        <item h="1" x="6"/>
        <item h="1" x="7"/>
        <item t="default"/>
      </items>
    </pivotField>
    <pivotField showAll="0"/>
    <pivotField showAll="0"/>
    <pivotField axis="axisPage" multipleItemSelectionAllowed="1" showAll="0">
      <items count="11">
        <item h="1" x="2"/>
        <item x="0"/>
        <item h="1" x="1"/>
        <item h="1" x="4"/>
        <item h="1" m="1" x="8"/>
        <item h="1" m="1" x="6"/>
        <item h="1" m="1" x="7"/>
        <item h="1" m="1" x="9"/>
        <item h="1" x="3"/>
        <item h="1" m="1" x="5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6"/>
  </rowFields>
  <rowItems count="521">
    <i>
      <x/>
    </i>
    <i>
      <x v="3"/>
    </i>
    <i>
      <x v="6"/>
    </i>
    <i>
      <x v="8"/>
    </i>
    <i>
      <x v="9"/>
    </i>
    <i>
      <x v="15"/>
    </i>
    <i>
      <x v="19"/>
    </i>
    <i>
      <x v="20"/>
    </i>
    <i>
      <x v="26"/>
    </i>
    <i>
      <x v="28"/>
    </i>
    <i>
      <x v="30"/>
    </i>
    <i>
      <x v="31"/>
    </i>
    <i>
      <x v="33"/>
    </i>
    <i>
      <x v="37"/>
    </i>
    <i>
      <x v="39"/>
    </i>
    <i>
      <x v="57"/>
    </i>
    <i>
      <x v="59"/>
    </i>
    <i>
      <x v="63"/>
    </i>
    <i>
      <x v="64"/>
    </i>
    <i>
      <x v="74"/>
    </i>
    <i>
      <x v="78"/>
    </i>
    <i>
      <x v="82"/>
    </i>
    <i>
      <x v="84"/>
    </i>
    <i>
      <x v="86"/>
    </i>
    <i>
      <x v="88"/>
    </i>
    <i>
      <x v="91"/>
    </i>
    <i>
      <x v="92"/>
    </i>
    <i>
      <x v="99"/>
    </i>
    <i>
      <x v="104"/>
    </i>
    <i>
      <x v="111"/>
    </i>
    <i>
      <x v="118"/>
    </i>
    <i>
      <x v="123"/>
    </i>
    <i>
      <x v="128"/>
    </i>
    <i>
      <x v="129"/>
    </i>
    <i>
      <x v="130"/>
    </i>
    <i>
      <x v="133"/>
    </i>
    <i>
      <x v="137"/>
    </i>
    <i>
      <x v="138"/>
    </i>
    <i>
      <x v="139"/>
    </i>
    <i>
      <x v="141"/>
    </i>
    <i>
      <x v="145"/>
    </i>
    <i>
      <x v="150"/>
    </i>
    <i>
      <x v="153"/>
    </i>
    <i>
      <x v="159"/>
    </i>
    <i>
      <x v="167"/>
    </i>
    <i>
      <x v="168"/>
    </i>
    <i>
      <x v="169"/>
    </i>
    <i>
      <x v="176"/>
    </i>
    <i>
      <x v="184"/>
    </i>
    <i>
      <x v="185"/>
    </i>
    <i>
      <x v="187"/>
    </i>
    <i>
      <x v="188"/>
    </i>
    <i>
      <x v="189"/>
    </i>
    <i>
      <x v="190"/>
    </i>
    <i>
      <x v="191"/>
    </i>
    <i>
      <x v="193"/>
    </i>
    <i>
      <x v="195"/>
    </i>
    <i>
      <x v="196"/>
    </i>
    <i>
      <x v="202"/>
    </i>
    <i>
      <x v="205"/>
    </i>
    <i>
      <x v="206"/>
    </i>
    <i>
      <x v="212"/>
    </i>
    <i>
      <x v="213"/>
    </i>
    <i>
      <x v="218"/>
    </i>
    <i>
      <x v="222"/>
    </i>
    <i>
      <x v="230"/>
    </i>
    <i>
      <x v="236"/>
    </i>
    <i>
      <x v="237"/>
    </i>
    <i>
      <x v="241"/>
    </i>
    <i>
      <x v="246"/>
    </i>
    <i>
      <x v="248"/>
    </i>
    <i>
      <x v="249"/>
    </i>
    <i>
      <x v="250"/>
    </i>
    <i>
      <x v="258"/>
    </i>
    <i>
      <x v="262"/>
    </i>
    <i>
      <x v="264"/>
    </i>
    <i>
      <x v="269"/>
    </i>
    <i>
      <x v="271"/>
    </i>
    <i>
      <x v="272"/>
    </i>
    <i>
      <x v="274"/>
    </i>
    <i>
      <x v="276"/>
    </i>
    <i>
      <x v="280"/>
    </i>
    <i>
      <x v="281"/>
    </i>
    <i>
      <x v="283"/>
    </i>
    <i>
      <x v="284"/>
    </i>
    <i>
      <x v="289"/>
    </i>
    <i>
      <x v="292"/>
    </i>
    <i>
      <x v="293"/>
    </i>
    <i>
      <x v="299"/>
    </i>
    <i>
      <x v="302"/>
    </i>
    <i>
      <x v="304"/>
    </i>
    <i>
      <x v="305"/>
    </i>
    <i>
      <x v="312"/>
    </i>
    <i>
      <x v="319"/>
    </i>
    <i>
      <x v="320"/>
    </i>
    <i>
      <x v="322"/>
    </i>
    <i>
      <x v="324"/>
    </i>
    <i>
      <x v="331"/>
    </i>
    <i>
      <x v="333"/>
    </i>
    <i>
      <x v="336"/>
    </i>
    <i>
      <x v="340"/>
    </i>
    <i>
      <x v="342"/>
    </i>
    <i>
      <x v="344"/>
    </i>
    <i>
      <x v="346"/>
    </i>
    <i>
      <x v="352"/>
    </i>
    <i>
      <x v="353"/>
    </i>
    <i>
      <x v="355"/>
    </i>
    <i>
      <x v="359"/>
    </i>
    <i>
      <x v="362"/>
    </i>
    <i>
      <x v="365"/>
    </i>
    <i>
      <x v="376"/>
    </i>
    <i>
      <x v="381"/>
    </i>
    <i>
      <x v="382"/>
    </i>
    <i>
      <x v="388"/>
    </i>
    <i>
      <x v="389"/>
    </i>
    <i>
      <x v="392"/>
    </i>
    <i>
      <x v="393"/>
    </i>
    <i>
      <x v="394"/>
    </i>
    <i>
      <x v="395"/>
    </i>
    <i>
      <x v="396"/>
    </i>
    <i>
      <x v="398"/>
    </i>
    <i>
      <x v="405"/>
    </i>
    <i>
      <x v="409"/>
    </i>
    <i>
      <x v="414"/>
    </i>
    <i>
      <x v="416"/>
    </i>
    <i>
      <x v="417"/>
    </i>
    <i>
      <x v="418"/>
    </i>
    <i>
      <x v="421"/>
    </i>
    <i>
      <x v="423"/>
    </i>
    <i>
      <x v="424"/>
    </i>
    <i>
      <x v="425"/>
    </i>
    <i>
      <x v="426"/>
    </i>
    <i>
      <x v="427"/>
    </i>
    <i>
      <x v="436"/>
    </i>
    <i>
      <x v="437"/>
    </i>
    <i>
      <x v="438"/>
    </i>
    <i>
      <x v="440"/>
    </i>
    <i>
      <x v="444"/>
    </i>
    <i>
      <x v="450"/>
    </i>
    <i>
      <x v="453"/>
    </i>
    <i>
      <x v="454"/>
    </i>
    <i>
      <x v="459"/>
    </i>
    <i>
      <x v="460"/>
    </i>
    <i>
      <x v="463"/>
    </i>
    <i>
      <x v="465"/>
    </i>
    <i>
      <x v="467"/>
    </i>
    <i>
      <x v="468"/>
    </i>
    <i>
      <x v="479"/>
    </i>
    <i>
      <x v="481"/>
    </i>
    <i>
      <x v="482"/>
    </i>
    <i>
      <x v="491"/>
    </i>
    <i>
      <x v="493"/>
    </i>
    <i>
      <x v="502"/>
    </i>
    <i>
      <x v="507"/>
    </i>
    <i>
      <x v="512"/>
    </i>
    <i>
      <x v="513"/>
    </i>
    <i>
      <x v="520"/>
    </i>
    <i>
      <x v="521"/>
    </i>
    <i>
      <x v="522"/>
    </i>
    <i>
      <x v="524"/>
    </i>
    <i>
      <x v="528"/>
    </i>
    <i>
      <x v="532"/>
    </i>
    <i>
      <x v="533"/>
    </i>
    <i>
      <x v="535"/>
    </i>
    <i>
      <x v="537"/>
    </i>
    <i>
      <x v="539"/>
    </i>
    <i>
      <x v="541"/>
    </i>
    <i>
      <x v="542"/>
    </i>
    <i>
      <x v="549"/>
    </i>
    <i>
      <x v="550"/>
    </i>
    <i>
      <x v="554"/>
    </i>
    <i>
      <x v="557"/>
    </i>
    <i>
      <x v="562"/>
    </i>
    <i>
      <x v="563"/>
    </i>
    <i>
      <x v="565"/>
    </i>
    <i>
      <x v="571"/>
    </i>
    <i>
      <x v="572"/>
    </i>
    <i>
      <x v="573"/>
    </i>
    <i>
      <x v="584"/>
    </i>
    <i>
      <x v="586"/>
    </i>
    <i>
      <x v="588"/>
    </i>
    <i>
      <x v="590"/>
    </i>
    <i>
      <x v="591"/>
    </i>
    <i>
      <x v="596"/>
    </i>
    <i>
      <x v="598"/>
    </i>
    <i>
      <x v="600"/>
    </i>
    <i>
      <x v="602"/>
    </i>
    <i>
      <x v="607"/>
    </i>
    <i>
      <x v="609"/>
    </i>
    <i>
      <x v="610"/>
    </i>
    <i>
      <x v="612"/>
    </i>
    <i>
      <x v="615"/>
    </i>
    <i>
      <x v="616"/>
    </i>
    <i>
      <x v="621"/>
    </i>
    <i>
      <x v="624"/>
    </i>
    <i>
      <x v="637"/>
    </i>
    <i>
      <x v="638"/>
    </i>
    <i>
      <x v="639"/>
    </i>
    <i>
      <x v="641"/>
    </i>
    <i>
      <x v="646"/>
    </i>
    <i>
      <x v="649"/>
    </i>
    <i>
      <x v="652"/>
    </i>
    <i>
      <x v="654"/>
    </i>
    <i>
      <x v="660"/>
    </i>
    <i>
      <x v="664"/>
    </i>
    <i>
      <x v="668"/>
    </i>
    <i>
      <x v="669"/>
    </i>
    <i>
      <x v="672"/>
    </i>
    <i>
      <x v="674"/>
    </i>
    <i>
      <x v="675"/>
    </i>
    <i>
      <x v="676"/>
    </i>
    <i>
      <x v="677"/>
    </i>
    <i>
      <x v="678"/>
    </i>
    <i>
      <x v="682"/>
    </i>
    <i>
      <x v="683"/>
    </i>
    <i>
      <x v="685"/>
    </i>
    <i>
      <x v="686"/>
    </i>
    <i>
      <x v="688"/>
    </i>
    <i>
      <x v="689"/>
    </i>
    <i>
      <x v="691"/>
    </i>
    <i>
      <x v="694"/>
    </i>
    <i>
      <x v="696"/>
    </i>
    <i>
      <x v="697"/>
    </i>
    <i>
      <x v="701"/>
    </i>
    <i>
      <x v="705"/>
    </i>
    <i>
      <x v="708"/>
    </i>
    <i>
      <x v="715"/>
    </i>
    <i>
      <x v="717"/>
    </i>
    <i>
      <x v="718"/>
    </i>
    <i>
      <x v="721"/>
    </i>
    <i>
      <x v="727"/>
    </i>
    <i>
      <x v="728"/>
    </i>
    <i>
      <x v="731"/>
    </i>
    <i>
      <x v="732"/>
    </i>
    <i>
      <x v="733"/>
    </i>
    <i>
      <x v="745"/>
    </i>
    <i>
      <x v="747"/>
    </i>
    <i>
      <x v="750"/>
    </i>
    <i>
      <x v="751"/>
    </i>
    <i>
      <x v="753"/>
    </i>
    <i>
      <x v="758"/>
    </i>
    <i>
      <x v="762"/>
    </i>
    <i>
      <x v="763"/>
    </i>
    <i>
      <x v="764"/>
    </i>
    <i>
      <x v="767"/>
    </i>
    <i>
      <x v="768"/>
    </i>
    <i>
      <x v="769"/>
    </i>
    <i>
      <x v="770"/>
    </i>
    <i>
      <x v="773"/>
    </i>
    <i>
      <x v="780"/>
    </i>
    <i>
      <x v="785"/>
    </i>
    <i>
      <x v="786"/>
    </i>
    <i>
      <x v="788"/>
    </i>
    <i>
      <x v="789"/>
    </i>
    <i>
      <x v="792"/>
    </i>
    <i>
      <x v="800"/>
    </i>
    <i>
      <x v="805"/>
    </i>
    <i>
      <x v="808"/>
    </i>
    <i>
      <x v="809"/>
    </i>
    <i>
      <x v="811"/>
    </i>
    <i>
      <x v="812"/>
    </i>
    <i>
      <x v="813"/>
    </i>
    <i>
      <x v="818"/>
    </i>
    <i>
      <x v="821"/>
    </i>
    <i>
      <x v="832"/>
    </i>
    <i>
      <x v="833"/>
    </i>
    <i>
      <x v="835"/>
    </i>
    <i>
      <x v="836"/>
    </i>
    <i>
      <x v="837"/>
    </i>
    <i>
      <x v="838"/>
    </i>
    <i>
      <x v="840"/>
    </i>
    <i>
      <x v="844"/>
    </i>
    <i>
      <x v="845"/>
    </i>
    <i>
      <x v="847"/>
    </i>
    <i>
      <x v="848"/>
    </i>
    <i>
      <x v="849"/>
    </i>
    <i>
      <x v="858"/>
    </i>
    <i>
      <x v="859"/>
    </i>
    <i>
      <x v="862"/>
    </i>
    <i>
      <x v="863"/>
    </i>
    <i>
      <x v="865"/>
    </i>
    <i>
      <x v="868"/>
    </i>
    <i>
      <x v="869"/>
    </i>
    <i>
      <x v="870"/>
    </i>
    <i>
      <x v="873"/>
    </i>
    <i>
      <x v="874"/>
    </i>
    <i>
      <x v="877"/>
    </i>
    <i>
      <x v="878"/>
    </i>
    <i>
      <x v="880"/>
    </i>
    <i>
      <x v="883"/>
    </i>
    <i>
      <x v="887"/>
    </i>
    <i>
      <x v="889"/>
    </i>
    <i>
      <x v="890"/>
    </i>
    <i>
      <x v="891"/>
    </i>
    <i>
      <x v="894"/>
    </i>
    <i>
      <x v="896"/>
    </i>
    <i>
      <x v="900"/>
    </i>
    <i>
      <x v="904"/>
    </i>
    <i>
      <x v="905"/>
    </i>
    <i>
      <x v="906"/>
    </i>
    <i>
      <x v="911"/>
    </i>
    <i>
      <x v="921"/>
    </i>
    <i>
      <x v="923"/>
    </i>
    <i>
      <x v="930"/>
    </i>
    <i>
      <x v="931"/>
    </i>
    <i>
      <x v="937"/>
    </i>
    <i>
      <x v="939"/>
    </i>
    <i>
      <x v="941"/>
    </i>
    <i>
      <x v="944"/>
    </i>
    <i>
      <x v="946"/>
    </i>
    <i>
      <x v="947"/>
    </i>
    <i>
      <x v="948"/>
    </i>
    <i>
      <x v="955"/>
    </i>
    <i>
      <x v="959"/>
    </i>
    <i>
      <x v="964"/>
    </i>
    <i>
      <x v="965"/>
    </i>
    <i>
      <x v="966"/>
    </i>
    <i>
      <x v="968"/>
    </i>
    <i>
      <x v="975"/>
    </i>
    <i>
      <x v="976"/>
    </i>
    <i>
      <x v="977"/>
    </i>
    <i>
      <x v="979"/>
    </i>
    <i>
      <x v="981"/>
    </i>
    <i>
      <x v="994"/>
    </i>
    <i>
      <x v="998"/>
    </i>
    <i>
      <x v="1001"/>
    </i>
    <i>
      <x v="1007"/>
    </i>
    <i>
      <x v="1012"/>
    </i>
    <i>
      <x v="1013"/>
    </i>
    <i>
      <x v="1014"/>
    </i>
    <i>
      <x v="1021"/>
    </i>
    <i>
      <x v="1024"/>
    </i>
    <i>
      <x v="1039"/>
    </i>
    <i>
      <x v="1046"/>
    </i>
    <i>
      <x v="1049"/>
    </i>
    <i>
      <x v="1053"/>
    </i>
    <i>
      <x v="1057"/>
    </i>
    <i>
      <x v="1058"/>
    </i>
    <i>
      <x v="1061"/>
    </i>
    <i>
      <x v="1062"/>
    </i>
    <i>
      <x v="1063"/>
    </i>
    <i>
      <x v="1064"/>
    </i>
    <i>
      <x v="1067"/>
    </i>
    <i>
      <x v="1072"/>
    </i>
    <i>
      <x v="1076"/>
    </i>
    <i>
      <x v="1081"/>
    </i>
    <i>
      <x v="1083"/>
    </i>
    <i>
      <x v="1084"/>
    </i>
    <i>
      <x v="1085"/>
    </i>
    <i>
      <x v="1086"/>
    </i>
    <i>
      <x v="1091"/>
    </i>
    <i>
      <x v="1092"/>
    </i>
    <i>
      <x v="1093"/>
    </i>
    <i>
      <x v="1094"/>
    </i>
    <i>
      <x v="1098"/>
    </i>
    <i>
      <x v="1104"/>
    </i>
    <i>
      <x v="1113"/>
    </i>
    <i>
      <x v="1115"/>
    </i>
    <i>
      <x v="1116"/>
    </i>
    <i>
      <x v="1118"/>
    </i>
    <i>
      <x v="1126"/>
    </i>
    <i>
      <x v="1128"/>
    </i>
    <i>
      <x v="1129"/>
    </i>
    <i>
      <x v="1131"/>
    </i>
    <i>
      <x v="1132"/>
    </i>
    <i>
      <x v="1137"/>
    </i>
    <i>
      <x v="1138"/>
    </i>
    <i>
      <x v="1144"/>
    </i>
    <i>
      <x v="1145"/>
    </i>
    <i>
      <x v="1148"/>
    </i>
    <i>
      <x v="1150"/>
    </i>
    <i>
      <x v="1151"/>
    </i>
    <i>
      <x v="1155"/>
    </i>
    <i>
      <x v="1156"/>
    </i>
    <i>
      <x v="1157"/>
    </i>
    <i>
      <x v="1159"/>
    </i>
    <i>
      <x v="1170"/>
    </i>
    <i>
      <x v="1176"/>
    </i>
    <i>
      <x v="1190"/>
    </i>
    <i>
      <x v="1191"/>
    </i>
    <i>
      <x v="1194"/>
    </i>
    <i>
      <x v="1195"/>
    </i>
    <i>
      <x v="1204"/>
    </i>
    <i>
      <x v="1213"/>
    </i>
    <i>
      <x v="1219"/>
    </i>
    <i>
      <x v="1223"/>
    </i>
    <i>
      <x v="1224"/>
    </i>
    <i>
      <x v="1225"/>
    </i>
    <i>
      <x v="1227"/>
    </i>
    <i>
      <x v="1229"/>
    </i>
    <i>
      <x v="1232"/>
    </i>
    <i>
      <x v="1236"/>
    </i>
    <i>
      <x v="1237"/>
    </i>
    <i>
      <x v="1239"/>
    </i>
    <i>
      <x v="1240"/>
    </i>
    <i>
      <x v="1244"/>
    </i>
    <i>
      <x v="1246"/>
    </i>
    <i>
      <x v="1254"/>
    </i>
    <i>
      <x v="1256"/>
    </i>
    <i>
      <x v="1257"/>
    </i>
    <i>
      <x v="1261"/>
    </i>
    <i>
      <x v="1262"/>
    </i>
    <i>
      <x v="1263"/>
    </i>
    <i>
      <x v="1267"/>
    </i>
    <i>
      <x v="1270"/>
    </i>
    <i>
      <x v="1272"/>
    </i>
    <i>
      <x v="1284"/>
    </i>
    <i>
      <x v="1285"/>
    </i>
    <i>
      <x v="1286"/>
    </i>
    <i>
      <x v="1290"/>
    </i>
    <i>
      <x v="1297"/>
    </i>
    <i>
      <x v="1300"/>
    </i>
    <i>
      <x v="1307"/>
    </i>
    <i>
      <x v="1308"/>
    </i>
    <i>
      <x v="1318"/>
    </i>
    <i>
      <x v="1323"/>
    </i>
    <i>
      <x v="1327"/>
    </i>
    <i>
      <x v="1331"/>
    </i>
    <i>
      <x v="1332"/>
    </i>
    <i>
      <x v="1342"/>
    </i>
    <i>
      <x v="1344"/>
    </i>
    <i>
      <x v="1346"/>
    </i>
    <i>
      <x v="1349"/>
    </i>
    <i>
      <x v="1361"/>
    </i>
    <i>
      <x v="1365"/>
    </i>
    <i>
      <x v="1366"/>
    </i>
    <i>
      <x v="1369"/>
    </i>
    <i>
      <x v="1370"/>
    </i>
    <i>
      <x v="1374"/>
    </i>
    <i>
      <x v="1378"/>
    </i>
    <i>
      <x v="1380"/>
    </i>
    <i>
      <x v="1381"/>
    </i>
    <i>
      <x v="1383"/>
    </i>
    <i>
      <x v="1389"/>
    </i>
    <i>
      <x v="1390"/>
    </i>
    <i>
      <x v="1392"/>
    </i>
    <i>
      <x v="1394"/>
    </i>
    <i>
      <x v="1396"/>
    </i>
    <i>
      <x v="1398"/>
    </i>
    <i>
      <x v="1404"/>
    </i>
    <i>
      <x v="1408"/>
    </i>
    <i>
      <x v="1417"/>
    </i>
    <i>
      <x v="1419"/>
    </i>
    <i>
      <x v="1420"/>
    </i>
    <i>
      <x v="1424"/>
    </i>
    <i>
      <x v="1425"/>
    </i>
    <i>
      <x v="1426"/>
    </i>
    <i>
      <x v="1427"/>
    </i>
    <i>
      <x v="1428"/>
    </i>
    <i>
      <x v="1429"/>
    </i>
    <i>
      <x v="1434"/>
    </i>
    <i>
      <x v="1436"/>
    </i>
    <i>
      <x v="1438"/>
    </i>
    <i>
      <x v="1440"/>
    </i>
    <i>
      <x v="1441"/>
    </i>
    <i>
      <x v="1445"/>
    </i>
    <i>
      <x v="1447"/>
    </i>
    <i>
      <x v="1457"/>
    </i>
    <i>
      <x v="1459"/>
    </i>
    <i>
      <x v="1464"/>
    </i>
    <i>
      <x v="1467"/>
    </i>
    <i>
      <x v="1470"/>
    </i>
    <i>
      <x v="1472"/>
    </i>
    <i>
      <x v="1476"/>
    </i>
    <i>
      <x v="1486"/>
    </i>
    <i>
      <x v="1488"/>
    </i>
    <i>
      <x v="1489"/>
    </i>
    <i>
      <x v="1500"/>
    </i>
    <i>
      <x v="1513"/>
    </i>
    <i>
      <x v="1515"/>
    </i>
    <i>
      <x v="1516"/>
    </i>
    <i>
      <x v="1517"/>
    </i>
    <i>
      <x v="1518"/>
    </i>
    <i>
      <x v="1525"/>
    </i>
    <i>
      <x v="1527"/>
    </i>
    <i>
      <x v="1531"/>
    </i>
    <i>
      <x v="1533"/>
    </i>
    <i>
      <x v="1534"/>
    </i>
    <i>
      <x v="1535"/>
    </i>
    <i>
      <x v="1537"/>
    </i>
    <i>
      <x v="1540"/>
    </i>
    <i>
      <x v="1541"/>
    </i>
    <i>
      <x v="1542"/>
    </i>
    <i>
      <x v="1543"/>
    </i>
    <i>
      <x v="1550"/>
    </i>
    <i>
      <x v="1551"/>
    </i>
    <i>
      <x v="1555"/>
    </i>
    <i>
      <x v="1560"/>
    </i>
    <i>
      <x v="1561"/>
    </i>
    <i>
      <x v="1564"/>
    </i>
    <i>
      <x v="1566"/>
    </i>
    <i>
      <x v="1570"/>
    </i>
    <i>
      <x v="1571"/>
    </i>
    <i>
      <x v="1575"/>
    </i>
    <i>
      <x v="1579"/>
    </i>
    <i>
      <x v="1586"/>
    </i>
    <i>
      <x v="1588"/>
    </i>
    <i>
      <x v="1591"/>
    </i>
    <i>
      <x v="1592"/>
    </i>
    <i>
      <x v="1595"/>
    </i>
    <i>
      <x v="1602"/>
    </i>
    <i>
      <x v="1603"/>
    </i>
    <i>
      <x v="1610"/>
    </i>
    <i>
      <x v="1625"/>
    </i>
    <i>
      <x v="1630"/>
    </i>
    <i>
      <x v="1633"/>
    </i>
    <i>
      <x v="1635"/>
    </i>
    <i>
      <x v="1636"/>
    </i>
    <i>
      <x v="1638"/>
    </i>
    <i>
      <x v="1640"/>
    </i>
    <i>
      <x v="1647"/>
    </i>
    <i>
      <x v="1652"/>
    </i>
    <i>
      <x v="1654"/>
    </i>
    <i>
      <x v="1655"/>
    </i>
    <i>
      <x v="1662"/>
    </i>
    <i>
      <x v="1663"/>
    </i>
    <i>
      <x v="1665"/>
    </i>
    <i>
      <x v="1671"/>
    </i>
    <i>
      <x v="1675"/>
    </i>
    <i>
      <x v="1676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237">
    <format dxfId="2738">
      <pivotArea type="all" dataOnly="0" outline="0" fieldPosition="0"/>
    </format>
    <format dxfId="2737">
      <pivotArea outline="0" collapsedLevelsAreSubtotals="1" fieldPosition="0"/>
    </format>
    <format dxfId="2736">
      <pivotArea type="origin" dataOnly="0" labelOnly="1" outline="0" fieldPosition="0"/>
    </format>
    <format dxfId="2735">
      <pivotArea field="19" type="button" dataOnly="0" labelOnly="1" outline="0" axis="axisCol" fieldPosition="0"/>
    </format>
    <format dxfId="2734">
      <pivotArea type="topRight" dataOnly="0" labelOnly="1" outline="0" fieldPosition="0"/>
    </format>
    <format dxfId="2733">
      <pivotArea field="6" type="button" dataOnly="0" labelOnly="1" outline="0" axis="axisRow" fieldPosition="0"/>
    </format>
    <format dxfId="2732">
      <pivotArea dataOnly="0" labelOnly="1" fieldPosition="0">
        <references count="1">
          <reference field="6" count="50">
            <x v="6"/>
            <x v="9"/>
            <x v="15"/>
            <x v="20"/>
            <x v="29"/>
            <x v="30"/>
            <x v="31"/>
            <x v="38"/>
            <x v="39"/>
            <x v="41"/>
            <x v="52"/>
            <x v="54"/>
            <x v="56"/>
            <x v="59"/>
            <x v="69"/>
            <x v="70"/>
            <x v="71"/>
            <x v="74"/>
            <x v="81"/>
            <x v="83"/>
            <x v="84"/>
            <x v="85"/>
            <x v="89"/>
            <x v="96"/>
            <x v="99"/>
            <x v="104"/>
            <x v="105"/>
            <x v="121"/>
            <x v="136"/>
            <x v="137"/>
            <x v="139"/>
            <x v="143"/>
            <x v="144"/>
            <x v="152"/>
            <x v="154"/>
            <x v="156"/>
            <x v="157"/>
            <x v="160"/>
            <x v="165"/>
            <x v="166"/>
            <x v="167"/>
            <x v="170"/>
            <x v="181"/>
            <x v="183"/>
            <x v="198"/>
            <x v="199"/>
            <x v="202"/>
            <x v="203"/>
            <x v="204"/>
            <x v="206"/>
          </reference>
        </references>
      </pivotArea>
    </format>
    <format dxfId="2731">
      <pivotArea dataOnly="0" labelOnly="1" fieldPosition="0">
        <references count="1">
          <reference field="6" count="50">
            <x v="207"/>
            <x v="213"/>
            <x v="214"/>
            <x v="228"/>
            <x v="237"/>
            <x v="239"/>
            <x v="241"/>
            <x v="243"/>
            <x v="246"/>
            <x v="247"/>
            <x v="251"/>
            <x v="252"/>
            <x v="258"/>
            <x v="268"/>
            <x v="269"/>
            <x v="270"/>
            <x v="272"/>
            <x v="277"/>
            <x v="278"/>
            <x v="286"/>
            <x v="288"/>
            <x v="292"/>
            <x v="297"/>
            <x v="300"/>
            <x v="302"/>
            <x v="303"/>
            <x v="307"/>
            <x v="308"/>
            <x v="309"/>
            <x v="317"/>
            <x v="328"/>
            <x v="331"/>
            <x v="339"/>
            <x v="344"/>
            <x v="347"/>
            <x v="351"/>
            <x v="357"/>
            <x v="360"/>
            <x v="363"/>
            <x v="364"/>
            <x v="367"/>
            <x v="371"/>
            <x v="372"/>
            <x v="374"/>
            <x v="395"/>
            <x v="396"/>
            <x v="397"/>
            <x v="400"/>
            <x v="404"/>
            <x v="409"/>
          </reference>
        </references>
      </pivotArea>
    </format>
    <format dxfId="2730">
      <pivotArea dataOnly="0" labelOnly="1" fieldPosition="0">
        <references count="1">
          <reference field="6" count="50">
            <x v="429"/>
            <x v="430"/>
            <x v="431"/>
            <x v="434"/>
            <x v="441"/>
            <x v="446"/>
            <x v="448"/>
            <x v="452"/>
            <x v="454"/>
            <x v="458"/>
            <x v="461"/>
            <x v="467"/>
            <x v="468"/>
            <x v="471"/>
            <x v="472"/>
            <x v="478"/>
            <x v="481"/>
            <x v="486"/>
            <x v="487"/>
            <x v="491"/>
            <x v="496"/>
            <x v="498"/>
            <x v="504"/>
            <x v="507"/>
            <x v="508"/>
            <x v="509"/>
            <x v="511"/>
            <x v="514"/>
            <x v="515"/>
            <x v="517"/>
            <x v="518"/>
            <x v="525"/>
            <x v="526"/>
            <x v="531"/>
            <x v="532"/>
            <x v="533"/>
            <x v="535"/>
            <x v="540"/>
            <x v="556"/>
            <x v="557"/>
            <x v="559"/>
            <x v="562"/>
            <x v="564"/>
            <x v="567"/>
            <x v="569"/>
            <x v="570"/>
            <x v="571"/>
            <x v="580"/>
            <x v="587"/>
            <x v="590"/>
          </reference>
        </references>
      </pivotArea>
    </format>
    <format dxfId="2729">
      <pivotArea dataOnly="0" labelOnly="1" fieldPosition="0">
        <references count="1">
          <reference field="6" count="50">
            <x v="593"/>
            <x v="598"/>
            <x v="599"/>
            <x v="602"/>
            <x v="604"/>
            <x v="607"/>
            <x v="620"/>
            <x v="622"/>
            <x v="626"/>
            <x v="627"/>
            <x v="633"/>
            <x v="635"/>
            <x v="639"/>
            <x v="640"/>
            <x v="647"/>
            <x v="651"/>
            <x v="654"/>
            <x v="655"/>
            <x v="670"/>
            <x v="674"/>
            <x v="679"/>
            <x v="680"/>
            <x v="689"/>
            <x v="690"/>
            <x v="691"/>
            <x v="692"/>
            <x v="695"/>
            <x v="698"/>
            <x v="705"/>
            <x v="706"/>
            <x v="707"/>
            <x v="709"/>
            <x v="713"/>
            <x v="719"/>
            <x v="724"/>
            <x v="730"/>
            <x v="732"/>
            <x v="737"/>
            <x v="742"/>
            <x v="744"/>
            <x v="746"/>
            <x v="747"/>
            <x v="748"/>
            <x v="751"/>
            <x v="761"/>
            <x v="762"/>
            <x v="768"/>
            <x v="769"/>
            <x v="771"/>
            <x v="774"/>
          </reference>
        </references>
      </pivotArea>
    </format>
    <format dxfId="2728">
      <pivotArea dataOnly="0" labelOnly="1" fieldPosition="0">
        <references count="1">
          <reference field="6" count="50">
            <x v="775"/>
            <x v="784"/>
            <x v="787"/>
            <x v="795"/>
            <x v="800"/>
            <x v="809"/>
            <x v="812"/>
            <x v="816"/>
            <x v="831"/>
            <x v="836"/>
            <x v="840"/>
            <x v="843"/>
            <x v="845"/>
            <x v="865"/>
            <x v="866"/>
            <x v="874"/>
            <x v="883"/>
            <x v="887"/>
            <x v="894"/>
            <x v="902"/>
            <x v="911"/>
            <x v="912"/>
            <x v="913"/>
            <x v="915"/>
            <x v="917"/>
            <x v="919"/>
            <x v="922"/>
            <x v="942"/>
            <x v="944"/>
            <x v="948"/>
            <x v="953"/>
            <x v="954"/>
            <x v="963"/>
            <x v="968"/>
            <x v="974"/>
            <x v="976"/>
            <x v="978"/>
            <x v="991"/>
            <x v="1002"/>
            <x v="1003"/>
            <x v="1005"/>
            <x v="1029"/>
            <x v="1033"/>
            <x v="1036"/>
            <x v="1048"/>
            <x v="1049"/>
            <x v="1056"/>
            <x v="1067"/>
            <x v="1077"/>
            <x v="1080"/>
          </reference>
        </references>
      </pivotArea>
    </format>
    <format dxfId="2727">
      <pivotArea dataOnly="0" labelOnly="1" fieldPosition="0">
        <references count="1">
          <reference field="6" count="50">
            <x v="1082"/>
            <x v="1084"/>
            <x v="1091"/>
            <x v="1093"/>
            <x v="1095"/>
            <x v="1099"/>
            <x v="1102"/>
            <x v="1106"/>
            <x v="1116"/>
            <x v="1125"/>
            <x v="1132"/>
            <x v="1136"/>
            <x v="1145"/>
            <x v="1156"/>
            <x v="1165"/>
            <x v="1177"/>
            <x v="1178"/>
            <x v="1179"/>
            <x v="1194"/>
            <x v="1203"/>
            <x v="1205"/>
            <x v="1207"/>
            <x v="1215"/>
            <x v="1227"/>
            <x v="1231"/>
            <x v="1235"/>
            <x v="1237"/>
            <x v="1240"/>
            <x v="1243"/>
            <x v="1247"/>
            <x v="1253"/>
            <x v="1259"/>
            <x v="1261"/>
            <x v="1265"/>
            <x v="1273"/>
            <x v="1277"/>
            <x v="1279"/>
            <x v="1280"/>
            <x v="1287"/>
            <x v="1291"/>
            <x v="1293"/>
            <x v="1298"/>
            <x v="1304"/>
            <x v="1307"/>
            <x v="1321"/>
            <x v="1325"/>
            <x v="1332"/>
            <x v="1342"/>
            <x v="1344"/>
            <x v="1347"/>
          </reference>
        </references>
      </pivotArea>
    </format>
    <format dxfId="2726">
      <pivotArea dataOnly="0" labelOnly="1" fieldPosition="0">
        <references count="1">
          <reference field="6" count="50">
            <x v="1350"/>
            <x v="1359"/>
            <x v="1364"/>
            <x v="1369"/>
            <x v="1371"/>
            <x v="1372"/>
            <x v="1373"/>
            <x v="1374"/>
            <x v="1381"/>
            <x v="1397"/>
            <x v="1403"/>
            <x v="1406"/>
            <x v="1407"/>
            <x v="1408"/>
            <x v="1411"/>
            <x v="1420"/>
            <x v="1421"/>
            <x v="1425"/>
            <x v="1426"/>
            <x v="1430"/>
            <x v="1436"/>
            <x v="1446"/>
            <x v="1450"/>
            <x v="1453"/>
            <x v="1455"/>
            <x v="1456"/>
            <x v="1459"/>
            <x v="1463"/>
            <x v="1469"/>
            <x v="1480"/>
            <x v="1494"/>
            <x v="1497"/>
            <x v="1498"/>
            <x v="1499"/>
            <x v="1500"/>
            <x v="1504"/>
            <x v="1506"/>
            <x v="1507"/>
            <x v="1516"/>
            <x v="1532"/>
            <x v="1533"/>
            <x v="1534"/>
            <x v="1542"/>
            <x v="1546"/>
            <x v="1548"/>
            <x v="1550"/>
            <x v="1560"/>
            <x v="1566"/>
            <x v="1568"/>
            <x v="1569"/>
          </reference>
        </references>
      </pivotArea>
    </format>
    <format dxfId="2725">
      <pivotArea dataOnly="0" labelOnly="1" fieldPosition="0">
        <references count="1">
          <reference field="6" count="23">
            <x v="1578"/>
            <x v="1580"/>
            <x v="1586"/>
            <x v="1588"/>
            <x v="1589"/>
            <x v="1595"/>
            <x v="1607"/>
            <x v="1610"/>
            <x v="1629"/>
            <x v="1632"/>
            <x v="1634"/>
            <x v="1638"/>
            <x v="1639"/>
            <x v="1644"/>
            <x v="1645"/>
            <x v="1660"/>
            <x v="1664"/>
            <x v="1668"/>
            <x v="1670"/>
            <x v="1674"/>
            <x v="1676"/>
            <x v="1677"/>
            <x v="1678"/>
          </reference>
        </references>
      </pivotArea>
    </format>
    <format dxfId="2724">
      <pivotArea dataOnly="0" labelOnly="1" grandRow="1" outline="0" fieldPosition="0"/>
    </format>
    <format dxfId="2723">
      <pivotArea dataOnly="0" labelOnly="1" fieldPosition="0">
        <references count="1">
          <reference field="19" count="0"/>
        </references>
      </pivotArea>
    </format>
    <format dxfId="2722">
      <pivotArea dataOnly="0" labelOnly="1" grandCol="1" outline="0" fieldPosition="0"/>
    </format>
    <format dxfId="2721">
      <pivotArea type="all" dataOnly="0" outline="0" fieldPosition="0"/>
    </format>
    <format dxfId="2720">
      <pivotArea outline="0" collapsedLevelsAreSubtotals="1" fieldPosition="0"/>
    </format>
    <format dxfId="2719">
      <pivotArea type="origin" dataOnly="0" labelOnly="1" outline="0" fieldPosition="0"/>
    </format>
    <format dxfId="2718">
      <pivotArea field="19" type="button" dataOnly="0" labelOnly="1" outline="0" axis="axisCol" fieldPosition="0"/>
    </format>
    <format dxfId="2717">
      <pivotArea type="topRight" dataOnly="0" labelOnly="1" outline="0" fieldPosition="0"/>
    </format>
    <format dxfId="2716">
      <pivotArea field="6" type="button" dataOnly="0" labelOnly="1" outline="0" axis="axisRow" fieldPosition="0"/>
    </format>
    <format dxfId="2715">
      <pivotArea dataOnly="0" labelOnly="1" fieldPosition="0">
        <references count="1">
          <reference field="6" count="50">
            <x v="6"/>
            <x v="9"/>
            <x v="15"/>
            <x v="20"/>
            <x v="29"/>
            <x v="30"/>
            <x v="31"/>
            <x v="38"/>
            <x v="39"/>
            <x v="41"/>
            <x v="52"/>
            <x v="54"/>
            <x v="56"/>
            <x v="59"/>
            <x v="69"/>
            <x v="70"/>
            <x v="71"/>
            <x v="74"/>
            <x v="81"/>
            <x v="83"/>
            <x v="84"/>
            <x v="85"/>
            <x v="89"/>
            <x v="96"/>
            <x v="99"/>
            <x v="104"/>
            <x v="105"/>
            <x v="121"/>
            <x v="136"/>
            <x v="137"/>
            <x v="139"/>
            <x v="143"/>
            <x v="144"/>
            <x v="152"/>
            <x v="154"/>
            <x v="156"/>
            <x v="157"/>
            <x v="160"/>
            <x v="165"/>
            <x v="166"/>
            <x v="167"/>
            <x v="170"/>
            <x v="181"/>
            <x v="183"/>
            <x v="198"/>
            <x v="199"/>
            <x v="202"/>
            <x v="203"/>
            <x v="204"/>
            <x v="206"/>
          </reference>
        </references>
      </pivotArea>
    </format>
    <format dxfId="2714">
      <pivotArea dataOnly="0" labelOnly="1" fieldPosition="0">
        <references count="1">
          <reference field="6" count="50">
            <x v="207"/>
            <x v="213"/>
            <x v="214"/>
            <x v="228"/>
            <x v="237"/>
            <x v="239"/>
            <x v="241"/>
            <x v="243"/>
            <x v="246"/>
            <x v="247"/>
            <x v="251"/>
            <x v="252"/>
            <x v="258"/>
            <x v="268"/>
            <x v="269"/>
            <x v="270"/>
            <x v="272"/>
            <x v="277"/>
            <x v="278"/>
            <x v="286"/>
            <x v="288"/>
            <x v="292"/>
            <x v="297"/>
            <x v="300"/>
            <x v="302"/>
            <x v="303"/>
            <x v="307"/>
            <x v="308"/>
            <x v="309"/>
            <x v="317"/>
            <x v="328"/>
            <x v="331"/>
            <x v="339"/>
            <x v="344"/>
            <x v="347"/>
            <x v="351"/>
            <x v="357"/>
            <x v="360"/>
            <x v="363"/>
            <x v="364"/>
            <x v="367"/>
            <x v="371"/>
            <x v="372"/>
            <x v="374"/>
            <x v="395"/>
            <x v="396"/>
            <x v="397"/>
            <x v="400"/>
            <x v="404"/>
            <x v="409"/>
          </reference>
        </references>
      </pivotArea>
    </format>
    <format dxfId="2713">
      <pivotArea dataOnly="0" labelOnly="1" fieldPosition="0">
        <references count="1">
          <reference field="6" count="50">
            <x v="429"/>
            <x v="430"/>
            <x v="431"/>
            <x v="434"/>
            <x v="441"/>
            <x v="446"/>
            <x v="448"/>
            <x v="452"/>
            <x v="454"/>
            <x v="458"/>
            <x v="461"/>
            <x v="467"/>
            <x v="468"/>
            <x v="471"/>
            <x v="472"/>
            <x v="478"/>
            <x v="481"/>
            <x v="486"/>
            <x v="487"/>
            <x v="491"/>
            <x v="496"/>
            <x v="498"/>
            <x v="504"/>
            <x v="507"/>
            <x v="508"/>
            <x v="509"/>
            <x v="511"/>
            <x v="514"/>
            <x v="515"/>
            <x v="517"/>
            <x v="518"/>
            <x v="525"/>
            <x v="526"/>
            <x v="531"/>
            <x v="532"/>
            <x v="533"/>
            <x v="535"/>
            <x v="540"/>
            <x v="556"/>
            <x v="557"/>
            <x v="559"/>
            <x v="562"/>
            <x v="564"/>
            <x v="567"/>
            <x v="569"/>
            <x v="570"/>
            <x v="571"/>
            <x v="580"/>
            <x v="587"/>
            <x v="590"/>
          </reference>
        </references>
      </pivotArea>
    </format>
    <format dxfId="2712">
      <pivotArea dataOnly="0" labelOnly="1" fieldPosition="0">
        <references count="1">
          <reference field="6" count="50">
            <x v="593"/>
            <x v="598"/>
            <x v="599"/>
            <x v="602"/>
            <x v="604"/>
            <x v="607"/>
            <x v="620"/>
            <x v="622"/>
            <x v="626"/>
            <x v="627"/>
            <x v="633"/>
            <x v="635"/>
            <x v="639"/>
            <x v="640"/>
            <x v="647"/>
            <x v="651"/>
            <x v="654"/>
            <x v="655"/>
            <x v="670"/>
            <x v="674"/>
            <x v="679"/>
            <x v="680"/>
            <x v="689"/>
            <x v="690"/>
            <x v="691"/>
            <x v="692"/>
            <x v="695"/>
            <x v="698"/>
            <x v="705"/>
            <x v="706"/>
            <x v="707"/>
            <x v="709"/>
            <x v="713"/>
            <x v="719"/>
            <x v="724"/>
            <x v="730"/>
            <x v="732"/>
            <x v="737"/>
            <x v="742"/>
            <x v="744"/>
            <x v="746"/>
            <x v="747"/>
            <x v="748"/>
            <x v="751"/>
            <x v="761"/>
            <x v="762"/>
            <x v="768"/>
            <x v="769"/>
            <x v="771"/>
            <x v="774"/>
          </reference>
        </references>
      </pivotArea>
    </format>
    <format dxfId="2711">
      <pivotArea dataOnly="0" labelOnly="1" fieldPosition="0">
        <references count="1">
          <reference field="6" count="50">
            <x v="775"/>
            <x v="784"/>
            <x v="787"/>
            <x v="795"/>
            <x v="800"/>
            <x v="809"/>
            <x v="812"/>
            <x v="816"/>
            <x v="831"/>
            <x v="836"/>
            <x v="840"/>
            <x v="843"/>
            <x v="845"/>
            <x v="865"/>
            <x v="866"/>
            <x v="874"/>
            <x v="883"/>
            <x v="887"/>
            <x v="894"/>
            <x v="902"/>
            <x v="911"/>
            <x v="912"/>
            <x v="913"/>
            <x v="915"/>
            <x v="917"/>
            <x v="919"/>
            <x v="922"/>
            <x v="942"/>
            <x v="944"/>
            <x v="948"/>
            <x v="953"/>
            <x v="954"/>
            <x v="963"/>
            <x v="968"/>
            <x v="974"/>
            <x v="976"/>
            <x v="978"/>
            <x v="991"/>
            <x v="1002"/>
            <x v="1003"/>
            <x v="1005"/>
            <x v="1029"/>
            <x v="1033"/>
            <x v="1036"/>
            <x v="1048"/>
            <x v="1049"/>
            <x v="1056"/>
            <x v="1067"/>
            <x v="1077"/>
            <x v="1080"/>
          </reference>
        </references>
      </pivotArea>
    </format>
    <format dxfId="2710">
      <pivotArea dataOnly="0" labelOnly="1" fieldPosition="0">
        <references count="1">
          <reference field="6" count="50">
            <x v="1082"/>
            <x v="1084"/>
            <x v="1091"/>
            <x v="1093"/>
            <x v="1095"/>
            <x v="1099"/>
            <x v="1102"/>
            <x v="1106"/>
            <x v="1116"/>
            <x v="1125"/>
            <x v="1132"/>
            <x v="1136"/>
            <x v="1145"/>
            <x v="1156"/>
            <x v="1165"/>
            <x v="1177"/>
            <x v="1178"/>
            <x v="1179"/>
            <x v="1194"/>
            <x v="1203"/>
            <x v="1205"/>
            <x v="1207"/>
            <x v="1215"/>
            <x v="1227"/>
            <x v="1231"/>
            <x v="1235"/>
            <x v="1237"/>
            <x v="1240"/>
            <x v="1243"/>
            <x v="1247"/>
            <x v="1253"/>
            <x v="1259"/>
            <x v="1261"/>
            <x v="1265"/>
            <x v="1273"/>
            <x v="1277"/>
            <x v="1279"/>
            <x v="1280"/>
            <x v="1287"/>
            <x v="1291"/>
            <x v="1293"/>
            <x v="1298"/>
            <x v="1304"/>
            <x v="1307"/>
            <x v="1321"/>
            <x v="1325"/>
            <x v="1332"/>
            <x v="1342"/>
            <x v="1344"/>
            <x v="1347"/>
          </reference>
        </references>
      </pivotArea>
    </format>
    <format dxfId="2709">
      <pivotArea dataOnly="0" labelOnly="1" fieldPosition="0">
        <references count="1">
          <reference field="6" count="50">
            <x v="1350"/>
            <x v="1359"/>
            <x v="1364"/>
            <x v="1369"/>
            <x v="1371"/>
            <x v="1372"/>
            <x v="1373"/>
            <x v="1374"/>
            <x v="1381"/>
            <x v="1397"/>
            <x v="1403"/>
            <x v="1406"/>
            <x v="1407"/>
            <x v="1408"/>
            <x v="1411"/>
            <x v="1420"/>
            <x v="1421"/>
            <x v="1425"/>
            <x v="1426"/>
            <x v="1430"/>
            <x v="1436"/>
            <x v="1446"/>
            <x v="1450"/>
            <x v="1453"/>
            <x v="1455"/>
            <x v="1456"/>
            <x v="1459"/>
            <x v="1463"/>
            <x v="1469"/>
            <x v="1480"/>
            <x v="1494"/>
            <x v="1497"/>
            <x v="1498"/>
            <x v="1499"/>
            <x v="1500"/>
            <x v="1504"/>
            <x v="1506"/>
            <x v="1507"/>
            <x v="1516"/>
            <x v="1532"/>
            <x v="1533"/>
            <x v="1534"/>
            <x v="1542"/>
            <x v="1546"/>
            <x v="1548"/>
            <x v="1550"/>
            <x v="1560"/>
            <x v="1566"/>
            <x v="1568"/>
            <x v="1569"/>
          </reference>
        </references>
      </pivotArea>
    </format>
    <format dxfId="2708">
      <pivotArea dataOnly="0" labelOnly="1" fieldPosition="0">
        <references count="1">
          <reference field="6" count="23">
            <x v="1578"/>
            <x v="1580"/>
            <x v="1586"/>
            <x v="1588"/>
            <x v="1589"/>
            <x v="1595"/>
            <x v="1607"/>
            <x v="1610"/>
            <x v="1629"/>
            <x v="1632"/>
            <x v="1634"/>
            <x v="1638"/>
            <x v="1639"/>
            <x v="1644"/>
            <x v="1645"/>
            <x v="1660"/>
            <x v="1664"/>
            <x v="1668"/>
            <x v="1670"/>
            <x v="1674"/>
            <x v="1676"/>
            <x v="1677"/>
            <x v="1678"/>
          </reference>
        </references>
      </pivotArea>
    </format>
    <format dxfId="2707">
      <pivotArea dataOnly="0" labelOnly="1" grandRow="1" outline="0" fieldPosition="0"/>
    </format>
    <format dxfId="2706">
      <pivotArea dataOnly="0" labelOnly="1" fieldPosition="0">
        <references count="1">
          <reference field="19" count="0"/>
        </references>
      </pivotArea>
    </format>
    <format dxfId="2705">
      <pivotArea dataOnly="0" labelOnly="1" grandCol="1" outline="0" fieldPosition="0"/>
    </format>
    <format dxfId="2704">
      <pivotArea type="all" dataOnly="0" outline="0" fieldPosition="0"/>
    </format>
    <format dxfId="2703">
      <pivotArea outline="0" collapsedLevelsAreSubtotals="1" fieldPosition="0"/>
    </format>
    <format dxfId="2702">
      <pivotArea type="origin" dataOnly="0" labelOnly="1" outline="0" fieldPosition="0"/>
    </format>
    <format dxfId="2701">
      <pivotArea field="19" type="button" dataOnly="0" labelOnly="1" outline="0" axis="axisCol" fieldPosition="0"/>
    </format>
    <format dxfId="2700">
      <pivotArea type="topRight" dataOnly="0" labelOnly="1" outline="0" fieldPosition="0"/>
    </format>
    <format dxfId="2699">
      <pivotArea field="6" type="button" dataOnly="0" labelOnly="1" outline="0" axis="axisRow" fieldPosition="0"/>
    </format>
    <format dxfId="2698">
      <pivotArea dataOnly="0" labelOnly="1" fieldPosition="0">
        <references count="1">
          <reference field="6" count="50">
            <x v="6"/>
            <x v="9"/>
            <x v="15"/>
            <x v="20"/>
            <x v="29"/>
            <x v="30"/>
            <x v="31"/>
            <x v="38"/>
            <x v="39"/>
            <x v="41"/>
            <x v="52"/>
            <x v="54"/>
            <x v="56"/>
            <x v="59"/>
            <x v="69"/>
            <x v="70"/>
            <x v="71"/>
            <x v="74"/>
            <x v="81"/>
            <x v="83"/>
            <x v="84"/>
            <x v="85"/>
            <x v="89"/>
            <x v="96"/>
            <x v="99"/>
            <x v="104"/>
            <x v="105"/>
            <x v="121"/>
            <x v="136"/>
            <x v="137"/>
            <x v="139"/>
            <x v="143"/>
            <x v="144"/>
            <x v="152"/>
            <x v="154"/>
            <x v="156"/>
            <x v="157"/>
            <x v="160"/>
            <x v="165"/>
            <x v="166"/>
            <x v="167"/>
            <x v="170"/>
            <x v="181"/>
            <x v="183"/>
            <x v="198"/>
            <x v="199"/>
            <x v="202"/>
            <x v="203"/>
            <x v="204"/>
            <x v="206"/>
          </reference>
        </references>
      </pivotArea>
    </format>
    <format dxfId="2697">
      <pivotArea dataOnly="0" labelOnly="1" fieldPosition="0">
        <references count="1">
          <reference field="6" count="50">
            <x v="207"/>
            <x v="213"/>
            <x v="214"/>
            <x v="228"/>
            <x v="237"/>
            <x v="239"/>
            <x v="241"/>
            <x v="243"/>
            <x v="246"/>
            <x v="247"/>
            <x v="251"/>
            <x v="252"/>
            <x v="258"/>
            <x v="268"/>
            <x v="269"/>
            <x v="270"/>
            <x v="272"/>
            <x v="277"/>
            <x v="278"/>
            <x v="286"/>
            <x v="288"/>
            <x v="292"/>
            <x v="297"/>
            <x v="300"/>
            <x v="302"/>
            <x v="303"/>
            <x v="307"/>
            <x v="308"/>
            <x v="309"/>
            <x v="317"/>
            <x v="328"/>
            <x v="331"/>
            <x v="339"/>
            <x v="344"/>
            <x v="347"/>
            <x v="351"/>
            <x v="357"/>
            <x v="360"/>
            <x v="363"/>
            <x v="364"/>
            <x v="367"/>
            <x v="371"/>
            <x v="372"/>
            <x v="374"/>
            <x v="395"/>
            <x v="396"/>
            <x v="397"/>
            <x v="400"/>
            <x v="404"/>
            <x v="409"/>
          </reference>
        </references>
      </pivotArea>
    </format>
    <format dxfId="2696">
      <pivotArea dataOnly="0" labelOnly="1" fieldPosition="0">
        <references count="1">
          <reference field="6" count="50">
            <x v="429"/>
            <x v="430"/>
            <x v="431"/>
            <x v="434"/>
            <x v="441"/>
            <x v="446"/>
            <x v="448"/>
            <x v="452"/>
            <x v="454"/>
            <x v="458"/>
            <x v="461"/>
            <x v="467"/>
            <x v="468"/>
            <x v="471"/>
            <x v="472"/>
            <x v="478"/>
            <x v="481"/>
            <x v="486"/>
            <x v="487"/>
            <x v="491"/>
            <x v="496"/>
            <x v="498"/>
            <x v="504"/>
            <x v="507"/>
            <x v="508"/>
            <x v="509"/>
            <x v="511"/>
            <x v="514"/>
            <x v="515"/>
            <x v="517"/>
            <x v="518"/>
            <x v="525"/>
            <x v="526"/>
            <x v="531"/>
            <x v="532"/>
            <x v="533"/>
            <x v="535"/>
            <x v="540"/>
            <x v="556"/>
            <x v="557"/>
            <x v="559"/>
            <x v="562"/>
            <x v="564"/>
            <x v="567"/>
            <x v="569"/>
            <x v="570"/>
            <x v="571"/>
            <x v="580"/>
            <x v="587"/>
            <x v="590"/>
          </reference>
        </references>
      </pivotArea>
    </format>
    <format dxfId="2695">
      <pivotArea dataOnly="0" labelOnly="1" fieldPosition="0">
        <references count="1">
          <reference field="6" count="50">
            <x v="593"/>
            <x v="598"/>
            <x v="599"/>
            <x v="602"/>
            <x v="604"/>
            <x v="607"/>
            <x v="620"/>
            <x v="622"/>
            <x v="626"/>
            <x v="627"/>
            <x v="633"/>
            <x v="635"/>
            <x v="639"/>
            <x v="640"/>
            <x v="647"/>
            <x v="651"/>
            <x v="654"/>
            <x v="655"/>
            <x v="670"/>
            <x v="674"/>
            <x v="679"/>
            <x v="680"/>
            <x v="689"/>
            <x v="690"/>
            <x v="691"/>
            <x v="692"/>
            <x v="695"/>
            <x v="698"/>
            <x v="705"/>
            <x v="706"/>
            <x v="707"/>
            <x v="709"/>
            <x v="713"/>
            <x v="719"/>
            <x v="724"/>
            <x v="730"/>
            <x v="732"/>
            <x v="737"/>
            <x v="742"/>
            <x v="744"/>
            <x v="746"/>
            <x v="747"/>
            <x v="748"/>
            <x v="751"/>
            <x v="761"/>
            <x v="762"/>
            <x v="768"/>
            <x v="769"/>
            <x v="771"/>
            <x v="774"/>
          </reference>
        </references>
      </pivotArea>
    </format>
    <format dxfId="2694">
      <pivotArea dataOnly="0" labelOnly="1" fieldPosition="0">
        <references count="1">
          <reference field="6" count="50">
            <x v="775"/>
            <x v="784"/>
            <x v="787"/>
            <x v="795"/>
            <x v="800"/>
            <x v="809"/>
            <x v="812"/>
            <x v="816"/>
            <x v="831"/>
            <x v="836"/>
            <x v="840"/>
            <x v="843"/>
            <x v="845"/>
            <x v="865"/>
            <x v="866"/>
            <x v="874"/>
            <x v="883"/>
            <x v="887"/>
            <x v="894"/>
            <x v="902"/>
            <x v="911"/>
            <x v="912"/>
            <x v="913"/>
            <x v="915"/>
            <x v="917"/>
            <x v="919"/>
            <x v="922"/>
            <x v="942"/>
            <x v="944"/>
            <x v="948"/>
            <x v="953"/>
            <x v="954"/>
            <x v="963"/>
            <x v="968"/>
            <x v="974"/>
            <x v="976"/>
            <x v="978"/>
            <x v="991"/>
            <x v="1002"/>
            <x v="1003"/>
            <x v="1005"/>
            <x v="1029"/>
            <x v="1033"/>
            <x v="1036"/>
            <x v="1048"/>
            <x v="1049"/>
            <x v="1056"/>
            <x v="1067"/>
            <x v="1077"/>
            <x v="1080"/>
          </reference>
        </references>
      </pivotArea>
    </format>
    <format dxfId="2693">
      <pivotArea dataOnly="0" labelOnly="1" fieldPosition="0">
        <references count="1">
          <reference field="6" count="50">
            <x v="1082"/>
            <x v="1084"/>
            <x v="1091"/>
            <x v="1093"/>
            <x v="1095"/>
            <x v="1099"/>
            <x v="1102"/>
            <x v="1106"/>
            <x v="1116"/>
            <x v="1125"/>
            <x v="1132"/>
            <x v="1136"/>
            <x v="1145"/>
            <x v="1156"/>
            <x v="1165"/>
            <x v="1177"/>
            <x v="1178"/>
            <x v="1179"/>
            <x v="1194"/>
            <x v="1203"/>
            <x v="1205"/>
            <x v="1207"/>
            <x v="1215"/>
            <x v="1227"/>
            <x v="1231"/>
            <x v="1235"/>
            <x v="1237"/>
            <x v="1240"/>
            <x v="1243"/>
            <x v="1247"/>
            <x v="1253"/>
            <x v="1259"/>
            <x v="1261"/>
            <x v="1265"/>
            <x v="1273"/>
            <x v="1277"/>
            <x v="1279"/>
            <x v="1280"/>
            <x v="1287"/>
            <x v="1291"/>
            <x v="1293"/>
            <x v="1298"/>
            <x v="1304"/>
            <x v="1307"/>
            <x v="1321"/>
            <x v="1325"/>
            <x v="1332"/>
            <x v="1342"/>
            <x v="1344"/>
            <x v="1347"/>
          </reference>
        </references>
      </pivotArea>
    </format>
    <format dxfId="2692">
      <pivotArea dataOnly="0" labelOnly="1" fieldPosition="0">
        <references count="1">
          <reference field="6" count="50">
            <x v="1350"/>
            <x v="1359"/>
            <x v="1364"/>
            <x v="1369"/>
            <x v="1371"/>
            <x v="1372"/>
            <x v="1373"/>
            <x v="1374"/>
            <x v="1381"/>
            <x v="1397"/>
            <x v="1403"/>
            <x v="1406"/>
            <x v="1407"/>
            <x v="1408"/>
            <x v="1411"/>
            <x v="1420"/>
            <x v="1421"/>
            <x v="1425"/>
            <x v="1426"/>
            <x v="1430"/>
            <x v="1436"/>
            <x v="1446"/>
            <x v="1450"/>
            <x v="1453"/>
            <x v="1455"/>
            <x v="1456"/>
            <x v="1459"/>
            <x v="1463"/>
            <x v="1469"/>
            <x v="1480"/>
            <x v="1494"/>
            <x v="1497"/>
            <x v="1498"/>
            <x v="1499"/>
            <x v="1500"/>
            <x v="1504"/>
            <x v="1506"/>
            <x v="1507"/>
            <x v="1516"/>
            <x v="1532"/>
            <x v="1533"/>
            <x v="1534"/>
            <x v="1542"/>
            <x v="1546"/>
            <x v="1548"/>
            <x v="1550"/>
            <x v="1560"/>
            <x v="1566"/>
            <x v="1568"/>
            <x v="1569"/>
          </reference>
        </references>
      </pivotArea>
    </format>
    <format dxfId="2691">
      <pivotArea dataOnly="0" labelOnly="1" fieldPosition="0">
        <references count="1">
          <reference field="6" count="23">
            <x v="1578"/>
            <x v="1580"/>
            <x v="1586"/>
            <x v="1588"/>
            <x v="1589"/>
            <x v="1595"/>
            <x v="1607"/>
            <x v="1610"/>
            <x v="1629"/>
            <x v="1632"/>
            <x v="1634"/>
            <x v="1638"/>
            <x v="1639"/>
            <x v="1644"/>
            <x v="1645"/>
            <x v="1660"/>
            <x v="1664"/>
            <x v="1668"/>
            <x v="1670"/>
            <x v="1674"/>
            <x v="1676"/>
            <x v="1677"/>
            <x v="1678"/>
          </reference>
        </references>
      </pivotArea>
    </format>
    <format dxfId="2690">
      <pivotArea dataOnly="0" labelOnly="1" grandRow="1" outline="0" fieldPosition="0"/>
    </format>
    <format dxfId="2689">
      <pivotArea dataOnly="0" labelOnly="1" fieldPosition="0">
        <references count="1">
          <reference field="19" count="0"/>
        </references>
      </pivotArea>
    </format>
    <format dxfId="2688">
      <pivotArea dataOnly="0" labelOnly="1" grandCol="1" outline="0" fieldPosition="0"/>
    </format>
    <format dxfId="2687">
      <pivotArea type="all" dataOnly="0" outline="0" fieldPosition="0"/>
    </format>
    <format dxfId="2686">
      <pivotArea outline="0" collapsedLevelsAreSubtotals="1" fieldPosition="0"/>
    </format>
    <format dxfId="2685">
      <pivotArea type="origin" dataOnly="0" labelOnly="1" outline="0" fieldPosition="0"/>
    </format>
    <format dxfId="2684">
      <pivotArea field="19" type="button" dataOnly="0" labelOnly="1" outline="0" axis="axisCol" fieldPosition="0"/>
    </format>
    <format dxfId="2683">
      <pivotArea type="topRight" dataOnly="0" labelOnly="1" outline="0" fieldPosition="0"/>
    </format>
    <format dxfId="2682">
      <pivotArea field="6" type="button" dataOnly="0" labelOnly="1" outline="0" axis="axisRow" fieldPosition="0"/>
    </format>
    <format dxfId="2681">
      <pivotArea dataOnly="0" labelOnly="1" fieldPosition="0">
        <references count="1">
          <reference field="6" count="50">
            <x v="6"/>
            <x v="9"/>
            <x v="15"/>
            <x v="20"/>
            <x v="29"/>
            <x v="30"/>
            <x v="31"/>
            <x v="38"/>
            <x v="39"/>
            <x v="41"/>
            <x v="52"/>
            <x v="54"/>
            <x v="56"/>
            <x v="59"/>
            <x v="69"/>
            <x v="70"/>
            <x v="71"/>
            <x v="74"/>
            <x v="81"/>
            <x v="83"/>
            <x v="84"/>
            <x v="85"/>
            <x v="89"/>
            <x v="96"/>
            <x v="99"/>
            <x v="104"/>
            <x v="105"/>
            <x v="121"/>
            <x v="136"/>
            <x v="137"/>
            <x v="139"/>
            <x v="143"/>
            <x v="144"/>
            <x v="152"/>
            <x v="154"/>
            <x v="156"/>
            <x v="157"/>
            <x v="160"/>
            <x v="165"/>
            <x v="166"/>
            <x v="167"/>
            <x v="170"/>
            <x v="181"/>
            <x v="183"/>
            <x v="198"/>
            <x v="199"/>
            <x v="202"/>
            <x v="203"/>
            <x v="204"/>
            <x v="206"/>
          </reference>
        </references>
      </pivotArea>
    </format>
    <format dxfId="2680">
      <pivotArea dataOnly="0" labelOnly="1" fieldPosition="0">
        <references count="1">
          <reference field="6" count="50">
            <x v="207"/>
            <x v="213"/>
            <x v="214"/>
            <x v="228"/>
            <x v="237"/>
            <x v="239"/>
            <x v="241"/>
            <x v="243"/>
            <x v="246"/>
            <x v="247"/>
            <x v="251"/>
            <x v="252"/>
            <x v="258"/>
            <x v="268"/>
            <x v="269"/>
            <x v="270"/>
            <x v="272"/>
            <x v="277"/>
            <x v="278"/>
            <x v="286"/>
            <x v="288"/>
            <x v="292"/>
            <x v="297"/>
            <x v="300"/>
            <x v="302"/>
            <x v="303"/>
            <x v="307"/>
            <x v="308"/>
            <x v="309"/>
            <x v="317"/>
            <x v="328"/>
            <x v="331"/>
            <x v="339"/>
            <x v="344"/>
            <x v="347"/>
            <x v="351"/>
            <x v="357"/>
            <x v="360"/>
            <x v="363"/>
            <x v="364"/>
            <x v="367"/>
            <x v="371"/>
            <x v="372"/>
            <x v="374"/>
            <x v="395"/>
            <x v="396"/>
            <x v="397"/>
            <x v="400"/>
            <x v="404"/>
            <x v="409"/>
          </reference>
        </references>
      </pivotArea>
    </format>
    <format dxfId="2679">
      <pivotArea dataOnly="0" labelOnly="1" fieldPosition="0">
        <references count="1">
          <reference field="6" count="50">
            <x v="429"/>
            <x v="430"/>
            <x v="431"/>
            <x v="434"/>
            <x v="441"/>
            <x v="446"/>
            <x v="448"/>
            <x v="452"/>
            <x v="454"/>
            <x v="458"/>
            <x v="461"/>
            <x v="467"/>
            <x v="468"/>
            <x v="471"/>
            <x v="472"/>
            <x v="478"/>
            <x v="481"/>
            <x v="486"/>
            <x v="487"/>
            <x v="491"/>
            <x v="496"/>
            <x v="498"/>
            <x v="504"/>
            <x v="507"/>
            <x v="508"/>
            <x v="509"/>
            <x v="511"/>
            <x v="514"/>
            <x v="515"/>
            <x v="517"/>
            <x v="518"/>
            <x v="525"/>
            <x v="526"/>
            <x v="531"/>
            <x v="532"/>
            <x v="533"/>
            <x v="535"/>
            <x v="540"/>
            <x v="556"/>
            <x v="557"/>
            <x v="559"/>
            <x v="562"/>
            <x v="564"/>
            <x v="567"/>
            <x v="569"/>
            <x v="570"/>
            <x v="571"/>
            <x v="580"/>
            <x v="587"/>
            <x v="590"/>
          </reference>
        </references>
      </pivotArea>
    </format>
    <format dxfId="2678">
      <pivotArea dataOnly="0" labelOnly="1" fieldPosition="0">
        <references count="1">
          <reference field="6" count="50">
            <x v="593"/>
            <x v="598"/>
            <x v="599"/>
            <x v="602"/>
            <x v="604"/>
            <x v="607"/>
            <x v="620"/>
            <x v="622"/>
            <x v="626"/>
            <x v="627"/>
            <x v="633"/>
            <x v="635"/>
            <x v="639"/>
            <x v="640"/>
            <x v="647"/>
            <x v="651"/>
            <x v="654"/>
            <x v="655"/>
            <x v="670"/>
            <x v="674"/>
            <x v="679"/>
            <x v="680"/>
            <x v="689"/>
            <x v="690"/>
            <x v="691"/>
            <x v="692"/>
            <x v="695"/>
            <x v="698"/>
            <x v="705"/>
            <x v="706"/>
            <x v="707"/>
            <x v="709"/>
            <x v="713"/>
            <x v="719"/>
            <x v="724"/>
            <x v="730"/>
            <x v="732"/>
            <x v="737"/>
            <x v="742"/>
            <x v="744"/>
            <x v="746"/>
            <x v="747"/>
            <x v="748"/>
            <x v="751"/>
            <x v="761"/>
            <x v="762"/>
            <x v="768"/>
            <x v="769"/>
            <x v="771"/>
            <x v="774"/>
          </reference>
        </references>
      </pivotArea>
    </format>
    <format dxfId="2677">
      <pivotArea dataOnly="0" labelOnly="1" fieldPosition="0">
        <references count="1">
          <reference field="6" count="50">
            <x v="775"/>
            <x v="784"/>
            <x v="787"/>
            <x v="795"/>
            <x v="800"/>
            <x v="809"/>
            <x v="812"/>
            <x v="816"/>
            <x v="831"/>
            <x v="836"/>
            <x v="840"/>
            <x v="843"/>
            <x v="845"/>
            <x v="865"/>
            <x v="866"/>
            <x v="874"/>
            <x v="883"/>
            <x v="887"/>
            <x v="894"/>
            <x v="902"/>
            <x v="911"/>
            <x v="912"/>
            <x v="913"/>
            <x v="915"/>
            <x v="917"/>
            <x v="919"/>
            <x v="922"/>
            <x v="942"/>
            <x v="944"/>
            <x v="948"/>
            <x v="953"/>
            <x v="954"/>
            <x v="963"/>
            <x v="968"/>
            <x v="974"/>
            <x v="976"/>
            <x v="978"/>
            <x v="991"/>
            <x v="1002"/>
            <x v="1003"/>
            <x v="1005"/>
            <x v="1029"/>
            <x v="1033"/>
            <x v="1036"/>
            <x v="1048"/>
            <x v="1049"/>
            <x v="1056"/>
            <x v="1067"/>
            <x v="1077"/>
            <x v="1080"/>
          </reference>
        </references>
      </pivotArea>
    </format>
    <format dxfId="2676">
      <pivotArea dataOnly="0" labelOnly="1" fieldPosition="0">
        <references count="1">
          <reference field="6" count="50">
            <x v="1082"/>
            <x v="1084"/>
            <x v="1091"/>
            <x v="1093"/>
            <x v="1095"/>
            <x v="1099"/>
            <x v="1102"/>
            <x v="1106"/>
            <x v="1116"/>
            <x v="1125"/>
            <x v="1132"/>
            <x v="1136"/>
            <x v="1145"/>
            <x v="1156"/>
            <x v="1165"/>
            <x v="1177"/>
            <x v="1178"/>
            <x v="1179"/>
            <x v="1194"/>
            <x v="1203"/>
            <x v="1205"/>
            <x v="1207"/>
            <x v="1215"/>
            <x v="1227"/>
            <x v="1231"/>
            <x v="1235"/>
            <x v="1237"/>
            <x v="1240"/>
            <x v="1243"/>
            <x v="1247"/>
            <x v="1253"/>
            <x v="1259"/>
            <x v="1261"/>
            <x v="1265"/>
            <x v="1273"/>
            <x v="1277"/>
            <x v="1279"/>
            <x v="1280"/>
            <x v="1287"/>
            <x v="1291"/>
            <x v="1293"/>
            <x v="1298"/>
            <x v="1304"/>
            <x v="1307"/>
            <x v="1321"/>
            <x v="1325"/>
            <x v="1332"/>
            <x v="1342"/>
            <x v="1344"/>
            <x v="1347"/>
          </reference>
        </references>
      </pivotArea>
    </format>
    <format dxfId="2675">
      <pivotArea dataOnly="0" labelOnly="1" fieldPosition="0">
        <references count="1">
          <reference field="6" count="50">
            <x v="1350"/>
            <x v="1359"/>
            <x v="1364"/>
            <x v="1369"/>
            <x v="1371"/>
            <x v="1372"/>
            <x v="1373"/>
            <x v="1374"/>
            <x v="1381"/>
            <x v="1397"/>
            <x v="1403"/>
            <x v="1406"/>
            <x v="1407"/>
            <x v="1408"/>
            <x v="1411"/>
            <x v="1420"/>
            <x v="1421"/>
            <x v="1425"/>
            <x v="1426"/>
            <x v="1430"/>
            <x v="1436"/>
            <x v="1446"/>
            <x v="1450"/>
            <x v="1453"/>
            <x v="1455"/>
            <x v="1456"/>
            <x v="1459"/>
            <x v="1463"/>
            <x v="1469"/>
            <x v="1480"/>
            <x v="1494"/>
            <x v="1497"/>
            <x v="1498"/>
            <x v="1499"/>
            <x v="1500"/>
            <x v="1504"/>
            <x v="1506"/>
            <x v="1507"/>
            <x v="1516"/>
            <x v="1532"/>
            <x v="1533"/>
            <x v="1534"/>
            <x v="1542"/>
            <x v="1546"/>
            <x v="1548"/>
            <x v="1550"/>
            <x v="1560"/>
            <x v="1566"/>
            <x v="1568"/>
            <x v="1569"/>
          </reference>
        </references>
      </pivotArea>
    </format>
    <format dxfId="2674">
      <pivotArea dataOnly="0" labelOnly="1" fieldPosition="0">
        <references count="1">
          <reference field="6" count="23">
            <x v="1578"/>
            <x v="1580"/>
            <x v="1586"/>
            <x v="1588"/>
            <x v="1589"/>
            <x v="1595"/>
            <x v="1607"/>
            <x v="1610"/>
            <x v="1629"/>
            <x v="1632"/>
            <x v="1634"/>
            <x v="1638"/>
            <x v="1639"/>
            <x v="1644"/>
            <x v="1645"/>
            <x v="1660"/>
            <x v="1664"/>
            <x v="1668"/>
            <x v="1670"/>
            <x v="1674"/>
            <x v="1676"/>
            <x v="1677"/>
            <x v="1678"/>
          </reference>
        </references>
      </pivotArea>
    </format>
    <format dxfId="2673">
      <pivotArea dataOnly="0" labelOnly="1" grandRow="1" outline="0" fieldPosition="0"/>
    </format>
    <format dxfId="2672">
      <pivotArea dataOnly="0" labelOnly="1" fieldPosition="0">
        <references count="1">
          <reference field="19" count="0"/>
        </references>
      </pivotArea>
    </format>
    <format dxfId="2671">
      <pivotArea dataOnly="0" labelOnly="1" grandCol="1" outline="0" fieldPosition="0"/>
    </format>
    <format dxfId="2670">
      <pivotArea field="6" type="button" dataOnly="0" labelOnly="1" outline="0" axis="axisRow" fieldPosition="0"/>
    </format>
    <format dxfId="2669">
      <pivotArea dataOnly="0" labelOnly="1" fieldPosition="0">
        <references count="1">
          <reference field="19" count="0"/>
        </references>
      </pivotArea>
    </format>
    <format dxfId="2668">
      <pivotArea dataOnly="0" labelOnly="1" grandCol="1" outline="0" fieldPosition="0"/>
    </format>
    <format dxfId="2667">
      <pivotArea outline="0" collapsedLevelsAreSubtotals="1" fieldPosition="0"/>
    </format>
    <format dxfId="2666">
      <pivotArea field="6" type="button" dataOnly="0" labelOnly="1" outline="0" axis="axisRow" fieldPosition="0"/>
    </format>
    <format dxfId="2665">
      <pivotArea dataOnly="0" labelOnly="1" fieldPosition="0">
        <references count="1">
          <reference field="6" count="50">
            <x v="6"/>
            <x v="9"/>
            <x v="15"/>
            <x v="20"/>
            <x v="29"/>
            <x v="30"/>
            <x v="31"/>
            <x v="38"/>
            <x v="39"/>
            <x v="41"/>
            <x v="52"/>
            <x v="54"/>
            <x v="56"/>
            <x v="59"/>
            <x v="69"/>
            <x v="70"/>
            <x v="71"/>
            <x v="74"/>
            <x v="81"/>
            <x v="83"/>
            <x v="84"/>
            <x v="85"/>
            <x v="89"/>
            <x v="96"/>
            <x v="99"/>
            <x v="104"/>
            <x v="105"/>
            <x v="121"/>
            <x v="136"/>
            <x v="137"/>
            <x v="139"/>
            <x v="143"/>
            <x v="144"/>
            <x v="152"/>
            <x v="154"/>
            <x v="156"/>
            <x v="157"/>
            <x v="160"/>
            <x v="165"/>
            <x v="166"/>
            <x v="167"/>
            <x v="170"/>
            <x v="181"/>
            <x v="183"/>
            <x v="198"/>
            <x v="199"/>
            <x v="202"/>
            <x v="203"/>
            <x v="204"/>
            <x v="206"/>
          </reference>
        </references>
      </pivotArea>
    </format>
    <format dxfId="2664">
      <pivotArea dataOnly="0" labelOnly="1" fieldPosition="0">
        <references count="1">
          <reference field="6" count="50">
            <x v="207"/>
            <x v="213"/>
            <x v="214"/>
            <x v="228"/>
            <x v="237"/>
            <x v="239"/>
            <x v="241"/>
            <x v="243"/>
            <x v="246"/>
            <x v="247"/>
            <x v="251"/>
            <x v="252"/>
            <x v="258"/>
            <x v="268"/>
            <x v="269"/>
            <x v="270"/>
            <x v="272"/>
            <x v="277"/>
            <x v="278"/>
            <x v="286"/>
            <x v="288"/>
            <x v="292"/>
            <x v="297"/>
            <x v="300"/>
            <x v="302"/>
            <x v="303"/>
            <x v="307"/>
            <x v="308"/>
            <x v="309"/>
            <x v="317"/>
            <x v="328"/>
            <x v="331"/>
            <x v="339"/>
            <x v="344"/>
            <x v="347"/>
            <x v="351"/>
            <x v="357"/>
            <x v="360"/>
            <x v="363"/>
            <x v="364"/>
            <x v="367"/>
            <x v="371"/>
            <x v="372"/>
            <x v="374"/>
            <x v="395"/>
            <x v="396"/>
            <x v="397"/>
            <x v="400"/>
            <x v="404"/>
            <x v="409"/>
          </reference>
        </references>
      </pivotArea>
    </format>
    <format dxfId="2663">
      <pivotArea dataOnly="0" labelOnly="1" fieldPosition="0">
        <references count="1">
          <reference field="6" count="50">
            <x v="429"/>
            <x v="430"/>
            <x v="431"/>
            <x v="434"/>
            <x v="441"/>
            <x v="446"/>
            <x v="448"/>
            <x v="452"/>
            <x v="454"/>
            <x v="458"/>
            <x v="461"/>
            <x v="467"/>
            <x v="468"/>
            <x v="471"/>
            <x v="472"/>
            <x v="478"/>
            <x v="481"/>
            <x v="486"/>
            <x v="487"/>
            <x v="491"/>
            <x v="496"/>
            <x v="498"/>
            <x v="504"/>
            <x v="507"/>
            <x v="508"/>
            <x v="509"/>
            <x v="511"/>
            <x v="514"/>
            <x v="515"/>
            <x v="517"/>
            <x v="518"/>
            <x v="525"/>
            <x v="526"/>
            <x v="531"/>
            <x v="532"/>
            <x v="533"/>
            <x v="535"/>
            <x v="540"/>
            <x v="556"/>
            <x v="557"/>
            <x v="559"/>
            <x v="562"/>
            <x v="564"/>
            <x v="567"/>
            <x v="569"/>
            <x v="570"/>
            <x v="571"/>
            <x v="580"/>
            <x v="587"/>
            <x v="590"/>
          </reference>
        </references>
      </pivotArea>
    </format>
    <format dxfId="2662">
      <pivotArea dataOnly="0" labelOnly="1" fieldPosition="0">
        <references count="1">
          <reference field="6" count="50">
            <x v="593"/>
            <x v="598"/>
            <x v="599"/>
            <x v="602"/>
            <x v="604"/>
            <x v="607"/>
            <x v="620"/>
            <x v="622"/>
            <x v="626"/>
            <x v="627"/>
            <x v="633"/>
            <x v="635"/>
            <x v="639"/>
            <x v="640"/>
            <x v="647"/>
            <x v="651"/>
            <x v="654"/>
            <x v="655"/>
            <x v="670"/>
            <x v="674"/>
            <x v="679"/>
            <x v="680"/>
            <x v="689"/>
            <x v="690"/>
            <x v="691"/>
            <x v="692"/>
            <x v="695"/>
            <x v="698"/>
            <x v="705"/>
            <x v="706"/>
            <x v="707"/>
            <x v="709"/>
            <x v="713"/>
            <x v="719"/>
            <x v="724"/>
            <x v="730"/>
            <x v="732"/>
            <x v="737"/>
            <x v="742"/>
            <x v="744"/>
            <x v="746"/>
            <x v="747"/>
            <x v="748"/>
            <x v="751"/>
            <x v="761"/>
            <x v="762"/>
            <x v="768"/>
            <x v="769"/>
            <x v="771"/>
            <x v="774"/>
          </reference>
        </references>
      </pivotArea>
    </format>
    <format dxfId="2661">
      <pivotArea dataOnly="0" labelOnly="1" fieldPosition="0">
        <references count="1">
          <reference field="6" count="50">
            <x v="775"/>
            <x v="784"/>
            <x v="787"/>
            <x v="795"/>
            <x v="800"/>
            <x v="809"/>
            <x v="812"/>
            <x v="816"/>
            <x v="831"/>
            <x v="836"/>
            <x v="840"/>
            <x v="843"/>
            <x v="845"/>
            <x v="865"/>
            <x v="866"/>
            <x v="874"/>
            <x v="883"/>
            <x v="887"/>
            <x v="894"/>
            <x v="902"/>
            <x v="911"/>
            <x v="912"/>
            <x v="913"/>
            <x v="915"/>
            <x v="917"/>
            <x v="919"/>
            <x v="922"/>
            <x v="942"/>
            <x v="944"/>
            <x v="948"/>
            <x v="953"/>
            <x v="954"/>
            <x v="963"/>
            <x v="968"/>
            <x v="974"/>
            <x v="976"/>
            <x v="978"/>
            <x v="991"/>
            <x v="1002"/>
            <x v="1003"/>
            <x v="1005"/>
            <x v="1029"/>
            <x v="1033"/>
            <x v="1036"/>
            <x v="1048"/>
            <x v="1049"/>
            <x v="1056"/>
            <x v="1067"/>
            <x v="1077"/>
            <x v="1080"/>
          </reference>
        </references>
      </pivotArea>
    </format>
    <format dxfId="2660">
      <pivotArea dataOnly="0" labelOnly="1" fieldPosition="0">
        <references count="1">
          <reference field="6" count="50">
            <x v="1082"/>
            <x v="1084"/>
            <x v="1091"/>
            <x v="1093"/>
            <x v="1095"/>
            <x v="1099"/>
            <x v="1102"/>
            <x v="1106"/>
            <x v="1116"/>
            <x v="1125"/>
            <x v="1132"/>
            <x v="1136"/>
            <x v="1145"/>
            <x v="1156"/>
            <x v="1165"/>
            <x v="1177"/>
            <x v="1178"/>
            <x v="1179"/>
            <x v="1194"/>
            <x v="1203"/>
            <x v="1205"/>
            <x v="1207"/>
            <x v="1215"/>
            <x v="1227"/>
            <x v="1231"/>
            <x v="1235"/>
            <x v="1237"/>
            <x v="1240"/>
            <x v="1243"/>
            <x v="1247"/>
            <x v="1253"/>
            <x v="1259"/>
            <x v="1261"/>
            <x v="1265"/>
            <x v="1273"/>
            <x v="1277"/>
            <x v="1279"/>
            <x v="1280"/>
            <x v="1287"/>
            <x v="1291"/>
            <x v="1293"/>
            <x v="1298"/>
            <x v="1304"/>
            <x v="1307"/>
            <x v="1321"/>
            <x v="1325"/>
            <x v="1332"/>
            <x v="1342"/>
            <x v="1344"/>
            <x v="1347"/>
          </reference>
        </references>
      </pivotArea>
    </format>
    <format dxfId="2659">
      <pivotArea dataOnly="0" labelOnly="1" fieldPosition="0">
        <references count="1">
          <reference field="6" count="50">
            <x v="1350"/>
            <x v="1359"/>
            <x v="1364"/>
            <x v="1369"/>
            <x v="1371"/>
            <x v="1372"/>
            <x v="1373"/>
            <x v="1374"/>
            <x v="1381"/>
            <x v="1397"/>
            <x v="1403"/>
            <x v="1406"/>
            <x v="1407"/>
            <x v="1408"/>
            <x v="1411"/>
            <x v="1420"/>
            <x v="1421"/>
            <x v="1425"/>
            <x v="1426"/>
            <x v="1430"/>
            <x v="1436"/>
            <x v="1446"/>
            <x v="1450"/>
            <x v="1453"/>
            <x v="1455"/>
            <x v="1456"/>
            <x v="1459"/>
            <x v="1463"/>
            <x v="1469"/>
            <x v="1480"/>
            <x v="1494"/>
            <x v="1497"/>
            <x v="1498"/>
            <x v="1499"/>
            <x v="1500"/>
            <x v="1504"/>
            <x v="1506"/>
            <x v="1507"/>
            <x v="1516"/>
            <x v="1532"/>
            <x v="1533"/>
            <x v="1534"/>
            <x v="1542"/>
            <x v="1546"/>
            <x v="1548"/>
            <x v="1550"/>
            <x v="1560"/>
            <x v="1566"/>
            <x v="1568"/>
            <x v="1569"/>
          </reference>
        </references>
      </pivotArea>
    </format>
    <format dxfId="2658">
      <pivotArea dataOnly="0" labelOnly="1" fieldPosition="0">
        <references count="1">
          <reference field="6" count="23">
            <x v="1578"/>
            <x v="1580"/>
            <x v="1586"/>
            <x v="1588"/>
            <x v="1589"/>
            <x v="1595"/>
            <x v="1607"/>
            <x v="1610"/>
            <x v="1629"/>
            <x v="1632"/>
            <x v="1634"/>
            <x v="1638"/>
            <x v="1639"/>
            <x v="1644"/>
            <x v="1645"/>
            <x v="1660"/>
            <x v="1664"/>
            <x v="1668"/>
            <x v="1670"/>
            <x v="1674"/>
            <x v="1676"/>
            <x v="1677"/>
            <x v="1678"/>
          </reference>
        </references>
      </pivotArea>
    </format>
    <format dxfId="2657">
      <pivotArea dataOnly="0" labelOnly="1" grandRow="1" outline="0" fieldPosition="0"/>
    </format>
    <format dxfId="2656">
      <pivotArea dataOnly="0" labelOnly="1" fieldPosition="0">
        <references count="1">
          <reference field="19" count="0"/>
        </references>
      </pivotArea>
    </format>
    <format dxfId="2655">
      <pivotArea dataOnly="0" labelOnly="1" grandCol="1" outline="0" fieldPosition="0"/>
    </format>
    <format dxfId="2654">
      <pivotArea collapsedLevelsAreSubtotals="1" fieldPosition="0">
        <references count="1">
          <reference field="6" count="406">
            <x v="20"/>
            <x v="30"/>
            <x v="36"/>
            <x v="39"/>
            <x v="41"/>
            <x v="49"/>
            <x v="52"/>
            <x v="54"/>
            <x v="55"/>
            <x v="56"/>
            <x v="62"/>
            <x v="70"/>
            <x v="74"/>
            <x v="76"/>
            <x v="81"/>
            <x v="84"/>
            <x v="89"/>
            <x v="90"/>
            <x v="97"/>
            <x v="98"/>
            <x v="100"/>
            <x v="105"/>
            <x v="107"/>
            <x v="112"/>
            <x v="120"/>
            <x v="124"/>
            <x v="130"/>
            <x v="131"/>
            <x v="134"/>
            <x v="139"/>
            <x v="146"/>
            <x v="155"/>
            <x v="156"/>
            <x v="161"/>
            <x v="162"/>
            <x v="163"/>
            <x v="165"/>
            <x v="172"/>
            <x v="177"/>
            <x v="180"/>
            <x v="186"/>
            <x v="190"/>
            <x v="191"/>
            <x v="195"/>
            <x v="204"/>
            <x v="206"/>
            <x v="209"/>
            <x v="213"/>
            <x v="214"/>
            <x v="217"/>
            <x v="220"/>
            <x v="223"/>
            <x v="226"/>
            <x v="229"/>
            <x v="231"/>
            <x v="232"/>
            <x v="235"/>
            <x v="237"/>
            <x v="239"/>
            <x v="242"/>
            <x v="243"/>
            <x v="251"/>
            <x v="254"/>
            <x v="256"/>
            <x v="258"/>
            <x v="262"/>
            <x v="269"/>
            <x v="272"/>
            <x v="275"/>
            <x v="277"/>
            <x v="279"/>
            <x v="287"/>
            <x v="294"/>
            <x v="295"/>
            <x v="302"/>
            <x v="304"/>
            <x v="309"/>
            <x v="313"/>
            <x v="320"/>
            <x v="327"/>
            <x v="328"/>
            <x v="333"/>
            <x v="337"/>
            <x v="341"/>
            <x v="344"/>
            <x v="346"/>
            <x v="351"/>
            <x v="354"/>
            <x v="355"/>
            <x v="357"/>
            <x v="374"/>
            <x v="378"/>
            <x v="396"/>
            <x v="397"/>
            <x v="400"/>
            <x v="403"/>
            <x v="404"/>
            <x v="409"/>
            <x v="411"/>
            <x v="435"/>
            <x v="441"/>
            <x v="444"/>
            <x v="448"/>
            <x v="453"/>
            <x v="457"/>
            <x v="458"/>
            <x v="461"/>
            <x v="462"/>
            <x v="464"/>
            <x v="466"/>
            <x v="467"/>
            <x v="468"/>
            <x v="472"/>
            <x v="473"/>
            <x v="478"/>
            <x v="481"/>
            <x v="485"/>
            <x v="487"/>
            <x v="491"/>
            <x v="512"/>
            <x v="514"/>
            <x v="519"/>
            <x v="525"/>
            <x v="526"/>
            <x v="531"/>
            <x v="532"/>
            <x v="533"/>
            <x v="539"/>
            <x v="546"/>
            <x v="551"/>
            <x v="554"/>
            <x v="570"/>
            <x v="582"/>
            <x v="597"/>
            <x v="599"/>
            <x v="601"/>
            <x v="602"/>
            <x v="603"/>
            <x v="607"/>
            <x v="624"/>
            <x v="625"/>
            <x v="626"/>
            <x v="627"/>
            <x v="629"/>
            <x v="633"/>
            <x v="644"/>
            <x v="646"/>
            <x v="648"/>
            <x v="653"/>
            <x v="654"/>
            <x v="657"/>
            <x v="659"/>
            <x v="660"/>
            <x v="663"/>
            <x v="665"/>
            <x v="674"/>
            <x v="686"/>
            <x v="688"/>
            <x v="689"/>
            <x v="690"/>
            <x v="691"/>
            <x v="694"/>
            <x v="695"/>
            <x v="705"/>
            <x v="706"/>
            <x v="709"/>
            <x v="722"/>
            <x v="723"/>
            <x v="727"/>
            <x v="732"/>
            <x v="733"/>
            <x v="734"/>
            <x v="736"/>
            <x v="737"/>
            <x v="742"/>
            <x v="744"/>
            <x v="746"/>
            <x v="751"/>
            <x v="752"/>
            <x v="754"/>
            <x v="757"/>
            <x v="759"/>
            <x v="760"/>
            <x v="769"/>
            <x v="772"/>
            <x v="775"/>
            <x v="781"/>
            <x v="786"/>
            <x v="793"/>
            <x v="795"/>
            <x v="797"/>
            <x v="805"/>
            <x v="812"/>
            <x v="813"/>
            <x v="816"/>
            <x v="817"/>
            <x v="830"/>
            <x v="831"/>
            <x v="832"/>
            <x v="833"/>
            <x v="835"/>
            <x v="839"/>
            <x v="851"/>
            <x v="859"/>
            <x v="860"/>
            <x v="865"/>
            <x v="874"/>
            <x v="876"/>
            <x v="882"/>
            <x v="886"/>
            <x v="887"/>
            <x v="888"/>
            <x v="891"/>
            <x v="892"/>
            <x v="893"/>
            <x v="894"/>
            <x v="899"/>
            <x v="900"/>
            <x v="901"/>
            <x v="910"/>
            <x v="911"/>
            <x v="912"/>
            <x v="913"/>
            <x v="915"/>
            <x v="916"/>
            <x v="922"/>
            <x v="924"/>
            <x v="928"/>
            <x v="935"/>
            <x v="936"/>
            <x v="950"/>
            <x v="954"/>
            <x v="966"/>
            <x v="967"/>
            <x v="968"/>
            <x v="971"/>
            <x v="978"/>
            <x v="982"/>
            <x v="985"/>
            <x v="988"/>
            <x v="994"/>
            <x v="998"/>
            <x v="999"/>
            <x v="1000"/>
            <x v="1002"/>
            <x v="1004"/>
            <x v="1006"/>
            <x v="1008"/>
            <x v="1015"/>
            <x v="1017"/>
            <x v="1029"/>
            <x v="1031"/>
            <x v="1035"/>
            <x v="1039"/>
            <x v="1040"/>
            <x v="1046"/>
            <x v="1048"/>
            <x v="1050"/>
            <x v="1056"/>
            <x v="1065"/>
            <x v="1070"/>
            <x v="1074"/>
            <x v="1087"/>
            <x v="1093"/>
            <x v="1097"/>
            <x v="1099"/>
            <x v="1103"/>
            <x v="1104"/>
            <x v="1110"/>
            <x v="1113"/>
            <x v="1116"/>
            <x v="1119"/>
            <x v="1120"/>
            <x v="1121"/>
            <x v="1131"/>
            <x v="1136"/>
            <x v="1139"/>
            <x v="1141"/>
            <x v="1143"/>
            <x v="1145"/>
            <x v="1150"/>
            <x v="1162"/>
            <x v="1165"/>
            <x v="1167"/>
            <x v="1174"/>
            <x v="1180"/>
            <x v="1186"/>
            <x v="1187"/>
            <x v="1192"/>
            <x v="1194"/>
            <x v="1205"/>
            <x v="1207"/>
            <x v="1215"/>
            <x v="1217"/>
            <x v="1220"/>
            <x v="1227"/>
            <x v="1228"/>
            <x v="1230"/>
            <x v="1233"/>
            <x v="1238"/>
            <x v="1240"/>
            <x v="1241"/>
            <x v="1254"/>
            <x v="1261"/>
            <x v="1266"/>
            <x v="1267"/>
            <x v="1274"/>
            <x v="1279"/>
            <x v="1280"/>
            <x v="1290"/>
            <x v="1292"/>
            <x v="1293"/>
            <x v="1298"/>
            <x v="1300"/>
            <x v="1304"/>
            <x v="1306"/>
            <x v="1317"/>
            <x v="1321"/>
            <x v="1322"/>
            <x v="1328"/>
            <x v="1331"/>
            <x v="1332"/>
            <x v="1340"/>
            <x v="1342"/>
            <x v="1352"/>
            <x v="1356"/>
            <x v="1359"/>
            <x v="1369"/>
            <x v="1371"/>
            <x v="1373"/>
            <x v="1374"/>
            <x v="1376"/>
            <x v="1377"/>
            <x v="1385"/>
            <x v="1387"/>
            <x v="1397"/>
            <x v="1401"/>
            <x v="1406"/>
            <x v="1407"/>
            <x v="1411"/>
            <x v="1420"/>
            <x v="1421"/>
            <x v="1423"/>
            <x v="1426"/>
            <x v="1428"/>
            <x v="1435"/>
            <x v="1437"/>
            <x v="1441"/>
            <x v="1443"/>
            <x v="1448"/>
            <x v="1453"/>
            <x v="1455"/>
            <x v="1456"/>
            <x v="1459"/>
            <x v="1469"/>
            <x v="1472"/>
            <x v="1475"/>
            <x v="1482"/>
            <x v="1483"/>
            <x v="1484"/>
            <x v="1487"/>
            <x v="1493"/>
            <x v="1495"/>
            <x v="1506"/>
            <x v="1507"/>
            <x v="1508"/>
            <x v="1509"/>
            <x v="1512"/>
            <x v="1518"/>
            <x v="1523"/>
            <x v="1524"/>
            <x v="1532"/>
            <x v="1534"/>
            <x v="1535"/>
            <x v="1536"/>
            <x v="1541"/>
            <x v="1543"/>
            <x v="1545"/>
            <x v="1553"/>
            <x v="1563"/>
            <x v="1564"/>
            <x v="1575"/>
            <x v="1578"/>
            <x v="1584"/>
            <x v="1585"/>
            <x v="1586"/>
            <x v="1589"/>
            <x v="1590"/>
            <x v="1595"/>
            <x v="1596"/>
            <x v="1600"/>
            <x v="1603"/>
            <x v="1606"/>
            <x v="1609"/>
            <x v="1610"/>
            <x v="1630"/>
            <x v="1632"/>
            <x v="1642"/>
            <x v="1644"/>
            <x v="1648"/>
            <x v="1655"/>
            <x v="1657"/>
            <x v="1667"/>
            <x v="1670"/>
            <x v="1674"/>
            <x v="1676"/>
          </reference>
        </references>
      </pivotArea>
    </format>
    <format dxfId="2653">
      <pivotArea dataOnly="0" labelOnly="1" fieldPosition="0">
        <references count="1">
          <reference field="6" count="50">
            <x v="20"/>
            <x v="30"/>
            <x v="39"/>
            <x v="41"/>
            <x v="52"/>
            <x v="54"/>
            <x v="56"/>
            <x v="62"/>
            <x v="70"/>
            <x v="74"/>
            <x v="81"/>
            <x v="84"/>
            <x v="89"/>
            <x v="105"/>
            <x v="130"/>
            <x v="139"/>
            <x v="156"/>
            <x v="165"/>
            <x v="204"/>
            <x v="206"/>
            <x v="213"/>
            <x v="214"/>
            <x v="237"/>
            <x v="239"/>
            <x v="243"/>
            <x v="251"/>
            <x v="258"/>
            <x v="269"/>
            <x v="272"/>
            <x v="277"/>
            <x v="279"/>
            <x v="295"/>
            <x v="302"/>
            <x v="304"/>
            <x v="309"/>
            <x v="328"/>
            <x v="344"/>
            <x v="351"/>
            <x v="357"/>
            <x v="374"/>
            <x v="396"/>
            <x v="397"/>
            <x v="400"/>
            <x v="404"/>
            <x v="409"/>
            <x v="441"/>
            <x v="448"/>
            <x v="458"/>
            <x v="461"/>
            <x v="467"/>
          </reference>
        </references>
      </pivotArea>
    </format>
    <format dxfId="2652">
      <pivotArea dataOnly="0" labelOnly="1" fieldPosition="0">
        <references count="1">
          <reference field="6" count="50">
            <x v="468"/>
            <x v="472"/>
            <x v="478"/>
            <x v="481"/>
            <x v="487"/>
            <x v="491"/>
            <x v="514"/>
            <x v="525"/>
            <x v="526"/>
            <x v="531"/>
            <x v="532"/>
            <x v="533"/>
            <x v="554"/>
            <x v="570"/>
            <x v="599"/>
            <x v="602"/>
            <x v="607"/>
            <x v="626"/>
            <x v="627"/>
            <x v="633"/>
            <x v="646"/>
            <x v="648"/>
            <x v="654"/>
            <x v="674"/>
            <x v="686"/>
            <x v="689"/>
            <x v="690"/>
            <x v="691"/>
            <x v="695"/>
            <x v="705"/>
            <x v="706"/>
            <x v="709"/>
            <x v="732"/>
            <x v="737"/>
            <x v="742"/>
            <x v="744"/>
            <x v="746"/>
            <x v="751"/>
            <x v="769"/>
            <x v="775"/>
            <x v="795"/>
            <x v="797"/>
            <x v="805"/>
            <x v="812"/>
            <x v="816"/>
            <x v="831"/>
            <x v="835"/>
            <x v="865"/>
            <x v="874"/>
            <x v="887"/>
          </reference>
        </references>
      </pivotArea>
    </format>
    <format dxfId="2651">
      <pivotArea dataOnly="0" labelOnly="1" fieldPosition="0">
        <references count="1">
          <reference field="6" count="50">
            <x v="893"/>
            <x v="894"/>
            <x v="900"/>
            <x v="911"/>
            <x v="912"/>
            <x v="913"/>
            <x v="915"/>
            <x v="922"/>
            <x v="935"/>
            <x v="950"/>
            <x v="954"/>
            <x v="968"/>
            <x v="978"/>
            <x v="998"/>
            <x v="1002"/>
            <x v="1029"/>
            <x v="1048"/>
            <x v="1056"/>
            <x v="1087"/>
            <x v="1093"/>
            <x v="1099"/>
            <x v="1116"/>
            <x v="1136"/>
            <x v="1145"/>
            <x v="1150"/>
            <x v="1165"/>
            <x v="1194"/>
            <x v="1205"/>
            <x v="1207"/>
            <x v="1215"/>
            <x v="1220"/>
            <x v="1227"/>
            <x v="1240"/>
            <x v="1241"/>
            <x v="1261"/>
            <x v="1279"/>
            <x v="1280"/>
            <x v="1293"/>
            <x v="1298"/>
            <x v="1300"/>
            <x v="1304"/>
            <x v="1321"/>
            <x v="1332"/>
            <x v="1342"/>
            <x v="1359"/>
            <x v="1369"/>
            <x v="1371"/>
            <x v="1373"/>
            <x v="1374"/>
            <x v="1397"/>
          </reference>
        </references>
      </pivotArea>
    </format>
    <format dxfId="2650">
      <pivotArea dataOnly="0" labelOnly="1" fieldPosition="0">
        <references count="1">
          <reference field="6" count="50">
            <x v="172"/>
            <x v="231"/>
            <x v="262"/>
            <x v="464"/>
            <x v="519"/>
            <x v="629"/>
            <x v="659"/>
            <x v="694"/>
            <x v="736"/>
            <x v="813"/>
            <x v="859"/>
            <x v="899"/>
            <x v="999"/>
            <x v="1121"/>
            <x v="1267"/>
            <x v="1290"/>
            <x v="1401"/>
            <x v="1406"/>
            <x v="1407"/>
            <x v="1411"/>
            <x v="1420"/>
            <x v="1421"/>
            <x v="1423"/>
            <x v="1426"/>
            <x v="1441"/>
            <x v="1453"/>
            <x v="1455"/>
            <x v="1456"/>
            <x v="1459"/>
            <x v="1469"/>
            <x v="1483"/>
            <x v="1506"/>
            <x v="1507"/>
            <x v="1532"/>
            <x v="1534"/>
            <x v="1535"/>
            <x v="1578"/>
            <x v="1586"/>
            <x v="1589"/>
            <x v="1595"/>
            <x v="1596"/>
            <x v="1600"/>
            <x v="1603"/>
            <x v="1610"/>
            <x v="1632"/>
            <x v="1644"/>
            <x v="1655"/>
            <x v="1670"/>
            <x v="1674"/>
            <x v="1676"/>
          </reference>
        </references>
      </pivotArea>
    </format>
    <format dxfId="2649">
      <pivotArea dataOnly="0" labelOnly="1" fieldPosition="0">
        <references count="1">
          <reference field="6" count="50">
            <x v="76"/>
            <x v="90"/>
            <x v="98"/>
            <x v="100"/>
            <x v="146"/>
            <x v="186"/>
            <x v="191"/>
            <x v="195"/>
            <x v="220"/>
            <x v="254"/>
            <x v="256"/>
            <x v="275"/>
            <x v="346"/>
            <x v="411"/>
            <x v="473"/>
            <x v="546"/>
            <x v="551"/>
            <x v="597"/>
            <x v="625"/>
            <x v="660"/>
            <x v="688"/>
            <x v="876"/>
            <x v="888"/>
            <x v="892"/>
            <x v="916"/>
            <x v="936"/>
            <x v="966"/>
            <x v="971"/>
            <x v="1040"/>
            <x v="1103"/>
            <x v="1104"/>
            <x v="1119"/>
            <x v="1139"/>
            <x v="1192"/>
            <x v="1230"/>
            <x v="1233"/>
            <x v="1266"/>
            <x v="1274"/>
            <x v="1306"/>
            <x v="1328"/>
            <x v="1331"/>
            <x v="1340"/>
            <x v="1437"/>
            <x v="1443"/>
            <x v="1487"/>
            <x v="1512"/>
            <x v="1553"/>
            <x v="1564"/>
            <x v="1630"/>
            <x v="1667"/>
          </reference>
        </references>
      </pivotArea>
    </format>
    <format dxfId="2648">
      <pivotArea dataOnly="0" labelOnly="1" fieldPosition="0">
        <references count="1">
          <reference field="6" count="50">
            <x v="107"/>
            <x v="112"/>
            <x v="120"/>
            <x v="124"/>
            <x v="131"/>
            <x v="163"/>
            <x v="190"/>
            <x v="229"/>
            <x v="242"/>
            <x v="320"/>
            <x v="333"/>
            <x v="341"/>
            <x v="355"/>
            <x v="403"/>
            <x v="466"/>
            <x v="485"/>
            <x v="512"/>
            <x v="539"/>
            <x v="582"/>
            <x v="601"/>
            <x v="624"/>
            <x v="644"/>
            <x v="653"/>
            <x v="657"/>
            <x v="663"/>
            <x v="723"/>
            <x v="733"/>
            <x v="760"/>
            <x v="839"/>
            <x v="882"/>
            <x v="910"/>
            <x v="994"/>
            <x v="1004"/>
            <x v="1031"/>
            <x v="1035"/>
            <x v="1097"/>
            <x v="1120"/>
            <x v="1131"/>
            <x v="1228"/>
            <x v="1322"/>
            <x v="1352"/>
            <x v="1377"/>
            <x v="1472"/>
            <x v="1484"/>
            <x v="1509"/>
            <x v="1523"/>
            <x v="1536"/>
            <x v="1545"/>
            <x v="1585"/>
            <x v="1642"/>
          </reference>
        </references>
      </pivotArea>
    </format>
    <format dxfId="2647">
      <pivotArea dataOnly="0" labelOnly="1" fieldPosition="0">
        <references count="1">
          <reference field="6" count="50">
            <x v="36"/>
            <x v="49"/>
            <x v="55"/>
            <x v="97"/>
            <x v="155"/>
            <x v="161"/>
            <x v="209"/>
            <x v="217"/>
            <x v="294"/>
            <x v="313"/>
            <x v="327"/>
            <x v="337"/>
            <x v="378"/>
            <x v="435"/>
            <x v="453"/>
            <x v="462"/>
            <x v="603"/>
            <x v="754"/>
            <x v="759"/>
            <x v="772"/>
            <x v="817"/>
            <x v="832"/>
            <x v="851"/>
            <x v="891"/>
            <x v="901"/>
            <x v="924"/>
            <x v="928"/>
            <x v="967"/>
            <x v="982"/>
            <x v="1000"/>
            <x v="1006"/>
            <x v="1039"/>
            <x v="1046"/>
            <x v="1050"/>
            <x v="1070"/>
            <x v="1110"/>
            <x v="1174"/>
            <x v="1186"/>
            <x v="1187"/>
            <x v="1238"/>
            <x v="1387"/>
            <x v="1448"/>
            <x v="1475"/>
            <x v="1493"/>
            <x v="1495"/>
            <x v="1518"/>
            <x v="1524"/>
            <x v="1543"/>
            <x v="1648"/>
            <x v="1657"/>
          </reference>
        </references>
      </pivotArea>
    </format>
    <format dxfId="2646">
      <pivotArea dataOnly="0" labelOnly="1" fieldPosition="0">
        <references count="1">
          <reference field="6" count="50">
            <x v="134"/>
            <x v="162"/>
            <x v="177"/>
            <x v="180"/>
            <x v="226"/>
            <x v="232"/>
            <x v="235"/>
            <x v="287"/>
            <x v="354"/>
            <x v="444"/>
            <x v="457"/>
            <x v="665"/>
            <x v="722"/>
            <x v="727"/>
            <x v="734"/>
            <x v="752"/>
            <x v="757"/>
            <x v="781"/>
            <x v="786"/>
            <x v="793"/>
            <x v="830"/>
            <x v="833"/>
            <x v="860"/>
            <x v="886"/>
            <x v="985"/>
            <x v="1008"/>
            <x v="1015"/>
            <x v="1017"/>
            <x v="1065"/>
            <x v="1074"/>
            <x v="1113"/>
            <x v="1141"/>
            <x v="1143"/>
            <x v="1162"/>
            <x v="1167"/>
            <x v="1180"/>
            <x v="1217"/>
            <x v="1254"/>
            <x v="1317"/>
            <x v="1356"/>
            <x v="1385"/>
            <x v="1428"/>
            <x v="1435"/>
            <x v="1482"/>
            <x v="1563"/>
            <x v="1575"/>
            <x v="1584"/>
            <x v="1590"/>
            <x v="1606"/>
            <x v="1609"/>
          </reference>
        </references>
      </pivotArea>
    </format>
    <format dxfId="2645">
      <pivotArea dataOnly="0" labelOnly="1" fieldPosition="0">
        <references count="1">
          <reference field="6" count="6">
            <x v="223"/>
            <x v="988"/>
            <x v="1292"/>
            <x v="1376"/>
            <x v="1508"/>
            <x v="1541"/>
          </reference>
        </references>
      </pivotArea>
    </format>
    <format dxfId="2644">
      <pivotArea collapsedLevelsAreSubtotals="1" fieldPosition="0">
        <references count="1">
          <reference field="6" count="1">
            <x v="20"/>
          </reference>
        </references>
      </pivotArea>
    </format>
    <format dxfId="2643">
      <pivotArea dataOnly="0" labelOnly="1" fieldPosition="0">
        <references count="1">
          <reference field="6" count="1">
            <x v="20"/>
          </reference>
        </references>
      </pivotArea>
    </format>
    <format dxfId="2642">
      <pivotArea collapsedLevelsAreSubtotals="1" fieldPosition="0">
        <references count="1">
          <reference field="6" count="1">
            <x v="20"/>
          </reference>
        </references>
      </pivotArea>
    </format>
    <format dxfId="2641">
      <pivotArea collapsedLevelsAreSubtotals="1" fieldPosition="0">
        <references count="1">
          <reference field="6" count="1">
            <x v="30"/>
          </reference>
        </references>
      </pivotArea>
    </format>
    <format dxfId="2640">
      <pivotArea collapsedLevelsAreSubtotals="1" fieldPosition="0">
        <references count="1">
          <reference field="6" count="1">
            <x v="36"/>
          </reference>
        </references>
      </pivotArea>
    </format>
    <format dxfId="2639">
      <pivotArea collapsedLevelsAreSubtotals="1" fieldPosition="0">
        <references count="1">
          <reference field="6" count="1">
            <x v="39"/>
          </reference>
        </references>
      </pivotArea>
    </format>
    <format dxfId="2638">
      <pivotArea collapsedLevelsAreSubtotals="1" fieldPosition="0">
        <references count="1">
          <reference field="6" count="1">
            <x v="41"/>
          </reference>
        </references>
      </pivotArea>
    </format>
    <format dxfId="2637">
      <pivotArea collapsedLevelsAreSubtotals="1" fieldPosition="0">
        <references count="1">
          <reference field="6" count="1">
            <x v="49"/>
          </reference>
        </references>
      </pivotArea>
    </format>
    <format dxfId="2636">
      <pivotArea collapsedLevelsAreSubtotals="1" fieldPosition="0">
        <references count="1">
          <reference field="6" count="1">
            <x v="52"/>
          </reference>
        </references>
      </pivotArea>
    </format>
    <format dxfId="2635">
      <pivotArea collapsedLevelsAreSubtotals="1" fieldPosition="0">
        <references count="1">
          <reference field="6" count="1">
            <x v="54"/>
          </reference>
        </references>
      </pivotArea>
    </format>
    <format dxfId="2634">
      <pivotArea collapsedLevelsAreSubtotals="1" fieldPosition="0">
        <references count="1">
          <reference field="6" count="1">
            <x v="55"/>
          </reference>
        </references>
      </pivotArea>
    </format>
    <format dxfId="2633">
      <pivotArea collapsedLevelsAreSubtotals="1" fieldPosition="0">
        <references count="1">
          <reference field="6" count="1">
            <x v="56"/>
          </reference>
        </references>
      </pivotArea>
    </format>
    <format dxfId="2632">
      <pivotArea collapsedLevelsAreSubtotals="1" fieldPosition="0">
        <references count="1">
          <reference field="6" count="1">
            <x v="62"/>
          </reference>
        </references>
      </pivotArea>
    </format>
    <format dxfId="2631">
      <pivotArea collapsedLevelsAreSubtotals="1" fieldPosition="0">
        <references count="1">
          <reference field="6" count="1">
            <x v="70"/>
          </reference>
        </references>
      </pivotArea>
    </format>
    <format dxfId="2630">
      <pivotArea collapsedLevelsAreSubtotals="1" fieldPosition="0">
        <references count="1">
          <reference field="6" count="1">
            <x v="74"/>
          </reference>
        </references>
      </pivotArea>
    </format>
    <format dxfId="2629">
      <pivotArea collapsedLevelsAreSubtotals="1" fieldPosition="0">
        <references count="1">
          <reference field="6" count="1">
            <x v="76"/>
          </reference>
        </references>
      </pivotArea>
    </format>
    <format dxfId="2628">
      <pivotArea collapsedLevelsAreSubtotals="1" fieldPosition="0">
        <references count="1">
          <reference field="6" count="1">
            <x v="81"/>
          </reference>
        </references>
      </pivotArea>
    </format>
    <format dxfId="2627">
      <pivotArea collapsedLevelsAreSubtotals="1" fieldPosition="0">
        <references count="1">
          <reference field="6" count="1">
            <x v="84"/>
          </reference>
        </references>
      </pivotArea>
    </format>
    <format dxfId="2626">
      <pivotArea collapsedLevelsAreSubtotals="1" fieldPosition="0">
        <references count="1">
          <reference field="6" count="1">
            <x v="89"/>
          </reference>
        </references>
      </pivotArea>
    </format>
    <format dxfId="2625">
      <pivotArea collapsedLevelsAreSubtotals="1" fieldPosition="0">
        <references count="1">
          <reference field="6" count="1">
            <x v="90"/>
          </reference>
        </references>
      </pivotArea>
    </format>
    <format dxfId="2624">
      <pivotArea collapsedLevelsAreSubtotals="1" fieldPosition="0">
        <references count="1">
          <reference field="6" count="1">
            <x v="97"/>
          </reference>
        </references>
      </pivotArea>
    </format>
    <format dxfId="2623">
      <pivotArea collapsedLevelsAreSubtotals="1" fieldPosition="0">
        <references count="1">
          <reference field="6" count="1">
            <x v="98"/>
          </reference>
        </references>
      </pivotArea>
    </format>
    <format dxfId="2622">
      <pivotArea collapsedLevelsAreSubtotals="1" fieldPosition="0">
        <references count="1">
          <reference field="6" count="1">
            <x v="100"/>
          </reference>
        </references>
      </pivotArea>
    </format>
    <format dxfId="2621">
      <pivotArea collapsedLevelsAreSubtotals="1" fieldPosition="0">
        <references count="1">
          <reference field="6" count="1">
            <x v="105"/>
          </reference>
        </references>
      </pivotArea>
    </format>
    <format dxfId="2620">
      <pivotArea collapsedLevelsAreSubtotals="1" fieldPosition="0">
        <references count="1">
          <reference field="6" count="1">
            <x v="107"/>
          </reference>
        </references>
      </pivotArea>
    </format>
    <format dxfId="2619">
      <pivotArea collapsedLevelsAreSubtotals="1" fieldPosition="0">
        <references count="1">
          <reference field="6" count="1">
            <x v="112"/>
          </reference>
        </references>
      </pivotArea>
    </format>
    <format dxfId="2618">
      <pivotArea collapsedLevelsAreSubtotals="1" fieldPosition="0">
        <references count="1">
          <reference field="6" count="1">
            <x v="120"/>
          </reference>
        </references>
      </pivotArea>
    </format>
    <format dxfId="2617">
      <pivotArea collapsedLevelsAreSubtotals="1" fieldPosition="0">
        <references count="1">
          <reference field="6" count="1">
            <x v="124"/>
          </reference>
        </references>
      </pivotArea>
    </format>
    <format dxfId="2616">
      <pivotArea collapsedLevelsAreSubtotals="1" fieldPosition="0">
        <references count="1">
          <reference field="6" count="1">
            <x v="130"/>
          </reference>
        </references>
      </pivotArea>
    </format>
    <format dxfId="2615">
      <pivotArea collapsedLevelsAreSubtotals="1" fieldPosition="0">
        <references count="1">
          <reference field="6" count="1">
            <x v="131"/>
          </reference>
        </references>
      </pivotArea>
    </format>
    <format dxfId="2614">
      <pivotArea collapsedLevelsAreSubtotals="1" fieldPosition="0">
        <references count="1">
          <reference field="6" count="1">
            <x v="134"/>
          </reference>
        </references>
      </pivotArea>
    </format>
    <format dxfId="2613">
      <pivotArea collapsedLevelsAreSubtotals="1" fieldPosition="0">
        <references count="1">
          <reference field="6" count="1">
            <x v="139"/>
          </reference>
        </references>
      </pivotArea>
    </format>
    <format dxfId="2612">
      <pivotArea collapsedLevelsAreSubtotals="1" fieldPosition="0">
        <references count="1">
          <reference field="6" count="1">
            <x v="146"/>
          </reference>
        </references>
      </pivotArea>
    </format>
    <format dxfId="2611">
      <pivotArea collapsedLevelsAreSubtotals="1" fieldPosition="0">
        <references count="1">
          <reference field="6" count="1">
            <x v="155"/>
          </reference>
        </references>
      </pivotArea>
    </format>
    <format dxfId="2610">
      <pivotArea collapsedLevelsAreSubtotals="1" fieldPosition="0">
        <references count="1">
          <reference field="6" count="1">
            <x v="156"/>
          </reference>
        </references>
      </pivotArea>
    </format>
    <format dxfId="2609">
      <pivotArea collapsedLevelsAreSubtotals="1" fieldPosition="0">
        <references count="1">
          <reference field="6" count="1">
            <x v="161"/>
          </reference>
        </references>
      </pivotArea>
    </format>
    <format dxfId="2608">
      <pivotArea collapsedLevelsAreSubtotals="1" fieldPosition="0">
        <references count="1">
          <reference field="6" count="1">
            <x v="162"/>
          </reference>
        </references>
      </pivotArea>
    </format>
    <format dxfId="2607">
      <pivotArea collapsedLevelsAreSubtotals="1" fieldPosition="0">
        <references count="1">
          <reference field="6" count="1">
            <x v="163"/>
          </reference>
        </references>
      </pivotArea>
    </format>
    <format dxfId="2606">
      <pivotArea collapsedLevelsAreSubtotals="1" fieldPosition="0">
        <references count="1">
          <reference field="6" count="1">
            <x v="165"/>
          </reference>
        </references>
      </pivotArea>
    </format>
    <format dxfId="2605">
      <pivotArea collapsedLevelsAreSubtotals="1" fieldPosition="0">
        <references count="1">
          <reference field="6" count="1">
            <x v="172"/>
          </reference>
        </references>
      </pivotArea>
    </format>
    <format dxfId="2604">
      <pivotArea collapsedLevelsAreSubtotals="1" fieldPosition="0">
        <references count="1">
          <reference field="6" count="1">
            <x v="177"/>
          </reference>
        </references>
      </pivotArea>
    </format>
    <format dxfId="2603">
      <pivotArea collapsedLevelsAreSubtotals="1" fieldPosition="0">
        <references count="1">
          <reference field="6" count="1">
            <x v="180"/>
          </reference>
        </references>
      </pivotArea>
    </format>
    <format dxfId="2602">
      <pivotArea collapsedLevelsAreSubtotals="1" fieldPosition="0">
        <references count="1">
          <reference field="6" count="1">
            <x v="186"/>
          </reference>
        </references>
      </pivotArea>
    </format>
    <format dxfId="2601">
      <pivotArea collapsedLevelsAreSubtotals="1" fieldPosition="0">
        <references count="1">
          <reference field="6" count="1">
            <x v="190"/>
          </reference>
        </references>
      </pivotArea>
    </format>
    <format dxfId="2600">
      <pivotArea collapsedLevelsAreSubtotals="1" fieldPosition="0">
        <references count="1">
          <reference field="6" count="1">
            <x v="191"/>
          </reference>
        </references>
      </pivotArea>
    </format>
    <format dxfId="2599">
      <pivotArea collapsedLevelsAreSubtotals="1" fieldPosition="0">
        <references count="1">
          <reference field="6" count="1">
            <x v="195"/>
          </reference>
        </references>
      </pivotArea>
    </format>
    <format dxfId="2598">
      <pivotArea collapsedLevelsAreSubtotals="1" fieldPosition="0">
        <references count="1">
          <reference field="6" count="1">
            <x v="204"/>
          </reference>
        </references>
      </pivotArea>
    </format>
    <format dxfId="2597">
      <pivotArea collapsedLevelsAreSubtotals="1" fieldPosition="0">
        <references count="1">
          <reference field="6" count="1">
            <x v="206"/>
          </reference>
        </references>
      </pivotArea>
    </format>
    <format dxfId="2596">
      <pivotArea collapsedLevelsAreSubtotals="1" fieldPosition="0">
        <references count="1">
          <reference field="6" count="1">
            <x v="209"/>
          </reference>
        </references>
      </pivotArea>
    </format>
    <format dxfId="2595">
      <pivotArea collapsedLevelsAreSubtotals="1" fieldPosition="0">
        <references count="1">
          <reference field="6" count="1">
            <x v="213"/>
          </reference>
        </references>
      </pivotArea>
    </format>
    <format dxfId="2594">
      <pivotArea collapsedLevelsAreSubtotals="1" fieldPosition="0">
        <references count="1">
          <reference field="6" count="1">
            <x v="214"/>
          </reference>
        </references>
      </pivotArea>
    </format>
    <format dxfId="2593">
      <pivotArea collapsedLevelsAreSubtotals="1" fieldPosition="0">
        <references count="1">
          <reference field="6" count="1">
            <x v="217"/>
          </reference>
        </references>
      </pivotArea>
    </format>
    <format dxfId="2592">
      <pivotArea collapsedLevelsAreSubtotals="1" fieldPosition="0">
        <references count="1">
          <reference field="6" count="1">
            <x v="220"/>
          </reference>
        </references>
      </pivotArea>
    </format>
    <format dxfId="2591">
      <pivotArea collapsedLevelsAreSubtotals="1" fieldPosition="0">
        <references count="1">
          <reference field="6" count="1">
            <x v="223"/>
          </reference>
        </references>
      </pivotArea>
    </format>
    <format dxfId="2590">
      <pivotArea collapsedLevelsAreSubtotals="1" fieldPosition="0">
        <references count="1">
          <reference field="6" count="1">
            <x v="226"/>
          </reference>
        </references>
      </pivotArea>
    </format>
    <format dxfId="2589">
      <pivotArea collapsedLevelsAreSubtotals="1" fieldPosition="0">
        <references count="1">
          <reference field="6" count="1">
            <x v="229"/>
          </reference>
        </references>
      </pivotArea>
    </format>
    <format dxfId="2588">
      <pivotArea collapsedLevelsAreSubtotals="1" fieldPosition="0">
        <references count="1">
          <reference field="6" count="1">
            <x v="231"/>
          </reference>
        </references>
      </pivotArea>
    </format>
    <format dxfId="2587">
      <pivotArea collapsedLevelsAreSubtotals="1" fieldPosition="0">
        <references count="1">
          <reference field="6" count="1">
            <x v="232"/>
          </reference>
        </references>
      </pivotArea>
    </format>
    <format dxfId="2586">
      <pivotArea collapsedLevelsAreSubtotals="1" fieldPosition="0">
        <references count="1">
          <reference field="6" count="1">
            <x v="235"/>
          </reference>
        </references>
      </pivotArea>
    </format>
    <format dxfId="2585">
      <pivotArea collapsedLevelsAreSubtotals="1" fieldPosition="0">
        <references count="1">
          <reference field="6" count="1">
            <x v="237"/>
          </reference>
        </references>
      </pivotArea>
    </format>
    <format dxfId="2584">
      <pivotArea collapsedLevelsAreSubtotals="1" fieldPosition="0">
        <references count="1">
          <reference field="6" count="1">
            <x v="239"/>
          </reference>
        </references>
      </pivotArea>
    </format>
    <format dxfId="2583">
      <pivotArea collapsedLevelsAreSubtotals="1" fieldPosition="0">
        <references count="1">
          <reference field="6" count="1">
            <x v="242"/>
          </reference>
        </references>
      </pivotArea>
    </format>
    <format dxfId="2582">
      <pivotArea collapsedLevelsAreSubtotals="1" fieldPosition="0">
        <references count="1">
          <reference field="6" count="1">
            <x v="243"/>
          </reference>
        </references>
      </pivotArea>
    </format>
    <format dxfId="2581">
      <pivotArea collapsedLevelsAreSubtotals="1" fieldPosition="0">
        <references count="1">
          <reference field="6" count="1">
            <x v="251"/>
          </reference>
        </references>
      </pivotArea>
    </format>
    <format dxfId="2580">
      <pivotArea collapsedLevelsAreSubtotals="1" fieldPosition="0">
        <references count="1">
          <reference field="6" count="1">
            <x v="254"/>
          </reference>
        </references>
      </pivotArea>
    </format>
    <format dxfId="2579">
      <pivotArea collapsedLevelsAreSubtotals="1" fieldPosition="0">
        <references count="1">
          <reference field="6" count="1">
            <x v="256"/>
          </reference>
        </references>
      </pivotArea>
    </format>
    <format dxfId="2578">
      <pivotArea collapsedLevelsAreSubtotals="1" fieldPosition="0">
        <references count="1">
          <reference field="6" count="1">
            <x v="258"/>
          </reference>
        </references>
      </pivotArea>
    </format>
    <format dxfId="2577">
      <pivotArea collapsedLevelsAreSubtotals="1" fieldPosition="0">
        <references count="1">
          <reference field="6" count="1">
            <x v="262"/>
          </reference>
        </references>
      </pivotArea>
    </format>
    <format dxfId="2576">
      <pivotArea collapsedLevelsAreSubtotals="1" fieldPosition="0">
        <references count="1">
          <reference field="6" count="1">
            <x v="269"/>
          </reference>
        </references>
      </pivotArea>
    </format>
    <format dxfId="2575">
      <pivotArea collapsedLevelsAreSubtotals="1" fieldPosition="0">
        <references count="1">
          <reference field="6" count="1">
            <x v="272"/>
          </reference>
        </references>
      </pivotArea>
    </format>
    <format dxfId="2574">
      <pivotArea collapsedLevelsAreSubtotals="1" fieldPosition="0">
        <references count="1">
          <reference field="6" count="1">
            <x v="275"/>
          </reference>
        </references>
      </pivotArea>
    </format>
    <format dxfId="2573">
      <pivotArea collapsedLevelsAreSubtotals="1" fieldPosition="0">
        <references count="1">
          <reference field="6" count="1">
            <x v="277"/>
          </reference>
        </references>
      </pivotArea>
    </format>
    <format dxfId="2572">
      <pivotArea collapsedLevelsAreSubtotals="1" fieldPosition="0">
        <references count="1">
          <reference field="6" count="1">
            <x v="279"/>
          </reference>
        </references>
      </pivotArea>
    </format>
    <format dxfId="2571">
      <pivotArea collapsedLevelsAreSubtotals="1" fieldPosition="0">
        <references count="1">
          <reference field="6" count="1">
            <x v="287"/>
          </reference>
        </references>
      </pivotArea>
    </format>
    <format dxfId="2570">
      <pivotArea collapsedLevelsAreSubtotals="1" fieldPosition="0">
        <references count="1">
          <reference field="6" count="1">
            <x v="294"/>
          </reference>
        </references>
      </pivotArea>
    </format>
    <format dxfId="2569">
      <pivotArea collapsedLevelsAreSubtotals="1" fieldPosition="0">
        <references count="1">
          <reference field="6" count="1">
            <x v="295"/>
          </reference>
        </references>
      </pivotArea>
    </format>
    <format dxfId="2568">
      <pivotArea collapsedLevelsAreSubtotals="1" fieldPosition="0">
        <references count="1">
          <reference field="6" count="1">
            <x v="302"/>
          </reference>
        </references>
      </pivotArea>
    </format>
    <format dxfId="2567">
      <pivotArea collapsedLevelsAreSubtotals="1" fieldPosition="0">
        <references count="1">
          <reference field="6" count="1">
            <x v="304"/>
          </reference>
        </references>
      </pivotArea>
    </format>
    <format dxfId="2566">
      <pivotArea collapsedLevelsAreSubtotals="1" fieldPosition="0">
        <references count="1">
          <reference field="6" count="1">
            <x v="309"/>
          </reference>
        </references>
      </pivotArea>
    </format>
    <format dxfId="2565">
      <pivotArea collapsedLevelsAreSubtotals="1" fieldPosition="0">
        <references count="1">
          <reference field="6" count="1">
            <x v="313"/>
          </reference>
        </references>
      </pivotArea>
    </format>
    <format dxfId="2564">
      <pivotArea collapsedLevelsAreSubtotals="1" fieldPosition="0">
        <references count="1">
          <reference field="6" count="1">
            <x v="320"/>
          </reference>
        </references>
      </pivotArea>
    </format>
    <format dxfId="2563">
      <pivotArea collapsedLevelsAreSubtotals="1" fieldPosition="0">
        <references count="1">
          <reference field="6" count="1">
            <x v="327"/>
          </reference>
        </references>
      </pivotArea>
    </format>
    <format dxfId="2562">
      <pivotArea collapsedLevelsAreSubtotals="1" fieldPosition="0">
        <references count="1">
          <reference field="6" count="1">
            <x v="328"/>
          </reference>
        </references>
      </pivotArea>
    </format>
    <format dxfId="2561">
      <pivotArea collapsedLevelsAreSubtotals="1" fieldPosition="0">
        <references count="1">
          <reference field="6" count="1">
            <x v="333"/>
          </reference>
        </references>
      </pivotArea>
    </format>
    <format dxfId="2560">
      <pivotArea collapsedLevelsAreSubtotals="1" fieldPosition="0">
        <references count="1">
          <reference field="6" count="1">
            <x v="337"/>
          </reference>
        </references>
      </pivotArea>
    </format>
    <format dxfId="2559">
      <pivotArea collapsedLevelsAreSubtotals="1" fieldPosition="0">
        <references count="1">
          <reference field="6" count="1">
            <x v="341"/>
          </reference>
        </references>
      </pivotArea>
    </format>
    <format dxfId="2558">
      <pivotArea collapsedLevelsAreSubtotals="1" fieldPosition="0">
        <references count="1">
          <reference field="6" count="1">
            <x v="344"/>
          </reference>
        </references>
      </pivotArea>
    </format>
    <format dxfId="2557">
      <pivotArea collapsedLevelsAreSubtotals="1" fieldPosition="0">
        <references count="1">
          <reference field="6" count="1">
            <x v="346"/>
          </reference>
        </references>
      </pivotArea>
    </format>
    <format dxfId="2556">
      <pivotArea collapsedLevelsAreSubtotals="1" fieldPosition="0">
        <references count="1">
          <reference field="6" count="1">
            <x v="351"/>
          </reference>
        </references>
      </pivotArea>
    </format>
    <format dxfId="2555">
      <pivotArea collapsedLevelsAreSubtotals="1" fieldPosition="0">
        <references count="1">
          <reference field="6" count="1">
            <x v="354"/>
          </reference>
        </references>
      </pivotArea>
    </format>
    <format dxfId="2554">
      <pivotArea collapsedLevelsAreSubtotals="1" fieldPosition="0">
        <references count="1">
          <reference field="6" count="1">
            <x v="355"/>
          </reference>
        </references>
      </pivotArea>
    </format>
    <format dxfId="2553">
      <pivotArea collapsedLevelsAreSubtotals="1" fieldPosition="0">
        <references count="1">
          <reference field="6" count="1">
            <x v="357"/>
          </reference>
        </references>
      </pivotArea>
    </format>
    <format dxfId="2552">
      <pivotArea collapsedLevelsAreSubtotals="1" fieldPosition="0">
        <references count="1">
          <reference field="6" count="1">
            <x v="374"/>
          </reference>
        </references>
      </pivotArea>
    </format>
    <format dxfId="2551">
      <pivotArea collapsedLevelsAreSubtotals="1" fieldPosition="0">
        <references count="1">
          <reference field="6" count="1">
            <x v="378"/>
          </reference>
        </references>
      </pivotArea>
    </format>
    <format dxfId="2550">
      <pivotArea collapsedLevelsAreSubtotals="1" fieldPosition="0">
        <references count="1">
          <reference field="6" count="1">
            <x v="396"/>
          </reference>
        </references>
      </pivotArea>
    </format>
    <format dxfId="2549">
      <pivotArea collapsedLevelsAreSubtotals="1" fieldPosition="0">
        <references count="1">
          <reference field="6" count="1">
            <x v="397"/>
          </reference>
        </references>
      </pivotArea>
    </format>
    <format dxfId="2548">
      <pivotArea collapsedLevelsAreSubtotals="1" fieldPosition="0">
        <references count="1">
          <reference field="6" count="1">
            <x v="400"/>
          </reference>
        </references>
      </pivotArea>
    </format>
    <format dxfId="2547">
      <pivotArea collapsedLevelsAreSubtotals="1" fieldPosition="0">
        <references count="1">
          <reference field="6" count="1">
            <x v="403"/>
          </reference>
        </references>
      </pivotArea>
    </format>
    <format dxfId="2546">
      <pivotArea collapsedLevelsAreSubtotals="1" fieldPosition="0">
        <references count="1">
          <reference field="6" count="1">
            <x v="404"/>
          </reference>
        </references>
      </pivotArea>
    </format>
    <format dxfId="2545">
      <pivotArea collapsedLevelsAreSubtotals="1" fieldPosition="0">
        <references count="1">
          <reference field="6" count="1">
            <x v="409"/>
          </reference>
        </references>
      </pivotArea>
    </format>
    <format dxfId="2544">
      <pivotArea collapsedLevelsAreSubtotals="1" fieldPosition="0">
        <references count="1">
          <reference field="6" count="1">
            <x v="411"/>
          </reference>
        </references>
      </pivotArea>
    </format>
    <format dxfId="2543">
      <pivotArea collapsedLevelsAreSubtotals="1" fieldPosition="0">
        <references count="1">
          <reference field="6" count="1">
            <x v="435"/>
          </reference>
        </references>
      </pivotArea>
    </format>
    <format dxfId="2542">
      <pivotArea collapsedLevelsAreSubtotals="1" fieldPosition="0">
        <references count="1">
          <reference field="6" count="1">
            <x v="441"/>
          </reference>
        </references>
      </pivotArea>
    </format>
    <format dxfId="2541">
      <pivotArea collapsedLevelsAreSubtotals="1" fieldPosition="0">
        <references count="1">
          <reference field="6" count="1">
            <x v="444"/>
          </reference>
        </references>
      </pivotArea>
    </format>
    <format dxfId="2540">
      <pivotArea collapsedLevelsAreSubtotals="1" fieldPosition="0">
        <references count="1">
          <reference field="6" count="1">
            <x v="448"/>
          </reference>
        </references>
      </pivotArea>
    </format>
    <format dxfId="2539">
      <pivotArea collapsedLevelsAreSubtotals="1" fieldPosition="0">
        <references count="1">
          <reference field="6" count="1">
            <x v="453"/>
          </reference>
        </references>
      </pivotArea>
    </format>
    <format dxfId="2538">
      <pivotArea collapsedLevelsAreSubtotals="1" fieldPosition="0">
        <references count="1">
          <reference field="6" count="1">
            <x v="457"/>
          </reference>
        </references>
      </pivotArea>
    </format>
    <format dxfId="2537">
      <pivotArea collapsedLevelsAreSubtotals="1" fieldPosition="0">
        <references count="1">
          <reference field="6" count="1">
            <x v="458"/>
          </reference>
        </references>
      </pivotArea>
    </format>
    <format dxfId="2536">
      <pivotArea collapsedLevelsAreSubtotals="1" fieldPosition="0">
        <references count="1">
          <reference field="6" count="1">
            <x v="461"/>
          </reference>
        </references>
      </pivotArea>
    </format>
    <format dxfId="2535">
      <pivotArea collapsedLevelsAreSubtotals="1" fieldPosition="0">
        <references count="1">
          <reference field="6" count="1">
            <x v="462"/>
          </reference>
        </references>
      </pivotArea>
    </format>
    <format dxfId="2534">
      <pivotArea collapsedLevelsAreSubtotals="1" fieldPosition="0">
        <references count="1">
          <reference field="6" count="1">
            <x v="464"/>
          </reference>
        </references>
      </pivotArea>
    </format>
    <format dxfId="2533">
      <pivotArea collapsedLevelsAreSubtotals="1" fieldPosition="0">
        <references count="1">
          <reference field="6" count="1">
            <x v="466"/>
          </reference>
        </references>
      </pivotArea>
    </format>
    <format dxfId="2532">
      <pivotArea collapsedLevelsAreSubtotals="1" fieldPosition="0">
        <references count="1">
          <reference field="6" count="1">
            <x v="467"/>
          </reference>
        </references>
      </pivotArea>
    </format>
    <format dxfId="2531">
      <pivotArea collapsedLevelsAreSubtotals="1" fieldPosition="0">
        <references count="1">
          <reference field="6" count="1">
            <x v="468"/>
          </reference>
        </references>
      </pivotArea>
    </format>
    <format dxfId="2530">
      <pivotArea collapsedLevelsAreSubtotals="1" fieldPosition="0">
        <references count="1">
          <reference field="6" count="1">
            <x v="472"/>
          </reference>
        </references>
      </pivotArea>
    </format>
    <format dxfId="2529">
      <pivotArea collapsedLevelsAreSubtotals="1" fieldPosition="0">
        <references count="1">
          <reference field="6" count="1">
            <x v="473"/>
          </reference>
        </references>
      </pivotArea>
    </format>
    <format dxfId="2528">
      <pivotArea collapsedLevelsAreSubtotals="1" fieldPosition="0">
        <references count="1">
          <reference field="6" count="1">
            <x v="478"/>
          </reference>
        </references>
      </pivotArea>
    </format>
    <format dxfId="2527">
      <pivotArea collapsedLevelsAreSubtotals="1" fieldPosition="0">
        <references count="1">
          <reference field="6" count="1">
            <x v="481"/>
          </reference>
        </references>
      </pivotArea>
    </format>
    <format dxfId="2526">
      <pivotArea collapsedLevelsAreSubtotals="1" fieldPosition="0">
        <references count="1">
          <reference field="6" count="1">
            <x v="485"/>
          </reference>
        </references>
      </pivotArea>
    </format>
    <format dxfId="2525">
      <pivotArea collapsedLevelsAreSubtotals="1" fieldPosition="0">
        <references count="1">
          <reference field="6" count="1">
            <x v="487"/>
          </reference>
        </references>
      </pivotArea>
    </format>
    <format dxfId="2524">
      <pivotArea collapsedLevelsAreSubtotals="1" fieldPosition="0">
        <references count="1">
          <reference field="6" count="1">
            <x v="491"/>
          </reference>
        </references>
      </pivotArea>
    </format>
    <format dxfId="2523">
      <pivotArea collapsedLevelsAreSubtotals="1" fieldPosition="0">
        <references count="1">
          <reference field="6" count="1">
            <x v="512"/>
          </reference>
        </references>
      </pivotArea>
    </format>
    <format dxfId="2522">
      <pivotArea collapsedLevelsAreSubtotals="1" fieldPosition="0">
        <references count="1">
          <reference field="6" count="1">
            <x v="514"/>
          </reference>
        </references>
      </pivotArea>
    </format>
    <format dxfId="2521">
      <pivotArea collapsedLevelsAreSubtotals="1" fieldPosition="0">
        <references count="1">
          <reference field="6" count="1">
            <x v="519"/>
          </reference>
        </references>
      </pivotArea>
    </format>
    <format dxfId="2520">
      <pivotArea collapsedLevelsAreSubtotals="1" fieldPosition="0">
        <references count="1">
          <reference field="6" count="1">
            <x v="525"/>
          </reference>
        </references>
      </pivotArea>
    </format>
    <format dxfId="2519">
      <pivotArea collapsedLevelsAreSubtotals="1" fieldPosition="0">
        <references count="1">
          <reference field="6" count="1">
            <x v="526"/>
          </reference>
        </references>
      </pivotArea>
    </format>
    <format dxfId="2518">
      <pivotArea collapsedLevelsAreSubtotals="1" fieldPosition="0">
        <references count="1">
          <reference field="6" count="1">
            <x v="531"/>
          </reference>
        </references>
      </pivotArea>
    </format>
    <format dxfId="2517">
      <pivotArea collapsedLevelsAreSubtotals="1" fieldPosition="0">
        <references count="1">
          <reference field="6" count="1">
            <x v="532"/>
          </reference>
        </references>
      </pivotArea>
    </format>
    <format dxfId="2516">
      <pivotArea collapsedLevelsAreSubtotals="1" fieldPosition="0">
        <references count="1">
          <reference field="6" count="1">
            <x v="533"/>
          </reference>
        </references>
      </pivotArea>
    </format>
    <format dxfId="2515">
      <pivotArea collapsedLevelsAreSubtotals="1" fieldPosition="0">
        <references count="1">
          <reference field="6" count="1">
            <x v="539"/>
          </reference>
        </references>
      </pivotArea>
    </format>
    <format dxfId="2514">
      <pivotArea collapsedLevelsAreSubtotals="1" fieldPosition="0">
        <references count="1">
          <reference field="6" count="1">
            <x v="546"/>
          </reference>
        </references>
      </pivotArea>
    </format>
    <format dxfId="2513">
      <pivotArea collapsedLevelsAreSubtotals="1" fieldPosition="0">
        <references count="1">
          <reference field="6" count="1">
            <x v="551"/>
          </reference>
        </references>
      </pivotArea>
    </format>
    <format dxfId="2512">
      <pivotArea collapsedLevelsAreSubtotals="1" fieldPosition="0">
        <references count="1">
          <reference field="6" count="1">
            <x v="554"/>
          </reference>
        </references>
      </pivotArea>
    </format>
    <format dxfId="2511">
      <pivotArea collapsedLevelsAreSubtotals="1" fieldPosition="0">
        <references count="1">
          <reference field="6" count="1">
            <x v="570"/>
          </reference>
        </references>
      </pivotArea>
    </format>
    <format dxfId="2510">
      <pivotArea collapsedLevelsAreSubtotals="1" fieldPosition="0">
        <references count="1">
          <reference field="6" count="1">
            <x v="582"/>
          </reference>
        </references>
      </pivotArea>
    </format>
    <format dxfId="2509">
      <pivotArea collapsedLevelsAreSubtotals="1" fieldPosition="0">
        <references count="1">
          <reference field="6" count="1">
            <x v="597"/>
          </reference>
        </references>
      </pivotArea>
    </format>
    <format dxfId="2508">
      <pivotArea collapsedLevelsAreSubtotals="1" fieldPosition="0">
        <references count="1">
          <reference field="6" count="1">
            <x v="599"/>
          </reference>
        </references>
      </pivotArea>
    </format>
    <format dxfId="2507">
      <pivotArea collapsedLevelsAreSubtotals="1" fieldPosition="0">
        <references count="1">
          <reference field="6" count="1">
            <x v="601"/>
          </reference>
        </references>
      </pivotArea>
    </format>
    <format dxfId="2506">
      <pivotArea collapsedLevelsAreSubtotals="1" fieldPosition="0">
        <references count="1">
          <reference field="6" count="1">
            <x v="602"/>
          </reference>
        </references>
      </pivotArea>
    </format>
    <format dxfId="2505">
      <pivotArea collapsedLevelsAreSubtotals="1" fieldPosition="0">
        <references count="1">
          <reference field="6" count="1">
            <x v="603"/>
          </reference>
        </references>
      </pivotArea>
    </format>
    <format dxfId="2504">
      <pivotArea collapsedLevelsAreSubtotals="1" fieldPosition="0">
        <references count="1">
          <reference field="6" count="1">
            <x v="607"/>
          </reference>
        </references>
      </pivotArea>
    </format>
    <format dxfId="2503">
      <pivotArea collapsedLevelsAreSubtotals="1" fieldPosition="0">
        <references count="1">
          <reference field="6" count="1">
            <x v="624"/>
          </reference>
        </references>
      </pivotArea>
    </format>
    <format dxfId="2502">
      <pivotArea collapsedLevelsAreSubtotals="1" fieldPosition="0">
        <references count="1">
          <reference field="6" count="1">
            <x v="625"/>
          </reference>
        </references>
      </pivotArea>
    </format>
    <format dxfId="2501">
      <pivotArea collapsedLevelsAreSubtotals="1" fieldPosition="0">
        <references count="1">
          <reference field="6" count="1">
            <x v="626"/>
          </reference>
        </references>
      </pivotArea>
    </format>
    <format dxfId="2500">
      <pivotArea collapsedLevelsAreSubtotals="1" fieldPosition="0">
        <references count="1">
          <reference field="6" count="1">
            <x v="627"/>
          </reference>
        </references>
      </pivotArea>
    </format>
    <format dxfId="2499">
      <pivotArea collapsedLevelsAreSubtotals="1" fieldPosition="0">
        <references count="1">
          <reference field="6" count="1">
            <x v="629"/>
          </reference>
        </references>
      </pivotArea>
    </format>
    <format dxfId="2498">
      <pivotArea collapsedLevelsAreSubtotals="1" fieldPosition="0">
        <references count="1">
          <reference field="6" count="1">
            <x v="633"/>
          </reference>
        </references>
      </pivotArea>
    </format>
    <format dxfId="2497">
      <pivotArea collapsedLevelsAreSubtotals="1" fieldPosition="0">
        <references count="1">
          <reference field="6" count="1">
            <x v="644"/>
          </reference>
        </references>
      </pivotArea>
    </format>
    <format dxfId="2496">
      <pivotArea collapsedLevelsAreSubtotals="1" fieldPosition="0">
        <references count="1">
          <reference field="6" count="1">
            <x v="646"/>
          </reference>
        </references>
      </pivotArea>
    </format>
    <format dxfId="2495">
      <pivotArea collapsedLevelsAreSubtotals="1" fieldPosition="0">
        <references count="1">
          <reference field="6" count="1">
            <x v="648"/>
          </reference>
        </references>
      </pivotArea>
    </format>
    <format dxfId="2494">
      <pivotArea collapsedLevelsAreSubtotals="1" fieldPosition="0">
        <references count="1">
          <reference field="6" count="1">
            <x v="653"/>
          </reference>
        </references>
      </pivotArea>
    </format>
    <format dxfId="2493">
      <pivotArea collapsedLevelsAreSubtotals="1" fieldPosition="0">
        <references count="1">
          <reference field="6" count="1">
            <x v="654"/>
          </reference>
        </references>
      </pivotArea>
    </format>
    <format dxfId="2492">
      <pivotArea collapsedLevelsAreSubtotals="1" fieldPosition="0">
        <references count="1">
          <reference field="6" count="1">
            <x v="657"/>
          </reference>
        </references>
      </pivotArea>
    </format>
    <format dxfId="2491">
      <pivotArea collapsedLevelsAreSubtotals="1" fieldPosition="0">
        <references count="1">
          <reference field="6" count="1">
            <x v="659"/>
          </reference>
        </references>
      </pivotArea>
    </format>
    <format dxfId="2490">
      <pivotArea collapsedLevelsAreSubtotals="1" fieldPosition="0">
        <references count="1">
          <reference field="6" count="1">
            <x v="660"/>
          </reference>
        </references>
      </pivotArea>
    </format>
    <format dxfId="2489">
      <pivotArea collapsedLevelsAreSubtotals="1" fieldPosition="0">
        <references count="1">
          <reference field="6" count="1">
            <x v="663"/>
          </reference>
        </references>
      </pivotArea>
    </format>
    <format dxfId="2488">
      <pivotArea collapsedLevelsAreSubtotals="1" fieldPosition="0">
        <references count="1">
          <reference field="6" count="1">
            <x v="665"/>
          </reference>
        </references>
      </pivotArea>
    </format>
    <format dxfId="2487">
      <pivotArea collapsedLevelsAreSubtotals="1" fieldPosition="0">
        <references count="1">
          <reference field="6" count="1">
            <x v="674"/>
          </reference>
        </references>
      </pivotArea>
    </format>
    <format dxfId="2486">
      <pivotArea collapsedLevelsAreSubtotals="1" fieldPosition="0">
        <references count="1">
          <reference field="6" count="1">
            <x v="686"/>
          </reference>
        </references>
      </pivotArea>
    </format>
    <format dxfId="2485">
      <pivotArea collapsedLevelsAreSubtotals="1" fieldPosition="0">
        <references count="1">
          <reference field="6" count="1">
            <x v="688"/>
          </reference>
        </references>
      </pivotArea>
    </format>
    <format dxfId="2484">
      <pivotArea collapsedLevelsAreSubtotals="1" fieldPosition="0">
        <references count="1">
          <reference field="6" count="1">
            <x v="689"/>
          </reference>
        </references>
      </pivotArea>
    </format>
    <format dxfId="2483">
      <pivotArea collapsedLevelsAreSubtotals="1" fieldPosition="0">
        <references count="1">
          <reference field="6" count="1">
            <x v="690"/>
          </reference>
        </references>
      </pivotArea>
    </format>
    <format dxfId="2482">
      <pivotArea collapsedLevelsAreSubtotals="1" fieldPosition="0">
        <references count="1">
          <reference field="6" count="1">
            <x v="691"/>
          </reference>
        </references>
      </pivotArea>
    </format>
    <format dxfId="2481">
      <pivotArea collapsedLevelsAreSubtotals="1" fieldPosition="0">
        <references count="1">
          <reference field="6" count="1">
            <x v="694"/>
          </reference>
        </references>
      </pivotArea>
    </format>
    <format dxfId="2480">
      <pivotArea collapsedLevelsAreSubtotals="1" fieldPosition="0">
        <references count="1">
          <reference field="6" count="1">
            <x v="695"/>
          </reference>
        </references>
      </pivotArea>
    </format>
    <format dxfId="2479">
      <pivotArea collapsedLevelsAreSubtotals="1" fieldPosition="0">
        <references count="1">
          <reference field="6" count="1">
            <x v="705"/>
          </reference>
        </references>
      </pivotArea>
    </format>
    <format dxfId="2478">
      <pivotArea collapsedLevelsAreSubtotals="1" fieldPosition="0">
        <references count="1">
          <reference field="6" count="1">
            <x v="706"/>
          </reference>
        </references>
      </pivotArea>
    </format>
    <format dxfId="2477">
      <pivotArea collapsedLevelsAreSubtotals="1" fieldPosition="0">
        <references count="1">
          <reference field="6" count="1">
            <x v="709"/>
          </reference>
        </references>
      </pivotArea>
    </format>
    <format dxfId="2476">
      <pivotArea collapsedLevelsAreSubtotals="1" fieldPosition="0">
        <references count="1">
          <reference field="6" count="1">
            <x v="722"/>
          </reference>
        </references>
      </pivotArea>
    </format>
    <format dxfId="2475">
      <pivotArea collapsedLevelsAreSubtotals="1" fieldPosition="0">
        <references count="1">
          <reference field="6" count="1">
            <x v="723"/>
          </reference>
        </references>
      </pivotArea>
    </format>
    <format dxfId="2474">
      <pivotArea collapsedLevelsAreSubtotals="1" fieldPosition="0">
        <references count="1">
          <reference field="6" count="1">
            <x v="727"/>
          </reference>
        </references>
      </pivotArea>
    </format>
    <format dxfId="2473">
      <pivotArea collapsedLevelsAreSubtotals="1" fieldPosition="0">
        <references count="1">
          <reference field="6" count="1">
            <x v="732"/>
          </reference>
        </references>
      </pivotArea>
    </format>
    <format dxfId="2472">
      <pivotArea collapsedLevelsAreSubtotals="1" fieldPosition="0">
        <references count="1">
          <reference field="6" count="1">
            <x v="733"/>
          </reference>
        </references>
      </pivotArea>
    </format>
    <format dxfId="2471">
      <pivotArea collapsedLevelsAreSubtotals="1" fieldPosition="0">
        <references count="1">
          <reference field="6" count="1">
            <x v="734"/>
          </reference>
        </references>
      </pivotArea>
    </format>
    <format dxfId="2470">
      <pivotArea collapsedLevelsAreSubtotals="1" fieldPosition="0">
        <references count="1">
          <reference field="6" count="1">
            <x v="736"/>
          </reference>
        </references>
      </pivotArea>
    </format>
    <format dxfId="2469">
      <pivotArea collapsedLevelsAreSubtotals="1" fieldPosition="0">
        <references count="1">
          <reference field="6" count="1">
            <x v="737"/>
          </reference>
        </references>
      </pivotArea>
    </format>
    <format dxfId="2468">
      <pivotArea collapsedLevelsAreSubtotals="1" fieldPosition="0">
        <references count="1">
          <reference field="6" count="1">
            <x v="742"/>
          </reference>
        </references>
      </pivotArea>
    </format>
    <format dxfId="2467">
      <pivotArea collapsedLevelsAreSubtotals="1" fieldPosition="0">
        <references count="1">
          <reference field="6" count="1">
            <x v="744"/>
          </reference>
        </references>
      </pivotArea>
    </format>
    <format dxfId="2466">
      <pivotArea collapsedLevelsAreSubtotals="1" fieldPosition="0">
        <references count="1">
          <reference field="6" count="1">
            <x v="746"/>
          </reference>
        </references>
      </pivotArea>
    </format>
    <format dxfId="2465">
      <pivotArea collapsedLevelsAreSubtotals="1" fieldPosition="0">
        <references count="1">
          <reference field="6" count="1">
            <x v="751"/>
          </reference>
        </references>
      </pivotArea>
    </format>
    <format dxfId="2464">
      <pivotArea collapsedLevelsAreSubtotals="1" fieldPosition="0">
        <references count="1">
          <reference field="6" count="1">
            <x v="752"/>
          </reference>
        </references>
      </pivotArea>
    </format>
    <format dxfId="2463">
      <pivotArea collapsedLevelsAreSubtotals="1" fieldPosition="0">
        <references count="1">
          <reference field="6" count="1">
            <x v="754"/>
          </reference>
        </references>
      </pivotArea>
    </format>
    <format dxfId="2462">
      <pivotArea collapsedLevelsAreSubtotals="1" fieldPosition="0">
        <references count="1">
          <reference field="6" count="1">
            <x v="757"/>
          </reference>
        </references>
      </pivotArea>
    </format>
    <format dxfId="2461">
      <pivotArea collapsedLevelsAreSubtotals="1" fieldPosition="0">
        <references count="1">
          <reference field="6" count="1">
            <x v="759"/>
          </reference>
        </references>
      </pivotArea>
    </format>
    <format dxfId="2460">
      <pivotArea collapsedLevelsAreSubtotals="1" fieldPosition="0">
        <references count="1">
          <reference field="6" count="1">
            <x v="760"/>
          </reference>
        </references>
      </pivotArea>
    </format>
    <format dxfId="2459">
      <pivotArea collapsedLevelsAreSubtotals="1" fieldPosition="0">
        <references count="1">
          <reference field="6" count="1">
            <x v="769"/>
          </reference>
        </references>
      </pivotArea>
    </format>
    <format dxfId="2458">
      <pivotArea collapsedLevelsAreSubtotals="1" fieldPosition="0">
        <references count="1">
          <reference field="6" count="1">
            <x v="772"/>
          </reference>
        </references>
      </pivotArea>
    </format>
    <format dxfId="2457">
      <pivotArea collapsedLevelsAreSubtotals="1" fieldPosition="0">
        <references count="1">
          <reference field="6" count="1">
            <x v="775"/>
          </reference>
        </references>
      </pivotArea>
    </format>
    <format dxfId="2456">
      <pivotArea collapsedLevelsAreSubtotals="1" fieldPosition="0">
        <references count="1">
          <reference field="6" count="1">
            <x v="781"/>
          </reference>
        </references>
      </pivotArea>
    </format>
    <format dxfId="2455">
      <pivotArea collapsedLevelsAreSubtotals="1" fieldPosition="0">
        <references count="1">
          <reference field="6" count="1">
            <x v="786"/>
          </reference>
        </references>
      </pivotArea>
    </format>
    <format dxfId="2454">
      <pivotArea collapsedLevelsAreSubtotals="1" fieldPosition="0">
        <references count="1">
          <reference field="6" count="1">
            <x v="793"/>
          </reference>
        </references>
      </pivotArea>
    </format>
    <format dxfId="2453">
      <pivotArea collapsedLevelsAreSubtotals="1" fieldPosition="0">
        <references count="1">
          <reference field="6" count="1">
            <x v="795"/>
          </reference>
        </references>
      </pivotArea>
    </format>
    <format dxfId="2452">
      <pivotArea collapsedLevelsAreSubtotals="1" fieldPosition="0">
        <references count="1">
          <reference field="6" count="1">
            <x v="797"/>
          </reference>
        </references>
      </pivotArea>
    </format>
    <format dxfId="2451">
      <pivotArea collapsedLevelsAreSubtotals="1" fieldPosition="0">
        <references count="1">
          <reference field="6" count="1">
            <x v="805"/>
          </reference>
        </references>
      </pivotArea>
    </format>
    <format dxfId="2450">
      <pivotArea collapsedLevelsAreSubtotals="1" fieldPosition="0">
        <references count="1">
          <reference field="6" count="1">
            <x v="812"/>
          </reference>
        </references>
      </pivotArea>
    </format>
    <format dxfId="2449">
      <pivotArea collapsedLevelsAreSubtotals="1" fieldPosition="0">
        <references count="1">
          <reference field="6" count="1">
            <x v="813"/>
          </reference>
        </references>
      </pivotArea>
    </format>
    <format dxfId="2448">
      <pivotArea collapsedLevelsAreSubtotals="1" fieldPosition="0">
        <references count="1">
          <reference field="6" count="1">
            <x v="816"/>
          </reference>
        </references>
      </pivotArea>
    </format>
    <format dxfId="2447">
      <pivotArea collapsedLevelsAreSubtotals="1" fieldPosition="0">
        <references count="1">
          <reference field="6" count="1">
            <x v="817"/>
          </reference>
        </references>
      </pivotArea>
    </format>
    <format dxfId="2446">
      <pivotArea collapsedLevelsAreSubtotals="1" fieldPosition="0">
        <references count="1">
          <reference field="6" count="1">
            <x v="830"/>
          </reference>
        </references>
      </pivotArea>
    </format>
    <format dxfId="2445">
      <pivotArea collapsedLevelsAreSubtotals="1" fieldPosition="0">
        <references count="1">
          <reference field="6" count="1">
            <x v="831"/>
          </reference>
        </references>
      </pivotArea>
    </format>
    <format dxfId="2444">
      <pivotArea collapsedLevelsAreSubtotals="1" fieldPosition="0">
        <references count="1">
          <reference field="6" count="1">
            <x v="832"/>
          </reference>
        </references>
      </pivotArea>
    </format>
    <format dxfId="2443">
      <pivotArea collapsedLevelsAreSubtotals="1" fieldPosition="0">
        <references count="1">
          <reference field="6" count="1">
            <x v="833"/>
          </reference>
        </references>
      </pivotArea>
    </format>
    <format dxfId="2442">
      <pivotArea collapsedLevelsAreSubtotals="1" fieldPosition="0">
        <references count="1">
          <reference field="6" count="1">
            <x v="835"/>
          </reference>
        </references>
      </pivotArea>
    </format>
    <format dxfId="2441">
      <pivotArea collapsedLevelsAreSubtotals="1" fieldPosition="0">
        <references count="1">
          <reference field="6" count="1">
            <x v="839"/>
          </reference>
        </references>
      </pivotArea>
    </format>
    <format dxfId="2440">
      <pivotArea collapsedLevelsAreSubtotals="1" fieldPosition="0">
        <references count="1">
          <reference field="6" count="1">
            <x v="851"/>
          </reference>
        </references>
      </pivotArea>
    </format>
    <format dxfId="2439">
      <pivotArea collapsedLevelsAreSubtotals="1" fieldPosition="0">
        <references count="1">
          <reference field="6" count="1">
            <x v="859"/>
          </reference>
        </references>
      </pivotArea>
    </format>
    <format dxfId="2438">
      <pivotArea collapsedLevelsAreSubtotals="1" fieldPosition="0">
        <references count="1">
          <reference field="6" count="1">
            <x v="860"/>
          </reference>
        </references>
      </pivotArea>
    </format>
    <format dxfId="2437">
      <pivotArea collapsedLevelsAreSubtotals="1" fieldPosition="0">
        <references count="1">
          <reference field="6" count="1">
            <x v="865"/>
          </reference>
        </references>
      </pivotArea>
    </format>
    <format dxfId="2436">
      <pivotArea collapsedLevelsAreSubtotals="1" fieldPosition="0">
        <references count="1">
          <reference field="6" count="1">
            <x v="874"/>
          </reference>
        </references>
      </pivotArea>
    </format>
    <format dxfId="2435">
      <pivotArea collapsedLevelsAreSubtotals="1" fieldPosition="0">
        <references count="1">
          <reference field="6" count="1">
            <x v="876"/>
          </reference>
        </references>
      </pivotArea>
    </format>
    <format dxfId="2434">
      <pivotArea collapsedLevelsAreSubtotals="1" fieldPosition="0">
        <references count="1">
          <reference field="6" count="1">
            <x v="882"/>
          </reference>
        </references>
      </pivotArea>
    </format>
    <format dxfId="2433">
      <pivotArea collapsedLevelsAreSubtotals="1" fieldPosition="0">
        <references count="1">
          <reference field="6" count="1">
            <x v="886"/>
          </reference>
        </references>
      </pivotArea>
    </format>
    <format dxfId="2432">
      <pivotArea collapsedLevelsAreSubtotals="1" fieldPosition="0">
        <references count="1">
          <reference field="6" count="1">
            <x v="887"/>
          </reference>
        </references>
      </pivotArea>
    </format>
    <format dxfId="2431">
      <pivotArea collapsedLevelsAreSubtotals="1" fieldPosition="0">
        <references count="1">
          <reference field="6" count="1">
            <x v="888"/>
          </reference>
        </references>
      </pivotArea>
    </format>
    <format dxfId="2430">
      <pivotArea collapsedLevelsAreSubtotals="1" fieldPosition="0">
        <references count="1">
          <reference field="6" count="1">
            <x v="891"/>
          </reference>
        </references>
      </pivotArea>
    </format>
    <format dxfId="2429">
      <pivotArea collapsedLevelsAreSubtotals="1" fieldPosition="0">
        <references count="1">
          <reference field="6" count="1">
            <x v="892"/>
          </reference>
        </references>
      </pivotArea>
    </format>
    <format dxfId="2428">
      <pivotArea collapsedLevelsAreSubtotals="1" fieldPosition="0">
        <references count="1">
          <reference field="6" count="1">
            <x v="893"/>
          </reference>
        </references>
      </pivotArea>
    </format>
    <format dxfId="2427">
      <pivotArea collapsedLevelsAreSubtotals="1" fieldPosition="0">
        <references count="1">
          <reference field="6" count="1">
            <x v="894"/>
          </reference>
        </references>
      </pivotArea>
    </format>
    <format dxfId="2426">
      <pivotArea collapsedLevelsAreSubtotals="1" fieldPosition="0">
        <references count="1">
          <reference field="6" count="1">
            <x v="899"/>
          </reference>
        </references>
      </pivotArea>
    </format>
    <format dxfId="2425">
      <pivotArea collapsedLevelsAreSubtotals="1" fieldPosition="0">
        <references count="1">
          <reference field="6" count="1">
            <x v="900"/>
          </reference>
        </references>
      </pivotArea>
    </format>
    <format dxfId="2424">
      <pivotArea collapsedLevelsAreSubtotals="1" fieldPosition="0">
        <references count="1">
          <reference field="6" count="1">
            <x v="901"/>
          </reference>
        </references>
      </pivotArea>
    </format>
    <format dxfId="2423">
      <pivotArea collapsedLevelsAreSubtotals="1" fieldPosition="0">
        <references count="1">
          <reference field="6" count="1">
            <x v="910"/>
          </reference>
        </references>
      </pivotArea>
    </format>
    <format dxfId="2422">
      <pivotArea collapsedLevelsAreSubtotals="1" fieldPosition="0">
        <references count="1">
          <reference field="6" count="1">
            <x v="911"/>
          </reference>
        </references>
      </pivotArea>
    </format>
    <format dxfId="2421">
      <pivotArea collapsedLevelsAreSubtotals="1" fieldPosition="0">
        <references count="1">
          <reference field="6" count="1">
            <x v="912"/>
          </reference>
        </references>
      </pivotArea>
    </format>
    <format dxfId="2420">
      <pivotArea collapsedLevelsAreSubtotals="1" fieldPosition="0">
        <references count="1">
          <reference field="6" count="1">
            <x v="913"/>
          </reference>
        </references>
      </pivotArea>
    </format>
    <format dxfId="2419">
      <pivotArea collapsedLevelsAreSubtotals="1" fieldPosition="0">
        <references count="1">
          <reference field="6" count="1">
            <x v="915"/>
          </reference>
        </references>
      </pivotArea>
    </format>
    <format dxfId="2418">
      <pivotArea collapsedLevelsAreSubtotals="1" fieldPosition="0">
        <references count="1">
          <reference field="6" count="1">
            <x v="916"/>
          </reference>
        </references>
      </pivotArea>
    </format>
    <format dxfId="2417">
      <pivotArea collapsedLevelsAreSubtotals="1" fieldPosition="0">
        <references count="1">
          <reference field="6" count="1">
            <x v="922"/>
          </reference>
        </references>
      </pivotArea>
    </format>
    <format dxfId="2416">
      <pivotArea collapsedLevelsAreSubtotals="1" fieldPosition="0">
        <references count="1">
          <reference field="6" count="1">
            <x v="924"/>
          </reference>
        </references>
      </pivotArea>
    </format>
    <format dxfId="2415">
      <pivotArea collapsedLevelsAreSubtotals="1" fieldPosition="0">
        <references count="1">
          <reference field="6" count="1">
            <x v="928"/>
          </reference>
        </references>
      </pivotArea>
    </format>
    <format dxfId="2414">
      <pivotArea collapsedLevelsAreSubtotals="1" fieldPosition="0">
        <references count="1">
          <reference field="6" count="1">
            <x v="935"/>
          </reference>
        </references>
      </pivotArea>
    </format>
    <format dxfId="2413">
      <pivotArea collapsedLevelsAreSubtotals="1" fieldPosition="0">
        <references count="1">
          <reference field="6" count="1">
            <x v="936"/>
          </reference>
        </references>
      </pivotArea>
    </format>
    <format dxfId="2412">
      <pivotArea collapsedLevelsAreSubtotals="1" fieldPosition="0">
        <references count="1">
          <reference field="6" count="1">
            <x v="950"/>
          </reference>
        </references>
      </pivotArea>
    </format>
    <format dxfId="2411">
      <pivotArea collapsedLevelsAreSubtotals="1" fieldPosition="0">
        <references count="1">
          <reference field="6" count="1">
            <x v="954"/>
          </reference>
        </references>
      </pivotArea>
    </format>
    <format dxfId="2410">
      <pivotArea collapsedLevelsAreSubtotals="1" fieldPosition="0">
        <references count="1">
          <reference field="6" count="1">
            <x v="966"/>
          </reference>
        </references>
      </pivotArea>
    </format>
    <format dxfId="2409">
      <pivotArea collapsedLevelsAreSubtotals="1" fieldPosition="0">
        <references count="1">
          <reference field="6" count="1">
            <x v="967"/>
          </reference>
        </references>
      </pivotArea>
    </format>
    <format dxfId="2408">
      <pivotArea collapsedLevelsAreSubtotals="1" fieldPosition="0">
        <references count="1">
          <reference field="6" count="1">
            <x v="968"/>
          </reference>
        </references>
      </pivotArea>
    </format>
    <format dxfId="2407">
      <pivotArea collapsedLevelsAreSubtotals="1" fieldPosition="0">
        <references count="1">
          <reference field="6" count="1">
            <x v="971"/>
          </reference>
        </references>
      </pivotArea>
    </format>
    <format dxfId="2406">
      <pivotArea collapsedLevelsAreSubtotals="1" fieldPosition="0">
        <references count="1">
          <reference field="6" count="1">
            <x v="978"/>
          </reference>
        </references>
      </pivotArea>
    </format>
    <format dxfId="2405">
      <pivotArea collapsedLevelsAreSubtotals="1" fieldPosition="0">
        <references count="1">
          <reference field="6" count="1">
            <x v="982"/>
          </reference>
        </references>
      </pivotArea>
    </format>
    <format dxfId="2404">
      <pivotArea collapsedLevelsAreSubtotals="1" fieldPosition="0">
        <references count="1">
          <reference field="6" count="1">
            <x v="985"/>
          </reference>
        </references>
      </pivotArea>
    </format>
    <format dxfId="2403">
      <pivotArea collapsedLevelsAreSubtotals="1" fieldPosition="0">
        <references count="1">
          <reference field="6" count="1">
            <x v="988"/>
          </reference>
        </references>
      </pivotArea>
    </format>
    <format dxfId="2402">
      <pivotArea collapsedLevelsAreSubtotals="1" fieldPosition="0">
        <references count="1">
          <reference field="6" count="1">
            <x v="994"/>
          </reference>
        </references>
      </pivotArea>
    </format>
    <format dxfId="2401">
      <pivotArea collapsedLevelsAreSubtotals="1" fieldPosition="0">
        <references count="1">
          <reference field="6" count="1">
            <x v="998"/>
          </reference>
        </references>
      </pivotArea>
    </format>
    <format dxfId="2400">
      <pivotArea collapsedLevelsAreSubtotals="1" fieldPosition="0">
        <references count="1">
          <reference field="6" count="1">
            <x v="999"/>
          </reference>
        </references>
      </pivotArea>
    </format>
    <format dxfId="2399">
      <pivotArea collapsedLevelsAreSubtotals="1" fieldPosition="0">
        <references count="1">
          <reference field="6" count="1">
            <x v="1000"/>
          </reference>
        </references>
      </pivotArea>
    </format>
    <format dxfId="2398">
      <pivotArea collapsedLevelsAreSubtotals="1" fieldPosition="0">
        <references count="1">
          <reference field="6" count="1">
            <x v="1002"/>
          </reference>
        </references>
      </pivotArea>
    </format>
    <format dxfId="2397">
      <pivotArea collapsedLevelsAreSubtotals="1" fieldPosition="0">
        <references count="1">
          <reference field="6" count="1">
            <x v="1004"/>
          </reference>
        </references>
      </pivotArea>
    </format>
    <format dxfId="2396">
      <pivotArea collapsedLevelsAreSubtotals="1" fieldPosition="0">
        <references count="1">
          <reference field="6" count="1">
            <x v="1006"/>
          </reference>
        </references>
      </pivotArea>
    </format>
    <format dxfId="2395">
      <pivotArea collapsedLevelsAreSubtotals="1" fieldPosition="0">
        <references count="1">
          <reference field="6" count="1">
            <x v="1008"/>
          </reference>
        </references>
      </pivotArea>
    </format>
    <format dxfId="2394">
      <pivotArea collapsedLevelsAreSubtotals="1" fieldPosition="0">
        <references count="1">
          <reference field="6" count="1">
            <x v="1015"/>
          </reference>
        </references>
      </pivotArea>
    </format>
    <format dxfId="2393">
      <pivotArea collapsedLevelsAreSubtotals="1" fieldPosition="0">
        <references count="1">
          <reference field="6" count="1">
            <x v="1017"/>
          </reference>
        </references>
      </pivotArea>
    </format>
    <format dxfId="2392">
      <pivotArea collapsedLevelsAreSubtotals="1" fieldPosition="0">
        <references count="1">
          <reference field="6" count="1">
            <x v="1029"/>
          </reference>
        </references>
      </pivotArea>
    </format>
    <format dxfId="2391">
      <pivotArea collapsedLevelsAreSubtotals="1" fieldPosition="0">
        <references count="1">
          <reference field="6" count="1">
            <x v="1031"/>
          </reference>
        </references>
      </pivotArea>
    </format>
    <format dxfId="2390">
      <pivotArea collapsedLevelsAreSubtotals="1" fieldPosition="0">
        <references count="1">
          <reference field="6" count="1">
            <x v="1035"/>
          </reference>
        </references>
      </pivotArea>
    </format>
    <format dxfId="2389">
      <pivotArea collapsedLevelsAreSubtotals="1" fieldPosition="0">
        <references count="1">
          <reference field="6" count="1">
            <x v="1039"/>
          </reference>
        </references>
      </pivotArea>
    </format>
    <format dxfId="2388">
      <pivotArea collapsedLevelsAreSubtotals="1" fieldPosition="0">
        <references count="1">
          <reference field="6" count="1">
            <x v="1040"/>
          </reference>
        </references>
      </pivotArea>
    </format>
    <format dxfId="2387">
      <pivotArea collapsedLevelsAreSubtotals="1" fieldPosition="0">
        <references count="1">
          <reference field="6" count="1">
            <x v="1046"/>
          </reference>
        </references>
      </pivotArea>
    </format>
    <format dxfId="2386">
      <pivotArea collapsedLevelsAreSubtotals="1" fieldPosition="0">
        <references count="1">
          <reference field="6" count="1">
            <x v="1048"/>
          </reference>
        </references>
      </pivotArea>
    </format>
    <format dxfId="2385">
      <pivotArea collapsedLevelsAreSubtotals="1" fieldPosition="0">
        <references count="1">
          <reference field="6" count="1">
            <x v="1050"/>
          </reference>
        </references>
      </pivotArea>
    </format>
    <format dxfId="2384">
      <pivotArea collapsedLevelsAreSubtotals="1" fieldPosition="0">
        <references count="1">
          <reference field="6" count="1">
            <x v="1056"/>
          </reference>
        </references>
      </pivotArea>
    </format>
    <format dxfId="2383">
      <pivotArea collapsedLevelsAreSubtotals="1" fieldPosition="0">
        <references count="1">
          <reference field="6" count="1">
            <x v="1065"/>
          </reference>
        </references>
      </pivotArea>
    </format>
    <format dxfId="2382">
      <pivotArea collapsedLevelsAreSubtotals="1" fieldPosition="0">
        <references count="1">
          <reference field="6" count="1">
            <x v="1070"/>
          </reference>
        </references>
      </pivotArea>
    </format>
    <format dxfId="2381">
      <pivotArea collapsedLevelsAreSubtotals="1" fieldPosition="0">
        <references count="1">
          <reference field="6" count="1">
            <x v="1074"/>
          </reference>
        </references>
      </pivotArea>
    </format>
    <format dxfId="2380">
      <pivotArea collapsedLevelsAreSubtotals="1" fieldPosition="0">
        <references count="1">
          <reference field="6" count="1">
            <x v="1087"/>
          </reference>
        </references>
      </pivotArea>
    </format>
    <format dxfId="2379">
      <pivotArea collapsedLevelsAreSubtotals="1" fieldPosition="0">
        <references count="1">
          <reference field="6" count="1">
            <x v="1093"/>
          </reference>
        </references>
      </pivotArea>
    </format>
    <format dxfId="2378">
      <pivotArea collapsedLevelsAreSubtotals="1" fieldPosition="0">
        <references count="1">
          <reference field="6" count="1">
            <x v="1097"/>
          </reference>
        </references>
      </pivotArea>
    </format>
    <format dxfId="2377">
      <pivotArea collapsedLevelsAreSubtotals="1" fieldPosition="0">
        <references count="1">
          <reference field="6" count="1">
            <x v="1099"/>
          </reference>
        </references>
      </pivotArea>
    </format>
    <format dxfId="2376">
      <pivotArea collapsedLevelsAreSubtotals="1" fieldPosition="0">
        <references count="1">
          <reference field="6" count="1">
            <x v="1103"/>
          </reference>
        </references>
      </pivotArea>
    </format>
    <format dxfId="2375">
      <pivotArea collapsedLevelsAreSubtotals="1" fieldPosition="0">
        <references count="1">
          <reference field="6" count="1">
            <x v="1104"/>
          </reference>
        </references>
      </pivotArea>
    </format>
    <format dxfId="2374">
      <pivotArea collapsedLevelsAreSubtotals="1" fieldPosition="0">
        <references count="1">
          <reference field="6" count="1">
            <x v="1110"/>
          </reference>
        </references>
      </pivotArea>
    </format>
    <format dxfId="2373">
      <pivotArea collapsedLevelsAreSubtotals="1" fieldPosition="0">
        <references count="1">
          <reference field="6" count="1">
            <x v="1113"/>
          </reference>
        </references>
      </pivotArea>
    </format>
    <format dxfId="2372">
      <pivotArea collapsedLevelsAreSubtotals="1" fieldPosition="0">
        <references count="1">
          <reference field="6" count="1">
            <x v="1116"/>
          </reference>
        </references>
      </pivotArea>
    </format>
    <format dxfId="2371">
      <pivotArea collapsedLevelsAreSubtotals="1" fieldPosition="0">
        <references count="1">
          <reference field="6" count="1">
            <x v="1119"/>
          </reference>
        </references>
      </pivotArea>
    </format>
    <format dxfId="2370">
      <pivotArea collapsedLevelsAreSubtotals="1" fieldPosition="0">
        <references count="1">
          <reference field="6" count="1">
            <x v="1120"/>
          </reference>
        </references>
      </pivotArea>
    </format>
    <format dxfId="2369">
      <pivotArea collapsedLevelsAreSubtotals="1" fieldPosition="0">
        <references count="1">
          <reference field="6" count="1">
            <x v="1121"/>
          </reference>
        </references>
      </pivotArea>
    </format>
    <format dxfId="2368">
      <pivotArea collapsedLevelsAreSubtotals="1" fieldPosition="0">
        <references count="1">
          <reference field="6" count="1">
            <x v="1131"/>
          </reference>
        </references>
      </pivotArea>
    </format>
    <format dxfId="2367">
      <pivotArea collapsedLevelsAreSubtotals="1" fieldPosition="0">
        <references count="1">
          <reference field="6" count="1">
            <x v="1136"/>
          </reference>
        </references>
      </pivotArea>
    </format>
    <format dxfId="2366">
      <pivotArea collapsedLevelsAreSubtotals="1" fieldPosition="0">
        <references count="1">
          <reference field="6" count="1">
            <x v="1139"/>
          </reference>
        </references>
      </pivotArea>
    </format>
    <format dxfId="2365">
      <pivotArea collapsedLevelsAreSubtotals="1" fieldPosition="0">
        <references count="1">
          <reference field="6" count="1">
            <x v="1141"/>
          </reference>
        </references>
      </pivotArea>
    </format>
    <format dxfId="2364">
      <pivotArea collapsedLevelsAreSubtotals="1" fieldPosition="0">
        <references count="1">
          <reference field="6" count="1">
            <x v="1143"/>
          </reference>
        </references>
      </pivotArea>
    </format>
    <format dxfId="2363">
      <pivotArea collapsedLevelsAreSubtotals="1" fieldPosition="0">
        <references count="1">
          <reference field="6" count="1">
            <x v="1145"/>
          </reference>
        </references>
      </pivotArea>
    </format>
    <format dxfId="2362">
      <pivotArea collapsedLevelsAreSubtotals="1" fieldPosition="0">
        <references count="1">
          <reference field="6" count="1">
            <x v="1150"/>
          </reference>
        </references>
      </pivotArea>
    </format>
    <format dxfId="2361">
      <pivotArea collapsedLevelsAreSubtotals="1" fieldPosition="0">
        <references count="1">
          <reference field="6" count="1">
            <x v="1162"/>
          </reference>
        </references>
      </pivotArea>
    </format>
    <format dxfId="2360">
      <pivotArea collapsedLevelsAreSubtotals="1" fieldPosition="0">
        <references count="1">
          <reference field="6" count="1">
            <x v="1165"/>
          </reference>
        </references>
      </pivotArea>
    </format>
    <format dxfId="2359">
      <pivotArea collapsedLevelsAreSubtotals="1" fieldPosition="0">
        <references count="1">
          <reference field="6" count="1">
            <x v="1167"/>
          </reference>
        </references>
      </pivotArea>
    </format>
    <format dxfId="2358">
      <pivotArea collapsedLevelsAreSubtotals="1" fieldPosition="0">
        <references count="1">
          <reference field="6" count="1">
            <x v="1174"/>
          </reference>
        </references>
      </pivotArea>
    </format>
    <format dxfId="2357">
      <pivotArea collapsedLevelsAreSubtotals="1" fieldPosition="0">
        <references count="1">
          <reference field="6" count="1">
            <x v="1180"/>
          </reference>
        </references>
      </pivotArea>
    </format>
    <format dxfId="2356">
      <pivotArea collapsedLevelsAreSubtotals="1" fieldPosition="0">
        <references count="1">
          <reference field="6" count="1">
            <x v="1186"/>
          </reference>
        </references>
      </pivotArea>
    </format>
    <format dxfId="2355">
      <pivotArea collapsedLevelsAreSubtotals="1" fieldPosition="0">
        <references count="1">
          <reference field="6" count="1">
            <x v="1187"/>
          </reference>
        </references>
      </pivotArea>
    </format>
    <format dxfId="2354">
      <pivotArea collapsedLevelsAreSubtotals="1" fieldPosition="0">
        <references count="1">
          <reference field="6" count="1">
            <x v="1192"/>
          </reference>
        </references>
      </pivotArea>
    </format>
    <format dxfId="2353">
      <pivotArea collapsedLevelsAreSubtotals="1" fieldPosition="0">
        <references count="1">
          <reference field="6" count="1">
            <x v="1194"/>
          </reference>
        </references>
      </pivotArea>
    </format>
    <format dxfId="2352">
      <pivotArea collapsedLevelsAreSubtotals="1" fieldPosition="0">
        <references count="1">
          <reference field="6" count="1">
            <x v="1205"/>
          </reference>
        </references>
      </pivotArea>
    </format>
    <format dxfId="2351">
      <pivotArea collapsedLevelsAreSubtotals="1" fieldPosition="0">
        <references count="1">
          <reference field="6" count="1">
            <x v="1207"/>
          </reference>
        </references>
      </pivotArea>
    </format>
    <format dxfId="2350">
      <pivotArea collapsedLevelsAreSubtotals="1" fieldPosition="0">
        <references count="1">
          <reference field="6" count="1">
            <x v="1215"/>
          </reference>
        </references>
      </pivotArea>
    </format>
    <format dxfId="2349">
      <pivotArea collapsedLevelsAreSubtotals="1" fieldPosition="0">
        <references count="1">
          <reference field="6" count="1">
            <x v="1217"/>
          </reference>
        </references>
      </pivotArea>
    </format>
    <format dxfId="2348">
      <pivotArea collapsedLevelsAreSubtotals="1" fieldPosition="0">
        <references count="1">
          <reference field="6" count="1">
            <x v="1220"/>
          </reference>
        </references>
      </pivotArea>
    </format>
    <format dxfId="2347">
      <pivotArea collapsedLevelsAreSubtotals="1" fieldPosition="0">
        <references count="1">
          <reference field="6" count="1">
            <x v="1227"/>
          </reference>
        </references>
      </pivotArea>
    </format>
    <format dxfId="2346">
      <pivotArea collapsedLevelsAreSubtotals="1" fieldPosition="0">
        <references count="1">
          <reference field="6" count="1">
            <x v="1228"/>
          </reference>
        </references>
      </pivotArea>
    </format>
    <format dxfId="2345">
      <pivotArea collapsedLevelsAreSubtotals="1" fieldPosition="0">
        <references count="1">
          <reference field="6" count="1">
            <x v="1230"/>
          </reference>
        </references>
      </pivotArea>
    </format>
    <format dxfId="2344">
      <pivotArea collapsedLevelsAreSubtotals="1" fieldPosition="0">
        <references count="1">
          <reference field="6" count="1">
            <x v="1233"/>
          </reference>
        </references>
      </pivotArea>
    </format>
    <format dxfId="2343">
      <pivotArea collapsedLevelsAreSubtotals="1" fieldPosition="0">
        <references count="1">
          <reference field="6" count="1">
            <x v="1238"/>
          </reference>
        </references>
      </pivotArea>
    </format>
    <format dxfId="2342">
      <pivotArea collapsedLevelsAreSubtotals="1" fieldPosition="0">
        <references count="1">
          <reference field="6" count="1">
            <x v="1240"/>
          </reference>
        </references>
      </pivotArea>
    </format>
    <format dxfId="2341">
      <pivotArea collapsedLevelsAreSubtotals="1" fieldPosition="0">
        <references count="1">
          <reference field="6" count="1">
            <x v="1241"/>
          </reference>
        </references>
      </pivotArea>
    </format>
    <format dxfId="2340">
      <pivotArea collapsedLevelsAreSubtotals="1" fieldPosition="0">
        <references count="1">
          <reference field="6" count="1">
            <x v="1254"/>
          </reference>
        </references>
      </pivotArea>
    </format>
    <format dxfId="2339">
      <pivotArea collapsedLevelsAreSubtotals="1" fieldPosition="0">
        <references count="1">
          <reference field="6" count="1">
            <x v="1261"/>
          </reference>
        </references>
      </pivotArea>
    </format>
    <format dxfId="2338">
      <pivotArea collapsedLevelsAreSubtotals="1" fieldPosition="0">
        <references count="1">
          <reference field="6" count="1">
            <x v="1266"/>
          </reference>
        </references>
      </pivotArea>
    </format>
    <format dxfId="2337">
      <pivotArea collapsedLevelsAreSubtotals="1" fieldPosition="0">
        <references count="1">
          <reference field="6" count="1">
            <x v="1267"/>
          </reference>
        </references>
      </pivotArea>
    </format>
    <format dxfId="2336">
      <pivotArea collapsedLevelsAreSubtotals="1" fieldPosition="0">
        <references count="1">
          <reference field="6" count="1">
            <x v="1274"/>
          </reference>
        </references>
      </pivotArea>
    </format>
    <format dxfId="2335">
      <pivotArea collapsedLevelsAreSubtotals="1" fieldPosition="0">
        <references count="1">
          <reference field="6" count="1">
            <x v="1279"/>
          </reference>
        </references>
      </pivotArea>
    </format>
    <format dxfId="2334">
      <pivotArea collapsedLevelsAreSubtotals="1" fieldPosition="0">
        <references count="1">
          <reference field="6" count="1">
            <x v="1280"/>
          </reference>
        </references>
      </pivotArea>
    </format>
    <format dxfId="2333">
      <pivotArea collapsedLevelsAreSubtotals="1" fieldPosition="0">
        <references count="1">
          <reference field="6" count="1">
            <x v="1290"/>
          </reference>
        </references>
      </pivotArea>
    </format>
    <format dxfId="2332">
      <pivotArea collapsedLevelsAreSubtotals="1" fieldPosition="0">
        <references count="1">
          <reference field="6" count="1">
            <x v="1292"/>
          </reference>
        </references>
      </pivotArea>
    </format>
    <format dxfId="2331">
      <pivotArea collapsedLevelsAreSubtotals="1" fieldPosition="0">
        <references count="1">
          <reference field="6" count="1">
            <x v="1293"/>
          </reference>
        </references>
      </pivotArea>
    </format>
    <format dxfId="2330">
      <pivotArea collapsedLevelsAreSubtotals="1" fieldPosition="0">
        <references count="1">
          <reference field="6" count="1">
            <x v="1298"/>
          </reference>
        </references>
      </pivotArea>
    </format>
    <format dxfId="2329">
      <pivotArea collapsedLevelsAreSubtotals="1" fieldPosition="0">
        <references count="1">
          <reference field="6" count="1">
            <x v="1300"/>
          </reference>
        </references>
      </pivotArea>
    </format>
    <format dxfId="2328">
      <pivotArea collapsedLevelsAreSubtotals="1" fieldPosition="0">
        <references count="1">
          <reference field="6" count="1">
            <x v="1304"/>
          </reference>
        </references>
      </pivotArea>
    </format>
    <format dxfId="2327">
      <pivotArea collapsedLevelsAreSubtotals="1" fieldPosition="0">
        <references count="1">
          <reference field="6" count="1">
            <x v="1306"/>
          </reference>
        </references>
      </pivotArea>
    </format>
    <format dxfId="2326">
      <pivotArea collapsedLevelsAreSubtotals="1" fieldPosition="0">
        <references count="1">
          <reference field="6" count="1">
            <x v="1317"/>
          </reference>
        </references>
      </pivotArea>
    </format>
    <format dxfId="2325">
      <pivotArea collapsedLevelsAreSubtotals="1" fieldPosition="0">
        <references count="1">
          <reference field="6" count="1">
            <x v="1321"/>
          </reference>
        </references>
      </pivotArea>
    </format>
    <format dxfId="2324">
      <pivotArea collapsedLevelsAreSubtotals="1" fieldPosition="0">
        <references count="1">
          <reference field="6" count="1">
            <x v="1322"/>
          </reference>
        </references>
      </pivotArea>
    </format>
    <format dxfId="2323">
      <pivotArea collapsedLevelsAreSubtotals="1" fieldPosition="0">
        <references count="1">
          <reference field="6" count="1">
            <x v="1328"/>
          </reference>
        </references>
      </pivotArea>
    </format>
    <format dxfId="2322">
      <pivotArea collapsedLevelsAreSubtotals="1" fieldPosition="0">
        <references count="1">
          <reference field="6" count="1">
            <x v="1331"/>
          </reference>
        </references>
      </pivotArea>
    </format>
    <format dxfId="2321">
      <pivotArea collapsedLevelsAreSubtotals="1" fieldPosition="0">
        <references count="1">
          <reference field="6" count="1">
            <x v="1332"/>
          </reference>
        </references>
      </pivotArea>
    </format>
    <format dxfId="2320">
      <pivotArea collapsedLevelsAreSubtotals="1" fieldPosition="0">
        <references count="1">
          <reference field="6" count="1">
            <x v="1340"/>
          </reference>
        </references>
      </pivotArea>
    </format>
    <format dxfId="2319">
      <pivotArea collapsedLevelsAreSubtotals="1" fieldPosition="0">
        <references count="1">
          <reference field="6" count="1">
            <x v="1342"/>
          </reference>
        </references>
      </pivotArea>
    </format>
    <format dxfId="2318">
      <pivotArea collapsedLevelsAreSubtotals="1" fieldPosition="0">
        <references count="1">
          <reference field="6" count="1">
            <x v="1352"/>
          </reference>
        </references>
      </pivotArea>
    </format>
    <format dxfId="2317">
      <pivotArea collapsedLevelsAreSubtotals="1" fieldPosition="0">
        <references count="1">
          <reference field="6" count="1">
            <x v="1356"/>
          </reference>
        </references>
      </pivotArea>
    </format>
    <format dxfId="2316">
      <pivotArea collapsedLevelsAreSubtotals="1" fieldPosition="0">
        <references count="1">
          <reference field="6" count="1">
            <x v="1359"/>
          </reference>
        </references>
      </pivotArea>
    </format>
    <format dxfId="2315">
      <pivotArea collapsedLevelsAreSubtotals="1" fieldPosition="0">
        <references count="1">
          <reference field="6" count="1">
            <x v="1369"/>
          </reference>
        </references>
      </pivotArea>
    </format>
    <format dxfId="2314">
      <pivotArea collapsedLevelsAreSubtotals="1" fieldPosition="0">
        <references count="1">
          <reference field="6" count="1">
            <x v="1371"/>
          </reference>
        </references>
      </pivotArea>
    </format>
    <format dxfId="2313">
      <pivotArea collapsedLevelsAreSubtotals="1" fieldPosition="0">
        <references count="1">
          <reference field="6" count="1">
            <x v="1373"/>
          </reference>
        </references>
      </pivotArea>
    </format>
    <format dxfId="2312">
      <pivotArea collapsedLevelsAreSubtotals="1" fieldPosition="0">
        <references count="1">
          <reference field="6" count="1">
            <x v="1374"/>
          </reference>
        </references>
      </pivotArea>
    </format>
    <format dxfId="2311">
      <pivotArea collapsedLevelsAreSubtotals="1" fieldPosition="0">
        <references count="1">
          <reference field="6" count="1">
            <x v="1376"/>
          </reference>
        </references>
      </pivotArea>
    </format>
    <format dxfId="2310">
      <pivotArea collapsedLevelsAreSubtotals="1" fieldPosition="0">
        <references count="1">
          <reference field="6" count="1">
            <x v="1377"/>
          </reference>
        </references>
      </pivotArea>
    </format>
    <format dxfId="2309">
      <pivotArea collapsedLevelsAreSubtotals="1" fieldPosition="0">
        <references count="1">
          <reference field="6" count="1">
            <x v="1385"/>
          </reference>
        </references>
      </pivotArea>
    </format>
    <format dxfId="2308">
      <pivotArea collapsedLevelsAreSubtotals="1" fieldPosition="0">
        <references count="1">
          <reference field="6" count="1">
            <x v="1387"/>
          </reference>
        </references>
      </pivotArea>
    </format>
    <format dxfId="2307">
      <pivotArea collapsedLevelsAreSubtotals="1" fieldPosition="0">
        <references count="1">
          <reference field="6" count="1">
            <x v="1397"/>
          </reference>
        </references>
      </pivotArea>
    </format>
    <format dxfId="2306">
      <pivotArea collapsedLevelsAreSubtotals="1" fieldPosition="0">
        <references count="1">
          <reference field="6" count="1">
            <x v="1401"/>
          </reference>
        </references>
      </pivotArea>
    </format>
    <format dxfId="2305">
      <pivotArea collapsedLevelsAreSubtotals="1" fieldPosition="0">
        <references count="1">
          <reference field="6" count="1">
            <x v="1406"/>
          </reference>
        </references>
      </pivotArea>
    </format>
    <format dxfId="2304">
      <pivotArea collapsedLevelsAreSubtotals="1" fieldPosition="0">
        <references count="1">
          <reference field="6" count="1">
            <x v="1407"/>
          </reference>
        </references>
      </pivotArea>
    </format>
    <format dxfId="2303">
      <pivotArea collapsedLevelsAreSubtotals="1" fieldPosition="0">
        <references count="1">
          <reference field="6" count="1">
            <x v="1411"/>
          </reference>
        </references>
      </pivotArea>
    </format>
    <format dxfId="2302">
      <pivotArea collapsedLevelsAreSubtotals="1" fieldPosition="0">
        <references count="1">
          <reference field="6" count="1">
            <x v="1420"/>
          </reference>
        </references>
      </pivotArea>
    </format>
    <format dxfId="2301">
      <pivotArea collapsedLevelsAreSubtotals="1" fieldPosition="0">
        <references count="1">
          <reference field="6" count="1">
            <x v="1421"/>
          </reference>
        </references>
      </pivotArea>
    </format>
    <format dxfId="2300">
      <pivotArea collapsedLevelsAreSubtotals="1" fieldPosition="0">
        <references count="1">
          <reference field="6" count="1">
            <x v="1423"/>
          </reference>
        </references>
      </pivotArea>
    </format>
    <format dxfId="2299">
      <pivotArea collapsedLevelsAreSubtotals="1" fieldPosition="0">
        <references count="1">
          <reference field="6" count="1">
            <x v="1426"/>
          </reference>
        </references>
      </pivotArea>
    </format>
    <format dxfId="2298">
      <pivotArea collapsedLevelsAreSubtotals="1" fieldPosition="0">
        <references count="1">
          <reference field="6" count="1">
            <x v="1428"/>
          </reference>
        </references>
      </pivotArea>
    </format>
    <format dxfId="2297">
      <pivotArea collapsedLevelsAreSubtotals="1" fieldPosition="0">
        <references count="1">
          <reference field="6" count="1">
            <x v="1435"/>
          </reference>
        </references>
      </pivotArea>
    </format>
    <format dxfId="2296">
      <pivotArea collapsedLevelsAreSubtotals="1" fieldPosition="0">
        <references count="1">
          <reference field="6" count="1">
            <x v="1437"/>
          </reference>
        </references>
      </pivotArea>
    </format>
    <format dxfId="2295">
      <pivotArea collapsedLevelsAreSubtotals="1" fieldPosition="0">
        <references count="1">
          <reference field="6" count="1">
            <x v="1441"/>
          </reference>
        </references>
      </pivotArea>
    </format>
    <format dxfId="2294">
      <pivotArea collapsedLevelsAreSubtotals="1" fieldPosition="0">
        <references count="1">
          <reference field="6" count="1">
            <x v="1443"/>
          </reference>
        </references>
      </pivotArea>
    </format>
    <format dxfId="2293">
      <pivotArea collapsedLevelsAreSubtotals="1" fieldPosition="0">
        <references count="1">
          <reference field="6" count="1">
            <x v="1448"/>
          </reference>
        </references>
      </pivotArea>
    </format>
    <format dxfId="2292">
      <pivotArea collapsedLevelsAreSubtotals="1" fieldPosition="0">
        <references count="1">
          <reference field="6" count="1">
            <x v="1453"/>
          </reference>
        </references>
      </pivotArea>
    </format>
    <format dxfId="2291">
      <pivotArea collapsedLevelsAreSubtotals="1" fieldPosition="0">
        <references count="1">
          <reference field="6" count="1">
            <x v="1455"/>
          </reference>
        </references>
      </pivotArea>
    </format>
    <format dxfId="2290">
      <pivotArea collapsedLevelsAreSubtotals="1" fieldPosition="0">
        <references count="1">
          <reference field="6" count="1">
            <x v="1456"/>
          </reference>
        </references>
      </pivotArea>
    </format>
    <format dxfId="2289">
      <pivotArea collapsedLevelsAreSubtotals="1" fieldPosition="0">
        <references count="1">
          <reference field="6" count="1">
            <x v="1459"/>
          </reference>
        </references>
      </pivotArea>
    </format>
    <format dxfId="2288">
      <pivotArea collapsedLevelsAreSubtotals="1" fieldPosition="0">
        <references count="1">
          <reference field="6" count="1">
            <x v="1469"/>
          </reference>
        </references>
      </pivotArea>
    </format>
    <format dxfId="2287">
      <pivotArea collapsedLevelsAreSubtotals="1" fieldPosition="0">
        <references count="1">
          <reference field="6" count="1">
            <x v="1472"/>
          </reference>
        </references>
      </pivotArea>
    </format>
    <format dxfId="2286">
      <pivotArea collapsedLevelsAreSubtotals="1" fieldPosition="0">
        <references count="1">
          <reference field="6" count="1">
            <x v="1475"/>
          </reference>
        </references>
      </pivotArea>
    </format>
    <format dxfId="2285">
      <pivotArea collapsedLevelsAreSubtotals="1" fieldPosition="0">
        <references count="1">
          <reference field="6" count="1">
            <x v="1482"/>
          </reference>
        </references>
      </pivotArea>
    </format>
    <format dxfId="2284">
      <pivotArea collapsedLevelsAreSubtotals="1" fieldPosition="0">
        <references count="1">
          <reference field="6" count="1">
            <x v="1483"/>
          </reference>
        </references>
      </pivotArea>
    </format>
    <format dxfId="2283">
      <pivotArea collapsedLevelsAreSubtotals="1" fieldPosition="0">
        <references count="1">
          <reference field="6" count="1">
            <x v="1484"/>
          </reference>
        </references>
      </pivotArea>
    </format>
    <format dxfId="2282">
      <pivotArea collapsedLevelsAreSubtotals="1" fieldPosition="0">
        <references count="1">
          <reference field="6" count="1">
            <x v="1487"/>
          </reference>
        </references>
      </pivotArea>
    </format>
    <format dxfId="2281">
      <pivotArea collapsedLevelsAreSubtotals="1" fieldPosition="0">
        <references count="1">
          <reference field="6" count="1">
            <x v="1493"/>
          </reference>
        </references>
      </pivotArea>
    </format>
    <format dxfId="2280">
      <pivotArea collapsedLevelsAreSubtotals="1" fieldPosition="0">
        <references count="1">
          <reference field="6" count="1">
            <x v="1495"/>
          </reference>
        </references>
      </pivotArea>
    </format>
    <format dxfId="2279">
      <pivotArea collapsedLevelsAreSubtotals="1" fieldPosition="0">
        <references count="1">
          <reference field="6" count="1">
            <x v="1506"/>
          </reference>
        </references>
      </pivotArea>
    </format>
    <format dxfId="2278">
      <pivotArea collapsedLevelsAreSubtotals="1" fieldPosition="0">
        <references count="1">
          <reference field="6" count="1">
            <x v="1507"/>
          </reference>
        </references>
      </pivotArea>
    </format>
    <format dxfId="2277">
      <pivotArea collapsedLevelsAreSubtotals="1" fieldPosition="0">
        <references count="1">
          <reference field="6" count="1">
            <x v="1508"/>
          </reference>
        </references>
      </pivotArea>
    </format>
    <format dxfId="2276">
      <pivotArea collapsedLevelsAreSubtotals="1" fieldPosition="0">
        <references count="1">
          <reference field="6" count="1">
            <x v="1509"/>
          </reference>
        </references>
      </pivotArea>
    </format>
    <format dxfId="2275">
      <pivotArea collapsedLevelsAreSubtotals="1" fieldPosition="0">
        <references count="1">
          <reference field="6" count="1">
            <x v="1512"/>
          </reference>
        </references>
      </pivotArea>
    </format>
    <format dxfId="2274">
      <pivotArea collapsedLevelsAreSubtotals="1" fieldPosition="0">
        <references count="1">
          <reference field="6" count="1">
            <x v="1518"/>
          </reference>
        </references>
      </pivotArea>
    </format>
    <format dxfId="2273">
      <pivotArea collapsedLevelsAreSubtotals="1" fieldPosition="0">
        <references count="1">
          <reference field="6" count="1">
            <x v="1523"/>
          </reference>
        </references>
      </pivotArea>
    </format>
    <format dxfId="2272">
      <pivotArea collapsedLevelsAreSubtotals="1" fieldPosition="0">
        <references count="1">
          <reference field="6" count="1">
            <x v="1524"/>
          </reference>
        </references>
      </pivotArea>
    </format>
    <format dxfId="2271">
      <pivotArea collapsedLevelsAreSubtotals="1" fieldPosition="0">
        <references count="1">
          <reference field="6" count="1">
            <x v="1532"/>
          </reference>
        </references>
      </pivotArea>
    </format>
    <format dxfId="2270">
      <pivotArea collapsedLevelsAreSubtotals="1" fieldPosition="0">
        <references count="1">
          <reference field="6" count="1">
            <x v="1534"/>
          </reference>
        </references>
      </pivotArea>
    </format>
    <format dxfId="2269">
      <pivotArea collapsedLevelsAreSubtotals="1" fieldPosition="0">
        <references count="1">
          <reference field="6" count="1">
            <x v="1535"/>
          </reference>
        </references>
      </pivotArea>
    </format>
    <format dxfId="2268">
      <pivotArea collapsedLevelsAreSubtotals="1" fieldPosition="0">
        <references count="1">
          <reference field="6" count="1">
            <x v="1536"/>
          </reference>
        </references>
      </pivotArea>
    </format>
    <format dxfId="2267">
      <pivotArea collapsedLevelsAreSubtotals="1" fieldPosition="0">
        <references count="1">
          <reference field="6" count="1">
            <x v="1541"/>
          </reference>
        </references>
      </pivotArea>
    </format>
    <format dxfId="2266">
      <pivotArea collapsedLevelsAreSubtotals="1" fieldPosition="0">
        <references count="1">
          <reference field="6" count="1">
            <x v="1543"/>
          </reference>
        </references>
      </pivotArea>
    </format>
    <format dxfId="2265">
      <pivotArea collapsedLevelsAreSubtotals="1" fieldPosition="0">
        <references count="1">
          <reference field="6" count="1">
            <x v="1545"/>
          </reference>
        </references>
      </pivotArea>
    </format>
    <format dxfId="2264">
      <pivotArea collapsedLevelsAreSubtotals="1" fieldPosition="0">
        <references count="1">
          <reference field="6" count="1">
            <x v="1553"/>
          </reference>
        </references>
      </pivotArea>
    </format>
    <format dxfId="2263">
      <pivotArea collapsedLevelsAreSubtotals="1" fieldPosition="0">
        <references count="1">
          <reference field="6" count="1">
            <x v="1563"/>
          </reference>
        </references>
      </pivotArea>
    </format>
    <format dxfId="2262">
      <pivotArea collapsedLevelsAreSubtotals="1" fieldPosition="0">
        <references count="1">
          <reference field="6" count="1">
            <x v="1564"/>
          </reference>
        </references>
      </pivotArea>
    </format>
    <format dxfId="2261">
      <pivotArea collapsedLevelsAreSubtotals="1" fieldPosition="0">
        <references count="1">
          <reference field="6" count="1">
            <x v="1575"/>
          </reference>
        </references>
      </pivotArea>
    </format>
    <format dxfId="2260">
      <pivotArea collapsedLevelsAreSubtotals="1" fieldPosition="0">
        <references count="1">
          <reference field="6" count="1">
            <x v="1578"/>
          </reference>
        </references>
      </pivotArea>
    </format>
    <format dxfId="2259">
      <pivotArea collapsedLevelsAreSubtotals="1" fieldPosition="0">
        <references count="1">
          <reference field="6" count="1">
            <x v="1584"/>
          </reference>
        </references>
      </pivotArea>
    </format>
    <format dxfId="2258">
      <pivotArea collapsedLevelsAreSubtotals="1" fieldPosition="0">
        <references count="1">
          <reference field="6" count="1">
            <x v="1585"/>
          </reference>
        </references>
      </pivotArea>
    </format>
    <format dxfId="2257">
      <pivotArea collapsedLevelsAreSubtotals="1" fieldPosition="0">
        <references count="1">
          <reference field="6" count="1">
            <x v="1586"/>
          </reference>
        </references>
      </pivotArea>
    </format>
    <format dxfId="2256">
      <pivotArea collapsedLevelsAreSubtotals="1" fieldPosition="0">
        <references count="1">
          <reference field="6" count="1">
            <x v="1589"/>
          </reference>
        </references>
      </pivotArea>
    </format>
    <format dxfId="2255">
      <pivotArea collapsedLevelsAreSubtotals="1" fieldPosition="0">
        <references count="1">
          <reference field="6" count="1">
            <x v="1590"/>
          </reference>
        </references>
      </pivotArea>
    </format>
    <format dxfId="2254">
      <pivotArea collapsedLevelsAreSubtotals="1" fieldPosition="0">
        <references count="1">
          <reference field="6" count="1">
            <x v="1595"/>
          </reference>
        </references>
      </pivotArea>
    </format>
    <format dxfId="2253">
      <pivotArea collapsedLevelsAreSubtotals="1" fieldPosition="0">
        <references count="1">
          <reference field="6" count="1">
            <x v="1596"/>
          </reference>
        </references>
      </pivotArea>
    </format>
    <format dxfId="2252">
      <pivotArea collapsedLevelsAreSubtotals="1" fieldPosition="0">
        <references count="1">
          <reference field="6" count="1">
            <x v="1600"/>
          </reference>
        </references>
      </pivotArea>
    </format>
    <format dxfId="2251">
      <pivotArea collapsedLevelsAreSubtotals="1" fieldPosition="0">
        <references count="1">
          <reference field="6" count="1">
            <x v="1603"/>
          </reference>
        </references>
      </pivotArea>
    </format>
    <format dxfId="2250">
      <pivotArea collapsedLevelsAreSubtotals="1" fieldPosition="0">
        <references count="1">
          <reference field="6" count="1">
            <x v="1606"/>
          </reference>
        </references>
      </pivotArea>
    </format>
    <format dxfId="2249">
      <pivotArea collapsedLevelsAreSubtotals="1" fieldPosition="0">
        <references count="1">
          <reference field="6" count="1">
            <x v="1609"/>
          </reference>
        </references>
      </pivotArea>
    </format>
    <format dxfId="2248">
      <pivotArea collapsedLevelsAreSubtotals="1" fieldPosition="0">
        <references count="1">
          <reference field="6" count="1">
            <x v="1610"/>
          </reference>
        </references>
      </pivotArea>
    </format>
    <format dxfId="2247">
      <pivotArea collapsedLevelsAreSubtotals="1" fieldPosition="0">
        <references count="1">
          <reference field="6" count="1">
            <x v="1630"/>
          </reference>
        </references>
      </pivotArea>
    </format>
    <format dxfId="2246">
      <pivotArea collapsedLevelsAreSubtotals="1" fieldPosition="0">
        <references count="1">
          <reference field="6" count="1">
            <x v="1632"/>
          </reference>
        </references>
      </pivotArea>
    </format>
    <format dxfId="2245">
      <pivotArea collapsedLevelsAreSubtotals="1" fieldPosition="0">
        <references count="1">
          <reference field="6" count="1">
            <x v="1642"/>
          </reference>
        </references>
      </pivotArea>
    </format>
    <format dxfId="2244">
      <pivotArea collapsedLevelsAreSubtotals="1" fieldPosition="0">
        <references count="1">
          <reference field="6" count="1">
            <x v="1644"/>
          </reference>
        </references>
      </pivotArea>
    </format>
    <format dxfId="2243">
      <pivotArea collapsedLevelsAreSubtotals="1" fieldPosition="0">
        <references count="1">
          <reference field="6" count="1">
            <x v="1648"/>
          </reference>
        </references>
      </pivotArea>
    </format>
    <format dxfId="2242">
      <pivotArea collapsedLevelsAreSubtotals="1" fieldPosition="0">
        <references count="1">
          <reference field="6" count="1">
            <x v="1655"/>
          </reference>
        </references>
      </pivotArea>
    </format>
    <format dxfId="2241">
      <pivotArea collapsedLevelsAreSubtotals="1" fieldPosition="0">
        <references count="1">
          <reference field="6" count="1">
            <x v="1657"/>
          </reference>
        </references>
      </pivotArea>
    </format>
    <format dxfId="2240">
      <pivotArea collapsedLevelsAreSubtotals="1" fieldPosition="0">
        <references count="1">
          <reference field="6" count="1">
            <x v="1667"/>
          </reference>
        </references>
      </pivotArea>
    </format>
    <format dxfId="2239">
      <pivotArea collapsedLevelsAreSubtotals="1" fieldPosition="0">
        <references count="1">
          <reference field="6" count="1">
            <x v="1670"/>
          </reference>
        </references>
      </pivotArea>
    </format>
    <format dxfId="2238">
      <pivotArea collapsedLevelsAreSubtotals="1" fieldPosition="0">
        <references count="1">
          <reference field="6" count="1">
            <x v="1674"/>
          </reference>
        </references>
      </pivotArea>
    </format>
    <format dxfId="2237">
      <pivotArea collapsedLevelsAreSubtotals="1" fieldPosition="0">
        <references count="1">
          <reference field="6" count="1">
            <x v="1676"/>
          </reference>
        </references>
      </pivotArea>
    </format>
    <format dxfId="2236">
      <pivotArea dataOnly="0" labelOnly="1" fieldPosition="0">
        <references count="1">
          <reference field="6" count="50">
            <x v="20"/>
            <x v="30"/>
            <x v="36"/>
            <x v="39"/>
            <x v="41"/>
            <x v="49"/>
            <x v="52"/>
            <x v="54"/>
            <x v="55"/>
            <x v="56"/>
            <x v="62"/>
            <x v="70"/>
            <x v="74"/>
            <x v="76"/>
            <x v="81"/>
            <x v="84"/>
            <x v="89"/>
            <x v="90"/>
            <x v="97"/>
            <x v="98"/>
            <x v="100"/>
            <x v="105"/>
            <x v="107"/>
            <x v="112"/>
            <x v="120"/>
            <x v="124"/>
            <x v="130"/>
            <x v="131"/>
            <x v="134"/>
            <x v="139"/>
            <x v="146"/>
            <x v="155"/>
            <x v="156"/>
            <x v="161"/>
            <x v="162"/>
            <x v="163"/>
            <x v="165"/>
            <x v="172"/>
            <x v="177"/>
            <x v="180"/>
            <x v="186"/>
            <x v="190"/>
            <x v="191"/>
            <x v="195"/>
            <x v="204"/>
            <x v="206"/>
            <x v="209"/>
            <x v="213"/>
            <x v="214"/>
            <x v="217"/>
          </reference>
        </references>
      </pivotArea>
    </format>
    <format dxfId="2235">
      <pivotArea dataOnly="0" labelOnly="1" fieldPosition="0">
        <references count="1">
          <reference field="6" count="50">
            <x v="220"/>
            <x v="223"/>
            <x v="226"/>
            <x v="229"/>
            <x v="231"/>
            <x v="232"/>
            <x v="235"/>
            <x v="237"/>
            <x v="239"/>
            <x v="242"/>
            <x v="243"/>
            <x v="251"/>
            <x v="254"/>
            <x v="256"/>
            <x v="258"/>
            <x v="262"/>
            <x v="269"/>
            <x v="272"/>
            <x v="275"/>
            <x v="277"/>
            <x v="279"/>
            <x v="287"/>
            <x v="294"/>
            <x v="295"/>
            <x v="302"/>
            <x v="304"/>
            <x v="309"/>
            <x v="313"/>
            <x v="320"/>
            <x v="327"/>
            <x v="328"/>
            <x v="333"/>
            <x v="337"/>
            <x v="341"/>
            <x v="344"/>
            <x v="346"/>
            <x v="351"/>
            <x v="354"/>
            <x v="355"/>
            <x v="357"/>
            <x v="374"/>
            <x v="378"/>
            <x v="396"/>
            <x v="397"/>
            <x v="400"/>
            <x v="403"/>
            <x v="404"/>
            <x v="409"/>
            <x v="411"/>
            <x v="435"/>
          </reference>
        </references>
      </pivotArea>
    </format>
    <format dxfId="2234">
      <pivotArea dataOnly="0" labelOnly="1" fieldPosition="0">
        <references count="1">
          <reference field="6" count="50">
            <x v="441"/>
            <x v="444"/>
            <x v="448"/>
            <x v="453"/>
            <x v="457"/>
            <x v="458"/>
            <x v="461"/>
            <x v="462"/>
            <x v="464"/>
            <x v="466"/>
            <x v="467"/>
            <x v="468"/>
            <x v="472"/>
            <x v="473"/>
            <x v="478"/>
            <x v="481"/>
            <x v="485"/>
            <x v="487"/>
            <x v="491"/>
            <x v="512"/>
            <x v="514"/>
            <x v="519"/>
            <x v="525"/>
            <x v="526"/>
            <x v="531"/>
            <x v="532"/>
            <x v="533"/>
            <x v="539"/>
            <x v="546"/>
            <x v="551"/>
            <x v="554"/>
            <x v="570"/>
            <x v="582"/>
            <x v="597"/>
            <x v="599"/>
            <x v="601"/>
            <x v="602"/>
            <x v="603"/>
            <x v="607"/>
            <x v="624"/>
            <x v="625"/>
            <x v="626"/>
            <x v="627"/>
            <x v="629"/>
            <x v="633"/>
            <x v="644"/>
            <x v="646"/>
            <x v="648"/>
            <x v="653"/>
            <x v="654"/>
          </reference>
        </references>
      </pivotArea>
    </format>
    <format dxfId="2233">
      <pivotArea dataOnly="0" labelOnly="1" fieldPosition="0">
        <references count="1">
          <reference field="6" count="50">
            <x v="657"/>
            <x v="659"/>
            <x v="660"/>
            <x v="663"/>
            <x v="665"/>
            <x v="674"/>
            <x v="686"/>
            <x v="688"/>
            <x v="689"/>
            <x v="690"/>
            <x v="691"/>
            <x v="694"/>
            <x v="695"/>
            <x v="705"/>
            <x v="706"/>
            <x v="709"/>
            <x v="722"/>
            <x v="723"/>
            <x v="727"/>
            <x v="732"/>
            <x v="733"/>
            <x v="734"/>
            <x v="736"/>
            <x v="737"/>
            <x v="742"/>
            <x v="744"/>
            <x v="746"/>
            <x v="751"/>
            <x v="752"/>
            <x v="754"/>
            <x v="757"/>
            <x v="759"/>
            <x v="760"/>
            <x v="769"/>
            <x v="772"/>
            <x v="775"/>
            <x v="781"/>
            <x v="786"/>
            <x v="793"/>
            <x v="795"/>
            <x v="797"/>
            <x v="805"/>
            <x v="812"/>
            <x v="813"/>
            <x v="816"/>
            <x v="817"/>
            <x v="830"/>
            <x v="831"/>
            <x v="832"/>
            <x v="833"/>
          </reference>
        </references>
      </pivotArea>
    </format>
    <format dxfId="2232">
      <pivotArea dataOnly="0" labelOnly="1" fieldPosition="0">
        <references count="1">
          <reference field="6" count="50">
            <x v="835"/>
            <x v="839"/>
            <x v="851"/>
            <x v="859"/>
            <x v="860"/>
            <x v="865"/>
            <x v="874"/>
            <x v="876"/>
            <x v="882"/>
            <x v="886"/>
            <x v="887"/>
            <x v="888"/>
            <x v="891"/>
            <x v="892"/>
            <x v="893"/>
            <x v="894"/>
            <x v="899"/>
            <x v="900"/>
            <x v="901"/>
            <x v="910"/>
            <x v="911"/>
            <x v="912"/>
            <x v="913"/>
            <x v="915"/>
            <x v="916"/>
            <x v="922"/>
            <x v="924"/>
            <x v="928"/>
            <x v="935"/>
            <x v="936"/>
            <x v="950"/>
            <x v="954"/>
            <x v="966"/>
            <x v="967"/>
            <x v="968"/>
            <x v="971"/>
            <x v="978"/>
            <x v="982"/>
            <x v="985"/>
            <x v="988"/>
            <x v="994"/>
            <x v="998"/>
            <x v="999"/>
            <x v="1000"/>
            <x v="1002"/>
            <x v="1004"/>
            <x v="1006"/>
            <x v="1008"/>
            <x v="1015"/>
            <x v="1017"/>
          </reference>
        </references>
      </pivotArea>
    </format>
    <format dxfId="2231">
      <pivotArea dataOnly="0" labelOnly="1" fieldPosition="0">
        <references count="1">
          <reference field="6" count="50">
            <x v="1029"/>
            <x v="1031"/>
            <x v="1035"/>
            <x v="1039"/>
            <x v="1040"/>
            <x v="1046"/>
            <x v="1048"/>
            <x v="1050"/>
            <x v="1056"/>
            <x v="1065"/>
            <x v="1070"/>
            <x v="1074"/>
            <x v="1087"/>
            <x v="1093"/>
            <x v="1097"/>
            <x v="1099"/>
            <x v="1103"/>
            <x v="1104"/>
            <x v="1110"/>
            <x v="1113"/>
            <x v="1116"/>
            <x v="1119"/>
            <x v="1120"/>
            <x v="1121"/>
            <x v="1131"/>
            <x v="1136"/>
            <x v="1139"/>
            <x v="1141"/>
            <x v="1143"/>
            <x v="1145"/>
            <x v="1150"/>
            <x v="1162"/>
            <x v="1165"/>
            <x v="1167"/>
            <x v="1174"/>
            <x v="1180"/>
            <x v="1186"/>
            <x v="1187"/>
            <x v="1192"/>
            <x v="1194"/>
            <x v="1205"/>
            <x v="1207"/>
            <x v="1215"/>
            <x v="1217"/>
            <x v="1220"/>
            <x v="1227"/>
            <x v="1228"/>
            <x v="1230"/>
            <x v="1233"/>
            <x v="1238"/>
          </reference>
        </references>
      </pivotArea>
    </format>
    <format dxfId="2230">
      <pivotArea dataOnly="0" labelOnly="1" fieldPosition="0">
        <references count="1">
          <reference field="6" count="50">
            <x v="1240"/>
            <x v="1241"/>
            <x v="1254"/>
            <x v="1261"/>
            <x v="1266"/>
            <x v="1267"/>
            <x v="1274"/>
            <x v="1279"/>
            <x v="1280"/>
            <x v="1290"/>
            <x v="1292"/>
            <x v="1293"/>
            <x v="1298"/>
            <x v="1300"/>
            <x v="1304"/>
            <x v="1306"/>
            <x v="1317"/>
            <x v="1321"/>
            <x v="1322"/>
            <x v="1328"/>
            <x v="1331"/>
            <x v="1332"/>
            <x v="1340"/>
            <x v="1342"/>
            <x v="1352"/>
            <x v="1356"/>
            <x v="1359"/>
            <x v="1369"/>
            <x v="1371"/>
            <x v="1373"/>
            <x v="1374"/>
            <x v="1376"/>
            <x v="1377"/>
            <x v="1385"/>
            <x v="1387"/>
            <x v="1397"/>
            <x v="1401"/>
            <x v="1406"/>
            <x v="1407"/>
            <x v="1411"/>
            <x v="1420"/>
            <x v="1421"/>
            <x v="1423"/>
            <x v="1426"/>
            <x v="1428"/>
            <x v="1435"/>
            <x v="1437"/>
            <x v="1441"/>
            <x v="1443"/>
            <x v="1448"/>
          </reference>
        </references>
      </pivotArea>
    </format>
    <format dxfId="2229">
      <pivotArea dataOnly="0" labelOnly="1" fieldPosition="0">
        <references count="1">
          <reference field="6" count="50">
            <x v="1453"/>
            <x v="1455"/>
            <x v="1456"/>
            <x v="1459"/>
            <x v="1469"/>
            <x v="1472"/>
            <x v="1475"/>
            <x v="1482"/>
            <x v="1483"/>
            <x v="1484"/>
            <x v="1487"/>
            <x v="1493"/>
            <x v="1495"/>
            <x v="1506"/>
            <x v="1507"/>
            <x v="1508"/>
            <x v="1509"/>
            <x v="1512"/>
            <x v="1518"/>
            <x v="1523"/>
            <x v="1524"/>
            <x v="1532"/>
            <x v="1534"/>
            <x v="1535"/>
            <x v="1536"/>
            <x v="1541"/>
            <x v="1543"/>
            <x v="1545"/>
            <x v="1553"/>
            <x v="1563"/>
            <x v="1564"/>
            <x v="1575"/>
            <x v="1578"/>
            <x v="1584"/>
            <x v="1585"/>
            <x v="1586"/>
            <x v="1589"/>
            <x v="1590"/>
            <x v="1595"/>
            <x v="1596"/>
            <x v="1600"/>
            <x v="1603"/>
            <x v="1606"/>
            <x v="1609"/>
            <x v="1610"/>
            <x v="1630"/>
            <x v="1632"/>
            <x v="1642"/>
            <x v="1644"/>
            <x v="1648"/>
          </reference>
        </references>
      </pivotArea>
    </format>
    <format dxfId="2228">
      <pivotArea dataOnly="0" labelOnly="1" fieldPosition="0">
        <references count="1">
          <reference field="6" count="6">
            <x v="1655"/>
            <x v="1657"/>
            <x v="1667"/>
            <x v="1670"/>
            <x v="1674"/>
            <x v="1676"/>
          </reference>
        </references>
      </pivotArea>
    </format>
    <format dxfId="2227">
      <pivotArea collapsedLevelsAreSubtotals="1" fieldPosition="0">
        <references count="1">
          <reference field="6" count="1">
            <x v="20"/>
          </reference>
        </references>
      </pivotArea>
    </format>
    <format dxfId="2226">
      <pivotArea collapsedLevelsAreSubtotals="1" fieldPosition="0">
        <references count="1">
          <reference field="6" count="1">
            <x v="30"/>
          </reference>
        </references>
      </pivotArea>
    </format>
    <format dxfId="2225">
      <pivotArea collapsedLevelsAreSubtotals="1" fieldPosition="0">
        <references count="1">
          <reference field="6" count="1">
            <x v="36"/>
          </reference>
        </references>
      </pivotArea>
    </format>
    <format dxfId="2224">
      <pivotArea collapsedLevelsAreSubtotals="1" fieldPosition="0">
        <references count="1">
          <reference field="6" count="1">
            <x v="39"/>
          </reference>
        </references>
      </pivotArea>
    </format>
    <format dxfId="2223">
      <pivotArea collapsedLevelsAreSubtotals="1" fieldPosition="0">
        <references count="1">
          <reference field="6" count="1">
            <x v="41"/>
          </reference>
        </references>
      </pivotArea>
    </format>
    <format dxfId="2222">
      <pivotArea collapsedLevelsAreSubtotals="1" fieldPosition="0">
        <references count="1">
          <reference field="6" count="1">
            <x v="49"/>
          </reference>
        </references>
      </pivotArea>
    </format>
    <format dxfId="2221">
      <pivotArea collapsedLevelsAreSubtotals="1" fieldPosition="0">
        <references count="1">
          <reference field="6" count="1">
            <x v="52"/>
          </reference>
        </references>
      </pivotArea>
    </format>
    <format dxfId="2220">
      <pivotArea collapsedLevelsAreSubtotals="1" fieldPosition="0">
        <references count="1">
          <reference field="6" count="1">
            <x v="54"/>
          </reference>
        </references>
      </pivotArea>
    </format>
    <format dxfId="2219">
      <pivotArea collapsedLevelsAreSubtotals="1" fieldPosition="0">
        <references count="1">
          <reference field="6" count="1">
            <x v="55"/>
          </reference>
        </references>
      </pivotArea>
    </format>
    <format dxfId="2218">
      <pivotArea collapsedLevelsAreSubtotals="1" fieldPosition="0">
        <references count="1">
          <reference field="6" count="1">
            <x v="56"/>
          </reference>
        </references>
      </pivotArea>
    </format>
    <format dxfId="2217">
      <pivotArea collapsedLevelsAreSubtotals="1" fieldPosition="0">
        <references count="1">
          <reference field="6" count="1">
            <x v="62"/>
          </reference>
        </references>
      </pivotArea>
    </format>
    <format dxfId="2216">
      <pivotArea collapsedLevelsAreSubtotals="1" fieldPosition="0">
        <references count="1">
          <reference field="6" count="1">
            <x v="70"/>
          </reference>
        </references>
      </pivotArea>
    </format>
    <format dxfId="2215">
      <pivotArea collapsedLevelsAreSubtotals="1" fieldPosition="0">
        <references count="1">
          <reference field="6" count="1">
            <x v="74"/>
          </reference>
        </references>
      </pivotArea>
    </format>
    <format dxfId="2214">
      <pivotArea collapsedLevelsAreSubtotals="1" fieldPosition="0">
        <references count="1">
          <reference field="6" count="1">
            <x v="76"/>
          </reference>
        </references>
      </pivotArea>
    </format>
    <format dxfId="2213">
      <pivotArea collapsedLevelsAreSubtotals="1" fieldPosition="0">
        <references count="1">
          <reference field="6" count="1">
            <x v="81"/>
          </reference>
        </references>
      </pivotArea>
    </format>
    <format dxfId="2212">
      <pivotArea collapsedLevelsAreSubtotals="1" fieldPosition="0">
        <references count="1">
          <reference field="6" count="1">
            <x v="84"/>
          </reference>
        </references>
      </pivotArea>
    </format>
    <format dxfId="2211">
      <pivotArea collapsedLevelsAreSubtotals="1" fieldPosition="0">
        <references count="1">
          <reference field="6" count="1">
            <x v="89"/>
          </reference>
        </references>
      </pivotArea>
    </format>
    <format dxfId="2210">
      <pivotArea collapsedLevelsAreSubtotals="1" fieldPosition="0">
        <references count="1">
          <reference field="6" count="1">
            <x v="90"/>
          </reference>
        </references>
      </pivotArea>
    </format>
    <format dxfId="2209">
      <pivotArea collapsedLevelsAreSubtotals="1" fieldPosition="0">
        <references count="1">
          <reference field="6" count="1">
            <x v="97"/>
          </reference>
        </references>
      </pivotArea>
    </format>
    <format dxfId="2208">
      <pivotArea collapsedLevelsAreSubtotals="1" fieldPosition="0">
        <references count="1">
          <reference field="6" count="1">
            <x v="98"/>
          </reference>
        </references>
      </pivotArea>
    </format>
    <format dxfId="2207">
      <pivotArea collapsedLevelsAreSubtotals="1" fieldPosition="0">
        <references count="1">
          <reference field="6" count="1">
            <x v="100"/>
          </reference>
        </references>
      </pivotArea>
    </format>
    <format dxfId="2206">
      <pivotArea collapsedLevelsAreSubtotals="1" fieldPosition="0">
        <references count="1">
          <reference field="6" count="1">
            <x v="105"/>
          </reference>
        </references>
      </pivotArea>
    </format>
    <format dxfId="2205">
      <pivotArea collapsedLevelsAreSubtotals="1" fieldPosition="0">
        <references count="1">
          <reference field="6" count="1">
            <x v="107"/>
          </reference>
        </references>
      </pivotArea>
    </format>
    <format dxfId="2204">
      <pivotArea collapsedLevelsAreSubtotals="1" fieldPosition="0">
        <references count="1">
          <reference field="6" count="1">
            <x v="112"/>
          </reference>
        </references>
      </pivotArea>
    </format>
    <format dxfId="2203">
      <pivotArea collapsedLevelsAreSubtotals="1" fieldPosition="0">
        <references count="1">
          <reference field="6" count="1">
            <x v="120"/>
          </reference>
        </references>
      </pivotArea>
    </format>
    <format dxfId="2202">
      <pivotArea collapsedLevelsAreSubtotals="1" fieldPosition="0">
        <references count="1">
          <reference field="6" count="1">
            <x v="124"/>
          </reference>
        </references>
      </pivotArea>
    </format>
    <format dxfId="2201">
      <pivotArea collapsedLevelsAreSubtotals="1" fieldPosition="0">
        <references count="1">
          <reference field="6" count="1">
            <x v="130"/>
          </reference>
        </references>
      </pivotArea>
    </format>
    <format dxfId="2200">
      <pivotArea collapsedLevelsAreSubtotals="1" fieldPosition="0">
        <references count="1">
          <reference field="6" count="1">
            <x v="131"/>
          </reference>
        </references>
      </pivotArea>
    </format>
    <format dxfId="2199">
      <pivotArea collapsedLevelsAreSubtotals="1" fieldPosition="0">
        <references count="1">
          <reference field="6" count="1">
            <x v="134"/>
          </reference>
        </references>
      </pivotArea>
    </format>
    <format dxfId="2198">
      <pivotArea collapsedLevelsAreSubtotals="1" fieldPosition="0">
        <references count="1">
          <reference field="6" count="1">
            <x v="139"/>
          </reference>
        </references>
      </pivotArea>
    </format>
    <format dxfId="2197">
      <pivotArea collapsedLevelsAreSubtotals="1" fieldPosition="0">
        <references count="1">
          <reference field="6" count="1">
            <x v="146"/>
          </reference>
        </references>
      </pivotArea>
    </format>
    <format dxfId="2196">
      <pivotArea collapsedLevelsAreSubtotals="1" fieldPosition="0">
        <references count="1">
          <reference field="6" count="1">
            <x v="155"/>
          </reference>
        </references>
      </pivotArea>
    </format>
    <format dxfId="2195">
      <pivotArea collapsedLevelsAreSubtotals="1" fieldPosition="0">
        <references count="1">
          <reference field="6" count="1">
            <x v="156"/>
          </reference>
        </references>
      </pivotArea>
    </format>
    <format dxfId="2194">
      <pivotArea collapsedLevelsAreSubtotals="1" fieldPosition="0">
        <references count="1">
          <reference field="6" count="1">
            <x v="161"/>
          </reference>
        </references>
      </pivotArea>
    </format>
    <format dxfId="2193">
      <pivotArea collapsedLevelsAreSubtotals="1" fieldPosition="0">
        <references count="1">
          <reference field="6" count="1">
            <x v="162"/>
          </reference>
        </references>
      </pivotArea>
    </format>
    <format dxfId="2192">
      <pivotArea collapsedLevelsAreSubtotals="1" fieldPosition="0">
        <references count="1">
          <reference field="6" count="1">
            <x v="163"/>
          </reference>
        </references>
      </pivotArea>
    </format>
    <format dxfId="2191">
      <pivotArea collapsedLevelsAreSubtotals="1" fieldPosition="0">
        <references count="1">
          <reference field="6" count="1">
            <x v="165"/>
          </reference>
        </references>
      </pivotArea>
    </format>
    <format dxfId="2190">
      <pivotArea collapsedLevelsAreSubtotals="1" fieldPosition="0">
        <references count="1">
          <reference field="6" count="1">
            <x v="172"/>
          </reference>
        </references>
      </pivotArea>
    </format>
    <format dxfId="2189">
      <pivotArea collapsedLevelsAreSubtotals="1" fieldPosition="0">
        <references count="1">
          <reference field="6" count="1">
            <x v="177"/>
          </reference>
        </references>
      </pivotArea>
    </format>
    <format dxfId="2188">
      <pivotArea collapsedLevelsAreSubtotals="1" fieldPosition="0">
        <references count="1">
          <reference field="6" count="1">
            <x v="180"/>
          </reference>
        </references>
      </pivotArea>
    </format>
    <format dxfId="2187">
      <pivotArea collapsedLevelsAreSubtotals="1" fieldPosition="0">
        <references count="1">
          <reference field="6" count="1">
            <x v="186"/>
          </reference>
        </references>
      </pivotArea>
    </format>
    <format dxfId="2186">
      <pivotArea collapsedLevelsAreSubtotals="1" fieldPosition="0">
        <references count="1">
          <reference field="6" count="1">
            <x v="190"/>
          </reference>
        </references>
      </pivotArea>
    </format>
    <format dxfId="2185">
      <pivotArea collapsedLevelsAreSubtotals="1" fieldPosition="0">
        <references count="1">
          <reference field="6" count="1">
            <x v="191"/>
          </reference>
        </references>
      </pivotArea>
    </format>
    <format dxfId="2184">
      <pivotArea collapsedLevelsAreSubtotals="1" fieldPosition="0">
        <references count="1">
          <reference field="6" count="1">
            <x v="195"/>
          </reference>
        </references>
      </pivotArea>
    </format>
    <format dxfId="2183">
      <pivotArea collapsedLevelsAreSubtotals="1" fieldPosition="0">
        <references count="1">
          <reference field="6" count="1">
            <x v="204"/>
          </reference>
        </references>
      </pivotArea>
    </format>
    <format dxfId="2182">
      <pivotArea collapsedLevelsAreSubtotals="1" fieldPosition="0">
        <references count="1">
          <reference field="6" count="1">
            <x v="206"/>
          </reference>
        </references>
      </pivotArea>
    </format>
    <format dxfId="2181">
      <pivotArea collapsedLevelsAreSubtotals="1" fieldPosition="0">
        <references count="1">
          <reference field="6" count="1">
            <x v="209"/>
          </reference>
        </references>
      </pivotArea>
    </format>
    <format dxfId="2180">
      <pivotArea collapsedLevelsAreSubtotals="1" fieldPosition="0">
        <references count="1">
          <reference field="6" count="1">
            <x v="213"/>
          </reference>
        </references>
      </pivotArea>
    </format>
    <format dxfId="2179">
      <pivotArea collapsedLevelsAreSubtotals="1" fieldPosition="0">
        <references count="1">
          <reference field="6" count="1">
            <x v="214"/>
          </reference>
        </references>
      </pivotArea>
    </format>
    <format dxfId="2178">
      <pivotArea collapsedLevelsAreSubtotals="1" fieldPosition="0">
        <references count="1">
          <reference field="6" count="1">
            <x v="217"/>
          </reference>
        </references>
      </pivotArea>
    </format>
    <format dxfId="2177">
      <pivotArea collapsedLevelsAreSubtotals="1" fieldPosition="0">
        <references count="1">
          <reference field="6" count="1">
            <x v="220"/>
          </reference>
        </references>
      </pivotArea>
    </format>
    <format dxfId="2176">
      <pivotArea collapsedLevelsAreSubtotals="1" fieldPosition="0">
        <references count="1">
          <reference field="6" count="1">
            <x v="223"/>
          </reference>
        </references>
      </pivotArea>
    </format>
    <format dxfId="2175">
      <pivotArea collapsedLevelsAreSubtotals="1" fieldPosition="0">
        <references count="1">
          <reference field="6" count="1">
            <x v="226"/>
          </reference>
        </references>
      </pivotArea>
    </format>
    <format dxfId="2174">
      <pivotArea collapsedLevelsAreSubtotals="1" fieldPosition="0">
        <references count="1">
          <reference field="6" count="1">
            <x v="229"/>
          </reference>
        </references>
      </pivotArea>
    </format>
    <format dxfId="2173">
      <pivotArea collapsedLevelsAreSubtotals="1" fieldPosition="0">
        <references count="1">
          <reference field="6" count="1">
            <x v="231"/>
          </reference>
        </references>
      </pivotArea>
    </format>
    <format dxfId="2172">
      <pivotArea collapsedLevelsAreSubtotals="1" fieldPosition="0">
        <references count="1">
          <reference field="6" count="1">
            <x v="232"/>
          </reference>
        </references>
      </pivotArea>
    </format>
    <format dxfId="2171">
      <pivotArea collapsedLevelsAreSubtotals="1" fieldPosition="0">
        <references count="1">
          <reference field="6" count="1">
            <x v="235"/>
          </reference>
        </references>
      </pivotArea>
    </format>
    <format dxfId="2170">
      <pivotArea collapsedLevelsAreSubtotals="1" fieldPosition="0">
        <references count="1">
          <reference field="6" count="1">
            <x v="237"/>
          </reference>
        </references>
      </pivotArea>
    </format>
    <format dxfId="2169">
      <pivotArea collapsedLevelsAreSubtotals="1" fieldPosition="0">
        <references count="1">
          <reference field="6" count="1">
            <x v="239"/>
          </reference>
        </references>
      </pivotArea>
    </format>
    <format dxfId="2168">
      <pivotArea collapsedLevelsAreSubtotals="1" fieldPosition="0">
        <references count="1">
          <reference field="6" count="1">
            <x v="242"/>
          </reference>
        </references>
      </pivotArea>
    </format>
    <format dxfId="2167">
      <pivotArea collapsedLevelsAreSubtotals="1" fieldPosition="0">
        <references count="1">
          <reference field="6" count="1">
            <x v="243"/>
          </reference>
        </references>
      </pivotArea>
    </format>
    <format dxfId="2166">
      <pivotArea collapsedLevelsAreSubtotals="1" fieldPosition="0">
        <references count="1">
          <reference field="6" count="1">
            <x v="251"/>
          </reference>
        </references>
      </pivotArea>
    </format>
    <format dxfId="2165">
      <pivotArea collapsedLevelsAreSubtotals="1" fieldPosition="0">
        <references count="1">
          <reference field="6" count="1">
            <x v="254"/>
          </reference>
        </references>
      </pivotArea>
    </format>
    <format dxfId="2164">
      <pivotArea collapsedLevelsAreSubtotals="1" fieldPosition="0">
        <references count="1">
          <reference field="6" count="1">
            <x v="256"/>
          </reference>
        </references>
      </pivotArea>
    </format>
    <format dxfId="2163">
      <pivotArea collapsedLevelsAreSubtotals="1" fieldPosition="0">
        <references count="1">
          <reference field="6" count="1">
            <x v="258"/>
          </reference>
        </references>
      </pivotArea>
    </format>
    <format dxfId="2162">
      <pivotArea collapsedLevelsAreSubtotals="1" fieldPosition="0">
        <references count="1">
          <reference field="6" count="1">
            <x v="262"/>
          </reference>
        </references>
      </pivotArea>
    </format>
    <format dxfId="2161">
      <pivotArea collapsedLevelsAreSubtotals="1" fieldPosition="0">
        <references count="1">
          <reference field="6" count="1">
            <x v="269"/>
          </reference>
        </references>
      </pivotArea>
    </format>
    <format dxfId="2160">
      <pivotArea collapsedLevelsAreSubtotals="1" fieldPosition="0">
        <references count="1">
          <reference field="6" count="1">
            <x v="272"/>
          </reference>
        </references>
      </pivotArea>
    </format>
    <format dxfId="2159">
      <pivotArea collapsedLevelsAreSubtotals="1" fieldPosition="0">
        <references count="1">
          <reference field="6" count="1">
            <x v="275"/>
          </reference>
        </references>
      </pivotArea>
    </format>
    <format dxfId="2158">
      <pivotArea collapsedLevelsAreSubtotals="1" fieldPosition="0">
        <references count="1">
          <reference field="6" count="1">
            <x v="277"/>
          </reference>
        </references>
      </pivotArea>
    </format>
    <format dxfId="2157">
      <pivotArea collapsedLevelsAreSubtotals="1" fieldPosition="0">
        <references count="1">
          <reference field="6" count="1">
            <x v="279"/>
          </reference>
        </references>
      </pivotArea>
    </format>
    <format dxfId="2156">
      <pivotArea collapsedLevelsAreSubtotals="1" fieldPosition="0">
        <references count="1">
          <reference field="6" count="1">
            <x v="287"/>
          </reference>
        </references>
      </pivotArea>
    </format>
    <format dxfId="2155">
      <pivotArea collapsedLevelsAreSubtotals="1" fieldPosition="0">
        <references count="1">
          <reference field="6" count="1">
            <x v="294"/>
          </reference>
        </references>
      </pivotArea>
    </format>
    <format dxfId="2154">
      <pivotArea collapsedLevelsAreSubtotals="1" fieldPosition="0">
        <references count="1">
          <reference field="6" count="1">
            <x v="295"/>
          </reference>
        </references>
      </pivotArea>
    </format>
    <format dxfId="2153">
      <pivotArea collapsedLevelsAreSubtotals="1" fieldPosition="0">
        <references count="1">
          <reference field="6" count="1">
            <x v="302"/>
          </reference>
        </references>
      </pivotArea>
    </format>
    <format dxfId="2152">
      <pivotArea collapsedLevelsAreSubtotals="1" fieldPosition="0">
        <references count="1">
          <reference field="6" count="1">
            <x v="304"/>
          </reference>
        </references>
      </pivotArea>
    </format>
    <format dxfId="2151">
      <pivotArea collapsedLevelsAreSubtotals="1" fieldPosition="0">
        <references count="1">
          <reference field="6" count="1">
            <x v="309"/>
          </reference>
        </references>
      </pivotArea>
    </format>
    <format dxfId="2150">
      <pivotArea collapsedLevelsAreSubtotals="1" fieldPosition="0">
        <references count="1">
          <reference field="6" count="1">
            <x v="313"/>
          </reference>
        </references>
      </pivotArea>
    </format>
    <format dxfId="2149">
      <pivotArea collapsedLevelsAreSubtotals="1" fieldPosition="0">
        <references count="1">
          <reference field="6" count="1">
            <x v="320"/>
          </reference>
        </references>
      </pivotArea>
    </format>
    <format dxfId="2148">
      <pivotArea collapsedLevelsAreSubtotals="1" fieldPosition="0">
        <references count="1">
          <reference field="6" count="1">
            <x v="327"/>
          </reference>
        </references>
      </pivotArea>
    </format>
    <format dxfId="2147">
      <pivotArea collapsedLevelsAreSubtotals="1" fieldPosition="0">
        <references count="1">
          <reference field="6" count="1">
            <x v="328"/>
          </reference>
        </references>
      </pivotArea>
    </format>
    <format dxfId="2146">
      <pivotArea collapsedLevelsAreSubtotals="1" fieldPosition="0">
        <references count="1">
          <reference field="6" count="1">
            <x v="333"/>
          </reference>
        </references>
      </pivotArea>
    </format>
    <format dxfId="2145">
      <pivotArea collapsedLevelsAreSubtotals="1" fieldPosition="0">
        <references count="1">
          <reference field="6" count="1">
            <x v="337"/>
          </reference>
        </references>
      </pivotArea>
    </format>
    <format dxfId="2144">
      <pivotArea collapsedLevelsAreSubtotals="1" fieldPosition="0">
        <references count="1">
          <reference field="6" count="1">
            <x v="341"/>
          </reference>
        </references>
      </pivotArea>
    </format>
    <format dxfId="2143">
      <pivotArea collapsedLevelsAreSubtotals="1" fieldPosition="0">
        <references count="1">
          <reference field="6" count="1">
            <x v="344"/>
          </reference>
        </references>
      </pivotArea>
    </format>
    <format dxfId="2142">
      <pivotArea collapsedLevelsAreSubtotals="1" fieldPosition="0">
        <references count="1">
          <reference field="6" count="1">
            <x v="346"/>
          </reference>
        </references>
      </pivotArea>
    </format>
    <format dxfId="2141">
      <pivotArea collapsedLevelsAreSubtotals="1" fieldPosition="0">
        <references count="1">
          <reference field="6" count="1">
            <x v="351"/>
          </reference>
        </references>
      </pivotArea>
    </format>
    <format dxfId="2140">
      <pivotArea collapsedLevelsAreSubtotals="1" fieldPosition="0">
        <references count="1">
          <reference field="6" count="1">
            <x v="354"/>
          </reference>
        </references>
      </pivotArea>
    </format>
    <format dxfId="2139">
      <pivotArea collapsedLevelsAreSubtotals="1" fieldPosition="0">
        <references count="1">
          <reference field="6" count="1">
            <x v="355"/>
          </reference>
        </references>
      </pivotArea>
    </format>
    <format dxfId="2138">
      <pivotArea collapsedLevelsAreSubtotals="1" fieldPosition="0">
        <references count="1">
          <reference field="6" count="1">
            <x v="357"/>
          </reference>
        </references>
      </pivotArea>
    </format>
    <format dxfId="2137">
      <pivotArea collapsedLevelsAreSubtotals="1" fieldPosition="0">
        <references count="1">
          <reference field="6" count="1">
            <x v="374"/>
          </reference>
        </references>
      </pivotArea>
    </format>
    <format dxfId="2136">
      <pivotArea collapsedLevelsAreSubtotals="1" fieldPosition="0">
        <references count="1">
          <reference field="6" count="1">
            <x v="378"/>
          </reference>
        </references>
      </pivotArea>
    </format>
    <format dxfId="2135">
      <pivotArea collapsedLevelsAreSubtotals="1" fieldPosition="0">
        <references count="1">
          <reference field="6" count="1">
            <x v="396"/>
          </reference>
        </references>
      </pivotArea>
    </format>
    <format dxfId="2134">
      <pivotArea collapsedLevelsAreSubtotals="1" fieldPosition="0">
        <references count="1">
          <reference field="6" count="1">
            <x v="397"/>
          </reference>
        </references>
      </pivotArea>
    </format>
    <format dxfId="2133">
      <pivotArea collapsedLevelsAreSubtotals="1" fieldPosition="0">
        <references count="1">
          <reference field="6" count="1">
            <x v="400"/>
          </reference>
        </references>
      </pivotArea>
    </format>
    <format dxfId="2132">
      <pivotArea collapsedLevelsAreSubtotals="1" fieldPosition="0">
        <references count="1">
          <reference field="6" count="1">
            <x v="403"/>
          </reference>
        </references>
      </pivotArea>
    </format>
    <format dxfId="2131">
      <pivotArea collapsedLevelsAreSubtotals="1" fieldPosition="0">
        <references count="1">
          <reference field="6" count="1">
            <x v="404"/>
          </reference>
        </references>
      </pivotArea>
    </format>
    <format dxfId="2130">
      <pivotArea collapsedLevelsAreSubtotals="1" fieldPosition="0">
        <references count="1">
          <reference field="6" count="1">
            <x v="409"/>
          </reference>
        </references>
      </pivotArea>
    </format>
    <format dxfId="2129">
      <pivotArea collapsedLevelsAreSubtotals="1" fieldPosition="0">
        <references count="1">
          <reference field="6" count="1">
            <x v="411"/>
          </reference>
        </references>
      </pivotArea>
    </format>
    <format dxfId="2128">
      <pivotArea collapsedLevelsAreSubtotals="1" fieldPosition="0">
        <references count="1">
          <reference field="6" count="1">
            <x v="435"/>
          </reference>
        </references>
      </pivotArea>
    </format>
    <format dxfId="2127">
      <pivotArea collapsedLevelsAreSubtotals="1" fieldPosition="0">
        <references count="1">
          <reference field="6" count="1">
            <x v="441"/>
          </reference>
        </references>
      </pivotArea>
    </format>
    <format dxfId="2126">
      <pivotArea collapsedLevelsAreSubtotals="1" fieldPosition="0">
        <references count="1">
          <reference field="6" count="1">
            <x v="444"/>
          </reference>
        </references>
      </pivotArea>
    </format>
    <format dxfId="2125">
      <pivotArea collapsedLevelsAreSubtotals="1" fieldPosition="0">
        <references count="1">
          <reference field="6" count="1">
            <x v="448"/>
          </reference>
        </references>
      </pivotArea>
    </format>
    <format dxfId="2124">
      <pivotArea collapsedLevelsAreSubtotals="1" fieldPosition="0">
        <references count="1">
          <reference field="6" count="1">
            <x v="453"/>
          </reference>
        </references>
      </pivotArea>
    </format>
    <format dxfId="2123">
      <pivotArea collapsedLevelsAreSubtotals="1" fieldPosition="0">
        <references count="1">
          <reference field="6" count="1">
            <x v="457"/>
          </reference>
        </references>
      </pivotArea>
    </format>
    <format dxfId="2122">
      <pivotArea collapsedLevelsAreSubtotals="1" fieldPosition="0">
        <references count="1">
          <reference field="6" count="1">
            <x v="458"/>
          </reference>
        </references>
      </pivotArea>
    </format>
    <format dxfId="2121">
      <pivotArea collapsedLevelsAreSubtotals="1" fieldPosition="0">
        <references count="1">
          <reference field="6" count="1">
            <x v="461"/>
          </reference>
        </references>
      </pivotArea>
    </format>
    <format dxfId="2120">
      <pivotArea collapsedLevelsAreSubtotals="1" fieldPosition="0">
        <references count="1">
          <reference field="6" count="1">
            <x v="462"/>
          </reference>
        </references>
      </pivotArea>
    </format>
    <format dxfId="2119">
      <pivotArea collapsedLevelsAreSubtotals="1" fieldPosition="0">
        <references count="1">
          <reference field="6" count="1">
            <x v="464"/>
          </reference>
        </references>
      </pivotArea>
    </format>
    <format dxfId="2118">
      <pivotArea collapsedLevelsAreSubtotals="1" fieldPosition="0">
        <references count="1">
          <reference field="6" count="1">
            <x v="466"/>
          </reference>
        </references>
      </pivotArea>
    </format>
    <format dxfId="2117">
      <pivotArea collapsedLevelsAreSubtotals="1" fieldPosition="0">
        <references count="1">
          <reference field="6" count="1">
            <x v="467"/>
          </reference>
        </references>
      </pivotArea>
    </format>
    <format dxfId="2116">
      <pivotArea collapsedLevelsAreSubtotals="1" fieldPosition="0">
        <references count="1">
          <reference field="6" count="1">
            <x v="468"/>
          </reference>
        </references>
      </pivotArea>
    </format>
    <format dxfId="2115">
      <pivotArea collapsedLevelsAreSubtotals="1" fieldPosition="0">
        <references count="1">
          <reference field="6" count="1">
            <x v="472"/>
          </reference>
        </references>
      </pivotArea>
    </format>
    <format dxfId="2114">
      <pivotArea collapsedLevelsAreSubtotals="1" fieldPosition="0">
        <references count="1">
          <reference field="6" count="1">
            <x v="473"/>
          </reference>
        </references>
      </pivotArea>
    </format>
    <format dxfId="2113">
      <pivotArea collapsedLevelsAreSubtotals="1" fieldPosition="0">
        <references count="1">
          <reference field="6" count="1">
            <x v="478"/>
          </reference>
        </references>
      </pivotArea>
    </format>
    <format dxfId="2112">
      <pivotArea collapsedLevelsAreSubtotals="1" fieldPosition="0">
        <references count="1">
          <reference field="6" count="1">
            <x v="481"/>
          </reference>
        </references>
      </pivotArea>
    </format>
    <format dxfId="2111">
      <pivotArea collapsedLevelsAreSubtotals="1" fieldPosition="0">
        <references count="1">
          <reference field="6" count="1">
            <x v="485"/>
          </reference>
        </references>
      </pivotArea>
    </format>
    <format dxfId="2110">
      <pivotArea collapsedLevelsAreSubtotals="1" fieldPosition="0">
        <references count="1">
          <reference field="6" count="1">
            <x v="487"/>
          </reference>
        </references>
      </pivotArea>
    </format>
    <format dxfId="2109">
      <pivotArea collapsedLevelsAreSubtotals="1" fieldPosition="0">
        <references count="1">
          <reference field="6" count="1">
            <x v="491"/>
          </reference>
        </references>
      </pivotArea>
    </format>
    <format dxfId="2108">
      <pivotArea collapsedLevelsAreSubtotals="1" fieldPosition="0">
        <references count="1">
          <reference field="6" count="1">
            <x v="512"/>
          </reference>
        </references>
      </pivotArea>
    </format>
    <format dxfId="2107">
      <pivotArea collapsedLevelsAreSubtotals="1" fieldPosition="0">
        <references count="1">
          <reference field="6" count="1">
            <x v="514"/>
          </reference>
        </references>
      </pivotArea>
    </format>
    <format dxfId="2106">
      <pivotArea collapsedLevelsAreSubtotals="1" fieldPosition="0">
        <references count="1">
          <reference field="6" count="1">
            <x v="519"/>
          </reference>
        </references>
      </pivotArea>
    </format>
    <format dxfId="2105">
      <pivotArea collapsedLevelsAreSubtotals="1" fieldPosition="0">
        <references count="1">
          <reference field="6" count="1">
            <x v="525"/>
          </reference>
        </references>
      </pivotArea>
    </format>
    <format dxfId="2104">
      <pivotArea collapsedLevelsAreSubtotals="1" fieldPosition="0">
        <references count="1">
          <reference field="6" count="1">
            <x v="526"/>
          </reference>
        </references>
      </pivotArea>
    </format>
    <format dxfId="2103">
      <pivotArea collapsedLevelsAreSubtotals="1" fieldPosition="0">
        <references count="1">
          <reference field="6" count="1">
            <x v="531"/>
          </reference>
        </references>
      </pivotArea>
    </format>
    <format dxfId="2102">
      <pivotArea collapsedLevelsAreSubtotals="1" fieldPosition="0">
        <references count="1">
          <reference field="6" count="1">
            <x v="532"/>
          </reference>
        </references>
      </pivotArea>
    </format>
    <format dxfId="2101">
      <pivotArea collapsedLevelsAreSubtotals="1" fieldPosition="0">
        <references count="1">
          <reference field="6" count="1">
            <x v="533"/>
          </reference>
        </references>
      </pivotArea>
    </format>
    <format dxfId="2100">
      <pivotArea collapsedLevelsAreSubtotals="1" fieldPosition="0">
        <references count="1">
          <reference field="6" count="1">
            <x v="539"/>
          </reference>
        </references>
      </pivotArea>
    </format>
    <format dxfId="2099">
      <pivotArea collapsedLevelsAreSubtotals="1" fieldPosition="0">
        <references count="1">
          <reference field="6" count="1">
            <x v="546"/>
          </reference>
        </references>
      </pivotArea>
    </format>
    <format dxfId="2098">
      <pivotArea collapsedLevelsAreSubtotals="1" fieldPosition="0">
        <references count="1">
          <reference field="6" count="1">
            <x v="551"/>
          </reference>
        </references>
      </pivotArea>
    </format>
    <format dxfId="2097">
      <pivotArea collapsedLevelsAreSubtotals="1" fieldPosition="0">
        <references count="1">
          <reference field="6" count="1">
            <x v="554"/>
          </reference>
        </references>
      </pivotArea>
    </format>
    <format dxfId="2096">
      <pivotArea collapsedLevelsAreSubtotals="1" fieldPosition="0">
        <references count="1">
          <reference field="6" count="1">
            <x v="570"/>
          </reference>
        </references>
      </pivotArea>
    </format>
    <format dxfId="2095">
      <pivotArea collapsedLevelsAreSubtotals="1" fieldPosition="0">
        <references count="1">
          <reference field="6" count="1">
            <x v="582"/>
          </reference>
        </references>
      </pivotArea>
    </format>
    <format dxfId="2094">
      <pivotArea collapsedLevelsAreSubtotals="1" fieldPosition="0">
        <references count="1">
          <reference field="6" count="1">
            <x v="597"/>
          </reference>
        </references>
      </pivotArea>
    </format>
    <format dxfId="2093">
      <pivotArea collapsedLevelsAreSubtotals="1" fieldPosition="0">
        <references count="1">
          <reference field="6" count="1">
            <x v="599"/>
          </reference>
        </references>
      </pivotArea>
    </format>
    <format dxfId="2092">
      <pivotArea collapsedLevelsAreSubtotals="1" fieldPosition="0">
        <references count="1">
          <reference field="6" count="1">
            <x v="601"/>
          </reference>
        </references>
      </pivotArea>
    </format>
    <format dxfId="2091">
      <pivotArea collapsedLevelsAreSubtotals="1" fieldPosition="0">
        <references count="1">
          <reference field="6" count="1">
            <x v="602"/>
          </reference>
        </references>
      </pivotArea>
    </format>
    <format dxfId="2090">
      <pivotArea collapsedLevelsAreSubtotals="1" fieldPosition="0">
        <references count="1">
          <reference field="6" count="1">
            <x v="603"/>
          </reference>
        </references>
      </pivotArea>
    </format>
    <format dxfId="2089">
      <pivotArea collapsedLevelsAreSubtotals="1" fieldPosition="0">
        <references count="1">
          <reference field="6" count="1">
            <x v="607"/>
          </reference>
        </references>
      </pivotArea>
    </format>
    <format dxfId="2088">
      <pivotArea collapsedLevelsAreSubtotals="1" fieldPosition="0">
        <references count="1">
          <reference field="6" count="1">
            <x v="624"/>
          </reference>
        </references>
      </pivotArea>
    </format>
    <format dxfId="2087">
      <pivotArea collapsedLevelsAreSubtotals="1" fieldPosition="0">
        <references count="1">
          <reference field="6" count="1">
            <x v="625"/>
          </reference>
        </references>
      </pivotArea>
    </format>
    <format dxfId="2086">
      <pivotArea collapsedLevelsAreSubtotals="1" fieldPosition="0">
        <references count="1">
          <reference field="6" count="1">
            <x v="626"/>
          </reference>
        </references>
      </pivotArea>
    </format>
    <format dxfId="2085">
      <pivotArea collapsedLevelsAreSubtotals="1" fieldPosition="0">
        <references count="1">
          <reference field="6" count="1">
            <x v="627"/>
          </reference>
        </references>
      </pivotArea>
    </format>
    <format dxfId="2084">
      <pivotArea collapsedLevelsAreSubtotals="1" fieldPosition="0">
        <references count="1">
          <reference field="6" count="1">
            <x v="629"/>
          </reference>
        </references>
      </pivotArea>
    </format>
    <format dxfId="2083">
      <pivotArea collapsedLevelsAreSubtotals="1" fieldPosition="0">
        <references count="1">
          <reference field="6" count="1">
            <x v="633"/>
          </reference>
        </references>
      </pivotArea>
    </format>
    <format dxfId="2082">
      <pivotArea collapsedLevelsAreSubtotals="1" fieldPosition="0">
        <references count="1">
          <reference field="6" count="1">
            <x v="644"/>
          </reference>
        </references>
      </pivotArea>
    </format>
    <format dxfId="2081">
      <pivotArea collapsedLevelsAreSubtotals="1" fieldPosition="0">
        <references count="1">
          <reference field="6" count="1">
            <x v="646"/>
          </reference>
        </references>
      </pivotArea>
    </format>
    <format dxfId="2080">
      <pivotArea collapsedLevelsAreSubtotals="1" fieldPosition="0">
        <references count="1">
          <reference field="6" count="1">
            <x v="648"/>
          </reference>
        </references>
      </pivotArea>
    </format>
    <format dxfId="2079">
      <pivotArea collapsedLevelsAreSubtotals="1" fieldPosition="0">
        <references count="1">
          <reference field="6" count="1">
            <x v="653"/>
          </reference>
        </references>
      </pivotArea>
    </format>
    <format dxfId="2078">
      <pivotArea collapsedLevelsAreSubtotals="1" fieldPosition="0">
        <references count="1">
          <reference field="6" count="1">
            <x v="654"/>
          </reference>
        </references>
      </pivotArea>
    </format>
    <format dxfId="2077">
      <pivotArea collapsedLevelsAreSubtotals="1" fieldPosition="0">
        <references count="1">
          <reference field="6" count="1">
            <x v="657"/>
          </reference>
        </references>
      </pivotArea>
    </format>
    <format dxfId="2076">
      <pivotArea collapsedLevelsAreSubtotals="1" fieldPosition="0">
        <references count="1">
          <reference field="6" count="1">
            <x v="659"/>
          </reference>
        </references>
      </pivotArea>
    </format>
    <format dxfId="2075">
      <pivotArea collapsedLevelsAreSubtotals="1" fieldPosition="0">
        <references count="1">
          <reference field="6" count="1">
            <x v="660"/>
          </reference>
        </references>
      </pivotArea>
    </format>
    <format dxfId="2074">
      <pivotArea collapsedLevelsAreSubtotals="1" fieldPosition="0">
        <references count="1">
          <reference field="6" count="1">
            <x v="663"/>
          </reference>
        </references>
      </pivotArea>
    </format>
    <format dxfId="2073">
      <pivotArea collapsedLevelsAreSubtotals="1" fieldPosition="0">
        <references count="1">
          <reference field="6" count="1">
            <x v="665"/>
          </reference>
        </references>
      </pivotArea>
    </format>
    <format dxfId="2072">
      <pivotArea collapsedLevelsAreSubtotals="1" fieldPosition="0">
        <references count="1">
          <reference field="6" count="1">
            <x v="674"/>
          </reference>
        </references>
      </pivotArea>
    </format>
    <format dxfId="2071">
      <pivotArea collapsedLevelsAreSubtotals="1" fieldPosition="0">
        <references count="1">
          <reference field="6" count="1">
            <x v="686"/>
          </reference>
        </references>
      </pivotArea>
    </format>
    <format dxfId="2070">
      <pivotArea collapsedLevelsAreSubtotals="1" fieldPosition="0">
        <references count="1">
          <reference field="6" count="1">
            <x v="688"/>
          </reference>
        </references>
      </pivotArea>
    </format>
    <format dxfId="2069">
      <pivotArea collapsedLevelsAreSubtotals="1" fieldPosition="0">
        <references count="1">
          <reference field="6" count="1">
            <x v="689"/>
          </reference>
        </references>
      </pivotArea>
    </format>
    <format dxfId="2068">
      <pivotArea collapsedLevelsAreSubtotals="1" fieldPosition="0">
        <references count="1">
          <reference field="6" count="1">
            <x v="690"/>
          </reference>
        </references>
      </pivotArea>
    </format>
    <format dxfId="2067">
      <pivotArea collapsedLevelsAreSubtotals="1" fieldPosition="0">
        <references count="1">
          <reference field="6" count="1">
            <x v="691"/>
          </reference>
        </references>
      </pivotArea>
    </format>
    <format dxfId="2066">
      <pivotArea collapsedLevelsAreSubtotals="1" fieldPosition="0">
        <references count="1">
          <reference field="6" count="1">
            <x v="694"/>
          </reference>
        </references>
      </pivotArea>
    </format>
    <format dxfId="2065">
      <pivotArea collapsedLevelsAreSubtotals="1" fieldPosition="0">
        <references count="1">
          <reference field="6" count="1">
            <x v="695"/>
          </reference>
        </references>
      </pivotArea>
    </format>
    <format dxfId="2064">
      <pivotArea collapsedLevelsAreSubtotals="1" fieldPosition="0">
        <references count="1">
          <reference field="6" count="1">
            <x v="705"/>
          </reference>
        </references>
      </pivotArea>
    </format>
    <format dxfId="2063">
      <pivotArea collapsedLevelsAreSubtotals="1" fieldPosition="0">
        <references count="1">
          <reference field="6" count="1">
            <x v="706"/>
          </reference>
        </references>
      </pivotArea>
    </format>
    <format dxfId="2062">
      <pivotArea collapsedLevelsAreSubtotals="1" fieldPosition="0">
        <references count="1">
          <reference field="6" count="1">
            <x v="709"/>
          </reference>
        </references>
      </pivotArea>
    </format>
    <format dxfId="2061">
      <pivotArea collapsedLevelsAreSubtotals="1" fieldPosition="0">
        <references count="1">
          <reference field="6" count="1">
            <x v="722"/>
          </reference>
        </references>
      </pivotArea>
    </format>
    <format dxfId="2060">
      <pivotArea collapsedLevelsAreSubtotals="1" fieldPosition="0">
        <references count="1">
          <reference field="6" count="1">
            <x v="723"/>
          </reference>
        </references>
      </pivotArea>
    </format>
    <format dxfId="2059">
      <pivotArea collapsedLevelsAreSubtotals="1" fieldPosition="0">
        <references count="1">
          <reference field="6" count="1">
            <x v="727"/>
          </reference>
        </references>
      </pivotArea>
    </format>
    <format dxfId="2058">
      <pivotArea collapsedLevelsAreSubtotals="1" fieldPosition="0">
        <references count="1">
          <reference field="6" count="1">
            <x v="732"/>
          </reference>
        </references>
      </pivotArea>
    </format>
    <format dxfId="2057">
      <pivotArea collapsedLevelsAreSubtotals="1" fieldPosition="0">
        <references count="1">
          <reference field="6" count="1">
            <x v="733"/>
          </reference>
        </references>
      </pivotArea>
    </format>
    <format dxfId="2056">
      <pivotArea collapsedLevelsAreSubtotals="1" fieldPosition="0">
        <references count="1">
          <reference field="6" count="1">
            <x v="734"/>
          </reference>
        </references>
      </pivotArea>
    </format>
    <format dxfId="2055">
      <pivotArea collapsedLevelsAreSubtotals="1" fieldPosition="0">
        <references count="1">
          <reference field="6" count="1">
            <x v="736"/>
          </reference>
        </references>
      </pivotArea>
    </format>
    <format dxfId="2054">
      <pivotArea collapsedLevelsAreSubtotals="1" fieldPosition="0">
        <references count="1">
          <reference field="6" count="1">
            <x v="737"/>
          </reference>
        </references>
      </pivotArea>
    </format>
    <format dxfId="2053">
      <pivotArea collapsedLevelsAreSubtotals="1" fieldPosition="0">
        <references count="1">
          <reference field="6" count="1">
            <x v="742"/>
          </reference>
        </references>
      </pivotArea>
    </format>
    <format dxfId="2052">
      <pivotArea collapsedLevelsAreSubtotals="1" fieldPosition="0">
        <references count="1">
          <reference field="6" count="1">
            <x v="744"/>
          </reference>
        </references>
      </pivotArea>
    </format>
    <format dxfId="2051">
      <pivotArea collapsedLevelsAreSubtotals="1" fieldPosition="0">
        <references count="1">
          <reference field="6" count="1">
            <x v="746"/>
          </reference>
        </references>
      </pivotArea>
    </format>
    <format dxfId="2050">
      <pivotArea collapsedLevelsAreSubtotals="1" fieldPosition="0">
        <references count="1">
          <reference field="6" count="1">
            <x v="751"/>
          </reference>
        </references>
      </pivotArea>
    </format>
    <format dxfId="2049">
      <pivotArea collapsedLevelsAreSubtotals="1" fieldPosition="0">
        <references count="1">
          <reference field="6" count="1">
            <x v="752"/>
          </reference>
        </references>
      </pivotArea>
    </format>
    <format dxfId="2048">
      <pivotArea collapsedLevelsAreSubtotals="1" fieldPosition="0">
        <references count="1">
          <reference field="6" count="1">
            <x v="754"/>
          </reference>
        </references>
      </pivotArea>
    </format>
    <format dxfId="2047">
      <pivotArea collapsedLevelsAreSubtotals="1" fieldPosition="0">
        <references count="1">
          <reference field="6" count="1">
            <x v="757"/>
          </reference>
        </references>
      </pivotArea>
    </format>
    <format dxfId="2046">
      <pivotArea collapsedLevelsAreSubtotals="1" fieldPosition="0">
        <references count="1">
          <reference field="6" count="1">
            <x v="759"/>
          </reference>
        </references>
      </pivotArea>
    </format>
    <format dxfId="2045">
      <pivotArea collapsedLevelsAreSubtotals="1" fieldPosition="0">
        <references count="1">
          <reference field="6" count="1">
            <x v="760"/>
          </reference>
        </references>
      </pivotArea>
    </format>
    <format dxfId="2044">
      <pivotArea collapsedLevelsAreSubtotals="1" fieldPosition="0">
        <references count="1">
          <reference field="6" count="1">
            <x v="769"/>
          </reference>
        </references>
      </pivotArea>
    </format>
    <format dxfId="2043">
      <pivotArea collapsedLevelsAreSubtotals="1" fieldPosition="0">
        <references count="1">
          <reference field="6" count="1">
            <x v="772"/>
          </reference>
        </references>
      </pivotArea>
    </format>
    <format dxfId="2042">
      <pivotArea collapsedLevelsAreSubtotals="1" fieldPosition="0">
        <references count="1">
          <reference field="6" count="1">
            <x v="775"/>
          </reference>
        </references>
      </pivotArea>
    </format>
    <format dxfId="2041">
      <pivotArea collapsedLevelsAreSubtotals="1" fieldPosition="0">
        <references count="1">
          <reference field="6" count="1">
            <x v="781"/>
          </reference>
        </references>
      </pivotArea>
    </format>
    <format dxfId="2040">
      <pivotArea collapsedLevelsAreSubtotals="1" fieldPosition="0">
        <references count="1">
          <reference field="6" count="1">
            <x v="786"/>
          </reference>
        </references>
      </pivotArea>
    </format>
    <format dxfId="2039">
      <pivotArea collapsedLevelsAreSubtotals="1" fieldPosition="0">
        <references count="1">
          <reference field="6" count="1">
            <x v="793"/>
          </reference>
        </references>
      </pivotArea>
    </format>
    <format dxfId="2038">
      <pivotArea collapsedLevelsAreSubtotals="1" fieldPosition="0">
        <references count="1">
          <reference field="6" count="1">
            <x v="795"/>
          </reference>
        </references>
      </pivotArea>
    </format>
    <format dxfId="2037">
      <pivotArea collapsedLevelsAreSubtotals="1" fieldPosition="0">
        <references count="1">
          <reference field="6" count="1">
            <x v="797"/>
          </reference>
        </references>
      </pivotArea>
    </format>
    <format dxfId="2036">
      <pivotArea collapsedLevelsAreSubtotals="1" fieldPosition="0">
        <references count="1">
          <reference field="6" count="1">
            <x v="805"/>
          </reference>
        </references>
      </pivotArea>
    </format>
    <format dxfId="2035">
      <pivotArea collapsedLevelsAreSubtotals="1" fieldPosition="0">
        <references count="1">
          <reference field="6" count="1">
            <x v="812"/>
          </reference>
        </references>
      </pivotArea>
    </format>
    <format dxfId="2034">
      <pivotArea collapsedLevelsAreSubtotals="1" fieldPosition="0">
        <references count="1">
          <reference field="6" count="1">
            <x v="813"/>
          </reference>
        </references>
      </pivotArea>
    </format>
    <format dxfId="2033">
      <pivotArea collapsedLevelsAreSubtotals="1" fieldPosition="0">
        <references count="1">
          <reference field="6" count="1">
            <x v="816"/>
          </reference>
        </references>
      </pivotArea>
    </format>
    <format dxfId="2032">
      <pivotArea collapsedLevelsAreSubtotals="1" fieldPosition="0">
        <references count="1">
          <reference field="6" count="1">
            <x v="817"/>
          </reference>
        </references>
      </pivotArea>
    </format>
    <format dxfId="2031">
      <pivotArea collapsedLevelsAreSubtotals="1" fieldPosition="0">
        <references count="1">
          <reference field="6" count="1">
            <x v="830"/>
          </reference>
        </references>
      </pivotArea>
    </format>
    <format dxfId="2030">
      <pivotArea collapsedLevelsAreSubtotals="1" fieldPosition="0">
        <references count="1">
          <reference field="6" count="1">
            <x v="831"/>
          </reference>
        </references>
      </pivotArea>
    </format>
    <format dxfId="2029">
      <pivotArea collapsedLevelsAreSubtotals="1" fieldPosition="0">
        <references count="1">
          <reference field="6" count="1">
            <x v="832"/>
          </reference>
        </references>
      </pivotArea>
    </format>
    <format dxfId="2028">
      <pivotArea collapsedLevelsAreSubtotals="1" fieldPosition="0">
        <references count="1">
          <reference field="6" count="1">
            <x v="833"/>
          </reference>
        </references>
      </pivotArea>
    </format>
    <format dxfId="2027">
      <pivotArea collapsedLevelsAreSubtotals="1" fieldPosition="0">
        <references count="1">
          <reference field="6" count="1">
            <x v="835"/>
          </reference>
        </references>
      </pivotArea>
    </format>
    <format dxfId="2026">
      <pivotArea collapsedLevelsAreSubtotals="1" fieldPosition="0">
        <references count="1">
          <reference field="6" count="1">
            <x v="839"/>
          </reference>
        </references>
      </pivotArea>
    </format>
    <format dxfId="2025">
      <pivotArea collapsedLevelsAreSubtotals="1" fieldPosition="0">
        <references count="1">
          <reference field="6" count="1">
            <x v="851"/>
          </reference>
        </references>
      </pivotArea>
    </format>
    <format dxfId="2024">
      <pivotArea collapsedLevelsAreSubtotals="1" fieldPosition="0">
        <references count="1">
          <reference field="6" count="1">
            <x v="859"/>
          </reference>
        </references>
      </pivotArea>
    </format>
    <format dxfId="2023">
      <pivotArea collapsedLevelsAreSubtotals="1" fieldPosition="0">
        <references count="1">
          <reference field="6" count="1">
            <x v="860"/>
          </reference>
        </references>
      </pivotArea>
    </format>
    <format dxfId="2022">
      <pivotArea collapsedLevelsAreSubtotals="1" fieldPosition="0">
        <references count="1">
          <reference field="6" count="1">
            <x v="865"/>
          </reference>
        </references>
      </pivotArea>
    </format>
    <format dxfId="2021">
      <pivotArea collapsedLevelsAreSubtotals="1" fieldPosition="0">
        <references count="1">
          <reference field="6" count="1">
            <x v="874"/>
          </reference>
        </references>
      </pivotArea>
    </format>
    <format dxfId="2020">
      <pivotArea collapsedLevelsAreSubtotals="1" fieldPosition="0">
        <references count="1">
          <reference field="6" count="1">
            <x v="876"/>
          </reference>
        </references>
      </pivotArea>
    </format>
    <format dxfId="2019">
      <pivotArea collapsedLevelsAreSubtotals="1" fieldPosition="0">
        <references count="1">
          <reference field="6" count="1">
            <x v="882"/>
          </reference>
        </references>
      </pivotArea>
    </format>
    <format dxfId="2018">
      <pivotArea collapsedLevelsAreSubtotals="1" fieldPosition="0">
        <references count="1">
          <reference field="6" count="1">
            <x v="886"/>
          </reference>
        </references>
      </pivotArea>
    </format>
    <format dxfId="2017">
      <pivotArea collapsedLevelsAreSubtotals="1" fieldPosition="0">
        <references count="1">
          <reference field="6" count="1">
            <x v="887"/>
          </reference>
        </references>
      </pivotArea>
    </format>
    <format dxfId="2016">
      <pivotArea collapsedLevelsAreSubtotals="1" fieldPosition="0">
        <references count="1">
          <reference field="6" count="1">
            <x v="888"/>
          </reference>
        </references>
      </pivotArea>
    </format>
    <format dxfId="2015">
      <pivotArea collapsedLevelsAreSubtotals="1" fieldPosition="0">
        <references count="1">
          <reference field="6" count="1">
            <x v="891"/>
          </reference>
        </references>
      </pivotArea>
    </format>
    <format dxfId="2014">
      <pivotArea collapsedLevelsAreSubtotals="1" fieldPosition="0">
        <references count="1">
          <reference field="6" count="1">
            <x v="892"/>
          </reference>
        </references>
      </pivotArea>
    </format>
    <format dxfId="2013">
      <pivotArea collapsedLevelsAreSubtotals="1" fieldPosition="0">
        <references count="1">
          <reference field="6" count="1">
            <x v="893"/>
          </reference>
        </references>
      </pivotArea>
    </format>
    <format dxfId="2012">
      <pivotArea collapsedLevelsAreSubtotals="1" fieldPosition="0">
        <references count="1">
          <reference field="6" count="1">
            <x v="894"/>
          </reference>
        </references>
      </pivotArea>
    </format>
    <format dxfId="2011">
      <pivotArea collapsedLevelsAreSubtotals="1" fieldPosition="0">
        <references count="1">
          <reference field="6" count="1">
            <x v="899"/>
          </reference>
        </references>
      </pivotArea>
    </format>
    <format dxfId="2010">
      <pivotArea collapsedLevelsAreSubtotals="1" fieldPosition="0">
        <references count="1">
          <reference field="6" count="1">
            <x v="900"/>
          </reference>
        </references>
      </pivotArea>
    </format>
    <format dxfId="2009">
      <pivotArea collapsedLevelsAreSubtotals="1" fieldPosition="0">
        <references count="1">
          <reference field="6" count="1">
            <x v="901"/>
          </reference>
        </references>
      </pivotArea>
    </format>
    <format dxfId="2008">
      <pivotArea collapsedLevelsAreSubtotals="1" fieldPosition="0">
        <references count="1">
          <reference field="6" count="1">
            <x v="910"/>
          </reference>
        </references>
      </pivotArea>
    </format>
    <format dxfId="2007">
      <pivotArea collapsedLevelsAreSubtotals="1" fieldPosition="0">
        <references count="1">
          <reference field="6" count="1">
            <x v="911"/>
          </reference>
        </references>
      </pivotArea>
    </format>
    <format dxfId="2006">
      <pivotArea collapsedLevelsAreSubtotals="1" fieldPosition="0">
        <references count="1">
          <reference field="6" count="1">
            <x v="912"/>
          </reference>
        </references>
      </pivotArea>
    </format>
    <format dxfId="2005">
      <pivotArea collapsedLevelsAreSubtotals="1" fieldPosition="0">
        <references count="1">
          <reference field="6" count="1">
            <x v="913"/>
          </reference>
        </references>
      </pivotArea>
    </format>
    <format dxfId="2004">
      <pivotArea collapsedLevelsAreSubtotals="1" fieldPosition="0">
        <references count="1">
          <reference field="6" count="1">
            <x v="915"/>
          </reference>
        </references>
      </pivotArea>
    </format>
    <format dxfId="2003">
      <pivotArea collapsedLevelsAreSubtotals="1" fieldPosition="0">
        <references count="1">
          <reference field="6" count="1">
            <x v="916"/>
          </reference>
        </references>
      </pivotArea>
    </format>
    <format dxfId="2002">
      <pivotArea collapsedLevelsAreSubtotals="1" fieldPosition="0">
        <references count="1">
          <reference field="6" count="1">
            <x v="922"/>
          </reference>
        </references>
      </pivotArea>
    </format>
    <format dxfId="2001">
      <pivotArea collapsedLevelsAreSubtotals="1" fieldPosition="0">
        <references count="1">
          <reference field="6" count="1">
            <x v="924"/>
          </reference>
        </references>
      </pivotArea>
    </format>
    <format dxfId="2000">
      <pivotArea collapsedLevelsAreSubtotals="1" fieldPosition="0">
        <references count="1">
          <reference field="6" count="1">
            <x v="928"/>
          </reference>
        </references>
      </pivotArea>
    </format>
    <format dxfId="1999">
      <pivotArea collapsedLevelsAreSubtotals="1" fieldPosition="0">
        <references count="1">
          <reference field="6" count="1">
            <x v="935"/>
          </reference>
        </references>
      </pivotArea>
    </format>
    <format dxfId="1998">
      <pivotArea collapsedLevelsAreSubtotals="1" fieldPosition="0">
        <references count="1">
          <reference field="6" count="1">
            <x v="936"/>
          </reference>
        </references>
      </pivotArea>
    </format>
    <format dxfId="1997">
      <pivotArea collapsedLevelsAreSubtotals="1" fieldPosition="0">
        <references count="1">
          <reference field="6" count="1">
            <x v="950"/>
          </reference>
        </references>
      </pivotArea>
    </format>
    <format dxfId="1996">
      <pivotArea collapsedLevelsAreSubtotals="1" fieldPosition="0">
        <references count="1">
          <reference field="6" count="1">
            <x v="954"/>
          </reference>
        </references>
      </pivotArea>
    </format>
    <format dxfId="1995">
      <pivotArea collapsedLevelsAreSubtotals="1" fieldPosition="0">
        <references count="1">
          <reference field="6" count="1">
            <x v="966"/>
          </reference>
        </references>
      </pivotArea>
    </format>
    <format dxfId="1994">
      <pivotArea collapsedLevelsAreSubtotals="1" fieldPosition="0">
        <references count="1">
          <reference field="6" count="1">
            <x v="967"/>
          </reference>
        </references>
      </pivotArea>
    </format>
    <format dxfId="1993">
      <pivotArea collapsedLevelsAreSubtotals="1" fieldPosition="0">
        <references count="1">
          <reference field="6" count="1">
            <x v="968"/>
          </reference>
        </references>
      </pivotArea>
    </format>
    <format dxfId="1992">
      <pivotArea collapsedLevelsAreSubtotals="1" fieldPosition="0">
        <references count="1">
          <reference field="6" count="1">
            <x v="971"/>
          </reference>
        </references>
      </pivotArea>
    </format>
    <format dxfId="1991">
      <pivotArea collapsedLevelsAreSubtotals="1" fieldPosition="0">
        <references count="1">
          <reference field="6" count="1">
            <x v="978"/>
          </reference>
        </references>
      </pivotArea>
    </format>
    <format dxfId="1990">
      <pivotArea collapsedLevelsAreSubtotals="1" fieldPosition="0">
        <references count="1">
          <reference field="6" count="1">
            <x v="982"/>
          </reference>
        </references>
      </pivotArea>
    </format>
    <format dxfId="1989">
      <pivotArea collapsedLevelsAreSubtotals="1" fieldPosition="0">
        <references count="1">
          <reference field="6" count="1">
            <x v="985"/>
          </reference>
        </references>
      </pivotArea>
    </format>
    <format dxfId="1988">
      <pivotArea collapsedLevelsAreSubtotals="1" fieldPosition="0">
        <references count="1">
          <reference field="6" count="1">
            <x v="988"/>
          </reference>
        </references>
      </pivotArea>
    </format>
    <format dxfId="1987">
      <pivotArea collapsedLevelsAreSubtotals="1" fieldPosition="0">
        <references count="1">
          <reference field="6" count="1">
            <x v="994"/>
          </reference>
        </references>
      </pivotArea>
    </format>
    <format dxfId="1986">
      <pivotArea collapsedLevelsAreSubtotals="1" fieldPosition="0">
        <references count="1">
          <reference field="6" count="1">
            <x v="998"/>
          </reference>
        </references>
      </pivotArea>
    </format>
    <format dxfId="1985">
      <pivotArea collapsedLevelsAreSubtotals="1" fieldPosition="0">
        <references count="1">
          <reference field="6" count="1">
            <x v="999"/>
          </reference>
        </references>
      </pivotArea>
    </format>
    <format dxfId="1984">
      <pivotArea collapsedLevelsAreSubtotals="1" fieldPosition="0">
        <references count="1">
          <reference field="6" count="1">
            <x v="1000"/>
          </reference>
        </references>
      </pivotArea>
    </format>
    <format dxfId="1983">
      <pivotArea collapsedLevelsAreSubtotals="1" fieldPosition="0">
        <references count="1">
          <reference field="6" count="1">
            <x v="1002"/>
          </reference>
        </references>
      </pivotArea>
    </format>
    <format dxfId="1982">
      <pivotArea collapsedLevelsAreSubtotals="1" fieldPosition="0">
        <references count="1">
          <reference field="6" count="1">
            <x v="1004"/>
          </reference>
        </references>
      </pivotArea>
    </format>
    <format dxfId="1981">
      <pivotArea collapsedLevelsAreSubtotals="1" fieldPosition="0">
        <references count="1">
          <reference field="6" count="1">
            <x v="1006"/>
          </reference>
        </references>
      </pivotArea>
    </format>
    <format dxfId="1980">
      <pivotArea collapsedLevelsAreSubtotals="1" fieldPosition="0">
        <references count="1">
          <reference field="6" count="1">
            <x v="1008"/>
          </reference>
        </references>
      </pivotArea>
    </format>
    <format dxfId="1979">
      <pivotArea collapsedLevelsAreSubtotals="1" fieldPosition="0">
        <references count="1">
          <reference field="6" count="1">
            <x v="1015"/>
          </reference>
        </references>
      </pivotArea>
    </format>
    <format dxfId="1978">
      <pivotArea collapsedLevelsAreSubtotals="1" fieldPosition="0">
        <references count="1">
          <reference field="6" count="1">
            <x v="1017"/>
          </reference>
        </references>
      </pivotArea>
    </format>
    <format dxfId="1977">
      <pivotArea collapsedLevelsAreSubtotals="1" fieldPosition="0">
        <references count="1">
          <reference field="6" count="1">
            <x v="1029"/>
          </reference>
        </references>
      </pivotArea>
    </format>
    <format dxfId="1976">
      <pivotArea collapsedLevelsAreSubtotals="1" fieldPosition="0">
        <references count="1">
          <reference field="6" count="1">
            <x v="1031"/>
          </reference>
        </references>
      </pivotArea>
    </format>
    <format dxfId="1975">
      <pivotArea collapsedLevelsAreSubtotals="1" fieldPosition="0">
        <references count="1">
          <reference field="6" count="1">
            <x v="1035"/>
          </reference>
        </references>
      </pivotArea>
    </format>
    <format dxfId="1974">
      <pivotArea collapsedLevelsAreSubtotals="1" fieldPosition="0">
        <references count="1">
          <reference field="6" count="1">
            <x v="1039"/>
          </reference>
        </references>
      </pivotArea>
    </format>
    <format dxfId="1973">
      <pivotArea collapsedLevelsAreSubtotals="1" fieldPosition="0">
        <references count="1">
          <reference field="6" count="1">
            <x v="1040"/>
          </reference>
        </references>
      </pivotArea>
    </format>
    <format dxfId="1972">
      <pivotArea collapsedLevelsAreSubtotals="1" fieldPosition="0">
        <references count="1">
          <reference field="6" count="1">
            <x v="1046"/>
          </reference>
        </references>
      </pivotArea>
    </format>
    <format dxfId="1971">
      <pivotArea collapsedLevelsAreSubtotals="1" fieldPosition="0">
        <references count="1">
          <reference field="6" count="1">
            <x v="1048"/>
          </reference>
        </references>
      </pivotArea>
    </format>
    <format dxfId="1970">
      <pivotArea collapsedLevelsAreSubtotals="1" fieldPosition="0">
        <references count="1">
          <reference field="6" count="1">
            <x v="1050"/>
          </reference>
        </references>
      </pivotArea>
    </format>
    <format dxfId="1969">
      <pivotArea collapsedLevelsAreSubtotals="1" fieldPosition="0">
        <references count="1">
          <reference field="6" count="1">
            <x v="1056"/>
          </reference>
        </references>
      </pivotArea>
    </format>
    <format dxfId="1968">
      <pivotArea collapsedLevelsAreSubtotals="1" fieldPosition="0">
        <references count="1">
          <reference field="6" count="1">
            <x v="1065"/>
          </reference>
        </references>
      </pivotArea>
    </format>
    <format dxfId="1967">
      <pivotArea collapsedLevelsAreSubtotals="1" fieldPosition="0">
        <references count="1">
          <reference field="6" count="1">
            <x v="1070"/>
          </reference>
        </references>
      </pivotArea>
    </format>
    <format dxfId="1966">
      <pivotArea collapsedLevelsAreSubtotals="1" fieldPosition="0">
        <references count="1">
          <reference field="6" count="1">
            <x v="1074"/>
          </reference>
        </references>
      </pivotArea>
    </format>
    <format dxfId="1965">
      <pivotArea collapsedLevelsAreSubtotals="1" fieldPosition="0">
        <references count="1">
          <reference field="6" count="1">
            <x v="1087"/>
          </reference>
        </references>
      </pivotArea>
    </format>
    <format dxfId="1964">
      <pivotArea collapsedLevelsAreSubtotals="1" fieldPosition="0">
        <references count="1">
          <reference field="6" count="1">
            <x v="1093"/>
          </reference>
        </references>
      </pivotArea>
    </format>
    <format dxfId="1963">
      <pivotArea collapsedLevelsAreSubtotals="1" fieldPosition="0">
        <references count="1">
          <reference field="6" count="1">
            <x v="1097"/>
          </reference>
        </references>
      </pivotArea>
    </format>
    <format dxfId="1962">
      <pivotArea collapsedLevelsAreSubtotals="1" fieldPosition="0">
        <references count="1">
          <reference field="6" count="1">
            <x v="1099"/>
          </reference>
        </references>
      </pivotArea>
    </format>
    <format dxfId="1961">
      <pivotArea collapsedLevelsAreSubtotals="1" fieldPosition="0">
        <references count="1">
          <reference field="6" count="1">
            <x v="1103"/>
          </reference>
        </references>
      </pivotArea>
    </format>
    <format dxfId="1960">
      <pivotArea collapsedLevelsAreSubtotals="1" fieldPosition="0">
        <references count="1">
          <reference field="6" count="1">
            <x v="1104"/>
          </reference>
        </references>
      </pivotArea>
    </format>
    <format dxfId="1959">
      <pivotArea collapsedLevelsAreSubtotals="1" fieldPosition="0">
        <references count="1">
          <reference field="6" count="1">
            <x v="1110"/>
          </reference>
        </references>
      </pivotArea>
    </format>
    <format dxfId="1958">
      <pivotArea collapsedLevelsAreSubtotals="1" fieldPosition="0">
        <references count="1">
          <reference field="6" count="1">
            <x v="1113"/>
          </reference>
        </references>
      </pivotArea>
    </format>
    <format dxfId="1957">
      <pivotArea collapsedLevelsAreSubtotals="1" fieldPosition="0">
        <references count="1">
          <reference field="6" count="1">
            <x v="1116"/>
          </reference>
        </references>
      </pivotArea>
    </format>
    <format dxfId="1956">
      <pivotArea collapsedLevelsAreSubtotals="1" fieldPosition="0">
        <references count="1">
          <reference field="6" count="1">
            <x v="1119"/>
          </reference>
        </references>
      </pivotArea>
    </format>
    <format dxfId="1955">
      <pivotArea collapsedLevelsAreSubtotals="1" fieldPosition="0">
        <references count="1">
          <reference field="6" count="1">
            <x v="1120"/>
          </reference>
        </references>
      </pivotArea>
    </format>
    <format dxfId="1954">
      <pivotArea collapsedLevelsAreSubtotals="1" fieldPosition="0">
        <references count="1">
          <reference field="6" count="1">
            <x v="1121"/>
          </reference>
        </references>
      </pivotArea>
    </format>
    <format dxfId="1953">
      <pivotArea collapsedLevelsAreSubtotals="1" fieldPosition="0">
        <references count="1">
          <reference field="6" count="1">
            <x v="1131"/>
          </reference>
        </references>
      </pivotArea>
    </format>
    <format dxfId="1952">
      <pivotArea collapsedLevelsAreSubtotals="1" fieldPosition="0">
        <references count="1">
          <reference field="6" count="1">
            <x v="1136"/>
          </reference>
        </references>
      </pivotArea>
    </format>
    <format dxfId="1951">
      <pivotArea collapsedLevelsAreSubtotals="1" fieldPosition="0">
        <references count="1">
          <reference field="6" count="1">
            <x v="1139"/>
          </reference>
        </references>
      </pivotArea>
    </format>
    <format dxfId="1950">
      <pivotArea collapsedLevelsAreSubtotals="1" fieldPosition="0">
        <references count="1">
          <reference field="6" count="1">
            <x v="1141"/>
          </reference>
        </references>
      </pivotArea>
    </format>
    <format dxfId="1949">
      <pivotArea collapsedLevelsAreSubtotals="1" fieldPosition="0">
        <references count="1">
          <reference field="6" count="1">
            <x v="1143"/>
          </reference>
        </references>
      </pivotArea>
    </format>
    <format dxfId="1948">
      <pivotArea collapsedLevelsAreSubtotals="1" fieldPosition="0">
        <references count="1">
          <reference field="6" count="1">
            <x v="1145"/>
          </reference>
        </references>
      </pivotArea>
    </format>
    <format dxfId="1947">
      <pivotArea collapsedLevelsAreSubtotals="1" fieldPosition="0">
        <references count="1">
          <reference field="6" count="1">
            <x v="1150"/>
          </reference>
        </references>
      </pivotArea>
    </format>
    <format dxfId="1946">
      <pivotArea collapsedLevelsAreSubtotals="1" fieldPosition="0">
        <references count="1">
          <reference field="6" count="1">
            <x v="1162"/>
          </reference>
        </references>
      </pivotArea>
    </format>
    <format dxfId="1945">
      <pivotArea collapsedLevelsAreSubtotals="1" fieldPosition="0">
        <references count="1">
          <reference field="6" count="1">
            <x v="1165"/>
          </reference>
        </references>
      </pivotArea>
    </format>
    <format dxfId="1944">
      <pivotArea collapsedLevelsAreSubtotals="1" fieldPosition="0">
        <references count="1">
          <reference field="6" count="1">
            <x v="1167"/>
          </reference>
        </references>
      </pivotArea>
    </format>
    <format dxfId="1943">
      <pivotArea collapsedLevelsAreSubtotals="1" fieldPosition="0">
        <references count="1">
          <reference field="6" count="1">
            <x v="1174"/>
          </reference>
        </references>
      </pivotArea>
    </format>
    <format dxfId="1942">
      <pivotArea collapsedLevelsAreSubtotals="1" fieldPosition="0">
        <references count="1">
          <reference field="6" count="1">
            <x v="1180"/>
          </reference>
        </references>
      </pivotArea>
    </format>
    <format dxfId="1941">
      <pivotArea collapsedLevelsAreSubtotals="1" fieldPosition="0">
        <references count="1">
          <reference field="6" count="1">
            <x v="1186"/>
          </reference>
        </references>
      </pivotArea>
    </format>
    <format dxfId="1940">
      <pivotArea collapsedLevelsAreSubtotals="1" fieldPosition="0">
        <references count="1">
          <reference field="6" count="1">
            <x v="1187"/>
          </reference>
        </references>
      </pivotArea>
    </format>
    <format dxfId="1939">
      <pivotArea collapsedLevelsAreSubtotals="1" fieldPosition="0">
        <references count="1">
          <reference field="6" count="1">
            <x v="1192"/>
          </reference>
        </references>
      </pivotArea>
    </format>
    <format dxfId="1938">
      <pivotArea collapsedLevelsAreSubtotals="1" fieldPosition="0">
        <references count="1">
          <reference field="6" count="1">
            <x v="1194"/>
          </reference>
        </references>
      </pivotArea>
    </format>
    <format dxfId="1937">
      <pivotArea collapsedLevelsAreSubtotals="1" fieldPosition="0">
        <references count="1">
          <reference field="6" count="1">
            <x v="1205"/>
          </reference>
        </references>
      </pivotArea>
    </format>
    <format dxfId="1936">
      <pivotArea collapsedLevelsAreSubtotals="1" fieldPosition="0">
        <references count="1">
          <reference field="6" count="1">
            <x v="1207"/>
          </reference>
        </references>
      </pivotArea>
    </format>
    <format dxfId="1935">
      <pivotArea collapsedLevelsAreSubtotals="1" fieldPosition="0">
        <references count="1">
          <reference field="6" count="1">
            <x v="1215"/>
          </reference>
        </references>
      </pivotArea>
    </format>
    <format dxfId="1934">
      <pivotArea collapsedLevelsAreSubtotals="1" fieldPosition="0">
        <references count="1">
          <reference field="6" count="1">
            <x v="1217"/>
          </reference>
        </references>
      </pivotArea>
    </format>
    <format dxfId="1933">
      <pivotArea collapsedLevelsAreSubtotals="1" fieldPosition="0">
        <references count="1">
          <reference field="6" count="1">
            <x v="1220"/>
          </reference>
        </references>
      </pivotArea>
    </format>
    <format dxfId="1932">
      <pivotArea collapsedLevelsAreSubtotals="1" fieldPosition="0">
        <references count="1">
          <reference field="6" count="1">
            <x v="1227"/>
          </reference>
        </references>
      </pivotArea>
    </format>
    <format dxfId="1931">
      <pivotArea collapsedLevelsAreSubtotals="1" fieldPosition="0">
        <references count="1">
          <reference field="6" count="1">
            <x v="1228"/>
          </reference>
        </references>
      </pivotArea>
    </format>
    <format dxfId="1930">
      <pivotArea collapsedLevelsAreSubtotals="1" fieldPosition="0">
        <references count="1">
          <reference field="6" count="1">
            <x v="1230"/>
          </reference>
        </references>
      </pivotArea>
    </format>
    <format dxfId="1929">
      <pivotArea collapsedLevelsAreSubtotals="1" fieldPosition="0">
        <references count="1">
          <reference field="6" count="1">
            <x v="1233"/>
          </reference>
        </references>
      </pivotArea>
    </format>
    <format dxfId="1928">
      <pivotArea collapsedLevelsAreSubtotals="1" fieldPosition="0">
        <references count="1">
          <reference field="6" count="1">
            <x v="1238"/>
          </reference>
        </references>
      </pivotArea>
    </format>
    <format dxfId="1927">
      <pivotArea collapsedLevelsAreSubtotals="1" fieldPosition="0">
        <references count="1">
          <reference field="6" count="1">
            <x v="1240"/>
          </reference>
        </references>
      </pivotArea>
    </format>
    <format dxfId="1926">
      <pivotArea collapsedLevelsAreSubtotals="1" fieldPosition="0">
        <references count="1">
          <reference field="6" count="1">
            <x v="1241"/>
          </reference>
        </references>
      </pivotArea>
    </format>
    <format dxfId="1925">
      <pivotArea collapsedLevelsAreSubtotals="1" fieldPosition="0">
        <references count="1">
          <reference field="6" count="1">
            <x v="1254"/>
          </reference>
        </references>
      </pivotArea>
    </format>
    <format dxfId="1924">
      <pivotArea collapsedLevelsAreSubtotals="1" fieldPosition="0">
        <references count="1">
          <reference field="6" count="1">
            <x v="1261"/>
          </reference>
        </references>
      </pivotArea>
    </format>
    <format dxfId="1923">
      <pivotArea collapsedLevelsAreSubtotals="1" fieldPosition="0">
        <references count="1">
          <reference field="6" count="1">
            <x v="1266"/>
          </reference>
        </references>
      </pivotArea>
    </format>
    <format dxfId="1922">
      <pivotArea collapsedLevelsAreSubtotals="1" fieldPosition="0">
        <references count="1">
          <reference field="6" count="1">
            <x v="1267"/>
          </reference>
        </references>
      </pivotArea>
    </format>
    <format dxfId="1921">
      <pivotArea collapsedLevelsAreSubtotals="1" fieldPosition="0">
        <references count="1">
          <reference field="6" count="1">
            <x v="1274"/>
          </reference>
        </references>
      </pivotArea>
    </format>
    <format dxfId="1920">
      <pivotArea collapsedLevelsAreSubtotals="1" fieldPosition="0">
        <references count="1">
          <reference field="6" count="1">
            <x v="1279"/>
          </reference>
        </references>
      </pivotArea>
    </format>
    <format dxfId="1919">
      <pivotArea collapsedLevelsAreSubtotals="1" fieldPosition="0">
        <references count="1">
          <reference field="6" count="1">
            <x v="1280"/>
          </reference>
        </references>
      </pivotArea>
    </format>
    <format dxfId="1918">
      <pivotArea collapsedLevelsAreSubtotals="1" fieldPosition="0">
        <references count="1">
          <reference field="6" count="1">
            <x v="1290"/>
          </reference>
        </references>
      </pivotArea>
    </format>
    <format dxfId="1917">
      <pivotArea collapsedLevelsAreSubtotals="1" fieldPosition="0">
        <references count="1">
          <reference field="6" count="1">
            <x v="1292"/>
          </reference>
        </references>
      </pivotArea>
    </format>
    <format dxfId="1916">
      <pivotArea collapsedLevelsAreSubtotals="1" fieldPosition="0">
        <references count="1">
          <reference field="6" count="1">
            <x v="1293"/>
          </reference>
        </references>
      </pivotArea>
    </format>
    <format dxfId="1915">
      <pivotArea collapsedLevelsAreSubtotals="1" fieldPosition="0">
        <references count="1">
          <reference field="6" count="1">
            <x v="1298"/>
          </reference>
        </references>
      </pivotArea>
    </format>
    <format dxfId="1914">
      <pivotArea collapsedLevelsAreSubtotals="1" fieldPosition="0">
        <references count="1">
          <reference field="6" count="1">
            <x v="1300"/>
          </reference>
        </references>
      </pivotArea>
    </format>
    <format dxfId="1913">
      <pivotArea collapsedLevelsAreSubtotals="1" fieldPosition="0">
        <references count="1">
          <reference field="6" count="1">
            <x v="1304"/>
          </reference>
        </references>
      </pivotArea>
    </format>
    <format dxfId="1912">
      <pivotArea collapsedLevelsAreSubtotals="1" fieldPosition="0">
        <references count="1">
          <reference field="6" count="1">
            <x v="1306"/>
          </reference>
        </references>
      </pivotArea>
    </format>
    <format dxfId="1911">
      <pivotArea collapsedLevelsAreSubtotals="1" fieldPosition="0">
        <references count="1">
          <reference field="6" count="1">
            <x v="1317"/>
          </reference>
        </references>
      </pivotArea>
    </format>
    <format dxfId="1910">
      <pivotArea collapsedLevelsAreSubtotals="1" fieldPosition="0">
        <references count="1">
          <reference field="6" count="1">
            <x v="1321"/>
          </reference>
        </references>
      </pivotArea>
    </format>
    <format dxfId="1909">
      <pivotArea collapsedLevelsAreSubtotals="1" fieldPosition="0">
        <references count="1">
          <reference field="6" count="1">
            <x v="1322"/>
          </reference>
        </references>
      </pivotArea>
    </format>
    <format dxfId="1908">
      <pivotArea collapsedLevelsAreSubtotals="1" fieldPosition="0">
        <references count="1">
          <reference field="6" count="1">
            <x v="1328"/>
          </reference>
        </references>
      </pivotArea>
    </format>
    <format dxfId="1907">
      <pivotArea collapsedLevelsAreSubtotals="1" fieldPosition="0">
        <references count="1">
          <reference field="6" count="1">
            <x v="1331"/>
          </reference>
        </references>
      </pivotArea>
    </format>
    <format dxfId="1906">
      <pivotArea collapsedLevelsAreSubtotals="1" fieldPosition="0">
        <references count="1">
          <reference field="6" count="1">
            <x v="1332"/>
          </reference>
        </references>
      </pivotArea>
    </format>
    <format dxfId="1905">
      <pivotArea collapsedLevelsAreSubtotals="1" fieldPosition="0">
        <references count="1">
          <reference field="6" count="1">
            <x v="1340"/>
          </reference>
        </references>
      </pivotArea>
    </format>
    <format dxfId="1904">
      <pivotArea collapsedLevelsAreSubtotals="1" fieldPosition="0">
        <references count="1">
          <reference field="6" count="1">
            <x v="1342"/>
          </reference>
        </references>
      </pivotArea>
    </format>
    <format dxfId="1903">
      <pivotArea collapsedLevelsAreSubtotals="1" fieldPosition="0">
        <references count="1">
          <reference field="6" count="1">
            <x v="1352"/>
          </reference>
        </references>
      </pivotArea>
    </format>
    <format dxfId="1902">
      <pivotArea collapsedLevelsAreSubtotals="1" fieldPosition="0">
        <references count="1">
          <reference field="6" count="1">
            <x v="1356"/>
          </reference>
        </references>
      </pivotArea>
    </format>
    <format dxfId="1901">
      <pivotArea collapsedLevelsAreSubtotals="1" fieldPosition="0">
        <references count="1">
          <reference field="6" count="1">
            <x v="1359"/>
          </reference>
        </references>
      </pivotArea>
    </format>
    <format dxfId="1900">
      <pivotArea collapsedLevelsAreSubtotals="1" fieldPosition="0">
        <references count="1">
          <reference field="6" count="1">
            <x v="1369"/>
          </reference>
        </references>
      </pivotArea>
    </format>
    <format dxfId="1899">
      <pivotArea collapsedLevelsAreSubtotals="1" fieldPosition="0">
        <references count="1">
          <reference field="6" count="1">
            <x v="1371"/>
          </reference>
        </references>
      </pivotArea>
    </format>
    <format dxfId="1898">
      <pivotArea collapsedLevelsAreSubtotals="1" fieldPosition="0">
        <references count="1">
          <reference field="6" count="1">
            <x v="1373"/>
          </reference>
        </references>
      </pivotArea>
    </format>
    <format dxfId="1897">
      <pivotArea collapsedLevelsAreSubtotals="1" fieldPosition="0">
        <references count="1">
          <reference field="6" count="1">
            <x v="1374"/>
          </reference>
        </references>
      </pivotArea>
    </format>
    <format dxfId="1896">
      <pivotArea collapsedLevelsAreSubtotals="1" fieldPosition="0">
        <references count="1">
          <reference field="6" count="1">
            <x v="1376"/>
          </reference>
        </references>
      </pivotArea>
    </format>
    <format dxfId="1895">
      <pivotArea collapsedLevelsAreSubtotals="1" fieldPosition="0">
        <references count="1">
          <reference field="6" count="1">
            <x v="1377"/>
          </reference>
        </references>
      </pivotArea>
    </format>
    <format dxfId="1894">
      <pivotArea collapsedLevelsAreSubtotals="1" fieldPosition="0">
        <references count="1">
          <reference field="6" count="1">
            <x v="1385"/>
          </reference>
        </references>
      </pivotArea>
    </format>
    <format dxfId="1893">
      <pivotArea collapsedLevelsAreSubtotals="1" fieldPosition="0">
        <references count="1">
          <reference field="6" count="1">
            <x v="1387"/>
          </reference>
        </references>
      </pivotArea>
    </format>
    <format dxfId="1892">
      <pivotArea collapsedLevelsAreSubtotals="1" fieldPosition="0">
        <references count="1">
          <reference field="6" count="1">
            <x v="1397"/>
          </reference>
        </references>
      </pivotArea>
    </format>
    <format dxfId="1891">
      <pivotArea collapsedLevelsAreSubtotals="1" fieldPosition="0">
        <references count="1">
          <reference field="6" count="1">
            <x v="1401"/>
          </reference>
        </references>
      </pivotArea>
    </format>
    <format dxfId="1890">
      <pivotArea collapsedLevelsAreSubtotals="1" fieldPosition="0">
        <references count="1">
          <reference field="6" count="1">
            <x v="1406"/>
          </reference>
        </references>
      </pivotArea>
    </format>
    <format dxfId="1889">
      <pivotArea collapsedLevelsAreSubtotals="1" fieldPosition="0">
        <references count="1">
          <reference field="6" count="1">
            <x v="1407"/>
          </reference>
        </references>
      </pivotArea>
    </format>
    <format dxfId="1888">
      <pivotArea collapsedLevelsAreSubtotals="1" fieldPosition="0">
        <references count="1">
          <reference field="6" count="1">
            <x v="1411"/>
          </reference>
        </references>
      </pivotArea>
    </format>
    <format dxfId="1887">
      <pivotArea collapsedLevelsAreSubtotals="1" fieldPosition="0">
        <references count="1">
          <reference field="6" count="1">
            <x v="1420"/>
          </reference>
        </references>
      </pivotArea>
    </format>
    <format dxfId="1886">
      <pivotArea collapsedLevelsAreSubtotals="1" fieldPosition="0">
        <references count="1">
          <reference field="6" count="1">
            <x v="1421"/>
          </reference>
        </references>
      </pivotArea>
    </format>
    <format dxfId="1885">
      <pivotArea collapsedLevelsAreSubtotals="1" fieldPosition="0">
        <references count="1">
          <reference field="6" count="1">
            <x v="1423"/>
          </reference>
        </references>
      </pivotArea>
    </format>
    <format dxfId="1884">
      <pivotArea collapsedLevelsAreSubtotals="1" fieldPosition="0">
        <references count="1">
          <reference field="6" count="1">
            <x v="1426"/>
          </reference>
        </references>
      </pivotArea>
    </format>
    <format dxfId="1883">
      <pivotArea collapsedLevelsAreSubtotals="1" fieldPosition="0">
        <references count="1">
          <reference field="6" count="1">
            <x v="1428"/>
          </reference>
        </references>
      </pivotArea>
    </format>
    <format dxfId="1882">
      <pivotArea collapsedLevelsAreSubtotals="1" fieldPosition="0">
        <references count="1">
          <reference field="6" count="1">
            <x v="1435"/>
          </reference>
        </references>
      </pivotArea>
    </format>
    <format dxfId="1881">
      <pivotArea collapsedLevelsAreSubtotals="1" fieldPosition="0">
        <references count="1">
          <reference field="6" count="1">
            <x v="1437"/>
          </reference>
        </references>
      </pivotArea>
    </format>
    <format dxfId="1880">
      <pivotArea collapsedLevelsAreSubtotals="1" fieldPosition="0">
        <references count="1">
          <reference field="6" count="1">
            <x v="1441"/>
          </reference>
        </references>
      </pivotArea>
    </format>
    <format dxfId="1879">
      <pivotArea collapsedLevelsAreSubtotals="1" fieldPosition="0">
        <references count="1">
          <reference field="6" count="1">
            <x v="1443"/>
          </reference>
        </references>
      </pivotArea>
    </format>
    <format dxfId="1878">
      <pivotArea collapsedLevelsAreSubtotals="1" fieldPosition="0">
        <references count="1">
          <reference field="6" count="1">
            <x v="1448"/>
          </reference>
        </references>
      </pivotArea>
    </format>
    <format dxfId="1877">
      <pivotArea collapsedLevelsAreSubtotals="1" fieldPosition="0">
        <references count="1">
          <reference field="6" count="1">
            <x v="1453"/>
          </reference>
        </references>
      </pivotArea>
    </format>
    <format dxfId="1876">
      <pivotArea collapsedLevelsAreSubtotals="1" fieldPosition="0">
        <references count="1">
          <reference field="6" count="1">
            <x v="1455"/>
          </reference>
        </references>
      </pivotArea>
    </format>
    <format dxfId="1875">
      <pivotArea collapsedLevelsAreSubtotals="1" fieldPosition="0">
        <references count="1">
          <reference field="6" count="1">
            <x v="1456"/>
          </reference>
        </references>
      </pivotArea>
    </format>
    <format dxfId="1874">
      <pivotArea collapsedLevelsAreSubtotals="1" fieldPosition="0">
        <references count="1">
          <reference field="6" count="1">
            <x v="1459"/>
          </reference>
        </references>
      </pivotArea>
    </format>
    <format dxfId="1873">
      <pivotArea collapsedLevelsAreSubtotals="1" fieldPosition="0">
        <references count="1">
          <reference field="6" count="1">
            <x v="1469"/>
          </reference>
        </references>
      </pivotArea>
    </format>
    <format dxfId="1872">
      <pivotArea collapsedLevelsAreSubtotals="1" fieldPosition="0">
        <references count="1">
          <reference field="6" count="1">
            <x v="1472"/>
          </reference>
        </references>
      </pivotArea>
    </format>
    <format dxfId="1871">
      <pivotArea collapsedLevelsAreSubtotals="1" fieldPosition="0">
        <references count="1">
          <reference field="6" count="1">
            <x v="1475"/>
          </reference>
        </references>
      </pivotArea>
    </format>
    <format dxfId="1870">
      <pivotArea collapsedLevelsAreSubtotals="1" fieldPosition="0">
        <references count="1">
          <reference field="6" count="1">
            <x v="1482"/>
          </reference>
        </references>
      </pivotArea>
    </format>
    <format dxfId="1869">
      <pivotArea collapsedLevelsAreSubtotals="1" fieldPosition="0">
        <references count="1">
          <reference field="6" count="1">
            <x v="1483"/>
          </reference>
        </references>
      </pivotArea>
    </format>
    <format dxfId="1868">
      <pivotArea collapsedLevelsAreSubtotals="1" fieldPosition="0">
        <references count="1">
          <reference field="6" count="1">
            <x v="1484"/>
          </reference>
        </references>
      </pivotArea>
    </format>
    <format dxfId="1867">
      <pivotArea collapsedLevelsAreSubtotals="1" fieldPosition="0">
        <references count="1">
          <reference field="6" count="1">
            <x v="1487"/>
          </reference>
        </references>
      </pivotArea>
    </format>
    <format dxfId="1866">
      <pivotArea collapsedLevelsAreSubtotals="1" fieldPosition="0">
        <references count="1">
          <reference field="6" count="1">
            <x v="1493"/>
          </reference>
        </references>
      </pivotArea>
    </format>
    <format dxfId="1865">
      <pivotArea collapsedLevelsAreSubtotals="1" fieldPosition="0">
        <references count="1">
          <reference field="6" count="1">
            <x v="1495"/>
          </reference>
        </references>
      </pivotArea>
    </format>
    <format dxfId="1864">
      <pivotArea collapsedLevelsAreSubtotals="1" fieldPosition="0">
        <references count="1">
          <reference field="6" count="1">
            <x v="1506"/>
          </reference>
        </references>
      </pivotArea>
    </format>
    <format dxfId="1863">
      <pivotArea collapsedLevelsAreSubtotals="1" fieldPosition="0">
        <references count="1">
          <reference field="6" count="1">
            <x v="1507"/>
          </reference>
        </references>
      </pivotArea>
    </format>
    <format dxfId="1862">
      <pivotArea collapsedLevelsAreSubtotals="1" fieldPosition="0">
        <references count="1">
          <reference field="6" count="1">
            <x v="1508"/>
          </reference>
        </references>
      </pivotArea>
    </format>
    <format dxfId="1861">
      <pivotArea collapsedLevelsAreSubtotals="1" fieldPosition="0">
        <references count="1">
          <reference field="6" count="1">
            <x v="1509"/>
          </reference>
        </references>
      </pivotArea>
    </format>
    <format dxfId="1860">
      <pivotArea collapsedLevelsAreSubtotals="1" fieldPosition="0">
        <references count="1">
          <reference field="6" count="1">
            <x v="1512"/>
          </reference>
        </references>
      </pivotArea>
    </format>
    <format dxfId="1859">
      <pivotArea collapsedLevelsAreSubtotals="1" fieldPosition="0">
        <references count="1">
          <reference field="6" count="1">
            <x v="1518"/>
          </reference>
        </references>
      </pivotArea>
    </format>
    <format dxfId="1858">
      <pivotArea collapsedLevelsAreSubtotals="1" fieldPosition="0">
        <references count="1">
          <reference field="6" count="1">
            <x v="1523"/>
          </reference>
        </references>
      </pivotArea>
    </format>
    <format dxfId="1857">
      <pivotArea collapsedLevelsAreSubtotals="1" fieldPosition="0">
        <references count="1">
          <reference field="6" count="1">
            <x v="1524"/>
          </reference>
        </references>
      </pivotArea>
    </format>
    <format dxfId="1856">
      <pivotArea collapsedLevelsAreSubtotals="1" fieldPosition="0">
        <references count="1">
          <reference field="6" count="1">
            <x v="1532"/>
          </reference>
        </references>
      </pivotArea>
    </format>
    <format dxfId="1855">
      <pivotArea collapsedLevelsAreSubtotals="1" fieldPosition="0">
        <references count="1">
          <reference field="6" count="1">
            <x v="1534"/>
          </reference>
        </references>
      </pivotArea>
    </format>
    <format dxfId="1854">
      <pivotArea collapsedLevelsAreSubtotals="1" fieldPosition="0">
        <references count="1">
          <reference field="6" count="1">
            <x v="1535"/>
          </reference>
        </references>
      </pivotArea>
    </format>
    <format dxfId="1853">
      <pivotArea collapsedLevelsAreSubtotals="1" fieldPosition="0">
        <references count="1">
          <reference field="6" count="1">
            <x v="1536"/>
          </reference>
        </references>
      </pivotArea>
    </format>
    <format dxfId="1852">
      <pivotArea collapsedLevelsAreSubtotals="1" fieldPosition="0">
        <references count="1">
          <reference field="6" count="1">
            <x v="1541"/>
          </reference>
        </references>
      </pivotArea>
    </format>
    <format dxfId="1851">
      <pivotArea collapsedLevelsAreSubtotals="1" fieldPosition="0">
        <references count="1">
          <reference field="6" count="1">
            <x v="1543"/>
          </reference>
        </references>
      </pivotArea>
    </format>
    <format dxfId="1850">
      <pivotArea collapsedLevelsAreSubtotals="1" fieldPosition="0">
        <references count="1">
          <reference field="6" count="1">
            <x v="1545"/>
          </reference>
        </references>
      </pivotArea>
    </format>
    <format dxfId="1849">
      <pivotArea collapsedLevelsAreSubtotals="1" fieldPosition="0">
        <references count="1">
          <reference field="6" count="1">
            <x v="1553"/>
          </reference>
        </references>
      </pivotArea>
    </format>
    <format dxfId="1848">
      <pivotArea collapsedLevelsAreSubtotals="1" fieldPosition="0">
        <references count="1">
          <reference field="6" count="1">
            <x v="1563"/>
          </reference>
        </references>
      </pivotArea>
    </format>
    <format dxfId="1847">
      <pivotArea collapsedLevelsAreSubtotals="1" fieldPosition="0">
        <references count="1">
          <reference field="6" count="1">
            <x v="1564"/>
          </reference>
        </references>
      </pivotArea>
    </format>
    <format dxfId="1846">
      <pivotArea collapsedLevelsAreSubtotals="1" fieldPosition="0">
        <references count="1">
          <reference field="6" count="1">
            <x v="1575"/>
          </reference>
        </references>
      </pivotArea>
    </format>
    <format dxfId="1845">
      <pivotArea collapsedLevelsAreSubtotals="1" fieldPosition="0">
        <references count="1">
          <reference field="6" count="1">
            <x v="1578"/>
          </reference>
        </references>
      </pivotArea>
    </format>
    <format dxfId="1844">
      <pivotArea collapsedLevelsAreSubtotals="1" fieldPosition="0">
        <references count="1">
          <reference field="6" count="1">
            <x v="1584"/>
          </reference>
        </references>
      </pivotArea>
    </format>
    <format dxfId="1843">
      <pivotArea collapsedLevelsAreSubtotals="1" fieldPosition="0">
        <references count="1">
          <reference field="6" count="1">
            <x v="1585"/>
          </reference>
        </references>
      </pivotArea>
    </format>
    <format dxfId="1842">
      <pivotArea collapsedLevelsAreSubtotals="1" fieldPosition="0">
        <references count="1">
          <reference field="6" count="1">
            <x v="1586"/>
          </reference>
        </references>
      </pivotArea>
    </format>
    <format dxfId="1841">
      <pivotArea collapsedLevelsAreSubtotals="1" fieldPosition="0">
        <references count="1">
          <reference field="6" count="1">
            <x v="1589"/>
          </reference>
        </references>
      </pivotArea>
    </format>
    <format dxfId="1840">
      <pivotArea collapsedLevelsAreSubtotals="1" fieldPosition="0">
        <references count="1">
          <reference field="6" count="1">
            <x v="1590"/>
          </reference>
        </references>
      </pivotArea>
    </format>
    <format dxfId="1839">
      <pivotArea collapsedLevelsAreSubtotals="1" fieldPosition="0">
        <references count="1">
          <reference field="6" count="1">
            <x v="1595"/>
          </reference>
        </references>
      </pivotArea>
    </format>
    <format dxfId="1838">
      <pivotArea collapsedLevelsAreSubtotals="1" fieldPosition="0">
        <references count="1">
          <reference field="6" count="1">
            <x v="1596"/>
          </reference>
        </references>
      </pivotArea>
    </format>
    <format dxfId="1837">
      <pivotArea collapsedLevelsAreSubtotals="1" fieldPosition="0">
        <references count="1">
          <reference field="6" count="1">
            <x v="1600"/>
          </reference>
        </references>
      </pivotArea>
    </format>
    <format dxfId="1836">
      <pivotArea collapsedLevelsAreSubtotals="1" fieldPosition="0">
        <references count="1">
          <reference field="6" count="1">
            <x v="1603"/>
          </reference>
        </references>
      </pivotArea>
    </format>
    <format dxfId="1835">
      <pivotArea collapsedLevelsAreSubtotals="1" fieldPosition="0">
        <references count="1">
          <reference field="6" count="1">
            <x v="1606"/>
          </reference>
        </references>
      </pivotArea>
    </format>
    <format dxfId="1834">
      <pivotArea collapsedLevelsAreSubtotals="1" fieldPosition="0">
        <references count="1">
          <reference field="6" count="1">
            <x v="1609"/>
          </reference>
        </references>
      </pivotArea>
    </format>
    <format dxfId="1833">
      <pivotArea collapsedLevelsAreSubtotals="1" fieldPosition="0">
        <references count="1">
          <reference field="6" count="1">
            <x v="1610"/>
          </reference>
        </references>
      </pivotArea>
    </format>
    <format dxfId="1832">
      <pivotArea collapsedLevelsAreSubtotals="1" fieldPosition="0">
        <references count="1">
          <reference field="6" count="1">
            <x v="1630"/>
          </reference>
        </references>
      </pivotArea>
    </format>
    <format dxfId="1831">
      <pivotArea collapsedLevelsAreSubtotals="1" fieldPosition="0">
        <references count="1">
          <reference field="6" count="1">
            <x v="1632"/>
          </reference>
        </references>
      </pivotArea>
    </format>
    <format dxfId="1830">
      <pivotArea collapsedLevelsAreSubtotals="1" fieldPosition="0">
        <references count="1">
          <reference field="6" count="1">
            <x v="1642"/>
          </reference>
        </references>
      </pivotArea>
    </format>
    <format dxfId="1829">
      <pivotArea collapsedLevelsAreSubtotals="1" fieldPosition="0">
        <references count="1">
          <reference field="6" count="1">
            <x v="1644"/>
          </reference>
        </references>
      </pivotArea>
    </format>
    <format dxfId="1828">
      <pivotArea collapsedLevelsAreSubtotals="1" fieldPosition="0">
        <references count="1">
          <reference field="6" count="1">
            <x v="1648"/>
          </reference>
        </references>
      </pivotArea>
    </format>
    <format dxfId="1827">
      <pivotArea collapsedLevelsAreSubtotals="1" fieldPosition="0">
        <references count="1">
          <reference field="6" count="1">
            <x v="1655"/>
          </reference>
        </references>
      </pivotArea>
    </format>
    <format dxfId="1826">
      <pivotArea collapsedLevelsAreSubtotals="1" fieldPosition="0">
        <references count="1">
          <reference field="6" count="1">
            <x v="1657"/>
          </reference>
        </references>
      </pivotArea>
    </format>
    <format dxfId="1825">
      <pivotArea collapsedLevelsAreSubtotals="1" fieldPosition="0">
        <references count="1">
          <reference field="6" count="1">
            <x v="1667"/>
          </reference>
        </references>
      </pivotArea>
    </format>
    <format dxfId="1824">
      <pivotArea collapsedLevelsAreSubtotals="1" fieldPosition="0">
        <references count="1">
          <reference field="6" count="1">
            <x v="1670"/>
          </reference>
        </references>
      </pivotArea>
    </format>
    <format dxfId="1823">
      <pivotArea collapsedLevelsAreSubtotals="1" fieldPosition="0">
        <references count="1">
          <reference field="6" count="1">
            <x v="1674"/>
          </reference>
        </references>
      </pivotArea>
    </format>
    <format dxfId="1822">
      <pivotArea collapsedLevelsAreSubtotals="1" fieldPosition="0">
        <references count="1">
          <reference field="6" count="1">
            <x v="1676"/>
          </reference>
        </references>
      </pivotArea>
    </format>
    <format dxfId="1821">
      <pivotArea collapsedLevelsAreSubtotals="1" fieldPosition="0">
        <references count="1">
          <reference field="6" count="1">
            <x v="41"/>
          </reference>
        </references>
      </pivotArea>
    </format>
    <format dxfId="1820">
      <pivotArea collapsedLevelsAreSubtotals="1" fieldPosition="0">
        <references count="1">
          <reference field="6" count="1">
            <x v="49"/>
          </reference>
        </references>
      </pivotArea>
    </format>
    <format dxfId="1819">
      <pivotArea collapsedLevelsAreSubtotals="1" fieldPosition="0">
        <references count="1">
          <reference field="6" count="1">
            <x v="54"/>
          </reference>
        </references>
      </pivotArea>
    </format>
    <format dxfId="1818">
      <pivotArea collapsedLevelsAreSubtotals="1" fieldPosition="0">
        <references count="1">
          <reference field="6" count="1">
            <x v="55"/>
          </reference>
        </references>
      </pivotArea>
    </format>
    <format dxfId="1817">
      <pivotArea collapsedLevelsAreSubtotals="1" fieldPosition="0">
        <references count="1">
          <reference field="6" count="1">
            <x v="62"/>
          </reference>
        </references>
      </pivotArea>
    </format>
    <format dxfId="1816">
      <pivotArea collapsedLevelsAreSubtotals="1" fieldPosition="0">
        <references count="1">
          <reference field="6" count="1">
            <x v="70"/>
          </reference>
        </references>
      </pivotArea>
    </format>
    <format dxfId="1815">
      <pivotArea collapsedLevelsAreSubtotals="1" fieldPosition="0">
        <references count="1">
          <reference field="6" count="1">
            <x v="76"/>
          </reference>
        </references>
      </pivotArea>
    </format>
    <format dxfId="1814">
      <pivotArea collapsedLevelsAreSubtotals="1" fieldPosition="0">
        <references count="1">
          <reference field="6" count="1">
            <x v="81"/>
          </reference>
        </references>
      </pivotArea>
    </format>
    <format dxfId="1813">
      <pivotArea collapsedLevelsAreSubtotals="1" fieldPosition="0">
        <references count="1">
          <reference field="6" count="1">
            <x v="89"/>
          </reference>
        </references>
      </pivotArea>
    </format>
    <format dxfId="1812">
      <pivotArea collapsedLevelsAreSubtotals="1" fieldPosition="0">
        <references count="1">
          <reference field="6" count="1">
            <x v="90"/>
          </reference>
        </references>
      </pivotArea>
    </format>
    <format dxfId="1811">
      <pivotArea collapsedLevelsAreSubtotals="1" fieldPosition="0">
        <references count="1">
          <reference field="6" count="1">
            <x v="97"/>
          </reference>
        </references>
      </pivotArea>
    </format>
    <format dxfId="1810">
      <pivotArea collapsedLevelsAreSubtotals="1" fieldPosition="0">
        <references count="1">
          <reference field="6" count="1">
            <x v="100"/>
          </reference>
        </references>
      </pivotArea>
    </format>
    <format dxfId="1809">
      <pivotArea collapsedLevelsAreSubtotals="1" fieldPosition="0">
        <references count="1">
          <reference field="6" count="1">
            <x v="107"/>
          </reference>
        </references>
      </pivotArea>
    </format>
    <format dxfId="1808">
      <pivotArea collapsedLevelsAreSubtotals="1" fieldPosition="0">
        <references count="1">
          <reference field="6" count="1">
            <x v="112"/>
          </reference>
        </references>
      </pivotArea>
    </format>
    <format dxfId="1807">
      <pivotArea collapsedLevelsAreSubtotals="1" fieldPosition="0">
        <references count="1">
          <reference field="6" count="1">
            <x v="120"/>
          </reference>
        </references>
      </pivotArea>
    </format>
    <format dxfId="1806">
      <pivotArea collapsedLevelsAreSubtotals="1" fieldPosition="0">
        <references count="1">
          <reference field="6" count="1">
            <x v="124"/>
          </reference>
        </references>
      </pivotArea>
    </format>
    <format dxfId="1805">
      <pivotArea collapsedLevelsAreSubtotals="1" fieldPosition="0">
        <references count="1">
          <reference field="6" count="1">
            <x v="131"/>
          </reference>
        </references>
      </pivotArea>
    </format>
    <format dxfId="1804">
      <pivotArea collapsedLevelsAreSubtotals="1" fieldPosition="0">
        <references count="1">
          <reference field="6" count="1">
            <x v="134"/>
          </reference>
        </references>
      </pivotArea>
    </format>
    <format dxfId="1803">
      <pivotArea collapsedLevelsAreSubtotals="1" fieldPosition="0">
        <references count="1">
          <reference field="6" count="1">
            <x v="146"/>
          </reference>
        </references>
      </pivotArea>
    </format>
    <format dxfId="1802">
      <pivotArea collapsedLevelsAreSubtotals="1" fieldPosition="0">
        <references count="1">
          <reference field="6" count="1">
            <x v="155"/>
          </reference>
        </references>
      </pivotArea>
    </format>
    <format dxfId="1801">
      <pivotArea collapsedLevelsAreSubtotals="1" fieldPosition="0">
        <references count="1">
          <reference field="6" count="1">
            <x v="156"/>
          </reference>
        </references>
      </pivotArea>
    </format>
    <format dxfId="1800">
      <pivotArea collapsedLevelsAreSubtotals="1" fieldPosition="0">
        <references count="1">
          <reference field="6" count="1">
            <x v="161"/>
          </reference>
        </references>
      </pivotArea>
    </format>
    <format dxfId="1799">
      <pivotArea collapsedLevelsAreSubtotals="1" fieldPosition="0">
        <references count="1">
          <reference field="6" count="1">
            <x v="162"/>
          </reference>
        </references>
      </pivotArea>
    </format>
    <format dxfId="1798">
      <pivotArea collapsedLevelsAreSubtotals="1" fieldPosition="0">
        <references count="1">
          <reference field="6" count="1">
            <x v="163"/>
          </reference>
        </references>
      </pivotArea>
    </format>
    <format dxfId="1797">
      <pivotArea collapsedLevelsAreSubtotals="1" fieldPosition="0">
        <references count="1">
          <reference field="6" count="1">
            <x v="165"/>
          </reference>
        </references>
      </pivotArea>
    </format>
    <format dxfId="1796">
      <pivotArea collapsedLevelsAreSubtotals="1" fieldPosition="0">
        <references count="1">
          <reference field="6" count="1">
            <x v="172"/>
          </reference>
        </references>
      </pivotArea>
    </format>
    <format dxfId="1795">
      <pivotArea collapsedLevelsAreSubtotals="1" fieldPosition="0">
        <references count="1">
          <reference field="6" count="1">
            <x v="177"/>
          </reference>
        </references>
      </pivotArea>
    </format>
    <format dxfId="1794">
      <pivotArea collapsedLevelsAreSubtotals="1" fieldPosition="0">
        <references count="1">
          <reference field="6" count="1">
            <x v="180"/>
          </reference>
        </references>
      </pivotArea>
    </format>
    <format dxfId="1793">
      <pivotArea collapsedLevelsAreSubtotals="1" fieldPosition="0">
        <references count="1">
          <reference field="6" count="1">
            <x v="186"/>
          </reference>
        </references>
      </pivotArea>
    </format>
    <format dxfId="1792">
      <pivotArea collapsedLevelsAreSubtotals="1" fieldPosition="0">
        <references count="1">
          <reference field="6" count="1">
            <x v="209"/>
          </reference>
        </references>
      </pivotArea>
    </format>
    <format dxfId="1791">
      <pivotArea collapsedLevelsAreSubtotals="1" fieldPosition="0">
        <references count="1">
          <reference field="6" count="1">
            <x v="214"/>
          </reference>
        </references>
      </pivotArea>
    </format>
    <format dxfId="1790">
      <pivotArea collapsedLevelsAreSubtotals="1" fieldPosition="0">
        <references count="1">
          <reference field="6" count="1">
            <x v="226"/>
          </reference>
        </references>
      </pivotArea>
    </format>
    <format dxfId="1789">
      <pivotArea collapsedLevelsAreSubtotals="1" fieldPosition="0">
        <references count="1">
          <reference field="6" count="1">
            <x v="229"/>
          </reference>
        </references>
      </pivotArea>
    </format>
    <format dxfId="1788">
      <pivotArea collapsedLevelsAreSubtotals="1" fieldPosition="0">
        <references count="1">
          <reference field="6" count="1">
            <x v="231"/>
          </reference>
        </references>
      </pivotArea>
    </format>
    <format dxfId="1787">
      <pivotArea collapsedLevelsAreSubtotals="1" fieldPosition="0">
        <references count="1">
          <reference field="6" count="1">
            <x v="232"/>
          </reference>
        </references>
      </pivotArea>
    </format>
    <format dxfId="1786">
      <pivotArea collapsedLevelsAreSubtotals="1" fieldPosition="0">
        <references count="1">
          <reference field="6" count="1">
            <x v="235"/>
          </reference>
        </references>
      </pivotArea>
    </format>
    <format dxfId="1785">
      <pivotArea collapsedLevelsAreSubtotals="1" fieldPosition="0">
        <references count="1">
          <reference field="6" count="1">
            <x v="239"/>
          </reference>
        </references>
      </pivotArea>
    </format>
    <format dxfId="1784">
      <pivotArea collapsedLevelsAreSubtotals="1" fieldPosition="0">
        <references count="1">
          <reference field="6" count="1">
            <x v="242"/>
          </reference>
        </references>
      </pivotArea>
    </format>
    <format dxfId="1783">
      <pivotArea collapsedLevelsAreSubtotals="1" fieldPosition="0">
        <references count="1">
          <reference field="6" count="1">
            <x v="243"/>
          </reference>
        </references>
      </pivotArea>
    </format>
    <format dxfId="1782">
      <pivotArea collapsedLevelsAreSubtotals="1" fieldPosition="0">
        <references count="1">
          <reference field="6" count="1">
            <x v="254"/>
          </reference>
        </references>
      </pivotArea>
    </format>
    <format dxfId="1781">
      <pivotArea collapsedLevelsAreSubtotals="1" fieldPosition="0">
        <references count="1">
          <reference field="6" count="1">
            <x v="256"/>
          </reference>
        </references>
      </pivotArea>
    </format>
    <format dxfId="1780">
      <pivotArea collapsedLevelsAreSubtotals="1" fieldPosition="0">
        <references count="1">
          <reference field="6" count="1">
            <x v="275"/>
          </reference>
        </references>
      </pivotArea>
    </format>
    <format dxfId="1779">
      <pivotArea collapsedLevelsAreSubtotals="1" fieldPosition="0">
        <references count="1">
          <reference field="6" count="1">
            <x v="277"/>
          </reference>
        </references>
      </pivotArea>
    </format>
    <format dxfId="1778">
      <pivotArea collapsedLevelsAreSubtotals="1" fieldPosition="0">
        <references count="1">
          <reference field="6" count="1">
            <x v="279"/>
          </reference>
        </references>
      </pivotArea>
    </format>
    <format dxfId="1777">
      <pivotArea collapsedLevelsAreSubtotals="1" fieldPosition="0">
        <references count="1">
          <reference field="6" count="1">
            <x v="287"/>
          </reference>
        </references>
      </pivotArea>
    </format>
    <format dxfId="1776">
      <pivotArea collapsedLevelsAreSubtotals="1" fieldPosition="0">
        <references count="1">
          <reference field="6" count="1">
            <x v="294"/>
          </reference>
        </references>
      </pivotArea>
    </format>
    <format dxfId="1775">
      <pivotArea collapsedLevelsAreSubtotals="1" fieldPosition="0">
        <references count="1">
          <reference field="6" count="1">
            <x v="309"/>
          </reference>
        </references>
      </pivotArea>
    </format>
    <format dxfId="1774">
      <pivotArea collapsedLevelsAreSubtotals="1" fieldPosition="0">
        <references count="1">
          <reference field="6" count="1">
            <x v="327"/>
          </reference>
        </references>
      </pivotArea>
    </format>
    <format dxfId="1773">
      <pivotArea collapsedLevelsAreSubtotals="1" fieldPosition="0">
        <references count="1">
          <reference field="6" count="1">
            <x v="328"/>
          </reference>
        </references>
      </pivotArea>
    </format>
    <format dxfId="1772">
      <pivotArea collapsedLevelsAreSubtotals="1" fieldPosition="0">
        <references count="1">
          <reference field="6" count="1">
            <x v="337"/>
          </reference>
        </references>
      </pivotArea>
    </format>
    <format dxfId="1771">
      <pivotArea collapsedLevelsAreSubtotals="1" fieldPosition="0">
        <references count="1">
          <reference field="6" count="1">
            <x v="351"/>
          </reference>
        </references>
      </pivotArea>
    </format>
    <format dxfId="1770">
      <pivotArea collapsedLevelsAreSubtotals="1" fieldPosition="0">
        <references count="1">
          <reference field="6" count="1">
            <x v="354"/>
          </reference>
        </references>
      </pivotArea>
    </format>
    <format dxfId="1769">
      <pivotArea collapsedLevelsAreSubtotals="1" fieldPosition="0">
        <references count="1">
          <reference field="6" count="1">
            <x v="357"/>
          </reference>
        </references>
      </pivotArea>
    </format>
    <format dxfId="1768">
      <pivotArea collapsedLevelsAreSubtotals="1" fieldPosition="0">
        <references count="1">
          <reference field="6" count="1">
            <x v="378"/>
          </reference>
        </references>
      </pivotArea>
    </format>
    <format dxfId="1767">
      <pivotArea collapsedLevelsAreSubtotals="1" fieldPosition="0">
        <references count="1">
          <reference field="6" count="1">
            <x v="400"/>
          </reference>
        </references>
      </pivotArea>
    </format>
    <format dxfId="1766">
      <pivotArea collapsedLevelsAreSubtotals="1" fieldPosition="0">
        <references count="1">
          <reference field="6" count="1">
            <x v="403"/>
          </reference>
        </references>
      </pivotArea>
    </format>
    <format dxfId="1765">
      <pivotArea collapsedLevelsAreSubtotals="1" fieldPosition="0">
        <references count="1">
          <reference field="6" count="1">
            <x v="404"/>
          </reference>
        </references>
      </pivotArea>
    </format>
    <format dxfId="1764">
      <pivotArea collapsedLevelsAreSubtotals="1" fieldPosition="0">
        <references count="1">
          <reference field="6" count="1">
            <x v="435"/>
          </reference>
        </references>
      </pivotArea>
    </format>
    <format dxfId="1763">
      <pivotArea collapsedLevelsAreSubtotals="1" fieldPosition="0">
        <references count="1">
          <reference field="6" count="1">
            <x v="441"/>
          </reference>
        </references>
      </pivotArea>
    </format>
    <format dxfId="1762">
      <pivotArea collapsedLevelsAreSubtotals="1" fieldPosition="0">
        <references count="1">
          <reference field="6" count="1">
            <x v="457"/>
          </reference>
        </references>
      </pivotArea>
    </format>
    <format dxfId="1761">
      <pivotArea collapsedLevelsAreSubtotals="1" fieldPosition="0">
        <references count="1">
          <reference field="6" count="1">
            <x v="458"/>
          </reference>
        </references>
      </pivotArea>
    </format>
    <format dxfId="1760">
      <pivotArea collapsedLevelsAreSubtotals="1" fieldPosition="0">
        <references count="1">
          <reference field="6" count="1">
            <x v="464"/>
          </reference>
        </references>
      </pivotArea>
    </format>
    <format dxfId="1759">
      <pivotArea collapsedLevelsAreSubtotals="1" fieldPosition="0">
        <references count="1">
          <reference field="6" count="1">
            <x v="466"/>
          </reference>
        </references>
      </pivotArea>
    </format>
    <format dxfId="1758">
      <pivotArea collapsedLevelsAreSubtotals="1" fieldPosition="0">
        <references count="1">
          <reference field="6" count="1">
            <x v="473"/>
          </reference>
        </references>
      </pivotArea>
    </format>
    <format dxfId="1757">
      <pivotArea collapsedLevelsAreSubtotals="1" fieldPosition="0">
        <references count="1">
          <reference field="6" count="1">
            <x v="478"/>
          </reference>
        </references>
      </pivotArea>
    </format>
    <format dxfId="1756">
      <pivotArea collapsedLevelsAreSubtotals="1" fieldPosition="0">
        <references count="1">
          <reference field="6" count="1">
            <x v="485"/>
          </reference>
        </references>
      </pivotArea>
    </format>
    <format dxfId="1755">
      <pivotArea collapsedLevelsAreSubtotals="1" fieldPosition="0">
        <references count="1">
          <reference field="6" count="1">
            <x v="514"/>
          </reference>
        </references>
      </pivotArea>
    </format>
    <format dxfId="1754">
      <pivotArea collapsedLevelsAreSubtotals="1" fieldPosition="0">
        <references count="1">
          <reference field="6" count="1">
            <x v="519"/>
          </reference>
        </references>
      </pivotArea>
    </format>
    <format dxfId="1753">
      <pivotArea collapsedLevelsAreSubtotals="1" fieldPosition="0">
        <references count="1">
          <reference field="6" count="1">
            <x v="546"/>
          </reference>
        </references>
      </pivotArea>
    </format>
    <format dxfId="1752">
      <pivotArea collapsedLevelsAreSubtotals="1" fieldPosition="0">
        <references count="1">
          <reference field="6" count="1">
            <x v="551"/>
          </reference>
        </references>
      </pivotArea>
    </format>
    <format dxfId="1751">
      <pivotArea collapsedLevelsAreSubtotals="1" fieldPosition="0">
        <references count="1">
          <reference field="6" count="1">
            <x v="582"/>
          </reference>
        </references>
      </pivotArea>
    </format>
    <format dxfId="1750">
      <pivotArea collapsedLevelsAreSubtotals="1" fieldPosition="0">
        <references count="1">
          <reference field="6" count="1">
            <x v="597"/>
          </reference>
        </references>
      </pivotArea>
    </format>
    <format dxfId="1749">
      <pivotArea collapsedLevelsAreSubtotals="1" fieldPosition="0">
        <references count="1">
          <reference field="6" count="1">
            <x v="599"/>
          </reference>
        </references>
      </pivotArea>
    </format>
    <format dxfId="1748">
      <pivotArea collapsedLevelsAreSubtotals="1" fieldPosition="0">
        <references count="1">
          <reference field="6" count="1">
            <x v="601"/>
          </reference>
        </references>
      </pivotArea>
    </format>
    <format dxfId="1747">
      <pivotArea collapsedLevelsAreSubtotals="1" fieldPosition="0">
        <references count="1">
          <reference field="6" count="1">
            <x v="603"/>
          </reference>
        </references>
      </pivotArea>
    </format>
    <format dxfId="1746">
      <pivotArea collapsedLevelsAreSubtotals="1" fieldPosition="0">
        <references count="1">
          <reference field="6" count="1">
            <x v="625"/>
          </reference>
        </references>
      </pivotArea>
    </format>
    <format dxfId="1745">
      <pivotArea collapsedLevelsAreSubtotals="1" fieldPosition="0">
        <references count="1">
          <reference field="6" count="1">
            <x v="626"/>
          </reference>
        </references>
      </pivotArea>
    </format>
    <format dxfId="1744">
      <pivotArea collapsedLevelsAreSubtotals="1" fieldPosition="0">
        <references count="1">
          <reference field="6" count="1">
            <x v="644"/>
          </reference>
        </references>
      </pivotArea>
    </format>
    <format dxfId="1743">
      <pivotArea collapsedLevelsAreSubtotals="1" fieldPosition="0">
        <references count="1">
          <reference field="6" count="1">
            <x v="648"/>
          </reference>
        </references>
      </pivotArea>
    </format>
    <format dxfId="1742">
      <pivotArea collapsedLevelsAreSubtotals="1" fieldPosition="0">
        <references count="1">
          <reference field="6" count="1">
            <x v="653"/>
          </reference>
        </references>
      </pivotArea>
    </format>
    <format dxfId="1741">
      <pivotArea collapsedLevelsAreSubtotals="1" fieldPosition="0">
        <references count="1">
          <reference field="6" count="1">
            <x v="657"/>
          </reference>
        </references>
      </pivotArea>
    </format>
    <format dxfId="1740">
      <pivotArea collapsedLevelsAreSubtotals="1" fieldPosition="0">
        <references count="1">
          <reference field="6" count="1">
            <x v="659"/>
          </reference>
        </references>
      </pivotArea>
    </format>
    <format dxfId="1739">
      <pivotArea collapsedLevelsAreSubtotals="1" fieldPosition="0">
        <references count="1">
          <reference field="6" count="1">
            <x v="663"/>
          </reference>
        </references>
      </pivotArea>
    </format>
    <format dxfId="1738">
      <pivotArea collapsedLevelsAreSubtotals="1" fieldPosition="0">
        <references count="1">
          <reference field="6" count="1">
            <x v="665"/>
          </reference>
        </references>
      </pivotArea>
    </format>
    <format dxfId="1737">
      <pivotArea collapsedLevelsAreSubtotals="1" fieldPosition="0">
        <references count="1">
          <reference field="6" count="1">
            <x v="690"/>
          </reference>
        </references>
      </pivotArea>
    </format>
    <format dxfId="1736">
      <pivotArea collapsedLevelsAreSubtotals="1" fieldPosition="0">
        <references count="1">
          <reference field="6" count="1">
            <x v="695"/>
          </reference>
        </references>
      </pivotArea>
    </format>
    <format dxfId="1735">
      <pivotArea collapsedLevelsAreSubtotals="1" fieldPosition="0">
        <references count="1">
          <reference field="6" count="1">
            <x v="722"/>
          </reference>
        </references>
      </pivotArea>
    </format>
    <format dxfId="1734">
      <pivotArea collapsedLevelsAreSubtotals="1" fieldPosition="0">
        <references count="1">
          <reference field="6" count="1">
            <x v="734"/>
          </reference>
        </references>
      </pivotArea>
    </format>
    <format dxfId="1733">
      <pivotArea collapsedLevelsAreSubtotals="1" fieldPosition="0">
        <references count="1">
          <reference field="6" count="1">
            <x v="736"/>
          </reference>
        </references>
      </pivotArea>
    </format>
    <format dxfId="1732">
      <pivotArea collapsedLevelsAreSubtotals="1" fieldPosition="0">
        <references count="1">
          <reference field="6" count="1">
            <x v="742"/>
          </reference>
        </references>
      </pivotArea>
    </format>
    <format dxfId="1731">
      <pivotArea collapsedLevelsAreSubtotals="1" fieldPosition="0">
        <references count="1">
          <reference field="6" count="1">
            <x v="744"/>
          </reference>
        </references>
      </pivotArea>
    </format>
    <format dxfId="1730">
      <pivotArea collapsedLevelsAreSubtotals="1" fieldPosition="0">
        <references count="1">
          <reference field="6" count="1">
            <x v="746"/>
          </reference>
        </references>
      </pivotArea>
    </format>
    <format dxfId="1729">
      <pivotArea collapsedLevelsAreSubtotals="1" fieldPosition="0">
        <references count="1">
          <reference field="6" count="1">
            <x v="752"/>
          </reference>
        </references>
      </pivotArea>
    </format>
    <format dxfId="1728">
      <pivotArea collapsedLevelsAreSubtotals="1" fieldPosition="0">
        <references count="1">
          <reference field="6" count="1">
            <x v="754"/>
          </reference>
        </references>
      </pivotArea>
    </format>
    <format dxfId="1727">
      <pivotArea collapsedLevelsAreSubtotals="1" fieldPosition="0">
        <references count="1">
          <reference field="6" count="1">
            <x v="757"/>
          </reference>
        </references>
      </pivotArea>
    </format>
    <format dxfId="1726">
      <pivotArea collapsedLevelsAreSubtotals="1" fieldPosition="0">
        <references count="1">
          <reference field="6" count="1">
            <x v="759"/>
          </reference>
        </references>
      </pivotArea>
    </format>
    <format dxfId="1725">
      <pivotArea collapsedLevelsAreSubtotals="1" fieldPosition="0">
        <references count="1">
          <reference field="6" count="1">
            <x v="760"/>
          </reference>
        </references>
      </pivotArea>
    </format>
    <format dxfId="1724">
      <pivotArea collapsedLevelsAreSubtotals="1" fieldPosition="0">
        <references count="1">
          <reference field="6" count="1">
            <x v="775"/>
          </reference>
        </references>
      </pivotArea>
    </format>
    <format dxfId="1723">
      <pivotArea collapsedLevelsAreSubtotals="1" fieldPosition="0">
        <references count="1">
          <reference field="6" count="1">
            <x v="781"/>
          </reference>
        </references>
      </pivotArea>
    </format>
    <format dxfId="1722">
      <pivotArea collapsedLevelsAreSubtotals="1" fieldPosition="0">
        <references count="1">
          <reference field="6" count="1">
            <x v="793"/>
          </reference>
        </references>
      </pivotArea>
    </format>
    <format dxfId="1721">
      <pivotArea collapsedLevelsAreSubtotals="1" fieldPosition="0">
        <references count="1">
          <reference field="6" count="1">
            <x v="797"/>
          </reference>
        </references>
      </pivotArea>
    </format>
    <format dxfId="1720">
      <pivotArea collapsedLevelsAreSubtotals="1" fieldPosition="0">
        <references count="1">
          <reference field="6" count="1">
            <x v="817"/>
          </reference>
        </references>
      </pivotArea>
    </format>
    <format dxfId="1719">
      <pivotArea collapsedLevelsAreSubtotals="1" fieldPosition="0">
        <references count="1">
          <reference field="6" count="1">
            <x v="830"/>
          </reference>
        </references>
      </pivotArea>
    </format>
    <format dxfId="1718">
      <pivotArea collapsedLevelsAreSubtotals="1" fieldPosition="0">
        <references count="1">
          <reference field="6" count="1">
            <x v="831"/>
          </reference>
        </references>
      </pivotArea>
    </format>
    <format dxfId="1717">
      <pivotArea collapsedLevelsAreSubtotals="1" fieldPosition="0">
        <references count="1">
          <reference field="6" count="1">
            <x v="839"/>
          </reference>
        </references>
      </pivotArea>
    </format>
    <format dxfId="1716">
      <pivotArea collapsedLevelsAreSubtotals="1" fieldPosition="0">
        <references count="1">
          <reference field="6" count="1">
            <x v="851"/>
          </reference>
        </references>
      </pivotArea>
    </format>
    <format dxfId="1715">
      <pivotArea collapsedLevelsAreSubtotals="1" fieldPosition="0">
        <references count="1">
          <reference field="6" count="1">
            <x v="860"/>
          </reference>
        </references>
      </pivotArea>
    </format>
    <format dxfId="1714">
      <pivotArea collapsedLevelsAreSubtotals="1" fieldPosition="0">
        <references count="1">
          <reference field="6" count="1">
            <x v="876"/>
          </reference>
        </references>
      </pivotArea>
    </format>
    <format dxfId="1713">
      <pivotArea collapsedLevelsAreSubtotals="1" fieldPosition="0">
        <references count="1">
          <reference field="6" count="1">
            <x v="882"/>
          </reference>
        </references>
      </pivotArea>
    </format>
    <format dxfId="1712">
      <pivotArea collapsedLevelsAreSubtotals="1" fieldPosition="0">
        <references count="1">
          <reference field="6" count="1">
            <x v="886"/>
          </reference>
        </references>
      </pivotArea>
    </format>
    <format dxfId="1711">
      <pivotArea collapsedLevelsAreSubtotals="1" fieldPosition="0">
        <references count="1">
          <reference field="6" count="1">
            <x v="888"/>
          </reference>
        </references>
      </pivotArea>
    </format>
    <format dxfId="1710">
      <pivotArea collapsedLevelsAreSubtotals="1" fieldPosition="0">
        <references count="1">
          <reference field="6" count="1">
            <x v="893"/>
          </reference>
        </references>
      </pivotArea>
    </format>
    <format dxfId="1709">
      <pivotArea collapsedLevelsAreSubtotals="1" fieldPosition="0">
        <references count="1">
          <reference field="6" count="1">
            <x v="901"/>
          </reference>
        </references>
      </pivotArea>
    </format>
    <format dxfId="1708">
      <pivotArea collapsedLevelsAreSubtotals="1" fieldPosition="0">
        <references count="1">
          <reference field="6" count="1">
            <x v="910"/>
          </reference>
        </references>
      </pivotArea>
    </format>
    <format dxfId="1707">
      <pivotArea collapsedLevelsAreSubtotals="1" fieldPosition="0">
        <references count="1">
          <reference field="6" count="1">
            <x v="912"/>
          </reference>
        </references>
      </pivotArea>
    </format>
    <format dxfId="1706">
      <pivotArea collapsedLevelsAreSubtotals="1" fieldPosition="0">
        <references count="1">
          <reference field="6" count="1">
            <x v="913"/>
          </reference>
        </references>
      </pivotArea>
    </format>
    <format dxfId="1705">
      <pivotArea collapsedLevelsAreSubtotals="1" fieldPosition="0">
        <references count="1">
          <reference field="6" count="1">
            <x v="915"/>
          </reference>
        </references>
      </pivotArea>
    </format>
    <format dxfId="1704">
      <pivotArea collapsedLevelsAreSubtotals="1" fieldPosition="0">
        <references count="1">
          <reference field="6" count="1">
            <x v="916"/>
          </reference>
        </references>
      </pivotArea>
    </format>
    <format dxfId="1703">
      <pivotArea collapsedLevelsAreSubtotals="1" fieldPosition="0">
        <references count="1">
          <reference field="6" count="1">
            <x v="922"/>
          </reference>
        </references>
      </pivotArea>
    </format>
    <format dxfId="1702">
      <pivotArea collapsedLevelsAreSubtotals="1" fieldPosition="0">
        <references count="1">
          <reference field="6" count="1">
            <x v="924"/>
          </reference>
        </references>
      </pivotArea>
    </format>
    <format dxfId="1701">
      <pivotArea collapsedLevelsAreSubtotals="1" fieldPosition="0">
        <references count="1">
          <reference field="6" count="1">
            <x v="928"/>
          </reference>
        </references>
      </pivotArea>
    </format>
    <format dxfId="1700">
      <pivotArea collapsedLevelsAreSubtotals="1" fieldPosition="0">
        <references count="1">
          <reference field="6" count="1">
            <x v="935"/>
          </reference>
        </references>
      </pivotArea>
    </format>
    <format dxfId="1699">
      <pivotArea collapsedLevelsAreSubtotals="1" fieldPosition="0">
        <references count="1">
          <reference field="6" count="1">
            <x v="936"/>
          </reference>
        </references>
      </pivotArea>
    </format>
    <format dxfId="1698">
      <pivotArea collapsedLevelsAreSubtotals="1" fieldPosition="0">
        <references count="1">
          <reference field="6" count="1">
            <x v="967"/>
          </reference>
        </references>
      </pivotArea>
    </format>
    <format dxfId="1697">
      <pivotArea collapsedLevelsAreSubtotals="1" fieldPosition="0">
        <references count="1">
          <reference field="6" count="1">
            <x v="971"/>
          </reference>
        </references>
      </pivotArea>
    </format>
    <format dxfId="1696">
      <pivotArea collapsedLevelsAreSubtotals="1" fieldPosition="0">
        <references count="1">
          <reference field="6" count="1">
            <x v="978"/>
          </reference>
        </references>
      </pivotArea>
    </format>
    <format dxfId="1695">
      <pivotArea collapsedLevelsAreSubtotals="1" fieldPosition="0">
        <references count="1">
          <reference field="6" count="1">
            <x v="982"/>
          </reference>
        </references>
      </pivotArea>
    </format>
    <format dxfId="1694">
      <pivotArea collapsedLevelsAreSubtotals="1" fieldPosition="0">
        <references count="1">
          <reference field="6" count="1">
            <x v="985"/>
          </reference>
        </references>
      </pivotArea>
    </format>
    <format dxfId="1693">
      <pivotArea collapsedLevelsAreSubtotals="1" fieldPosition="0">
        <references count="1">
          <reference field="6" count="1">
            <x v="988"/>
          </reference>
        </references>
      </pivotArea>
    </format>
    <format dxfId="1692">
      <pivotArea collapsedLevelsAreSubtotals="1" fieldPosition="0">
        <references count="1">
          <reference field="6" count="1">
            <x v="999"/>
          </reference>
        </references>
      </pivotArea>
    </format>
    <format dxfId="1691">
      <pivotArea collapsedLevelsAreSubtotals="1" fieldPosition="0">
        <references count="1">
          <reference field="6" count="1">
            <x v="1000"/>
          </reference>
        </references>
      </pivotArea>
    </format>
    <format dxfId="1690">
      <pivotArea collapsedLevelsAreSubtotals="1" fieldPosition="0">
        <references count="1">
          <reference field="6" count="1">
            <x v="1002"/>
          </reference>
        </references>
      </pivotArea>
    </format>
    <format dxfId="1689">
      <pivotArea collapsedLevelsAreSubtotals="1" fieldPosition="0">
        <references count="1">
          <reference field="6" count="1">
            <x v="1008"/>
          </reference>
        </references>
      </pivotArea>
    </format>
    <format dxfId="1688">
      <pivotArea collapsedLevelsAreSubtotals="1" fieldPosition="0">
        <references count="1">
          <reference field="6" count="1">
            <x v="1015"/>
          </reference>
        </references>
      </pivotArea>
    </format>
    <format dxfId="1687">
      <pivotArea collapsedLevelsAreSubtotals="1" fieldPosition="0">
        <references count="1">
          <reference field="6" count="1">
            <x v="1017"/>
          </reference>
        </references>
      </pivotArea>
    </format>
    <format dxfId="1686">
      <pivotArea collapsedLevelsAreSubtotals="1" fieldPosition="0">
        <references count="1">
          <reference field="6" count="1">
            <x v="1031"/>
          </reference>
        </references>
      </pivotArea>
    </format>
    <format dxfId="1685">
      <pivotArea collapsedLevelsAreSubtotals="1" fieldPosition="0">
        <references count="1">
          <reference field="6" count="1">
            <x v="1040"/>
          </reference>
        </references>
      </pivotArea>
    </format>
    <format dxfId="1684">
      <pivotArea collapsedLevelsAreSubtotals="1" fieldPosition="0">
        <references count="1">
          <reference field="6" count="1">
            <x v="1050"/>
          </reference>
        </references>
      </pivotArea>
    </format>
    <format dxfId="1683">
      <pivotArea collapsedLevelsAreSubtotals="1" fieldPosition="0">
        <references count="1">
          <reference field="6" count="1">
            <x v="1065"/>
          </reference>
        </references>
      </pivotArea>
    </format>
    <format dxfId="1682">
      <pivotArea collapsedLevelsAreSubtotals="1" fieldPosition="0">
        <references count="1">
          <reference field="6" count="1">
            <x v="1070"/>
          </reference>
        </references>
      </pivotArea>
    </format>
    <format dxfId="1681">
      <pivotArea collapsedLevelsAreSubtotals="1" fieldPosition="0">
        <references count="1">
          <reference field="6" count="1">
            <x v="1074"/>
          </reference>
        </references>
      </pivotArea>
    </format>
    <format dxfId="1680">
      <pivotArea collapsedLevelsAreSubtotals="1" fieldPosition="0">
        <references count="1">
          <reference field="6" count="1">
            <x v="1087"/>
          </reference>
        </references>
      </pivotArea>
    </format>
    <format dxfId="1679">
      <pivotArea collapsedLevelsAreSubtotals="1" fieldPosition="0">
        <references count="1">
          <reference field="6" count="1">
            <x v="1097"/>
          </reference>
        </references>
      </pivotArea>
    </format>
    <format dxfId="1678">
      <pivotArea collapsedLevelsAreSubtotals="1" fieldPosition="0">
        <references count="1">
          <reference field="6" count="1">
            <x v="1099"/>
          </reference>
        </references>
      </pivotArea>
    </format>
    <format dxfId="1677">
      <pivotArea collapsedLevelsAreSubtotals="1" fieldPosition="0">
        <references count="1">
          <reference field="6" count="1">
            <x v="1103"/>
          </reference>
        </references>
      </pivotArea>
    </format>
    <format dxfId="1676">
      <pivotArea collapsedLevelsAreSubtotals="1" fieldPosition="0">
        <references count="1">
          <reference field="6" count="1">
            <x v="1110"/>
          </reference>
        </references>
      </pivotArea>
    </format>
    <format dxfId="1675">
      <pivotArea collapsedLevelsAreSubtotals="1" fieldPosition="0">
        <references count="1">
          <reference field="6" count="1">
            <x v="1119"/>
          </reference>
        </references>
      </pivotArea>
    </format>
    <format dxfId="1674">
      <pivotArea collapsedLevelsAreSubtotals="1" fieldPosition="0">
        <references count="1">
          <reference field="6" count="1">
            <x v="1121"/>
          </reference>
        </references>
      </pivotArea>
    </format>
    <format dxfId="1673">
      <pivotArea collapsedLevelsAreSubtotals="1" fieldPosition="0">
        <references count="1">
          <reference field="6" count="1">
            <x v="1139"/>
          </reference>
        </references>
      </pivotArea>
    </format>
    <format dxfId="1672">
      <pivotArea collapsedLevelsAreSubtotals="1" fieldPosition="0">
        <references count="1">
          <reference field="6" count="1">
            <x v="1141"/>
          </reference>
        </references>
      </pivotArea>
    </format>
    <format dxfId="1671">
      <pivotArea collapsedLevelsAreSubtotals="1" fieldPosition="0">
        <references count="1">
          <reference field="6" count="1">
            <x v="1143"/>
          </reference>
        </references>
      </pivotArea>
    </format>
    <format dxfId="1670">
      <pivotArea collapsedLevelsAreSubtotals="1" fieldPosition="0">
        <references count="1">
          <reference field="6" count="1">
            <x v="1162"/>
          </reference>
        </references>
      </pivotArea>
    </format>
    <format dxfId="1669">
      <pivotArea collapsedLevelsAreSubtotals="1" fieldPosition="0">
        <references count="1">
          <reference field="6" count="1">
            <x v="1167"/>
          </reference>
        </references>
      </pivotArea>
    </format>
    <format dxfId="1668">
      <pivotArea collapsedLevelsAreSubtotals="1" fieldPosition="0">
        <references count="1">
          <reference field="6" count="1">
            <x v="1174"/>
          </reference>
        </references>
      </pivotArea>
    </format>
    <format dxfId="1667">
      <pivotArea collapsedLevelsAreSubtotals="1" fieldPosition="0">
        <references count="1">
          <reference field="6" count="1">
            <x v="1180"/>
          </reference>
        </references>
      </pivotArea>
    </format>
    <format dxfId="1666">
      <pivotArea collapsedLevelsAreSubtotals="1" fieldPosition="0">
        <references count="1">
          <reference field="6" count="1">
            <x v="1186"/>
          </reference>
        </references>
      </pivotArea>
    </format>
    <format dxfId="1665">
      <pivotArea collapsedLevelsAreSubtotals="1" fieldPosition="0">
        <references count="1">
          <reference field="6" count="1">
            <x v="1187"/>
          </reference>
        </references>
      </pivotArea>
    </format>
    <format dxfId="1664">
      <pivotArea collapsedLevelsAreSubtotals="1" fieldPosition="0">
        <references count="1">
          <reference field="6" count="1">
            <x v="1192"/>
          </reference>
        </references>
      </pivotArea>
    </format>
    <format dxfId="1663">
      <pivotArea collapsedLevelsAreSubtotals="1" fieldPosition="0">
        <references count="1">
          <reference field="6" count="1">
            <x v="1207"/>
          </reference>
        </references>
      </pivotArea>
    </format>
    <format dxfId="1662">
      <pivotArea collapsedLevelsAreSubtotals="1" fieldPosition="0">
        <references count="1">
          <reference field="6" count="1">
            <x v="1215"/>
          </reference>
        </references>
      </pivotArea>
    </format>
    <format dxfId="1661">
      <pivotArea collapsedLevelsAreSubtotals="1" fieldPosition="0">
        <references count="1">
          <reference field="6" count="1">
            <x v="1217"/>
          </reference>
        </references>
      </pivotArea>
    </format>
    <format dxfId="1660">
      <pivotArea collapsedLevelsAreSubtotals="1" fieldPosition="0">
        <references count="1">
          <reference field="6" count="1">
            <x v="1220"/>
          </reference>
        </references>
      </pivotArea>
    </format>
    <format dxfId="1659">
      <pivotArea collapsedLevelsAreSubtotals="1" fieldPosition="0">
        <references count="1">
          <reference field="6" count="1">
            <x v="1228"/>
          </reference>
        </references>
      </pivotArea>
    </format>
    <format dxfId="1658">
      <pivotArea collapsedLevelsAreSubtotals="1" fieldPosition="0">
        <references count="1">
          <reference field="6" count="1">
            <x v="1230"/>
          </reference>
        </references>
      </pivotArea>
    </format>
    <format dxfId="1657">
      <pivotArea collapsedLevelsAreSubtotals="1" fieldPosition="0">
        <references count="1">
          <reference field="6" count="1">
            <x v="1233"/>
          </reference>
        </references>
      </pivotArea>
    </format>
    <format dxfId="1656">
      <pivotArea collapsedLevelsAreSubtotals="1" fieldPosition="0">
        <references count="1">
          <reference field="6" count="1">
            <x v="1238"/>
          </reference>
        </references>
      </pivotArea>
    </format>
    <format dxfId="1655">
      <pivotArea collapsedLevelsAreSubtotals="1" fieldPosition="0">
        <references count="1">
          <reference field="6" count="1">
            <x v="1241"/>
          </reference>
        </references>
      </pivotArea>
    </format>
    <format dxfId="1654">
      <pivotArea collapsedLevelsAreSubtotals="1" fieldPosition="0">
        <references count="1">
          <reference field="6" count="1">
            <x v="1266"/>
          </reference>
        </references>
      </pivotArea>
    </format>
    <format dxfId="1653">
      <pivotArea collapsedLevelsAreSubtotals="1" fieldPosition="0">
        <references count="1">
          <reference field="6" count="1">
            <x v="1274"/>
          </reference>
        </references>
      </pivotArea>
    </format>
    <format dxfId="1652">
      <pivotArea collapsedLevelsAreSubtotals="1" fieldPosition="0">
        <references count="1">
          <reference field="6" count="1">
            <x v="1279"/>
          </reference>
        </references>
      </pivotArea>
    </format>
    <format dxfId="1651">
      <pivotArea collapsedLevelsAreSubtotals="1" fieldPosition="0">
        <references count="1">
          <reference field="6" count="1">
            <x v="1280"/>
          </reference>
        </references>
      </pivotArea>
    </format>
    <format dxfId="1650">
      <pivotArea collapsedLevelsAreSubtotals="1" fieldPosition="0">
        <references count="1">
          <reference field="6" count="1">
            <x v="1292"/>
          </reference>
        </references>
      </pivotArea>
    </format>
    <format dxfId="1649">
      <pivotArea collapsedLevelsAreSubtotals="1" fieldPosition="0">
        <references count="1">
          <reference field="6" count="1">
            <x v="1298"/>
          </reference>
        </references>
      </pivotArea>
    </format>
    <format dxfId="1648">
      <pivotArea collapsedLevelsAreSubtotals="1" fieldPosition="0">
        <references count="1">
          <reference field="6" count="1">
            <x v="1304"/>
          </reference>
        </references>
      </pivotArea>
    </format>
    <format dxfId="1647">
      <pivotArea collapsedLevelsAreSubtotals="1" fieldPosition="0">
        <references count="1">
          <reference field="6" count="1">
            <x v="1306"/>
          </reference>
        </references>
      </pivotArea>
    </format>
    <format dxfId="1646">
      <pivotArea collapsedLevelsAreSubtotals="1" fieldPosition="0">
        <references count="1">
          <reference field="6" count="1">
            <x v="1317"/>
          </reference>
        </references>
      </pivotArea>
    </format>
    <format dxfId="1645">
      <pivotArea collapsedLevelsAreSubtotals="1" fieldPosition="0">
        <references count="1">
          <reference field="6" count="1">
            <x v="1321"/>
          </reference>
        </references>
      </pivotArea>
    </format>
    <format dxfId="1644">
      <pivotArea collapsedLevelsAreSubtotals="1" fieldPosition="0">
        <references count="1">
          <reference field="6" count="1">
            <x v="1322"/>
          </reference>
        </references>
      </pivotArea>
    </format>
    <format dxfId="1643">
      <pivotArea collapsedLevelsAreSubtotals="1" fieldPosition="0">
        <references count="1">
          <reference field="6" count="1">
            <x v="1328"/>
          </reference>
        </references>
      </pivotArea>
    </format>
    <format dxfId="1642">
      <pivotArea collapsedLevelsAreSubtotals="1" fieldPosition="0">
        <references count="1">
          <reference field="6" count="1">
            <x v="1340"/>
          </reference>
        </references>
      </pivotArea>
    </format>
    <format dxfId="1641">
      <pivotArea collapsedLevelsAreSubtotals="1" fieldPosition="0">
        <references count="1">
          <reference field="6" count="1">
            <x v="1352"/>
          </reference>
        </references>
      </pivotArea>
    </format>
    <format dxfId="1640">
      <pivotArea collapsedLevelsAreSubtotals="1" fieldPosition="0">
        <references count="1">
          <reference field="6" count="1">
            <x v="1356"/>
          </reference>
        </references>
      </pivotArea>
    </format>
    <format dxfId="1639">
      <pivotArea collapsedLevelsAreSubtotals="1" fieldPosition="0">
        <references count="1">
          <reference field="6" count="1">
            <x v="1371"/>
          </reference>
        </references>
      </pivotArea>
    </format>
    <format dxfId="1638">
      <pivotArea collapsedLevelsAreSubtotals="1" fieldPosition="0">
        <references count="1">
          <reference field="6" count="1">
            <x v="1376"/>
          </reference>
        </references>
      </pivotArea>
    </format>
    <format dxfId="1637">
      <pivotArea collapsedLevelsAreSubtotals="1" fieldPosition="0">
        <references count="1">
          <reference field="6" count="1">
            <x v="1377"/>
          </reference>
        </references>
      </pivotArea>
    </format>
    <format dxfId="1636">
      <pivotArea collapsedLevelsAreSubtotals="1" fieldPosition="0">
        <references count="1">
          <reference field="6" count="1">
            <x v="1385"/>
          </reference>
        </references>
      </pivotArea>
    </format>
    <format dxfId="1635">
      <pivotArea collapsedLevelsAreSubtotals="1" fieldPosition="0">
        <references count="1">
          <reference field="6" count="1">
            <x v="1387"/>
          </reference>
        </references>
      </pivotArea>
    </format>
    <format dxfId="1634">
      <pivotArea collapsedLevelsAreSubtotals="1" fieldPosition="0">
        <references count="1">
          <reference field="6" count="1">
            <x v="1397"/>
          </reference>
        </references>
      </pivotArea>
    </format>
    <format dxfId="1633">
      <pivotArea collapsedLevelsAreSubtotals="1" fieldPosition="0">
        <references count="1">
          <reference field="6" count="1">
            <x v="1401"/>
          </reference>
        </references>
      </pivotArea>
    </format>
    <format dxfId="1632">
      <pivotArea collapsedLevelsAreSubtotals="1" fieldPosition="0">
        <references count="1">
          <reference field="6" count="1">
            <x v="1411"/>
          </reference>
        </references>
      </pivotArea>
    </format>
    <format dxfId="1631">
      <pivotArea collapsedLevelsAreSubtotals="1" fieldPosition="0">
        <references count="1">
          <reference field="6" count="1">
            <x v="1421"/>
          </reference>
        </references>
      </pivotArea>
    </format>
    <format dxfId="1630">
      <pivotArea collapsedLevelsAreSubtotals="1" fieldPosition="0">
        <references count="1">
          <reference field="6" count="1">
            <x v="1423"/>
          </reference>
        </references>
      </pivotArea>
    </format>
    <format dxfId="1629">
      <pivotArea collapsedLevelsAreSubtotals="1" fieldPosition="0">
        <references count="1">
          <reference field="6" count="1">
            <x v="1435"/>
          </reference>
        </references>
      </pivotArea>
    </format>
    <format dxfId="1628">
      <pivotArea collapsedLevelsAreSubtotals="1" fieldPosition="0">
        <references count="1">
          <reference field="6" count="1">
            <x v="1437"/>
          </reference>
        </references>
      </pivotArea>
    </format>
    <format dxfId="1627">
      <pivotArea collapsedLevelsAreSubtotals="1" fieldPosition="0">
        <references count="1">
          <reference field="6" count="1">
            <x v="1443"/>
          </reference>
        </references>
      </pivotArea>
    </format>
    <format dxfId="1626">
      <pivotArea collapsedLevelsAreSubtotals="1" fieldPosition="0">
        <references count="1">
          <reference field="6" count="1">
            <x v="1448"/>
          </reference>
        </references>
      </pivotArea>
    </format>
    <format dxfId="1625">
      <pivotArea collapsedLevelsAreSubtotals="1" fieldPosition="0">
        <references count="1">
          <reference field="6" count="1">
            <x v="1453"/>
          </reference>
        </references>
      </pivotArea>
    </format>
    <format dxfId="1624">
      <pivotArea collapsedLevelsAreSubtotals="1" fieldPosition="0">
        <references count="1">
          <reference field="6" count="1">
            <x v="1475"/>
          </reference>
        </references>
      </pivotArea>
    </format>
    <format dxfId="1623">
      <pivotArea collapsedLevelsAreSubtotals="1" fieldPosition="0">
        <references count="1">
          <reference field="6" count="1">
            <x v="1482"/>
          </reference>
        </references>
      </pivotArea>
    </format>
    <format dxfId="1622">
      <pivotArea collapsedLevelsAreSubtotals="1" fieldPosition="0">
        <references count="1">
          <reference field="6" count="1">
            <x v="1487"/>
          </reference>
        </references>
      </pivotArea>
    </format>
    <format dxfId="1621">
      <pivotArea collapsedLevelsAreSubtotals="1" fieldPosition="0">
        <references count="1">
          <reference field="6" count="1">
            <x v="1507"/>
          </reference>
        </references>
      </pivotArea>
    </format>
    <format dxfId="1620">
      <pivotArea collapsedLevelsAreSubtotals="1" fieldPosition="0">
        <references count="1">
          <reference field="6" count="1">
            <x v="1509"/>
          </reference>
        </references>
      </pivotArea>
    </format>
    <format dxfId="1619">
      <pivotArea collapsedLevelsAreSubtotals="1" fieldPosition="0">
        <references count="1">
          <reference field="6" count="1">
            <x v="1523"/>
          </reference>
        </references>
      </pivotArea>
    </format>
    <format dxfId="1618">
      <pivotArea collapsedLevelsAreSubtotals="1" fieldPosition="0">
        <references count="1">
          <reference field="6" count="1">
            <x v="1524"/>
          </reference>
        </references>
      </pivotArea>
    </format>
    <format dxfId="1617">
      <pivotArea collapsedLevelsAreSubtotals="1" fieldPosition="0">
        <references count="1">
          <reference field="6" count="1">
            <x v="1532"/>
          </reference>
        </references>
      </pivotArea>
    </format>
    <format dxfId="1616">
      <pivotArea collapsedLevelsAreSubtotals="1" fieldPosition="0">
        <references count="1">
          <reference field="6" count="1">
            <x v="1536"/>
          </reference>
        </references>
      </pivotArea>
    </format>
    <format dxfId="1615">
      <pivotArea collapsedLevelsAreSubtotals="1" fieldPosition="0">
        <references count="1">
          <reference field="6" count="1">
            <x v="1545"/>
          </reference>
        </references>
      </pivotArea>
    </format>
    <format dxfId="1614">
      <pivotArea collapsedLevelsAreSubtotals="1" fieldPosition="0">
        <references count="1">
          <reference field="6" count="1">
            <x v="1553"/>
          </reference>
        </references>
      </pivotArea>
    </format>
    <format dxfId="1613">
      <pivotArea collapsedLevelsAreSubtotals="1" fieldPosition="0">
        <references count="1">
          <reference field="6" count="1">
            <x v="1563"/>
          </reference>
        </references>
      </pivotArea>
    </format>
    <format dxfId="1612">
      <pivotArea collapsedLevelsAreSubtotals="1" fieldPosition="0">
        <references count="1">
          <reference field="6" count="1">
            <x v="1589"/>
          </reference>
        </references>
      </pivotArea>
    </format>
    <format dxfId="1611">
      <pivotArea collapsedLevelsAreSubtotals="1" fieldPosition="0">
        <references count="1">
          <reference field="6" count="1">
            <x v="1590"/>
          </reference>
        </references>
      </pivotArea>
    </format>
    <format dxfId="1610">
      <pivotArea collapsedLevelsAreSubtotals="1" fieldPosition="0">
        <references count="1">
          <reference field="6" count="1">
            <x v="1596"/>
          </reference>
        </references>
      </pivotArea>
    </format>
    <format dxfId="1609">
      <pivotArea collapsedLevelsAreSubtotals="1" fieldPosition="0">
        <references count="1">
          <reference field="6" count="1">
            <x v="1600"/>
          </reference>
        </references>
      </pivotArea>
    </format>
    <format dxfId="1608">
      <pivotArea collapsedLevelsAreSubtotals="1" fieldPosition="0">
        <references count="1">
          <reference field="6" count="1">
            <x v="1606"/>
          </reference>
        </references>
      </pivotArea>
    </format>
    <format dxfId="1607">
      <pivotArea collapsedLevelsAreSubtotals="1" fieldPosition="0">
        <references count="1">
          <reference field="6" count="1">
            <x v="1642"/>
          </reference>
        </references>
      </pivotArea>
    </format>
    <format dxfId="1606">
      <pivotArea collapsedLevelsAreSubtotals="1" fieldPosition="0">
        <references count="1">
          <reference field="6" count="1">
            <x v="1644"/>
          </reference>
        </references>
      </pivotArea>
    </format>
    <format dxfId="1605">
      <pivotArea collapsedLevelsAreSubtotals="1" fieldPosition="0">
        <references count="1">
          <reference field="6" count="1">
            <x v="1648"/>
          </reference>
        </references>
      </pivotArea>
    </format>
    <format dxfId="1604">
      <pivotArea collapsedLevelsAreSubtotals="1" fieldPosition="0">
        <references count="1">
          <reference field="6" count="1">
            <x v="1670"/>
          </reference>
        </references>
      </pivotArea>
    </format>
    <format dxfId="1603">
      <pivotArea collapsedLevelsAreSubtotals="1" fieldPosition="0">
        <references count="1">
          <reference field="6" count="1">
            <x v="1674"/>
          </reference>
        </references>
      </pivotArea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type="origin" dataOnly="0" labelOnly="1" outline="0" fieldPosition="0"/>
    </format>
    <format dxfId="1599">
      <pivotArea field="19" type="button" dataOnly="0" labelOnly="1" outline="0" axis="axisCol" fieldPosition="0"/>
    </format>
    <format dxfId="1598">
      <pivotArea type="topRight" dataOnly="0" labelOnly="1" outline="0" fieldPosition="0"/>
    </format>
    <format dxfId="1597">
      <pivotArea field="6" type="button" dataOnly="0" labelOnly="1" outline="0" axis="axisRow" fieldPosition="0"/>
    </format>
    <format dxfId="1596">
      <pivotArea dataOnly="0" labelOnly="1" fieldPosition="0">
        <references count="1">
          <reference field="6" count="50">
            <x v="7"/>
            <x v="12"/>
            <x v="20"/>
            <x v="21"/>
            <x v="36"/>
            <x v="39"/>
            <x v="49"/>
            <x v="50"/>
            <x v="52"/>
            <x v="56"/>
            <x v="61"/>
            <x v="67"/>
            <x v="69"/>
            <x v="70"/>
            <x v="76"/>
            <x v="80"/>
            <x v="84"/>
            <x v="85"/>
            <x v="95"/>
            <x v="97"/>
            <x v="101"/>
            <x v="105"/>
            <x v="110"/>
            <x v="119"/>
            <x v="126"/>
            <x v="137"/>
            <x v="139"/>
            <x v="147"/>
            <x v="148"/>
            <x v="149"/>
            <x v="153"/>
            <x v="171"/>
            <x v="174"/>
            <x v="178"/>
            <x v="192"/>
            <x v="194"/>
            <x v="196"/>
            <x v="200"/>
            <x v="202"/>
            <x v="204"/>
            <x v="212"/>
            <x v="213"/>
            <x v="214"/>
            <x v="237"/>
            <x v="239"/>
            <x v="241"/>
            <x v="243"/>
            <x v="246"/>
            <x v="251"/>
            <x v="259"/>
          </reference>
        </references>
      </pivotArea>
    </format>
    <format dxfId="1595">
      <pivotArea dataOnly="0" labelOnly="1" fieldPosition="0">
        <references count="1">
          <reference field="6" count="50">
            <x v="273"/>
            <x v="277"/>
            <x v="281"/>
            <x v="283"/>
            <x v="285"/>
            <x v="291"/>
            <x v="295"/>
            <x v="302"/>
            <x v="318"/>
            <x v="327"/>
            <x v="333"/>
            <x v="338"/>
            <x v="343"/>
            <x v="346"/>
            <x v="352"/>
            <x v="367"/>
            <x v="371"/>
            <x v="372"/>
            <x v="373"/>
            <x v="374"/>
            <x v="389"/>
            <x v="390"/>
            <x v="391"/>
            <x v="396"/>
            <x v="397"/>
            <x v="400"/>
            <x v="402"/>
            <x v="404"/>
            <x v="407"/>
            <x v="409"/>
            <x v="423"/>
            <x v="448"/>
            <x v="450"/>
            <x v="451"/>
            <x v="452"/>
            <x v="453"/>
            <x v="459"/>
            <x v="461"/>
            <x v="462"/>
            <x v="465"/>
            <x v="468"/>
            <x v="478"/>
            <x v="480"/>
            <x v="487"/>
            <x v="491"/>
            <x v="495"/>
            <x v="497"/>
            <x v="498"/>
            <x v="511"/>
            <x v="512"/>
          </reference>
        </references>
      </pivotArea>
    </format>
    <format dxfId="1594">
      <pivotArea dataOnly="0" labelOnly="1" fieldPosition="0">
        <references count="1">
          <reference field="6" count="50">
            <x v="522"/>
            <x v="523"/>
            <x v="524"/>
            <x v="525"/>
            <x v="526"/>
            <x v="530"/>
            <x v="531"/>
            <x v="532"/>
            <x v="533"/>
            <x v="535"/>
            <x v="543"/>
            <x v="544"/>
            <x v="545"/>
            <x v="554"/>
            <x v="570"/>
            <x v="599"/>
            <x v="603"/>
            <x v="606"/>
            <x v="607"/>
            <x v="608"/>
            <x v="613"/>
            <x v="623"/>
            <x v="626"/>
            <x v="633"/>
            <x v="646"/>
            <x v="647"/>
            <x v="648"/>
            <x v="660"/>
            <x v="666"/>
            <x v="667"/>
            <x v="670"/>
            <x v="673"/>
            <x v="674"/>
            <x v="675"/>
            <x v="678"/>
            <x v="680"/>
            <x v="681"/>
            <x v="689"/>
            <x v="690"/>
            <x v="691"/>
            <x v="694"/>
            <x v="698"/>
            <x v="700"/>
            <x v="705"/>
            <x v="709"/>
            <x v="730"/>
            <x v="732"/>
            <x v="733"/>
            <x v="735"/>
            <x v="736"/>
          </reference>
        </references>
      </pivotArea>
    </format>
    <format dxfId="1593">
      <pivotArea dataOnly="0" labelOnly="1" fieldPosition="0">
        <references count="1">
          <reference field="6" count="50">
            <x v="737"/>
            <x v="740"/>
            <x v="751"/>
            <x v="754"/>
            <x v="757"/>
            <x v="766"/>
            <x v="769"/>
            <x v="781"/>
            <x v="787"/>
            <x v="790"/>
            <x v="795"/>
            <x v="803"/>
            <x v="805"/>
            <x v="806"/>
            <x v="814"/>
            <x v="816"/>
            <x v="826"/>
            <x v="831"/>
            <x v="853"/>
            <x v="869"/>
            <x v="874"/>
            <x v="883"/>
            <x v="886"/>
            <x v="887"/>
            <x v="895"/>
            <x v="899"/>
            <x v="902"/>
            <x v="903"/>
            <x v="910"/>
            <x v="912"/>
            <x v="913"/>
            <x v="915"/>
            <x v="930"/>
            <x v="933"/>
            <x v="935"/>
            <x v="938"/>
            <x v="947"/>
            <x v="949"/>
            <x v="950"/>
            <x v="951"/>
            <x v="953"/>
            <x v="957"/>
            <x v="962"/>
            <x v="963"/>
            <x v="966"/>
            <x v="968"/>
            <x v="978"/>
            <x v="984"/>
            <x v="993"/>
            <x v="994"/>
          </reference>
        </references>
      </pivotArea>
    </format>
    <format dxfId="1592">
      <pivotArea dataOnly="0" labelOnly="1" fieldPosition="0">
        <references count="1">
          <reference field="6" count="50">
            <x v="1005"/>
            <x v="1017"/>
            <x v="1026"/>
            <x v="1029"/>
            <x v="1034"/>
            <x v="1036"/>
            <x v="1042"/>
            <x v="1047"/>
            <x v="1048"/>
            <x v="1051"/>
            <x v="1056"/>
            <x v="1074"/>
            <x v="1079"/>
            <x v="1085"/>
            <x v="1088"/>
            <x v="1091"/>
            <x v="1093"/>
            <x v="1095"/>
            <x v="1099"/>
            <x v="1105"/>
            <x v="1109"/>
            <x v="1110"/>
            <x v="1116"/>
            <x v="1117"/>
            <x v="1119"/>
            <x v="1123"/>
            <x v="1124"/>
            <x v="1127"/>
            <x v="1131"/>
            <x v="1132"/>
            <x v="1133"/>
            <x v="1134"/>
            <x v="1136"/>
            <x v="1140"/>
            <x v="1145"/>
            <x v="1147"/>
            <x v="1148"/>
            <x v="1150"/>
            <x v="1154"/>
            <x v="1161"/>
            <x v="1166"/>
            <x v="1172"/>
            <x v="1174"/>
            <x v="1177"/>
            <x v="1182"/>
            <x v="1183"/>
            <x v="1186"/>
            <x v="1187"/>
            <x v="1190"/>
            <x v="1202"/>
          </reference>
        </references>
      </pivotArea>
    </format>
    <format dxfId="1591">
      <pivotArea dataOnly="0" labelOnly="1" fieldPosition="0">
        <references count="1">
          <reference field="6" count="50">
            <x v="1204"/>
            <x v="1205"/>
            <x v="1207"/>
            <x v="1209"/>
            <x v="1210"/>
            <x v="1213"/>
            <x v="1220"/>
            <x v="1226"/>
            <x v="1230"/>
            <x v="1237"/>
            <x v="1241"/>
            <x v="1247"/>
            <x v="1251"/>
            <x v="1253"/>
            <x v="1256"/>
            <x v="1260"/>
            <x v="1261"/>
            <x v="1267"/>
            <x v="1268"/>
            <x v="1269"/>
            <x v="1273"/>
            <x v="1274"/>
            <x v="1281"/>
            <x v="1282"/>
            <x v="1283"/>
            <x v="1288"/>
            <x v="1291"/>
            <x v="1293"/>
            <x v="1296"/>
            <x v="1300"/>
            <x v="1305"/>
            <x v="1307"/>
            <x v="1310"/>
            <x v="1321"/>
            <x v="1331"/>
            <x v="1332"/>
            <x v="1336"/>
            <x v="1342"/>
            <x v="1343"/>
            <x v="1344"/>
            <x v="1345"/>
            <x v="1349"/>
            <x v="1352"/>
            <x v="1354"/>
            <x v="1357"/>
            <x v="1359"/>
            <x v="1360"/>
            <x v="1369"/>
            <x v="1371"/>
            <x v="1373"/>
          </reference>
        </references>
      </pivotArea>
    </format>
    <format dxfId="1590">
      <pivotArea dataOnly="0" labelOnly="1" fieldPosition="0">
        <references count="1">
          <reference field="6" count="50">
            <x v="1374"/>
            <x v="1377"/>
            <x v="1392"/>
            <x v="1400"/>
            <x v="1401"/>
            <x v="1406"/>
            <x v="1407"/>
            <x v="1408"/>
            <x v="1410"/>
            <x v="1416"/>
            <x v="1420"/>
            <x v="1423"/>
            <x v="1430"/>
            <x v="1435"/>
            <x v="1453"/>
            <x v="1455"/>
            <x v="1456"/>
            <x v="1459"/>
            <x v="1479"/>
            <x v="1480"/>
            <x v="1485"/>
            <x v="1498"/>
            <x v="1500"/>
            <x v="1502"/>
            <x v="1518"/>
            <x v="1521"/>
            <x v="1528"/>
            <x v="1532"/>
            <x v="1533"/>
            <x v="1534"/>
            <x v="1539"/>
            <x v="1549"/>
            <x v="1554"/>
            <x v="1564"/>
            <x v="1569"/>
            <x v="1574"/>
            <x v="1575"/>
            <x v="1578"/>
            <x v="1582"/>
            <x v="1583"/>
            <x v="1584"/>
            <x v="1585"/>
            <x v="1586"/>
            <x v="1593"/>
            <x v="1594"/>
            <x v="1595"/>
            <x v="1600"/>
            <x v="1610"/>
            <x v="1629"/>
            <x v="1630"/>
          </reference>
        </references>
      </pivotArea>
    </format>
    <format dxfId="1589">
      <pivotArea dataOnly="0" labelOnly="1" fieldPosition="0">
        <references count="1">
          <reference field="6" count="9">
            <x v="1632"/>
            <x v="1633"/>
            <x v="1643"/>
            <x v="1652"/>
            <x v="1657"/>
            <x v="1666"/>
            <x v="1674"/>
            <x v="1676"/>
            <x v="1679"/>
          </reference>
        </references>
      </pivotArea>
    </format>
    <format dxfId="1588">
      <pivotArea dataOnly="0" labelOnly="1" grandRow="1" outline="0" fieldPosition="0"/>
    </format>
    <format dxfId="1587">
      <pivotArea dataOnly="0" labelOnly="1" fieldPosition="0">
        <references count="1">
          <reference field="19" count="0"/>
        </references>
      </pivotArea>
    </format>
    <format dxfId="1586">
      <pivotArea dataOnly="0" labelOnly="1" grandCol="1" outline="0" fieldPosition="0"/>
    </format>
    <format dxfId="1585">
      <pivotArea dataOnly="0" labelOnly="1" fieldPosition="0">
        <references count="1">
          <reference field="6" count="50">
            <x v="0"/>
            <x v="1"/>
            <x v="4"/>
            <x v="9"/>
            <x v="15"/>
            <x v="17"/>
            <x v="18"/>
            <x v="19"/>
            <x v="21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52"/>
            <x v="54"/>
            <x v="59"/>
            <x v="60"/>
            <x v="62"/>
            <x v="65"/>
            <x v="67"/>
            <x v="69"/>
            <x v="70"/>
            <x v="71"/>
            <x v="72"/>
            <x v="73"/>
            <x v="74"/>
            <x v="79"/>
            <x v="84"/>
            <x v="85"/>
            <x v="86"/>
            <x v="89"/>
            <x v="93"/>
            <x v="94"/>
            <x v="104"/>
            <x v="105"/>
            <x v="106"/>
            <x v="111"/>
            <x v="115"/>
            <x v="118"/>
            <x v="119"/>
            <x v="120"/>
          </reference>
        </references>
      </pivotArea>
    </format>
    <format dxfId="1584">
      <pivotArea dataOnly="0" labelOnly="1" fieldPosition="0">
        <references count="1">
          <reference field="6" count="50">
            <x v="125"/>
            <x v="130"/>
            <x v="134"/>
            <x v="135"/>
            <x v="136"/>
            <x v="137"/>
            <x v="139"/>
            <x v="140"/>
            <x v="142"/>
            <x v="144"/>
            <x v="154"/>
            <x v="155"/>
            <x v="157"/>
            <x v="163"/>
            <x v="169"/>
            <x v="177"/>
            <x v="179"/>
            <x v="190"/>
            <x v="191"/>
            <x v="195"/>
            <x v="196"/>
            <x v="199"/>
            <x v="200"/>
            <x v="201"/>
            <x v="202"/>
            <x v="205"/>
            <x v="207"/>
            <x v="213"/>
            <x v="214"/>
            <x v="215"/>
            <x v="216"/>
            <x v="217"/>
            <x v="218"/>
            <x v="219"/>
            <x v="222"/>
            <x v="223"/>
            <x v="228"/>
            <x v="231"/>
            <x v="237"/>
            <x v="239"/>
            <x v="241"/>
            <x v="246"/>
            <x v="248"/>
            <x v="249"/>
            <x v="251"/>
            <x v="252"/>
            <x v="254"/>
            <x v="261"/>
            <x v="262"/>
            <x v="267"/>
          </reference>
        </references>
      </pivotArea>
    </format>
    <format dxfId="1583">
      <pivotArea dataOnly="0" labelOnly="1" fieldPosition="0">
        <references count="1">
          <reference field="6" count="50">
            <x v="269"/>
            <x v="270"/>
            <x v="272"/>
            <x v="276"/>
            <x v="277"/>
            <x v="278"/>
            <x v="279"/>
            <x v="285"/>
            <x v="292"/>
            <x v="293"/>
            <x v="295"/>
            <x v="296"/>
            <x v="302"/>
            <x v="304"/>
            <x v="309"/>
            <x v="315"/>
            <x v="316"/>
            <x v="318"/>
            <x v="319"/>
            <x v="320"/>
            <x v="323"/>
            <x v="328"/>
            <x v="330"/>
            <x v="331"/>
            <x v="332"/>
            <x v="333"/>
            <x v="335"/>
            <x v="337"/>
            <x v="347"/>
            <x v="348"/>
            <x v="351"/>
            <x v="352"/>
            <x v="355"/>
            <x v="364"/>
            <x v="365"/>
            <x v="366"/>
            <x v="368"/>
            <x v="369"/>
            <x v="370"/>
            <x v="372"/>
            <x v="374"/>
            <x v="375"/>
            <x v="377"/>
            <x v="379"/>
            <x v="380"/>
            <x v="382"/>
            <x v="385"/>
            <x v="389"/>
            <x v="391"/>
            <x v="394"/>
          </reference>
        </references>
      </pivotArea>
    </format>
    <format dxfId="1582">
      <pivotArea dataOnly="0" labelOnly="1" fieldPosition="0">
        <references count="1">
          <reference field="6" count="50">
            <x v="395"/>
            <x v="396"/>
            <x v="397"/>
            <x v="400"/>
            <x v="402"/>
            <x v="404"/>
            <x v="409"/>
            <x v="411"/>
            <x v="413"/>
            <x v="416"/>
            <x v="423"/>
            <x v="424"/>
            <x v="434"/>
            <x v="441"/>
            <x v="443"/>
            <x v="444"/>
            <x v="446"/>
            <x v="447"/>
            <x v="448"/>
            <x v="453"/>
            <x v="454"/>
            <x v="458"/>
            <x v="461"/>
            <x v="462"/>
            <x v="466"/>
            <x v="467"/>
            <x v="468"/>
            <x v="471"/>
            <x v="472"/>
            <x v="475"/>
            <x v="478"/>
            <x v="480"/>
            <x v="481"/>
            <x v="484"/>
            <x v="485"/>
            <x v="488"/>
            <x v="490"/>
            <x v="491"/>
            <x v="492"/>
            <x v="494"/>
            <x v="495"/>
            <x v="504"/>
            <x v="505"/>
            <x v="506"/>
            <x v="507"/>
            <x v="509"/>
            <x v="511"/>
            <x v="516"/>
            <x v="517"/>
            <x v="518"/>
          </reference>
        </references>
      </pivotArea>
    </format>
    <format dxfId="1581">
      <pivotArea dataOnly="0" labelOnly="1" fieldPosition="0">
        <references count="1">
          <reference field="6" count="50">
            <x v="519"/>
            <x v="524"/>
            <x v="525"/>
            <x v="526"/>
            <x v="527"/>
            <x v="531"/>
            <x v="532"/>
            <x v="533"/>
            <x v="535"/>
            <x v="539"/>
            <x v="541"/>
            <x v="542"/>
            <x v="546"/>
            <x v="548"/>
            <x v="549"/>
            <x v="552"/>
            <x v="554"/>
            <x v="560"/>
            <x v="561"/>
            <x v="562"/>
            <x v="563"/>
            <x v="565"/>
            <x v="568"/>
            <x v="569"/>
            <x v="570"/>
            <x v="574"/>
            <x v="577"/>
            <x v="578"/>
            <x v="579"/>
            <x v="581"/>
            <x v="583"/>
            <x v="586"/>
            <x v="587"/>
            <x v="589"/>
            <x v="590"/>
            <x v="592"/>
            <x v="598"/>
            <x v="599"/>
            <x v="602"/>
            <x v="603"/>
            <x v="604"/>
            <x v="607"/>
            <x v="610"/>
            <x v="613"/>
            <x v="623"/>
            <x v="624"/>
            <x v="630"/>
            <x v="631"/>
            <x v="633"/>
            <x v="634"/>
          </reference>
        </references>
      </pivotArea>
    </format>
    <format dxfId="1580">
      <pivotArea dataOnly="0" labelOnly="1" fieldPosition="0">
        <references count="1">
          <reference field="6" count="50">
            <x v="635"/>
            <x v="637"/>
            <x v="639"/>
            <x v="642"/>
            <x v="644"/>
            <x v="646"/>
            <x v="647"/>
            <x v="650"/>
            <x v="654"/>
            <x v="657"/>
            <x v="660"/>
            <x v="670"/>
            <x v="671"/>
            <x v="674"/>
            <x v="675"/>
            <x v="678"/>
            <x v="679"/>
            <x v="688"/>
            <x v="689"/>
            <x v="690"/>
            <x v="691"/>
            <x v="694"/>
            <x v="695"/>
            <x v="699"/>
            <x v="703"/>
            <x v="705"/>
            <x v="706"/>
            <x v="707"/>
            <x v="709"/>
            <x v="710"/>
            <x v="711"/>
            <x v="712"/>
            <x v="717"/>
            <x v="721"/>
            <x v="723"/>
            <x v="724"/>
            <x v="725"/>
            <x v="728"/>
            <x v="737"/>
            <x v="741"/>
            <x v="744"/>
            <x v="747"/>
            <x v="748"/>
            <x v="751"/>
            <x v="755"/>
            <x v="759"/>
            <x v="761"/>
            <x v="762"/>
            <x v="765"/>
            <x v="766"/>
          </reference>
        </references>
      </pivotArea>
    </format>
    <format dxfId="1579">
      <pivotArea dataOnly="0" labelOnly="1" fieldPosition="0">
        <references count="1">
          <reference field="6" count="50">
            <x v="768"/>
            <x v="772"/>
            <x v="775"/>
            <x v="777"/>
            <x v="780"/>
            <x v="785"/>
            <x v="795"/>
            <x v="796"/>
            <x v="797"/>
            <x v="801"/>
            <x v="805"/>
            <x v="810"/>
            <x v="811"/>
            <x v="812"/>
            <x v="813"/>
            <x v="814"/>
            <x v="816"/>
            <x v="819"/>
            <x v="820"/>
            <x v="821"/>
            <x v="822"/>
            <x v="825"/>
            <x v="827"/>
            <x v="831"/>
            <x v="833"/>
            <x v="835"/>
            <x v="836"/>
            <x v="837"/>
            <x v="838"/>
            <x v="842"/>
            <x v="845"/>
            <x v="853"/>
            <x v="854"/>
            <x v="855"/>
            <x v="857"/>
            <x v="863"/>
            <x v="865"/>
            <x v="867"/>
            <x v="869"/>
            <x v="870"/>
            <x v="871"/>
            <x v="874"/>
            <x v="878"/>
            <x v="879"/>
            <x v="881"/>
            <x v="886"/>
            <x v="887"/>
            <x v="890"/>
            <x v="893"/>
            <x v="894"/>
          </reference>
        </references>
      </pivotArea>
    </format>
    <format dxfId="1578">
      <pivotArea dataOnly="0" labelOnly="1" fieldPosition="0">
        <references count="1">
          <reference field="6" count="50">
            <x v="899"/>
            <x v="900"/>
            <x v="911"/>
            <x v="914"/>
            <x v="916"/>
            <x v="921"/>
            <x v="927"/>
            <x v="929"/>
            <x v="930"/>
            <x v="934"/>
            <x v="935"/>
            <x v="943"/>
            <x v="947"/>
            <x v="948"/>
            <x v="949"/>
            <x v="950"/>
            <x v="953"/>
            <x v="954"/>
            <x v="959"/>
            <x v="960"/>
            <x v="961"/>
            <x v="963"/>
            <x v="968"/>
            <x v="976"/>
            <x v="978"/>
            <x v="983"/>
            <x v="986"/>
            <x v="987"/>
            <x v="994"/>
            <x v="997"/>
            <x v="998"/>
            <x v="1004"/>
            <x v="1009"/>
            <x v="1012"/>
            <x v="1016"/>
            <x v="1017"/>
            <x v="1020"/>
            <x v="1022"/>
            <x v="1024"/>
            <x v="1025"/>
            <x v="1027"/>
            <x v="1028"/>
            <x v="1029"/>
            <x v="1034"/>
            <x v="1038"/>
            <x v="1048"/>
            <x v="1050"/>
            <x v="1055"/>
            <x v="1056"/>
            <x v="1059"/>
          </reference>
        </references>
      </pivotArea>
    </format>
    <format dxfId="1577">
      <pivotArea dataOnly="0" labelOnly="1" fieldPosition="0">
        <references count="1">
          <reference field="6" count="50">
            <x v="1062"/>
            <x v="1067"/>
            <x v="1070"/>
            <x v="1071"/>
            <x v="1074"/>
            <x v="1084"/>
            <x v="1085"/>
            <x v="1087"/>
            <x v="1090"/>
            <x v="1091"/>
            <x v="1095"/>
            <x v="1096"/>
            <x v="1099"/>
            <x v="1102"/>
            <x v="1111"/>
            <x v="1114"/>
            <x v="1116"/>
            <x v="1117"/>
            <x v="1119"/>
            <x v="1122"/>
            <x v="1125"/>
            <x v="1129"/>
            <x v="1132"/>
            <x v="1133"/>
            <x v="1136"/>
            <x v="1137"/>
            <x v="1143"/>
            <x v="1145"/>
            <x v="1146"/>
            <x v="1149"/>
            <x v="1150"/>
            <x v="1153"/>
            <x v="1156"/>
            <x v="1161"/>
            <x v="1165"/>
            <x v="1167"/>
            <x v="1169"/>
            <x v="1173"/>
            <x v="1177"/>
            <x v="1182"/>
            <x v="1184"/>
            <x v="1185"/>
            <x v="1188"/>
            <x v="1190"/>
            <x v="1191"/>
            <x v="1192"/>
            <x v="1193"/>
            <x v="1194"/>
            <x v="1204"/>
            <x v="1206"/>
          </reference>
        </references>
      </pivotArea>
    </format>
    <format dxfId="1576">
      <pivotArea dataOnly="0" labelOnly="1" fieldPosition="0">
        <references count="1">
          <reference field="6" count="50">
            <x v="1208"/>
            <x v="1209"/>
            <x v="1212"/>
            <x v="1213"/>
            <x v="1220"/>
            <x v="1225"/>
            <x v="1227"/>
            <x v="1229"/>
            <x v="1233"/>
            <x v="1234"/>
            <x v="1235"/>
            <x v="1237"/>
            <x v="1240"/>
            <x v="1241"/>
            <x v="1245"/>
            <x v="1248"/>
            <x v="1252"/>
            <x v="1258"/>
            <x v="1266"/>
            <x v="1267"/>
            <x v="1273"/>
            <x v="1274"/>
            <x v="1276"/>
            <x v="1283"/>
            <x v="1286"/>
            <x v="1291"/>
            <x v="1293"/>
            <x v="1295"/>
            <x v="1300"/>
            <x v="1307"/>
            <x v="1309"/>
            <x v="1312"/>
            <x v="1313"/>
            <x v="1314"/>
            <x v="1315"/>
            <x v="1321"/>
            <x v="1324"/>
            <x v="1330"/>
            <x v="1331"/>
            <x v="1332"/>
            <x v="1334"/>
            <x v="1335"/>
            <x v="1337"/>
            <x v="1339"/>
            <x v="1342"/>
            <x v="1344"/>
            <x v="1348"/>
            <x v="1358"/>
            <x v="1359"/>
            <x v="1361"/>
          </reference>
        </references>
      </pivotArea>
    </format>
    <format dxfId="1575">
      <pivotArea dataOnly="0" labelOnly="1" fieldPosition="0">
        <references count="1">
          <reference field="6" count="50">
            <x v="1363"/>
            <x v="1364"/>
            <x v="1367"/>
            <x v="1369"/>
            <x v="1372"/>
            <x v="1373"/>
            <x v="1374"/>
            <x v="1379"/>
            <x v="1381"/>
            <x v="1382"/>
            <x v="1384"/>
            <x v="1388"/>
            <x v="1395"/>
            <x v="1396"/>
            <x v="1398"/>
            <x v="1399"/>
            <x v="1402"/>
            <x v="1405"/>
            <x v="1406"/>
            <x v="1407"/>
            <x v="1412"/>
            <x v="1413"/>
            <x v="1420"/>
            <x v="1421"/>
            <x v="1422"/>
            <x v="1426"/>
            <x v="1427"/>
            <x v="1429"/>
            <x v="1430"/>
            <x v="1431"/>
            <x v="1433"/>
            <x v="1439"/>
            <x v="1440"/>
            <x v="1441"/>
            <x v="1446"/>
            <x v="1449"/>
            <x v="1452"/>
            <x v="1453"/>
            <x v="1455"/>
            <x v="1456"/>
            <x v="1457"/>
            <x v="1459"/>
            <x v="1461"/>
            <x v="1462"/>
            <x v="1469"/>
            <x v="1473"/>
            <x v="1474"/>
            <x v="1478"/>
            <x v="1483"/>
            <x v="1484"/>
          </reference>
        </references>
      </pivotArea>
    </format>
    <format dxfId="1574">
      <pivotArea dataOnly="0" labelOnly="1" fieldPosition="0">
        <references count="1">
          <reference field="6" count="50">
            <x v="1491"/>
            <x v="1494"/>
            <x v="1495"/>
            <x v="1496"/>
            <x v="1497"/>
            <x v="1498"/>
            <x v="1499"/>
            <x v="1500"/>
            <x v="1501"/>
            <x v="1502"/>
            <x v="1505"/>
            <x v="1508"/>
            <x v="1511"/>
            <x v="1513"/>
            <x v="1514"/>
            <x v="1516"/>
            <x v="1518"/>
            <x v="1519"/>
            <x v="1520"/>
            <x v="1521"/>
            <x v="1522"/>
            <x v="1525"/>
            <x v="1526"/>
            <x v="1528"/>
            <x v="1530"/>
            <x v="1532"/>
            <x v="1533"/>
            <x v="1534"/>
            <x v="1538"/>
            <x v="1539"/>
            <x v="1540"/>
            <x v="1542"/>
            <x v="1547"/>
            <x v="1549"/>
            <x v="1550"/>
            <x v="1551"/>
            <x v="1557"/>
            <x v="1558"/>
            <x v="1560"/>
            <x v="1562"/>
            <x v="1564"/>
            <x v="1565"/>
            <x v="1566"/>
            <x v="1576"/>
            <x v="1578"/>
            <x v="1579"/>
            <x v="1580"/>
            <x v="1581"/>
            <x v="1584"/>
            <x v="1585"/>
          </reference>
        </references>
      </pivotArea>
    </format>
    <format dxfId="1573">
      <pivotArea dataOnly="0" labelOnly="1" fieldPosition="0">
        <references count="1">
          <reference field="6" count="41">
            <x v="1586"/>
            <x v="1591"/>
            <x v="1592"/>
            <x v="1596"/>
            <x v="1598"/>
            <x v="1600"/>
            <x v="1603"/>
            <x v="1604"/>
            <x v="1606"/>
            <x v="1609"/>
            <x v="1612"/>
            <x v="1613"/>
            <x v="1614"/>
            <x v="1615"/>
            <x v="1619"/>
            <x v="1624"/>
            <x v="1625"/>
            <x v="1626"/>
            <x v="1628"/>
            <x v="1630"/>
            <x v="1631"/>
            <x v="1632"/>
            <x v="1637"/>
            <x v="1639"/>
            <x v="1642"/>
            <x v="1646"/>
            <x v="1649"/>
            <x v="1651"/>
            <x v="1654"/>
            <x v="1655"/>
            <x v="1657"/>
            <x v="1660"/>
            <x v="1661"/>
            <x v="1666"/>
            <x v="1670"/>
            <x v="1672"/>
            <x v="1674"/>
            <x v="1676"/>
            <x v="1677"/>
            <x v="1679"/>
            <x v="1680"/>
          </reference>
        </references>
      </pivotArea>
    </format>
    <format dxfId="1572">
      <pivotArea dataOnly="0" labelOnly="1" fieldPosition="0">
        <references count="1">
          <reference field="6" count="1">
            <x v="394"/>
          </reference>
        </references>
      </pivotArea>
    </format>
    <format dxfId="1571">
      <pivotArea collapsedLevelsAreSubtotals="1" fieldPosition="0">
        <references count="1">
          <reference field="6" count="17">
            <x v="43"/>
            <x v="44"/>
            <x v="389"/>
            <x v="535"/>
            <x v="675"/>
            <x v="827"/>
            <x v="845"/>
            <x v="1004"/>
            <x v="1146"/>
            <x v="1193"/>
            <x v="1283"/>
            <x v="1361"/>
            <x v="1431"/>
            <x v="1439"/>
            <x v="1502"/>
            <x v="1534"/>
            <x v="1584"/>
          </reference>
        </references>
      </pivotArea>
    </format>
    <format dxfId="1570">
      <pivotArea dataOnly="0" labelOnly="1" fieldPosition="0">
        <references count="1">
          <reference field="6" count="17">
            <x v="43"/>
            <x v="44"/>
            <x v="389"/>
            <x v="535"/>
            <x v="675"/>
            <x v="827"/>
            <x v="845"/>
            <x v="1004"/>
            <x v="1146"/>
            <x v="1193"/>
            <x v="1283"/>
            <x v="1361"/>
            <x v="1431"/>
            <x v="1439"/>
            <x v="1502"/>
            <x v="1534"/>
            <x v="1584"/>
          </reference>
        </references>
      </pivotArea>
    </format>
    <format dxfId="1569">
      <pivotArea dataOnly="0" labelOnly="1" fieldPosition="0">
        <references count="1">
          <reference field="6" count="50">
            <x v="0"/>
            <x v="6"/>
            <x v="8"/>
            <x v="9"/>
            <x v="12"/>
            <x v="15"/>
            <x v="20"/>
            <x v="21"/>
            <x v="26"/>
            <x v="30"/>
            <x v="31"/>
            <x v="33"/>
            <x v="35"/>
            <x v="36"/>
            <x v="37"/>
            <x v="39"/>
            <x v="48"/>
            <x v="52"/>
            <x v="59"/>
            <x v="69"/>
            <x v="72"/>
            <x v="73"/>
            <x v="74"/>
            <x v="82"/>
            <x v="85"/>
            <x v="86"/>
            <x v="92"/>
            <x v="98"/>
            <x v="99"/>
            <x v="104"/>
            <x v="105"/>
            <x v="108"/>
            <x v="119"/>
            <x v="130"/>
            <x v="133"/>
            <x v="137"/>
            <x v="138"/>
            <x v="139"/>
            <x v="145"/>
            <x v="157"/>
            <x v="159"/>
            <x v="185"/>
            <x v="191"/>
            <x v="195"/>
            <x v="196"/>
            <x v="204"/>
            <x v="205"/>
            <x v="212"/>
            <x v="213"/>
            <x v="218"/>
          </reference>
        </references>
      </pivotArea>
    </format>
    <format dxfId="1568">
      <pivotArea dataOnly="0" labelOnly="1" fieldPosition="0">
        <references count="1">
          <reference field="6" count="50">
            <x v="220"/>
            <x v="222"/>
            <x v="228"/>
            <x v="230"/>
            <x v="233"/>
            <x v="237"/>
            <x v="240"/>
            <x v="241"/>
            <x v="245"/>
            <x v="246"/>
            <x v="249"/>
            <x v="250"/>
            <x v="251"/>
            <x v="252"/>
            <x v="258"/>
            <x v="260"/>
            <x v="264"/>
            <x v="269"/>
            <x v="270"/>
            <x v="272"/>
            <x v="276"/>
            <x v="281"/>
            <x v="285"/>
            <x v="292"/>
            <x v="293"/>
            <x v="295"/>
            <x v="298"/>
            <x v="299"/>
            <x v="302"/>
            <x v="304"/>
            <x v="312"/>
            <x v="317"/>
            <x v="318"/>
            <x v="319"/>
            <x v="320"/>
            <x v="331"/>
            <x v="333"/>
            <x v="342"/>
            <x v="344"/>
            <x v="352"/>
            <x v="353"/>
            <x v="363"/>
            <x v="364"/>
            <x v="365"/>
            <x v="367"/>
            <x v="372"/>
            <x v="373"/>
            <x v="374"/>
            <x v="388"/>
            <x v="389"/>
          </reference>
        </references>
      </pivotArea>
    </format>
    <format dxfId="1567">
      <pivotArea dataOnly="0" labelOnly="1" fieldPosition="0">
        <references count="1">
          <reference field="6" count="50">
            <x v="392"/>
            <x v="394"/>
            <x v="396"/>
            <x v="397"/>
            <x v="409"/>
            <x v="411"/>
            <x v="414"/>
            <x v="416"/>
            <x v="418"/>
            <x v="423"/>
            <x v="427"/>
            <x v="433"/>
            <x v="438"/>
            <x v="440"/>
            <x v="444"/>
            <x v="448"/>
            <x v="453"/>
            <x v="459"/>
            <x v="460"/>
            <x v="467"/>
            <x v="468"/>
            <x v="470"/>
            <x v="472"/>
            <x v="479"/>
            <x v="481"/>
            <x v="491"/>
            <x v="492"/>
            <x v="493"/>
            <x v="495"/>
            <x v="504"/>
            <x v="507"/>
            <x v="508"/>
            <x v="510"/>
            <x v="512"/>
            <x v="518"/>
            <x v="521"/>
            <x v="522"/>
            <x v="524"/>
            <x v="526"/>
            <x v="531"/>
            <x v="532"/>
            <x v="533"/>
            <x v="535"/>
            <x v="539"/>
            <x v="541"/>
            <x v="542"/>
            <x v="549"/>
            <x v="554"/>
            <x v="562"/>
            <x v="563"/>
          </reference>
        </references>
      </pivotArea>
    </format>
    <format dxfId="1566">
      <pivotArea dataOnly="0" labelOnly="1" fieldPosition="0">
        <references count="1">
          <reference field="6" count="50">
            <x v="570"/>
            <x v="571"/>
            <x v="575"/>
            <x v="584"/>
            <x v="586"/>
            <x v="590"/>
            <x v="596"/>
            <x v="598"/>
            <x v="602"/>
            <x v="607"/>
            <x v="610"/>
            <x v="615"/>
            <x v="617"/>
            <x v="624"/>
            <x v="627"/>
            <x v="631"/>
            <x v="632"/>
            <x v="633"/>
            <x v="639"/>
            <x v="645"/>
            <x v="646"/>
            <x v="647"/>
            <x v="652"/>
            <x v="654"/>
            <x v="658"/>
            <x v="660"/>
            <x v="669"/>
            <x v="670"/>
            <x v="674"/>
            <x v="675"/>
            <x v="678"/>
            <x v="679"/>
            <x v="681"/>
            <x v="682"/>
            <x v="683"/>
            <x v="685"/>
            <x v="688"/>
            <x v="691"/>
            <x v="694"/>
            <x v="701"/>
            <x v="704"/>
            <x v="706"/>
            <x v="709"/>
            <x v="718"/>
            <x v="721"/>
            <x v="723"/>
            <x v="724"/>
            <x v="727"/>
            <x v="728"/>
            <x v="729"/>
          </reference>
        </references>
      </pivotArea>
    </format>
    <format dxfId="1565">
      <pivotArea dataOnly="0" labelOnly="1" fieldPosition="0">
        <references count="1">
          <reference field="6" count="50">
            <x v="731"/>
            <x v="737"/>
            <x v="743"/>
            <x v="748"/>
            <x v="751"/>
            <x v="753"/>
            <x v="758"/>
            <x v="761"/>
            <x v="762"/>
            <x v="763"/>
            <x v="764"/>
            <x v="766"/>
            <x v="768"/>
            <x v="769"/>
            <x v="770"/>
            <x v="772"/>
            <x v="773"/>
            <x v="780"/>
            <x v="782"/>
            <x v="785"/>
            <x v="786"/>
            <x v="787"/>
            <x v="789"/>
            <x v="792"/>
            <x v="794"/>
            <x v="800"/>
            <x v="809"/>
            <x v="833"/>
            <x v="836"/>
            <x v="838"/>
            <x v="840"/>
            <x v="845"/>
            <x v="848"/>
            <x v="859"/>
            <x v="869"/>
            <x v="870"/>
            <x v="874"/>
            <x v="880"/>
            <x v="887"/>
            <x v="889"/>
            <x v="890"/>
            <x v="891"/>
            <x v="892"/>
            <x v="894"/>
            <x v="899"/>
            <x v="900"/>
            <x v="911"/>
            <x v="929"/>
            <x v="939"/>
            <x v="941"/>
          </reference>
        </references>
      </pivotArea>
    </format>
    <format dxfId="1564">
      <pivotArea dataOnly="0" labelOnly="1" fieldPosition="0">
        <references count="1">
          <reference field="6" count="50">
            <x v="946"/>
            <x v="947"/>
            <x v="948"/>
            <x v="954"/>
            <x v="956"/>
            <x v="959"/>
            <x v="968"/>
            <x v="977"/>
            <x v="981"/>
            <x v="984"/>
            <x v="995"/>
            <x v="998"/>
            <x v="1012"/>
            <x v="1013"/>
            <x v="1019"/>
            <x v="1021"/>
            <x v="1029"/>
            <x v="1041"/>
            <x v="1046"/>
            <x v="1048"/>
            <x v="1053"/>
            <x v="1056"/>
            <x v="1057"/>
            <x v="1058"/>
            <x v="1061"/>
            <x v="1062"/>
            <x v="1064"/>
            <x v="1067"/>
            <x v="1073"/>
            <x v="1081"/>
            <x v="1083"/>
            <x v="1084"/>
            <x v="1091"/>
            <x v="1093"/>
            <x v="1094"/>
            <x v="1098"/>
            <x v="1101"/>
            <x v="1113"/>
            <x v="1116"/>
            <x v="1118"/>
            <x v="1120"/>
            <x v="1128"/>
            <x v="1129"/>
            <x v="1132"/>
            <x v="1133"/>
            <x v="1136"/>
            <x v="1137"/>
            <x v="1138"/>
            <x v="1145"/>
            <x v="1148"/>
          </reference>
        </references>
      </pivotArea>
    </format>
    <format dxfId="1563">
      <pivotArea dataOnly="0" labelOnly="1" fieldPosition="0">
        <references count="1">
          <reference field="6" count="50">
            <x v="1156"/>
            <x v="1158"/>
            <x v="1159"/>
            <x v="1161"/>
            <x v="1165"/>
            <x v="1170"/>
            <x v="1171"/>
            <x v="1177"/>
            <x v="1188"/>
            <x v="1190"/>
            <x v="1191"/>
            <x v="1199"/>
            <x v="1205"/>
            <x v="1206"/>
            <x v="1223"/>
            <x v="1224"/>
            <x v="1225"/>
            <x v="1227"/>
            <x v="1229"/>
            <x v="1235"/>
            <x v="1237"/>
            <x v="1239"/>
            <x v="1240"/>
            <x v="1244"/>
            <x v="1246"/>
            <x v="1256"/>
            <x v="1257"/>
            <x v="1261"/>
            <x v="1262"/>
            <x v="1270"/>
            <x v="1271"/>
            <x v="1273"/>
            <x v="1282"/>
            <x v="1293"/>
            <x v="1300"/>
            <x v="1303"/>
            <x v="1307"/>
            <x v="1311"/>
            <x v="1320"/>
            <x v="1332"/>
            <x v="1334"/>
            <x v="1343"/>
            <x v="1344"/>
            <x v="1350"/>
            <x v="1354"/>
            <x v="1355"/>
            <x v="1359"/>
            <x v="1368"/>
            <x v="1372"/>
            <x v="1373"/>
          </reference>
        </references>
      </pivotArea>
    </format>
    <format dxfId="1562">
      <pivotArea dataOnly="0" labelOnly="1" fieldPosition="0">
        <references count="1">
          <reference field="6" count="50">
            <x v="1374"/>
            <x v="1380"/>
            <x v="1381"/>
            <x v="1383"/>
            <x v="1390"/>
            <x v="1392"/>
            <x v="1396"/>
            <x v="1398"/>
            <x v="1399"/>
            <x v="1404"/>
            <x v="1406"/>
            <x v="1407"/>
            <x v="1417"/>
            <x v="1420"/>
            <x v="1424"/>
            <x v="1426"/>
            <x v="1427"/>
            <x v="1429"/>
            <x v="1441"/>
            <x v="1445"/>
            <x v="1449"/>
            <x v="1450"/>
            <x v="1455"/>
            <x v="1456"/>
            <x v="1457"/>
            <x v="1459"/>
            <x v="1470"/>
            <x v="1471"/>
            <x v="1481"/>
            <x v="1484"/>
            <x v="1488"/>
            <x v="1489"/>
            <x v="1491"/>
            <x v="1493"/>
            <x v="1495"/>
            <x v="1499"/>
            <x v="1500"/>
            <x v="1501"/>
            <x v="1508"/>
            <x v="1512"/>
            <x v="1513"/>
            <x v="1515"/>
            <x v="1516"/>
            <x v="1517"/>
            <x v="1519"/>
            <x v="1525"/>
            <x v="1527"/>
            <x v="1531"/>
            <x v="1533"/>
            <x v="1534"/>
          </reference>
        </references>
      </pivotArea>
    </format>
    <format dxfId="1561">
      <pivotArea dataOnly="0" labelOnly="1" fieldPosition="0">
        <references count="1">
          <reference field="6" count="45">
            <x v="1535"/>
            <x v="1537"/>
            <x v="1542"/>
            <x v="1543"/>
            <x v="1546"/>
            <x v="1548"/>
            <x v="1551"/>
            <x v="1555"/>
            <x v="1560"/>
            <x v="1564"/>
            <x v="1566"/>
            <x v="1567"/>
            <x v="1578"/>
            <x v="1580"/>
            <x v="1581"/>
            <x v="1584"/>
            <x v="1585"/>
            <x v="1586"/>
            <x v="1591"/>
            <x v="1592"/>
            <x v="1595"/>
            <x v="1603"/>
            <x v="1605"/>
            <x v="1610"/>
            <x v="1611"/>
            <x v="1625"/>
            <x v="1629"/>
            <x v="1630"/>
            <x v="1632"/>
            <x v="1635"/>
            <x v="1638"/>
            <x v="1647"/>
            <x v="1649"/>
            <x v="1652"/>
            <x v="1654"/>
            <x v="1655"/>
            <x v="1657"/>
            <x v="1662"/>
            <x v="1663"/>
            <x v="1667"/>
            <x v="1668"/>
            <x v="1671"/>
            <x v="1675"/>
            <x v="1676"/>
            <x v="1677"/>
          </reference>
        </references>
      </pivotArea>
    </format>
    <format dxfId="1560">
      <pivotArea dataOnly="0" labelOnly="1" fieldPosition="0">
        <references count="1">
          <reference field="6" count="50">
            <x v="0"/>
            <x v="5"/>
            <x v="6"/>
            <x v="8"/>
            <x v="9"/>
            <x v="12"/>
            <x v="14"/>
            <x v="15"/>
            <x v="17"/>
            <x v="18"/>
            <x v="20"/>
            <x v="21"/>
            <x v="23"/>
            <x v="26"/>
            <x v="27"/>
            <x v="30"/>
            <x v="31"/>
            <x v="33"/>
            <x v="34"/>
            <x v="35"/>
            <x v="36"/>
            <x v="37"/>
            <x v="39"/>
            <x v="41"/>
            <x v="45"/>
            <x v="48"/>
            <x v="52"/>
            <x v="59"/>
            <x v="62"/>
            <x v="65"/>
            <x v="69"/>
            <x v="70"/>
            <x v="72"/>
            <x v="73"/>
            <x v="74"/>
            <x v="76"/>
            <x v="82"/>
            <x v="85"/>
            <x v="86"/>
            <x v="92"/>
            <x v="93"/>
            <x v="98"/>
            <x v="99"/>
            <x v="104"/>
            <x v="105"/>
            <x v="106"/>
            <x v="108"/>
            <x v="111"/>
            <x v="117"/>
            <x v="118"/>
          </reference>
        </references>
      </pivotArea>
    </format>
    <format dxfId="1559">
      <pivotArea dataOnly="0" labelOnly="1" fieldPosition="0">
        <references count="1">
          <reference field="6" count="50">
            <x v="119"/>
            <x v="120"/>
            <x v="122"/>
            <x v="125"/>
            <x v="130"/>
            <x v="133"/>
            <x v="137"/>
            <x v="138"/>
            <x v="139"/>
            <x v="145"/>
            <x v="150"/>
            <x v="157"/>
            <x v="159"/>
            <x v="175"/>
            <x v="185"/>
            <x v="191"/>
            <x v="195"/>
            <x v="196"/>
            <x v="197"/>
            <x v="200"/>
            <x v="204"/>
            <x v="205"/>
            <x v="208"/>
            <x v="212"/>
            <x v="213"/>
            <x v="218"/>
            <x v="219"/>
            <x v="220"/>
            <x v="222"/>
            <x v="228"/>
            <x v="230"/>
            <x v="233"/>
            <x v="237"/>
            <x v="240"/>
            <x v="241"/>
            <x v="245"/>
            <x v="246"/>
            <x v="248"/>
            <x v="249"/>
            <x v="250"/>
            <x v="251"/>
            <x v="252"/>
            <x v="254"/>
            <x v="258"/>
            <x v="260"/>
            <x v="264"/>
            <x v="269"/>
            <x v="270"/>
            <x v="272"/>
            <x v="276"/>
          </reference>
        </references>
      </pivotArea>
    </format>
    <format dxfId="1558">
      <pivotArea dataOnly="0" labelOnly="1" fieldPosition="0">
        <references count="1">
          <reference field="6" count="50">
            <x v="278"/>
            <x v="280"/>
            <x v="281"/>
            <x v="282"/>
            <x v="285"/>
            <x v="292"/>
            <x v="293"/>
            <x v="295"/>
            <x v="298"/>
            <x v="299"/>
            <x v="302"/>
            <x v="304"/>
            <x v="305"/>
            <x v="312"/>
            <x v="316"/>
            <x v="317"/>
            <x v="318"/>
            <x v="319"/>
            <x v="320"/>
            <x v="328"/>
            <x v="329"/>
            <x v="331"/>
            <x v="333"/>
            <x v="342"/>
            <x v="344"/>
            <x v="349"/>
            <x v="351"/>
            <x v="352"/>
            <x v="353"/>
            <x v="363"/>
            <x v="364"/>
            <x v="365"/>
            <x v="366"/>
            <x v="367"/>
            <x v="370"/>
            <x v="371"/>
            <x v="372"/>
            <x v="373"/>
            <x v="374"/>
            <x v="379"/>
            <x v="382"/>
            <x v="385"/>
            <x v="388"/>
            <x v="389"/>
            <x v="392"/>
            <x v="394"/>
            <x v="395"/>
            <x v="396"/>
            <x v="397"/>
            <x v="399"/>
          </reference>
        </references>
      </pivotArea>
    </format>
    <format dxfId="1557">
      <pivotArea dataOnly="0" labelOnly="1" fieldPosition="0">
        <references count="1">
          <reference field="6" count="50">
            <x v="401"/>
            <x v="406"/>
            <x v="409"/>
            <x v="411"/>
            <x v="413"/>
            <x v="414"/>
            <x v="416"/>
            <x v="417"/>
            <x v="418"/>
            <x v="423"/>
            <x v="427"/>
            <x v="433"/>
            <x v="438"/>
            <x v="440"/>
            <x v="444"/>
            <x v="448"/>
            <x v="453"/>
            <x v="454"/>
            <x v="455"/>
            <x v="459"/>
            <x v="460"/>
            <x v="466"/>
            <x v="467"/>
            <x v="468"/>
            <x v="470"/>
            <x v="472"/>
            <x v="479"/>
            <x v="481"/>
            <x v="484"/>
            <x v="488"/>
            <x v="490"/>
            <x v="491"/>
            <x v="492"/>
            <x v="493"/>
            <x v="494"/>
            <x v="495"/>
            <x v="499"/>
            <x v="500"/>
            <x v="504"/>
            <x v="506"/>
            <x v="507"/>
            <x v="508"/>
            <x v="510"/>
            <x v="512"/>
            <x v="514"/>
            <x v="516"/>
            <x v="518"/>
            <x v="521"/>
            <x v="522"/>
            <x v="524"/>
          </reference>
        </references>
      </pivotArea>
    </format>
    <format dxfId="1556">
      <pivotArea dataOnly="0" labelOnly="1" fieldPosition="0">
        <references count="1">
          <reference field="6" count="50">
            <x v="525"/>
            <x v="526"/>
            <x v="531"/>
            <x v="532"/>
            <x v="533"/>
            <x v="535"/>
            <x v="539"/>
            <x v="541"/>
            <x v="542"/>
            <x v="548"/>
            <x v="549"/>
            <x v="554"/>
            <x v="562"/>
            <x v="563"/>
            <x v="565"/>
            <x v="570"/>
            <x v="571"/>
            <x v="575"/>
            <x v="577"/>
            <x v="583"/>
            <x v="584"/>
            <x v="586"/>
            <x v="590"/>
            <x v="592"/>
            <x v="596"/>
            <x v="598"/>
            <x v="602"/>
            <x v="603"/>
            <x v="604"/>
            <x v="605"/>
            <x v="607"/>
            <x v="610"/>
            <x v="611"/>
            <x v="613"/>
            <x v="614"/>
            <x v="615"/>
            <x v="617"/>
            <x v="623"/>
            <x v="624"/>
            <x v="627"/>
            <x v="631"/>
            <x v="632"/>
            <x v="633"/>
            <x v="635"/>
            <x v="639"/>
            <x v="642"/>
            <x v="643"/>
            <x v="645"/>
            <x v="646"/>
            <x v="647"/>
          </reference>
        </references>
      </pivotArea>
    </format>
    <format dxfId="1555">
      <pivotArea dataOnly="0" labelOnly="1" fieldPosition="0">
        <references count="1">
          <reference field="6" count="50">
            <x v="652"/>
            <x v="654"/>
            <x v="658"/>
            <x v="660"/>
            <x v="669"/>
            <x v="670"/>
            <x v="671"/>
            <x v="674"/>
            <x v="675"/>
            <x v="678"/>
            <x v="679"/>
            <x v="681"/>
            <x v="682"/>
            <x v="683"/>
            <x v="684"/>
            <x v="685"/>
            <x v="688"/>
            <x v="691"/>
            <x v="693"/>
            <x v="694"/>
            <x v="701"/>
            <x v="704"/>
            <x v="705"/>
            <x v="706"/>
            <x v="709"/>
            <x v="711"/>
            <x v="717"/>
            <x v="718"/>
            <x v="721"/>
            <x v="723"/>
            <x v="724"/>
            <x v="726"/>
            <x v="727"/>
            <x v="728"/>
            <x v="729"/>
            <x v="731"/>
            <x v="737"/>
            <x v="743"/>
            <x v="748"/>
            <x v="751"/>
            <x v="753"/>
            <x v="756"/>
            <x v="758"/>
            <x v="761"/>
            <x v="762"/>
            <x v="763"/>
            <x v="764"/>
            <x v="766"/>
            <x v="768"/>
            <x v="769"/>
          </reference>
        </references>
      </pivotArea>
    </format>
    <format dxfId="1554">
      <pivotArea dataOnly="0" labelOnly="1" fieldPosition="0">
        <references count="1">
          <reference field="6" count="50">
            <x v="770"/>
            <x v="772"/>
            <x v="773"/>
            <x v="779"/>
            <x v="780"/>
            <x v="782"/>
            <x v="785"/>
            <x v="786"/>
            <x v="787"/>
            <x v="788"/>
            <x v="789"/>
            <x v="792"/>
            <x v="794"/>
            <x v="797"/>
            <x v="798"/>
            <x v="800"/>
            <x v="801"/>
            <x v="805"/>
            <x v="807"/>
            <x v="809"/>
            <x v="812"/>
            <x v="818"/>
            <x v="820"/>
            <x v="833"/>
            <x v="835"/>
            <x v="836"/>
            <x v="838"/>
            <x v="840"/>
            <x v="841"/>
            <x v="845"/>
            <x v="848"/>
            <x v="850"/>
            <x v="853"/>
            <x v="857"/>
            <x v="859"/>
            <x v="860"/>
            <x v="861"/>
            <x v="869"/>
            <x v="870"/>
            <x v="874"/>
            <x v="880"/>
            <x v="881"/>
            <x v="887"/>
            <x v="889"/>
            <x v="890"/>
            <x v="891"/>
            <x v="892"/>
            <x v="894"/>
            <x v="897"/>
            <x v="899"/>
          </reference>
        </references>
      </pivotArea>
    </format>
    <format dxfId="1553">
      <pivotArea dataOnly="0" labelOnly="1" fieldPosition="0">
        <references count="1">
          <reference field="6" count="50">
            <x v="900"/>
            <x v="911"/>
            <x v="914"/>
            <x v="926"/>
            <x v="929"/>
            <x v="932"/>
            <x v="935"/>
            <x v="939"/>
            <x v="940"/>
            <x v="941"/>
            <x v="946"/>
            <x v="947"/>
            <x v="948"/>
            <x v="954"/>
            <x v="956"/>
            <x v="959"/>
            <x v="968"/>
            <x v="972"/>
            <x v="977"/>
            <x v="981"/>
            <x v="984"/>
            <x v="986"/>
            <x v="987"/>
            <x v="989"/>
            <x v="992"/>
            <x v="995"/>
            <x v="997"/>
            <x v="998"/>
            <x v="1012"/>
            <x v="1013"/>
            <x v="1019"/>
            <x v="1021"/>
            <x v="1024"/>
            <x v="1025"/>
            <x v="1028"/>
            <x v="1029"/>
            <x v="1041"/>
            <x v="1046"/>
            <x v="1048"/>
            <x v="1053"/>
            <x v="1056"/>
            <x v="1057"/>
            <x v="1058"/>
            <x v="1059"/>
            <x v="1061"/>
            <x v="1062"/>
            <x v="1064"/>
            <x v="1067"/>
            <x v="1073"/>
            <x v="1081"/>
          </reference>
        </references>
      </pivotArea>
    </format>
    <format dxfId="1552">
      <pivotArea dataOnly="0" labelOnly="1" fieldPosition="0">
        <references count="1">
          <reference field="6" count="50">
            <x v="1083"/>
            <x v="1084"/>
            <x v="1087"/>
            <x v="1091"/>
            <x v="1093"/>
            <x v="1094"/>
            <x v="1096"/>
            <x v="1098"/>
            <x v="1101"/>
            <x v="1102"/>
            <x v="1113"/>
            <x v="1116"/>
            <x v="1118"/>
            <x v="1120"/>
            <x v="1128"/>
            <x v="1129"/>
            <x v="1132"/>
            <x v="1133"/>
            <x v="1136"/>
            <x v="1137"/>
            <x v="1138"/>
            <x v="1145"/>
            <x v="1148"/>
            <x v="1150"/>
            <x v="1156"/>
            <x v="1158"/>
            <x v="1159"/>
            <x v="1161"/>
            <x v="1165"/>
            <x v="1170"/>
            <x v="1171"/>
            <x v="1173"/>
            <x v="1177"/>
            <x v="1188"/>
            <x v="1190"/>
            <x v="1191"/>
            <x v="1199"/>
            <x v="1205"/>
            <x v="1206"/>
            <x v="1208"/>
            <x v="1223"/>
            <x v="1224"/>
            <x v="1225"/>
            <x v="1227"/>
            <x v="1229"/>
            <x v="1235"/>
            <x v="1237"/>
            <x v="1239"/>
            <x v="1240"/>
            <x v="1244"/>
          </reference>
        </references>
      </pivotArea>
    </format>
    <format dxfId="1551">
      <pivotArea dataOnly="0" labelOnly="1" fieldPosition="0">
        <references count="1">
          <reference field="6" count="50">
            <x v="1246"/>
            <x v="1256"/>
            <x v="1257"/>
            <x v="1261"/>
            <x v="1262"/>
            <x v="1270"/>
            <x v="1271"/>
            <x v="1273"/>
            <x v="1282"/>
            <x v="1293"/>
            <x v="1300"/>
            <x v="1301"/>
            <x v="1302"/>
            <x v="1303"/>
            <x v="1307"/>
            <x v="1311"/>
            <x v="1314"/>
            <x v="1315"/>
            <x v="1316"/>
            <x v="1320"/>
            <x v="1332"/>
            <x v="1334"/>
            <x v="1335"/>
            <x v="1339"/>
            <x v="1343"/>
            <x v="1344"/>
            <x v="1348"/>
            <x v="1349"/>
            <x v="1350"/>
            <x v="1352"/>
            <x v="1354"/>
            <x v="1355"/>
            <x v="1359"/>
            <x v="1368"/>
            <x v="1372"/>
            <x v="1373"/>
            <x v="1374"/>
            <x v="1375"/>
            <x v="1379"/>
            <x v="1380"/>
            <x v="1381"/>
            <x v="1383"/>
            <x v="1388"/>
            <x v="1390"/>
            <x v="1392"/>
            <x v="1396"/>
            <x v="1398"/>
            <x v="1399"/>
            <x v="1402"/>
            <x v="1404"/>
          </reference>
        </references>
      </pivotArea>
    </format>
    <format dxfId="1550">
      <pivotArea dataOnly="0" labelOnly="1" fieldPosition="0">
        <references count="1">
          <reference field="6" count="50">
            <x v="1405"/>
            <x v="1406"/>
            <x v="1407"/>
            <x v="1415"/>
            <x v="1417"/>
            <x v="1420"/>
            <x v="1421"/>
            <x v="1422"/>
            <x v="1424"/>
            <x v="1426"/>
            <x v="1427"/>
            <x v="1429"/>
            <x v="1430"/>
            <x v="1433"/>
            <x v="1441"/>
            <x v="1444"/>
            <x v="1445"/>
            <x v="1449"/>
            <x v="1450"/>
            <x v="1452"/>
            <x v="1453"/>
            <x v="1455"/>
            <x v="1456"/>
            <x v="1457"/>
            <x v="1458"/>
            <x v="1459"/>
            <x v="1461"/>
            <x v="1462"/>
            <x v="1465"/>
            <x v="1468"/>
            <x v="1469"/>
            <x v="1470"/>
            <x v="1471"/>
            <x v="1477"/>
            <x v="1481"/>
            <x v="1484"/>
            <x v="1488"/>
            <x v="1489"/>
            <x v="1491"/>
            <x v="1493"/>
            <x v="1494"/>
            <x v="1495"/>
            <x v="1497"/>
            <x v="1498"/>
            <x v="1499"/>
            <x v="1500"/>
            <x v="1501"/>
            <x v="1508"/>
            <x v="1512"/>
            <x v="1513"/>
          </reference>
        </references>
      </pivotArea>
    </format>
    <format dxfId="1549">
      <pivotArea dataOnly="0" labelOnly="1" fieldPosition="0">
        <references count="1">
          <reference field="6" count="50">
            <x v="1515"/>
            <x v="1516"/>
            <x v="1517"/>
            <x v="1519"/>
            <x v="1525"/>
            <x v="1527"/>
            <x v="1530"/>
            <x v="1531"/>
            <x v="1533"/>
            <x v="1534"/>
            <x v="1535"/>
            <x v="1537"/>
            <x v="1542"/>
            <x v="1543"/>
            <x v="1546"/>
            <x v="1548"/>
            <x v="1550"/>
            <x v="1551"/>
            <x v="1555"/>
            <x v="1557"/>
            <x v="1560"/>
            <x v="1562"/>
            <x v="1564"/>
            <x v="1566"/>
            <x v="1567"/>
            <x v="1573"/>
            <x v="1574"/>
            <x v="1575"/>
            <x v="1577"/>
            <x v="1578"/>
            <x v="1580"/>
            <x v="1581"/>
            <x v="1584"/>
            <x v="1585"/>
            <x v="1586"/>
            <x v="1589"/>
            <x v="1591"/>
            <x v="1592"/>
            <x v="1595"/>
            <x v="1596"/>
            <x v="1598"/>
            <x v="1599"/>
            <x v="1600"/>
            <x v="1603"/>
            <x v="1605"/>
            <x v="1608"/>
            <x v="1610"/>
            <x v="1611"/>
            <x v="1612"/>
            <x v="1620"/>
          </reference>
        </references>
      </pivotArea>
    </format>
    <format dxfId="1548">
      <pivotArea dataOnly="0" labelOnly="1" fieldPosition="0">
        <references count="1">
          <reference field="6" count="27">
            <x v="1621"/>
            <x v="1625"/>
            <x v="1626"/>
            <x v="1629"/>
            <x v="1630"/>
            <x v="1631"/>
            <x v="1632"/>
            <x v="1635"/>
            <x v="1638"/>
            <x v="1639"/>
            <x v="1647"/>
            <x v="1649"/>
            <x v="1652"/>
            <x v="1654"/>
            <x v="1655"/>
            <x v="1657"/>
            <x v="1662"/>
            <x v="1663"/>
            <x v="1667"/>
            <x v="1668"/>
            <x v="1671"/>
            <x v="1673"/>
            <x v="1674"/>
            <x v="1675"/>
            <x v="1676"/>
            <x v="1677"/>
            <x v="1680"/>
          </reference>
        </references>
      </pivotArea>
    </format>
    <format dxfId="1547">
      <pivotArea dataOnly="0" labelOnly="1" fieldPosition="0">
        <references count="1">
          <reference field="6" count="50">
            <x v="0"/>
            <x v="6"/>
            <x v="8"/>
            <x v="9"/>
            <x v="12"/>
            <x v="15"/>
            <x v="20"/>
            <x v="21"/>
            <x v="26"/>
            <x v="30"/>
            <x v="31"/>
            <x v="33"/>
            <x v="35"/>
            <x v="36"/>
            <x v="37"/>
            <x v="39"/>
            <x v="48"/>
            <x v="52"/>
            <x v="59"/>
            <x v="69"/>
            <x v="72"/>
            <x v="73"/>
            <x v="74"/>
            <x v="82"/>
            <x v="85"/>
            <x v="86"/>
            <x v="92"/>
            <x v="98"/>
            <x v="99"/>
            <x v="104"/>
            <x v="105"/>
            <x v="108"/>
            <x v="119"/>
            <x v="130"/>
            <x v="133"/>
            <x v="137"/>
            <x v="138"/>
            <x v="139"/>
            <x v="145"/>
            <x v="157"/>
            <x v="159"/>
            <x v="185"/>
            <x v="191"/>
            <x v="195"/>
            <x v="196"/>
            <x v="204"/>
            <x v="205"/>
            <x v="212"/>
            <x v="213"/>
            <x v="218"/>
          </reference>
        </references>
      </pivotArea>
    </format>
    <format dxfId="1546">
      <pivotArea dataOnly="0" labelOnly="1" fieldPosition="0">
        <references count="1">
          <reference field="6" count="50">
            <x v="220"/>
            <x v="222"/>
            <x v="228"/>
            <x v="230"/>
            <x v="233"/>
            <x v="237"/>
            <x v="240"/>
            <x v="241"/>
            <x v="245"/>
            <x v="246"/>
            <x v="249"/>
            <x v="250"/>
            <x v="251"/>
            <x v="252"/>
            <x v="258"/>
            <x v="260"/>
            <x v="264"/>
            <x v="269"/>
            <x v="270"/>
            <x v="272"/>
            <x v="276"/>
            <x v="281"/>
            <x v="285"/>
            <x v="292"/>
            <x v="293"/>
            <x v="295"/>
            <x v="298"/>
            <x v="299"/>
            <x v="302"/>
            <x v="304"/>
            <x v="312"/>
            <x v="317"/>
            <x v="318"/>
            <x v="319"/>
            <x v="320"/>
            <x v="331"/>
            <x v="333"/>
            <x v="342"/>
            <x v="344"/>
            <x v="352"/>
            <x v="353"/>
            <x v="363"/>
            <x v="364"/>
            <x v="365"/>
            <x v="367"/>
            <x v="372"/>
            <x v="373"/>
            <x v="374"/>
            <x v="388"/>
            <x v="389"/>
          </reference>
        </references>
      </pivotArea>
    </format>
    <format dxfId="1545">
      <pivotArea dataOnly="0" labelOnly="1" fieldPosition="0">
        <references count="1">
          <reference field="6" count="50">
            <x v="392"/>
            <x v="394"/>
            <x v="396"/>
            <x v="397"/>
            <x v="409"/>
            <x v="411"/>
            <x v="414"/>
            <x v="416"/>
            <x v="418"/>
            <x v="423"/>
            <x v="427"/>
            <x v="433"/>
            <x v="438"/>
            <x v="440"/>
            <x v="444"/>
            <x v="448"/>
            <x v="453"/>
            <x v="459"/>
            <x v="460"/>
            <x v="467"/>
            <x v="468"/>
            <x v="470"/>
            <x v="472"/>
            <x v="479"/>
            <x v="481"/>
            <x v="491"/>
            <x v="492"/>
            <x v="493"/>
            <x v="495"/>
            <x v="504"/>
            <x v="507"/>
            <x v="508"/>
            <x v="510"/>
            <x v="512"/>
            <x v="518"/>
            <x v="521"/>
            <x v="522"/>
            <x v="524"/>
            <x v="526"/>
            <x v="531"/>
            <x v="532"/>
            <x v="533"/>
            <x v="535"/>
            <x v="539"/>
            <x v="541"/>
            <x v="542"/>
            <x v="549"/>
            <x v="554"/>
            <x v="562"/>
            <x v="563"/>
          </reference>
        </references>
      </pivotArea>
    </format>
    <format dxfId="1544">
      <pivotArea dataOnly="0" labelOnly="1" fieldPosition="0">
        <references count="1">
          <reference field="6" count="50">
            <x v="570"/>
            <x v="571"/>
            <x v="575"/>
            <x v="584"/>
            <x v="586"/>
            <x v="590"/>
            <x v="596"/>
            <x v="598"/>
            <x v="602"/>
            <x v="607"/>
            <x v="610"/>
            <x v="615"/>
            <x v="617"/>
            <x v="624"/>
            <x v="627"/>
            <x v="631"/>
            <x v="632"/>
            <x v="633"/>
            <x v="639"/>
            <x v="645"/>
            <x v="646"/>
            <x v="647"/>
            <x v="652"/>
            <x v="654"/>
            <x v="658"/>
            <x v="660"/>
            <x v="669"/>
            <x v="670"/>
            <x v="674"/>
            <x v="675"/>
            <x v="678"/>
            <x v="679"/>
            <x v="681"/>
            <x v="682"/>
            <x v="683"/>
            <x v="685"/>
            <x v="688"/>
            <x v="691"/>
            <x v="694"/>
            <x v="701"/>
            <x v="704"/>
            <x v="706"/>
            <x v="709"/>
            <x v="718"/>
            <x v="721"/>
            <x v="723"/>
            <x v="724"/>
            <x v="727"/>
            <x v="728"/>
            <x v="729"/>
          </reference>
        </references>
      </pivotArea>
    </format>
    <format dxfId="1543">
      <pivotArea dataOnly="0" labelOnly="1" fieldPosition="0">
        <references count="1">
          <reference field="6" count="50">
            <x v="731"/>
            <x v="737"/>
            <x v="743"/>
            <x v="748"/>
            <x v="751"/>
            <x v="753"/>
            <x v="758"/>
            <x v="761"/>
            <x v="762"/>
            <x v="763"/>
            <x v="764"/>
            <x v="766"/>
            <x v="768"/>
            <x v="769"/>
            <x v="770"/>
            <x v="772"/>
            <x v="773"/>
            <x v="780"/>
            <x v="782"/>
            <x v="785"/>
            <x v="786"/>
            <x v="787"/>
            <x v="789"/>
            <x v="792"/>
            <x v="794"/>
            <x v="800"/>
            <x v="809"/>
            <x v="833"/>
            <x v="836"/>
            <x v="838"/>
            <x v="840"/>
            <x v="845"/>
            <x v="848"/>
            <x v="859"/>
            <x v="869"/>
            <x v="870"/>
            <x v="874"/>
            <x v="880"/>
            <x v="887"/>
            <x v="889"/>
            <x v="890"/>
            <x v="891"/>
            <x v="892"/>
            <x v="894"/>
            <x v="899"/>
            <x v="900"/>
            <x v="911"/>
            <x v="929"/>
            <x v="939"/>
            <x v="941"/>
          </reference>
        </references>
      </pivotArea>
    </format>
    <format dxfId="1542">
      <pivotArea dataOnly="0" labelOnly="1" fieldPosition="0">
        <references count="1">
          <reference field="6" count="50">
            <x v="946"/>
            <x v="947"/>
            <x v="948"/>
            <x v="954"/>
            <x v="959"/>
            <x v="968"/>
            <x v="977"/>
            <x v="981"/>
            <x v="984"/>
            <x v="995"/>
            <x v="998"/>
            <x v="1012"/>
            <x v="1013"/>
            <x v="1019"/>
            <x v="1021"/>
            <x v="1029"/>
            <x v="1041"/>
            <x v="1046"/>
            <x v="1048"/>
            <x v="1053"/>
            <x v="1056"/>
            <x v="1057"/>
            <x v="1058"/>
            <x v="1061"/>
            <x v="1062"/>
            <x v="1064"/>
            <x v="1067"/>
            <x v="1073"/>
            <x v="1081"/>
            <x v="1083"/>
            <x v="1084"/>
            <x v="1091"/>
            <x v="1093"/>
            <x v="1094"/>
            <x v="1098"/>
            <x v="1101"/>
            <x v="1113"/>
            <x v="1116"/>
            <x v="1118"/>
            <x v="1120"/>
            <x v="1128"/>
            <x v="1129"/>
            <x v="1132"/>
            <x v="1133"/>
            <x v="1136"/>
            <x v="1137"/>
            <x v="1138"/>
            <x v="1145"/>
            <x v="1148"/>
            <x v="1156"/>
          </reference>
        </references>
      </pivotArea>
    </format>
    <format dxfId="1541">
      <pivotArea dataOnly="0" labelOnly="1" fieldPosition="0">
        <references count="1">
          <reference field="6" count="50">
            <x v="1158"/>
            <x v="1159"/>
            <x v="1161"/>
            <x v="1165"/>
            <x v="1170"/>
            <x v="1171"/>
            <x v="1177"/>
            <x v="1188"/>
            <x v="1190"/>
            <x v="1191"/>
            <x v="1199"/>
            <x v="1205"/>
            <x v="1206"/>
            <x v="1223"/>
            <x v="1224"/>
            <x v="1225"/>
            <x v="1227"/>
            <x v="1229"/>
            <x v="1235"/>
            <x v="1237"/>
            <x v="1239"/>
            <x v="1240"/>
            <x v="1244"/>
            <x v="1246"/>
            <x v="1256"/>
            <x v="1257"/>
            <x v="1261"/>
            <x v="1262"/>
            <x v="1270"/>
            <x v="1271"/>
            <x v="1273"/>
            <x v="1282"/>
            <x v="1293"/>
            <x v="1300"/>
            <x v="1303"/>
            <x v="1307"/>
            <x v="1311"/>
            <x v="1320"/>
            <x v="1332"/>
            <x v="1334"/>
            <x v="1343"/>
            <x v="1344"/>
            <x v="1350"/>
            <x v="1354"/>
            <x v="1355"/>
            <x v="1359"/>
            <x v="1368"/>
            <x v="1372"/>
            <x v="1373"/>
            <x v="1374"/>
          </reference>
        </references>
      </pivotArea>
    </format>
    <format dxfId="1540">
      <pivotArea dataOnly="0" labelOnly="1" fieldPosition="0">
        <references count="1">
          <reference field="6" count="50">
            <x v="1380"/>
            <x v="1381"/>
            <x v="1383"/>
            <x v="1390"/>
            <x v="1392"/>
            <x v="1396"/>
            <x v="1398"/>
            <x v="1399"/>
            <x v="1404"/>
            <x v="1406"/>
            <x v="1407"/>
            <x v="1417"/>
            <x v="1420"/>
            <x v="1424"/>
            <x v="1426"/>
            <x v="1427"/>
            <x v="1429"/>
            <x v="1441"/>
            <x v="1445"/>
            <x v="1449"/>
            <x v="1450"/>
            <x v="1455"/>
            <x v="1456"/>
            <x v="1457"/>
            <x v="1459"/>
            <x v="1470"/>
            <x v="1471"/>
            <x v="1481"/>
            <x v="1484"/>
            <x v="1488"/>
            <x v="1489"/>
            <x v="1491"/>
            <x v="1493"/>
            <x v="1495"/>
            <x v="1499"/>
            <x v="1500"/>
            <x v="1501"/>
            <x v="1508"/>
            <x v="1512"/>
            <x v="1513"/>
            <x v="1515"/>
            <x v="1516"/>
            <x v="1517"/>
            <x v="1519"/>
            <x v="1525"/>
            <x v="1527"/>
            <x v="1531"/>
            <x v="1533"/>
            <x v="1534"/>
            <x v="1535"/>
          </reference>
        </references>
      </pivotArea>
    </format>
    <format dxfId="1539">
      <pivotArea dataOnly="0" labelOnly="1" fieldPosition="0">
        <references count="1">
          <reference field="6" count="44">
            <x v="1537"/>
            <x v="1542"/>
            <x v="1543"/>
            <x v="1546"/>
            <x v="1548"/>
            <x v="1551"/>
            <x v="1555"/>
            <x v="1560"/>
            <x v="1564"/>
            <x v="1566"/>
            <x v="1567"/>
            <x v="1578"/>
            <x v="1580"/>
            <x v="1581"/>
            <x v="1584"/>
            <x v="1585"/>
            <x v="1586"/>
            <x v="1591"/>
            <x v="1592"/>
            <x v="1595"/>
            <x v="1603"/>
            <x v="1605"/>
            <x v="1610"/>
            <x v="1611"/>
            <x v="1625"/>
            <x v="1629"/>
            <x v="1630"/>
            <x v="1632"/>
            <x v="1635"/>
            <x v="1638"/>
            <x v="1647"/>
            <x v="1649"/>
            <x v="1652"/>
            <x v="1654"/>
            <x v="1655"/>
            <x v="1657"/>
            <x v="1662"/>
            <x v="1663"/>
            <x v="1667"/>
            <x v="1668"/>
            <x v="1671"/>
            <x v="1675"/>
            <x v="1676"/>
            <x v="1677"/>
          </reference>
        </references>
      </pivotArea>
    </format>
    <format dxfId="1538">
      <pivotArea outline="0" collapsedLevelsAreSubtotals="1" fieldPosition="0"/>
    </format>
    <format dxfId="1537">
      <pivotArea field="6" type="button" dataOnly="0" labelOnly="1" outline="0" axis="axisRow" fieldPosition="0"/>
    </format>
    <format dxfId="1536">
      <pivotArea dataOnly="0" labelOnly="1" fieldPosition="0">
        <references count="1">
          <reference field="6" count="50">
            <x v="0"/>
            <x v="3"/>
            <x v="6"/>
            <x v="8"/>
            <x v="9"/>
            <x v="10"/>
            <x v="12"/>
            <x v="15"/>
            <x v="19"/>
            <x v="20"/>
            <x v="21"/>
            <x v="26"/>
            <x v="29"/>
            <x v="30"/>
            <x v="31"/>
            <x v="33"/>
            <x v="35"/>
            <x v="36"/>
            <x v="37"/>
            <x v="39"/>
            <x v="48"/>
            <x v="52"/>
            <x v="57"/>
            <x v="59"/>
            <x v="63"/>
            <x v="69"/>
            <x v="72"/>
            <x v="73"/>
            <x v="74"/>
            <x v="78"/>
            <x v="80"/>
            <x v="82"/>
            <x v="85"/>
            <x v="86"/>
            <x v="88"/>
            <x v="91"/>
            <x v="92"/>
            <x v="98"/>
            <x v="99"/>
            <x v="102"/>
            <x v="104"/>
            <x v="105"/>
            <x v="108"/>
            <x v="118"/>
            <x v="119"/>
            <x v="123"/>
            <x v="129"/>
            <x v="130"/>
            <x v="133"/>
            <x v="137"/>
          </reference>
        </references>
      </pivotArea>
    </format>
    <format dxfId="1535">
      <pivotArea dataOnly="0" labelOnly="1" fieldPosition="0">
        <references count="1">
          <reference field="6" count="50">
            <x v="138"/>
            <x v="139"/>
            <x v="141"/>
            <x v="145"/>
            <x v="150"/>
            <x v="157"/>
            <x v="159"/>
            <x v="167"/>
            <x v="169"/>
            <x v="178"/>
            <x v="185"/>
            <x v="188"/>
            <x v="189"/>
            <x v="191"/>
            <x v="193"/>
            <x v="195"/>
            <x v="196"/>
            <x v="204"/>
            <x v="205"/>
            <x v="206"/>
            <x v="212"/>
            <x v="213"/>
            <x v="218"/>
            <x v="220"/>
            <x v="222"/>
            <x v="223"/>
            <x v="228"/>
            <x v="230"/>
            <x v="233"/>
            <x v="236"/>
            <x v="237"/>
            <x v="240"/>
            <x v="241"/>
            <x v="244"/>
            <x v="245"/>
            <x v="246"/>
            <x v="249"/>
            <x v="250"/>
            <x v="251"/>
            <x v="252"/>
            <x v="255"/>
            <x v="258"/>
            <x v="260"/>
            <x v="264"/>
            <x v="266"/>
            <x v="269"/>
            <x v="270"/>
            <x v="271"/>
            <x v="272"/>
            <x v="274"/>
          </reference>
        </references>
      </pivotArea>
    </format>
    <format dxfId="1534">
      <pivotArea dataOnly="0" labelOnly="1" fieldPosition="0">
        <references count="1">
          <reference field="6" count="50">
            <x v="276"/>
            <x v="280"/>
            <x v="281"/>
            <x v="284"/>
            <x v="285"/>
            <x v="292"/>
            <x v="293"/>
            <x v="295"/>
            <x v="298"/>
            <x v="299"/>
            <x v="302"/>
            <x v="304"/>
            <x v="312"/>
            <x v="313"/>
            <x v="317"/>
            <x v="318"/>
            <x v="319"/>
            <x v="320"/>
            <x v="322"/>
            <x v="323"/>
            <x v="330"/>
            <x v="331"/>
            <x v="333"/>
            <x v="336"/>
            <x v="342"/>
            <x v="344"/>
            <x v="346"/>
            <x v="347"/>
            <x v="352"/>
            <x v="353"/>
            <x v="355"/>
            <x v="356"/>
            <x v="360"/>
            <x v="363"/>
            <x v="364"/>
            <x v="365"/>
            <x v="367"/>
            <x v="368"/>
            <x v="372"/>
            <x v="373"/>
            <x v="374"/>
            <x v="376"/>
            <x v="377"/>
            <x v="381"/>
            <x v="388"/>
            <x v="389"/>
            <x v="392"/>
            <x v="393"/>
            <x v="394"/>
            <x v="396"/>
          </reference>
        </references>
      </pivotArea>
    </format>
    <format dxfId="1533">
      <pivotArea dataOnly="0" labelOnly="1" fieldPosition="0">
        <references count="1">
          <reference field="6" count="50">
            <x v="397"/>
            <x v="398"/>
            <x v="401"/>
            <x v="405"/>
            <x v="409"/>
            <x v="411"/>
            <x v="414"/>
            <x v="416"/>
            <x v="418"/>
            <x v="421"/>
            <x v="423"/>
            <x v="424"/>
            <x v="425"/>
            <x v="426"/>
            <x v="427"/>
            <x v="430"/>
            <x v="433"/>
            <x v="436"/>
            <x v="438"/>
            <x v="440"/>
            <x v="444"/>
            <x v="447"/>
            <x v="448"/>
            <x v="453"/>
            <x v="454"/>
            <x v="456"/>
            <x v="459"/>
            <x v="460"/>
            <x v="461"/>
            <x v="467"/>
            <x v="468"/>
            <x v="470"/>
            <x v="472"/>
            <x v="474"/>
            <x v="479"/>
            <x v="481"/>
            <x v="482"/>
            <x v="487"/>
            <x v="488"/>
            <x v="489"/>
            <x v="491"/>
            <x v="492"/>
            <x v="493"/>
            <x v="495"/>
            <x v="497"/>
            <x v="502"/>
            <x v="504"/>
            <x v="507"/>
            <x v="508"/>
            <x v="510"/>
          </reference>
        </references>
      </pivotArea>
    </format>
    <format dxfId="1532">
      <pivotArea dataOnly="0" labelOnly="1" fieldPosition="0">
        <references count="1">
          <reference field="6" count="50">
            <x v="512"/>
            <x v="518"/>
            <x v="520"/>
            <x v="521"/>
            <x v="522"/>
            <x v="524"/>
            <x v="525"/>
            <x v="526"/>
            <x v="529"/>
            <x v="531"/>
            <x v="532"/>
            <x v="533"/>
            <x v="535"/>
            <x v="537"/>
            <x v="539"/>
            <x v="541"/>
            <x v="542"/>
            <x v="549"/>
            <x v="550"/>
            <x v="554"/>
            <x v="555"/>
            <x v="562"/>
            <x v="563"/>
            <x v="570"/>
            <x v="571"/>
            <x v="573"/>
            <x v="575"/>
            <x v="576"/>
            <x v="579"/>
            <x v="584"/>
            <x v="586"/>
            <x v="588"/>
            <x v="590"/>
            <x v="591"/>
            <x v="596"/>
            <x v="598"/>
            <x v="602"/>
            <x v="607"/>
            <x v="609"/>
            <x v="610"/>
            <x v="612"/>
            <x v="615"/>
            <x v="617"/>
            <x v="624"/>
            <x v="627"/>
            <x v="629"/>
            <x v="631"/>
            <x v="632"/>
            <x v="633"/>
            <x v="638"/>
          </reference>
        </references>
      </pivotArea>
    </format>
    <format dxfId="1531">
      <pivotArea dataOnly="0" labelOnly="1" fieldPosition="0">
        <references count="1">
          <reference field="6" count="50">
            <x v="639"/>
            <x v="641"/>
            <x v="645"/>
            <x v="646"/>
            <x v="647"/>
            <x v="649"/>
            <x v="652"/>
            <x v="654"/>
            <x v="656"/>
            <x v="658"/>
            <x v="660"/>
            <x v="664"/>
            <x v="668"/>
            <x v="669"/>
            <x v="670"/>
            <x v="674"/>
            <x v="675"/>
            <x v="676"/>
            <x v="677"/>
            <x v="678"/>
            <x v="679"/>
            <x v="681"/>
            <x v="682"/>
            <x v="683"/>
            <x v="685"/>
            <x v="686"/>
            <x v="688"/>
            <x v="689"/>
            <x v="691"/>
            <x v="694"/>
            <x v="701"/>
            <x v="704"/>
            <x v="705"/>
            <x v="706"/>
            <x v="709"/>
            <x v="715"/>
            <x v="716"/>
            <x v="718"/>
            <x v="721"/>
            <x v="723"/>
            <x v="724"/>
            <x v="727"/>
            <x v="728"/>
            <x v="729"/>
            <x v="731"/>
            <x v="732"/>
            <x v="733"/>
            <x v="737"/>
            <x v="738"/>
            <x v="739"/>
          </reference>
        </references>
      </pivotArea>
    </format>
    <format dxfId="1530">
      <pivotArea dataOnly="0" labelOnly="1" fieldPosition="0">
        <references count="1">
          <reference field="6" count="50">
            <x v="743"/>
            <x v="745"/>
            <x v="747"/>
            <x v="748"/>
            <x v="751"/>
            <x v="753"/>
            <x v="758"/>
            <x v="761"/>
            <x v="762"/>
            <x v="763"/>
            <x v="764"/>
            <x v="766"/>
            <x v="768"/>
            <x v="769"/>
            <x v="770"/>
            <x v="771"/>
            <x v="772"/>
            <x v="773"/>
            <x v="780"/>
            <x v="782"/>
            <x v="783"/>
            <x v="785"/>
            <x v="786"/>
            <x v="787"/>
            <x v="789"/>
            <x v="791"/>
            <x v="792"/>
            <x v="794"/>
            <x v="798"/>
            <x v="800"/>
            <x v="805"/>
            <x v="809"/>
            <x v="811"/>
            <x v="812"/>
            <x v="813"/>
            <x v="818"/>
            <x v="821"/>
            <x v="828"/>
            <x v="829"/>
            <x v="833"/>
            <x v="836"/>
            <x v="838"/>
            <x v="840"/>
            <x v="845"/>
            <x v="847"/>
            <x v="848"/>
            <x v="849"/>
            <x v="855"/>
            <x v="858"/>
            <x v="859"/>
          </reference>
        </references>
      </pivotArea>
    </format>
    <format dxfId="1529">
      <pivotArea dataOnly="0" labelOnly="1" fieldPosition="0">
        <references count="1">
          <reference field="6" count="50">
            <x v="862"/>
            <x v="863"/>
            <x v="865"/>
            <x v="869"/>
            <x v="870"/>
            <x v="873"/>
            <x v="874"/>
            <x v="880"/>
            <x v="883"/>
            <x v="887"/>
            <x v="889"/>
            <x v="890"/>
            <x v="891"/>
            <x v="892"/>
            <x v="894"/>
            <x v="896"/>
            <x v="899"/>
            <x v="900"/>
            <x v="902"/>
            <x v="904"/>
            <x v="905"/>
            <x v="906"/>
            <x v="911"/>
            <x v="929"/>
            <x v="930"/>
            <x v="931"/>
            <x v="937"/>
            <x v="939"/>
            <x v="941"/>
            <x v="946"/>
            <x v="947"/>
            <x v="948"/>
            <x v="950"/>
            <x v="954"/>
            <x v="959"/>
            <x v="962"/>
            <x v="965"/>
            <x v="968"/>
            <x v="973"/>
            <x v="975"/>
            <x v="976"/>
            <x v="977"/>
            <x v="981"/>
            <x v="984"/>
            <x v="986"/>
            <x v="995"/>
            <x v="998"/>
            <x v="1001"/>
            <x v="1004"/>
            <x v="1007"/>
          </reference>
        </references>
      </pivotArea>
    </format>
    <format dxfId="1528">
      <pivotArea dataOnly="0" labelOnly="1" fieldPosition="0">
        <references count="1">
          <reference field="6" count="50">
            <x v="1012"/>
            <x v="1013"/>
            <x v="1019"/>
            <x v="1021"/>
            <x v="1029"/>
            <x v="1032"/>
            <x v="1037"/>
            <x v="1039"/>
            <x v="1041"/>
            <x v="1046"/>
            <x v="1048"/>
            <x v="1049"/>
            <x v="1053"/>
            <x v="1056"/>
            <x v="1057"/>
            <x v="1058"/>
            <x v="1061"/>
            <x v="1062"/>
            <x v="1063"/>
            <x v="1064"/>
            <x v="1067"/>
            <x v="1072"/>
            <x v="1073"/>
            <x v="1076"/>
            <x v="1081"/>
            <x v="1083"/>
            <x v="1084"/>
            <x v="1085"/>
            <x v="1086"/>
            <x v="1091"/>
            <x v="1092"/>
            <x v="1093"/>
            <x v="1094"/>
            <x v="1098"/>
            <x v="1101"/>
            <x v="1113"/>
            <x v="1114"/>
            <x v="1115"/>
            <x v="1116"/>
            <x v="1118"/>
            <x v="1120"/>
            <x v="1126"/>
            <x v="1128"/>
            <x v="1129"/>
            <x v="1131"/>
            <x v="1132"/>
            <x v="1133"/>
            <x v="1136"/>
            <x v="1137"/>
            <x v="1138"/>
          </reference>
        </references>
      </pivotArea>
    </format>
    <format dxfId="1527">
      <pivotArea dataOnly="0" labelOnly="1" fieldPosition="0">
        <references count="1">
          <reference field="6" count="50">
            <x v="1142"/>
            <x v="1145"/>
            <x v="1148"/>
            <x v="1150"/>
            <x v="1156"/>
            <x v="1158"/>
            <x v="1159"/>
            <x v="1161"/>
            <x v="1163"/>
            <x v="1164"/>
            <x v="1165"/>
            <x v="1170"/>
            <x v="1171"/>
            <x v="1176"/>
            <x v="1177"/>
            <x v="1188"/>
            <x v="1190"/>
            <x v="1191"/>
            <x v="1194"/>
            <x v="1195"/>
            <x v="1199"/>
            <x v="1205"/>
            <x v="1206"/>
            <x v="1208"/>
            <x v="1213"/>
            <x v="1218"/>
            <x v="1219"/>
            <x v="1223"/>
            <x v="1224"/>
            <x v="1225"/>
            <x v="1227"/>
            <x v="1229"/>
            <x v="1235"/>
            <x v="1237"/>
            <x v="1239"/>
            <x v="1240"/>
            <x v="1244"/>
            <x v="1246"/>
            <x v="1247"/>
            <x v="1254"/>
            <x v="1256"/>
            <x v="1257"/>
            <x v="1261"/>
            <x v="1262"/>
            <x v="1267"/>
            <x v="1270"/>
            <x v="1271"/>
            <x v="1272"/>
            <x v="1273"/>
            <x v="1275"/>
          </reference>
        </references>
      </pivotArea>
    </format>
    <format dxfId="1526">
      <pivotArea dataOnly="0" labelOnly="1" fieldPosition="0">
        <references count="1">
          <reference field="6" count="50">
            <x v="1282"/>
            <x v="1286"/>
            <x v="1290"/>
            <x v="1293"/>
            <x v="1297"/>
            <x v="1300"/>
            <x v="1301"/>
            <x v="1303"/>
            <x v="1307"/>
            <x v="1308"/>
            <x v="1311"/>
            <x v="1318"/>
            <x v="1320"/>
            <x v="1323"/>
            <x v="1324"/>
            <x v="1327"/>
            <x v="1332"/>
            <x v="1334"/>
            <x v="1338"/>
            <x v="1341"/>
            <x v="1343"/>
            <x v="1344"/>
            <x v="1346"/>
            <x v="1349"/>
            <x v="1350"/>
            <x v="1351"/>
            <x v="1354"/>
            <x v="1355"/>
            <x v="1359"/>
            <x v="1361"/>
            <x v="1365"/>
            <x v="1368"/>
            <x v="1369"/>
            <x v="1372"/>
            <x v="1373"/>
            <x v="1374"/>
            <x v="1378"/>
            <x v="1380"/>
            <x v="1381"/>
            <x v="1383"/>
            <x v="1389"/>
            <x v="1390"/>
            <x v="1392"/>
            <x v="1394"/>
            <x v="1396"/>
            <x v="1398"/>
            <x v="1399"/>
            <x v="1404"/>
            <x v="1406"/>
            <x v="1407"/>
          </reference>
        </references>
      </pivotArea>
    </format>
    <format dxfId="1525">
      <pivotArea dataOnly="0" labelOnly="1" fieldPosition="0">
        <references count="1">
          <reference field="6" count="50">
            <x v="1417"/>
            <x v="1420"/>
            <x v="1424"/>
            <x v="1425"/>
            <x v="1426"/>
            <x v="1427"/>
            <x v="1428"/>
            <x v="1429"/>
            <x v="1434"/>
            <x v="1436"/>
            <x v="1441"/>
            <x v="1445"/>
            <x v="1446"/>
            <x v="1447"/>
            <x v="1449"/>
            <x v="1450"/>
            <x v="1454"/>
            <x v="1455"/>
            <x v="1456"/>
            <x v="1457"/>
            <x v="1459"/>
            <x v="1464"/>
            <x v="1467"/>
            <x v="1470"/>
            <x v="1471"/>
            <x v="1472"/>
            <x v="1476"/>
            <x v="1481"/>
            <x v="1483"/>
            <x v="1484"/>
            <x v="1486"/>
            <x v="1488"/>
            <x v="1489"/>
            <x v="1491"/>
            <x v="1493"/>
            <x v="1494"/>
            <x v="1495"/>
            <x v="1497"/>
            <x v="1499"/>
            <x v="1500"/>
            <x v="1501"/>
            <x v="1506"/>
            <x v="1508"/>
            <x v="1512"/>
            <x v="1513"/>
            <x v="1515"/>
            <x v="1516"/>
            <x v="1517"/>
            <x v="1518"/>
            <x v="1519"/>
          </reference>
        </references>
      </pivotArea>
    </format>
    <format dxfId="1524">
      <pivotArea dataOnly="0" labelOnly="1" fieldPosition="0">
        <references count="1">
          <reference field="6" count="50">
            <x v="1525"/>
            <x v="1527"/>
            <x v="1531"/>
            <x v="1533"/>
            <x v="1534"/>
            <x v="1535"/>
            <x v="1537"/>
            <x v="1541"/>
            <x v="1542"/>
            <x v="1543"/>
            <x v="1546"/>
            <x v="1548"/>
            <x v="1550"/>
            <x v="1551"/>
            <x v="1555"/>
            <x v="1560"/>
            <x v="1561"/>
            <x v="1564"/>
            <x v="1566"/>
            <x v="1567"/>
            <x v="1570"/>
            <x v="1571"/>
            <x v="1572"/>
            <x v="1575"/>
            <x v="1576"/>
            <x v="1578"/>
            <x v="1579"/>
            <x v="1580"/>
            <x v="1581"/>
            <x v="1584"/>
            <x v="1585"/>
            <x v="1586"/>
            <x v="1588"/>
            <x v="1591"/>
            <x v="1592"/>
            <x v="1595"/>
            <x v="1602"/>
            <x v="1603"/>
            <x v="1605"/>
            <x v="1609"/>
            <x v="1610"/>
            <x v="1611"/>
            <x v="1625"/>
            <x v="1629"/>
            <x v="1630"/>
            <x v="1632"/>
            <x v="1633"/>
            <x v="1635"/>
            <x v="1636"/>
            <x v="1638"/>
          </reference>
        </references>
      </pivotArea>
    </format>
    <format dxfId="1523">
      <pivotArea dataOnly="0" labelOnly="1" fieldPosition="0">
        <references count="1">
          <reference field="6" count="17">
            <x v="1640"/>
            <x v="1641"/>
            <x v="1647"/>
            <x v="1649"/>
            <x v="1652"/>
            <x v="1654"/>
            <x v="1655"/>
            <x v="1657"/>
            <x v="1662"/>
            <x v="1663"/>
            <x v="1665"/>
            <x v="1667"/>
            <x v="1668"/>
            <x v="1671"/>
            <x v="1675"/>
            <x v="1676"/>
            <x v="1677"/>
          </reference>
        </references>
      </pivotArea>
    </format>
    <format dxfId="1522">
      <pivotArea dataOnly="0" labelOnly="1" grandRow="1" outline="0" fieldPosition="0"/>
    </format>
    <format dxfId="1521">
      <pivotArea dataOnly="0" labelOnly="1" fieldPosition="0">
        <references count="1">
          <reference field="19" count="0"/>
        </references>
      </pivotArea>
    </format>
    <format dxfId="1520">
      <pivotArea dataOnly="0" labelOnly="1" grandCol="1" outline="0" fieldPosition="0"/>
    </format>
    <format dxfId="1519">
      <pivotArea collapsedLevelsAreSubtotals="1" fieldPosition="0">
        <references count="1">
          <reference field="6" count="801">
            <x v="0"/>
            <x v="3"/>
            <x v="6"/>
            <x v="8"/>
            <x v="9"/>
            <x v="10"/>
            <x v="12"/>
            <x v="15"/>
            <x v="16"/>
            <x v="19"/>
            <x v="20"/>
            <x v="21"/>
            <x v="26"/>
            <x v="28"/>
            <x v="29"/>
            <x v="30"/>
            <x v="31"/>
            <x v="33"/>
            <x v="35"/>
            <x v="36"/>
            <x v="37"/>
            <x v="39"/>
            <x v="42"/>
            <x v="48"/>
            <x v="52"/>
            <x v="56"/>
            <x v="57"/>
            <x v="59"/>
            <x v="63"/>
            <x v="64"/>
            <x v="66"/>
            <x v="69"/>
            <x v="72"/>
            <x v="73"/>
            <x v="74"/>
            <x v="78"/>
            <x v="80"/>
            <x v="82"/>
            <x v="84"/>
            <x v="85"/>
            <x v="86"/>
            <x v="87"/>
            <x v="88"/>
            <x v="91"/>
            <x v="92"/>
            <x v="98"/>
            <x v="99"/>
            <x v="102"/>
            <x v="104"/>
            <x v="105"/>
            <x v="108"/>
            <x v="111"/>
            <x v="114"/>
            <x v="118"/>
            <x v="119"/>
            <x v="123"/>
            <x v="128"/>
            <x v="129"/>
            <x v="130"/>
            <x v="133"/>
            <x v="137"/>
            <x v="138"/>
            <x v="139"/>
            <x v="141"/>
            <x v="145"/>
            <x v="150"/>
            <x v="153"/>
            <x v="157"/>
            <x v="159"/>
            <x v="167"/>
            <x v="168"/>
            <x v="169"/>
            <x v="176"/>
            <x v="178"/>
            <x v="184"/>
            <x v="185"/>
            <x v="187"/>
            <x v="188"/>
            <x v="189"/>
            <x v="190"/>
            <x v="191"/>
            <x v="193"/>
            <x v="195"/>
            <x v="196"/>
            <x v="200"/>
            <x v="202"/>
            <x v="204"/>
            <x v="205"/>
            <x v="206"/>
            <x v="212"/>
            <x v="213"/>
            <x v="217"/>
            <x v="218"/>
            <x v="220"/>
            <x v="222"/>
            <x v="223"/>
            <x v="228"/>
            <x v="230"/>
            <x v="233"/>
            <x v="236"/>
            <x v="237"/>
            <x v="240"/>
            <x v="241"/>
            <x v="244"/>
            <x v="245"/>
            <x v="246"/>
            <x v="248"/>
            <x v="249"/>
            <x v="250"/>
            <x v="251"/>
            <x v="252"/>
            <x v="253"/>
            <x v="255"/>
            <x v="258"/>
            <x v="260"/>
            <x v="262"/>
            <x v="264"/>
            <x v="266"/>
            <x v="269"/>
            <x v="270"/>
            <x v="271"/>
            <x v="272"/>
            <x v="274"/>
            <x v="276"/>
            <x v="280"/>
            <x v="281"/>
            <x v="283"/>
            <x v="284"/>
            <x v="285"/>
            <x v="289"/>
            <x v="292"/>
            <x v="293"/>
            <x v="295"/>
            <x v="298"/>
            <x v="299"/>
            <x v="302"/>
            <x v="304"/>
            <x v="305"/>
            <x v="312"/>
            <x v="313"/>
            <x v="317"/>
            <x v="318"/>
            <x v="319"/>
            <x v="320"/>
            <x v="322"/>
            <x v="323"/>
            <x v="324"/>
            <x v="330"/>
            <x v="331"/>
            <x v="333"/>
            <x v="336"/>
            <x v="338"/>
            <x v="340"/>
            <x v="341"/>
            <x v="342"/>
            <x v="344"/>
            <x v="346"/>
            <x v="347"/>
            <x v="352"/>
            <x v="353"/>
            <x v="355"/>
            <x v="356"/>
            <x v="359"/>
            <x v="360"/>
            <x v="362"/>
            <x v="363"/>
            <x v="364"/>
            <x v="365"/>
            <x v="367"/>
            <x v="368"/>
            <x v="372"/>
            <x v="373"/>
            <x v="374"/>
            <x v="376"/>
            <x v="377"/>
            <x v="381"/>
            <x v="382"/>
            <x v="388"/>
            <x v="389"/>
            <x v="392"/>
            <x v="393"/>
            <x v="394"/>
            <x v="395"/>
            <x v="396"/>
            <x v="397"/>
            <x v="398"/>
            <x v="399"/>
            <x v="401"/>
            <x v="405"/>
            <x v="409"/>
            <x v="411"/>
            <x v="414"/>
            <x v="415"/>
            <x v="416"/>
            <x v="417"/>
            <x v="418"/>
            <x v="420"/>
            <x v="421"/>
            <x v="423"/>
            <x v="424"/>
            <x v="425"/>
            <x v="426"/>
            <x v="427"/>
            <x v="428"/>
            <x v="430"/>
            <x v="433"/>
            <x v="436"/>
            <x v="437"/>
            <x v="438"/>
            <x v="439"/>
            <x v="440"/>
            <x v="444"/>
            <x v="447"/>
            <x v="448"/>
            <x v="450"/>
            <x v="453"/>
            <x v="454"/>
            <x v="456"/>
            <x v="459"/>
            <x v="460"/>
            <x v="461"/>
            <x v="462"/>
            <x v="463"/>
            <x v="465"/>
            <x v="467"/>
            <x v="468"/>
            <x v="469"/>
            <x v="470"/>
            <x v="472"/>
            <x v="474"/>
            <x v="479"/>
            <x v="481"/>
            <x v="482"/>
            <x v="483"/>
            <x v="487"/>
            <x v="488"/>
            <x v="489"/>
            <x v="491"/>
            <x v="492"/>
            <x v="493"/>
            <x v="494"/>
            <x v="495"/>
            <x v="497"/>
            <x v="501"/>
            <x v="502"/>
            <x v="504"/>
            <x v="507"/>
            <x v="508"/>
            <x v="510"/>
            <x v="511"/>
            <x v="512"/>
            <x v="513"/>
            <x v="517"/>
            <x v="518"/>
            <x v="520"/>
            <x v="521"/>
            <x v="522"/>
            <x v="524"/>
            <x v="525"/>
            <x v="526"/>
            <x v="528"/>
            <x v="529"/>
            <x v="531"/>
            <x v="532"/>
            <x v="533"/>
            <x v="535"/>
            <x v="537"/>
            <x v="539"/>
            <x v="540"/>
            <x v="541"/>
            <x v="542"/>
            <x v="549"/>
            <x v="550"/>
            <x v="554"/>
            <x v="555"/>
            <x v="557"/>
            <x v="558"/>
            <x v="562"/>
            <x v="563"/>
            <x v="565"/>
            <x v="570"/>
            <x v="571"/>
            <x v="572"/>
            <x v="573"/>
            <x v="575"/>
            <x v="576"/>
            <x v="579"/>
            <x v="584"/>
            <x v="586"/>
            <x v="588"/>
            <x v="590"/>
            <x v="591"/>
            <x v="596"/>
            <x v="598"/>
            <x v="600"/>
            <x v="602"/>
            <x v="607"/>
            <x v="609"/>
            <x v="610"/>
            <x v="612"/>
            <x v="615"/>
            <x v="616"/>
            <x v="617"/>
            <x v="621"/>
            <x v="624"/>
            <x v="627"/>
            <x v="628"/>
            <x v="629"/>
            <x v="631"/>
            <x v="632"/>
            <x v="633"/>
            <x v="637"/>
            <x v="638"/>
            <x v="639"/>
            <x v="641"/>
            <x v="645"/>
            <x v="646"/>
            <x v="647"/>
            <x v="649"/>
            <x v="652"/>
            <x v="654"/>
            <x v="656"/>
            <x v="658"/>
            <x v="660"/>
            <x v="662"/>
            <x v="664"/>
            <x v="668"/>
            <x v="669"/>
            <x v="670"/>
            <x v="672"/>
            <x v="674"/>
            <x v="675"/>
            <x v="676"/>
            <x v="677"/>
            <x v="678"/>
            <x v="679"/>
            <x v="681"/>
            <x v="682"/>
            <x v="683"/>
            <x v="685"/>
            <x v="686"/>
            <x v="687"/>
            <x v="688"/>
            <x v="689"/>
            <x v="691"/>
            <x v="694"/>
            <x v="696"/>
            <x v="697"/>
            <x v="701"/>
            <x v="704"/>
            <x v="705"/>
            <x v="706"/>
            <x v="708"/>
            <x v="709"/>
            <x v="715"/>
            <x v="716"/>
            <x v="717"/>
            <x v="718"/>
            <x v="721"/>
            <x v="723"/>
            <x v="724"/>
            <x v="727"/>
            <x v="728"/>
            <x v="729"/>
            <x v="731"/>
            <x v="732"/>
            <x v="733"/>
            <x v="737"/>
            <x v="738"/>
            <x v="739"/>
            <x v="743"/>
            <x v="745"/>
            <x v="747"/>
            <x v="748"/>
            <x v="750"/>
            <x v="751"/>
            <x v="753"/>
            <x v="758"/>
            <x v="761"/>
            <x v="762"/>
            <x v="763"/>
            <x v="764"/>
            <x v="766"/>
            <x v="767"/>
            <x v="768"/>
            <x v="769"/>
            <x v="770"/>
            <x v="771"/>
            <x v="772"/>
            <x v="773"/>
            <x v="780"/>
            <x v="782"/>
            <x v="783"/>
            <x v="785"/>
            <x v="786"/>
            <x v="787"/>
            <x v="788"/>
            <x v="789"/>
            <x v="791"/>
            <x v="792"/>
            <x v="794"/>
            <x v="795"/>
            <x v="798"/>
            <x v="800"/>
            <x v="805"/>
            <x v="808"/>
            <x v="809"/>
            <x v="811"/>
            <x v="812"/>
            <x v="813"/>
            <x v="815"/>
            <x v="816"/>
            <x v="818"/>
            <x v="821"/>
            <x v="828"/>
            <x v="829"/>
            <x v="832"/>
            <x v="833"/>
            <x v="835"/>
            <x v="836"/>
            <x v="837"/>
            <x v="838"/>
            <x v="840"/>
            <x v="844"/>
            <x v="845"/>
            <x v="846"/>
            <x v="847"/>
            <x v="848"/>
            <x v="849"/>
            <x v="855"/>
            <x v="858"/>
            <x v="859"/>
            <x v="862"/>
            <x v="863"/>
            <x v="865"/>
            <x v="868"/>
            <x v="869"/>
            <x v="870"/>
            <x v="873"/>
            <x v="874"/>
            <x v="877"/>
            <x v="878"/>
            <x v="880"/>
            <x v="883"/>
            <x v="887"/>
            <x v="889"/>
            <x v="890"/>
            <x v="891"/>
            <x v="892"/>
            <x v="894"/>
            <x v="896"/>
            <x v="899"/>
            <x v="900"/>
            <x v="902"/>
            <x v="904"/>
            <x v="905"/>
            <x v="906"/>
            <x v="911"/>
            <x v="920"/>
            <x v="921"/>
            <x v="923"/>
            <x v="929"/>
            <x v="930"/>
            <x v="931"/>
            <x v="937"/>
            <x v="939"/>
            <x v="941"/>
            <x v="944"/>
            <x v="946"/>
            <x v="947"/>
            <x v="948"/>
            <x v="950"/>
            <x v="954"/>
            <x v="955"/>
            <x v="959"/>
            <x v="962"/>
            <x v="964"/>
            <x v="965"/>
            <x v="966"/>
            <x v="968"/>
            <x v="969"/>
            <x v="973"/>
            <x v="975"/>
            <x v="976"/>
            <x v="977"/>
            <x v="979"/>
            <x v="981"/>
            <x v="984"/>
            <x v="986"/>
            <x v="994"/>
            <x v="995"/>
            <x v="998"/>
            <x v="1001"/>
            <x v="1004"/>
            <x v="1006"/>
            <x v="1007"/>
            <x v="1012"/>
            <x v="1013"/>
            <x v="1014"/>
            <x v="1019"/>
            <x v="1021"/>
            <x v="1024"/>
            <x v="1029"/>
            <x v="1032"/>
            <x v="1035"/>
            <x v="1037"/>
            <x v="1039"/>
            <x v="1041"/>
            <x v="1046"/>
            <x v="1048"/>
            <x v="1049"/>
            <x v="1053"/>
            <x v="1056"/>
            <x v="1057"/>
            <x v="1058"/>
            <x v="1060"/>
            <x v="1061"/>
            <x v="1062"/>
            <x v="1063"/>
            <x v="1064"/>
            <x v="1067"/>
            <x v="1072"/>
            <x v="1073"/>
            <x v="1076"/>
            <x v="1078"/>
            <x v="1081"/>
            <x v="1083"/>
            <x v="1084"/>
            <x v="1085"/>
            <x v="1086"/>
            <x v="1091"/>
            <x v="1092"/>
            <x v="1093"/>
            <x v="1094"/>
            <x v="1098"/>
            <x v="1101"/>
            <x v="1104"/>
            <x v="1106"/>
            <x v="1113"/>
            <x v="1114"/>
            <x v="1115"/>
            <x v="1116"/>
            <x v="1118"/>
            <x v="1120"/>
            <x v="1126"/>
            <x v="1128"/>
            <x v="1129"/>
            <x v="1131"/>
            <x v="1132"/>
            <x v="1133"/>
            <x v="1136"/>
            <x v="1137"/>
            <x v="1138"/>
            <x v="1142"/>
            <x v="1144"/>
            <x v="1145"/>
            <x v="1148"/>
            <x v="1150"/>
            <x v="1151"/>
            <x v="1155"/>
            <x v="1156"/>
            <x v="1157"/>
            <x v="1158"/>
            <x v="1159"/>
            <x v="1161"/>
            <x v="1163"/>
            <x v="1164"/>
            <x v="1165"/>
            <x v="1168"/>
            <x v="1170"/>
            <x v="1171"/>
            <x v="1176"/>
            <x v="1177"/>
            <x v="1188"/>
            <x v="1189"/>
            <x v="1190"/>
            <x v="1191"/>
            <x v="1194"/>
            <x v="1195"/>
            <x v="1199"/>
            <x v="1204"/>
            <x v="1205"/>
            <x v="1206"/>
            <x v="1208"/>
            <x v="1211"/>
            <x v="1213"/>
            <x v="1218"/>
            <x v="1219"/>
            <x v="1223"/>
            <x v="1224"/>
            <x v="1225"/>
            <x v="1227"/>
            <x v="1229"/>
            <x v="1232"/>
            <x v="1235"/>
            <x v="1236"/>
            <x v="1237"/>
            <x v="1239"/>
            <x v="1240"/>
            <x v="1244"/>
            <x v="1246"/>
            <x v="1247"/>
            <x v="1250"/>
            <x v="1254"/>
            <x v="1256"/>
            <x v="1257"/>
            <x v="1261"/>
            <x v="1262"/>
            <x v="1263"/>
            <x v="1265"/>
            <x v="1267"/>
            <x v="1270"/>
            <x v="1271"/>
            <x v="1272"/>
            <x v="1273"/>
            <x v="1275"/>
            <x v="1282"/>
            <x v="1284"/>
            <x v="1285"/>
            <x v="1286"/>
            <x v="1290"/>
            <x v="1293"/>
            <x v="1294"/>
            <x v="1297"/>
            <x v="1300"/>
            <x v="1301"/>
            <x v="1303"/>
            <x v="1307"/>
            <x v="1308"/>
            <x v="1310"/>
            <x v="1311"/>
            <x v="1318"/>
            <x v="1320"/>
            <x v="1323"/>
            <x v="1324"/>
            <x v="1327"/>
            <x v="1331"/>
            <x v="1332"/>
            <x v="1334"/>
            <x v="1338"/>
            <x v="1341"/>
            <x v="1342"/>
            <x v="1343"/>
            <x v="1344"/>
            <x v="1346"/>
            <x v="1349"/>
            <x v="1350"/>
            <x v="1351"/>
            <x v="1354"/>
            <x v="1355"/>
            <x v="1359"/>
            <x v="1361"/>
            <x v="1365"/>
            <x v="1366"/>
            <x v="1368"/>
            <x v="1369"/>
            <x v="1370"/>
            <x v="1372"/>
            <x v="1373"/>
            <x v="1374"/>
            <x v="1378"/>
            <x v="1380"/>
            <x v="1381"/>
            <x v="1383"/>
            <x v="1389"/>
            <x v="1390"/>
            <x v="1392"/>
            <x v="1394"/>
            <x v="1396"/>
            <x v="1398"/>
            <x v="1399"/>
            <x v="1404"/>
            <x v="1406"/>
            <x v="1407"/>
            <x v="1408"/>
            <x v="1417"/>
            <x v="1419"/>
            <x v="1420"/>
            <x v="1424"/>
            <x v="1425"/>
            <x v="1426"/>
            <x v="1427"/>
            <x v="1428"/>
            <x v="1429"/>
            <x v="1434"/>
            <x v="1436"/>
            <x v="1438"/>
            <x v="1440"/>
            <x v="1441"/>
            <x v="1445"/>
            <x v="1446"/>
            <x v="1447"/>
            <x v="1449"/>
            <x v="1450"/>
            <x v="1454"/>
            <x v="1455"/>
            <x v="1456"/>
            <x v="1457"/>
            <x v="1459"/>
            <x v="1460"/>
            <x v="1464"/>
            <x v="1467"/>
            <x v="1469"/>
            <x v="1470"/>
            <x v="1471"/>
            <x v="1472"/>
            <x v="1476"/>
            <x v="1481"/>
            <x v="1483"/>
            <x v="1484"/>
            <x v="1486"/>
            <x v="1488"/>
            <x v="1489"/>
            <x v="1491"/>
            <x v="1493"/>
            <x v="1494"/>
            <x v="1495"/>
            <x v="1497"/>
            <x v="1499"/>
            <x v="1500"/>
            <x v="1501"/>
            <x v="1503"/>
            <x v="1506"/>
            <x v="1508"/>
            <x v="1512"/>
            <x v="1513"/>
            <x v="1515"/>
            <x v="1516"/>
            <x v="1517"/>
            <x v="1518"/>
            <x v="1519"/>
            <x v="1525"/>
            <x v="1527"/>
            <x v="1531"/>
            <x v="1533"/>
            <x v="1534"/>
            <x v="1535"/>
            <x v="1537"/>
            <x v="1540"/>
            <x v="1541"/>
            <x v="1542"/>
            <x v="1543"/>
            <x v="1546"/>
            <x v="1548"/>
            <x v="1550"/>
            <x v="1551"/>
            <x v="1555"/>
            <x v="1560"/>
            <x v="1561"/>
            <x v="1564"/>
            <x v="1566"/>
            <x v="1567"/>
            <x v="1570"/>
            <x v="1571"/>
            <x v="1572"/>
            <x v="1573"/>
            <x v="1575"/>
            <x v="1576"/>
            <x v="1578"/>
            <x v="1579"/>
            <x v="1580"/>
            <x v="1581"/>
            <x v="1584"/>
            <x v="1585"/>
            <x v="1586"/>
            <x v="1588"/>
            <x v="1591"/>
            <x v="1592"/>
            <x v="1595"/>
            <x v="1602"/>
            <x v="1603"/>
            <x v="1605"/>
            <x v="1609"/>
            <x v="1610"/>
            <x v="1611"/>
            <x v="1625"/>
            <x v="1629"/>
            <x v="1630"/>
            <x v="1632"/>
            <x v="1633"/>
            <x v="1635"/>
            <x v="1636"/>
            <x v="1638"/>
            <x v="1640"/>
            <x v="1641"/>
            <x v="1647"/>
            <x v="1649"/>
            <x v="1650"/>
            <x v="1652"/>
            <x v="1654"/>
            <x v="1655"/>
            <x v="1657"/>
            <x v="1662"/>
            <x v="1663"/>
            <x v="1665"/>
            <x v="1667"/>
            <x v="1668"/>
            <x v="1671"/>
            <x v="1675"/>
            <x v="1676"/>
            <x v="1677"/>
          </reference>
        </references>
      </pivotArea>
    </format>
    <format dxfId="1518">
      <pivotArea dataOnly="0" labelOnly="1" fieldPosition="0">
        <references count="1">
          <reference field="6" count="50">
            <x v="0"/>
            <x v="3"/>
            <x v="6"/>
            <x v="8"/>
            <x v="9"/>
            <x v="10"/>
            <x v="12"/>
            <x v="15"/>
            <x v="16"/>
            <x v="19"/>
            <x v="20"/>
            <x v="21"/>
            <x v="26"/>
            <x v="28"/>
            <x v="29"/>
            <x v="30"/>
            <x v="31"/>
            <x v="33"/>
            <x v="35"/>
            <x v="36"/>
            <x v="37"/>
            <x v="39"/>
            <x v="42"/>
            <x v="48"/>
            <x v="52"/>
            <x v="56"/>
            <x v="57"/>
            <x v="59"/>
            <x v="63"/>
            <x v="64"/>
            <x v="66"/>
            <x v="69"/>
            <x v="72"/>
            <x v="73"/>
            <x v="74"/>
            <x v="78"/>
            <x v="80"/>
            <x v="82"/>
            <x v="84"/>
            <x v="85"/>
            <x v="86"/>
            <x v="87"/>
            <x v="88"/>
            <x v="91"/>
            <x v="92"/>
            <x v="98"/>
            <x v="99"/>
            <x v="102"/>
            <x v="104"/>
            <x v="105"/>
          </reference>
        </references>
      </pivotArea>
    </format>
    <format dxfId="1517">
      <pivotArea dataOnly="0" labelOnly="1" fieldPosition="0">
        <references count="1">
          <reference field="6" count="50">
            <x v="108"/>
            <x v="111"/>
            <x v="114"/>
            <x v="118"/>
            <x v="119"/>
            <x v="123"/>
            <x v="128"/>
            <x v="129"/>
            <x v="130"/>
            <x v="133"/>
            <x v="137"/>
            <x v="138"/>
            <x v="139"/>
            <x v="141"/>
            <x v="145"/>
            <x v="150"/>
            <x v="153"/>
            <x v="157"/>
            <x v="159"/>
            <x v="167"/>
            <x v="168"/>
            <x v="169"/>
            <x v="176"/>
            <x v="178"/>
            <x v="184"/>
            <x v="185"/>
            <x v="187"/>
            <x v="188"/>
            <x v="189"/>
            <x v="190"/>
            <x v="191"/>
            <x v="193"/>
            <x v="195"/>
            <x v="196"/>
            <x v="200"/>
            <x v="202"/>
            <x v="204"/>
            <x v="205"/>
            <x v="206"/>
            <x v="212"/>
            <x v="213"/>
            <x v="217"/>
            <x v="218"/>
            <x v="220"/>
            <x v="222"/>
            <x v="223"/>
            <x v="228"/>
            <x v="230"/>
            <x v="233"/>
            <x v="236"/>
          </reference>
        </references>
      </pivotArea>
    </format>
    <format dxfId="1516">
      <pivotArea dataOnly="0" labelOnly="1" fieldPosition="0">
        <references count="1">
          <reference field="6" count="50">
            <x v="237"/>
            <x v="240"/>
            <x v="241"/>
            <x v="244"/>
            <x v="245"/>
            <x v="246"/>
            <x v="248"/>
            <x v="249"/>
            <x v="250"/>
            <x v="251"/>
            <x v="252"/>
            <x v="253"/>
            <x v="255"/>
            <x v="258"/>
            <x v="260"/>
            <x v="262"/>
            <x v="264"/>
            <x v="266"/>
            <x v="269"/>
            <x v="270"/>
            <x v="271"/>
            <x v="272"/>
            <x v="274"/>
            <x v="276"/>
            <x v="280"/>
            <x v="281"/>
            <x v="283"/>
            <x v="284"/>
            <x v="285"/>
            <x v="289"/>
            <x v="292"/>
            <x v="293"/>
            <x v="295"/>
            <x v="298"/>
            <x v="299"/>
            <x v="302"/>
            <x v="304"/>
            <x v="305"/>
            <x v="312"/>
            <x v="313"/>
            <x v="317"/>
            <x v="318"/>
            <x v="319"/>
            <x v="320"/>
            <x v="322"/>
            <x v="323"/>
            <x v="324"/>
            <x v="330"/>
            <x v="331"/>
            <x v="333"/>
          </reference>
        </references>
      </pivotArea>
    </format>
    <format dxfId="1515">
      <pivotArea dataOnly="0" labelOnly="1" fieldPosition="0">
        <references count="1">
          <reference field="6" count="50">
            <x v="336"/>
            <x v="338"/>
            <x v="340"/>
            <x v="341"/>
            <x v="342"/>
            <x v="344"/>
            <x v="346"/>
            <x v="347"/>
            <x v="352"/>
            <x v="353"/>
            <x v="355"/>
            <x v="356"/>
            <x v="359"/>
            <x v="360"/>
            <x v="362"/>
            <x v="363"/>
            <x v="364"/>
            <x v="365"/>
            <x v="367"/>
            <x v="368"/>
            <x v="372"/>
            <x v="373"/>
            <x v="374"/>
            <x v="376"/>
            <x v="377"/>
            <x v="381"/>
            <x v="382"/>
            <x v="388"/>
            <x v="389"/>
            <x v="392"/>
            <x v="393"/>
            <x v="394"/>
            <x v="395"/>
            <x v="396"/>
            <x v="397"/>
            <x v="398"/>
            <x v="399"/>
            <x v="401"/>
            <x v="405"/>
            <x v="409"/>
            <x v="411"/>
            <x v="414"/>
            <x v="415"/>
            <x v="416"/>
            <x v="417"/>
            <x v="418"/>
            <x v="420"/>
            <x v="421"/>
            <x v="423"/>
            <x v="424"/>
          </reference>
        </references>
      </pivotArea>
    </format>
    <format dxfId="1514">
      <pivotArea dataOnly="0" labelOnly="1" fieldPosition="0">
        <references count="1">
          <reference field="6" count="50">
            <x v="425"/>
            <x v="426"/>
            <x v="427"/>
            <x v="428"/>
            <x v="430"/>
            <x v="433"/>
            <x v="436"/>
            <x v="437"/>
            <x v="438"/>
            <x v="439"/>
            <x v="440"/>
            <x v="444"/>
            <x v="447"/>
            <x v="448"/>
            <x v="450"/>
            <x v="453"/>
            <x v="454"/>
            <x v="456"/>
            <x v="459"/>
            <x v="460"/>
            <x v="461"/>
            <x v="462"/>
            <x v="463"/>
            <x v="465"/>
            <x v="467"/>
            <x v="468"/>
            <x v="469"/>
            <x v="470"/>
            <x v="472"/>
            <x v="474"/>
            <x v="479"/>
            <x v="481"/>
            <x v="482"/>
            <x v="483"/>
            <x v="487"/>
            <x v="488"/>
            <x v="489"/>
            <x v="491"/>
            <x v="492"/>
            <x v="493"/>
            <x v="494"/>
            <x v="495"/>
            <x v="497"/>
            <x v="501"/>
            <x v="502"/>
            <x v="504"/>
            <x v="507"/>
            <x v="508"/>
            <x v="510"/>
            <x v="511"/>
          </reference>
        </references>
      </pivotArea>
    </format>
    <format dxfId="1513">
      <pivotArea dataOnly="0" labelOnly="1" fieldPosition="0">
        <references count="1">
          <reference field="6" count="50">
            <x v="512"/>
            <x v="513"/>
            <x v="517"/>
            <x v="518"/>
            <x v="520"/>
            <x v="521"/>
            <x v="522"/>
            <x v="524"/>
            <x v="525"/>
            <x v="526"/>
            <x v="528"/>
            <x v="529"/>
            <x v="531"/>
            <x v="532"/>
            <x v="533"/>
            <x v="535"/>
            <x v="537"/>
            <x v="539"/>
            <x v="540"/>
            <x v="541"/>
            <x v="542"/>
            <x v="549"/>
            <x v="550"/>
            <x v="554"/>
            <x v="555"/>
            <x v="557"/>
            <x v="558"/>
            <x v="562"/>
            <x v="563"/>
            <x v="565"/>
            <x v="570"/>
            <x v="571"/>
            <x v="572"/>
            <x v="573"/>
            <x v="575"/>
            <x v="576"/>
            <x v="579"/>
            <x v="584"/>
            <x v="586"/>
            <x v="588"/>
            <x v="590"/>
            <x v="591"/>
            <x v="596"/>
            <x v="598"/>
            <x v="600"/>
            <x v="602"/>
            <x v="607"/>
            <x v="609"/>
            <x v="610"/>
            <x v="612"/>
          </reference>
        </references>
      </pivotArea>
    </format>
    <format dxfId="1512">
      <pivotArea dataOnly="0" labelOnly="1" fieldPosition="0">
        <references count="1">
          <reference field="6" count="50">
            <x v="615"/>
            <x v="616"/>
            <x v="617"/>
            <x v="621"/>
            <x v="624"/>
            <x v="627"/>
            <x v="628"/>
            <x v="629"/>
            <x v="631"/>
            <x v="632"/>
            <x v="633"/>
            <x v="637"/>
            <x v="638"/>
            <x v="639"/>
            <x v="641"/>
            <x v="645"/>
            <x v="646"/>
            <x v="647"/>
            <x v="649"/>
            <x v="652"/>
            <x v="654"/>
            <x v="656"/>
            <x v="658"/>
            <x v="660"/>
            <x v="662"/>
            <x v="664"/>
            <x v="668"/>
            <x v="669"/>
            <x v="670"/>
            <x v="672"/>
            <x v="674"/>
            <x v="675"/>
            <x v="676"/>
            <x v="677"/>
            <x v="678"/>
            <x v="679"/>
            <x v="681"/>
            <x v="682"/>
            <x v="683"/>
            <x v="685"/>
            <x v="686"/>
            <x v="687"/>
            <x v="688"/>
            <x v="689"/>
            <x v="691"/>
            <x v="694"/>
            <x v="696"/>
            <x v="697"/>
            <x v="701"/>
            <x v="704"/>
          </reference>
        </references>
      </pivotArea>
    </format>
    <format dxfId="1511">
      <pivotArea dataOnly="0" labelOnly="1" fieldPosition="0">
        <references count="1">
          <reference field="6" count="50">
            <x v="705"/>
            <x v="706"/>
            <x v="708"/>
            <x v="709"/>
            <x v="715"/>
            <x v="716"/>
            <x v="717"/>
            <x v="718"/>
            <x v="721"/>
            <x v="723"/>
            <x v="724"/>
            <x v="727"/>
            <x v="728"/>
            <x v="729"/>
            <x v="731"/>
            <x v="732"/>
            <x v="733"/>
            <x v="737"/>
            <x v="738"/>
            <x v="739"/>
            <x v="743"/>
            <x v="745"/>
            <x v="747"/>
            <x v="748"/>
            <x v="750"/>
            <x v="751"/>
            <x v="753"/>
            <x v="758"/>
            <x v="761"/>
            <x v="762"/>
            <x v="763"/>
            <x v="764"/>
            <x v="766"/>
            <x v="767"/>
            <x v="768"/>
            <x v="769"/>
            <x v="770"/>
            <x v="771"/>
            <x v="772"/>
            <x v="773"/>
            <x v="780"/>
            <x v="782"/>
            <x v="783"/>
            <x v="785"/>
            <x v="786"/>
            <x v="787"/>
            <x v="788"/>
            <x v="789"/>
            <x v="791"/>
            <x v="792"/>
          </reference>
        </references>
      </pivotArea>
    </format>
    <format dxfId="1510">
      <pivotArea dataOnly="0" labelOnly="1" fieldPosition="0">
        <references count="1">
          <reference field="6" count="50">
            <x v="794"/>
            <x v="795"/>
            <x v="798"/>
            <x v="800"/>
            <x v="805"/>
            <x v="808"/>
            <x v="809"/>
            <x v="811"/>
            <x v="812"/>
            <x v="813"/>
            <x v="815"/>
            <x v="816"/>
            <x v="818"/>
            <x v="821"/>
            <x v="828"/>
            <x v="829"/>
            <x v="832"/>
            <x v="833"/>
            <x v="835"/>
            <x v="836"/>
            <x v="837"/>
            <x v="838"/>
            <x v="840"/>
            <x v="844"/>
            <x v="845"/>
            <x v="846"/>
            <x v="847"/>
            <x v="848"/>
            <x v="849"/>
            <x v="855"/>
            <x v="858"/>
            <x v="859"/>
            <x v="862"/>
            <x v="863"/>
            <x v="865"/>
            <x v="868"/>
            <x v="869"/>
            <x v="870"/>
            <x v="873"/>
            <x v="874"/>
            <x v="877"/>
            <x v="878"/>
            <x v="880"/>
            <x v="883"/>
            <x v="887"/>
            <x v="889"/>
            <x v="890"/>
            <x v="891"/>
            <x v="892"/>
            <x v="894"/>
          </reference>
        </references>
      </pivotArea>
    </format>
    <format dxfId="1509">
      <pivotArea dataOnly="0" labelOnly="1" fieldPosition="0">
        <references count="1">
          <reference field="6" count="50">
            <x v="896"/>
            <x v="899"/>
            <x v="900"/>
            <x v="902"/>
            <x v="904"/>
            <x v="905"/>
            <x v="906"/>
            <x v="911"/>
            <x v="920"/>
            <x v="921"/>
            <x v="923"/>
            <x v="929"/>
            <x v="930"/>
            <x v="931"/>
            <x v="937"/>
            <x v="939"/>
            <x v="941"/>
            <x v="944"/>
            <x v="946"/>
            <x v="947"/>
            <x v="948"/>
            <x v="950"/>
            <x v="954"/>
            <x v="955"/>
            <x v="959"/>
            <x v="962"/>
            <x v="964"/>
            <x v="965"/>
            <x v="966"/>
            <x v="968"/>
            <x v="969"/>
            <x v="973"/>
            <x v="975"/>
            <x v="976"/>
            <x v="977"/>
            <x v="979"/>
            <x v="981"/>
            <x v="984"/>
            <x v="986"/>
            <x v="994"/>
            <x v="995"/>
            <x v="998"/>
            <x v="1001"/>
            <x v="1004"/>
            <x v="1006"/>
            <x v="1007"/>
            <x v="1012"/>
            <x v="1013"/>
            <x v="1014"/>
            <x v="1019"/>
          </reference>
        </references>
      </pivotArea>
    </format>
    <format dxfId="1508">
      <pivotArea dataOnly="0" labelOnly="1" fieldPosition="0">
        <references count="1">
          <reference field="6" count="50">
            <x v="1021"/>
            <x v="1024"/>
            <x v="1029"/>
            <x v="1032"/>
            <x v="1035"/>
            <x v="1037"/>
            <x v="1039"/>
            <x v="1041"/>
            <x v="1046"/>
            <x v="1048"/>
            <x v="1049"/>
            <x v="1053"/>
            <x v="1056"/>
            <x v="1057"/>
            <x v="1058"/>
            <x v="1060"/>
            <x v="1061"/>
            <x v="1062"/>
            <x v="1063"/>
            <x v="1064"/>
            <x v="1067"/>
            <x v="1072"/>
            <x v="1073"/>
            <x v="1076"/>
            <x v="1078"/>
            <x v="1081"/>
            <x v="1083"/>
            <x v="1084"/>
            <x v="1085"/>
            <x v="1086"/>
            <x v="1091"/>
            <x v="1092"/>
            <x v="1093"/>
            <x v="1094"/>
            <x v="1098"/>
            <x v="1101"/>
            <x v="1104"/>
            <x v="1106"/>
            <x v="1113"/>
            <x v="1114"/>
            <x v="1115"/>
            <x v="1116"/>
            <x v="1118"/>
            <x v="1120"/>
            <x v="1126"/>
            <x v="1128"/>
            <x v="1129"/>
            <x v="1131"/>
            <x v="1132"/>
            <x v="1133"/>
          </reference>
        </references>
      </pivotArea>
    </format>
    <format dxfId="1507">
      <pivotArea dataOnly="0" labelOnly="1" fieldPosition="0">
        <references count="1">
          <reference field="6" count="50">
            <x v="1136"/>
            <x v="1137"/>
            <x v="1138"/>
            <x v="1142"/>
            <x v="1144"/>
            <x v="1145"/>
            <x v="1148"/>
            <x v="1150"/>
            <x v="1151"/>
            <x v="1155"/>
            <x v="1156"/>
            <x v="1157"/>
            <x v="1158"/>
            <x v="1159"/>
            <x v="1161"/>
            <x v="1163"/>
            <x v="1164"/>
            <x v="1165"/>
            <x v="1168"/>
            <x v="1170"/>
            <x v="1171"/>
            <x v="1176"/>
            <x v="1177"/>
            <x v="1188"/>
            <x v="1189"/>
            <x v="1190"/>
            <x v="1191"/>
            <x v="1194"/>
            <x v="1195"/>
            <x v="1199"/>
            <x v="1204"/>
            <x v="1205"/>
            <x v="1206"/>
            <x v="1208"/>
            <x v="1211"/>
            <x v="1213"/>
            <x v="1218"/>
            <x v="1219"/>
            <x v="1223"/>
            <x v="1224"/>
            <x v="1225"/>
            <x v="1227"/>
            <x v="1229"/>
            <x v="1232"/>
            <x v="1235"/>
            <x v="1236"/>
            <x v="1237"/>
            <x v="1239"/>
            <x v="1240"/>
            <x v="1244"/>
          </reference>
        </references>
      </pivotArea>
    </format>
    <format dxfId="1506">
      <pivotArea dataOnly="0" labelOnly="1" fieldPosition="0">
        <references count="1">
          <reference field="6" count="50">
            <x v="1246"/>
            <x v="1247"/>
            <x v="1250"/>
            <x v="1254"/>
            <x v="1256"/>
            <x v="1257"/>
            <x v="1261"/>
            <x v="1262"/>
            <x v="1263"/>
            <x v="1265"/>
            <x v="1267"/>
            <x v="1270"/>
            <x v="1271"/>
            <x v="1272"/>
            <x v="1273"/>
            <x v="1275"/>
            <x v="1282"/>
            <x v="1284"/>
            <x v="1285"/>
            <x v="1286"/>
            <x v="1290"/>
            <x v="1293"/>
            <x v="1294"/>
            <x v="1297"/>
            <x v="1300"/>
            <x v="1301"/>
            <x v="1303"/>
            <x v="1307"/>
            <x v="1308"/>
            <x v="1310"/>
            <x v="1311"/>
            <x v="1318"/>
            <x v="1320"/>
            <x v="1323"/>
            <x v="1324"/>
            <x v="1327"/>
            <x v="1331"/>
            <x v="1332"/>
            <x v="1334"/>
            <x v="1338"/>
            <x v="1341"/>
            <x v="1342"/>
            <x v="1343"/>
            <x v="1344"/>
            <x v="1346"/>
            <x v="1349"/>
            <x v="1350"/>
            <x v="1351"/>
            <x v="1354"/>
            <x v="1355"/>
          </reference>
        </references>
      </pivotArea>
    </format>
    <format dxfId="1505">
      <pivotArea dataOnly="0" labelOnly="1" fieldPosition="0">
        <references count="1">
          <reference field="6" count="50">
            <x v="1359"/>
            <x v="1361"/>
            <x v="1365"/>
            <x v="1366"/>
            <x v="1368"/>
            <x v="1369"/>
            <x v="1370"/>
            <x v="1372"/>
            <x v="1373"/>
            <x v="1374"/>
            <x v="1378"/>
            <x v="1380"/>
            <x v="1381"/>
            <x v="1383"/>
            <x v="1389"/>
            <x v="1390"/>
            <x v="1392"/>
            <x v="1394"/>
            <x v="1396"/>
            <x v="1398"/>
            <x v="1399"/>
            <x v="1404"/>
            <x v="1406"/>
            <x v="1407"/>
            <x v="1408"/>
            <x v="1417"/>
            <x v="1419"/>
            <x v="1420"/>
            <x v="1424"/>
            <x v="1425"/>
            <x v="1426"/>
            <x v="1427"/>
            <x v="1428"/>
            <x v="1429"/>
            <x v="1434"/>
            <x v="1436"/>
            <x v="1438"/>
            <x v="1440"/>
            <x v="1441"/>
            <x v="1445"/>
            <x v="1446"/>
            <x v="1447"/>
            <x v="1449"/>
            <x v="1450"/>
            <x v="1454"/>
            <x v="1455"/>
            <x v="1456"/>
            <x v="1457"/>
            <x v="1459"/>
            <x v="1460"/>
          </reference>
        </references>
      </pivotArea>
    </format>
    <format dxfId="1504">
      <pivotArea dataOnly="0" labelOnly="1" fieldPosition="0">
        <references count="1">
          <reference field="6" count="50">
            <x v="1464"/>
            <x v="1467"/>
            <x v="1469"/>
            <x v="1470"/>
            <x v="1471"/>
            <x v="1472"/>
            <x v="1476"/>
            <x v="1481"/>
            <x v="1483"/>
            <x v="1484"/>
            <x v="1486"/>
            <x v="1488"/>
            <x v="1489"/>
            <x v="1491"/>
            <x v="1493"/>
            <x v="1494"/>
            <x v="1495"/>
            <x v="1497"/>
            <x v="1499"/>
            <x v="1500"/>
            <x v="1501"/>
            <x v="1503"/>
            <x v="1506"/>
            <x v="1508"/>
            <x v="1512"/>
            <x v="1513"/>
            <x v="1515"/>
            <x v="1516"/>
            <x v="1517"/>
            <x v="1518"/>
            <x v="1519"/>
            <x v="1525"/>
            <x v="1527"/>
            <x v="1531"/>
            <x v="1533"/>
            <x v="1534"/>
            <x v="1535"/>
            <x v="1537"/>
            <x v="1540"/>
            <x v="1541"/>
            <x v="1542"/>
            <x v="1543"/>
            <x v="1546"/>
            <x v="1548"/>
            <x v="1550"/>
            <x v="1551"/>
            <x v="1555"/>
            <x v="1560"/>
            <x v="1561"/>
            <x v="1564"/>
          </reference>
        </references>
      </pivotArea>
    </format>
    <format dxfId="1503">
      <pivotArea dataOnly="0" labelOnly="1" fieldPosition="0">
        <references count="1">
          <reference field="6" count="50">
            <x v="1566"/>
            <x v="1567"/>
            <x v="1570"/>
            <x v="1571"/>
            <x v="1572"/>
            <x v="1573"/>
            <x v="1575"/>
            <x v="1576"/>
            <x v="1578"/>
            <x v="1579"/>
            <x v="1580"/>
            <x v="1581"/>
            <x v="1584"/>
            <x v="1585"/>
            <x v="1586"/>
            <x v="1588"/>
            <x v="1591"/>
            <x v="1592"/>
            <x v="1595"/>
            <x v="1602"/>
            <x v="1603"/>
            <x v="1605"/>
            <x v="1609"/>
            <x v="1610"/>
            <x v="1611"/>
            <x v="1625"/>
            <x v="1629"/>
            <x v="1630"/>
            <x v="1632"/>
            <x v="1633"/>
            <x v="1635"/>
            <x v="1636"/>
            <x v="1638"/>
            <x v="1640"/>
            <x v="1641"/>
            <x v="1647"/>
            <x v="1649"/>
            <x v="1650"/>
            <x v="1652"/>
            <x v="1654"/>
            <x v="1655"/>
            <x v="1657"/>
            <x v="1662"/>
            <x v="1663"/>
            <x v="1665"/>
            <x v="1667"/>
            <x v="1668"/>
            <x v="1671"/>
            <x v="1675"/>
            <x v="1676"/>
          </reference>
        </references>
      </pivotArea>
    </format>
    <format dxfId="1502">
      <pivotArea dataOnly="0" labelOnly="1" fieldPosition="0">
        <references count="1">
          <reference field="6" count="1">
            <x v="167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4611" totalsRowShown="0" headerRowDxfId="3072" dataDxfId="3071">
  <autoFilter ref="A1:X4611" xr:uid="{00000000-0009-0000-0100-000001000000}"/>
  <sortState xmlns:xlrd2="http://schemas.microsoft.com/office/spreadsheetml/2017/richdata2" ref="A1041:X4501">
    <sortCondition ref="O1:O4611"/>
  </sortState>
  <tableColumns count="24">
    <tableColumn id="1" xr3:uid="{00000000-0010-0000-0000-000001000000}" name="Nº Operación" dataDxfId="3070" totalsRowDxfId="3069"/>
    <tableColumn id="2" xr3:uid="{00000000-0010-0000-0000-000002000000}" name="Fase" dataDxfId="3068" totalsRowDxfId="3067"/>
    <tableColumn id="3" xr3:uid="{00000000-0010-0000-0000-000003000000}" name="Fecha" dataDxfId="3066" totalsRowDxfId="3065"/>
    <tableColumn id="4" xr3:uid="{00000000-0010-0000-0000-000004000000}" name="Referencia" dataDxfId="3064" totalsRowDxfId="3063"/>
    <tableColumn id="5" xr3:uid="{00000000-0010-0000-0000-000005000000}" name="Aplicación" dataDxfId="3062" totalsRowDxfId="3061"/>
    <tableColumn id="6" xr3:uid="{00000000-0010-0000-0000-000006000000}" name="Importe" dataDxfId="3060" totalsRowDxfId="3059"/>
    <tableColumn id="8" xr3:uid="{00000000-0010-0000-0000-000008000000}" name="Nombre Ter." dataDxfId="3058" totalsRowDxfId="3057"/>
    <tableColumn id="9" xr3:uid="{00000000-0010-0000-0000-000009000000}" name="Texto Libre" dataDxfId="3056" totalsRowDxfId="3055"/>
    <tableColumn id="10" xr3:uid="{00000000-0010-0000-0000-00000A000000}" name="Oper." dataDxfId="3054" totalsRowDxfId="3053"/>
    <tableColumn id="11" xr3:uid="{00000000-0010-0000-0000-00000B000000}" name="Localidad" dataDxfId="3052" totalsRowDxfId="3051"/>
    <tableColumn id="12" xr3:uid="{00000000-0010-0000-0000-00000C000000}" name="Provincia" dataDxfId="3050" totalsRowDxfId="3049"/>
    <tableColumn id="13" xr3:uid="{00000000-0010-0000-0000-00000D000000}" name="Tipo Contrato" dataDxfId="3048" totalsRowDxfId="3047"/>
    <tableColumn id="14" xr3:uid="{00000000-0010-0000-0000-00000E000000}" name="Procedim. Contrato" dataDxfId="3046" totalsRowDxfId="3045"/>
    <tableColumn id="15" xr3:uid="{00000000-0010-0000-0000-00000F000000}" name="Criterio Contrato" dataDxfId="3044" totalsRowDxfId="3043"/>
    <tableColumn id="27" xr3:uid="{00000000-0010-0000-0000-00001B000000}" name="PROCEDIMIENTO" dataDxfId="3042" totalsRowDxfId="3041"/>
    <tableColumn id="21" xr3:uid="{00000000-0010-0000-0000-000015000000}" name="TRIMESTRE" dataDxfId="3040" totalsRowDxfId="3039"/>
    <tableColumn id="24" xr3:uid="{00000000-0010-0000-0000-000018000000}" name="CAPITULO" dataDxfId="3038" totalsRowDxfId="3037">
      <calculatedColumnFormula>MID(Tabla1[[#This Row],[Aplicación]],14,1)</calculatedColumnFormula>
    </tableColumn>
    <tableColumn id="23" xr3:uid="{00000000-0010-0000-0000-000017000000}" name="CAPITULO EN TEXTO" dataDxfId="3036" totalsRowDxfId="3035">
      <calculatedColumnFormula>Buscar v(Tabla1[[#This Row],[CAPITULO]],Hoja1!A:B,2,FALSE)</calculatedColumnFormula>
    </tableColumn>
    <tableColumn id="16" xr3:uid="{00000000-0010-0000-0000-000010000000}" name="AREA" dataDxfId="3034" totalsRowDxfId="3033">
      <calculatedColumnFormula>MID(Tabla1[[#This Row],[Aplicación]],6,2)</calculatedColumnFormula>
    </tableColumn>
    <tableColumn id="17" xr3:uid="{00000000-0010-0000-0000-000011000000}" name="AREA EN TEXTO" dataDxfId="3032" totalsRowDxfId="3031">
      <calculatedColumnFormula>VLOOKUP(Tabla1[[#This Row],[AREA]],Hoja1!A:B,2,FALSE)</calculatedColumnFormula>
    </tableColumn>
    <tableColumn id="18" xr3:uid="{00000000-0010-0000-0000-000012000000}" name="PROGRAMA" dataDxfId="3030" totalsRowDxfId="3029">
      <calculatedColumnFormula>MID(Tabla1[[#This Row],[Aplicación]],9,4)</calculatedColumnFormula>
    </tableColumn>
    <tableColumn id="19" xr3:uid="{00000000-0010-0000-0000-000013000000}" name="PROGRAMA EN TEXTO" dataDxfId="3028" totalsRowDxfId="3027">
      <calculatedColumnFormula>VLOOKUP(Tabla1[[#This Row],[PROGRAMA]],Hoja1!A:B,2,FALSE)</calculatedColumnFormula>
    </tableColumn>
    <tableColumn id="25" xr3:uid="{00000000-0010-0000-0000-000019000000}" name="ARTICULO" dataDxfId="3026" totalsRowDxfId="3025">
      <calculatedColumnFormula>MID(Tabla1[[#This Row],[Aplicación]],14,2)</calculatedColumnFormula>
    </tableColumn>
    <tableColumn id="20" xr3:uid="{00000000-0010-0000-0000-000014000000}" name="CONCEPTO" dataDxfId="3024" totalsRowDxfId="3023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521" totalsRowShown="0" headerRowDxfId="1501" dataDxfId="1499" totalsRowDxfId="1497" headerRowBorderDxfId="1500" tableBorderDxfId="1498" totalsRowBorderDxfId="1496">
  <autoFilter ref="A1:M521" xr:uid="{00000000-0009-0000-0100-000002000000}"/>
  <sortState xmlns:xlrd2="http://schemas.microsoft.com/office/spreadsheetml/2017/richdata2" ref="A2:M521">
    <sortCondition ref="A1:A521"/>
  </sortState>
  <tableColumns count="13">
    <tableColumn id="1" xr3:uid="{00000000-0010-0000-0100-000001000000}" name="CONTRATACION MENOR / SERVICIOS / PRIMER, SEGUNDO Y TERCER TRIMESTRE EJERCICIO 2021" dataDxfId="1495" totalsRowDxfId="1494"/>
    <tableColumn id="2" xr3:uid="{00000000-0010-0000-0100-000002000000}" name="01. Alcaldía" dataDxfId="1493" totalsRowDxfId="1492"/>
    <tableColumn id="3" xr3:uid="{00000000-0010-0000-0100-000003000000}" name="02. Planeamiento urbanístico y vivienda" dataDxfId="1491" totalsRowDxfId="1490"/>
    <tableColumn id="4" xr3:uid="{00000000-0010-0000-0100-000004000000}" name="03. Participación ciudadana y deportes" dataDxfId="1489" totalsRowDxfId="1488"/>
    <tableColumn id="5" xr3:uid="{00000000-0010-0000-0100-000005000000}" name="04. Planificación y recursos" dataDxfId="1487" totalsRowDxfId="1486"/>
    <tableColumn id="6" xr3:uid="{00000000-0010-0000-0100-000006000000}" name="05. Innovación, desarrollo económico, empleo y comercio" dataDxfId="1485" totalsRowDxfId="1484"/>
    <tableColumn id="7" xr3:uid="{00000000-0010-0000-0100-000007000000}" name="06. Educación, infancia, juventud e igualdad" dataDxfId="1483" totalsRowDxfId="1482"/>
    <tableColumn id="8" xr3:uid="{00000000-0010-0000-0100-000008000000}" name="07. Medio ambiente y desarrollo sostenible" dataDxfId="1481" totalsRowDxfId="1480"/>
    <tableColumn id="9" xr3:uid="{00000000-0010-0000-0100-000009000000}" name="08. Movilidad y espacio urbano" dataDxfId="1479" totalsRowDxfId="1478"/>
    <tableColumn id="10" xr3:uid="{00000000-0010-0000-0100-00000A000000}" name="09. Cultura y turismo" dataDxfId="1477" totalsRowDxfId="1476"/>
    <tableColumn id="11" xr3:uid="{00000000-0010-0000-0100-00000B000000}" name="10. Servicios sociales y mediación comunitaria" dataDxfId="1475" totalsRowDxfId="1474"/>
    <tableColumn id="12" xr3:uid="{00000000-0010-0000-0100-00000C000000}" name="11. Salud pública y seguridad ciudadana" dataDxfId="1473" totalsRowDxfId="1472"/>
    <tableColumn id="13" xr3:uid="{00000000-0010-0000-0100-00000D000000}" name="Total general" dataDxfId="1471" totalsRowDxfId="1470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312" totalsRowShown="0" headerRowDxfId="1469" dataDxfId="1467" totalsRowDxfId="1465" headerRowBorderDxfId="1468" tableBorderDxfId="1466" totalsRowBorderDxfId="1464">
  <autoFilter ref="A1:M312" xr:uid="{00000000-0009-0000-0100-000003000000}"/>
  <sortState xmlns:xlrd2="http://schemas.microsoft.com/office/spreadsheetml/2017/richdata2" ref="A2:M312">
    <sortCondition ref="A1:A312"/>
  </sortState>
  <tableColumns count="13">
    <tableColumn id="1" xr3:uid="{00000000-0010-0000-0200-000001000000}" name="CONTRATACION MENOR / SUMINISTROS / PRIMER, SEGUNDO Y TERCER TRIMESTRE EJERCICIO 2021" dataDxfId="1463" totalsRowDxfId="1462"/>
    <tableColumn id="2" xr3:uid="{00000000-0010-0000-0200-000002000000}" name="01. Alcaldía" dataDxfId="1461" totalsRowDxfId="1460"/>
    <tableColumn id="3" xr3:uid="{00000000-0010-0000-0200-000003000000}" name="02. Planeamiento urbanístico y vivienda" dataDxfId="1459" totalsRowDxfId="1458"/>
    <tableColumn id="4" xr3:uid="{00000000-0010-0000-0200-000004000000}" name="03. Participación ciudadana y deportes" dataDxfId="1457" totalsRowDxfId="1456"/>
    <tableColumn id="5" xr3:uid="{00000000-0010-0000-0200-000005000000}" name="04. Planificación y recursos" dataDxfId="1455" totalsRowDxfId="1454"/>
    <tableColumn id="6" xr3:uid="{00000000-0010-0000-0200-000006000000}" name="05. Innovación, desarrollo económico, empleo y comercio" dataDxfId="1453" totalsRowDxfId="1452"/>
    <tableColumn id="7" xr3:uid="{00000000-0010-0000-0200-000007000000}" name="06. Educación, infancia, juventud e igualdad" dataDxfId="1451" totalsRowDxfId="1450"/>
    <tableColumn id="8" xr3:uid="{00000000-0010-0000-0200-000008000000}" name="07. Medio ambiente y desarrollo sostenible" dataDxfId="1449" totalsRowDxfId="1448"/>
    <tableColumn id="9" xr3:uid="{00000000-0010-0000-0200-000009000000}" name="08. Movilidad y espacio urbano" dataDxfId="1447" totalsRowDxfId="1446"/>
    <tableColumn id="10" xr3:uid="{00000000-0010-0000-0200-00000A000000}" name="09. Cultura y turismo" dataDxfId="1445" totalsRowDxfId="1444"/>
    <tableColumn id="11" xr3:uid="{00000000-0010-0000-0200-00000B000000}" name="10. Servicios sociales y mediación comunitaria" dataDxfId="1443" totalsRowDxfId="1442"/>
    <tableColumn id="12" xr3:uid="{00000000-0010-0000-0200-00000C000000}" name="11. Salud pública y seguridad ciudadana" dataDxfId="1441" totalsRowDxfId="1440"/>
    <tableColumn id="13" xr3:uid="{00000000-0010-0000-0200-00000D000000}" name="Total general" dataDxfId="1439" totalsRowDxfId="1438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a245" displayName="Tabla245" ref="A1:M46" totalsRowShown="0" headerRowDxfId="1437" dataDxfId="1435" totalsRowDxfId="1433" headerRowBorderDxfId="1436" tableBorderDxfId="1434" totalsRowBorderDxfId="1432">
  <autoFilter ref="A1:M46" xr:uid="{00000000-0009-0000-0100-000004000000}"/>
  <sortState xmlns:xlrd2="http://schemas.microsoft.com/office/spreadsheetml/2017/richdata2" ref="A2:M46">
    <sortCondition ref="A1:A46"/>
  </sortState>
  <tableColumns count="13">
    <tableColumn id="1" xr3:uid="{00000000-0010-0000-0400-000001000000}" name="CONTRATACION MENOR / OBRAS / PRIMER, SEGUNDO Y TERCER TRIMESTRE EJERCICIO 2021" dataDxfId="1431"/>
    <tableColumn id="2" xr3:uid="{00000000-0010-0000-0400-000002000000}" name="01. Alcaldía" dataDxfId="1430"/>
    <tableColumn id="3" xr3:uid="{00000000-0010-0000-0400-000003000000}" name="02. Planeamiento urbanístico y vivienda" dataDxfId="1429"/>
    <tableColumn id="4" xr3:uid="{00000000-0010-0000-0400-000004000000}" name="03. Participación ciudadana y deportes" dataDxfId="1428" totalsRowDxfId="1427"/>
    <tableColumn id="5" xr3:uid="{00000000-0010-0000-0400-000005000000}" name="04. Planificación y recursos" dataDxfId="1426" totalsRowDxfId="1425"/>
    <tableColumn id="6" xr3:uid="{00000000-0010-0000-0400-000006000000}" name="05. Innovación, desarrollo económico, empleo y comercio" dataDxfId="1424"/>
    <tableColumn id="7" xr3:uid="{00000000-0010-0000-0400-000007000000}" name="06. Educación, infancia, juventud e igualdad" dataDxfId="1423"/>
    <tableColumn id="8" xr3:uid="{00000000-0010-0000-0400-000008000000}" name="07. Medio ambiente y desarrollo sostenible" dataDxfId="1422"/>
    <tableColumn id="9" xr3:uid="{00000000-0010-0000-0400-000009000000}" name="08. Movilidad y espacio urbano" dataDxfId="1421"/>
    <tableColumn id="10" xr3:uid="{00000000-0010-0000-0400-00000A000000}" name="09. Cultura y turismo" dataDxfId="1420"/>
    <tableColumn id="11" xr3:uid="{00000000-0010-0000-0400-00000B000000}" name="10. Servicios sociales y mediación comunitaria" dataDxfId="1419"/>
    <tableColumn id="12" xr3:uid="{00000000-0010-0000-0400-00000C000000}" name="11. Salud pública y seguridad ciudadana" dataDxfId="1418"/>
    <tableColumn id="13" xr3:uid="{00000000-0010-0000-0400-00000D000000}" name="Total general" dataDxfId="1417" totalsRowDxfId="1416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FC19B65-E97F-4CDC-B03D-88313621D210}" name="Tabla27" displayName="Tabla27" ref="A1:M4" totalsRowShown="0" headerRowDxfId="1415" dataDxfId="1413" totalsRowDxfId="1411" headerRowBorderDxfId="1414" tableBorderDxfId="1412" totalsRowBorderDxfId="1410">
  <autoFilter ref="A1:M4" xr:uid="{0AD66A92-91EC-409B-8832-499FFC023C50}"/>
  <sortState xmlns:xlrd2="http://schemas.microsoft.com/office/spreadsheetml/2017/richdata2" ref="A2:M4">
    <sortCondition ref="A1:A4"/>
  </sortState>
  <tableColumns count="13">
    <tableColumn id="1" xr3:uid="{F8A8D228-FA00-4083-BAD6-217BE0AF19C5}" name="CONTRATACION MENOR / MIXTOS / PRIMER, SEGUNDO Y TERCER TRIMESTRE EJERCICIO 2021" dataDxfId="1409" totalsRowDxfId="1408"/>
    <tableColumn id="2" xr3:uid="{DF88391A-8728-4B57-9713-53BBC1C67B33}" name="01. Alcaldía" dataDxfId="1407" totalsRowDxfId="1406"/>
    <tableColumn id="3" xr3:uid="{54271BB3-7088-4867-AD22-77E5E7DE522E}" name="02. Planeamiento urbanístico y vivienda" dataDxfId="1405" totalsRowDxfId="1404"/>
    <tableColumn id="4" xr3:uid="{F2D11A46-4254-485C-AEB4-32197F5EAD43}" name="03. Participación ciudadana y deportes" dataDxfId="1403" totalsRowDxfId="1402"/>
    <tableColumn id="5" xr3:uid="{1B9E7500-97C3-42A6-989B-670E0BBFC489}" name="04. Planificación y recursos" dataDxfId="1401" totalsRowDxfId="1400"/>
    <tableColumn id="6" xr3:uid="{C5258277-F821-46B9-A19E-D05762B1DD5D}" name="05. Innovación, desarrollo económico, empleo y comercio" dataDxfId="1399" totalsRowDxfId="1398"/>
    <tableColumn id="7" xr3:uid="{24A5A243-01F3-4A44-BD20-3AC91B8B488C}" name="06. Educación, infancia, juventud e igualdad" dataDxfId="1397" totalsRowDxfId="1396"/>
    <tableColumn id="8" xr3:uid="{AB43BE7A-FE14-47E3-88F7-C56FB8CF5C8F}" name="07. Medio ambiente y desarrollo sostenible" dataDxfId="1395" totalsRowDxfId="1394"/>
    <tableColumn id="9" xr3:uid="{7F688834-92A1-4383-9558-45AF805FEB15}" name="08. Movilidad y espacio urbano" dataDxfId="1393" totalsRowDxfId="1392"/>
    <tableColumn id="10" xr3:uid="{8AD4E9CC-63C4-4257-9EB0-86FF3E9FD6A5}" name="09. Cultura y turismo" dataDxfId="1391" totalsRowDxfId="1390"/>
    <tableColumn id="11" xr3:uid="{9B92F298-6FF7-4EC6-9C65-EC5733D5C107}" name="10. Servicios sociales y mediación comunitaria" dataDxfId="1389" totalsRowDxfId="1388"/>
    <tableColumn id="12" xr3:uid="{0D38F0EC-D709-43CD-9B0B-8C03372CCE19}" name="11. Salud pública y seguridad ciudadana" dataDxfId="1387" totalsRowDxfId="1386"/>
    <tableColumn id="13" xr3:uid="{867F29CA-33E4-440D-B8E3-294475B56A67}" name="Total general" dataDxfId="1385" totalsRowDxfId="1384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15" totalsRowShown="0" headerRowDxfId="1383" dataDxfId="1381" totalsRowDxfId="1379" headerRowBorderDxfId="1382" tableBorderDxfId="1380" totalsRowBorderDxfId="1378">
  <autoFilter ref="A1:M15" xr:uid="{00000000-0009-0000-0100-000005000000}"/>
  <sortState xmlns:xlrd2="http://schemas.microsoft.com/office/spreadsheetml/2017/richdata2" ref="A2:M258">
    <sortCondition descending="1" ref="K1:K258"/>
  </sortState>
  <tableColumns count="13">
    <tableColumn id="1" xr3:uid="{00000000-0010-0000-0500-000001000000}" name="CONTRATACION MENOR / OTROS / PRIMER, SEGUNDO Y TERCER TRIMESTRE EJERCICIO 2021" dataDxfId="1377"/>
    <tableColumn id="2" xr3:uid="{00000000-0010-0000-0500-000002000000}" name="01. Alcaldía" dataDxfId="1376" totalsRowDxfId="1375"/>
    <tableColumn id="3" xr3:uid="{00000000-0010-0000-0500-000003000000}" name="02. Planeamiento urbanístico y vivienda" dataDxfId="1374" totalsRowDxfId="1373"/>
    <tableColumn id="4" xr3:uid="{00000000-0010-0000-0500-000004000000}" name="03. Participación ciudadana y deportes" dataDxfId="1372" totalsRowDxfId="1371"/>
    <tableColumn id="5" xr3:uid="{00000000-0010-0000-0500-000005000000}" name="04. Planificación y recursos" dataDxfId="1370" totalsRowDxfId="1369"/>
    <tableColumn id="6" xr3:uid="{00000000-0010-0000-0500-000006000000}" name="05. Innovación, desarrollo económico, empleo y comercio" dataDxfId="1368" totalsRowDxfId="1367"/>
    <tableColumn id="7" xr3:uid="{00000000-0010-0000-0500-000007000000}" name="06. Educación, infancia, juventud e igualdad" dataDxfId="1366" totalsRowDxfId="1365"/>
    <tableColumn id="8" xr3:uid="{00000000-0010-0000-0500-000008000000}" name="07. Medio ambiente y desarrollo sostenible" dataDxfId="1364" totalsRowDxfId="1363"/>
    <tableColumn id="9" xr3:uid="{00000000-0010-0000-0500-000009000000}" name="08. Movilidad y espacio urbano" dataDxfId="1362" totalsRowDxfId="1361"/>
    <tableColumn id="10" xr3:uid="{00000000-0010-0000-0500-00000A000000}" name="09. Cultura y turismo" dataDxfId="1360" totalsRowDxfId="1359"/>
    <tableColumn id="11" xr3:uid="{00000000-0010-0000-0500-00000B000000}" name="10. Servicios sociales y mediación comunitaria" dataDxfId="1358" totalsRowDxfId="1357"/>
    <tableColumn id="12" xr3:uid="{00000000-0010-0000-0500-00000C000000}" name="11. Salud pública y seguridad ciudadana" dataDxfId="1356" totalsRowDxfId="1355"/>
    <tableColumn id="13" xr3:uid="{00000000-0010-0000-0500-00000D000000}" name="Total general" dataDxfId="1354" totalsRowDxfId="1353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vmlDrawing" Target="../drawings/vmlDrawing1.v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41"/>
  <sheetViews>
    <sheetView topLeftCell="A19" workbookViewId="0">
      <selection activeCell="B8" sqref="B8"/>
    </sheetView>
  </sheetViews>
  <sheetFormatPr baseColWidth="10" defaultRowHeight="14.5" x14ac:dyDescent="0.35"/>
  <cols>
    <col min="1" max="1" width="7.1796875" style="1" bestFit="1" customWidth="1"/>
    <col min="2" max="2" width="78.1796875" style="2" bestFit="1" customWidth="1"/>
  </cols>
  <sheetData>
    <row r="1" spans="1:2" x14ac:dyDescent="0.35">
      <c r="A1" s="1" t="s">
        <v>320</v>
      </c>
      <c r="B1" s="2" t="s">
        <v>321</v>
      </c>
    </row>
    <row r="2" spans="1:2" x14ac:dyDescent="0.35">
      <c r="A2" s="1" t="s">
        <v>322</v>
      </c>
      <c r="B2" s="2" t="s">
        <v>807</v>
      </c>
    </row>
    <row r="3" spans="1:2" x14ac:dyDescent="0.35">
      <c r="A3" s="1" t="s">
        <v>323</v>
      </c>
      <c r="B3" s="2" t="s">
        <v>808</v>
      </c>
    </row>
    <row r="4" spans="1:2" x14ac:dyDescent="0.35">
      <c r="A4" s="1" t="s">
        <v>324</v>
      </c>
      <c r="B4" s="2" t="s">
        <v>809</v>
      </c>
    </row>
    <row r="5" spans="1:2" x14ac:dyDescent="0.35">
      <c r="A5" s="39" t="s">
        <v>786</v>
      </c>
      <c r="B5" s="2" t="s">
        <v>787</v>
      </c>
    </row>
    <row r="6" spans="1:2" x14ac:dyDescent="0.35">
      <c r="A6" s="1" t="s">
        <v>325</v>
      </c>
      <c r="B6" s="2" t="s">
        <v>810</v>
      </c>
    </row>
    <row r="7" spans="1:2" x14ac:dyDescent="0.35">
      <c r="A7" s="1" t="s">
        <v>326</v>
      </c>
      <c r="B7" s="2" t="s">
        <v>811</v>
      </c>
    </row>
    <row r="8" spans="1:2" x14ac:dyDescent="0.35">
      <c r="A8" s="1" t="s">
        <v>327</v>
      </c>
      <c r="B8" s="2" t="s">
        <v>812</v>
      </c>
    </row>
    <row r="9" spans="1:2" x14ac:dyDescent="0.35">
      <c r="A9" s="1" t="s">
        <v>328</v>
      </c>
      <c r="B9" s="2" t="s">
        <v>329</v>
      </c>
    </row>
    <row r="10" spans="1:2" x14ac:dyDescent="0.35">
      <c r="A10" s="1" t="s">
        <v>330</v>
      </c>
      <c r="B10" s="2" t="s">
        <v>813</v>
      </c>
    </row>
    <row r="11" spans="1:2" x14ac:dyDescent="0.35">
      <c r="A11" s="39" t="s">
        <v>788</v>
      </c>
      <c r="B11" s="2" t="s">
        <v>785</v>
      </c>
    </row>
    <row r="12" spans="1:2" x14ac:dyDescent="0.35">
      <c r="A12" s="1">
        <v>1501</v>
      </c>
      <c r="B12" s="2" t="s">
        <v>331</v>
      </c>
    </row>
    <row r="13" spans="1:2" x14ac:dyDescent="0.35">
      <c r="A13" s="1">
        <v>1511</v>
      </c>
      <c r="B13" s="2" t="s">
        <v>332</v>
      </c>
    </row>
    <row r="14" spans="1:2" x14ac:dyDescent="0.35">
      <c r="A14" s="1">
        <v>1512</v>
      </c>
      <c r="B14" s="2" t="s">
        <v>333</v>
      </c>
    </row>
    <row r="15" spans="1:2" x14ac:dyDescent="0.35">
      <c r="A15" s="39" t="s">
        <v>793</v>
      </c>
      <c r="B15" s="2" t="s">
        <v>792</v>
      </c>
    </row>
    <row r="16" spans="1:2" x14ac:dyDescent="0.35">
      <c r="A16" s="1">
        <v>1532</v>
      </c>
      <c r="B16" s="2" t="s">
        <v>334</v>
      </c>
    </row>
    <row r="17" spans="1:2" x14ac:dyDescent="0.35">
      <c r="A17" s="1">
        <v>1651</v>
      </c>
      <c r="B17" s="2" t="s">
        <v>335</v>
      </c>
    </row>
    <row r="18" spans="1:2" x14ac:dyDescent="0.35">
      <c r="A18" s="1">
        <v>2314</v>
      </c>
      <c r="B18" s="2" t="s">
        <v>336</v>
      </c>
    </row>
    <row r="19" spans="1:2" x14ac:dyDescent="0.35">
      <c r="A19" s="39" t="s">
        <v>795</v>
      </c>
      <c r="B19" s="2" t="s">
        <v>794</v>
      </c>
    </row>
    <row r="20" spans="1:2" x14ac:dyDescent="0.35">
      <c r="A20" s="1">
        <v>2411</v>
      </c>
      <c r="B20" s="2" t="s">
        <v>337</v>
      </c>
    </row>
    <row r="21" spans="1:2" x14ac:dyDescent="0.35">
      <c r="A21" s="1">
        <v>3121</v>
      </c>
      <c r="B21" s="2" t="s">
        <v>338</v>
      </c>
    </row>
    <row r="22" spans="1:2" x14ac:dyDescent="0.35">
      <c r="A22" s="1">
        <v>3411</v>
      </c>
      <c r="B22" s="2" t="s">
        <v>339</v>
      </c>
    </row>
    <row r="23" spans="1:2" x14ac:dyDescent="0.35">
      <c r="A23" s="39" t="s">
        <v>797</v>
      </c>
      <c r="B23" s="2" t="s">
        <v>796</v>
      </c>
    </row>
    <row r="24" spans="1:2" x14ac:dyDescent="0.35">
      <c r="A24" s="1">
        <v>4314</v>
      </c>
      <c r="B24" s="2" t="s">
        <v>340</v>
      </c>
    </row>
    <row r="25" spans="1:2" x14ac:dyDescent="0.35">
      <c r="A25" s="39" t="s">
        <v>799</v>
      </c>
      <c r="B25" s="2" t="s">
        <v>798</v>
      </c>
    </row>
    <row r="26" spans="1:2" x14ac:dyDescent="0.35">
      <c r="A26" s="39" t="s">
        <v>791</v>
      </c>
      <c r="B26" s="2" t="s">
        <v>790</v>
      </c>
    </row>
    <row r="27" spans="1:2" x14ac:dyDescent="0.35">
      <c r="A27" s="1">
        <v>4911</v>
      </c>
      <c r="B27" s="2" t="s">
        <v>341</v>
      </c>
    </row>
    <row r="28" spans="1:2" x14ac:dyDescent="0.35">
      <c r="A28" s="1">
        <v>9121</v>
      </c>
      <c r="B28" s="2" t="s">
        <v>342</v>
      </c>
    </row>
    <row r="29" spans="1:2" x14ac:dyDescent="0.35">
      <c r="A29" s="1">
        <v>9200</v>
      </c>
      <c r="B29" s="2" t="s">
        <v>343</v>
      </c>
    </row>
    <row r="30" spans="1:2" x14ac:dyDescent="0.35">
      <c r="A30" s="1">
        <v>9201</v>
      </c>
      <c r="B30" s="2" t="s">
        <v>344</v>
      </c>
    </row>
    <row r="31" spans="1:2" x14ac:dyDescent="0.35">
      <c r="A31" s="1">
        <v>9202</v>
      </c>
      <c r="B31" s="2" t="s">
        <v>345</v>
      </c>
    </row>
    <row r="32" spans="1:2" x14ac:dyDescent="0.35">
      <c r="A32" s="1">
        <v>9203</v>
      </c>
      <c r="B32" s="2" t="s">
        <v>346</v>
      </c>
    </row>
    <row r="33" spans="1:2" x14ac:dyDescent="0.35">
      <c r="A33" s="1">
        <v>9204</v>
      </c>
      <c r="B33" s="2" t="s">
        <v>347</v>
      </c>
    </row>
    <row r="34" spans="1:2" x14ac:dyDescent="0.35">
      <c r="A34" s="1">
        <v>9205</v>
      </c>
      <c r="B34" s="2" t="s">
        <v>348</v>
      </c>
    </row>
    <row r="35" spans="1:2" x14ac:dyDescent="0.35">
      <c r="A35" s="1">
        <v>9206</v>
      </c>
      <c r="B35" s="2" t="s">
        <v>349</v>
      </c>
    </row>
    <row r="36" spans="1:2" x14ac:dyDescent="0.35">
      <c r="A36" s="1">
        <v>9207</v>
      </c>
      <c r="B36" s="2" t="s">
        <v>350</v>
      </c>
    </row>
    <row r="37" spans="1:2" x14ac:dyDescent="0.35">
      <c r="A37" s="1">
        <v>9209</v>
      </c>
      <c r="B37" s="2" t="s">
        <v>351</v>
      </c>
    </row>
    <row r="38" spans="1:2" x14ac:dyDescent="0.35">
      <c r="A38" s="1">
        <v>9231</v>
      </c>
      <c r="B38" s="2" t="s">
        <v>352</v>
      </c>
    </row>
    <row r="39" spans="1:2" x14ac:dyDescent="0.35">
      <c r="A39" s="1">
        <v>9241</v>
      </c>
      <c r="B39" s="2" t="s">
        <v>353</v>
      </c>
    </row>
    <row r="40" spans="1:2" x14ac:dyDescent="0.35">
      <c r="A40" s="1">
        <v>9291</v>
      </c>
      <c r="B40" s="2" t="s">
        <v>354</v>
      </c>
    </row>
    <row r="41" spans="1:2" x14ac:dyDescent="0.35">
      <c r="A41" s="1">
        <v>9311</v>
      </c>
      <c r="B41" s="2" t="s">
        <v>355</v>
      </c>
    </row>
    <row r="42" spans="1:2" x14ac:dyDescent="0.35">
      <c r="A42" s="39" t="s">
        <v>789</v>
      </c>
      <c r="B42" s="2" t="s">
        <v>356</v>
      </c>
    </row>
    <row r="43" spans="1:2" x14ac:dyDescent="0.35">
      <c r="A43" s="1">
        <v>9321</v>
      </c>
      <c r="B43" s="2" t="s">
        <v>357</v>
      </c>
    </row>
    <row r="44" spans="1:2" x14ac:dyDescent="0.35">
      <c r="A44" s="1">
        <v>9331</v>
      </c>
      <c r="B44" s="2" t="s">
        <v>358</v>
      </c>
    </row>
    <row r="45" spans="1:2" x14ac:dyDescent="0.35">
      <c r="A45" s="1">
        <v>9332</v>
      </c>
      <c r="B45" s="2" t="s">
        <v>359</v>
      </c>
    </row>
    <row r="46" spans="1:2" x14ac:dyDescent="0.35">
      <c r="A46" s="1">
        <v>9333</v>
      </c>
      <c r="B46" s="2" t="s">
        <v>802</v>
      </c>
    </row>
    <row r="47" spans="1:2" x14ac:dyDescent="0.35">
      <c r="A47" s="39" t="s">
        <v>800</v>
      </c>
      <c r="B47" s="2" t="s">
        <v>801</v>
      </c>
    </row>
    <row r="48" spans="1:2" x14ac:dyDescent="0.35">
      <c r="A48" s="1">
        <v>9341</v>
      </c>
      <c r="B48" s="2" t="s">
        <v>361</v>
      </c>
    </row>
    <row r="49" spans="1:2" x14ac:dyDescent="0.35">
      <c r="A49" s="1" t="s">
        <v>362</v>
      </c>
      <c r="B49" s="2" t="s">
        <v>363</v>
      </c>
    </row>
    <row r="50" spans="1:2" x14ac:dyDescent="0.35">
      <c r="A50" s="1" t="s">
        <v>364</v>
      </c>
      <c r="B50" s="2" t="s">
        <v>365</v>
      </c>
    </row>
    <row r="51" spans="1:2" x14ac:dyDescent="0.35">
      <c r="A51" s="1" t="s">
        <v>366</v>
      </c>
      <c r="B51" s="2" t="s">
        <v>367</v>
      </c>
    </row>
    <row r="52" spans="1:2" x14ac:dyDescent="0.35">
      <c r="A52" s="1" t="s">
        <v>368</v>
      </c>
      <c r="B52" s="2" t="s">
        <v>369</v>
      </c>
    </row>
    <row r="53" spans="1:2" x14ac:dyDescent="0.35">
      <c r="A53" s="1" t="s">
        <v>370</v>
      </c>
      <c r="B53" s="2" t="s">
        <v>371</v>
      </c>
    </row>
    <row r="54" spans="1:2" x14ac:dyDescent="0.35">
      <c r="A54" s="1" t="s">
        <v>372</v>
      </c>
      <c r="B54" s="2" t="s">
        <v>373</v>
      </c>
    </row>
    <row r="55" spans="1:2" x14ac:dyDescent="0.35">
      <c r="A55" s="1" t="s">
        <v>374</v>
      </c>
      <c r="B55" s="2" t="s">
        <v>331</v>
      </c>
    </row>
    <row r="56" spans="1:2" x14ac:dyDescent="0.35">
      <c r="A56" s="1" t="s">
        <v>375</v>
      </c>
      <c r="B56" s="2" t="s">
        <v>332</v>
      </c>
    </row>
    <row r="57" spans="1:2" x14ac:dyDescent="0.35">
      <c r="A57" s="1" t="s">
        <v>376</v>
      </c>
      <c r="B57" s="2" t="s">
        <v>333</v>
      </c>
    </row>
    <row r="58" spans="1:2" x14ac:dyDescent="0.35">
      <c r="A58" s="1" t="s">
        <v>377</v>
      </c>
      <c r="B58" s="2" t="s">
        <v>334</v>
      </c>
    </row>
    <row r="59" spans="1:2" x14ac:dyDescent="0.35">
      <c r="A59" s="1" t="s">
        <v>378</v>
      </c>
      <c r="B59" s="2" t="s">
        <v>379</v>
      </c>
    </row>
    <row r="60" spans="1:2" x14ac:dyDescent="0.35">
      <c r="A60" s="1" t="s">
        <v>380</v>
      </c>
      <c r="B60" s="2" t="s">
        <v>381</v>
      </c>
    </row>
    <row r="61" spans="1:2" x14ac:dyDescent="0.35">
      <c r="A61" s="1" t="s">
        <v>382</v>
      </c>
      <c r="B61" s="2" t="s">
        <v>383</v>
      </c>
    </row>
    <row r="62" spans="1:2" x14ac:dyDescent="0.35">
      <c r="A62" s="1" t="s">
        <v>384</v>
      </c>
      <c r="B62" s="2" t="s">
        <v>335</v>
      </c>
    </row>
    <row r="63" spans="1:2" x14ac:dyDescent="0.35">
      <c r="A63" s="1" t="s">
        <v>385</v>
      </c>
      <c r="B63" s="2" t="s">
        <v>386</v>
      </c>
    </row>
    <row r="64" spans="1:2" x14ac:dyDescent="0.35">
      <c r="A64" s="1" t="s">
        <v>387</v>
      </c>
      <c r="B64" s="2" t="s">
        <v>388</v>
      </c>
    </row>
    <row r="65" spans="1:2" x14ac:dyDescent="0.35">
      <c r="A65" s="1" t="s">
        <v>389</v>
      </c>
      <c r="B65" s="2" t="s">
        <v>390</v>
      </c>
    </row>
    <row r="66" spans="1:2" x14ac:dyDescent="0.35">
      <c r="A66" s="1" t="s">
        <v>391</v>
      </c>
      <c r="B66" s="2" t="s">
        <v>392</v>
      </c>
    </row>
    <row r="67" spans="1:2" x14ac:dyDescent="0.35">
      <c r="A67" s="1" t="s">
        <v>393</v>
      </c>
      <c r="B67" s="2" t="s">
        <v>394</v>
      </c>
    </row>
    <row r="68" spans="1:2" x14ac:dyDescent="0.35">
      <c r="A68" s="1" t="s">
        <v>395</v>
      </c>
      <c r="B68" s="2" t="s">
        <v>396</v>
      </c>
    </row>
    <row r="69" spans="1:2" x14ac:dyDescent="0.35">
      <c r="A69" s="1" t="s">
        <v>397</v>
      </c>
      <c r="B69" s="2" t="s">
        <v>336</v>
      </c>
    </row>
    <row r="70" spans="1:2" x14ac:dyDescent="0.35">
      <c r="A70" s="1" t="s">
        <v>398</v>
      </c>
      <c r="B70" s="2" t="s">
        <v>399</v>
      </c>
    </row>
    <row r="71" spans="1:2" x14ac:dyDescent="0.35">
      <c r="A71" s="1" t="s">
        <v>400</v>
      </c>
      <c r="B71" s="2" t="s">
        <v>337</v>
      </c>
    </row>
    <row r="72" spans="1:2" x14ac:dyDescent="0.35">
      <c r="A72" s="1" t="s">
        <v>401</v>
      </c>
      <c r="B72" s="2" t="s">
        <v>402</v>
      </c>
    </row>
    <row r="73" spans="1:2" x14ac:dyDescent="0.35">
      <c r="A73" s="1" t="s">
        <v>403</v>
      </c>
      <c r="B73" s="2" t="s">
        <v>404</v>
      </c>
    </row>
    <row r="74" spans="1:2" x14ac:dyDescent="0.35">
      <c r="A74" s="1" t="s">
        <v>405</v>
      </c>
      <c r="B74" s="2" t="s">
        <v>338</v>
      </c>
    </row>
    <row r="75" spans="1:2" x14ac:dyDescent="0.35">
      <c r="A75" s="1" t="s">
        <v>406</v>
      </c>
      <c r="B75" s="2" t="s">
        <v>407</v>
      </c>
    </row>
    <row r="76" spans="1:2" x14ac:dyDescent="0.35">
      <c r="A76" s="1" t="s">
        <v>408</v>
      </c>
      <c r="B76" s="2" t="s">
        <v>409</v>
      </c>
    </row>
    <row r="77" spans="1:2" x14ac:dyDescent="0.35">
      <c r="A77" s="1" t="s">
        <v>410</v>
      </c>
      <c r="B77" s="2" t="s">
        <v>411</v>
      </c>
    </row>
    <row r="78" spans="1:2" x14ac:dyDescent="0.35">
      <c r="A78" s="1" t="s">
        <v>412</v>
      </c>
      <c r="B78" s="2" t="s">
        <v>413</v>
      </c>
    </row>
    <row r="79" spans="1:2" x14ac:dyDescent="0.35">
      <c r="A79" s="1" t="s">
        <v>414</v>
      </c>
      <c r="B79" s="2" t="s">
        <v>415</v>
      </c>
    </row>
    <row r="80" spans="1:2" x14ac:dyDescent="0.35">
      <c r="A80" s="1" t="s">
        <v>416</v>
      </c>
      <c r="B80" s="2" t="s">
        <v>417</v>
      </c>
    </row>
    <row r="81" spans="1:2" x14ac:dyDescent="0.35">
      <c r="A81" s="1" t="s">
        <v>418</v>
      </c>
      <c r="B81" s="2" t="s">
        <v>419</v>
      </c>
    </row>
    <row r="82" spans="1:2" x14ac:dyDescent="0.35">
      <c r="A82" s="1" t="s">
        <v>420</v>
      </c>
      <c r="B82" s="2" t="s">
        <v>421</v>
      </c>
    </row>
    <row r="83" spans="1:2" x14ac:dyDescent="0.35">
      <c r="A83" s="1" t="s">
        <v>422</v>
      </c>
      <c r="B83" s="2" t="s">
        <v>423</v>
      </c>
    </row>
    <row r="84" spans="1:2" x14ac:dyDescent="0.35">
      <c r="A84" s="1" t="s">
        <v>424</v>
      </c>
      <c r="B84" s="2" t="s">
        <v>425</v>
      </c>
    </row>
    <row r="85" spans="1:2" x14ac:dyDescent="0.35">
      <c r="A85" s="1" t="s">
        <v>426</v>
      </c>
      <c r="B85" s="2" t="s">
        <v>427</v>
      </c>
    </row>
    <row r="86" spans="1:2" x14ac:dyDescent="0.35">
      <c r="A86" s="1" t="s">
        <v>428</v>
      </c>
      <c r="B86" s="2" t="s">
        <v>339</v>
      </c>
    </row>
    <row r="87" spans="1:2" x14ac:dyDescent="0.35">
      <c r="A87" s="1" t="s">
        <v>429</v>
      </c>
      <c r="B87" s="2" t="s">
        <v>430</v>
      </c>
    </row>
    <row r="88" spans="1:2" x14ac:dyDescent="0.35">
      <c r="A88" s="1" t="s">
        <v>431</v>
      </c>
      <c r="B88" s="2" t="s">
        <v>432</v>
      </c>
    </row>
    <row r="89" spans="1:2" x14ac:dyDescent="0.35">
      <c r="A89" s="1" t="s">
        <v>433</v>
      </c>
      <c r="B89" s="2" t="s">
        <v>434</v>
      </c>
    </row>
    <row r="90" spans="1:2" x14ac:dyDescent="0.35">
      <c r="A90" s="1" t="s">
        <v>435</v>
      </c>
      <c r="B90" s="2" t="s">
        <v>436</v>
      </c>
    </row>
    <row r="91" spans="1:2" x14ac:dyDescent="0.35">
      <c r="A91" s="1" t="s">
        <v>437</v>
      </c>
      <c r="B91" s="2" t="s">
        <v>438</v>
      </c>
    </row>
    <row r="92" spans="1:2" x14ac:dyDescent="0.35">
      <c r="A92" s="1" t="s">
        <v>439</v>
      </c>
      <c r="B92" s="2" t="s">
        <v>340</v>
      </c>
    </row>
    <row r="93" spans="1:2" x14ac:dyDescent="0.35">
      <c r="A93" s="1" t="s">
        <v>440</v>
      </c>
      <c r="B93" s="2" t="s">
        <v>441</v>
      </c>
    </row>
    <row r="94" spans="1:2" x14ac:dyDescent="0.35">
      <c r="A94" s="1" t="s">
        <v>442</v>
      </c>
      <c r="B94" s="2" t="s">
        <v>443</v>
      </c>
    </row>
    <row r="95" spans="1:2" x14ac:dyDescent="0.35">
      <c r="A95" s="1" t="s">
        <v>444</v>
      </c>
      <c r="B95" s="2" t="s">
        <v>341</v>
      </c>
    </row>
    <row r="96" spans="1:2" x14ac:dyDescent="0.35">
      <c r="A96" s="1" t="s">
        <v>445</v>
      </c>
      <c r="B96" s="2" t="s">
        <v>342</v>
      </c>
    </row>
    <row r="97" spans="1:2" x14ac:dyDescent="0.35">
      <c r="A97" s="1" t="s">
        <v>446</v>
      </c>
      <c r="B97" s="2" t="s">
        <v>343</v>
      </c>
    </row>
    <row r="98" spans="1:2" x14ac:dyDescent="0.35">
      <c r="A98" s="1" t="s">
        <v>447</v>
      </c>
      <c r="B98" s="2" t="s">
        <v>344</v>
      </c>
    </row>
    <row r="99" spans="1:2" x14ac:dyDescent="0.35">
      <c r="A99" s="1" t="s">
        <v>448</v>
      </c>
      <c r="B99" s="2" t="s">
        <v>345</v>
      </c>
    </row>
    <row r="100" spans="1:2" x14ac:dyDescent="0.35">
      <c r="A100" s="1" t="s">
        <v>449</v>
      </c>
      <c r="B100" s="2" t="s">
        <v>346</v>
      </c>
    </row>
    <row r="101" spans="1:2" x14ac:dyDescent="0.35">
      <c r="A101" s="1" t="s">
        <v>450</v>
      </c>
      <c r="B101" s="2" t="s">
        <v>347</v>
      </c>
    </row>
    <row r="102" spans="1:2" x14ac:dyDescent="0.35">
      <c r="A102" s="1" t="s">
        <v>451</v>
      </c>
      <c r="B102" s="2" t="s">
        <v>348</v>
      </c>
    </row>
    <row r="103" spans="1:2" x14ac:dyDescent="0.35">
      <c r="A103" s="1" t="s">
        <v>452</v>
      </c>
      <c r="B103" s="2" t="s">
        <v>349</v>
      </c>
    </row>
    <row r="104" spans="1:2" x14ac:dyDescent="0.35">
      <c r="A104" s="1" t="s">
        <v>453</v>
      </c>
      <c r="B104" s="2" t="s">
        <v>350</v>
      </c>
    </row>
    <row r="105" spans="1:2" x14ac:dyDescent="0.35">
      <c r="A105" s="1" t="s">
        <v>454</v>
      </c>
      <c r="B105" s="2" t="s">
        <v>351</v>
      </c>
    </row>
    <row r="106" spans="1:2" x14ac:dyDescent="0.35">
      <c r="A106" s="1" t="s">
        <v>455</v>
      </c>
      <c r="B106" s="2" t="s">
        <v>352</v>
      </c>
    </row>
    <row r="107" spans="1:2" x14ac:dyDescent="0.35">
      <c r="A107" s="1" t="s">
        <v>456</v>
      </c>
      <c r="B107" s="2" t="s">
        <v>353</v>
      </c>
    </row>
    <row r="108" spans="1:2" x14ac:dyDescent="0.35">
      <c r="A108" s="1" t="s">
        <v>457</v>
      </c>
      <c r="B108" s="2" t="s">
        <v>354</v>
      </c>
    </row>
    <row r="109" spans="1:2" x14ac:dyDescent="0.35">
      <c r="A109" s="1" t="s">
        <v>458</v>
      </c>
      <c r="B109" s="2" t="s">
        <v>355</v>
      </c>
    </row>
    <row r="110" spans="1:2" x14ac:dyDescent="0.35">
      <c r="A110" s="1" t="s">
        <v>459</v>
      </c>
      <c r="B110" s="2" t="s">
        <v>357</v>
      </c>
    </row>
    <row r="111" spans="1:2" x14ac:dyDescent="0.35">
      <c r="A111" s="1" t="s">
        <v>460</v>
      </c>
      <c r="B111" s="2" t="s">
        <v>358</v>
      </c>
    </row>
    <row r="112" spans="1:2" x14ac:dyDescent="0.35">
      <c r="A112" s="1" t="s">
        <v>461</v>
      </c>
      <c r="B112" s="2" t="s">
        <v>359</v>
      </c>
    </row>
    <row r="113" spans="1:2" x14ac:dyDescent="0.35">
      <c r="A113" s="1" t="s">
        <v>462</v>
      </c>
      <c r="B113" s="2" t="s">
        <v>360</v>
      </c>
    </row>
    <row r="114" spans="1:2" x14ac:dyDescent="0.35">
      <c r="A114" s="1" t="s">
        <v>463</v>
      </c>
      <c r="B114" s="2" t="s">
        <v>464</v>
      </c>
    </row>
    <row r="115" spans="1:2" x14ac:dyDescent="0.35">
      <c r="A115" s="1" t="s">
        <v>465</v>
      </c>
      <c r="B115" s="2" t="s">
        <v>466</v>
      </c>
    </row>
    <row r="116" spans="1:2" x14ac:dyDescent="0.35">
      <c r="A116" s="1" t="s">
        <v>467</v>
      </c>
      <c r="B116" s="2" t="s">
        <v>468</v>
      </c>
    </row>
    <row r="117" spans="1:2" x14ac:dyDescent="0.35">
      <c r="A117" s="1" t="s">
        <v>469</v>
      </c>
      <c r="B117" s="2" t="s">
        <v>470</v>
      </c>
    </row>
    <row r="118" spans="1:2" x14ac:dyDescent="0.35">
      <c r="A118" s="1" t="s">
        <v>471</v>
      </c>
      <c r="B118" s="2" t="s">
        <v>472</v>
      </c>
    </row>
    <row r="119" spans="1:2" x14ac:dyDescent="0.35">
      <c r="A119" s="1" t="s">
        <v>473</v>
      </c>
      <c r="B119" s="2" t="s">
        <v>361</v>
      </c>
    </row>
    <row r="120" spans="1:2" x14ac:dyDescent="0.35">
      <c r="A120" s="1">
        <v>1331</v>
      </c>
      <c r="B120" s="2" t="s">
        <v>474</v>
      </c>
    </row>
    <row r="121" spans="1:2" x14ac:dyDescent="0.35">
      <c r="A121" s="1" t="s">
        <v>475</v>
      </c>
      <c r="B121" s="2" t="s">
        <v>476</v>
      </c>
    </row>
    <row r="122" spans="1:2" x14ac:dyDescent="0.35">
      <c r="A122" s="1" t="s">
        <v>477</v>
      </c>
      <c r="B122" s="3" t="s">
        <v>478</v>
      </c>
    </row>
    <row r="123" spans="1:2" x14ac:dyDescent="0.35">
      <c r="A123" s="1" t="s">
        <v>479</v>
      </c>
      <c r="B123" s="3" t="s">
        <v>480</v>
      </c>
    </row>
    <row r="124" spans="1:2" x14ac:dyDescent="0.35">
      <c r="A124" s="1" t="s">
        <v>481</v>
      </c>
      <c r="B124" s="3" t="s">
        <v>482</v>
      </c>
    </row>
    <row r="125" spans="1:2" x14ac:dyDescent="0.35">
      <c r="A125" s="1" t="s">
        <v>483</v>
      </c>
      <c r="B125" s="3" t="s">
        <v>484</v>
      </c>
    </row>
    <row r="126" spans="1:2" x14ac:dyDescent="0.35">
      <c r="A126" s="1" t="s">
        <v>485</v>
      </c>
      <c r="B126" s="3" t="s">
        <v>486</v>
      </c>
    </row>
    <row r="127" spans="1:2" x14ac:dyDescent="0.35">
      <c r="A127" s="1" t="s">
        <v>487</v>
      </c>
      <c r="B127" s="3" t="s">
        <v>488</v>
      </c>
    </row>
    <row r="128" spans="1:2" x14ac:dyDescent="0.35">
      <c r="A128" s="1" t="s">
        <v>489</v>
      </c>
      <c r="B128" s="3" t="s">
        <v>490</v>
      </c>
    </row>
    <row r="129" spans="1:2" x14ac:dyDescent="0.35">
      <c r="A129" s="1" t="s">
        <v>491</v>
      </c>
      <c r="B129" s="3" t="s">
        <v>492</v>
      </c>
    </row>
    <row r="130" spans="1:2" x14ac:dyDescent="0.35">
      <c r="A130" s="1" t="s">
        <v>493</v>
      </c>
      <c r="B130" s="3" t="s">
        <v>494</v>
      </c>
    </row>
    <row r="131" spans="1:2" x14ac:dyDescent="0.35">
      <c r="A131" s="4">
        <v>2</v>
      </c>
      <c r="B131" s="3" t="s">
        <v>495</v>
      </c>
    </row>
    <row r="132" spans="1:2" x14ac:dyDescent="0.35">
      <c r="A132" s="4">
        <v>6</v>
      </c>
      <c r="B132" s="3" t="s">
        <v>496</v>
      </c>
    </row>
    <row r="133" spans="1:2" x14ac:dyDescent="0.35">
      <c r="A133" s="4">
        <v>8</v>
      </c>
      <c r="B133" s="3" t="s">
        <v>497</v>
      </c>
    </row>
    <row r="134" spans="1:2" x14ac:dyDescent="0.35">
      <c r="A134" s="4">
        <v>1</v>
      </c>
      <c r="B134" s="3" t="s">
        <v>504</v>
      </c>
    </row>
    <row r="135" spans="1:2" x14ac:dyDescent="0.35">
      <c r="A135" s="5"/>
      <c r="B135" s="3"/>
    </row>
    <row r="136" spans="1:2" x14ac:dyDescent="0.35">
      <c r="A136" s="5"/>
      <c r="B136" s="3"/>
    </row>
    <row r="137" spans="1:2" x14ac:dyDescent="0.35">
      <c r="A137" s="5"/>
      <c r="B137" s="3"/>
    </row>
    <row r="138" spans="1:2" x14ac:dyDescent="0.35">
      <c r="A138" s="5"/>
      <c r="B138" s="3"/>
    </row>
    <row r="139" spans="1:2" x14ac:dyDescent="0.35">
      <c r="A139" s="5"/>
      <c r="B139" s="3"/>
    </row>
    <row r="140" spans="1:2" x14ac:dyDescent="0.35">
      <c r="A140" s="5"/>
      <c r="B140" s="3"/>
    </row>
    <row r="141" spans="1:2" x14ac:dyDescent="0.35">
      <c r="A141" s="5"/>
      <c r="B141" s="3"/>
    </row>
    <row r="142" spans="1:2" x14ac:dyDescent="0.35">
      <c r="A142" s="5"/>
      <c r="B142" s="3"/>
    </row>
    <row r="143" spans="1:2" x14ac:dyDescent="0.35">
      <c r="A143" s="5"/>
      <c r="B143" s="3"/>
    </row>
    <row r="144" spans="1:2" x14ac:dyDescent="0.35">
      <c r="A144" s="5"/>
      <c r="B144" s="3"/>
    </row>
    <row r="145" spans="1:2" x14ac:dyDescent="0.35">
      <c r="A145" s="5"/>
      <c r="B145" s="3"/>
    </row>
    <row r="146" spans="1:2" x14ac:dyDescent="0.35">
      <c r="A146" s="5"/>
      <c r="B146" s="3"/>
    </row>
    <row r="147" spans="1:2" x14ac:dyDescent="0.35">
      <c r="A147" s="5"/>
      <c r="B147" s="3"/>
    </row>
    <row r="148" spans="1:2" x14ac:dyDescent="0.35">
      <c r="A148" s="5"/>
      <c r="B148" s="3"/>
    </row>
    <row r="149" spans="1:2" x14ac:dyDescent="0.35">
      <c r="A149" s="5"/>
      <c r="B149" s="3"/>
    </row>
    <row r="150" spans="1:2" x14ac:dyDescent="0.35">
      <c r="A150" s="5"/>
      <c r="B150" s="3"/>
    </row>
    <row r="151" spans="1:2" x14ac:dyDescent="0.35">
      <c r="A151" s="5"/>
      <c r="B151" s="3"/>
    </row>
    <row r="152" spans="1:2" x14ac:dyDescent="0.35">
      <c r="A152" s="5"/>
      <c r="B152" s="3"/>
    </row>
    <row r="153" spans="1:2" x14ac:dyDescent="0.35">
      <c r="A153" s="5"/>
      <c r="B153" s="3"/>
    </row>
    <row r="154" spans="1:2" x14ac:dyDescent="0.35">
      <c r="A154" s="5"/>
      <c r="B154" s="3"/>
    </row>
    <row r="155" spans="1:2" x14ac:dyDescent="0.35">
      <c r="A155" s="5"/>
      <c r="B155" s="3"/>
    </row>
    <row r="156" spans="1:2" x14ac:dyDescent="0.35">
      <c r="A156" s="5"/>
      <c r="B156" s="3"/>
    </row>
    <row r="157" spans="1:2" x14ac:dyDescent="0.35">
      <c r="A157" s="5"/>
      <c r="B157" s="3"/>
    </row>
    <row r="158" spans="1:2" x14ac:dyDescent="0.35">
      <c r="A158" s="5"/>
      <c r="B158" s="3"/>
    </row>
    <row r="159" spans="1:2" x14ac:dyDescent="0.35">
      <c r="A159" s="5"/>
      <c r="B159" s="3"/>
    </row>
    <row r="160" spans="1:2" x14ac:dyDescent="0.35">
      <c r="A160" s="5"/>
      <c r="B160" s="3"/>
    </row>
    <row r="161" spans="1:2" x14ac:dyDescent="0.35">
      <c r="A161" s="5"/>
      <c r="B161" s="3"/>
    </row>
    <row r="162" spans="1:2" x14ac:dyDescent="0.35">
      <c r="A162" s="5"/>
      <c r="B162" s="3"/>
    </row>
    <row r="163" spans="1:2" x14ac:dyDescent="0.35">
      <c r="A163" s="5"/>
      <c r="B163" s="3"/>
    </row>
    <row r="164" spans="1:2" x14ac:dyDescent="0.35">
      <c r="A164" s="5"/>
      <c r="B164" s="3"/>
    </row>
    <row r="165" spans="1:2" x14ac:dyDescent="0.35">
      <c r="A165" s="5"/>
    </row>
    <row r="166" spans="1:2" x14ac:dyDescent="0.35">
      <c r="A166" s="5"/>
      <c r="B166" s="3"/>
    </row>
    <row r="167" spans="1:2" x14ac:dyDescent="0.35">
      <c r="A167" s="5"/>
      <c r="B167" s="3"/>
    </row>
    <row r="168" spans="1:2" x14ac:dyDescent="0.35">
      <c r="A168" s="5"/>
      <c r="B168" s="3"/>
    </row>
    <row r="169" spans="1:2" x14ac:dyDescent="0.35">
      <c r="A169" s="5"/>
      <c r="B169" s="3"/>
    </row>
    <row r="170" spans="1:2" x14ac:dyDescent="0.35">
      <c r="A170" s="5"/>
      <c r="B170" s="3"/>
    </row>
    <row r="171" spans="1:2" x14ac:dyDescent="0.35">
      <c r="A171" s="5"/>
      <c r="B171" s="3"/>
    </row>
    <row r="172" spans="1:2" x14ac:dyDescent="0.35">
      <c r="A172" s="5"/>
      <c r="B172" s="3"/>
    </row>
    <row r="173" spans="1:2" x14ac:dyDescent="0.35">
      <c r="A173" s="5"/>
      <c r="B173" s="3"/>
    </row>
    <row r="174" spans="1:2" x14ac:dyDescent="0.35">
      <c r="A174" s="5"/>
      <c r="B174" s="3"/>
    </row>
    <row r="175" spans="1:2" x14ac:dyDescent="0.35">
      <c r="A175" s="5"/>
      <c r="B175" s="3"/>
    </row>
    <row r="176" spans="1:2" x14ac:dyDescent="0.35">
      <c r="A176" s="5"/>
    </row>
    <row r="177" spans="1:2" x14ac:dyDescent="0.35">
      <c r="A177" s="5"/>
    </row>
    <row r="178" spans="1:2" x14ac:dyDescent="0.35">
      <c r="A178" s="5"/>
    </row>
    <row r="179" spans="1:2" x14ac:dyDescent="0.35">
      <c r="A179" s="5"/>
      <c r="B179" s="3"/>
    </row>
    <row r="180" spans="1:2" x14ac:dyDescent="0.35">
      <c r="A180" s="5"/>
      <c r="B180" s="3"/>
    </row>
    <row r="181" spans="1:2" x14ac:dyDescent="0.35">
      <c r="A181" s="5"/>
      <c r="B181" s="3"/>
    </row>
    <row r="182" spans="1:2" x14ac:dyDescent="0.35">
      <c r="A182" s="5"/>
      <c r="B182" s="3"/>
    </row>
    <row r="183" spans="1:2" x14ac:dyDescent="0.35">
      <c r="A183" s="5"/>
      <c r="B183" s="3"/>
    </row>
    <row r="184" spans="1:2" x14ac:dyDescent="0.35">
      <c r="A184" s="5"/>
      <c r="B184" s="3"/>
    </row>
    <row r="185" spans="1:2" x14ac:dyDescent="0.35">
      <c r="A185" s="5"/>
      <c r="B185" s="3"/>
    </row>
    <row r="186" spans="1:2" x14ac:dyDescent="0.35">
      <c r="A186" s="5"/>
      <c r="B186" s="3"/>
    </row>
    <row r="187" spans="1:2" x14ac:dyDescent="0.35">
      <c r="A187" s="5"/>
      <c r="B187" s="3"/>
    </row>
    <row r="188" spans="1:2" x14ac:dyDescent="0.35">
      <c r="A188" s="5"/>
      <c r="B188" s="3"/>
    </row>
    <row r="189" spans="1:2" x14ac:dyDescent="0.35">
      <c r="A189" s="5"/>
      <c r="B189" s="3"/>
    </row>
    <row r="190" spans="1:2" x14ac:dyDescent="0.35">
      <c r="A190" s="5"/>
      <c r="B190" s="3"/>
    </row>
    <row r="191" spans="1:2" x14ac:dyDescent="0.35">
      <c r="A191" s="5"/>
      <c r="B191" s="3"/>
    </row>
    <row r="192" spans="1:2" x14ac:dyDescent="0.35">
      <c r="A192" s="5"/>
      <c r="B192" s="3"/>
    </row>
    <row r="193" spans="1:2" x14ac:dyDescent="0.35">
      <c r="A193" s="5"/>
      <c r="B193" s="3"/>
    </row>
    <row r="194" spans="1:2" x14ac:dyDescent="0.35">
      <c r="A194" s="5"/>
      <c r="B194" s="3"/>
    </row>
    <row r="195" spans="1:2" x14ac:dyDescent="0.35">
      <c r="A195" s="5"/>
      <c r="B195" s="3"/>
    </row>
    <row r="196" spans="1:2" x14ac:dyDescent="0.35">
      <c r="A196" s="5"/>
      <c r="B196" s="3"/>
    </row>
    <row r="197" spans="1:2" x14ac:dyDescent="0.35">
      <c r="A197" s="5"/>
      <c r="B197" s="3"/>
    </row>
    <row r="198" spans="1:2" x14ac:dyDescent="0.35">
      <c r="A198" s="5"/>
      <c r="B198" s="3"/>
    </row>
    <row r="199" spans="1:2" x14ac:dyDescent="0.35">
      <c r="A199" s="5"/>
      <c r="B199" s="3"/>
    </row>
    <row r="200" spans="1:2" x14ac:dyDescent="0.35">
      <c r="A200" s="5"/>
      <c r="B200" s="3"/>
    </row>
    <row r="201" spans="1:2" x14ac:dyDescent="0.35">
      <c r="A201" s="5"/>
      <c r="B201" s="3"/>
    </row>
    <row r="202" spans="1:2" x14ac:dyDescent="0.35">
      <c r="A202" s="5"/>
      <c r="B202" s="3"/>
    </row>
    <row r="203" spans="1:2" x14ac:dyDescent="0.35">
      <c r="A203" s="5"/>
      <c r="B203" s="3"/>
    </row>
    <row r="204" spans="1:2" x14ac:dyDescent="0.35">
      <c r="A204" s="5"/>
      <c r="B204" s="3"/>
    </row>
    <row r="205" spans="1:2" x14ac:dyDescent="0.35">
      <c r="A205" s="5"/>
      <c r="B205" s="3"/>
    </row>
    <row r="206" spans="1:2" x14ac:dyDescent="0.35">
      <c r="A206" s="5"/>
      <c r="B206" s="3"/>
    </row>
    <row r="207" spans="1:2" x14ac:dyDescent="0.35">
      <c r="A207" s="5"/>
      <c r="B207" s="3"/>
    </row>
    <row r="208" spans="1:2" x14ac:dyDescent="0.35">
      <c r="A208" s="5"/>
      <c r="B208" s="3"/>
    </row>
    <row r="209" spans="1:2" x14ac:dyDescent="0.35">
      <c r="A209" s="5"/>
      <c r="B209" s="3"/>
    </row>
    <row r="210" spans="1:2" x14ac:dyDescent="0.35">
      <c r="A210" s="5"/>
      <c r="B210" s="3"/>
    </row>
    <row r="211" spans="1:2" x14ac:dyDescent="0.35">
      <c r="A211" s="5"/>
      <c r="B211" s="3"/>
    </row>
    <row r="212" spans="1:2" x14ac:dyDescent="0.35">
      <c r="A212" s="5"/>
      <c r="B212" s="3"/>
    </row>
    <row r="213" spans="1:2" x14ac:dyDescent="0.35">
      <c r="A213" s="5"/>
      <c r="B213" s="3"/>
    </row>
    <row r="214" spans="1:2" x14ac:dyDescent="0.35">
      <c r="A214" s="5"/>
      <c r="B214" s="3"/>
    </row>
    <row r="215" spans="1:2" x14ac:dyDescent="0.35">
      <c r="A215" s="5"/>
      <c r="B215" s="3"/>
    </row>
    <row r="216" spans="1:2" x14ac:dyDescent="0.35">
      <c r="A216" s="5"/>
      <c r="B216" s="3"/>
    </row>
    <row r="217" spans="1:2" x14ac:dyDescent="0.35">
      <c r="A217" s="5"/>
      <c r="B217" s="3"/>
    </row>
    <row r="218" spans="1:2" x14ac:dyDescent="0.35">
      <c r="A218" s="5"/>
    </row>
    <row r="220" spans="1:2" x14ac:dyDescent="0.35">
      <c r="A220" s="5"/>
    </row>
    <row r="222" spans="1:2" x14ac:dyDescent="0.35">
      <c r="A222" s="5"/>
    </row>
    <row r="223" spans="1:2" x14ac:dyDescent="0.35">
      <c r="A223" s="5"/>
    </row>
    <row r="224" spans="1:2" x14ac:dyDescent="0.35">
      <c r="A224" s="5"/>
    </row>
    <row r="225" spans="1:1" x14ac:dyDescent="0.35">
      <c r="A225" s="5"/>
    </row>
    <row r="226" spans="1:1" x14ac:dyDescent="0.35">
      <c r="A226" s="5"/>
    </row>
    <row r="227" spans="1:1" x14ac:dyDescent="0.35">
      <c r="A227" s="5"/>
    </row>
    <row r="228" spans="1:1" x14ac:dyDescent="0.35">
      <c r="A228" s="5"/>
    </row>
    <row r="229" spans="1:1" x14ac:dyDescent="0.35">
      <c r="A229" s="5"/>
    </row>
    <row r="230" spans="1:1" x14ac:dyDescent="0.35">
      <c r="A230" s="5"/>
    </row>
    <row r="231" spans="1:1" x14ac:dyDescent="0.35">
      <c r="A231" s="5"/>
    </row>
    <row r="232" spans="1:1" x14ac:dyDescent="0.35">
      <c r="A232" s="5"/>
    </row>
    <row r="233" spans="1:1" x14ac:dyDescent="0.35">
      <c r="A233" s="5"/>
    </row>
    <row r="234" spans="1:1" x14ac:dyDescent="0.35">
      <c r="A234" s="5"/>
    </row>
    <row r="235" spans="1:1" x14ac:dyDescent="0.35">
      <c r="A235" s="5"/>
    </row>
    <row r="236" spans="1:1" x14ac:dyDescent="0.35">
      <c r="A236" s="5"/>
    </row>
    <row r="237" spans="1:1" x14ac:dyDescent="0.35">
      <c r="A237" s="5"/>
    </row>
    <row r="238" spans="1:1" x14ac:dyDescent="0.35">
      <c r="A238" s="5"/>
    </row>
    <row r="239" spans="1:1" x14ac:dyDescent="0.35">
      <c r="A239" s="5"/>
    </row>
    <row r="240" spans="1:1" x14ac:dyDescent="0.35">
      <c r="A240" s="5"/>
    </row>
    <row r="241" spans="1:1" x14ac:dyDescent="0.35">
      <c r="A241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7"/>
  <sheetViews>
    <sheetView view="pageLayout" zoomScaleNormal="100" workbookViewId="0"/>
  </sheetViews>
  <sheetFormatPr baseColWidth="10" defaultColWidth="36.54296875" defaultRowHeight="10.5" x14ac:dyDescent="0.35"/>
  <cols>
    <col min="1" max="1" width="38.54296875" style="14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22" t="s">
        <v>6269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x14ac:dyDescent="0.35">
      <c r="A2" s="21" t="s">
        <v>3274</v>
      </c>
      <c r="B2" s="43"/>
      <c r="C2" s="43"/>
      <c r="D2" s="43"/>
      <c r="E2" s="43"/>
      <c r="F2" s="43"/>
      <c r="G2" s="19">
        <v>400</v>
      </c>
      <c r="H2" s="43"/>
      <c r="I2" s="43"/>
      <c r="J2" s="43"/>
      <c r="K2" s="43"/>
      <c r="L2" s="19"/>
      <c r="M2" s="23">
        <f>SUM(Tabla2456[[#This Row],[01. Alcaldía]:[11. Salud pública y seguridad ciudadana]])</f>
        <v>400</v>
      </c>
    </row>
    <row r="3" spans="1:13" x14ac:dyDescent="0.35">
      <c r="A3" s="60" t="s">
        <v>3271</v>
      </c>
      <c r="B3" s="19"/>
      <c r="C3" s="19"/>
      <c r="D3" s="19"/>
      <c r="E3" s="19"/>
      <c r="F3" s="19"/>
      <c r="G3" s="19">
        <v>400</v>
      </c>
      <c r="H3" s="19"/>
      <c r="I3" s="19"/>
      <c r="J3" s="19"/>
      <c r="K3" s="19"/>
      <c r="L3" s="19"/>
      <c r="M3" s="23">
        <f>SUM(Tabla2456[[#This Row],[01. Alcaldía]:[11. Salud pública y seguridad ciudadana]])</f>
        <v>400</v>
      </c>
    </row>
    <row r="4" spans="1:13" x14ac:dyDescent="0.35">
      <c r="A4" s="60" t="s">
        <v>275</v>
      </c>
      <c r="B4" s="19"/>
      <c r="C4" s="19"/>
      <c r="D4" s="19">
        <v>2117.5</v>
      </c>
      <c r="E4" s="19"/>
      <c r="F4" s="19"/>
      <c r="G4" s="19"/>
      <c r="H4" s="19"/>
      <c r="I4" s="19"/>
      <c r="J4" s="19"/>
      <c r="K4" s="19"/>
      <c r="L4" s="19"/>
      <c r="M4" s="23">
        <f>SUM(Tabla2456[[#This Row],[01. Alcaldía]:[11. Salud pública y seguridad ciudadana]])</f>
        <v>2117.5</v>
      </c>
    </row>
    <row r="5" spans="1:13" x14ac:dyDescent="0.35">
      <c r="A5" s="60" t="s">
        <v>267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>
        <v>108.9</v>
      </c>
      <c r="M5" s="23">
        <f>SUM(Tabla2456[[#This Row],[01. Alcaldía]:[11. Salud pública y seguridad ciudadana]])</f>
        <v>108.9</v>
      </c>
    </row>
    <row r="6" spans="1:13" x14ac:dyDescent="0.35">
      <c r="A6" s="60" t="s">
        <v>1481</v>
      </c>
      <c r="B6" s="19"/>
      <c r="C6" s="19"/>
      <c r="D6" s="19"/>
      <c r="E6" s="19"/>
      <c r="F6" s="19"/>
      <c r="G6" s="19"/>
      <c r="H6" s="19"/>
      <c r="I6" s="19"/>
      <c r="J6" s="19"/>
      <c r="K6" s="19">
        <v>338.8</v>
      </c>
      <c r="L6" s="19"/>
      <c r="M6" s="23">
        <f>SUM(Tabla2456[[#This Row],[01. Alcaldía]:[11. Salud pública y seguridad ciudadana]])</f>
        <v>338.8</v>
      </c>
    </row>
    <row r="7" spans="1:13" x14ac:dyDescent="0.35">
      <c r="A7" s="60" t="s">
        <v>5241</v>
      </c>
      <c r="B7" s="19"/>
      <c r="C7" s="19"/>
      <c r="D7" s="19"/>
      <c r="E7" s="19"/>
      <c r="F7" s="19"/>
      <c r="G7" s="19"/>
      <c r="H7" s="19"/>
      <c r="I7" s="19"/>
      <c r="J7" s="19"/>
      <c r="K7" s="19">
        <v>242</v>
      </c>
      <c r="L7" s="19"/>
      <c r="M7" s="23">
        <f>SUM(Tabla2456[[#This Row],[01. Alcaldía]:[11. Salud pública y seguridad ciudadana]])</f>
        <v>242</v>
      </c>
    </row>
    <row r="8" spans="1:13" x14ac:dyDescent="0.35">
      <c r="A8" s="60" t="s">
        <v>65</v>
      </c>
      <c r="B8" s="19"/>
      <c r="C8" s="19"/>
      <c r="D8" s="19"/>
      <c r="E8" s="19"/>
      <c r="F8" s="19">
        <v>7260</v>
      </c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7260</v>
      </c>
    </row>
    <row r="9" spans="1:13" x14ac:dyDescent="0.35">
      <c r="A9" s="60" t="s">
        <v>6096</v>
      </c>
      <c r="B9" s="19"/>
      <c r="C9" s="19"/>
      <c r="D9" s="19"/>
      <c r="E9" s="19"/>
      <c r="F9" s="19"/>
      <c r="G9" s="19"/>
      <c r="H9" s="19"/>
      <c r="I9" s="19"/>
      <c r="J9" s="19">
        <v>726</v>
      </c>
      <c r="K9" s="19"/>
      <c r="L9" s="19"/>
      <c r="M9" s="23">
        <f>SUM(Tabla2456[[#This Row],[01. Alcaldía]:[11. Salud pública y seguridad ciudadana]])</f>
        <v>726</v>
      </c>
    </row>
    <row r="10" spans="1:13" x14ac:dyDescent="0.35">
      <c r="A10" s="60" t="s">
        <v>4533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223.85</v>
      </c>
      <c r="L10" s="19"/>
      <c r="M10" s="23">
        <f>SUM(Tabla2456[[#This Row],[01. Alcaldía]:[11. Salud pública y seguridad ciudadana]])</f>
        <v>223.85</v>
      </c>
    </row>
    <row r="11" spans="1:13" x14ac:dyDescent="0.35">
      <c r="A11" s="60" t="s">
        <v>294</v>
      </c>
      <c r="B11" s="19"/>
      <c r="C11" s="19"/>
      <c r="D11" s="19"/>
      <c r="E11" s="19">
        <v>159.34</v>
      </c>
      <c r="F11" s="19"/>
      <c r="G11" s="19"/>
      <c r="H11" s="19"/>
      <c r="I11" s="19"/>
      <c r="J11" s="19"/>
      <c r="K11" s="19"/>
      <c r="L11" s="19"/>
      <c r="M11" s="23">
        <f>SUM(Tabla2456[[#This Row],[01. Alcaldía]:[11. Salud pública y seguridad ciudadana]])</f>
        <v>159.34</v>
      </c>
    </row>
    <row r="12" spans="1:13" x14ac:dyDescent="0.35">
      <c r="A12" s="60" t="s">
        <v>6133</v>
      </c>
      <c r="B12" s="19"/>
      <c r="C12" s="19"/>
      <c r="D12" s="19"/>
      <c r="E12" s="19"/>
      <c r="F12" s="19"/>
      <c r="G12" s="19"/>
      <c r="H12" s="19"/>
      <c r="I12" s="19"/>
      <c r="J12" s="19">
        <v>998.25</v>
      </c>
      <c r="K12" s="19"/>
      <c r="L12" s="19"/>
      <c r="M12" s="23">
        <f>SUM(Tabla2456[[#This Row],[01. Alcaldía]:[11. Salud pública y seguridad ciudadana]])</f>
        <v>998.25</v>
      </c>
    </row>
    <row r="13" spans="1:13" x14ac:dyDescent="0.35">
      <c r="A13" s="60" t="s">
        <v>2334</v>
      </c>
      <c r="B13" s="19"/>
      <c r="C13" s="19"/>
      <c r="D13" s="19"/>
      <c r="E13" s="19"/>
      <c r="F13" s="19"/>
      <c r="G13" s="19">
        <v>400</v>
      </c>
      <c r="H13" s="19"/>
      <c r="I13" s="19"/>
      <c r="J13" s="19"/>
      <c r="K13" s="19"/>
      <c r="L13" s="19"/>
      <c r="M13" s="23">
        <f>SUM(Tabla2456[[#This Row],[01. Alcaldía]:[11. Salud pública y seguridad ciudadana]])</f>
        <v>400</v>
      </c>
    </row>
    <row r="14" spans="1:13" x14ac:dyDescent="0.35">
      <c r="A14" s="60" t="s">
        <v>4205</v>
      </c>
      <c r="B14" s="19"/>
      <c r="C14" s="19"/>
      <c r="D14" s="19"/>
      <c r="E14" s="19">
        <v>36.299999999999997</v>
      </c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36.299999999999997</v>
      </c>
    </row>
    <row r="15" spans="1:13" x14ac:dyDescent="0.35">
      <c r="A15" s="60" t="s">
        <v>206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741.98</v>
      </c>
      <c r="L15" s="19"/>
      <c r="M15" s="23">
        <f>SUM(Tabla2456[[#This Row],[01. Alcaldía]:[11. Salud pública y seguridad ciudadana]])</f>
        <v>741.98</v>
      </c>
    </row>
    <row r="16" spans="1:13" s="24" customFormat="1" x14ac:dyDescent="0.25">
      <c r="A16" s="25" t="s">
        <v>596</v>
      </c>
      <c r="B16" s="23">
        <f>SUBTOTAL(109,Tabla2456[01. Alcaldía])</f>
        <v>0</v>
      </c>
      <c r="C16" s="23">
        <f>SUBTOTAL(109,Tabla2456[02. Planeamiento urbanístico y vivienda])</f>
        <v>0</v>
      </c>
      <c r="D16" s="23">
        <f>SUBTOTAL(109,Tabla2456[03. Participación ciudadana y deportes])</f>
        <v>2117.5</v>
      </c>
      <c r="E16" s="23">
        <f>SUBTOTAL(109,Tabla2456[04. Planificación y recursos])</f>
        <v>195.64</v>
      </c>
      <c r="F16" s="23">
        <f>SUBTOTAL(109,Tabla2456[05. Innovación, desarrollo económico, empleo y comercio])</f>
        <v>7260</v>
      </c>
      <c r="G16" s="23">
        <f>SUBTOTAL(109,Tabla2456[06. Educación, infancia, juventud e igualdad])</f>
        <v>1200</v>
      </c>
      <c r="H16" s="23">
        <f>SUBTOTAL(109,Tabla2456[07. Medio ambiente y desarrollo sostenible])</f>
        <v>0</v>
      </c>
      <c r="I16" s="23">
        <f>SUBTOTAL(109,Tabla2456[08. Movilidad y espacio urbano])</f>
        <v>0</v>
      </c>
      <c r="J16" s="23">
        <f>SUBTOTAL(109,Tabla2456[09. Cultura y turismo])</f>
        <v>1724.25</v>
      </c>
      <c r="K16" s="23">
        <f>SUBTOTAL(109,Tabla2456[10. Servicios sociales y mediación comunitaria])</f>
        <v>1546.63</v>
      </c>
      <c r="L16" s="23">
        <f>SUBTOTAL(109,Tabla2456[11. Salud pública y seguridad ciudadana])</f>
        <v>108.9</v>
      </c>
      <c r="M16" s="23">
        <f>SUBTOTAL(109,Tabla2456[Total general])</f>
        <v>14152.92</v>
      </c>
    </row>
    <row r="22" spans="9:9" x14ac:dyDescent="0.35">
      <c r="I22" s="44"/>
    </row>
    <row r="23" spans="9:9" x14ac:dyDescent="0.35">
      <c r="I23" s="44"/>
    </row>
    <row r="24" spans="9:9" x14ac:dyDescent="0.35">
      <c r="I24" s="44"/>
    </row>
    <row r="25" spans="9:9" x14ac:dyDescent="0.35">
      <c r="I25" s="44"/>
    </row>
    <row r="26" spans="9:9" x14ac:dyDescent="0.35">
      <c r="I26" s="44"/>
    </row>
    <row r="27" spans="9:9" x14ac:dyDescent="0.35">
      <c r="I27" s="44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94" fitToHeight="0" orientation="landscape" r:id="rId1"/>
  <headerFooter>
    <oddHeader>&amp;C&amp;"Arial Narrow,Negrita"&amp;14&amp;UOTRA CONTRATACION MENOR POR PROVEEDORES Y AREAS AYUNTAMIENTO DE VALLADOLID - PRIMER, SEGUNDO Y TERCER TRIMESTRE EJERCICIO 2021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806"/>
  <sheetViews>
    <sheetView workbookViewId="0">
      <selection activeCell="A651" sqref="A651"/>
    </sheetView>
  </sheetViews>
  <sheetFormatPr baseColWidth="10" defaultRowHeight="14.5" x14ac:dyDescent="0.35"/>
  <cols>
    <col min="1" max="1" width="70" bestFit="1" customWidth="1"/>
    <col min="2" max="2" width="19.7265625" bestFit="1" customWidth="1"/>
  </cols>
  <sheetData>
    <row r="2" spans="1:2" x14ac:dyDescent="0.35">
      <c r="A2" s="40" t="s">
        <v>233</v>
      </c>
      <c r="B2" s="41" t="s">
        <v>815</v>
      </c>
    </row>
    <row r="4" spans="1:2" x14ac:dyDescent="0.35">
      <c r="A4" s="29" t="s">
        <v>508</v>
      </c>
      <c r="B4" s="30" t="s">
        <v>511</v>
      </c>
    </row>
    <row r="5" spans="1:2" x14ac:dyDescent="0.35">
      <c r="A5" s="27" t="s">
        <v>824</v>
      </c>
      <c r="B5" s="28">
        <v>800</v>
      </c>
    </row>
    <row r="6" spans="1:2" x14ac:dyDescent="0.35">
      <c r="A6" s="27" t="s">
        <v>280</v>
      </c>
      <c r="B6" s="28">
        <v>1999.63</v>
      </c>
    </row>
    <row r="7" spans="1:2" x14ac:dyDescent="0.35">
      <c r="A7" s="27" t="s">
        <v>833</v>
      </c>
      <c r="B7" s="28">
        <v>2400</v>
      </c>
    </row>
    <row r="8" spans="1:2" x14ac:dyDescent="0.35">
      <c r="A8" s="27" t="s">
        <v>309</v>
      </c>
      <c r="B8" s="28">
        <v>1028.5</v>
      </c>
    </row>
    <row r="9" spans="1:2" x14ac:dyDescent="0.35">
      <c r="A9" s="27" t="s">
        <v>4935</v>
      </c>
      <c r="B9" s="28">
        <v>23496.34</v>
      </c>
    </row>
    <row r="10" spans="1:2" x14ac:dyDescent="0.35">
      <c r="A10" s="27" t="s">
        <v>3524</v>
      </c>
      <c r="B10" s="28">
        <v>15600</v>
      </c>
    </row>
    <row r="11" spans="1:2" x14ac:dyDescent="0.35">
      <c r="A11" s="27" t="s">
        <v>845</v>
      </c>
      <c r="B11" s="28">
        <v>648.55999999999995</v>
      </c>
    </row>
    <row r="12" spans="1:2" x14ac:dyDescent="0.35">
      <c r="A12" s="27" t="s">
        <v>567</v>
      </c>
      <c r="B12" s="28">
        <v>1006.51</v>
      </c>
    </row>
    <row r="13" spans="1:2" x14ac:dyDescent="0.35">
      <c r="A13" s="27" t="s">
        <v>3811</v>
      </c>
      <c r="B13" s="28">
        <v>2699.92</v>
      </c>
    </row>
    <row r="14" spans="1:2" x14ac:dyDescent="0.35">
      <c r="A14" s="27" t="s">
        <v>64</v>
      </c>
      <c r="B14" s="28">
        <v>9275.67</v>
      </c>
    </row>
    <row r="15" spans="1:2" x14ac:dyDescent="0.35">
      <c r="A15" s="27" t="s">
        <v>63</v>
      </c>
      <c r="B15" s="28">
        <v>10529.62</v>
      </c>
    </row>
    <row r="16" spans="1:2" x14ac:dyDescent="0.35">
      <c r="A16" s="27" t="s">
        <v>546</v>
      </c>
      <c r="B16" s="28">
        <v>4000</v>
      </c>
    </row>
    <row r="17" spans="1:2" x14ac:dyDescent="0.35">
      <c r="A17" s="27" t="s">
        <v>98</v>
      </c>
      <c r="B17" s="28">
        <v>599.61999999999989</v>
      </c>
    </row>
    <row r="18" spans="1:2" x14ac:dyDescent="0.35">
      <c r="A18" s="27" t="s">
        <v>6014</v>
      </c>
      <c r="B18" s="28">
        <v>357</v>
      </c>
    </row>
    <row r="19" spans="1:2" x14ac:dyDescent="0.35">
      <c r="A19" s="27" t="s">
        <v>283</v>
      </c>
      <c r="B19" s="28">
        <v>1167.5899999999999</v>
      </c>
    </row>
    <row r="20" spans="1:2" x14ac:dyDescent="0.35">
      <c r="A20" s="27" t="s">
        <v>6021</v>
      </c>
      <c r="B20" s="28">
        <v>1112</v>
      </c>
    </row>
    <row r="21" spans="1:2" x14ac:dyDescent="0.35">
      <c r="A21" s="27" t="s">
        <v>67</v>
      </c>
      <c r="B21" s="28">
        <v>2854.5</v>
      </c>
    </row>
    <row r="22" spans="1:2" x14ac:dyDescent="0.35">
      <c r="A22" s="27" t="s">
        <v>303</v>
      </c>
      <c r="B22" s="28">
        <v>1160.98</v>
      </c>
    </row>
    <row r="23" spans="1:2" x14ac:dyDescent="0.35">
      <c r="A23" s="27" t="s">
        <v>131</v>
      </c>
      <c r="B23" s="28">
        <v>153.01</v>
      </c>
    </row>
    <row r="24" spans="1:2" x14ac:dyDescent="0.35">
      <c r="A24" s="27" t="s">
        <v>84</v>
      </c>
      <c r="B24" s="28">
        <v>7247.9</v>
      </c>
    </row>
    <row r="25" spans="1:2" x14ac:dyDescent="0.35">
      <c r="A25" s="27" t="s">
        <v>4137</v>
      </c>
      <c r="B25" s="28">
        <v>687.2</v>
      </c>
    </row>
    <row r="26" spans="1:2" x14ac:dyDescent="0.35">
      <c r="A26" s="27" t="s">
        <v>4955</v>
      </c>
      <c r="B26" s="28">
        <v>600</v>
      </c>
    </row>
    <row r="27" spans="1:2" x14ac:dyDescent="0.35">
      <c r="A27" s="27" t="s">
        <v>259</v>
      </c>
      <c r="B27" s="28">
        <v>2420</v>
      </c>
    </row>
    <row r="28" spans="1:2" x14ac:dyDescent="0.35">
      <c r="A28" s="27" t="s">
        <v>228</v>
      </c>
      <c r="B28" s="28">
        <v>38341.57</v>
      </c>
    </row>
    <row r="29" spans="1:2" x14ac:dyDescent="0.35">
      <c r="A29" s="27" t="s">
        <v>1181</v>
      </c>
      <c r="B29" s="28">
        <v>8908.7199999999993</v>
      </c>
    </row>
    <row r="30" spans="1:2" x14ac:dyDescent="0.35">
      <c r="A30" s="27" t="s">
        <v>1184</v>
      </c>
      <c r="B30" s="28">
        <v>3276.8199999999997</v>
      </c>
    </row>
    <row r="31" spans="1:2" x14ac:dyDescent="0.35">
      <c r="A31" s="27" t="s">
        <v>69</v>
      </c>
      <c r="B31" s="28">
        <v>4544.5</v>
      </c>
    </row>
    <row r="32" spans="1:2" x14ac:dyDescent="0.35">
      <c r="A32" s="27" t="s">
        <v>284</v>
      </c>
      <c r="B32" s="28">
        <v>5499.99</v>
      </c>
    </row>
    <row r="33" spans="1:2" x14ac:dyDescent="0.35">
      <c r="A33" s="27" t="s">
        <v>222</v>
      </c>
      <c r="B33" s="28">
        <v>1100.58</v>
      </c>
    </row>
    <row r="34" spans="1:2" x14ac:dyDescent="0.35">
      <c r="A34" s="27" t="s">
        <v>6030</v>
      </c>
      <c r="B34" s="28">
        <v>215.99</v>
      </c>
    </row>
    <row r="35" spans="1:2" x14ac:dyDescent="0.35">
      <c r="A35" s="27" t="s">
        <v>49</v>
      </c>
      <c r="B35" s="28">
        <v>1624.7</v>
      </c>
    </row>
    <row r="36" spans="1:2" x14ac:dyDescent="0.35">
      <c r="A36" s="27" t="s">
        <v>561</v>
      </c>
      <c r="B36" s="28">
        <v>15164.929999999998</v>
      </c>
    </row>
    <row r="37" spans="1:2" x14ac:dyDescent="0.35">
      <c r="A37" s="27" t="s">
        <v>243</v>
      </c>
      <c r="B37" s="28">
        <v>718.45</v>
      </c>
    </row>
    <row r="38" spans="1:2" x14ac:dyDescent="0.35">
      <c r="A38" s="27" t="s">
        <v>78</v>
      </c>
      <c r="B38" s="28">
        <v>7362.0199999999995</v>
      </c>
    </row>
    <row r="39" spans="1:2" x14ac:dyDescent="0.35">
      <c r="A39" s="27" t="s">
        <v>43</v>
      </c>
      <c r="B39" s="28">
        <v>19834.97</v>
      </c>
    </row>
    <row r="40" spans="1:2" x14ac:dyDescent="0.35">
      <c r="A40" s="27" t="s">
        <v>4970</v>
      </c>
      <c r="B40" s="28">
        <v>495</v>
      </c>
    </row>
    <row r="41" spans="1:2" x14ac:dyDescent="0.35">
      <c r="A41" s="27" t="s">
        <v>293</v>
      </c>
      <c r="B41" s="28">
        <v>135.97</v>
      </c>
    </row>
    <row r="42" spans="1:2" x14ac:dyDescent="0.35">
      <c r="A42" s="27" t="s">
        <v>4273</v>
      </c>
      <c r="B42" s="28">
        <v>400</v>
      </c>
    </row>
    <row r="43" spans="1:2" x14ac:dyDescent="0.35">
      <c r="A43" s="27" t="s">
        <v>4561</v>
      </c>
      <c r="B43" s="28">
        <v>128</v>
      </c>
    </row>
    <row r="44" spans="1:2" x14ac:dyDescent="0.35">
      <c r="A44" s="27" t="s">
        <v>4986</v>
      </c>
      <c r="B44" s="28">
        <v>2165.9</v>
      </c>
    </row>
    <row r="45" spans="1:2" x14ac:dyDescent="0.35">
      <c r="A45" s="27" t="s">
        <v>523</v>
      </c>
      <c r="B45" s="28">
        <v>400</v>
      </c>
    </row>
    <row r="46" spans="1:2" x14ac:dyDescent="0.35">
      <c r="A46" s="27" t="s">
        <v>522</v>
      </c>
      <c r="B46" s="28">
        <v>427.61</v>
      </c>
    </row>
    <row r="47" spans="1:2" x14ac:dyDescent="0.35">
      <c r="A47" s="27" t="s">
        <v>207</v>
      </c>
      <c r="B47" s="28">
        <v>4329.92</v>
      </c>
    </row>
    <row r="48" spans="1:2" x14ac:dyDescent="0.35">
      <c r="A48" s="27" t="s">
        <v>191</v>
      </c>
      <c r="B48" s="28">
        <v>13068</v>
      </c>
    </row>
    <row r="49" spans="1:2" x14ac:dyDescent="0.35">
      <c r="A49" s="27" t="s">
        <v>4991</v>
      </c>
      <c r="B49" s="28">
        <v>4750.34</v>
      </c>
    </row>
    <row r="50" spans="1:2" x14ac:dyDescent="0.35">
      <c r="A50" s="27" t="s">
        <v>1268</v>
      </c>
      <c r="B50" s="28">
        <v>14944.4</v>
      </c>
    </row>
    <row r="51" spans="1:2" x14ac:dyDescent="0.35">
      <c r="A51" s="27" t="s">
        <v>315</v>
      </c>
      <c r="B51" s="28">
        <v>10454.630000000001</v>
      </c>
    </row>
    <row r="52" spans="1:2" x14ac:dyDescent="0.35">
      <c r="A52" s="27" t="s">
        <v>4163</v>
      </c>
      <c r="B52" s="28">
        <v>600</v>
      </c>
    </row>
    <row r="53" spans="1:2" x14ac:dyDescent="0.35">
      <c r="A53" s="27" t="s">
        <v>3199</v>
      </c>
      <c r="B53" s="28">
        <v>7530.29</v>
      </c>
    </row>
    <row r="54" spans="1:2" x14ac:dyDescent="0.35">
      <c r="A54" s="27" t="s">
        <v>310</v>
      </c>
      <c r="B54" s="28">
        <v>3100</v>
      </c>
    </row>
    <row r="55" spans="1:2" x14ac:dyDescent="0.35">
      <c r="A55" s="27" t="s">
        <v>5587</v>
      </c>
      <c r="B55" s="28">
        <v>445</v>
      </c>
    </row>
    <row r="56" spans="1:2" x14ac:dyDescent="0.35">
      <c r="A56" s="27" t="s">
        <v>193</v>
      </c>
      <c r="B56" s="28">
        <v>755.86</v>
      </c>
    </row>
    <row r="57" spans="1:2" x14ac:dyDescent="0.35">
      <c r="A57" s="27" t="s">
        <v>1289</v>
      </c>
      <c r="B57" s="28">
        <v>17000</v>
      </c>
    </row>
    <row r="58" spans="1:2" x14ac:dyDescent="0.35">
      <c r="A58" s="27" t="s">
        <v>317</v>
      </c>
      <c r="B58" s="28">
        <v>7260</v>
      </c>
    </row>
    <row r="59" spans="1:2" x14ac:dyDescent="0.35">
      <c r="A59" s="27" t="s">
        <v>3975</v>
      </c>
      <c r="B59" s="28">
        <v>1175.44</v>
      </c>
    </row>
    <row r="60" spans="1:2" x14ac:dyDescent="0.35">
      <c r="A60" s="27" t="s">
        <v>89</v>
      </c>
      <c r="B60" s="28">
        <v>4112.18</v>
      </c>
    </row>
    <row r="61" spans="1:2" x14ac:dyDescent="0.35">
      <c r="A61" s="27" t="s">
        <v>298</v>
      </c>
      <c r="B61" s="28">
        <v>6129.4</v>
      </c>
    </row>
    <row r="62" spans="1:2" x14ac:dyDescent="0.35">
      <c r="A62" s="27" t="s">
        <v>312</v>
      </c>
      <c r="B62" s="28">
        <v>9099.81</v>
      </c>
    </row>
    <row r="63" spans="1:2" x14ac:dyDescent="0.35">
      <c r="A63" s="27" t="s">
        <v>307</v>
      </c>
      <c r="B63" s="28">
        <v>2710</v>
      </c>
    </row>
    <row r="64" spans="1:2" x14ac:dyDescent="0.35">
      <c r="A64" s="27" t="s">
        <v>576</v>
      </c>
      <c r="B64" s="28">
        <v>603.66</v>
      </c>
    </row>
    <row r="65" spans="1:2" x14ac:dyDescent="0.35">
      <c r="A65" s="27" t="s">
        <v>275</v>
      </c>
      <c r="B65" s="28">
        <v>3095.58</v>
      </c>
    </row>
    <row r="66" spans="1:2" x14ac:dyDescent="0.35">
      <c r="A66" s="27" t="s">
        <v>301</v>
      </c>
      <c r="B66" s="28">
        <v>3653.94</v>
      </c>
    </row>
    <row r="67" spans="1:2" x14ac:dyDescent="0.35">
      <c r="A67" s="27" t="s">
        <v>3196</v>
      </c>
      <c r="B67" s="28">
        <v>3371.2</v>
      </c>
    </row>
    <row r="68" spans="1:2" x14ac:dyDescent="0.35">
      <c r="A68" s="27" t="s">
        <v>5084</v>
      </c>
      <c r="B68" s="28">
        <v>6582.4</v>
      </c>
    </row>
    <row r="69" spans="1:2" x14ac:dyDescent="0.35">
      <c r="A69" s="27" t="s">
        <v>3483</v>
      </c>
      <c r="B69" s="28">
        <v>36291.97</v>
      </c>
    </row>
    <row r="70" spans="1:2" x14ac:dyDescent="0.35">
      <c r="A70" s="27" t="s">
        <v>102</v>
      </c>
      <c r="B70" s="28">
        <v>2268.42</v>
      </c>
    </row>
    <row r="71" spans="1:2" x14ac:dyDescent="0.35">
      <c r="A71" s="27" t="s">
        <v>287</v>
      </c>
      <c r="B71" s="28">
        <v>771.13</v>
      </c>
    </row>
    <row r="72" spans="1:2" x14ac:dyDescent="0.35">
      <c r="A72" s="27" t="s">
        <v>85</v>
      </c>
      <c r="B72" s="28">
        <v>19728.920000000002</v>
      </c>
    </row>
    <row r="73" spans="1:2" x14ac:dyDescent="0.35">
      <c r="A73" s="27" t="s">
        <v>232</v>
      </c>
      <c r="B73" s="28">
        <v>19150</v>
      </c>
    </row>
    <row r="74" spans="1:2" x14ac:dyDescent="0.35">
      <c r="A74" s="27" t="s">
        <v>1357</v>
      </c>
      <c r="B74" s="28">
        <v>5179.2</v>
      </c>
    </row>
    <row r="75" spans="1:2" x14ac:dyDescent="0.35">
      <c r="A75" s="27" t="s">
        <v>5097</v>
      </c>
      <c r="B75" s="28">
        <v>3312.4</v>
      </c>
    </row>
    <row r="76" spans="1:2" x14ac:dyDescent="0.35">
      <c r="A76" s="27" t="s">
        <v>48</v>
      </c>
      <c r="B76" s="28">
        <v>25883.22</v>
      </c>
    </row>
    <row r="77" spans="1:2" x14ac:dyDescent="0.35">
      <c r="A77" s="27" t="s">
        <v>267</v>
      </c>
      <c r="B77" s="28">
        <v>6426.83</v>
      </c>
    </row>
    <row r="78" spans="1:2" x14ac:dyDescent="0.35">
      <c r="A78" s="27" t="s">
        <v>316</v>
      </c>
      <c r="B78" s="28">
        <v>18150</v>
      </c>
    </row>
    <row r="79" spans="1:2" x14ac:dyDescent="0.35">
      <c r="A79" s="27" t="s">
        <v>214</v>
      </c>
      <c r="B79" s="28">
        <v>2434.2200000000003</v>
      </c>
    </row>
    <row r="80" spans="1:2" x14ac:dyDescent="0.35">
      <c r="A80" s="27" t="s">
        <v>75</v>
      </c>
      <c r="B80" s="28">
        <v>8130.9</v>
      </c>
    </row>
    <row r="81" spans="1:2" x14ac:dyDescent="0.35">
      <c r="A81" s="27" t="s">
        <v>239</v>
      </c>
      <c r="B81" s="28">
        <v>32538.52</v>
      </c>
    </row>
    <row r="82" spans="1:2" x14ac:dyDescent="0.35">
      <c r="A82" s="27" t="s">
        <v>4805</v>
      </c>
      <c r="B82" s="28">
        <v>24.29</v>
      </c>
    </row>
    <row r="83" spans="1:2" x14ac:dyDescent="0.35">
      <c r="A83" s="27" t="s">
        <v>1407</v>
      </c>
      <c r="B83" s="28">
        <v>766.32999999999993</v>
      </c>
    </row>
    <row r="84" spans="1:2" x14ac:dyDescent="0.35">
      <c r="A84" s="27" t="s">
        <v>580</v>
      </c>
      <c r="B84" s="28">
        <v>7260</v>
      </c>
    </row>
    <row r="85" spans="1:2" x14ac:dyDescent="0.35">
      <c r="A85" s="27" t="s">
        <v>171</v>
      </c>
      <c r="B85" s="28">
        <v>8727.8799999999992</v>
      </c>
    </row>
    <row r="86" spans="1:2" x14ac:dyDescent="0.35">
      <c r="A86" s="27" t="s">
        <v>540</v>
      </c>
      <c r="B86" s="28">
        <v>529.53</v>
      </c>
    </row>
    <row r="87" spans="1:2" x14ac:dyDescent="0.35">
      <c r="A87" s="27" t="s">
        <v>305</v>
      </c>
      <c r="B87" s="28">
        <v>3782.46</v>
      </c>
    </row>
    <row r="88" spans="1:2" x14ac:dyDescent="0.35">
      <c r="A88" s="27" t="s">
        <v>536</v>
      </c>
      <c r="B88" s="28">
        <v>5000</v>
      </c>
    </row>
    <row r="89" spans="1:2" x14ac:dyDescent="0.35">
      <c r="A89" s="27" t="s">
        <v>5157</v>
      </c>
      <c r="B89" s="28">
        <v>1578.64</v>
      </c>
    </row>
    <row r="90" spans="1:2" x14ac:dyDescent="0.35">
      <c r="A90" s="27" t="s">
        <v>5160</v>
      </c>
      <c r="B90" s="28">
        <v>252.5</v>
      </c>
    </row>
    <row r="91" spans="1:2" x14ac:dyDescent="0.35">
      <c r="A91" s="27" t="s">
        <v>1427</v>
      </c>
      <c r="B91" s="28">
        <v>484</v>
      </c>
    </row>
    <row r="92" spans="1:2" x14ac:dyDescent="0.35">
      <c r="A92" s="27" t="s">
        <v>3539</v>
      </c>
      <c r="B92" s="28">
        <v>11712.8</v>
      </c>
    </row>
    <row r="93" spans="1:2" x14ac:dyDescent="0.35">
      <c r="A93" s="27" t="s">
        <v>4301</v>
      </c>
      <c r="B93" s="28">
        <v>375</v>
      </c>
    </row>
    <row r="94" spans="1:2" x14ac:dyDescent="0.35">
      <c r="A94" s="27" t="s">
        <v>583</v>
      </c>
      <c r="B94" s="28">
        <v>4712.8799999999992</v>
      </c>
    </row>
    <row r="95" spans="1:2" x14ac:dyDescent="0.35">
      <c r="A95" s="27" t="s">
        <v>4028</v>
      </c>
      <c r="B95" s="28">
        <v>1000</v>
      </c>
    </row>
    <row r="96" spans="1:2" x14ac:dyDescent="0.35">
      <c r="A96" s="27" t="s">
        <v>3584</v>
      </c>
      <c r="B96" s="28">
        <v>7260</v>
      </c>
    </row>
    <row r="97" spans="1:2" x14ac:dyDescent="0.35">
      <c r="A97" s="27" t="s">
        <v>1439</v>
      </c>
      <c r="B97" s="28">
        <v>626.78</v>
      </c>
    </row>
    <row r="98" spans="1:2" x14ac:dyDescent="0.35">
      <c r="A98" s="27" t="s">
        <v>83</v>
      </c>
      <c r="B98" s="28">
        <v>3000</v>
      </c>
    </row>
    <row r="99" spans="1:2" x14ac:dyDescent="0.35">
      <c r="A99" s="27" t="s">
        <v>290</v>
      </c>
      <c r="B99" s="28">
        <v>12100</v>
      </c>
    </row>
    <row r="100" spans="1:2" x14ac:dyDescent="0.35">
      <c r="A100" s="27" t="s">
        <v>1450</v>
      </c>
      <c r="B100" s="28">
        <v>1540.38</v>
      </c>
    </row>
    <row r="101" spans="1:2" x14ac:dyDescent="0.35">
      <c r="A101" s="27" t="s">
        <v>135</v>
      </c>
      <c r="B101" s="28">
        <v>2032.8</v>
      </c>
    </row>
    <row r="102" spans="1:2" x14ac:dyDescent="0.35">
      <c r="A102" s="27" t="s">
        <v>2841</v>
      </c>
      <c r="B102" s="28">
        <v>705.67</v>
      </c>
    </row>
    <row r="103" spans="1:2" x14ac:dyDescent="0.35">
      <c r="A103" s="27" t="s">
        <v>57</v>
      </c>
      <c r="B103" s="28">
        <v>5698.09</v>
      </c>
    </row>
    <row r="104" spans="1:2" x14ac:dyDescent="0.35">
      <c r="A104" s="27" t="s">
        <v>4456</v>
      </c>
      <c r="B104" s="28">
        <v>209.01</v>
      </c>
    </row>
    <row r="105" spans="1:2" x14ac:dyDescent="0.35">
      <c r="A105" s="27" t="s">
        <v>199</v>
      </c>
      <c r="B105" s="28">
        <v>7080.92</v>
      </c>
    </row>
    <row r="106" spans="1:2" x14ac:dyDescent="0.35">
      <c r="A106" s="27" t="s">
        <v>575</v>
      </c>
      <c r="B106" s="28">
        <v>88311.060000000012</v>
      </c>
    </row>
    <row r="107" spans="1:2" x14ac:dyDescent="0.35">
      <c r="A107" s="27" t="s">
        <v>586</v>
      </c>
      <c r="B107" s="28">
        <v>7865</v>
      </c>
    </row>
    <row r="108" spans="1:2" x14ac:dyDescent="0.35">
      <c r="A108" s="27" t="s">
        <v>190</v>
      </c>
      <c r="B108" s="28">
        <v>16500</v>
      </c>
    </row>
    <row r="109" spans="1:2" x14ac:dyDescent="0.35">
      <c r="A109" s="27" t="s">
        <v>302</v>
      </c>
      <c r="B109" s="28">
        <v>13905.05</v>
      </c>
    </row>
    <row r="110" spans="1:2" x14ac:dyDescent="0.35">
      <c r="A110" s="27" t="s">
        <v>110</v>
      </c>
      <c r="B110" s="28">
        <v>17904.060000000001</v>
      </c>
    </row>
    <row r="111" spans="1:2" x14ac:dyDescent="0.35">
      <c r="A111" s="27" t="s">
        <v>50</v>
      </c>
      <c r="B111" s="28">
        <v>28093.729999999996</v>
      </c>
    </row>
    <row r="112" spans="1:2" x14ac:dyDescent="0.35">
      <c r="A112" s="27" t="s">
        <v>521</v>
      </c>
      <c r="B112" s="28">
        <v>4500</v>
      </c>
    </row>
    <row r="113" spans="1:2" x14ac:dyDescent="0.35">
      <c r="A113" s="27" t="s">
        <v>154</v>
      </c>
      <c r="B113" s="28">
        <v>7247.84</v>
      </c>
    </row>
    <row r="114" spans="1:2" x14ac:dyDescent="0.35">
      <c r="A114" s="27" t="s">
        <v>1526</v>
      </c>
      <c r="B114" s="28">
        <v>19794.82</v>
      </c>
    </row>
    <row r="115" spans="1:2" x14ac:dyDescent="0.35">
      <c r="A115" s="27" t="s">
        <v>581</v>
      </c>
      <c r="B115" s="28">
        <v>300</v>
      </c>
    </row>
    <row r="116" spans="1:2" x14ac:dyDescent="0.35">
      <c r="A116" s="27" t="s">
        <v>3783</v>
      </c>
      <c r="B116" s="28">
        <v>4404.59</v>
      </c>
    </row>
    <row r="117" spans="1:2" x14ac:dyDescent="0.35">
      <c r="A117" s="27" t="s">
        <v>4757</v>
      </c>
      <c r="B117" s="28">
        <v>36.299999999999997</v>
      </c>
    </row>
    <row r="118" spans="1:2" x14ac:dyDescent="0.35">
      <c r="A118" s="27" t="s">
        <v>553</v>
      </c>
      <c r="B118" s="28">
        <v>8361.0999999999985</v>
      </c>
    </row>
    <row r="119" spans="1:2" x14ac:dyDescent="0.35">
      <c r="A119" s="27" t="s">
        <v>4407</v>
      </c>
      <c r="B119" s="28">
        <v>255.31</v>
      </c>
    </row>
    <row r="120" spans="1:2" x14ac:dyDescent="0.35">
      <c r="A120" s="27" t="s">
        <v>91</v>
      </c>
      <c r="B120" s="28">
        <v>12210.93</v>
      </c>
    </row>
    <row r="121" spans="1:2" x14ac:dyDescent="0.35">
      <c r="A121" s="27" t="s">
        <v>5246</v>
      </c>
      <c r="B121" s="28">
        <v>508.2</v>
      </c>
    </row>
    <row r="122" spans="1:2" x14ac:dyDescent="0.35">
      <c r="A122" s="27" t="s">
        <v>541</v>
      </c>
      <c r="B122" s="28">
        <v>5000</v>
      </c>
    </row>
    <row r="123" spans="1:2" x14ac:dyDescent="0.35">
      <c r="A123" s="27" t="s">
        <v>52</v>
      </c>
      <c r="B123" s="28">
        <v>15125</v>
      </c>
    </row>
    <row r="124" spans="1:2" x14ac:dyDescent="0.35">
      <c r="A124" s="27" t="s">
        <v>1545</v>
      </c>
      <c r="B124" s="28">
        <v>17720</v>
      </c>
    </row>
    <row r="125" spans="1:2" x14ac:dyDescent="0.35">
      <c r="A125" s="27" t="s">
        <v>4148</v>
      </c>
      <c r="B125" s="28">
        <v>656.01</v>
      </c>
    </row>
    <row r="126" spans="1:2" x14ac:dyDescent="0.35">
      <c r="A126" s="27" t="s">
        <v>5249</v>
      </c>
      <c r="B126" s="28">
        <v>57.03</v>
      </c>
    </row>
    <row r="127" spans="1:2" x14ac:dyDescent="0.35">
      <c r="A127" s="27" t="s">
        <v>5043</v>
      </c>
      <c r="B127" s="28">
        <v>10254.75</v>
      </c>
    </row>
    <row r="128" spans="1:2" x14ac:dyDescent="0.35">
      <c r="A128" s="27" t="s">
        <v>60</v>
      </c>
      <c r="B128" s="28">
        <v>992.63000000000011</v>
      </c>
    </row>
    <row r="129" spans="1:2" x14ac:dyDescent="0.35">
      <c r="A129" s="27" t="s">
        <v>249</v>
      </c>
      <c r="B129" s="28">
        <v>1736.1700000000003</v>
      </c>
    </row>
    <row r="130" spans="1:2" x14ac:dyDescent="0.35">
      <c r="A130" s="27" t="s">
        <v>73</v>
      </c>
      <c r="B130" s="28">
        <v>15329.89</v>
      </c>
    </row>
    <row r="131" spans="1:2" x14ac:dyDescent="0.35">
      <c r="A131" s="27" t="s">
        <v>109</v>
      </c>
      <c r="B131" s="28">
        <v>7867.08</v>
      </c>
    </row>
    <row r="132" spans="1:2" x14ac:dyDescent="0.35">
      <c r="A132" s="27" t="s">
        <v>3952</v>
      </c>
      <c r="B132" s="28">
        <v>1253.02</v>
      </c>
    </row>
    <row r="133" spans="1:2" x14ac:dyDescent="0.35">
      <c r="A133" s="27" t="s">
        <v>224</v>
      </c>
      <c r="B133" s="28">
        <v>5664.44</v>
      </c>
    </row>
    <row r="134" spans="1:2" x14ac:dyDescent="0.35">
      <c r="A134" s="27" t="s">
        <v>225</v>
      </c>
      <c r="B134" s="28">
        <v>4600.42</v>
      </c>
    </row>
    <row r="135" spans="1:2" x14ac:dyDescent="0.35">
      <c r="A135" s="27" t="s">
        <v>557</v>
      </c>
      <c r="B135" s="28">
        <v>23340.14</v>
      </c>
    </row>
    <row r="136" spans="1:2" x14ac:dyDescent="0.35">
      <c r="A136" s="27" t="s">
        <v>582</v>
      </c>
      <c r="B136" s="28">
        <v>7260</v>
      </c>
    </row>
    <row r="137" spans="1:2" x14ac:dyDescent="0.35">
      <c r="A137" s="27" t="s">
        <v>3462</v>
      </c>
      <c r="B137" s="28">
        <v>42801.11</v>
      </c>
    </row>
    <row r="138" spans="1:2" x14ac:dyDescent="0.35">
      <c r="A138" s="27" t="s">
        <v>291</v>
      </c>
      <c r="B138" s="28">
        <v>108.01</v>
      </c>
    </row>
    <row r="139" spans="1:2" x14ac:dyDescent="0.35">
      <c r="A139" s="27" t="s">
        <v>76</v>
      </c>
      <c r="B139" s="28">
        <v>725</v>
      </c>
    </row>
    <row r="140" spans="1:2" x14ac:dyDescent="0.35">
      <c r="A140" s="27" t="s">
        <v>1646</v>
      </c>
      <c r="B140" s="28">
        <v>37.44</v>
      </c>
    </row>
    <row r="141" spans="1:2" x14ac:dyDescent="0.35">
      <c r="A141" s="27" t="s">
        <v>5273</v>
      </c>
      <c r="B141" s="28">
        <v>880.06</v>
      </c>
    </row>
    <row r="142" spans="1:2" x14ac:dyDescent="0.35">
      <c r="A142" s="27" t="s">
        <v>1651</v>
      </c>
      <c r="B142" s="28">
        <v>3294.8</v>
      </c>
    </row>
    <row r="143" spans="1:2" x14ac:dyDescent="0.35">
      <c r="A143" s="27" t="s">
        <v>6086</v>
      </c>
      <c r="B143" s="28">
        <v>441</v>
      </c>
    </row>
    <row r="144" spans="1:2" x14ac:dyDescent="0.35">
      <c r="A144" s="27" t="s">
        <v>242</v>
      </c>
      <c r="B144" s="28">
        <v>280</v>
      </c>
    </row>
    <row r="145" spans="1:2" x14ac:dyDescent="0.35">
      <c r="A145" s="27" t="s">
        <v>1668</v>
      </c>
      <c r="B145" s="28">
        <v>296.20999999999998</v>
      </c>
    </row>
    <row r="146" spans="1:2" x14ac:dyDescent="0.35">
      <c r="A146" s="27" t="s">
        <v>182</v>
      </c>
      <c r="B146" s="28">
        <v>23058.21</v>
      </c>
    </row>
    <row r="147" spans="1:2" x14ac:dyDescent="0.35">
      <c r="A147" s="27" t="s">
        <v>257</v>
      </c>
      <c r="B147" s="28">
        <v>13773.54</v>
      </c>
    </row>
    <row r="148" spans="1:2" x14ac:dyDescent="0.35">
      <c r="A148" s="27" t="s">
        <v>122</v>
      </c>
      <c r="B148" s="28">
        <v>4741.1200000000008</v>
      </c>
    </row>
    <row r="149" spans="1:2" x14ac:dyDescent="0.35">
      <c r="A149" s="27" t="s">
        <v>260</v>
      </c>
      <c r="B149" s="28">
        <v>20500.870000000003</v>
      </c>
    </row>
    <row r="150" spans="1:2" x14ac:dyDescent="0.35">
      <c r="A150" s="27" t="s">
        <v>65</v>
      </c>
      <c r="B150" s="28">
        <v>37862.080000000002</v>
      </c>
    </row>
    <row r="151" spans="1:2" x14ac:dyDescent="0.35">
      <c r="A151" s="27" t="s">
        <v>46</v>
      </c>
      <c r="B151" s="28">
        <v>22860.03</v>
      </c>
    </row>
    <row r="152" spans="1:2" x14ac:dyDescent="0.35">
      <c r="A152" s="27" t="s">
        <v>230</v>
      </c>
      <c r="B152" s="28">
        <v>60230.400000000001</v>
      </c>
    </row>
    <row r="153" spans="1:2" x14ac:dyDescent="0.35">
      <c r="A153" s="27" t="s">
        <v>535</v>
      </c>
      <c r="B153" s="28">
        <v>27844.71</v>
      </c>
    </row>
    <row r="154" spans="1:2" x14ac:dyDescent="0.35">
      <c r="A154" s="27" t="s">
        <v>5325</v>
      </c>
      <c r="B154" s="28">
        <v>13.31</v>
      </c>
    </row>
    <row r="155" spans="1:2" x14ac:dyDescent="0.35">
      <c r="A155" s="27" t="s">
        <v>170</v>
      </c>
      <c r="B155" s="28">
        <v>4920.84</v>
      </c>
    </row>
    <row r="156" spans="1:2" x14ac:dyDescent="0.35">
      <c r="A156" s="27" t="s">
        <v>223</v>
      </c>
      <c r="B156" s="28">
        <v>3122.26</v>
      </c>
    </row>
    <row r="157" spans="1:2" x14ac:dyDescent="0.35">
      <c r="A157" s="27" t="s">
        <v>5532</v>
      </c>
      <c r="B157" s="28">
        <v>690</v>
      </c>
    </row>
    <row r="158" spans="1:2" x14ac:dyDescent="0.35">
      <c r="A158" s="27" t="s">
        <v>306</v>
      </c>
      <c r="B158" s="28">
        <v>7000</v>
      </c>
    </row>
    <row r="159" spans="1:2" x14ac:dyDescent="0.35">
      <c r="A159" s="27" t="s">
        <v>588</v>
      </c>
      <c r="B159" s="28">
        <v>4126</v>
      </c>
    </row>
    <row r="160" spans="1:2" x14ac:dyDescent="0.35">
      <c r="A160" s="27" t="s">
        <v>229</v>
      </c>
      <c r="B160" s="28">
        <v>3790.7</v>
      </c>
    </row>
    <row r="161" spans="1:2" x14ac:dyDescent="0.35">
      <c r="A161" s="27" t="s">
        <v>299</v>
      </c>
      <c r="B161" s="28">
        <v>973.45</v>
      </c>
    </row>
    <row r="162" spans="1:2" x14ac:dyDescent="0.35">
      <c r="A162" s="27" t="s">
        <v>1753</v>
      </c>
      <c r="B162" s="28">
        <v>4831.53</v>
      </c>
    </row>
    <row r="163" spans="1:2" x14ac:dyDescent="0.35">
      <c r="A163" s="27" t="s">
        <v>3939</v>
      </c>
      <c r="B163" s="28">
        <v>598.5</v>
      </c>
    </row>
    <row r="164" spans="1:2" x14ac:dyDescent="0.35">
      <c r="A164" s="27" t="s">
        <v>119</v>
      </c>
      <c r="B164" s="28">
        <v>7132.84</v>
      </c>
    </row>
    <row r="165" spans="1:2" x14ac:dyDescent="0.35">
      <c r="A165" s="27" t="s">
        <v>62</v>
      </c>
      <c r="B165" s="28">
        <v>17903.73</v>
      </c>
    </row>
    <row r="166" spans="1:2" x14ac:dyDescent="0.35">
      <c r="A166" s="27" t="s">
        <v>82</v>
      </c>
      <c r="B166" s="28">
        <v>1424.5</v>
      </c>
    </row>
    <row r="167" spans="1:2" x14ac:dyDescent="0.35">
      <c r="A167" s="27" t="s">
        <v>238</v>
      </c>
      <c r="B167" s="28">
        <v>36950.979999999996</v>
      </c>
    </row>
    <row r="168" spans="1:2" x14ac:dyDescent="0.35">
      <c r="A168" s="27" t="s">
        <v>258</v>
      </c>
      <c r="B168" s="28">
        <v>1078.57</v>
      </c>
    </row>
    <row r="169" spans="1:2" x14ac:dyDescent="0.35">
      <c r="A169" s="27" t="s">
        <v>5383</v>
      </c>
      <c r="B169" s="28">
        <v>4022</v>
      </c>
    </row>
    <row r="170" spans="1:2" x14ac:dyDescent="0.35">
      <c r="A170" s="27" t="s">
        <v>531</v>
      </c>
      <c r="B170" s="28">
        <v>1754.5</v>
      </c>
    </row>
    <row r="171" spans="1:2" x14ac:dyDescent="0.35">
      <c r="A171" s="27" t="s">
        <v>1828</v>
      </c>
      <c r="B171" s="28">
        <v>2500</v>
      </c>
    </row>
    <row r="172" spans="1:2" x14ac:dyDescent="0.35">
      <c r="A172" s="27" t="s">
        <v>3468</v>
      </c>
      <c r="B172" s="28">
        <v>40300.26</v>
      </c>
    </row>
    <row r="173" spans="1:2" x14ac:dyDescent="0.35">
      <c r="A173" s="27" t="s">
        <v>266</v>
      </c>
      <c r="B173" s="28">
        <v>70.08</v>
      </c>
    </row>
    <row r="174" spans="1:2" x14ac:dyDescent="0.35">
      <c r="A174" s="27" t="s">
        <v>5422</v>
      </c>
      <c r="B174" s="28">
        <v>2288.6999999999998</v>
      </c>
    </row>
    <row r="175" spans="1:2" x14ac:dyDescent="0.35">
      <c r="A175" s="27" t="s">
        <v>252</v>
      </c>
      <c r="B175" s="28">
        <v>417.2</v>
      </c>
    </row>
    <row r="176" spans="1:2" x14ac:dyDescent="0.35">
      <c r="A176" s="27" t="s">
        <v>263</v>
      </c>
      <c r="B176" s="28">
        <v>1295.18</v>
      </c>
    </row>
    <row r="177" spans="1:2" x14ac:dyDescent="0.35">
      <c r="A177" s="27" t="s">
        <v>311</v>
      </c>
      <c r="B177" s="28">
        <v>1910.59</v>
      </c>
    </row>
    <row r="178" spans="1:2" x14ac:dyDescent="0.35">
      <c r="A178" s="27" t="s">
        <v>96</v>
      </c>
      <c r="B178" s="28">
        <v>13500</v>
      </c>
    </row>
    <row r="179" spans="1:2" x14ac:dyDescent="0.35">
      <c r="A179" s="27" t="s">
        <v>1855</v>
      </c>
      <c r="B179" s="28">
        <v>1259.5999999999999</v>
      </c>
    </row>
    <row r="180" spans="1:2" x14ac:dyDescent="0.35">
      <c r="A180" s="27" t="s">
        <v>518</v>
      </c>
      <c r="B180" s="28">
        <v>701.8</v>
      </c>
    </row>
    <row r="181" spans="1:2" x14ac:dyDescent="0.35">
      <c r="A181" s="27" t="s">
        <v>294</v>
      </c>
      <c r="B181" s="28">
        <v>2045.87</v>
      </c>
    </row>
    <row r="182" spans="1:2" x14ac:dyDescent="0.35">
      <c r="A182" s="27" t="s">
        <v>99</v>
      </c>
      <c r="B182" s="28">
        <v>4112.05</v>
      </c>
    </row>
    <row r="183" spans="1:2" x14ac:dyDescent="0.35">
      <c r="A183" s="27" t="s">
        <v>529</v>
      </c>
      <c r="B183" s="28">
        <v>26235.59</v>
      </c>
    </row>
    <row r="184" spans="1:2" x14ac:dyDescent="0.35">
      <c r="A184" s="27" t="s">
        <v>38</v>
      </c>
      <c r="B184" s="28">
        <v>1781.5</v>
      </c>
    </row>
    <row r="185" spans="1:2" x14ac:dyDescent="0.35">
      <c r="A185" s="27" t="s">
        <v>295</v>
      </c>
      <c r="B185" s="28">
        <v>264.01</v>
      </c>
    </row>
    <row r="186" spans="1:2" x14ac:dyDescent="0.35">
      <c r="A186" s="27" t="s">
        <v>1891</v>
      </c>
      <c r="B186" s="28">
        <v>75</v>
      </c>
    </row>
    <row r="187" spans="1:2" x14ac:dyDescent="0.35">
      <c r="A187" s="27" t="s">
        <v>1893</v>
      </c>
      <c r="B187" s="28">
        <v>2420</v>
      </c>
    </row>
    <row r="188" spans="1:2" x14ac:dyDescent="0.35">
      <c r="A188" s="27" t="s">
        <v>3602</v>
      </c>
      <c r="B188" s="28">
        <v>7209.58</v>
      </c>
    </row>
    <row r="189" spans="1:2" x14ac:dyDescent="0.35">
      <c r="A189" s="27" t="s">
        <v>517</v>
      </c>
      <c r="B189" s="28">
        <v>8000</v>
      </c>
    </row>
    <row r="190" spans="1:2" x14ac:dyDescent="0.35">
      <c r="A190" s="27" t="s">
        <v>4473</v>
      </c>
      <c r="B190" s="28">
        <v>198</v>
      </c>
    </row>
    <row r="191" spans="1:2" x14ac:dyDescent="0.35">
      <c r="A191" s="27" t="s">
        <v>318</v>
      </c>
      <c r="B191" s="28">
        <v>3725.1499999999996</v>
      </c>
    </row>
    <row r="192" spans="1:2" x14ac:dyDescent="0.35">
      <c r="A192" s="27" t="s">
        <v>514</v>
      </c>
      <c r="B192" s="28">
        <v>19018.25</v>
      </c>
    </row>
    <row r="193" spans="1:2" x14ac:dyDescent="0.35">
      <c r="A193" s="27" t="s">
        <v>44</v>
      </c>
      <c r="B193" s="28">
        <v>750</v>
      </c>
    </row>
    <row r="194" spans="1:2" x14ac:dyDescent="0.35">
      <c r="A194" s="27" t="s">
        <v>105</v>
      </c>
      <c r="B194" s="28">
        <v>2366.69</v>
      </c>
    </row>
    <row r="195" spans="1:2" x14ac:dyDescent="0.35">
      <c r="A195" s="27" t="s">
        <v>112</v>
      </c>
      <c r="B195" s="28">
        <v>2500</v>
      </c>
    </row>
    <row r="196" spans="1:2" x14ac:dyDescent="0.35">
      <c r="A196" s="27" t="s">
        <v>42</v>
      </c>
      <c r="B196" s="28">
        <v>6413</v>
      </c>
    </row>
    <row r="197" spans="1:2" x14ac:dyDescent="0.35">
      <c r="A197" s="27" t="s">
        <v>533</v>
      </c>
      <c r="B197" s="28">
        <v>2000</v>
      </c>
    </row>
    <row r="198" spans="1:2" x14ac:dyDescent="0.35">
      <c r="A198" s="27" t="s">
        <v>285</v>
      </c>
      <c r="B198" s="28">
        <v>2925.78</v>
      </c>
    </row>
    <row r="199" spans="1:2" x14ac:dyDescent="0.35">
      <c r="A199" s="27" t="s">
        <v>2632</v>
      </c>
      <c r="B199" s="28">
        <v>3512.5</v>
      </c>
    </row>
    <row r="200" spans="1:2" x14ac:dyDescent="0.35">
      <c r="A200" s="27" t="s">
        <v>4033</v>
      </c>
      <c r="B200" s="28">
        <v>1408.98</v>
      </c>
    </row>
    <row r="201" spans="1:2" x14ac:dyDescent="0.35">
      <c r="A201" s="27" t="s">
        <v>4335</v>
      </c>
      <c r="B201" s="28">
        <v>1237.83</v>
      </c>
    </row>
    <row r="202" spans="1:2" x14ac:dyDescent="0.35">
      <c r="A202" s="27" t="s">
        <v>313</v>
      </c>
      <c r="B202" s="28">
        <v>4808.5</v>
      </c>
    </row>
    <row r="203" spans="1:2" x14ac:dyDescent="0.35">
      <c r="A203" s="27" t="s">
        <v>4278</v>
      </c>
      <c r="B203" s="28">
        <v>400</v>
      </c>
    </row>
    <row r="204" spans="1:2" x14ac:dyDescent="0.35">
      <c r="A204" s="27" t="s">
        <v>150</v>
      </c>
      <c r="B204" s="28">
        <v>72.099999999999994</v>
      </c>
    </row>
    <row r="205" spans="1:2" x14ac:dyDescent="0.35">
      <c r="A205" s="27" t="s">
        <v>101</v>
      </c>
      <c r="B205" s="28">
        <v>15563.38</v>
      </c>
    </row>
    <row r="206" spans="1:2" x14ac:dyDescent="0.35">
      <c r="A206" s="27" t="s">
        <v>240</v>
      </c>
      <c r="B206" s="28">
        <v>65.52</v>
      </c>
    </row>
    <row r="207" spans="1:2" x14ac:dyDescent="0.35">
      <c r="A207" s="27" t="s">
        <v>61</v>
      </c>
      <c r="B207" s="28">
        <v>17711.93</v>
      </c>
    </row>
    <row r="208" spans="1:2" x14ac:dyDescent="0.35">
      <c r="A208" s="27" t="s">
        <v>209</v>
      </c>
      <c r="B208" s="28">
        <v>4620.32</v>
      </c>
    </row>
    <row r="209" spans="1:2" x14ac:dyDescent="0.35">
      <c r="A209" s="27" t="s">
        <v>95</v>
      </c>
      <c r="B209" s="28">
        <v>1950.91</v>
      </c>
    </row>
    <row r="210" spans="1:2" x14ac:dyDescent="0.35">
      <c r="A210" s="27" t="s">
        <v>2634</v>
      </c>
      <c r="B210" s="28">
        <v>1512.5</v>
      </c>
    </row>
    <row r="211" spans="1:2" x14ac:dyDescent="0.35">
      <c r="A211" s="27" t="s">
        <v>3770</v>
      </c>
      <c r="B211" s="28">
        <v>7885.77</v>
      </c>
    </row>
    <row r="212" spans="1:2" x14ac:dyDescent="0.35">
      <c r="A212" s="27" t="s">
        <v>543</v>
      </c>
      <c r="B212" s="28">
        <v>458.1</v>
      </c>
    </row>
    <row r="213" spans="1:2" x14ac:dyDescent="0.35">
      <c r="A213" s="27" t="s">
        <v>244</v>
      </c>
      <c r="B213" s="28">
        <v>30158.11</v>
      </c>
    </row>
    <row r="214" spans="1:2" x14ac:dyDescent="0.35">
      <c r="A214" s="27" t="s">
        <v>2722</v>
      </c>
      <c r="B214" s="28">
        <v>2211.84</v>
      </c>
    </row>
    <row r="215" spans="1:2" x14ac:dyDescent="0.35">
      <c r="A215" s="27" t="s">
        <v>1848</v>
      </c>
      <c r="B215" s="28">
        <v>18063.949999999997</v>
      </c>
    </row>
    <row r="216" spans="1:2" x14ac:dyDescent="0.35">
      <c r="A216" s="27" t="s">
        <v>3265</v>
      </c>
      <c r="B216" s="28">
        <v>78</v>
      </c>
    </row>
    <row r="217" spans="1:2" x14ac:dyDescent="0.35">
      <c r="A217" s="27" t="s">
        <v>5518</v>
      </c>
      <c r="B217" s="28">
        <v>986.45</v>
      </c>
    </row>
    <row r="218" spans="1:2" x14ac:dyDescent="0.35">
      <c r="A218" s="27" t="s">
        <v>1945</v>
      </c>
      <c r="B218" s="28">
        <v>868.98</v>
      </c>
    </row>
    <row r="219" spans="1:2" x14ac:dyDescent="0.35">
      <c r="A219" s="27" t="s">
        <v>47</v>
      </c>
      <c r="B219" s="28">
        <v>245.08</v>
      </c>
    </row>
    <row r="220" spans="1:2" x14ac:dyDescent="0.35">
      <c r="A220" s="27" t="s">
        <v>2989</v>
      </c>
      <c r="B220" s="28">
        <v>6050</v>
      </c>
    </row>
    <row r="221" spans="1:2" x14ac:dyDescent="0.35">
      <c r="A221" s="27" t="s">
        <v>4810</v>
      </c>
      <c r="B221" s="28">
        <v>1336.17</v>
      </c>
    </row>
    <row r="222" spans="1:2" x14ac:dyDescent="0.35">
      <c r="A222" s="27" t="s">
        <v>164</v>
      </c>
      <c r="B222" s="28">
        <v>3504.16</v>
      </c>
    </row>
    <row r="223" spans="1:2" x14ac:dyDescent="0.35">
      <c r="A223" s="27" t="s">
        <v>3612</v>
      </c>
      <c r="B223" s="28">
        <v>12535.599999999999</v>
      </c>
    </row>
    <row r="224" spans="1:2" x14ac:dyDescent="0.35">
      <c r="A224" s="27" t="s">
        <v>6139</v>
      </c>
      <c r="B224" s="28">
        <v>89.54</v>
      </c>
    </row>
    <row r="225" spans="1:2" x14ac:dyDescent="0.35">
      <c r="A225" s="27" t="s">
        <v>1908</v>
      </c>
      <c r="B225" s="28">
        <v>1568.16</v>
      </c>
    </row>
    <row r="226" spans="1:2" x14ac:dyDescent="0.35">
      <c r="A226" s="27" t="s">
        <v>5534</v>
      </c>
      <c r="B226" s="28">
        <v>922.02</v>
      </c>
    </row>
    <row r="227" spans="1:2" x14ac:dyDescent="0.35">
      <c r="A227" s="27" t="s">
        <v>552</v>
      </c>
      <c r="B227" s="28">
        <v>8336.9</v>
      </c>
    </row>
    <row r="228" spans="1:2" x14ac:dyDescent="0.35">
      <c r="A228" s="27" t="s">
        <v>161</v>
      </c>
      <c r="B228" s="28">
        <v>1113.2</v>
      </c>
    </row>
    <row r="229" spans="1:2" x14ac:dyDescent="0.35">
      <c r="A229" s="27" t="s">
        <v>121</v>
      </c>
      <c r="B229" s="28">
        <v>139359.07</v>
      </c>
    </row>
    <row r="230" spans="1:2" x14ac:dyDescent="0.35">
      <c r="A230" s="27" t="s">
        <v>120</v>
      </c>
      <c r="B230" s="28">
        <v>19724.730000000003</v>
      </c>
    </row>
    <row r="231" spans="1:2" x14ac:dyDescent="0.35">
      <c r="A231" s="27" t="s">
        <v>3057</v>
      </c>
      <c r="B231" s="28">
        <v>7226.12</v>
      </c>
    </row>
    <row r="232" spans="1:2" x14ac:dyDescent="0.35">
      <c r="A232" s="27" t="s">
        <v>286</v>
      </c>
      <c r="B232" s="28">
        <v>1230.5700000000002</v>
      </c>
    </row>
    <row r="233" spans="1:2" x14ac:dyDescent="0.35">
      <c r="A233" s="27" t="s">
        <v>4011</v>
      </c>
      <c r="B233" s="28">
        <v>1049.99</v>
      </c>
    </row>
    <row r="234" spans="1:2" x14ac:dyDescent="0.35">
      <c r="A234" s="27" t="s">
        <v>2638</v>
      </c>
      <c r="B234" s="28">
        <v>1512.5</v>
      </c>
    </row>
    <row r="235" spans="1:2" x14ac:dyDescent="0.35">
      <c r="A235" s="27" t="s">
        <v>4166</v>
      </c>
      <c r="B235" s="28">
        <v>600</v>
      </c>
    </row>
    <row r="236" spans="1:2" x14ac:dyDescent="0.35">
      <c r="A236" s="27" t="s">
        <v>5569</v>
      </c>
      <c r="B236" s="28">
        <v>605</v>
      </c>
    </row>
    <row r="237" spans="1:2" x14ac:dyDescent="0.35">
      <c r="A237" s="27" t="s">
        <v>566</v>
      </c>
      <c r="B237" s="28">
        <v>1512.5</v>
      </c>
    </row>
    <row r="238" spans="1:2" x14ac:dyDescent="0.35">
      <c r="A238" s="27" t="s">
        <v>179</v>
      </c>
      <c r="B238" s="28">
        <v>18150</v>
      </c>
    </row>
    <row r="239" spans="1:2" x14ac:dyDescent="0.35">
      <c r="A239" s="27" t="s">
        <v>66</v>
      </c>
      <c r="B239" s="28">
        <v>14379.2</v>
      </c>
    </row>
    <row r="240" spans="1:2" x14ac:dyDescent="0.35">
      <c r="A240" s="27" t="s">
        <v>6151</v>
      </c>
      <c r="B240" s="28">
        <v>2898.5</v>
      </c>
    </row>
    <row r="241" spans="1:2" x14ac:dyDescent="0.35">
      <c r="A241" s="27" t="s">
        <v>3836</v>
      </c>
      <c r="B241" s="28">
        <v>3451.59</v>
      </c>
    </row>
    <row r="242" spans="1:2" x14ac:dyDescent="0.35">
      <c r="A242" s="27" t="s">
        <v>53</v>
      </c>
      <c r="B242" s="28">
        <v>88279.309999999969</v>
      </c>
    </row>
    <row r="243" spans="1:2" x14ac:dyDescent="0.35">
      <c r="A243" s="27" t="s">
        <v>213</v>
      </c>
      <c r="B243" s="28">
        <v>14482.49</v>
      </c>
    </row>
    <row r="244" spans="1:2" x14ac:dyDescent="0.35">
      <c r="A244" s="27" t="s">
        <v>2262</v>
      </c>
      <c r="B244" s="28">
        <v>6923.78</v>
      </c>
    </row>
    <row r="245" spans="1:2" x14ac:dyDescent="0.35">
      <c r="A245" s="27" t="s">
        <v>2164</v>
      </c>
      <c r="B245" s="28">
        <v>165.77</v>
      </c>
    </row>
    <row r="246" spans="1:2" x14ac:dyDescent="0.35">
      <c r="A246" s="27" t="s">
        <v>104</v>
      </c>
      <c r="B246" s="28">
        <v>17060</v>
      </c>
    </row>
    <row r="247" spans="1:2" x14ac:dyDescent="0.35">
      <c r="A247" s="27" t="s">
        <v>516</v>
      </c>
      <c r="B247" s="28">
        <v>2500</v>
      </c>
    </row>
    <row r="248" spans="1:2" x14ac:dyDescent="0.35">
      <c r="A248" s="27" t="s">
        <v>217</v>
      </c>
      <c r="B248" s="28">
        <v>435.6</v>
      </c>
    </row>
    <row r="249" spans="1:2" x14ac:dyDescent="0.35">
      <c r="A249" s="27" t="s">
        <v>3633</v>
      </c>
      <c r="B249" s="28">
        <v>8487</v>
      </c>
    </row>
    <row r="250" spans="1:2" x14ac:dyDescent="0.35">
      <c r="A250" s="27" t="s">
        <v>254</v>
      </c>
      <c r="B250" s="28">
        <v>2282.0700000000002</v>
      </c>
    </row>
    <row r="251" spans="1:2" x14ac:dyDescent="0.35">
      <c r="A251" s="27" t="s">
        <v>5614</v>
      </c>
      <c r="B251" s="28">
        <v>598.95000000000005</v>
      </c>
    </row>
    <row r="252" spans="1:2" x14ac:dyDescent="0.35">
      <c r="A252" s="27" t="s">
        <v>574</v>
      </c>
      <c r="B252" s="28">
        <v>86.58</v>
      </c>
    </row>
    <row r="253" spans="1:2" x14ac:dyDescent="0.35">
      <c r="A253" s="27" t="s">
        <v>3855</v>
      </c>
      <c r="B253" s="28">
        <v>2018.89</v>
      </c>
    </row>
    <row r="254" spans="1:2" x14ac:dyDescent="0.35">
      <c r="A254" s="27" t="s">
        <v>2092</v>
      </c>
      <c r="B254" s="28">
        <v>109.17</v>
      </c>
    </row>
    <row r="255" spans="1:2" x14ac:dyDescent="0.35">
      <c r="A255" s="27" t="s">
        <v>5630</v>
      </c>
      <c r="B255" s="28">
        <v>54.99</v>
      </c>
    </row>
    <row r="256" spans="1:2" x14ac:dyDescent="0.35">
      <c r="A256" s="27" t="s">
        <v>563</v>
      </c>
      <c r="B256" s="28">
        <v>751.77</v>
      </c>
    </row>
    <row r="257" spans="1:2" x14ac:dyDescent="0.35">
      <c r="A257" s="27" t="s">
        <v>97</v>
      </c>
      <c r="B257" s="28">
        <v>3960</v>
      </c>
    </row>
    <row r="258" spans="1:2" x14ac:dyDescent="0.35">
      <c r="A258" s="27" t="s">
        <v>4100</v>
      </c>
      <c r="B258" s="28">
        <v>1324.35</v>
      </c>
    </row>
    <row r="259" spans="1:2" x14ac:dyDescent="0.35">
      <c r="A259" s="27" t="s">
        <v>103</v>
      </c>
      <c r="B259" s="28">
        <v>5355.46</v>
      </c>
    </row>
    <row r="260" spans="1:2" x14ac:dyDescent="0.35">
      <c r="A260" s="27" t="s">
        <v>584</v>
      </c>
      <c r="B260" s="28">
        <v>5267.6</v>
      </c>
    </row>
    <row r="261" spans="1:2" x14ac:dyDescent="0.35">
      <c r="A261" s="27" t="s">
        <v>3687</v>
      </c>
      <c r="B261" s="28">
        <v>6437.5</v>
      </c>
    </row>
    <row r="262" spans="1:2" x14ac:dyDescent="0.35">
      <c r="A262" s="27" t="s">
        <v>3491</v>
      </c>
      <c r="B262" s="28">
        <v>27651.13</v>
      </c>
    </row>
    <row r="263" spans="1:2" x14ac:dyDescent="0.35">
      <c r="A263" s="27" t="s">
        <v>5553</v>
      </c>
      <c r="B263" s="28">
        <v>597.84</v>
      </c>
    </row>
    <row r="264" spans="1:2" x14ac:dyDescent="0.35">
      <c r="A264" s="27" t="s">
        <v>80</v>
      </c>
      <c r="B264" s="28">
        <v>800</v>
      </c>
    </row>
    <row r="265" spans="1:2" x14ac:dyDescent="0.35">
      <c r="A265" s="27" t="s">
        <v>4186</v>
      </c>
      <c r="B265" s="28">
        <v>544.5</v>
      </c>
    </row>
    <row r="266" spans="1:2" x14ac:dyDescent="0.35">
      <c r="A266" s="27" t="s">
        <v>1960</v>
      </c>
      <c r="B266" s="28">
        <v>50.820000000000007</v>
      </c>
    </row>
    <row r="267" spans="1:2" x14ac:dyDescent="0.35">
      <c r="A267" s="27" t="s">
        <v>221</v>
      </c>
      <c r="B267" s="28">
        <v>2125.56</v>
      </c>
    </row>
    <row r="268" spans="1:2" x14ac:dyDescent="0.35">
      <c r="A268" s="27" t="s">
        <v>6168</v>
      </c>
      <c r="B268" s="28">
        <v>6000</v>
      </c>
    </row>
    <row r="269" spans="1:2" x14ac:dyDescent="0.35">
      <c r="A269" s="27" t="s">
        <v>149</v>
      </c>
      <c r="B269" s="28">
        <v>18746.760000000002</v>
      </c>
    </row>
    <row r="270" spans="1:2" x14ac:dyDescent="0.35">
      <c r="A270" s="27" t="s">
        <v>3815</v>
      </c>
      <c r="B270" s="28">
        <v>18541.080000000002</v>
      </c>
    </row>
    <row r="271" spans="1:2" x14ac:dyDescent="0.35">
      <c r="A271" s="27" t="s">
        <v>5684</v>
      </c>
      <c r="B271" s="28">
        <v>216.37</v>
      </c>
    </row>
    <row r="272" spans="1:2" x14ac:dyDescent="0.35">
      <c r="A272" s="27" t="s">
        <v>211</v>
      </c>
      <c r="B272" s="28">
        <v>3440.94</v>
      </c>
    </row>
    <row r="273" spans="1:2" x14ac:dyDescent="0.35">
      <c r="A273" s="27" t="s">
        <v>300</v>
      </c>
      <c r="B273" s="28">
        <v>695.4</v>
      </c>
    </row>
    <row r="274" spans="1:2" x14ac:dyDescent="0.35">
      <c r="A274" s="27" t="s">
        <v>5679</v>
      </c>
      <c r="B274" s="28">
        <v>1352</v>
      </c>
    </row>
    <row r="275" spans="1:2" x14ac:dyDescent="0.35">
      <c r="A275" s="27" t="s">
        <v>4428</v>
      </c>
      <c r="B275" s="28">
        <v>2236.08</v>
      </c>
    </row>
    <row r="276" spans="1:2" x14ac:dyDescent="0.35">
      <c r="A276" s="27" t="s">
        <v>2051</v>
      </c>
      <c r="B276" s="28">
        <v>387.2</v>
      </c>
    </row>
    <row r="277" spans="1:2" x14ac:dyDescent="0.35">
      <c r="A277" s="27" t="s">
        <v>253</v>
      </c>
      <c r="B277" s="28">
        <v>4094.9800000000005</v>
      </c>
    </row>
    <row r="278" spans="1:2" x14ac:dyDescent="0.35">
      <c r="A278" s="27" t="s">
        <v>3472</v>
      </c>
      <c r="B278" s="28">
        <v>44390.36</v>
      </c>
    </row>
    <row r="279" spans="1:2" x14ac:dyDescent="0.35">
      <c r="A279" s="27" t="s">
        <v>2056</v>
      </c>
      <c r="B279" s="28">
        <v>2000</v>
      </c>
    </row>
    <row r="280" spans="1:2" x14ac:dyDescent="0.35">
      <c r="A280" s="27" t="s">
        <v>115</v>
      </c>
      <c r="B280" s="28">
        <v>7411</v>
      </c>
    </row>
    <row r="281" spans="1:2" x14ac:dyDescent="0.35">
      <c r="A281" s="27" t="s">
        <v>524</v>
      </c>
      <c r="B281" s="28">
        <v>280.24</v>
      </c>
    </row>
    <row r="282" spans="1:2" x14ac:dyDescent="0.35">
      <c r="A282" s="27" t="s">
        <v>276</v>
      </c>
      <c r="B282" s="28">
        <v>580.79999999999995</v>
      </c>
    </row>
    <row r="283" spans="1:2" x14ac:dyDescent="0.35">
      <c r="A283" s="27" t="s">
        <v>71</v>
      </c>
      <c r="B283" s="28">
        <v>984.5</v>
      </c>
    </row>
    <row r="284" spans="1:2" x14ac:dyDescent="0.35">
      <c r="A284" s="27" t="s">
        <v>3945</v>
      </c>
      <c r="B284" s="28">
        <v>1300</v>
      </c>
    </row>
    <row r="285" spans="1:2" x14ac:dyDescent="0.35">
      <c r="A285" s="27" t="s">
        <v>79</v>
      </c>
      <c r="B285" s="28">
        <v>12523.5</v>
      </c>
    </row>
    <row r="286" spans="1:2" x14ac:dyDescent="0.35">
      <c r="A286" s="27" t="s">
        <v>2481</v>
      </c>
      <c r="B286" s="28">
        <v>847</v>
      </c>
    </row>
    <row r="287" spans="1:2" x14ac:dyDescent="0.35">
      <c r="A287" s="27" t="s">
        <v>5707</v>
      </c>
      <c r="B287" s="28">
        <v>1815</v>
      </c>
    </row>
    <row r="288" spans="1:2" x14ac:dyDescent="0.35">
      <c r="A288" s="27" t="s">
        <v>5697</v>
      </c>
      <c r="B288" s="28">
        <v>200</v>
      </c>
    </row>
    <row r="289" spans="1:2" x14ac:dyDescent="0.35">
      <c r="A289" s="27" t="s">
        <v>2328</v>
      </c>
      <c r="B289" s="28">
        <v>381.49</v>
      </c>
    </row>
    <row r="290" spans="1:2" x14ac:dyDescent="0.35">
      <c r="A290" s="27" t="s">
        <v>3474</v>
      </c>
      <c r="B290" s="28">
        <v>37437.160000000003</v>
      </c>
    </row>
    <row r="291" spans="1:2" x14ac:dyDescent="0.35">
      <c r="A291" s="27" t="s">
        <v>297</v>
      </c>
      <c r="B291" s="28">
        <v>21754.09</v>
      </c>
    </row>
    <row r="292" spans="1:2" x14ac:dyDescent="0.35">
      <c r="A292" s="27" t="s">
        <v>2234</v>
      </c>
      <c r="B292" s="28">
        <v>223.27</v>
      </c>
    </row>
    <row r="293" spans="1:2" x14ac:dyDescent="0.35">
      <c r="A293" s="27" t="s">
        <v>4090</v>
      </c>
      <c r="B293" s="28">
        <v>822.8</v>
      </c>
    </row>
    <row r="294" spans="1:2" x14ac:dyDescent="0.35">
      <c r="A294" s="27" t="s">
        <v>296</v>
      </c>
      <c r="B294" s="28">
        <v>28603.43</v>
      </c>
    </row>
    <row r="295" spans="1:2" x14ac:dyDescent="0.35">
      <c r="A295" s="27" t="s">
        <v>220</v>
      </c>
      <c r="B295" s="28">
        <v>19105</v>
      </c>
    </row>
    <row r="296" spans="1:2" x14ac:dyDescent="0.35">
      <c r="A296" s="27" t="s">
        <v>250</v>
      </c>
      <c r="B296" s="28">
        <v>7151.34</v>
      </c>
    </row>
    <row r="297" spans="1:2" x14ac:dyDescent="0.35">
      <c r="A297" s="27" t="s">
        <v>163</v>
      </c>
      <c r="B297" s="28">
        <v>19230.690000000002</v>
      </c>
    </row>
    <row r="298" spans="1:2" x14ac:dyDescent="0.35">
      <c r="A298" s="27" t="s">
        <v>2162</v>
      </c>
      <c r="B298" s="28">
        <v>165.2</v>
      </c>
    </row>
    <row r="299" spans="1:2" x14ac:dyDescent="0.35">
      <c r="A299" s="27" t="s">
        <v>166</v>
      </c>
      <c r="B299" s="28">
        <v>2182.5</v>
      </c>
    </row>
    <row r="300" spans="1:2" x14ac:dyDescent="0.35">
      <c r="A300" s="27" t="s">
        <v>40</v>
      </c>
      <c r="B300" s="28">
        <v>5130</v>
      </c>
    </row>
    <row r="301" spans="1:2" x14ac:dyDescent="0.35">
      <c r="A301" s="27" t="s">
        <v>558</v>
      </c>
      <c r="B301" s="28">
        <v>5208.25</v>
      </c>
    </row>
    <row r="302" spans="1:2" x14ac:dyDescent="0.35">
      <c r="A302" s="27" t="s">
        <v>314</v>
      </c>
      <c r="B302" s="28">
        <v>2259.8000000000002</v>
      </c>
    </row>
    <row r="303" spans="1:2" x14ac:dyDescent="0.35">
      <c r="A303" s="27" t="s">
        <v>116</v>
      </c>
      <c r="B303" s="28">
        <v>2433.0299999999997</v>
      </c>
    </row>
    <row r="304" spans="1:2" x14ac:dyDescent="0.35">
      <c r="A304" s="27" t="s">
        <v>153</v>
      </c>
      <c r="B304" s="28">
        <v>17224.919999999998</v>
      </c>
    </row>
    <row r="305" spans="1:2" x14ac:dyDescent="0.35">
      <c r="A305" s="27" t="s">
        <v>134</v>
      </c>
      <c r="B305" s="28">
        <v>8288.18</v>
      </c>
    </row>
    <row r="306" spans="1:2" x14ac:dyDescent="0.35">
      <c r="A306" s="27" t="s">
        <v>4188</v>
      </c>
      <c r="B306" s="28">
        <v>544.5</v>
      </c>
    </row>
    <row r="307" spans="1:2" x14ac:dyDescent="0.35">
      <c r="A307" s="27" t="s">
        <v>6206</v>
      </c>
      <c r="B307" s="28">
        <v>181.5</v>
      </c>
    </row>
    <row r="308" spans="1:2" x14ac:dyDescent="0.35">
      <c r="A308" s="27" t="s">
        <v>2176</v>
      </c>
      <c r="B308" s="28">
        <v>2699.75</v>
      </c>
    </row>
    <row r="309" spans="1:2" x14ac:dyDescent="0.35">
      <c r="A309" s="27" t="s">
        <v>198</v>
      </c>
      <c r="B309" s="28">
        <v>1087.79</v>
      </c>
    </row>
    <row r="310" spans="1:2" x14ac:dyDescent="0.35">
      <c r="A310" s="27" t="s">
        <v>6208</v>
      </c>
      <c r="B310" s="28">
        <v>525</v>
      </c>
    </row>
    <row r="311" spans="1:2" x14ac:dyDescent="0.35">
      <c r="A311" s="27" t="s">
        <v>4255</v>
      </c>
      <c r="B311" s="28">
        <v>1038.95</v>
      </c>
    </row>
    <row r="312" spans="1:2" x14ac:dyDescent="0.35">
      <c r="A312" s="27" t="s">
        <v>562</v>
      </c>
      <c r="B312" s="28">
        <v>4779.5</v>
      </c>
    </row>
    <row r="313" spans="1:2" x14ac:dyDescent="0.35">
      <c r="A313" s="27" t="s">
        <v>70</v>
      </c>
      <c r="B313" s="28">
        <v>18010.84</v>
      </c>
    </row>
    <row r="314" spans="1:2" x14ac:dyDescent="0.35">
      <c r="A314" s="27" t="s">
        <v>592</v>
      </c>
      <c r="B314" s="28">
        <v>2746.7</v>
      </c>
    </row>
    <row r="315" spans="1:2" x14ac:dyDescent="0.35">
      <c r="A315" s="27" t="s">
        <v>281</v>
      </c>
      <c r="B315" s="28">
        <v>129.63</v>
      </c>
    </row>
    <row r="316" spans="1:2" x14ac:dyDescent="0.35">
      <c r="A316" s="27" t="s">
        <v>106</v>
      </c>
      <c r="B316" s="28">
        <v>7500</v>
      </c>
    </row>
    <row r="317" spans="1:2" x14ac:dyDescent="0.35">
      <c r="A317" s="27" t="s">
        <v>93</v>
      </c>
      <c r="B317" s="28">
        <v>12880.7</v>
      </c>
    </row>
    <row r="318" spans="1:2" x14ac:dyDescent="0.35">
      <c r="A318" s="27" t="s">
        <v>4383</v>
      </c>
      <c r="B318" s="28">
        <v>1950</v>
      </c>
    </row>
    <row r="319" spans="1:2" x14ac:dyDescent="0.35">
      <c r="A319" s="27" t="s">
        <v>5757</v>
      </c>
      <c r="B319" s="28">
        <v>2456.3000000000002</v>
      </c>
    </row>
    <row r="320" spans="1:2" x14ac:dyDescent="0.35">
      <c r="A320" s="27" t="s">
        <v>4193</v>
      </c>
      <c r="B320" s="28">
        <v>530</v>
      </c>
    </row>
    <row r="321" spans="1:2" x14ac:dyDescent="0.35">
      <c r="A321" s="27" t="s">
        <v>2552</v>
      </c>
      <c r="B321" s="28">
        <v>1367.63</v>
      </c>
    </row>
    <row r="322" spans="1:2" x14ac:dyDescent="0.35">
      <c r="A322" s="27" t="s">
        <v>2555</v>
      </c>
      <c r="B322" s="28">
        <v>8349</v>
      </c>
    </row>
    <row r="323" spans="1:2" x14ac:dyDescent="0.35">
      <c r="A323" s="27" t="s">
        <v>5762</v>
      </c>
      <c r="B323" s="28">
        <v>80.47</v>
      </c>
    </row>
    <row r="324" spans="1:2" x14ac:dyDescent="0.35">
      <c r="A324" s="27" t="s">
        <v>3596</v>
      </c>
      <c r="B324" s="28">
        <v>7371.44</v>
      </c>
    </row>
    <row r="325" spans="1:2" x14ac:dyDescent="0.35">
      <c r="A325" s="27" t="s">
        <v>3025</v>
      </c>
      <c r="B325" s="28">
        <v>6506.37</v>
      </c>
    </row>
    <row r="326" spans="1:2" x14ac:dyDescent="0.35">
      <c r="A326" s="27" t="s">
        <v>3973</v>
      </c>
      <c r="B326" s="28">
        <v>17070.599999999999</v>
      </c>
    </row>
    <row r="327" spans="1:2" x14ac:dyDescent="0.35">
      <c r="A327" s="27" t="s">
        <v>255</v>
      </c>
      <c r="B327" s="28">
        <v>7260</v>
      </c>
    </row>
    <row r="328" spans="1:2" x14ac:dyDescent="0.35">
      <c r="A328" s="27" t="s">
        <v>2184</v>
      </c>
      <c r="B328" s="28">
        <v>2413.59</v>
      </c>
    </row>
    <row r="329" spans="1:2" x14ac:dyDescent="0.35">
      <c r="A329" s="27" t="s">
        <v>4236</v>
      </c>
      <c r="B329" s="28">
        <v>963.55</v>
      </c>
    </row>
    <row r="330" spans="1:2" x14ac:dyDescent="0.35">
      <c r="A330" s="27" t="s">
        <v>268</v>
      </c>
      <c r="B330" s="28">
        <v>7777.7</v>
      </c>
    </row>
    <row r="331" spans="1:2" x14ac:dyDescent="0.35">
      <c r="A331" s="27" t="s">
        <v>206</v>
      </c>
      <c r="B331" s="28">
        <v>6983.34</v>
      </c>
    </row>
    <row r="332" spans="1:2" x14ac:dyDescent="0.35">
      <c r="A332" s="27" t="s">
        <v>304</v>
      </c>
      <c r="B332" s="28">
        <v>1177.8899999999999</v>
      </c>
    </row>
    <row r="333" spans="1:2" x14ac:dyDescent="0.35">
      <c r="A333" s="27" t="s">
        <v>5522</v>
      </c>
      <c r="B333" s="28">
        <v>795</v>
      </c>
    </row>
    <row r="334" spans="1:2" x14ac:dyDescent="0.35">
      <c r="A334" s="27" t="s">
        <v>5790</v>
      </c>
      <c r="B334" s="28">
        <v>4559.28</v>
      </c>
    </row>
    <row r="335" spans="1:2" x14ac:dyDescent="0.35">
      <c r="A335" s="27" t="s">
        <v>289</v>
      </c>
      <c r="B335" s="28">
        <v>5000</v>
      </c>
    </row>
    <row r="336" spans="1:2" x14ac:dyDescent="0.35">
      <c r="A336" s="27" t="s">
        <v>585</v>
      </c>
      <c r="B336" s="28">
        <v>4840</v>
      </c>
    </row>
    <row r="337" spans="1:2" x14ac:dyDescent="0.35">
      <c r="A337" s="27" t="s">
        <v>5792</v>
      </c>
      <c r="B337" s="28">
        <v>689.7</v>
      </c>
    </row>
    <row r="338" spans="1:2" x14ac:dyDescent="0.35">
      <c r="A338" s="27" t="s">
        <v>2442</v>
      </c>
      <c r="B338" s="28">
        <v>608</v>
      </c>
    </row>
    <row r="339" spans="1:2" x14ac:dyDescent="0.35">
      <c r="A339" s="27" t="s">
        <v>100</v>
      </c>
      <c r="B339" s="28">
        <v>481.56</v>
      </c>
    </row>
    <row r="340" spans="1:2" x14ac:dyDescent="0.35">
      <c r="A340" s="27" t="s">
        <v>2664</v>
      </c>
      <c r="B340" s="28">
        <v>22251.9</v>
      </c>
    </row>
    <row r="341" spans="1:2" x14ac:dyDescent="0.35">
      <c r="A341" s="27" t="s">
        <v>2294</v>
      </c>
      <c r="B341" s="28">
        <v>295.36</v>
      </c>
    </row>
    <row r="342" spans="1:2" x14ac:dyDescent="0.35">
      <c r="A342" s="27" t="s">
        <v>2009</v>
      </c>
      <c r="B342" s="28">
        <v>67.760000000000005</v>
      </c>
    </row>
    <row r="343" spans="1:2" x14ac:dyDescent="0.35">
      <c r="A343" s="27" t="s">
        <v>114</v>
      </c>
      <c r="B343" s="28">
        <v>25000</v>
      </c>
    </row>
    <row r="344" spans="1:2" x14ac:dyDescent="0.35">
      <c r="A344" s="27" t="s">
        <v>3857</v>
      </c>
      <c r="B344" s="28">
        <v>2018.89</v>
      </c>
    </row>
    <row r="345" spans="1:2" x14ac:dyDescent="0.35">
      <c r="A345" s="27" t="s">
        <v>4409</v>
      </c>
      <c r="B345" s="28">
        <v>2274.8000000000002</v>
      </c>
    </row>
    <row r="346" spans="1:2" x14ac:dyDescent="0.35">
      <c r="A346" s="27" t="s">
        <v>72</v>
      </c>
      <c r="B346" s="28">
        <v>2335.4</v>
      </c>
    </row>
    <row r="347" spans="1:2" x14ac:dyDescent="0.35">
      <c r="A347" s="27" t="s">
        <v>251</v>
      </c>
      <c r="B347" s="28">
        <v>21521.55</v>
      </c>
    </row>
    <row r="348" spans="1:2" x14ac:dyDescent="0.35">
      <c r="A348" s="27" t="s">
        <v>81</v>
      </c>
      <c r="B348" s="28">
        <v>12643.08</v>
      </c>
    </row>
    <row r="349" spans="1:2" x14ac:dyDescent="0.35">
      <c r="A349" s="27" t="s">
        <v>77</v>
      </c>
      <c r="B349" s="28">
        <v>1410</v>
      </c>
    </row>
    <row r="350" spans="1:2" x14ac:dyDescent="0.35">
      <c r="A350" s="27" t="s">
        <v>2843</v>
      </c>
      <c r="B350" s="28">
        <v>59214.21</v>
      </c>
    </row>
    <row r="351" spans="1:2" x14ac:dyDescent="0.35">
      <c r="A351" s="27" t="s">
        <v>2757</v>
      </c>
      <c r="B351" s="28">
        <v>2730</v>
      </c>
    </row>
    <row r="352" spans="1:2" x14ac:dyDescent="0.35">
      <c r="A352" s="27" t="s">
        <v>152</v>
      </c>
      <c r="B352" s="28">
        <v>19908.25</v>
      </c>
    </row>
    <row r="353" spans="1:2" x14ac:dyDescent="0.35">
      <c r="A353" s="27" t="s">
        <v>248</v>
      </c>
      <c r="B353" s="28">
        <v>2889</v>
      </c>
    </row>
    <row r="354" spans="1:2" x14ac:dyDescent="0.35">
      <c r="A354" s="27" t="s">
        <v>87</v>
      </c>
      <c r="B354" s="28">
        <v>33021.08</v>
      </c>
    </row>
    <row r="355" spans="1:2" x14ac:dyDescent="0.35">
      <c r="A355" s="27" t="s">
        <v>5827</v>
      </c>
      <c r="B355" s="28">
        <v>76.599999999999994</v>
      </c>
    </row>
    <row r="356" spans="1:2" x14ac:dyDescent="0.35">
      <c r="A356" s="27" t="s">
        <v>58</v>
      </c>
      <c r="B356" s="28">
        <v>1193.06</v>
      </c>
    </row>
    <row r="357" spans="1:2" x14ac:dyDescent="0.35">
      <c r="A357" s="27" t="s">
        <v>4081</v>
      </c>
      <c r="B357" s="28">
        <v>1880.3400000000001</v>
      </c>
    </row>
    <row r="358" spans="1:2" x14ac:dyDescent="0.35">
      <c r="A358" s="27" t="s">
        <v>88</v>
      </c>
      <c r="B358" s="28">
        <v>500</v>
      </c>
    </row>
    <row r="359" spans="1:2" x14ac:dyDescent="0.35">
      <c r="A359" s="27" t="s">
        <v>4443</v>
      </c>
      <c r="B359" s="28">
        <v>217.8</v>
      </c>
    </row>
    <row r="360" spans="1:2" x14ac:dyDescent="0.35">
      <c r="A360" s="27" t="s">
        <v>181</v>
      </c>
      <c r="B360" s="28">
        <v>3180.28</v>
      </c>
    </row>
    <row r="361" spans="1:2" x14ac:dyDescent="0.35">
      <c r="A361" s="27" t="s">
        <v>4717</v>
      </c>
      <c r="B361" s="28">
        <v>50.82</v>
      </c>
    </row>
    <row r="362" spans="1:2" x14ac:dyDescent="0.35">
      <c r="A362" s="27" t="s">
        <v>168</v>
      </c>
      <c r="B362" s="28">
        <v>260.2</v>
      </c>
    </row>
    <row r="363" spans="1:2" x14ac:dyDescent="0.35">
      <c r="A363" s="27" t="s">
        <v>2557</v>
      </c>
      <c r="B363" s="28">
        <v>1210</v>
      </c>
    </row>
    <row r="364" spans="1:2" x14ac:dyDescent="0.35">
      <c r="A364" s="27" t="s">
        <v>3979</v>
      </c>
      <c r="B364" s="28">
        <v>2500.6499999999996</v>
      </c>
    </row>
    <row r="365" spans="1:2" x14ac:dyDescent="0.35">
      <c r="A365" s="27" t="s">
        <v>2495</v>
      </c>
      <c r="B365" s="28">
        <v>907.5</v>
      </c>
    </row>
    <row r="366" spans="1:2" x14ac:dyDescent="0.35">
      <c r="A366" s="27" t="s">
        <v>208</v>
      </c>
      <c r="B366" s="28">
        <v>350</v>
      </c>
    </row>
    <row r="367" spans="1:2" x14ac:dyDescent="0.35">
      <c r="A367" s="27" t="s">
        <v>107</v>
      </c>
      <c r="B367" s="28">
        <v>13000</v>
      </c>
    </row>
    <row r="368" spans="1:2" x14ac:dyDescent="0.35">
      <c r="A368" s="27" t="s">
        <v>111</v>
      </c>
      <c r="B368" s="28">
        <v>7808</v>
      </c>
    </row>
    <row r="369" spans="1:2" x14ac:dyDescent="0.35">
      <c r="A369" s="27" t="s">
        <v>39</v>
      </c>
      <c r="B369" s="28">
        <v>4500</v>
      </c>
    </row>
    <row r="370" spans="1:2" x14ac:dyDescent="0.35">
      <c r="A370" s="27" t="s">
        <v>2356</v>
      </c>
      <c r="B370" s="28">
        <v>8336.9</v>
      </c>
    </row>
    <row r="371" spans="1:2" x14ac:dyDescent="0.35">
      <c r="A371" s="27" t="s">
        <v>4025</v>
      </c>
      <c r="B371" s="28">
        <v>1000</v>
      </c>
    </row>
    <row r="372" spans="1:2" x14ac:dyDescent="0.35">
      <c r="A372" s="27" t="s">
        <v>3684</v>
      </c>
      <c r="B372" s="28">
        <v>3308.7200000000003</v>
      </c>
    </row>
    <row r="373" spans="1:2" x14ac:dyDescent="0.35">
      <c r="A373" s="27" t="s">
        <v>532</v>
      </c>
      <c r="B373" s="28">
        <v>1819</v>
      </c>
    </row>
    <row r="374" spans="1:2" x14ac:dyDescent="0.35">
      <c r="A374" s="27" t="s">
        <v>569</v>
      </c>
      <c r="B374" s="28">
        <v>1846.85</v>
      </c>
    </row>
    <row r="375" spans="1:2" x14ac:dyDescent="0.35">
      <c r="A375" s="27" t="s">
        <v>2096</v>
      </c>
      <c r="B375" s="28">
        <v>114.95</v>
      </c>
    </row>
    <row r="376" spans="1:2" x14ac:dyDescent="0.35">
      <c r="A376" s="27" t="s">
        <v>235</v>
      </c>
      <c r="B376" s="28">
        <v>10328.620000000001</v>
      </c>
    </row>
    <row r="377" spans="1:2" x14ac:dyDescent="0.35">
      <c r="A377" s="27" t="s">
        <v>544</v>
      </c>
      <c r="B377" s="28">
        <v>6704.61</v>
      </c>
    </row>
    <row r="378" spans="1:2" x14ac:dyDescent="0.35">
      <c r="A378" s="27" t="s">
        <v>277</v>
      </c>
      <c r="B378" s="28">
        <v>55.25</v>
      </c>
    </row>
    <row r="379" spans="1:2" x14ac:dyDescent="0.35">
      <c r="A379" s="27" t="s">
        <v>279</v>
      </c>
      <c r="B379" s="28">
        <v>7072.6</v>
      </c>
    </row>
    <row r="380" spans="1:2" x14ac:dyDescent="0.35">
      <c r="A380" s="27" t="s">
        <v>74</v>
      </c>
      <c r="B380" s="28">
        <v>11674.08</v>
      </c>
    </row>
    <row r="381" spans="1:2" x14ac:dyDescent="0.35">
      <c r="A381" s="27" t="s">
        <v>212</v>
      </c>
      <c r="B381" s="28">
        <v>1512.64</v>
      </c>
    </row>
    <row r="382" spans="1:2" x14ac:dyDescent="0.35">
      <c r="A382" s="27" t="s">
        <v>4643</v>
      </c>
      <c r="B382" s="28">
        <v>87.68</v>
      </c>
    </row>
    <row r="383" spans="1:2" x14ac:dyDescent="0.35">
      <c r="A383" s="27" t="s">
        <v>554</v>
      </c>
      <c r="B383" s="28">
        <v>1405.4</v>
      </c>
    </row>
    <row r="384" spans="1:2" x14ac:dyDescent="0.35">
      <c r="A384" s="27" t="s">
        <v>2022</v>
      </c>
      <c r="B384" s="28">
        <v>75.75</v>
      </c>
    </row>
    <row r="385" spans="1:2" x14ac:dyDescent="0.35">
      <c r="A385" s="27" t="s">
        <v>262</v>
      </c>
      <c r="B385" s="28">
        <v>10011.18</v>
      </c>
    </row>
    <row r="386" spans="1:2" x14ac:dyDescent="0.35">
      <c r="A386" s="27" t="s">
        <v>108</v>
      </c>
      <c r="B386" s="28">
        <v>7000</v>
      </c>
    </row>
    <row r="387" spans="1:2" x14ac:dyDescent="0.35">
      <c r="A387" s="27" t="s">
        <v>4143</v>
      </c>
      <c r="B387" s="28">
        <v>1968.1599999999999</v>
      </c>
    </row>
    <row r="388" spans="1:2" x14ac:dyDescent="0.35">
      <c r="A388" s="27" t="s">
        <v>591</v>
      </c>
      <c r="B388" s="28">
        <v>3005.64</v>
      </c>
    </row>
    <row r="389" spans="1:2" x14ac:dyDescent="0.35">
      <c r="A389" s="27" t="s">
        <v>51</v>
      </c>
      <c r="B389" s="28">
        <v>25311.18</v>
      </c>
    </row>
    <row r="390" spans="1:2" x14ac:dyDescent="0.35">
      <c r="A390" s="27" t="s">
        <v>59</v>
      </c>
      <c r="B390" s="28">
        <v>29005.48</v>
      </c>
    </row>
    <row r="391" spans="1:2" x14ac:dyDescent="0.35">
      <c r="A391" s="27" t="s">
        <v>3194</v>
      </c>
      <c r="B391" s="28">
        <v>24405.7</v>
      </c>
    </row>
    <row r="392" spans="1:2" x14ac:dyDescent="0.35">
      <c r="A392" s="27" t="s">
        <v>3969</v>
      </c>
      <c r="B392" s="28">
        <v>1409.31</v>
      </c>
    </row>
    <row r="393" spans="1:2" x14ac:dyDescent="0.35">
      <c r="A393" s="27" t="s">
        <v>159</v>
      </c>
      <c r="B393" s="28">
        <v>14677.3</v>
      </c>
    </row>
    <row r="394" spans="1:2" x14ac:dyDescent="0.35">
      <c r="A394" s="27" t="s">
        <v>2793</v>
      </c>
      <c r="B394" s="28">
        <v>3025</v>
      </c>
    </row>
    <row r="395" spans="1:2" x14ac:dyDescent="0.35">
      <c r="A395" s="27" t="s">
        <v>2617</v>
      </c>
      <c r="B395" s="28">
        <v>1500</v>
      </c>
    </row>
    <row r="396" spans="1:2" x14ac:dyDescent="0.35">
      <c r="A396" s="27" t="s">
        <v>2241</v>
      </c>
      <c r="B396" s="28">
        <v>471.11</v>
      </c>
    </row>
    <row r="397" spans="1:2" x14ac:dyDescent="0.35">
      <c r="A397" s="27" t="s">
        <v>86</v>
      </c>
      <c r="B397" s="28">
        <v>6121.96</v>
      </c>
    </row>
    <row r="398" spans="1:2" x14ac:dyDescent="0.35">
      <c r="A398" s="27" t="s">
        <v>54</v>
      </c>
      <c r="B398" s="28">
        <v>914.76</v>
      </c>
    </row>
    <row r="399" spans="1:2" x14ac:dyDescent="0.35">
      <c r="A399" s="27" t="s">
        <v>525</v>
      </c>
      <c r="B399" s="28">
        <v>1500</v>
      </c>
    </row>
    <row r="400" spans="1:2" x14ac:dyDescent="0.35">
      <c r="A400" s="27" t="s">
        <v>117</v>
      </c>
      <c r="B400" s="28">
        <v>3200</v>
      </c>
    </row>
    <row r="401" spans="1:2" x14ac:dyDescent="0.35">
      <c r="A401" s="27" t="s">
        <v>3011</v>
      </c>
      <c r="B401" s="28">
        <v>18945</v>
      </c>
    </row>
    <row r="402" spans="1:2" x14ac:dyDescent="0.35">
      <c r="A402" s="27" t="s">
        <v>245</v>
      </c>
      <c r="B402" s="28">
        <v>3573</v>
      </c>
    </row>
    <row r="403" spans="1:2" x14ac:dyDescent="0.35">
      <c r="A403" s="27" t="s">
        <v>3775</v>
      </c>
      <c r="B403" s="28">
        <v>4216.8500000000004</v>
      </c>
    </row>
    <row r="404" spans="1:2" x14ac:dyDescent="0.35">
      <c r="A404" s="27" t="s">
        <v>113</v>
      </c>
      <c r="B404" s="28">
        <v>3000</v>
      </c>
    </row>
    <row r="405" spans="1:2" x14ac:dyDescent="0.35">
      <c r="A405" s="27" t="s">
        <v>137</v>
      </c>
      <c r="B405" s="28">
        <v>15000</v>
      </c>
    </row>
    <row r="406" spans="1:2" x14ac:dyDescent="0.35">
      <c r="A406" s="27" t="s">
        <v>550</v>
      </c>
      <c r="B406" s="28">
        <v>14399</v>
      </c>
    </row>
    <row r="407" spans="1:2" x14ac:dyDescent="0.35">
      <c r="A407" s="27" t="s">
        <v>537</v>
      </c>
      <c r="B407" s="28">
        <v>10135</v>
      </c>
    </row>
    <row r="408" spans="1:2" x14ac:dyDescent="0.35">
      <c r="A408" s="27" t="s">
        <v>247</v>
      </c>
      <c r="B408" s="28">
        <v>1646.98</v>
      </c>
    </row>
    <row r="409" spans="1:2" x14ac:dyDescent="0.35">
      <c r="A409" s="27" t="s">
        <v>4216</v>
      </c>
      <c r="B409" s="28">
        <v>500</v>
      </c>
    </row>
    <row r="410" spans="1:2" x14ac:dyDescent="0.35">
      <c r="A410" s="27" t="s">
        <v>577</v>
      </c>
      <c r="B410" s="28">
        <v>20265.560000000001</v>
      </c>
    </row>
    <row r="411" spans="1:2" x14ac:dyDescent="0.35">
      <c r="A411" s="27" t="s">
        <v>2465</v>
      </c>
      <c r="B411" s="28">
        <v>1742.4</v>
      </c>
    </row>
    <row r="412" spans="1:2" x14ac:dyDescent="0.35">
      <c r="A412" s="27" t="s">
        <v>202</v>
      </c>
      <c r="B412" s="28">
        <v>7631.4</v>
      </c>
    </row>
    <row r="413" spans="1:2" x14ac:dyDescent="0.35">
      <c r="A413" s="27" t="s">
        <v>4135</v>
      </c>
      <c r="B413" s="28">
        <v>694.53</v>
      </c>
    </row>
    <row r="414" spans="1:2" x14ac:dyDescent="0.35">
      <c r="A414" s="27" t="s">
        <v>2330</v>
      </c>
      <c r="B414" s="28">
        <v>9008.7000000000007</v>
      </c>
    </row>
    <row r="415" spans="1:2" x14ac:dyDescent="0.35">
      <c r="A415" s="27" t="s">
        <v>183</v>
      </c>
      <c r="B415" s="28">
        <v>84.7</v>
      </c>
    </row>
    <row r="416" spans="1:2" x14ac:dyDescent="0.35">
      <c r="A416" s="27" t="s">
        <v>2534</v>
      </c>
      <c r="B416" s="28">
        <v>595</v>
      </c>
    </row>
    <row r="417" spans="1:2" x14ac:dyDescent="0.35">
      <c r="A417" s="27" t="s">
        <v>528</v>
      </c>
      <c r="B417" s="28">
        <v>34154.89</v>
      </c>
    </row>
    <row r="418" spans="1:2" x14ac:dyDescent="0.35">
      <c r="A418" s="27" t="s">
        <v>261</v>
      </c>
      <c r="B418" s="28">
        <v>8103.83</v>
      </c>
    </row>
    <row r="419" spans="1:2" x14ac:dyDescent="0.35">
      <c r="A419" s="27" t="s">
        <v>3624</v>
      </c>
      <c r="B419" s="28">
        <v>6897</v>
      </c>
    </row>
    <row r="420" spans="1:2" x14ac:dyDescent="0.35">
      <c r="A420" s="27" t="s">
        <v>2011</v>
      </c>
      <c r="B420" s="28">
        <v>5389.47</v>
      </c>
    </row>
    <row r="421" spans="1:2" x14ac:dyDescent="0.35">
      <c r="A421" s="27" t="s">
        <v>4526</v>
      </c>
      <c r="B421" s="28">
        <v>150</v>
      </c>
    </row>
    <row r="422" spans="1:2" x14ac:dyDescent="0.35">
      <c r="A422" s="27" t="s">
        <v>2957</v>
      </c>
      <c r="B422" s="28">
        <v>5838.25</v>
      </c>
    </row>
    <row r="423" spans="1:2" x14ac:dyDescent="0.35">
      <c r="A423" s="27" t="s">
        <v>515</v>
      </c>
      <c r="B423" s="28">
        <v>20562.72</v>
      </c>
    </row>
    <row r="424" spans="1:2" x14ac:dyDescent="0.35">
      <c r="A424" s="27" t="s">
        <v>542</v>
      </c>
      <c r="B424" s="28">
        <v>2500</v>
      </c>
    </row>
    <row r="425" spans="1:2" x14ac:dyDescent="0.35">
      <c r="A425" s="27" t="s">
        <v>2584</v>
      </c>
      <c r="B425" s="28">
        <v>2923.5299999999997</v>
      </c>
    </row>
    <row r="426" spans="1:2" x14ac:dyDescent="0.35">
      <c r="A426" s="27" t="s">
        <v>3278</v>
      </c>
      <c r="B426" s="28">
        <v>27597.61</v>
      </c>
    </row>
    <row r="427" spans="1:2" x14ac:dyDescent="0.35">
      <c r="A427" s="27" t="s">
        <v>2252</v>
      </c>
      <c r="B427" s="28">
        <v>970.18</v>
      </c>
    </row>
    <row r="428" spans="1:2" x14ac:dyDescent="0.35">
      <c r="A428" s="27" t="s">
        <v>2875</v>
      </c>
      <c r="B428" s="28">
        <v>28516.95</v>
      </c>
    </row>
    <row r="429" spans="1:2" x14ac:dyDescent="0.35">
      <c r="A429" s="27" t="s">
        <v>292</v>
      </c>
      <c r="B429" s="28">
        <v>8932.44</v>
      </c>
    </row>
    <row r="430" spans="1:2" x14ac:dyDescent="0.35">
      <c r="A430" s="27" t="s">
        <v>241</v>
      </c>
      <c r="B430" s="28">
        <v>714.7</v>
      </c>
    </row>
    <row r="431" spans="1:2" x14ac:dyDescent="0.35">
      <c r="A431" s="27" t="s">
        <v>5082</v>
      </c>
      <c r="B431" s="28">
        <v>7139</v>
      </c>
    </row>
    <row r="432" spans="1:2" x14ac:dyDescent="0.35">
      <c r="A432" s="27" t="s">
        <v>3689</v>
      </c>
      <c r="B432" s="28">
        <v>10230</v>
      </c>
    </row>
    <row r="433" spans="1:2" x14ac:dyDescent="0.35">
      <c r="A433" s="27" t="s">
        <v>773</v>
      </c>
      <c r="B433" s="28">
        <v>6050</v>
      </c>
    </row>
    <row r="434" spans="1:2" x14ac:dyDescent="0.35">
      <c r="A434" s="27" t="s">
        <v>4966</v>
      </c>
      <c r="B434" s="28">
        <v>0</v>
      </c>
    </row>
    <row r="435" spans="1:2" x14ac:dyDescent="0.35">
      <c r="A435" s="27" t="s">
        <v>771</v>
      </c>
      <c r="B435" s="28">
        <v>5308.88</v>
      </c>
    </row>
    <row r="436" spans="1:2" x14ac:dyDescent="0.35">
      <c r="A436" s="27" t="s">
        <v>775</v>
      </c>
      <c r="B436" s="28">
        <v>9680</v>
      </c>
    </row>
    <row r="437" spans="1:2" x14ac:dyDescent="0.35">
      <c r="A437" s="27" t="s">
        <v>3512</v>
      </c>
      <c r="B437" s="28">
        <v>17413.11</v>
      </c>
    </row>
    <row r="438" spans="1:2" x14ac:dyDescent="0.35">
      <c r="A438" s="27" t="s">
        <v>720</v>
      </c>
      <c r="B438" s="28">
        <v>3153.2</v>
      </c>
    </row>
    <row r="439" spans="1:2" x14ac:dyDescent="0.35">
      <c r="A439" s="27" t="s">
        <v>783</v>
      </c>
      <c r="B439" s="28">
        <v>11470.8</v>
      </c>
    </row>
    <row r="440" spans="1:2" x14ac:dyDescent="0.35">
      <c r="A440" s="27" t="s">
        <v>651</v>
      </c>
      <c r="B440" s="28">
        <v>13934.43</v>
      </c>
    </row>
    <row r="441" spans="1:2" x14ac:dyDescent="0.35">
      <c r="A441" s="27" t="s">
        <v>733</v>
      </c>
      <c r="B441" s="28">
        <v>245</v>
      </c>
    </row>
    <row r="442" spans="1:2" x14ac:dyDescent="0.35">
      <c r="A442" s="27" t="s">
        <v>3680</v>
      </c>
      <c r="B442" s="28">
        <v>5369.22</v>
      </c>
    </row>
    <row r="443" spans="1:2" x14ac:dyDescent="0.35">
      <c r="A443" s="27" t="s">
        <v>748</v>
      </c>
      <c r="B443" s="28">
        <v>4000</v>
      </c>
    </row>
    <row r="444" spans="1:2" x14ac:dyDescent="0.35">
      <c r="A444" s="27" t="s">
        <v>764</v>
      </c>
      <c r="B444" s="28">
        <v>3330.34</v>
      </c>
    </row>
    <row r="445" spans="1:2" x14ac:dyDescent="0.35">
      <c r="A445" s="27" t="s">
        <v>779</v>
      </c>
      <c r="B445" s="28">
        <v>1546.04</v>
      </c>
    </row>
    <row r="446" spans="1:2" x14ac:dyDescent="0.35">
      <c r="A446" s="27" t="s">
        <v>635</v>
      </c>
      <c r="B446" s="28">
        <v>1000</v>
      </c>
    </row>
    <row r="447" spans="1:2" x14ac:dyDescent="0.35">
      <c r="A447" s="27" t="s">
        <v>754</v>
      </c>
      <c r="B447" s="28">
        <v>7260</v>
      </c>
    </row>
    <row r="448" spans="1:2" x14ac:dyDescent="0.35">
      <c r="A448" s="27" t="s">
        <v>755</v>
      </c>
      <c r="B448" s="28">
        <v>2108.91</v>
      </c>
    </row>
    <row r="449" spans="1:2" x14ac:dyDescent="0.35">
      <c r="A449" s="27" t="s">
        <v>757</v>
      </c>
      <c r="B449" s="28">
        <v>7604.52</v>
      </c>
    </row>
    <row r="450" spans="1:2" x14ac:dyDescent="0.35">
      <c r="A450" s="27" t="s">
        <v>758</v>
      </c>
      <c r="B450" s="28">
        <v>5000</v>
      </c>
    </row>
    <row r="451" spans="1:2" x14ac:dyDescent="0.35">
      <c r="A451" s="27" t="s">
        <v>765</v>
      </c>
      <c r="B451" s="28">
        <v>4032.81</v>
      </c>
    </row>
    <row r="452" spans="1:2" x14ac:dyDescent="0.35">
      <c r="A452" s="27" t="s">
        <v>767</v>
      </c>
      <c r="B452" s="28">
        <v>2012.21</v>
      </c>
    </row>
    <row r="453" spans="1:2" x14ac:dyDescent="0.35">
      <c r="A453" s="27" t="s">
        <v>770</v>
      </c>
      <c r="B453" s="28">
        <v>2700</v>
      </c>
    </row>
    <row r="454" spans="1:2" x14ac:dyDescent="0.35">
      <c r="A454" s="27" t="s">
        <v>597</v>
      </c>
      <c r="B454" s="28">
        <v>3267</v>
      </c>
    </row>
    <row r="455" spans="1:2" x14ac:dyDescent="0.35">
      <c r="A455" s="27" t="s">
        <v>4055</v>
      </c>
      <c r="B455" s="28">
        <v>918.7</v>
      </c>
    </row>
    <row r="456" spans="1:2" x14ac:dyDescent="0.35">
      <c r="A456" s="27" t="s">
        <v>3476</v>
      </c>
      <c r="B456" s="28">
        <v>33981.64</v>
      </c>
    </row>
    <row r="457" spans="1:2" x14ac:dyDescent="0.35">
      <c r="A457" s="27" t="s">
        <v>776</v>
      </c>
      <c r="B457" s="28">
        <v>18484.45</v>
      </c>
    </row>
    <row r="458" spans="1:2" x14ac:dyDescent="0.35">
      <c r="A458" s="27" t="s">
        <v>774</v>
      </c>
      <c r="B458" s="28">
        <v>871.2</v>
      </c>
    </row>
    <row r="459" spans="1:2" x14ac:dyDescent="0.35">
      <c r="A459" s="27" t="s">
        <v>653</v>
      </c>
      <c r="B459" s="28">
        <v>4504</v>
      </c>
    </row>
    <row r="460" spans="1:2" x14ac:dyDescent="0.35">
      <c r="A460" s="27" t="s">
        <v>3829</v>
      </c>
      <c r="B460" s="28">
        <v>2420</v>
      </c>
    </row>
    <row r="461" spans="1:2" x14ac:dyDescent="0.35">
      <c r="A461" s="27" t="s">
        <v>3713</v>
      </c>
      <c r="B461" s="28">
        <v>4235</v>
      </c>
    </row>
    <row r="462" spans="1:2" x14ac:dyDescent="0.35">
      <c r="A462" s="27" t="s">
        <v>4173</v>
      </c>
      <c r="B462" s="28">
        <v>586.85</v>
      </c>
    </row>
    <row r="463" spans="1:2" x14ac:dyDescent="0.35">
      <c r="A463" s="27" t="s">
        <v>701</v>
      </c>
      <c r="B463" s="28">
        <v>8463.9500000000007</v>
      </c>
    </row>
    <row r="464" spans="1:2" x14ac:dyDescent="0.35">
      <c r="A464" s="27" t="s">
        <v>4576</v>
      </c>
      <c r="B464" s="28">
        <v>128.22</v>
      </c>
    </row>
    <row r="465" spans="1:2" x14ac:dyDescent="0.35">
      <c r="A465" s="27" t="s">
        <v>5739</v>
      </c>
      <c r="B465" s="28">
        <v>372.68</v>
      </c>
    </row>
    <row r="466" spans="1:2" x14ac:dyDescent="0.35">
      <c r="A466" s="27" t="s">
        <v>772</v>
      </c>
      <c r="B466" s="28">
        <v>1558.3600000000001</v>
      </c>
    </row>
    <row r="467" spans="1:2" x14ac:dyDescent="0.35">
      <c r="A467" s="27" t="s">
        <v>601</v>
      </c>
      <c r="B467" s="28">
        <v>18150</v>
      </c>
    </row>
    <row r="468" spans="1:2" x14ac:dyDescent="0.35">
      <c r="A468" s="27" t="s">
        <v>5548</v>
      </c>
      <c r="B468" s="28">
        <v>8788.99</v>
      </c>
    </row>
    <row r="469" spans="1:2" x14ac:dyDescent="0.35">
      <c r="A469" s="27" t="s">
        <v>744</v>
      </c>
      <c r="B469" s="28">
        <v>1000</v>
      </c>
    </row>
    <row r="470" spans="1:2" x14ac:dyDescent="0.35">
      <c r="A470" s="27" t="s">
        <v>753</v>
      </c>
      <c r="B470" s="28">
        <v>89.9</v>
      </c>
    </row>
    <row r="471" spans="1:2" x14ac:dyDescent="0.35">
      <c r="A471" s="27" t="s">
        <v>828</v>
      </c>
      <c r="B471" s="28">
        <v>571.12</v>
      </c>
    </row>
    <row r="472" spans="1:2" x14ac:dyDescent="0.35">
      <c r="A472" s="27" t="s">
        <v>860</v>
      </c>
      <c r="B472" s="28">
        <v>9015</v>
      </c>
    </row>
    <row r="473" spans="1:2" x14ac:dyDescent="0.35">
      <c r="A473" s="27" t="s">
        <v>867</v>
      </c>
      <c r="B473" s="28">
        <v>9000</v>
      </c>
    </row>
    <row r="474" spans="1:2" x14ac:dyDescent="0.35">
      <c r="A474" s="27" t="s">
        <v>874</v>
      </c>
      <c r="B474" s="28">
        <v>358.37</v>
      </c>
    </row>
    <row r="475" spans="1:2" x14ac:dyDescent="0.35">
      <c r="A475" s="27" t="s">
        <v>1168</v>
      </c>
      <c r="B475" s="28">
        <v>12492.61</v>
      </c>
    </row>
    <row r="476" spans="1:2" x14ac:dyDescent="0.35">
      <c r="A476" s="27" t="s">
        <v>1178</v>
      </c>
      <c r="B476" s="28">
        <v>3267</v>
      </c>
    </row>
    <row r="477" spans="1:2" x14ac:dyDescent="0.35">
      <c r="A477" s="27" t="s">
        <v>1193</v>
      </c>
      <c r="B477" s="28">
        <v>600</v>
      </c>
    </row>
    <row r="478" spans="1:2" x14ac:dyDescent="0.35">
      <c r="A478" s="27" t="s">
        <v>1209</v>
      </c>
      <c r="B478" s="28">
        <v>290.39999999999998</v>
      </c>
    </row>
    <row r="479" spans="1:2" x14ac:dyDescent="0.35">
      <c r="A479" s="27" t="s">
        <v>1221</v>
      </c>
      <c r="B479" s="28">
        <v>462.64</v>
      </c>
    </row>
    <row r="480" spans="1:2" x14ac:dyDescent="0.35">
      <c r="A480" s="27" t="s">
        <v>1248</v>
      </c>
      <c r="B480" s="28">
        <v>798.5</v>
      </c>
    </row>
    <row r="481" spans="1:2" x14ac:dyDescent="0.35">
      <c r="A481" s="27" t="s">
        <v>1252</v>
      </c>
      <c r="B481" s="28">
        <v>4000</v>
      </c>
    </row>
    <row r="482" spans="1:2" x14ac:dyDescent="0.35">
      <c r="A482" s="27" t="s">
        <v>1256</v>
      </c>
      <c r="B482" s="28">
        <v>350</v>
      </c>
    </row>
    <row r="483" spans="1:2" x14ac:dyDescent="0.35">
      <c r="A483" s="27" t="s">
        <v>1297</v>
      </c>
      <c r="B483" s="28">
        <v>4840</v>
      </c>
    </row>
    <row r="484" spans="1:2" x14ac:dyDescent="0.35">
      <c r="A484" s="27" t="s">
        <v>1306</v>
      </c>
      <c r="B484" s="28">
        <v>5445</v>
      </c>
    </row>
    <row r="485" spans="1:2" x14ac:dyDescent="0.35">
      <c r="A485" s="27" t="s">
        <v>1311</v>
      </c>
      <c r="B485" s="28">
        <v>198.2</v>
      </c>
    </row>
    <row r="486" spans="1:2" x14ac:dyDescent="0.35">
      <c r="A486" s="27" t="s">
        <v>1383</v>
      </c>
      <c r="B486" s="28">
        <v>8447.75</v>
      </c>
    </row>
    <row r="487" spans="1:2" x14ac:dyDescent="0.35">
      <c r="A487" s="27" t="s">
        <v>1419</v>
      </c>
      <c r="B487" s="28">
        <v>279.94</v>
      </c>
    </row>
    <row r="488" spans="1:2" x14ac:dyDescent="0.35">
      <c r="A488" s="27" t="s">
        <v>1424</v>
      </c>
      <c r="B488" s="28">
        <v>24702.15</v>
      </c>
    </row>
    <row r="489" spans="1:2" x14ac:dyDescent="0.35">
      <c r="A489" s="27" t="s">
        <v>1436</v>
      </c>
      <c r="B489" s="28">
        <v>1210</v>
      </c>
    </row>
    <row r="490" spans="1:2" x14ac:dyDescent="0.35">
      <c r="A490" s="27" t="s">
        <v>1481</v>
      </c>
      <c r="B490" s="28">
        <v>1618.98</v>
      </c>
    </row>
    <row r="491" spans="1:2" x14ac:dyDescent="0.35">
      <c r="A491" s="27" t="s">
        <v>1485</v>
      </c>
      <c r="B491" s="28">
        <v>18137.900000000001</v>
      </c>
    </row>
    <row r="492" spans="1:2" x14ac:dyDescent="0.35">
      <c r="A492" s="27" t="s">
        <v>1514</v>
      </c>
      <c r="B492" s="28">
        <v>7980.19</v>
      </c>
    </row>
    <row r="493" spans="1:2" x14ac:dyDescent="0.35">
      <c r="A493" s="27" t="s">
        <v>1519</v>
      </c>
      <c r="B493" s="28">
        <v>2904</v>
      </c>
    </row>
    <row r="494" spans="1:2" x14ac:dyDescent="0.35">
      <c r="A494" s="27" t="s">
        <v>1523</v>
      </c>
      <c r="B494" s="28">
        <v>1796.69</v>
      </c>
    </row>
    <row r="495" spans="1:2" x14ac:dyDescent="0.35">
      <c r="A495" s="27" t="s">
        <v>1534</v>
      </c>
      <c r="B495" s="28">
        <v>1034.55</v>
      </c>
    </row>
    <row r="496" spans="1:2" x14ac:dyDescent="0.35">
      <c r="A496" s="27" t="s">
        <v>1543</v>
      </c>
      <c r="B496" s="28">
        <v>-25159.93</v>
      </c>
    </row>
    <row r="497" spans="1:2" x14ac:dyDescent="0.35">
      <c r="A497" s="27" t="s">
        <v>1547</v>
      </c>
      <c r="B497" s="28">
        <v>2500</v>
      </c>
    </row>
    <row r="498" spans="1:2" x14ac:dyDescent="0.35">
      <c r="A498" s="27" t="s">
        <v>1576</v>
      </c>
      <c r="B498" s="28">
        <v>14717.02</v>
      </c>
    </row>
    <row r="499" spans="1:2" x14ac:dyDescent="0.35">
      <c r="A499" s="27" t="s">
        <v>1597</v>
      </c>
      <c r="B499" s="28">
        <v>3854.6499999999996</v>
      </c>
    </row>
    <row r="500" spans="1:2" x14ac:dyDescent="0.35">
      <c r="A500" s="27" t="s">
        <v>1632</v>
      </c>
      <c r="B500" s="28">
        <v>4976.83</v>
      </c>
    </row>
    <row r="501" spans="1:2" x14ac:dyDescent="0.35">
      <c r="A501" s="27" t="s">
        <v>1649</v>
      </c>
      <c r="B501" s="28">
        <v>6364.6</v>
      </c>
    </row>
    <row r="502" spans="1:2" x14ac:dyDescent="0.35">
      <c r="A502" s="27" t="s">
        <v>1661</v>
      </c>
      <c r="B502" s="28">
        <v>192</v>
      </c>
    </row>
    <row r="503" spans="1:2" x14ac:dyDescent="0.35">
      <c r="A503" s="27" t="s">
        <v>1759</v>
      </c>
      <c r="B503" s="28">
        <v>571.68000000000006</v>
      </c>
    </row>
    <row r="504" spans="1:2" x14ac:dyDescent="0.35">
      <c r="A504" s="27" t="s">
        <v>1781</v>
      </c>
      <c r="B504" s="28">
        <v>0</v>
      </c>
    </row>
    <row r="505" spans="1:2" x14ac:dyDescent="0.35">
      <c r="A505" s="27" t="s">
        <v>1794</v>
      </c>
      <c r="B505" s="28">
        <v>1408</v>
      </c>
    </row>
    <row r="506" spans="1:2" x14ac:dyDescent="0.35">
      <c r="A506" s="27" t="s">
        <v>1823</v>
      </c>
      <c r="B506" s="28">
        <v>4658.5</v>
      </c>
    </row>
    <row r="507" spans="1:2" x14ac:dyDescent="0.35">
      <c r="A507" s="27" t="s">
        <v>1825</v>
      </c>
      <c r="B507" s="28">
        <v>77.97</v>
      </c>
    </row>
    <row r="508" spans="1:2" x14ac:dyDescent="0.35">
      <c r="A508" s="27" t="s">
        <v>1832</v>
      </c>
      <c r="B508" s="28">
        <v>1721.53</v>
      </c>
    </row>
    <row r="509" spans="1:2" x14ac:dyDescent="0.35">
      <c r="A509" s="27" t="s">
        <v>1839</v>
      </c>
      <c r="B509" s="28">
        <v>80.010000000000005</v>
      </c>
    </row>
    <row r="510" spans="1:2" x14ac:dyDescent="0.35">
      <c r="A510" s="27" t="s">
        <v>1842</v>
      </c>
      <c r="B510" s="28">
        <v>2807.2</v>
      </c>
    </row>
    <row r="511" spans="1:2" x14ac:dyDescent="0.35">
      <c r="A511" s="27" t="s">
        <v>1858</v>
      </c>
      <c r="B511" s="28">
        <v>302.5</v>
      </c>
    </row>
    <row r="512" spans="1:2" x14ac:dyDescent="0.35">
      <c r="A512" s="27" t="s">
        <v>1895</v>
      </c>
      <c r="B512" s="28">
        <v>3775.2</v>
      </c>
    </row>
    <row r="513" spans="1:2" x14ac:dyDescent="0.35">
      <c r="A513" s="27" t="s">
        <v>1903</v>
      </c>
      <c r="B513" s="28">
        <v>24000</v>
      </c>
    </row>
    <row r="514" spans="1:2" x14ac:dyDescent="0.35">
      <c r="A514" s="27" t="s">
        <v>1911</v>
      </c>
      <c r="B514" s="28">
        <v>77772.66</v>
      </c>
    </row>
    <row r="515" spans="1:2" x14ac:dyDescent="0.35">
      <c r="A515" s="27" t="s">
        <v>1937</v>
      </c>
      <c r="B515" s="28">
        <v>2228.8200000000002</v>
      </c>
    </row>
    <row r="516" spans="1:2" x14ac:dyDescent="0.35">
      <c r="A516" s="27" t="s">
        <v>1939</v>
      </c>
      <c r="B516" s="28">
        <v>0</v>
      </c>
    </row>
    <row r="517" spans="1:2" x14ac:dyDescent="0.35">
      <c r="A517" s="27" t="s">
        <v>1941</v>
      </c>
      <c r="B517" s="28">
        <v>45153.08</v>
      </c>
    </row>
    <row r="518" spans="1:2" x14ac:dyDescent="0.35">
      <c r="A518" s="27" t="s">
        <v>1955</v>
      </c>
      <c r="B518" s="28">
        <v>16.380000000000003</v>
      </c>
    </row>
    <row r="519" spans="1:2" x14ac:dyDescent="0.35">
      <c r="A519" s="27" t="s">
        <v>1972</v>
      </c>
      <c r="B519" s="28">
        <v>673.97</v>
      </c>
    </row>
    <row r="520" spans="1:2" x14ac:dyDescent="0.35">
      <c r="A520" s="27" t="s">
        <v>1980</v>
      </c>
      <c r="B520" s="28">
        <v>3699.9</v>
      </c>
    </row>
    <row r="521" spans="1:2" x14ac:dyDescent="0.35">
      <c r="A521" s="27" t="s">
        <v>1992</v>
      </c>
      <c r="B521" s="28">
        <v>10879.33</v>
      </c>
    </row>
    <row r="522" spans="1:2" x14ac:dyDescent="0.35">
      <c r="A522" s="27" t="s">
        <v>2030</v>
      </c>
      <c r="B522" s="28">
        <v>38720</v>
      </c>
    </row>
    <row r="523" spans="1:2" x14ac:dyDescent="0.35">
      <c r="A523" s="27" t="s">
        <v>2039</v>
      </c>
      <c r="B523" s="28">
        <v>89</v>
      </c>
    </row>
    <row r="524" spans="1:2" x14ac:dyDescent="0.35">
      <c r="A524" s="27" t="s">
        <v>2117</v>
      </c>
      <c r="B524" s="28">
        <v>136.5</v>
      </c>
    </row>
    <row r="525" spans="1:2" x14ac:dyDescent="0.35">
      <c r="A525" s="27" t="s">
        <v>2124</v>
      </c>
      <c r="B525" s="28">
        <v>137.5</v>
      </c>
    </row>
    <row r="526" spans="1:2" x14ac:dyDescent="0.35">
      <c r="A526" s="27" t="s">
        <v>2138</v>
      </c>
      <c r="B526" s="28">
        <v>145.19999999999999</v>
      </c>
    </row>
    <row r="527" spans="1:2" x14ac:dyDescent="0.35">
      <c r="A527" s="27" t="s">
        <v>2157</v>
      </c>
      <c r="B527" s="28">
        <v>1781.2</v>
      </c>
    </row>
    <row r="528" spans="1:2" x14ac:dyDescent="0.35">
      <c r="A528" s="27" t="s">
        <v>2167</v>
      </c>
      <c r="B528" s="28">
        <v>170.61</v>
      </c>
    </row>
    <row r="529" spans="1:2" x14ac:dyDescent="0.35">
      <c r="A529" s="27" t="s">
        <v>2170</v>
      </c>
      <c r="B529" s="28">
        <v>3734.21</v>
      </c>
    </row>
    <row r="530" spans="1:2" x14ac:dyDescent="0.35">
      <c r="A530" s="27" t="s">
        <v>2172</v>
      </c>
      <c r="B530" s="28">
        <v>185.13</v>
      </c>
    </row>
    <row r="531" spans="1:2" x14ac:dyDescent="0.35">
      <c r="A531" s="27" t="s">
        <v>2191</v>
      </c>
      <c r="B531" s="28">
        <v>2597.5</v>
      </c>
    </row>
    <row r="532" spans="1:2" x14ac:dyDescent="0.35">
      <c r="A532" s="27" t="s">
        <v>2239</v>
      </c>
      <c r="B532" s="28">
        <v>224</v>
      </c>
    </row>
    <row r="533" spans="1:2" x14ac:dyDescent="0.35">
      <c r="A533" s="27" t="s">
        <v>2243</v>
      </c>
      <c r="B533" s="28">
        <v>233</v>
      </c>
    </row>
    <row r="534" spans="1:2" x14ac:dyDescent="0.35">
      <c r="A534" s="27" t="s">
        <v>2257</v>
      </c>
      <c r="B534" s="28">
        <v>5149.04</v>
      </c>
    </row>
    <row r="535" spans="1:2" x14ac:dyDescent="0.35">
      <c r="A535" s="27" t="s">
        <v>2267</v>
      </c>
      <c r="B535" s="28">
        <v>275</v>
      </c>
    </row>
    <row r="536" spans="1:2" x14ac:dyDescent="0.35">
      <c r="A536" s="27" t="s">
        <v>2274</v>
      </c>
      <c r="B536" s="28">
        <v>276</v>
      </c>
    </row>
    <row r="537" spans="1:2" x14ac:dyDescent="0.35">
      <c r="A537" s="27" t="s">
        <v>2297</v>
      </c>
      <c r="B537" s="28">
        <v>300</v>
      </c>
    </row>
    <row r="538" spans="1:2" x14ac:dyDescent="0.35">
      <c r="A538" s="27" t="s">
        <v>2300</v>
      </c>
      <c r="B538" s="28">
        <v>300</v>
      </c>
    </row>
    <row r="539" spans="1:2" x14ac:dyDescent="0.35">
      <c r="A539" s="27" t="s">
        <v>2307</v>
      </c>
      <c r="B539" s="28">
        <v>1250.4000000000001</v>
      </c>
    </row>
    <row r="540" spans="1:2" x14ac:dyDescent="0.35">
      <c r="A540" s="27" t="s">
        <v>2310</v>
      </c>
      <c r="B540" s="28">
        <v>8615.4</v>
      </c>
    </row>
    <row r="541" spans="1:2" x14ac:dyDescent="0.35">
      <c r="A541" s="27" t="s">
        <v>2319</v>
      </c>
      <c r="B541" s="28">
        <v>350.9</v>
      </c>
    </row>
    <row r="542" spans="1:2" x14ac:dyDescent="0.35">
      <c r="A542" s="27" t="s">
        <v>2321</v>
      </c>
      <c r="B542" s="28">
        <v>356.95</v>
      </c>
    </row>
    <row r="543" spans="1:2" x14ac:dyDescent="0.35">
      <c r="A543" s="27" t="s">
        <v>2326</v>
      </c>
      <c r="B543" s="28">
        <v>363</v>
      </c>
    </row>
    <row r="544" spans="1:2" x14ac:dyDescent="0.35">
      <c r="A544" s="27" t="s">
        <v>2334</v>
      </c>
      <c r="B544" s="28">
        <v>400</v>
      </c>
    </row>
    <row r="545" spans="1:2" x14ac:dyDescent="0.35">
      <c r="A545" s="27" t="s">
        <v>2337</v>
      </c>
      <c r="B545" s="28">
        <v>12286.5</v>
      </c>
    </row>
    <row r="546" spans="1:2" x14ac:dyDescent="0.35">
      <c r="A546" s="27" t="s">
        <v>2349</v>
      </c>
      <c r="B546" s="28">
        <v>2200</v>
      </c>
    </row>
    <row r="547" spans="1:2" x14ac:dyDescent="0.35">
      <c r="A547" s="27" t="s">
        <v>2352</v>
      </c>
      <c r="B547" s="28">
        <v>984.5</v>
      </c>
    </row>
    <row r="548" spans="1:2" x14ac:dyDescent="0.35">
      <c r="A548" s="27" t="s">
        <v>2362</v>
      </c>
      <c r="B548" s="28">
        <v>968</v>
      </c>
    </row>
    <row r="549" spans="1:2" x14ac:dyDescent="0.35">
      <c r="A549" s="27" t="s">
        <v>2364</v>
      </c>
      <c r="B549" s="28">
        <v>484</v>
      </c>
    </row>
    <row r="550" spans="1:2" x14ac:dyDescent="0.35">
      <c r="A550" s="27" t="s">
        <v>2367</v>
      </c>
      <c r="B550" s="28">
        <v>1985.61</v>
      </c>
    </row>
    <row r="551" spans="1:2" x14ac:dyDescent="0.35">
      <c r="A551" s="27" t="s">
        <v>2371</v>
      </c>
      <c r="B551" s="28">
        <v>496.1</v>
      </c>
    </row>
    <row r="552" spans="1:2" x14ac:dyDescent="0.35">
      <c r="A552" s="27" t="s">
        <v>2373</v>
      </c>
      <c r="B552" s="28">
        <v>764.68000000000006</v>
      </c>
    </row>
    <row r="553" spans="1:2" x14ac:dyDescent="0.35">
      <c r="A553" s="27" t="s">
        <v>2425</v>
      </c>
      <c r="B553" s="28">
        <v>595.32000000000005</v>
      </c>
    </row>
    <row r="554" spans="1:2" x14ac:dyDescent="0.35">
      <c r="A554" s="27" t="s">
        <v>2433</v>
      </c>
      <c r="B554" s="28">
        <v>605</v>
      </c>
    </row>
    <row r="555" spans="1:2" x14ac:dyDescent="0.35">
      <c r="A555" s="27" t="s">
        <v>2473</v>
      </c>
      <c r="B555" s="28">
        <v>816.67</v>
      </c>
    </row>
    <row r="556" spans="1:2" x14ac:dyDescent="0.35">
      <c r="A556" s="27" t="s">
        <v>2477</v>
      </c>
      <c r="B556" s="28">
        <v>818.02</v>
      </c>
    </row>
    <row r="557" spans="1:2" x14ac:dyDescent="0.35">
      <c r="A557" s="27" t="s">
        <v>2491</v>
      </c>
      <c r="B557" s="28">
        <v>907.5</v>
      </c>
    </row>
    <row r="558" spans="1:2" x14ac:dyDescent="0.35">
      <c r="A558" s="27" t="s">
        <v>2498</v>
      </c>
      <c r="B558" s="28">
        <v>7591</v>
      </c>
    </row>
    <row r="559" spans="1:2" x14ac:dyDescent="0.35">
      <c r="A559" s="27" t="s">
        <v>2501</v>
      </c>
      <c r="B559" s="28">
        <v>948.64</v>
      </c>
    </row>
    <row r="560" spans="1:2" x14ac:dyDescent="0.35">
      <c r="A560" s="27" t="s">
        <v>2517</v>
      </c>
      <c r="B560" s="28">
        <v>813.12</v>
      </c>
    </row>
    <row r="561" spans="1:2" x14ac:dyDescent="0.35">
      <c r="A561" s="27" t="s">
        <v>2523</v>
      </c>
      <c r="B561" s="28">
        <v>1059</v>
      </c>
    </row>
    <row r="562" spans="1:2" x14ac:dyDescent="0.35">
      <c r="A562" s="27" t="s">
        <v>2526</v>
      </c>
      <c r="B562" s="28">
        <v>5180.6100000000006</v>
      </c>
    </row>
    <row r="563" spans="1:2" x14ac:dyDescent="0.35">
      <c r="A563" s="27" t="s">
        <v>2540</v>
      </c>
      <c r="B563" s="28">
        <v>1119.25</v>
      </c>
    </row>
    <row r="564" spans="1:2" x14ac:dyDescent="0.35">
      <c r="A564" s="27" t="s">
        <v>2546</v>
      </c>
      <c r="B564" s="28">
        <v>1170.3</v>
      </c>
    </row>
    <row r="565" spans="1:2" x14ac:dyDescent="0.35">
      <c r="A565" s="27" t="s">
        <v>2549</v>
      </c>
      <c r="B565" s="28">
        <v>2370.8000000000002</v>
      </c>
    </row>
    <row r="566" spans="1:2" x14ac:dyDescent="0.35">
      <c r="A566" s="27" t="s">
        <v>2559</v>
      </c>
      <c r="B566" s="28">
        <v>1246.3</v>
      </c>
    </row>
    <row r="567" spans="1:2" x14ac:dyDescent="0.35">
      <c r="A567" s="27" t="s">
        <v>2567</v>
      </c>
      <c r="B567" s="28">
        <v>1300.76</v>
      </c>
    </row>
    <row r="568" spans="1:2" x14ac:dyDescent="0.35">
      <c r="A568" s="27" t="s">
        <v>2571</v>
      </c>
      <c r="B568" s="28">
        <v>5989.5</v>
      </c>
    </row>
    <row r="569" spans="1:2" x14ac:dyDescent="0.35">
      <c r="A569" s="27" t="s">
        <v>2580</v>
      </c>
      <c r="B569" s="28">
        <v>1442.93</v>
      </c>
    </row>
    <row r="570" spans="1:2" x14ac:dyDescent="0.35">
      <c r="A570" s="27" t="s">
        <v>2598</v>
      </c>
      <c r="B570" s="28">
        <v>1561.16</v>
      </c>
    </row>
    <row r="571" spans="1:2" x14ac:dyDescent="0.35">
      <c r="A571" s="27" t="s">
        <v>2607</v>
      </c>
      <c r="B571" s="28">
        <v>1470.49</v>
      </c>
    </row>
    <row r="572" spans="1:2" x14ac:dyDescent="0.35">
      <c r="A572" s="27" t="s">
        <v>2644</v>
      </c>
      <c r="B572" s="28">
        <v>1573</v>
      </c>
    </row>
    <row r="573" spans="1:2" x14ac:dyDescent="0.35">
      <c r="A573" s="27" t="s">
        <v>2697</v>
      </c>
      <c r="B573" s="28">
        <v>2062.31</v>
      </c>
    </row>
    <row r="574" spans="1:2" x14ac:dyDescent="0.35">
      <c r="A574" s="27" t="s">
        <v>2700</v>
      </c>
      <c r="B574" s="28">
        <v>8530.5</v>
      </c>
    </row>
    <row r="575" spans="1:2" x14ac:dyDescent="0.35">
      <c r="A575" s="27" t="s">
        <v>2716</v>
      </c>
      <c r="B575" s="28">
        <v>10666.29</v>
      </c>
    </row>
    <row r="576" spans="1:2" x14ac:dyDescent="0.35">
      <c r="A576" s="27" t="s">
        <v>2729</v>
      </c>
      <c r="B576" s="28">
        <v>2420</v>
      </c>
    </row>
    <row r="577" spans="1:2" x14ac:dyDescent="0.35">
      <c r="A577" s="27" t="s">
        <v>2752</v>
      </c>
      <c r="B577" s="28">
        <v>2711.61</v>
      </c>
    </row>
    <row r="578" spans="1:2" x14ac:dyDescent="0.35">
      <c r="A578" s="27" t="s">
        <v>2754</v>
      </c>
      <c r="B578" s="28">
        <v>2714.22</v>
      </c>
    </row>
    <row r="579" spans="1:2" x14ac:dyDescent="0.35">
      <c r="A579" s="27" t="s">
        <v>2759</v>
      </c>
      <c r="B579" s="28">
        <v>2783</v>
      </c>
    </row>
    <row r="580" spans="1:2" x14ac:dyDescent="0.35">
      <c r="A580" s="27" t="s">
        <v>2791</v>
      </c>
      <c r="B580" s="28">
        <v>6678</v>
      </c>
    </row>
    <row r="581" spans="1:2" x14ac:dyDescent="0.35">
      <c r="A581" s="27" t="s">
        <v>2804</v>
      </c>
      <c r="B581" s="28">
        <v>3746.16</v>
      </c>
    </row>
    <row r="582" spans="1:2" x14ac:dyDescent="0.35">
      <c r="A582" s="27" t="s">
        <v>2818</v>
      </c>
      <c r="B582" s="28">
        <v>7848.75</v>
      </c>
    </row>
    <row r="583" spans="1:2" x14ac:dyDescent="0.35">
      <c r="A583" s="27" t="s">
        <v>2830</v>
      </c>
      <c r="B583" s="28">
        <v>4174.5</v>
      </c>
    </row>
    <row r="584" spans="1:2" x14ac:dyDescent="0.35">
      <c r="A584" s="27" t="s">
        <v>2852</v>
      </c>
      <c r="B584" s="28">
        <v>5727</v>
      </c>
    </row>
    <row r="585" spans="1:2" x14ac:dyDescent="0.35">
      <c r="A585" s="27" t="s">
        <v>2859</v>
      </c>
      <c r="B585" s="28">
        <v>5000</v>
      </c>
    </row>
    <row r="586" spans="1:2" x14ac:dyDescent="0.35">
      <c r="A586" s="27" t="s">
        <v>2922</v>
      </c>
      <c r="B586" s="28">
        <v>726</v>
      </c>
    </row>
    <row r="587" spans="1:2" x14ac:dyDescent="0.35">
      <c r="A587" s="27" t="s">
        <v>2960</v>
      </c>
      <c r="B587" s="28">
        <v>5808</v>
      </c>
    </row>
    <row r="588" spans="1:2" x14ac:dyDescent="0.35">
      <c r="A588" s="27" t="s">
        <v>2968</v>
      </c>
      <c r="B588" s="28">
        <v>10350</v>
      </c>
    </row>
    <row r="589" spans="1:2" x14ac:dyDescent="0.35">
      <c r="A589" s="27" t="s">
        <v>2999</v>
      </c>
      <c r="B589" s="28">
        <v>192</v>
      </c>
    </row>
    <row r="590" spans="1:2" x14ac:dyDescent="0.35">
      <c r="A590" s="27" t="s">
        <v>3029</v>
      </c>
      <c r="B590" s="28">
        <v>6655</v>
      </c>
    </row>
    <row r="591" spans="1:2" x14ac:dyDescent="0.35">
      <c r="A591" s="27" t="s">
        <v>3042</v>
      </c>
      <c r="B591" s="28">
        <v>7108.75</v>
      </c>
    </row>
    <row r="592" spans="1:2" x14ac:dyDescent="0.35">
      <c r="A592" s="27" t="s">
        <v>3044</v>
      </c>
      <c r="B592" s="28">
        <v>7139</v>
      </c>
    </row>
    <row r="593" spans="1:2" x14ac:dyDescent="0.35">
      <c r="A593" s="27" t="s">
        <v>3059</v>
      </c>
      <c r="B593" s="28">
        <v>484</v>
      </c>
    </row>
    <row r="594" spans="1:2" x14ac:dyDescent="0.35">
      <c r="A594" s="27" t="s">
        <v>3061</v>
      </c>
      <c r="B594" s="28">
        <v>7247.9</v>
      </c>
    </row>
    <row r="595" spans="1:2" x14ac:dyDescent="0.35">
      <c r="A595" s="27" t="s">
        <v>3067</v>
      </c>
      <c r="B595" s="28">
        <v>14506.09</v>
      </c>
    </row>
    <row r="596" spans="1:2" x14ac:dyDescent="0.35">
      <c r="A596" s="27" t="s">
        <v>3074</v>
      </c>
      <c r="B596" s="28">
        <v>7680</v>
      </c>
    </row>
    <row r="597" spans="1:2" x14ac:dyDescent="0.35">
      <c r="A597" s="27" t="s">
        <v>3100</v>
      </c>
      <c r="B597" s="28">
        <v>7260</v>
      </c>
    </row>
    <row r="598" spans="1:2" x14ac:dyDescent="0.35">
      <c r="A598" s="27" t="s">
        <v>3138</v>
      </c>
      <c r="B598" s="28">
        <v>3967.24</v>
      </c>
    </row>
    <row r="599" spans="1:2" x14ac:dyDescent="0.35">
      <c r="A599" s="27" t="s">
        <v>3162</v>
      </c>
      <c r="B599" s="28">
        <v>10763</v>
      </c>
    </row>
    <row r="600" spans="1:2" x14ac:dyDescent="0.35">
      <c r="A600" s="27" t="s">
        <v>3171</v>
      </c>
      <c r="B600" s="28">
        <v>12000</v>
      </c>
    </row>
    <row r="601" spans="1:2" x14ac:dyDescent="0.35">
      <c r="A601" s="27" t="s">
        <v>3176</v>
      </c>
      <c r="B601" s="28">
        <v>500</v>
      </c>
    </row>
    <row r="602" spans="1:2" x14ac:dyDescent="0.35">
      <c r="A602" s="27" t="s">
        <v>3201</v>
      </c>
      <c r="B602" s="28">
        <v>12450.9</v>
      </c>
    </row>
    <row r="603" spans="1:2" x14ac:dyDescent="0.35">
      <c r="A603" s="27" t="s">
        <v>3204</v>
      </c>
      <c r="B603" s="28">
        <v>93555</v>
      </c>
    </row>
    <row r="604" spans="1:2" x14ac:dyDescent="0.35">
      <c r="A604" s="27" t="s">
        <v>3227</v>
      </c>
      <c r="B604" s="28">
        <v>17908</v>
      </c>
    </row>
    <row r="605" spans="1:2" x14ac:dyDescent="0.35">
      <c r="A605" s="27" t="s">
        <v>3232</v>
      </c>
      <c r="B605" s="28">
        <v>19202.7</v>
      </c>
    </row>
    <row r="606" spans="1:2" x14ac:dyDescent="0.35">
      <c r="A606" s="27" t="s">
        <v>3240</v>
      </c>
      <c r="B606" s="28">
        <v>1161.5999999999999</v>
      </c>
    </row>
    <row r="607" spans="1:2" x14ac:dyDescent="0.35">
      <c r="A607" s="27" t="s">
        <v>3271</v>
      </c>
      <c r="B607" s="28">
        <v>400</v>
      </c>
    </row>
    <row r="608" spans="1:2" x14ac:dyDescent="0.35">
      <c r="A608" s="27" t="s">
        <v>3274</v>
      </c>
      <c r="B608" s="28">
        <v>400</v>
      </c>
    </row>
    <row r="609" spans="1:2" x14ac:dyDescent="0.35">
      <c r="A609" s="27" t="s">
        <v>3287</v>
      </c>
      <c r="B609" s="28">
        <v>1500</v>
      </c>
    </row>
    <row r="610" spans="1:2" x14ac:dyDescent="0.35">
      <c r="A610" s="27" t="s">
        <v>3431</v>
      </c>
      <c r="B610" s="28">
        <v>5564.79</v>
      </c>
    </row>
    <row r="611" spans="1:2" x14ac:dyDescent="0.35">
      <c r="A611" s="27" t="s">
        <v>3459</v>
      </c>
      <c r="B611" s="28">
        <v>45862.63</v>
      </c>
    </row>
    <row r="612" spans="1:2" x14ac:dyDescent="0.35">
      <c r="A612" s="27" t="s">
        <v>3466</v>
      </c>
      <c r="B612" s="28">
        <v>40515.040000000001</v>
      </c>
    </row>
    <row r="613" spans="1:2" x14ac:dyDescent="0.35">
      <c r="A613" s="27" t="s">
        <v>3470</v>
      </c>
      <c r="B613" s="28">
        <v>40126.89</v>
      </c>
    </row>
    <row r="614" spans="1:2" x14ac:dyDescent="0.35">
      <c r="A614" s="27" t="s">
        <v>3494</v>
      </c>
      <c r="B614" s="28">
        <v>18113.7</v>
      </c>
    </row>
    <row r="615" spans="1:2" x14ac:dyDescent="0.35">
      <c r="A615" s="27" t="s">
        <v>3496</v>
      </c>
      <c r="B615" s="28">
        <v>18089.5</v>
      </c>
    </row>
    <row r="616" spans="1:2" x14ac:dyDescent="0.35">
      <c r="A616" s="27" t="s">
        <v>3499</v>
      </c>
      <c r="B616" s="28">
        <v>18089.5</v>
      </c>
    </row>
    <row r="617" spans="1:2" x14ac:dyDescent="0.35">
      <c r="A617" s="27" t="s">
        <v>3503</v>
      </c>
      <c r="B617" s="28">
        <v>18029</v>
      </c>
    </row>
    <row r="618" spans="1:2" x14ac:dyDescent="0.35">
      <c r="A618" s="27" t="s">
        <v>3508</v>
      </c>
      <c r="B618" s="28">
        <v>17652.689999999999</v>
      </c>
    </row>
    <row r="619" spans="1:2" x14ac:dyDescent="0.35">
      <c r="A619" s="27" t="s">
        <v>3514</v>
      </c>
      <c r="B619" s="28">
        <v>17242.5</v>
      </c>
    </row>
    <row r="620" spans="1:2" x14ac:dyDescent="0.35">
      <c r="A620" s="27" t="s">
        <v>3516</v>
      </c>
      <c r="B620" s="28">
        <v>18255.760000000002</v>
      </c>
    </row>
    <row r="621" spans="1:2" x14ac:dyDescent="0.35">
      <c r="A621" s="27" t="s">
        <v>3518</v>
      </c>
      <c r="B621" s="28">
        <v>16940</v>
      </c>
    </row>
    <row r="622" spans="1:2" x14ac:dyDescent="0.35">
      <c r="A622" s="27" t="s">
        <v>3521</v>
      </c>
      <c r="B622" s="28">
        <v>16125</v>
      </c>
    </row>
    <row r="623" spans="1:2" x14ac:dyDescent="0.35">
      <c r="A623" s="27" t="s">
        <v>3526</v>
      </c>
      <c r="B623" s="28">
        <v>14386.9</v>
      </c>
    </row>
    <row r="624" spans="1:2" x14ac:dyDescent="0.35">
      <c r="A624" s="27" t="s">
        <v>3533</v>
      </c>
      <c r="B624" s="28">
        <v>12577.95</v>
      </c>
    </row>
    <row r="625" spans="1:2" x14ac:dyDescent="0.35">
      <c r="A625" s="27" t="s">
        <v>3537</v>
      </c>
      <c r="B625" s="28">
        <v>11993.52</v>
      </c>
    </row>
    <row r="626" spans="1:2" x14ac:dyDescent="0.35">
      <c r="A626" s="27" t="s">
        <v>3542</v>
      </c>
      <c r="B626" s="28">
        <v>11228.8</v>
      </c>
    </row>
    <row r="627" spans="1:2" x14ac:dyDescent="0.35">
      <c r="A627" s="27" t="s">
        <v>3548</v>
      </c>
      <c r="B627" s="28">
        <v>10877.9</v>
      </c>
    </row>
    <row r="628" spans="1:2" x14ac:dyDescent="0.35">
      <c r="A628" s="27" t="s">
        <v>3557</v>
      </c>
      <c r="B628" s="28">
        <v>10200</v>
      </c>
    </row>
    <row r="629" spans="1:2" x14ac:dyDescent="0.35">
      <c r="A629" s="27" t="s">
        <v>3562</v>
      </c>
      <c r="B629" s="28">
        <v>9680</v>
      </c>
    </row>
    <row r="630" spans="1:2" x14ac:dyDescent="0.35">
      <c r="A630" s="27" t="s">
        <v>3567</v>
      </c>
      <c r="B630" s="28">
        <v>1985.26</v>
      </c>
    </row>
    <row r="631" spans="1:2" x14ac:dyDescent="0.35">
      <c r="A631" s="27" t="s">
        <v>3580</v>
      </c>
      <c r="B631" s="28">
        <v>7260</v>
      </c>
    </row>
    <row r="632" spans="1:2" x14ac:dyDescent="0.35">
      <c r="A632" s="27" t="s">
        <v>3582</v>
      </c>
      <c r="B632" s="28">
        <v>7260</v>
      </c>
    </row>
    <row r="633" spans="1:2" x14ac:dyDescent="0.35">
      <c r="A633" s="27" t="s">
        <v>3587</v>
      </c>
      <c r="B633" s="28">
        <v>7260</v>
      </c>
    </row>
    <row r="634" spans="1:2" x14ac:dyDescent="0.35">
      <c r="A634" s="27" t="s">
        <v>3600</v>
      </c>
      <c r="B634" s="28">
        <v>21164.29</v>
      </c>
    </row>
    <row r="635" spans="1:2" x14ac:dyDescent="0.35">
      <c r="A635" s="27" t="s">
        <v>3605</v>
      </c>
      <c r="B635" s="28">
        <v>7169.25</v>
      </c>
    </row>
    <row r="636" spans="1:2" x14ac:dyDescent="0.35">
      <c r="A636" s="27" t="s">
        <v>3607</v>
      </c>
      <c r="B636" s="28">
        <v>7139</v>
      </c>
    </row>
    <row r="637" spans="1:2" x14ac:dyDescent="0.35">
      <c r="A637" s="27" t="s">
        <v>3609</v>
      </c>
      <c r="B637" s="28">
        <v>7047.62</v>
      </c>
    </row>
    <row r="638" spans="1:2" x14ac:dyDescent="0.35">
      <c r="A638" s="27" t="s">
        <v>3621</v>
      </c>
      <c r="B638" s="28">
        <v>7460.69</v>
      </c>
    </row>
    <row r="639" spans="1:2" x14ac:dyDescent="0.35">
      <c r="A639" s="27" t="s">
        <v>3637</v>
      </c>
      <c r="B639" s="28">
        <v>6402</v>
      </c>
    </row>
    <row r="640" spans="1:2" x14ac:dyDescent="0.35">
      <c r="A640" s="27" t="s">
        <v>3641</v>
      </c>
      <c r="B640" s="28">
        <v>6352.2</v>
      </c>
    </row>
    <row r="641" spans="1:2" x14ac:dyDescent="0.35">
      <c r="A641" s="27" t="s">
        <v>3644</v>
      </c>
      <c r="B641" s="28">
        <v>6267.8</v>
      </c>
    </row>
    <row r="642" spans="1:2" x14ac:dyDescent="0.35">
      <c r="A642" s="27" t="s">
        <v>3649</v>
      </c>
      <c r="B642" s="28">
        <v>6171</v>
      </c>
    </row>
    <row r="643" spans="1:2" x14ac:dyDescent="0.35">
      <c r="A643" s="27" t="s">
        <v>3656</v>
      </c>
      <c r="B643" s="28">
        <v>5996.08</v>
      </c>
    </row>
    <row r="644" spans="1:2" x14ac:dyDescent="0.35">
      <c r="A644" s="27" t="s">
        <v>3660</v>
      </c>
      <c r="B644" s="28">
        <v>5910.85</v>
      </c>
    </row>
    <row r="645" spans="1:2" x14ac:dyDescent="0.35">
      <c r="A645" s="27" t="s">
        <v>3662</v>
      </c>
      <c r="B645" s="28">
        <v>7257.89</v>
      </c>
    </row>
    <row r="646" spans="1:2" x14ac:dyDescent="0.35">
      <c r="A646" s="27" t="s">
        <v>3667</v>
      </c>
      <c r="B646" s="28">
        <v>5808</v>
      </c>
    </row>
    <row r="647" spans="1:2" x14ac:dyDescent="0.35">
      <c r="A647" s="27" t="s">
        <v>3678</v>
      </c>
      <c r="B647" s="28">
        <v>5438.95</v>
      </c>
    </row>
    <row r="648" spans="1:2" x14ac:dyDescent="0.35">
      <c r="A648" s="27" t="s">
        <v>3691</v>
      </c>
      <c r="B648" s="28">
        <v>5043.05</v>
      </c>
    </row>
    <row r="649" spans="1:2" x14ac:dyDescent="0.35">
      <c r="A649" s="27" t="s">
        <v>3699</v>
      </c>
      <c r="B649" s="28">
        <v>4932.08</v>
      </c>
    </row>
    <row r="650" spans="1:2" x14ac:dyDescent="0.35">
      <c r="A650" s="27" t="s">
        <v>3702</v>
      </c>
      <c r="B650" s="28">
        <v>4579.8500000000004</v>
      </c>
    </row>
    <row r="651" spans="1:2" x14ac:dyDescent="0.35">
      <c r="A651" s="27" t="s">
        <v>3707</v>
      </c>
      <c r="B651" s="28">
        <v>4434.6499999999996</v>
      </c>
    </row>
    <row r="652" spans="1:2" x14ac:dyDescent="0.35">
      <c r="A652" s="27" t="s">
        <v>3710</v>
      </c>
      <c r="B652" s="28">
        <v>4322.68</v>
      </c>
    </row>
    <row r="653" spans="1:2" x14ac:dyDescent="0.35">
      <c r="A653" s="27" t="s">
        <v>3720</v>
      </c>
      <c r="B653" s="28">
        <v>4000.01</v>
      </c>
    </row>
    <row r="654" spans="1:2" x14ac:dyDescent="0.35">
      <c r="A654" s="27" t="s">
        <v>3723</v>
      </c>
      <c r="B654" s="28">
        <v>4000</v>
      </c>
    </row>
    <row r="655" spans="1:2" x14ac:dyDescent="0.35">
      <c r="A655" s="27" t="s">
        <v>3725</v>
      </c>
      <c r="B655" s="28">
        <v>3985</v>
      </c>
    </row>
    <row r="656" spans="1:2" x14ac:dyDescent="0.35">
      <c r="A656" s="27" t="s">
        <v>3732</v>
      </c>
      <c r="B656" s="28">
        <v>3781.65</v>
      </c>
    </row>
    <row r="657" spans="1:2" x14ac:dyDescent="0.35">
      <c r="A657" s="27" t="s">
        <v>3750</v>
      </c>
      <c r="B657" s="28">
        <v>3630</v>
      </c>
    </row>
    <row r="658" spans="1:2" x14ac:dyDescent="0.35">
      <c r="A658" s="27" t="s">
        <v>3760</v>
      </c>
      <c r="B658" s="28">
        <v>3630</v>
      </c>
    </row>
    <row r="659" spans="1:2" x14ac:dyDescent="0.35">
      <c r="A659" s="27" t="s">
        <v>3762</v>
      </c>
      <c r="B659" s="28">
        <v>8115.4699999999993</v>
      </c>
    </row>
    <row r="660" spans="1:2" x14ac:dyDescent="0.35">
      <c r="A660" s="27" t="s">
        <v>3767</v>
      </c>
      <c r="B660" s="28">
        <v>3816.34</v>
      </c>
    </row>
    <row r="661" spans="1:2" x14ac:dyDescent="0.35">
      <c r="A661" s="27" t="s">
        <v>3773</v>
      </c>
      <c r="B661" s="28">
        <v>6655</v>
      </c>
    </row>
    <row r="662" spans="1:2" x14ac:dyDescent="0.35">
      <c r="A662" s="27" t="s">
        <v>3800</v>
      </c>
      <c r="B662" s="28">
        <v>3478.7599999999998</v>
      </c>
    </row>
    <row r="663" spans="1:2" x14ac:dyDescent="0.35">
      <c r="A663" s="27" t="s">
        <v>3804</v>
      </c>
      <c r="B663" s="28">
        <v>2864.12</v>
      </c>
    </row>
    <row r="664" spans="1:2" x14ac:dyDescent="0.35">
      <c r="A664" s="27" t="s">
        <v>3822</v>
      </c>
      <c r="B664" s="28">
        <v>2500</v>
      </c>
    </row>
    <row r="665" spans="1:2" x14ac:dyDescent="0.35">
      <c r="A665" s="27" t="s">
        <v>3824</v>
      </c>
      <c r="B665" s="28">
        <v>5373.79</v>
      </c>
    </row>
    <row r="666" spans="1:2" x14ac:dyDescent="0.35">
      <c r="A666" s="27" t="s">
        <v>3833</v>
      </c>
      <c r="B666" s="28">
        <v>2383.6999999999998</v>
      </c>
    </row>
    <row r="667" spans="1:2" x14ac:dyDescent="0.35">
      <c r="A667" s="27" t="s">
        <v>3838</v>
      </c>
      <c r="B667" s="28">
        <v>2259.6799999999998</v>
      </c>
    </row>
    <row r="668" spans="1:2" x14ac:dyDescent="0.35">
      <c r="A668" s="27" t="s">
        <v>3841</v>
      </c>
      <c r="B668" s="28">
        <v>2192.77</v>
      </c>
    </row>
    <row r="669" spans="1:2" x14ac:dyDescent="0.35">
      <c r="A669" s="27" t="s">
        <v>3848</v>
      </c>
      <c r="B669" s="28">
        <v>2081.1999999999998</v>
      </c>
    </row>
    <row r="670" spans="1:2" x14ac:dyDescent="0.35">
      <c r="A670" s="27" t="s">
        <v>3860</v>
      </c>
      <c r="B670" s="28">
        <v>2000</v>
      </c>
    </row>
    <row r="671" spans="1:2" x14ac:dyDescent="0.35">
      <c r="A671" s="27" t="s">
        <v>3862</v>
      </c>
      <c r="B671" s="28">
        <v>2000</v>
      </c>
    </row>
    <row r="672" spans="1:2" x14ac:dyDescent="0.35">
      <c r="A672" s="27" t="s">
        <v>3876</v>
      </c>
      <c r="B672" s="28">
        <v>4681.8500000000004</v>
      </c>
    </row>
    <row r="673" spans="1:2" x14ac:dyDescent="0.35">
      <c r="A673" s="27" t="s">
        <v>3880</v>
      </c>
      <c r="B673" s="28">
        <v>1760</v>
      </c>
    </row>
    <row r="674" spans="1:2" x14ac:dyDescent="0.35">
      <c r="A674" s="27" t="s">
        <v>3886</v>
      </c>
      <c r="B674" s="28">
        <v>3631.8</v>
      </c>
    </row>
    <row r="675" spans="1:2" x14ac:dyDescent="0.35">
      <c r="A675" s="27" t="s">
        <v>3895</v>
      </c>
      <c r="B675" s="28">
        <v>1543.27</v>
      </c>
    </row>
    <row r="676" spans="1:2" x14ac:dyDescent="0.35">
      <c r="A676" s="27" t="s">
        <v>3900</v>
      </c>
      <c r="B676" s="28">
        <v>1525.32</v>
      </c>
    </row>
    <row r="677" spans="1:2" x14ac:dyDescent="0.35">
      <c r="A677" s="27" t="s">
        <v>3903</v>
      </c>
      <c r="B677" s="28">
        <v>1512.5</v>
      </c>
    </row>
    <row r="678" spans="1:2" x14ac:dyDescent="0.35">
      <c r="A678" s="27" t="s">
        <v>3909</v>
      </c>
      <c r="B678" s="28">
        <v>1500</v>
      </c>
    </row>
    <row r="679" spans="1:2" x14ac:dyDescent="0.35">
      <c r="A679" s="27" t="s">
        <v>3912</v>
      </c>
      <c r="B679" s="28">
        <v>1500</v>
      </c>
    </row>
    <row r="680" spans="1:2" x14ac:dyDescent="0.35">
      <c r="A680" s="27" t="s">
        <v>3919</v>
      </c>
      <c r="B680" s="28">
        <v>1452</v>
      </c>
    </row>
    <row r="681" spans="1:2" x14ac:dyDescent="0.35">
      <c r="A681" s="27" t="s">
        <v>3960</v>
      </c>
      <c r="B681" s="28">
        <v>2292.52</v>
      </c>
    </row>
    <row r="682" spans="1:2" x14ac:dyDescent="0.35">
      <c r="A682" s="27" t="s">
        <v>3988</v>
      </c>
      <c r="B682" s="28">
        <v>8722.9</v>
      </c>
    </row>
    <row r="683" spans="1:2" x14ac:dyDescent="0.35">
      <c r="A683" s="27" t="s">
        <v>4000</v>
      </c>
      <c r="B683" s="28">
        <v>1064.8</v>
      </c>
    </row>
    <row r="684" spans="1:2" x14ac:dyDescent="0.35">
      <c r="A684" s="27" t="s">
        <v>4003</v>
      </c>
      <c r="B684" s="28">
        <v>1064.8</v>
      </c>
    </row>
    <row r="685" spans="1:2" x14ac:dyDescent="0.35">
      <c r="A685" s="27" t="s">
        <v>4005</v>
      </c>
      <c r="B685" s="28">
        <v>1060.44</v>
      </c>
    </row>
    <row r="686" spans="1:2" x14ac:dyDescent="0.35">
      <c r="A686" s="27" t="s">
        <v>4007</v>
      </c>
      <c r="B686" s="28">
        <v>1931.1599999999999</v>
      </c>
    </row>
    <row r="687" spans="1:2" x14ac:dyDescent="0.35">
      <c r="A687" s="27" t="s">
        <v>4043</v>
      </c>
      <c r="B687" s="28">
        <v>968</v>
      </c>
    </row>
    <row r="688" spans="1:2" x14ac:dyDescent="0.35">
      <c r="A688" s="27" t="s">
        <v>4063</v>
      </c>
      <c r="B688" s="28">
        <v>1760</v>
      </c>
    </row>
    <row r="689" spans="1:2" x14ac:dyDescent="0.35">
      <c r="A689" s="27" t="s">
        <v>4088</v>
      </c>
      <c r="B689" s="28">
        <v>18976.32</v>
      </c>
    </row>
    <row r="690" spans="1:2" x14ac:dyDescent="0.35">
      <c r="A690" s="27" t="s">
        <v>4097</v>
      </c>
      <c r="B690" s="28">
        <v>809.49</v>
      </c>
    </row>
    <row r="691" spans="1:2" x14ac:dyDescent="0.35">
      <c r="A691" s="27" t="s">
        <v>4119</v>
      </c>
      <c r="B691" s="28">
        <v>999.46</v>
      </c>
    </row>
    <row r="692" spans="1:2" x14ac:dyDescent="0.35">
      <c r="A692" s="27" t="s">
        <v>4123</v>
      </c>
      <c r="B692" s="28">
        <v>720</v>
      </c>
    </row>
    <row r="693" spans="1:2" x14ac:dyDescent="0.35">
      <c r="A693" s="27" t="s">
        <v>4179</v>
      </c>
      <c r="B693" s="28">
        <v>550</v>
      </c>
    </row>
    <row r="694" spans="1:2" x14ac:dyDescent="0.35">
      <c r="A694" s="27" t="s">
        <v>4184</v>
      </c>
      <c r="B694" s="28">
        <v>544.5</v>
      </c>
    </row>
    <row r="695" spans="1:2" x14ac:dyDescent="0.35">
      <c r="A695" s="27" t="s">
        <v>4198</v>
      </c>
      <c r="B695" s="28">
        <v>526.35</v>
      </c>
    </row>
    <row r="696" spans="1:2" x14ac:dyDescent="0.35">
      <c r="A696" s="27" t="s">
        <v>4205</v>
      </c>
      <c r="B696" s="28">
        <v>3472.7</v>
      </c>
    </row>
    <row r="697" spans="1:2" x14ac:dyDescent="0.35">
      <c r="A697" s="27" t="s">
        <v>4209</v>
      </c>
      <c r="B697" s="28">
        <v>500</v>
      </c>
    </row>
    <row r="698" spans="1:2" x14ac:dyDescent="0.35">
      <c r="A698" s="27" t="s">
        <v>4226</v>
      </c>
      <c r="B698" s="28">
        <v>484</v>
      </c>
    </row>
    <row r="699" spans="1:2" x14ac:dyDescent="0.35">
      <c r="A699" s="27" t="s">
        <v>4228</v>
      </c>
      <c r="B699" s="28">
        <v>484</v>
      </c>
    </row>
    <row r="700" spans="1:2" x14ac:dyDescent="0.35">
      <c r="A700" s="27" t="s">
        <v>4231</v>
      </c>
      <c r="B700" s="28">
        <v>925.58999999999992</v>
      </c>
    </row>
    <row r="701" spans="1:2" x14ac:dyDescent="0.35">
      <c r="A701" s="27" t="s">
        <v>4252</v>
      </c>
      <c r="B701" s="28">
        <v>440</v>
      </c>
    </row>
    <row r="702" spans="1:2" x14ac:dyDescent="0.35">
      <c r="A702" s="27" t="s">
        <v>4264</v>
      </c>
      <c r="B702" s="28">
        <v>282.44</v>
      </c>
    </row>
    <row r="703" spans="1:2" x14ac:dyDescent="0.35">
      <c r="A703" s="27" t="s">
        <v>4266</v>
      </c>
      <c r="B703" s="28">
        <v>423.5</v>
      </c>
    </row>
    <row r="704" spans="1:2" x14ac:dyDescent="0.35">
      <c r="A704" s="27" t="s">
        <v>4275</v>
      </c>
      <c r="B704" s="28">
        <v>400</v>
      </c>
    </row>
    <row r="705" spans="1:2" x14ac:dyDescent="0.35">
      <c r="A705" s="27" t="s">
        <v>4287</v>
      </c>
      <c r="B705" s="28">
        <v>389.62</v>
      </c>
    </row>
    <row r="706" spans="1:2" x14ac:dyDescent="0.35">
      <c r="A706" s="27" t="s">
        <v>4292</v>
      </c>
      <c r="B706" s="28">
        <v>387.2</v>
      </c>
    </row>
    <row r="707" spans="1:2" x14ac:dyDescent="0.35">
      <c r="A707" s="27" t="s">
        <v>4297</v>
      </c>
      <c r="B707" s="28">
        <v>379.94</v>
      </c>
    </row>
    <row r="708" spans="1:2" x14ac:dyDescent="0.35">
      <c r="A708" s="27" t="s">
        <v>4307</v>
      </c>
      <c r="B708" s="28">
        <v>360</v>
      </c>
    </row>
    <row r="709" spans="1:2" x14ac:dyDescent="0.35">
      <c r="A709" s="27" t="s">
        <v>4313</v>
      </c>
      <c r="B709" s="28">
        <v>350</v>
      </c>
    </row>
    <row r="710" spans="1:2" x14ac:dyDescent="0.35">
      <c r="A710" s="27" t="s">
        <v>4323</v>
      </c>
      <c r="B710" s="28">
        <v>337.28</v>
      </c>
    </row>
    <row r="711" spans="1:2" x14ac:dyDescent="0.35">
      <c r="A711" s="27" t="s">
        <v>4341</v>
      </c>
      <c r="B711" s="28">
        <v>310.37</v>
      </c>
    </row>
    <row r="712" spans="1:2" x14ac:dyDescent="0.35">
      <c r="A712" s="27" t="s">
        <v>4348</v>
      </c>
      <c r="B712" s="28">
        <v>302.5</v>
      </c>
    </row>
    <row r="713" spans="1:2" x14ac:dyDescent="0.35">
      <c r="A713" s="27" t="s">
        <v>4356</v>
      </c>
      <c r="B713" s="28">
        <v>298.82</v>
      </c>
    </row>
    <row r="714" spans="1:2" x14ac:dyDescent="0.35">
      <c r="A714" s="27" t="s">
        <v>4361</v>
      </c>
      <c r="B714" s="28">
        <v>501.86</v>
      </c>
    </row>
    <row r="715" spans="1:2" x14ac:dyDescent="0.35">
      <c r="A715" s="27" t="s">
        <v>4381</v>
      </c>
      <c r="B715" s="28">
        <v>338.8</v>
      </c>
    </row>
    <row r="716" spans="1:2" x14ac:dyDescent="0.35">
      <c r="A716" s="27" t="s">
        <v>4401</v>
      </c>
      <c r="B716" s="28">
        <v>512</v>
      </c>
    </row>
    <row r="717" spans="1:2" x14ac:dyDescent="0.35">
      <c r="A717" s="27" t="s">
        <v>4432</v>
      </c>
      <c r="B717" s="28">
        <v>225</v>
      </c>
    </row>
    <row r="718" spans="1:2" x14ac:dyDescent="0.35">
      <c r="A718" s="27" t="s">
        <v>4435</v>
      </c>
      <c r="B718" s="28">
        <v>221</v>
      </c>
    </row>
    <row r="719" spans="1:2" x14ac:dyDescent="0.35">
      <c r="A719" s="27" t="s">
        <v>4438</v>
      </c>
      <c r="B719" s="28">
        <v>728.56</v>
      </c>
    </row>
    <row r="720" spans="1:2" x14ac:dyDescent="0.35">
      <c r="A720" s="27" t="s">
        <v>4447</v>
      </c>
      <c r="B720" s="28">
        <v>216.67</v>
      </c>
    </row>
    <row r="721" spans="1:2" x14ac:dyDescent="0.35">
      <c r="A721" s="27" t="s">
        <v>4466</v>
      </c>
      <c r="B721" s="28">
        <v>670</v>
      </c>
    </row>
    <row r="722" spans="1:2" x14ac:dyDescent="0.35">
      <c r="A722" s="27" t="s">
        <v>4488</v>
      </c>
      <c r="B722" s="28">
        <v>180</v>
      </c>
    </row>
    <row r="723" spans="1:2" x14ac:dyDescent="0.35">
      <c r="A723" s="27" t="s">
        <v>4513</v>
      </c>
      <c r="B723" s="28">
        <v>156.47</v>
      </c>
    </row>
    <row r="724" spans="1:2" x14ac:dyDescent="0.35">
      <c r="A724" s="27" t="s">
        <v>4533</v>
      </c>
      <c r="B724" s="28">
        <v>726</v>
      </c>
    </row>
    <row r="725" spans="1:2" x14ac:dyDescent="0.35">
      <c r="A725" s="27" t="s">
        <v>4541</v>
      </c>
      <c r="B725" s="28">
        <v>140</v>
      </c>
    </row>
    <row r="726" spans="1:2" x14ac:dyDescent="0.35">
      <c r="A726" s="27" t="s">
        <v>4543</v>
      </c>
      <c r="B726" s="28">
        <v>139.72999999999999</v>
      </c>
    </row>
    <row r="727" spans="1:2" x14ac:dyDescent="0.35">
      <c r="A727" s="27" t="s">
        <v>4599</v>
      </c>
      <c r="B727" s="28">
        <v>102.82</v>
      </c>
    </row>
    <row r="728" spans="1:2" x14ac:dyDescent="0.35">
      <c r="A728" s="27" t="s">
        <v>4607</v>
      </c>
      <c r="B728" s="28">
        <v>100</v>
      </c>
    </row>
    <row r="729" spans="1:2" x14ac:dyDescent="0.35">
      <c r="A729" s="27" t="s">
        <v>4609</v>
      </c>
      <c r="B729" s="28">
        <v>100</v>
      </c>
    </row>
    <row r="730" spans="1:2" x14ac:dyDescent="0.35">
      <c r="A730" s="27" t="s">
        <v>4611</v>
      </c>
      <c r="B730" s="28">
        <v>100</v>
      </c>
    </row>
    <row r="731" spans="1:2" x14ac:dyDescent="0.35">
      <c r="A731" s="27" t="s">
        <v>4633</v>
      </c>
      <c r="B731" s="28">
        <v>290.39999999999998</v>
      </c>
    </row>
    <row r="732" spans="1:2" x14ac:dyDescent="0.35">
      <c r="A732" s="27" t="s">
        <v>4641</v>
      </c>
      <c r="B732" s="28">
        <v>87.72</v>
      </c>
    </row>
    <row r="733" spans="1:2" x14ac:dyDescent="0.35">
      <c r="A733" s="27" t="s">
        <v>4663</v>
      </c>
      <c r="B733" s="28">
        <v>75.02</v>
      </c>
    </row>
    <row r="734" spans="1:2" x14ac:dyDescent="0.35">
      <c r="A734" s="27" t="s">
        <v>4677</v>
      </c>
      <c r="B734" s="28">
        <v>69</v>
      </c>
    </row>
    <row r="735" spans="1:2" x14ac:dyDescent="0.35">
      <c r="A735" s="27" t="s">
        <v>4705</v>
      </c>
      <c r="B735" s="28">
        <v>55.23</v>
      </c>
    </row>
    <row r="736" spans="1:2" x14ac:dyDescent="0.35">
      <c r="A736" s="27" t="s">
        <v>4937</v>
      </c>
      <c r="B736" s="28">
        <v>6715.5</v>
      </c>
    </row>
    <row r="737" spans="1:2" x14ac:dyDescent="0.35">
      <c r="A737" s="27" t="s">
        <v>4940</v>
      </c>
      <c r="B737" s="28">
        <v>100</v>
      </c>
    </row>
    <row r="738" spans="1:2" x14ac:dyDescent="0.35">
      <c r="A738" s="27" t="s">
        <v>4947</v>
      </c>
      <c r="B738" s="28">
        <v>3843.4300000000003</v>
      </c>
    </row>
    <row r="739" spans="1:2" x14ac:dyDescent="0.35">
      <c r="A739" s="27" t="s">
        <v>4963</v>
      </c>
      <c r="B739" s="28">
        <v>19144.099999999999</v>
      </c>
    </row>
    <row r="740" spans="1:2" x14ac:dyDescent="0.35">
      <c r="A740" s="27" t="s">
        <v>4975</v>
      </c>
      <c r="B740" s="28">
        <v>0</v>
      </c>
    </row>
    <row r="741" spans="1:2" x14ac:dyDescent="0.35">
      <c r="A741" s="27" t="s">
        <v>4981</v>
      </c>
      <c r="B741" s="28">
        <v>990</v>
      </c>
    </row>
    <row r="742" spans="1:2" x14ac:dyDescent="0.35">
      <c r="A742" s="27" t="s">
        <v>4983</v>
      </c>
      <c r="B742" s="28">
        <v>600</v>
      </c>
    </row>
    <row r="743" spans="1:2" x14ac:dyDescent="0.35">
      <c r="A743" s="27" t="s">
        <v>5008</v>
      </c>
      <c r="B743" s="28">
        <v>10890</v>
      </c>
    </row>
    <row r="744" spans="1:2" x14ac:dyDescent="0.35">
      <c r="A744" s="27" t="s">
        <v>5086</v>
      </c>
      <c r="B744" s="28">
        <v>6413</v>
      </c>
    </row>
    <row r="745" spans="1:2" x14ac:dyDescent="0.35">
      <c r="A745" s="27" t="s">
        <v>5103</v>
      </c>
      <c r="B745" s="28">
        <v>1512.5</v>
      </c>
    </row>
    <row r="746" spans="1:2" x14ac:dyDescent="0.35">
      <c r="A746" s="27" t="s">
        <v>5111</v>
      </c>
      <c r="B746" s="28">
        <v>5840.69</v>
      </c>
    </row>
    <row r="747" spans="1:2" x14ac:dyDescent="0.35">
      <c r="A747" s="27" t="s">
        <v>5145</v>
      </c>
      <c r="B747" s="28">
        <v>6594.5</v>
      </c>
    </row>
    <row r="748" spans="1:2" x14ac:dyDescent="0.35">
      <c r="A748" s="27" t="s">
        <v>5167</v>
      </c>
      <c r="B748" s="28">
        <v>3352.5</v>
      </c>
    </row>
    <row r="749" spans="1:2" x14ac:dyDescent="0.35">
      <c r="A749" s="27" t="s">
        <v>5202</v>
      </c>
      <c r="B749" s="28">
        <v>3580</v>
      </c>
    </row>
    <row r="750" spans="1:2" x14ac:dyDescent="0.35">
      <c r="A750" s="27" t="s">
        <v>5204</v>
      </c>
      <c r="B750" s="28">
        <v>3448.5</v>
      </c>
    </row>
    <row r="751" spans="1:2" x14ac:dyDescent="0.35">
      <c r="A751" s="27" t="s">
        <v>5211</v>
      </c>
      <c r="B751" s="28">
        <v>3351.7</v>
      </c>
    </row>
    <row r="752" spans="1:2" x14ac:dyDescent="0.35">
      <c r="A752" s="27" t="s">
        <v>5223</v>
      </c>
      <c r="B752" s="28">
        <v>30199.4</v>
      </c>
    </row>
    <row r="753" spans="1:2" x14ac:dyDescent="0.35">
      <c r="A753" s="27" t="s">
        <v>5235</v>
      </c>
      <c r="B753" s="28">
        <v>2831.4</v>
      </c>
    </row>
    <row r="754" spans="1:2" x14ac:dyDescent="0.35">
      <c r="A754" s="27" t="s">
        <v>5239</v>
      </c>
      <c r="B754" s="28">
        <v>544.5</v>
      </c>
    </row>
    <row r="755" spans="1:2" x14ac:dyDescent="0.35">
      <c r="A755" s="27" t="s">
        <v>5241</v>
      </c>
      <c r="B755" s="28">
        <v>242</v>
      </c>
    </row>
    <row r="756" spans="1:2" x14ac:dyDescent="0.35">
      <c r="A756" s="27" t="s">
        <v>5251</v>
      </c>
      <c r="B756" s="28">
        <v>3630</v>
      </c>
    </row>
    <row r="757" spans="1:2" x14ac:dyDescent="0.35">
      <c r="A757" s="27" t="s">
        <v>5264</v>
      </c>
      <c r="B757" s="28">
        <v>998.25</v>
      </c>
    </row>
    <row r="758" spans="1:2" x14ac:dyDescent="0.35">
      <c r="A758" s="27" t="s">
        <v>5271</v>
      </c>
      <c r="B758" s="28">
        <v>3023.94</v>
      </c>
    </row>
    <row r="759" spans="1:2" x14ac:dyDescent="0.35">
      <c r="A759" s="27" t="s">
        <v>5275</v>
      </c>
      <c r="B759" s="28">
        <v>55</v>
      </c>
    </row>
    <row r="760" spans="1:2" x14ac:dyDescent="0.35">
      <c r="A760" s="27" t="s">
        <v>5302</v>
      </c>
      <c r="B760" s="28">
        <v>2000</v>
      </c>
    </row>
    <row r="761" spans="1:2" x14ac:dyDescent="0.35">
      <c r="A761" s="27" t="s">
        <v>5341</v>
      </c>
      <c r="B761" s="28">
        <v>853.05</v>
      </c>
    </row>
    <row r="762" spans="1:2" x14ac:dyDescent="0.35">
      <c r="A762" s="27" t="s">
        <v>5350</v>
      </c>
      <c r="B762" s="28">
        <v>2147.75</v>
      </c>
    </row>
    <row r="763" spans="1:2" x14ac:dyDescent="0.35">
      <c r="A763" s="27" t="s">
        <v>5381</v>
      </c>
      <c r="B763" s="28">
        <v>1357.62</v>
      </c>
    </row>
    <row r="764" spans="1:2" x14ac:dyDescent="0.35">
      <c r="A764" s="27" t="s">
        <v>5387</v>
      </c>
      <c r="B764" s="28">
        <v>44831.71</v>
      </c>
    </row>
    <row r="765" spans="1:2" x14ac:dyDescent="0.35">
      <c r="A765" s="27" t="s">
        <v>5441</v>
      </c>
      <c r="B765" s="28">
        <v>1790.8</v>
      </c>
    </row>
    <row r="766" spans="1:2" x14ac:dyDescent="0.35">
      <c r="A766" s="27" t="s">
        <v>5452</v>
      </c>
      <c r="B766" s="28">
        <v>300</v>
      </c>
    </row>
    <row r="767" spans="1:2" x14ac:dyDescent="0.35">
      <c r="A767" s="27" t="s">
        <v>5458</v>
      </c>
      <c r="B767" s="28">
        <v>732.77</v>
      </c>
    </row>
    <row r="768" spans="1:2" x14ac:dyDescent="0.35">
      <c r="A768" s="27" t="s">
        <v>5462</v>
      </c>
      <c r="B768" s="28">
        <v>150</v>
      </c>
    </row>
    <row r="769" spans="1:2" x14ac:dyDescent="0.35">
      <c r="A769" s="27" t="s">
        <v>5465</v>
      </c>
      <c r="B769" s="28">
        <v>247.5</v>
      </c>
    </row>
    <row r="770" spans="1:2" x14ac:dyDescent="0.35">
      <c r="A770" s="27" t="s">
        <v>5468</v>
      </c>
      <c r="B770" s="28">
        <v>1076.9000000000001</v>
      </c>
    </row>
    <row r="771" spans="1:2" x14ac:dyDescent="0.35">
      <c r="A771" s="27" t="s">
        <v>5493</v>
      </c>
      <c r="B771" s="28">
        <v>242</v>
      </c>
    </row>
    <row r="772" spans="1:2" x14ac:dyDescent="0.35">
      <c r="A772" s="27" t="s">
        <v>5527</v>
      </c>
      <c r="B772" s="28">
        <v>726</v>
      </c>
    </row>
    <row r="773" spans="1:2" x14ac:dyDescent="0.35">
      <c r="A773" s="27" t="s">
        <v>5557</v>
      </c>
      <c r="B773" s="28">
        <v>962.45999999999992</v>
      </c>
    </row>
    <row r="774" spans="1:2" x14ac:dyDescent="0.35">
      <c r="A774" s="27" t="s">
        <v>5564</v>
      </c>
      <c r="B774" s="28">
        <v>534.82000000000005</v>
      </c>
    </row>
    <row r="775" spans="1:2" x14ac:dyDescent="0.35">
      <c r="A775" s="27" t="s">
        <v>5576</v>
      </c>
      <c r="B775" s="28">
        <v>484</v>
      </c>
    </row>
    <row r="776" spans="1:2" x14ac:dyDescent="0.35">
      <c r="A776" s="27" t="s">
        <v>5585</v>
      </c>
      <c r="B776" s="28">
        <v>459.8</v>
      </c>
    </row>
    <row r="777" spans="1:2" x14ac:dyDescent="0.35">
      <c r="A777" s="27" t="s">
        <v>5602</v>
      </c>
      <c r="B777" s="28">
        <v>362.4</v>
      </c>
    </row>
    <row r="778" spans="1:2" x14ac:dyDescent="0.35">
      <c r="A778" s="27" t="s">
        <v>5634</v>
      </c>
      <c r="B778" s="28">
        <v>6023.27</v>
      </c>
    </row>
    <row r="779" spans="1:2" x14ac:dyDescent="0.35">
      <c r="A779" s="27" t="s">
        <v>5637</v>
      </c>
      <c r="B779" s="28">
        <v>499.4</v>
      </c>
    </row>
    <row r="780" spans="1:2" x14ac:dyDescent="0.35">
      <c r="A780" s="27" t="s">
        <v>5644</v>
      </c>
      <c r="B780" s="28">
        <v>200</v>
      </c>
    </row>
    <row r="781" spans="1:2" x14ac:dyDescent="0.35">
      <c r="A781" s="27" t="s">
        <v>5646</v>
      </c>
      <c r="B781" s="28">
        <v>7260</v>
      </c>
    </row>
    <row r="782" spans="1:2" x14ac:dyDescent="0.35">
      <c r="A782" s="27" t="s">
        <v>5690</v>
      </c>
      <c r="B782" s="28">
        <v>4572.28</v>
      </c>
    </row>
    <row r="783" spans="1:2" x14ac:dyDescent="0.35">
      <c r="A783" s="27" t="s">
        <v>5716</v>
      </c>
      <c r="B783" s="28">
        <v>363</v>
      </c>
    </row>
    <row r="784" spans="1:2" x14ac:dyDescent="0.35">
      <c r="A784" s="27" t="s">
        <v>5723</v>
      </c>
      <c r="B784" s="28">
        <v>14692.16</v>
      </c>
    </row>
    <row r="785" spans="1:2" x14ac:dyDescent="0.35">
      <c r="A785" s="27" t="s">
        <v>5731</v>
      </c>
      <c r="B785" s="28">
        <v>288</v>
      </c>
    </row>
    <row r="786" spans="1:2" x14ac:dyDescent="0.35">
      <c r="A786" s="27" t="s">
        <v>5735</v>
      </c>
      <c r="B786" s="28">
        <v>10890</v>
      </c>
    </row>
    <row r="787" spans="1:2" x14ac:dyDescent="0.35">
      <c r="A787" s="27" t="s">
        <v>5746</v>
      </c>
      <c r="B787" s="28">
        <v>2026.92</v>
      </c>
    </row>
    <row r="788" spans="1:2" x14ac:dyDescent="0.35">
      <c r="A788" s="27" t="s">
        <v>5770</v>
      </c>
      <c r="B788" s="28">
        <v>3388</v>
      </c>
    </row>
    <row r="789" spans="1:2" x14ac:dyDescent="0.35">
      <c r="A789" s="27" t="s">
        <v>5773</v>
      </c>
      <c r="B789" s="28">
        <v>382.66</v>
      </c>
    </row>
    <row r="790" spans="1:2" x14ac:dyDescent="0.35">
      <c r="A790" s="27" t="s">
        <v>5782</v>
      </c>
      <c r="B790" s="28">
        <v>8918.92</v>
      </c>
    </row>
    <row r="791" spans="1:2" x14ac:dyDescent="0.35">
      <c r="A791" s="27" t="s">
        <v>5806</v>
      </c>
      <c r="B791" s="28">
        <v>1694</v>
      </c>
    </row>
    <row r="792" spans="1:2" x14ac:dyDescent="0.35">
      <c r="A792" s="27" t="s">
        <v>5829</v>
      </c>
      <c r="B792" s="28">
        <v>429.55</v>
      </c>
    </row>
    <row r="793" spans="1:2" x14ac:dyDescent="0.35">
      <c r="A793" s="27" t="s">
        <v>5838</v>
      </c>
      <c r="B793" s="28">
        <v>2662</v>
      </c>
    </row>
    <row r="794" spans="1:2" x14ac:dyDescent="0.35">
      <c r="A794" s="27" t="s">
        <v>5922</v>
      </c>
      <c r="B794" s="28">
        <v>15.9</v>
      </c>
    </row>
    <row r="795" spans="1:2" x14ac:dyDescent="0.35">
      <c r="A795" s="27" t="s">
        <v>5961</v>
      </c>
      <c r="B795" s="28">
        <v>968</v>
      </c>
    </row>
    <row r="796" spans="1:2" x14ac:dyDescent="0.35">
      <c r="A796" s="27" t="s">
        <v>6038</v>
      </c>
      <c r="B796" s="28">
        <v>6731.04</v>
      </c>
    </row>
    <row r="797" spans="1:2" x14ac:dyDescent="0.35">
      <c r="A797" s="27" t="s">
        <v>6055</v>
      </c>
      <c r="B797" s="28">
        <v>5929</v>
      </c>
    </row>
    <row r="798" spans="1:2" x14ac:dyDescent="0.35">
      <c r="A798" s="27" t="s">
        <v>6096</v>
      </c>
      <c r="B798" s="28">
        <v>726</v>
      </c>
    </row>
    <row r="799" spans="1:2" x14ac:dyDescent="0.35">
      <c r="A799" s="27" t="s">
        <v>6119</v>
      </c>
      <c r="B799" s="28">
        <v>3000</v>
      </c>
    </row>
    <row r="800" spans="1:2" x14ac:dyDescent="0.35">
      <c r="A800" s="27" t="s">
        <v>6128</v>
      </c>
      <c r="B800" s="28">
        <v>608.39</v>
      </c>
    </row>
    <row r="801" spans="1:2" x14ac:dyDescent="0.35">
      <c r="A801" s="27" t="s">
        <v>6133</v>
      </c>
      <c r="B801" s="28">
        <v>998.25</v>
      </c>
    </row>
    <row r="802" spans="1:2" x14ac:dyDescent="0.35">
      <c r="A802" s="27" t="s">
        <v>6157</v>
      </c>
      <c r="B802" s="28">
        <v>1754.5</v>
      </c>
    </row>
    <row r="803" spans="1:2" x14ac:dyDescent="0.35">
      <c r="A803" s="27" t="s">
        <v>6159</v>
      </c>
      <c r="B803" s="28">
        <v>7139</v>
      </c>
    </row>
    <row r="804" spans="1:2" x14ac:dyDescent="0.35">
      <c r="A804" s="27" t="s">
        <v>6185</v>
      </c>
      <c r="B804" s="28">
        <v>292.22000000000003</v>
      </c>
    </row>
    <row r="805" spans="1:2" x14ac:dyDescent="0.35">
      <c r="A805" s="27" t="s">
        <v>6250</v>
      </c>
      <c r="B805" s="28">
        <v>647.47</v>
      </c>
    </row>
    <row r="806" spans="1:2" x14ac:dyDescent="0.35">
      <c r="A806" s="27" t="s">
        <v>509</v>
      </c>
      <c r="B806" s="28">
        <v>5087232.8600000059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4611"/>
  <sheetViews>
    <sheetView workbookViewId="0">
      <selection activeCell="A1456" sqref="A1456"/>
    </sheetView>
  </sheetViews>
  <sheetFormatPr baseColWidth="10" defaultRowHeight="11.5" x14ac:dyDescent="0.25"/>
  <cols>
    <col min="1" max="1" width="11.08984375" style="36" customWidth="1"/>
    <col min="2" max="2" width="3.36328125" style="35" customWidth="1"/>
    <col min="3" max="3" width="7.1796875" style="37" bestFit="1" customWidth="1"/>
    <col min="4" max="4" width="9.54296875" style="35" customWidth="1"/>
    <col min="5" max="5" width="12.6328125" style="35" bestFit="1" customWidth="1"/>
    <col min="6" max="6" width="17.26953125" style="38" bestFit="1" customWidth="1"/>
    <col min="7" max="7" width="29.08984375" style="35" customWidth="1"/>
    <col min="8" max="8" width="43" style="35" customWidth="1"/>
    <col min="9" max="9" width="6.1796875" style="35" customWidth="1"/>
    <col min="10" max="10" width="10" style="35" customWidth="1"/>
    <col min="11" max="11" width="17.6328125" style="35" customWidth="1"/>
    <col min="12" max="12" width="18.453125" style="35" customWidth="1"/>
    <col min="13" max="13" width="13.453125" style="35" customWidth="1"/>
    <col min="14" max="14" width="14.36328125" style="35" bestFit="1" customWidth="1"/>
    <col min="15" max="15" width="13.7265625" style="35" customWidth="1"/>
    <col min="16" max="16" width="9" style="35" customWidth="1"/>
    <col min="17" max="17" width="5" style="35" customWidth="1"/>
    <col min="18" max="18" width="14.36328125" style="35" customWidth="1"/>
    <col min="19" max="19" width="6.08984375" style="35" customWidth="1"/>
    <col min="20" max="20" width="10.90625" style="35"/>
    <col min="21" max="21" width="4.453125" style="35" customWidth="1"/>
    <col min="22" max="22" width="10.90625" style="35"/>
    <col min="23" max="23" width="4" style="35" customWidth="1"/>
    <col min="24" max="24" width="10.54296875" style="35" bestFit="1" customWidth="1"/>
    <col min="25" max="16384" width="10.9062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35</v>
      </c>
      <c r="E1" s="32" t="s">
        <v>3</v>
      </c>
      <c r="F1" s="34" t="s">
        <v>4</v>
      </c>
      <c r="G1" s="32" t="s">
        <v>36</v>
      </c>
      <c r="H1" s="32" t="s">
        <v>5</v>
      </c>
      <c r="I1" s="32" t="s">
        <v>123</v>
      </c>
      <c r="J1" s="32" t="s">
        <v>784</v>
      </c>
      <c r="K1" s="32" t="s">
        <v>804</v>
      </c>
      <c r="L1" s="32" t="s">
        <v>6</v>
      </c>
      <c r="M1" s="32" t="s">
        <v>7</v>
      </c>
      <c r="N1" s="32" t="s">
        <v>8</v>
      </c>
      <c r="O1" s="32" t="s">
        <v>233</v>
      </c>
      <c r="P1" s="32" t="s">
        <v>506</v>
      </c>
      <c r="Q1" s="32" t="s">
        <v>502</v>
      </c>
      <c r="R1" s="32" t="s">
        <v>503</v>
      </c>
      <c r="S1" s="32" t="s">
        <v>319</v>
      </c>
      <c r="T1" s="32" t="s">
        <v>498</v>
      </c>
      <c r="U1" s="32" t="s">
        <v>499</v>
      </c>
      <c r="V1" s="32" t="s">
        <v>500</v>
      </c>
      <c r="W1" s="32" t="s">
        <v>505</v>
      </c>
      <c r="X1" s="32" t="s">
        <v>34</v>
      </c>
    </row>
    <row r="2" spans="1:24" x14ac:dyDescent="0.25">
      <c r="A2" s="45">
        <v>220210001374</v>
      </c>
      <c r="B2" s="46" t="s">
        <v>9</v>
      </c>
      <c r="C2" s="47">
        <v>44228</v>
      </c>
      <c r="D2" s="45">
        <v>22021002039</v>
      </c>
      <c r="E2" s="46" t="s">
        <v>816</v>
      </c>
      <c r="F2" s="48">
        <v>3000</v>
      </c>
      <c r="G2" s="46" t="s">
        <v>764</v>
      </c>
      <c r="H2" s="46" t="s">
        <v>817</v>
      </c>
      <c r="I2" s="45" t="s">
        <v>125</v>
      </c>
      <c r="J2" s="46" t="s">
        <v>127</v>
      </c>
      <c r="K2" s="46" t="s">
        <v>127</v>
      </c>
      <c r="L2" s="46" t="s">
        <v>12</v>
      </c>
      <c r="M2" s="46" t="s">
        <v>10</v>
      </c>
      <c r="N2" s="46" t="s">
        <v>11</v>
      </c>
      <c r="O2" s="49" t="s">
        <v>815</v>
      </c>
      <c r="P2" s="46" t="s">
        <v>507</v>
      </c>
      <c r="Q2" s="35" t="str">
        <f>MID(Tabla1[[#This Row],[Aplicación]],14,1)</f>
        <v>2</v>
      </c>
      <c r="R2" s="35" t="s">
        <v>495</v>
      </c>
      <c r="S2" s="35" t="str">
        <f>MID(Tabla1[[#This Row],[Aplicación]],6,2)</f>
        <v>06</v>
      </c>
      <c r="T2" s="35" t="str">
        <f>VLOOKUP(Tabla1[[#This Row],[AREA]],Hoja1!A:B,2,FALSE)</f>
        <v>06. Educación, infancia, juventud e igualdad</v>
      </c>
      <c r="U2" s="35" t="str">
        <f>MID(Tabla1[[#This Row],[Aplicación]],9,4)</f>
        <v>3232</v>
      </c>
      <c r="V2" s="35" t="str">
        <f>VLOOKUP(Tabla1[[#This Row],[PROGRAMA]],Hoja1!A:B,2,FALSE)</f>
        <v>3232. Conservación y mantenimiento centros educación infantil y primaria</v>
      </c>
      <c r="W2" s="35" t="str">
        <f>MID(Tabla1[[#This Row],[Aplicación]],14,2)</f>
        <v>22</v>
      </c>
      <c r="X2" s="35" t="str">
        <f>MID(Tabla1[[#This Row],[Aplicación]],14,6)</f>
        <v>22706</v>
      </c>
    </row>
    <row r="3" spans="1:24" x14ac:dyDescent="0.25">
      <c r="A3" s="45">
        <v>220209000166</v>
      </c>
      <c r="B3" s="46" t="s">
        <v>9</v>
      </c>
      <c r="C3" s="47">
        <v>44198</v>
      </c>
      <c r="D3" s="45">
        <v>22021000230</v>
      </c>
      <c r="E3" s="46" t="s">
        <v>818</v>
      </c>
      <c r="F3" s="48">
        <v>25250.28</v>
      </c>
      <c r="G3" s="46" t="s">
        <v>819</v>
      </c>
      <c r="H3" s="46" t="s">
        <v>820</v>
      </c>
      <c r="I3" s="45" t="s">
        <v>125</v>
      </c>
      <c r="J3" s="46" t="s">
        <v>821</v>
      </c>
      <c r="K3" s="46" t="s">
        <v>822</v>
      </c>
      <c r="L3" s="46" t="s">
        <v>15</v>
      </c>
      <c r="M3" s="46" t="s">
        <v>13</v>
      </c>
      <c r="N3" s="46" t="s">
        <v>14</v>
      </c>
      <c r="O3" s="49" t="s">
        <v>803</v>
      </c>
      <c r="P3" s="46" t="s">
        <v>507</v>
      </c>
      <c r="Q3" s="35" t="str">
        <f>MID(Tabla1[[#This Row],[Aplicación]],14,1)</f>
        <v>2</v>
      </c>
      <c r="R3" s="35" t="s">
        <v>495</v>
      </c>
      <c r="S3" s="35" t="str">
        <f>MID(Tabla1[[#This Row],[Aplicación]],6,2)</f>
        <v>09</v>
      </c>
      <c r="T3" s="35" t="str">
        <f>VLOOKUP(Tabla1[[#This Row],[AREA]],Hoja1!A:B,2,FALSE)</f>
        <v>09. Cultura y turismo</v>
      </c>
      <c r="U3" s="35" t="str">
        <f>MID(Tabla1[[#This Row],[Aplicación]],9,4)</f>
        <v>3341</v>
      </c>
      <c r="V3" s="35" t="str">
        <f>VLOOKUP(Tabla1[[#This Row],[PROGRAMA]],Hoja1!A:B,2,FALSE)</f>
        <v>3341. Coordinación de políticas culturales</v>
      </c>
      <c r="W3" s="35" t="str">
        <f>MID(Tabla1[[#This Row],[Aplicación]],14,2)</f>
        <v>22</v>
      </c>
      <c r="X3" s="35" t="str">
        <f>MID(Tabla1[[#This Row],[Aplicación]],14,6)</f>
        <v>22609</v>
      </c>
    </row>
    <row r="4" spans="1:24" x14ac:dyDescent="0.25">
      <c r="A4" s="45">
        <v>220210000510</v>
      </c>
      <c r="B4" s="46" t="s">
        <v>9</v>
      </c>
      <c r="C4" s="47">
        <v>44221</v>
      </c>
      <c r="D4" s="45">
        <v>22021001684</v>
      </c>
      <c r="E4" s="46" t="s">
        <v>823</v>
      </c>
      <c r="F4" s="48">
        <v>400</v>
      </c>
      <c r="G4" s="46" t="s">
        <v>824</v>
      </c>
      <c r="H4" s="46" t="s">
        <v>825</v>
      </c>
      <c r="I4" s="45" t="s">
        <v>125</v>
      </c>
      <c r="J4" s="46" t="s">
        <v>826</v>
      </c>
      <c r="K4" s="46" t="s">
        <v>127</v>
      </c>
      <c r="L4" s="46" t="s">
        <v>12</v>
      </c>
      <c r="M4" s="46" t="s">
        <v>10</v>
      </c>
      <c r="N4" s="46" t="s">
        <v>11</v>
      </c>
      <c r="O4" s="49" t="s">
        <v>815</v>
      </c>
      <c r="P4" s="46" t="s">
        <v>507</v>
      </c>
      <c r="Q4" s="35" t="str">
        <f>MID(Tabla1[[#This Row],[Aplicación]],14,1)</f>
        <v>2</v>
      </c>
      <c r="R4" s="35" t="s">
        <v>495</v>
      </c>
      <c r="S4" s="35" t="str">
        <f>MID(Tabla1[[#This Row],[Aplicación]],6,2)</f>
        <v>03</v>
      </c>
      <c r="T4" s="35" t="str">
        <f>VLOOKUP(Tabla1[[#This Row],[AREA]],Hoja1!A:B,2,FALSE)</f>
        <v>03. Participación ciudadana y deportes</v>
      </c>
      <c r="U4" s="35" t="str">
        <f>MID(Tabla1[[#This Row],[Aplicación]],9,4)</f>
        <v>9241</v>
      </c>
      <c r="V4" s="35" t="str">
        <f>VLOOKUP(Tabla1[[#This Row],[PROGRAMA]],Hoja1!A:B,2,FALSE)</f>
        <v>9241. Participación ciudadana</v>
      </c>
      <c r="W4" s="35" t="str">
        <f>MID(Tabla1[[#This Row],[Aplicación]],14,2)</f>
        <v>22</v>
      </c>
      <c r="X4" s="35" t="str">
        <f>MID(Tabla1[[#This Row],[Aplicación]],14,6)</f>
        <v>22609</v>
      </c>
    </row>
    <row r="5" spans="1:24" x14ac:dyDescent="0.25">
      <c r="A5" s="45">
        <v>220209000829</v>
      </c>
      <c r="B5" s="46" t="s">
        <v>9</v>
      </c>
      <c r="C5" s="47">
        <v>44198</v>
      </c>
      <c r="D5" s="45">
        <v>22021001161</v>
      </c>
      <c r="E5" s="46" t="s">
        <v>827</v>
      </c>
      <c r="F5" s="48">
        <v>571.12</v>
      </c>
      <c r="G5" s="46" t="s">
        <v>828</v>
      </c>
      <c r="H5" s="46" t="s">
        <v>829</v>
      </c>
      <c r="I5" s="45" t="s">
        <v>125</v>
      </c>
      <c r="J5" s="46" t="s">
        <v>197</v>
      </c>
      <c r="K5" s="46" t="s">
        <v>197</v>
      </c>
      <c r="L5" s="46" t="s">
        <v>12</v>
      </c>
      <c r="M5" s="46" t="s">
        <v>10</v>
      </c>
      <c r="N5" s="46" t="s">
        <v>11</v>
      </c>
      <c r="O5" s="49" t="s">
        <v>815</v>
      </c>
      <c r="P5" s="46" t="s">
        <v>507</v>
      </c>
      <c r="Q5" s="35" t="str">
        <f>MID(Tabla1[[#This Row],[Aplicación]],14,1)</f>
        <v>2</v>
      </c>
      <c r="R5" s="35" t="s">
        <v>495</v>
      </c>
      <c r="S5" s="35" t="str">
        <f>MID(Tabla1[[#This Row],[Aplicación]],6,2)</f>
        <v>04</v>
      </c>
      <c r="T5" s="35" t="str">
        <f>VLOOKUP(Tabla1[[#This Row],[AREA]],Hoja1!A:B,2,FALSE)</f>
        <v>04. Planificación y recursos</v>
      </c>
      <c r="U5" s="35" t="str">
        <f>MID(Tabla1[[#This Row],[Aplicación]],9,4)</f>
        <v>9204</v>
      </c>
      <c r="V5" s="35" t="str">
        <f>VLOOKUP(Tabla1[[#This Row],[PROGRAMA]],Hoja1!A:B,2,FALSE)</f>
        <v>9204. Tecnologías de la información y comunicación</v>
      </c>
      <c r="W5" s="35" t="str">
        <f>MID(Tabla1[[#This Row],[Aplicación]],14,2)</f>
        <v>21</v>
      </c>
      <c r="X5" s="35" t="str">
        <f>MID(Tabla1[[#This Row],[Aplicación]],14,6)</f>
        <v>216</v>
      </c>
    </row>
    <row r="6" spans="1:24" x14ac:dyDescent="0.25">
      <c r="A6" s="45">
        <v>220210005450</v>
      </c>
      <c r="B6" s="46" t="s">
        <v>9</v>
      </c>
      <c r="C6" s="47">
        <v>44250</v>
      </c>
      <c r="D6" s="45">
        <v>22021002617</v>
      </c>
      <c r="E6" s="46" t="s">
        <v>830</v>
      </c>
      <c r="F6" s="48">
        <v>1999.63</v>
      </c>
      <c r="G6" s="46" t="s">
        <v>280</v>
      </c>
      <c r="H6" s="46" t="s">
        <v>831</v>
      </c>
      <c r="I6" s="45" t="s">
        <v>125</v>
      </c>
      <c r="J6" s="46" t="s">
        <v>127</v>
      </c>
      <c r="K6" s="46" t="s">
        <v>127</v>
      </c>
      <c r="L6" s="46" t="s">
        <v>12</v>
      </c>
      <c r="M6" s="46" t="s">
        <v>10</v>
      </c>
      <c r="N6" s="46" t="s">
        <v>11</v>
      </c>
      <c r="O6" s="49" t="s">
        <v>815</v>
      </c>
      <c r="P6" s="46" t="s">
        <v>507</v>
      </c>
      <c r="Q6" s="35" t="str">
        <f>MID(Tabla1[[#This Row],[Aplicación]],14,1)</f>
        <v>2</v>
      </c>
      <c r="R6" s="35" t="s">
        <v>495</v>
      </c>
      <c r="S6" s="35" t="str">
        <f>MID(Tabla1[[#This Row],[Aplicación]],6,2)</f>
        <v>01</v>
      </c>
      <c r="T6" s="35" t="str">
        <f>VLOOKUP(Tabla1[[#This Row],[AREA]],Hoja1!A:B,2,FALSE)</f>
        <v>01. Alcaldía</v>
      </c>
      <c r="U6" s="35" t="str">
        <f>MID(Tabla1[[#This Row],[Aplicación]],9,4)</f>
        <v>9203</v>
      </c>
      <c r="V6" s="35" t="str">
        <f>VLOOKUP(Tabla1[[#This Row],[PROGRAMA]],Hoja1!A:B,2,FALSE)</f>
        <v>9203. Unidad de régimen interior</v>
      </c>
      <c r="W6" s="35" t="str">
        <f>MID(Tabla1[[#This Row],[Aplicación]],14,2)</f>
        <v>21</v>
      </c>
      <c r="X6" s="35" t="str">
        <f>MID(Tabla1[[#This Row],[Aplicación]],14,6)</f>
        <v>213</v>
      </c>
    </row>
    <row r="7" spans="1:24" x14ac:dyDescent="0.25">
      <c r="A7" s="45">
        <v>220210004235</v>
      </c>
      <c r="B7" s="46" t="s">
        <v>9</v>
      </c>
      <c r="C7" s="47">
        <v>44245</v>
      </c>
      <c r="D7" s="45">
        <v>22021002742</v>
      </c>
      <c r="E7" s="46" t="s">
        <v>832</v>
      </c>
      <c r="F7" s="48">
        <v>2400</v>
      </c>
      <c r="G7" s="46" t="s">
        <v>833</v>
      </c>
      <c r="H7" s="46" t="s">
        <v>834</v>
      </c>
      <c r="I7" s="45" t="s">
        <v>125</v>
      </c>
      <c r="J7" s="46" t="s">
        <v>835</v>
      </c>
      <c r="K7" s="46" t="s">
        <v>195</v>
      </c>
      <c r="L7" s="46" t="s">
        <v>15</v>
      </c>
      <c r="M7" s="46" t="s">
        <v>10</v>
      </c>
      <c r="N7" s="46" t="s">
        <v>11</v>
      </c>
      <c r="O7" s="49" t="s">
        <v>815</v>
      </c>
      <c r="P7" s="46" t="s">
        <v>507</v>
      </c>
      <c r="Q7" s="35" t="str">
        <f>MID(Tabla1[[#This Row],[Aplicación]],14,1)</f>
        <v>2</v>
      </c>
      <c r="R7" s="35" t="s">
        <v>495</v>
      </c>
      <c r="S7" s="35" t="str">
        <f>MID(Tabla1[[#This Row],[Aplicación]],6,2)</f>
        <v>11</v>
      </c>
      <c r="T7" s="35" t="str">
        <f>VLOOKUP(Tabla1[[#This Row],[AREA]],Hoja1!A:B,2,FALSE)</f>
        <v>11. Salud pública y seguridad ciudadana</v>
      </c>
      <c r="U7" s="35" t="str">
        <f>MID(Tabla1[[#This Row],[Aplicación]],9,4)</f>
        <v>1321</v>
      </c>
      <c r="V7" s="35" t="str">
        <f>VLOOKUP(Tabla1[[#This Row],[PROGRAMA]],Hoja1!A:B,2,FALSE)</f>
        <v>1321. Policía municipal</v>
      </c>
      <c r="W7" s="35" t="str">
        <f>MID(Tabla1[[#This Row],[Aplicación]],14,2)</f>
        <v>22</v>
      </c>
      <c r="X7" s="35" t="str">
        <f>MID(Tabla1[[#This Row],[Aplicación]],14,6)</f>
        <v>22104</v>
      </c>
    </row>
    <row r="8" spans="1:24" x14ac:dyDescent="0.25">
      <c r="A8" s="45">
        <v>220210004237</v>
      </c>
      <c r="B8" s="46" t="s">
        <v>9</v>
      </c>
      <c r="C8" s="47">
        <v>44245</v>
      </c>
      <c r="D8" s="45">
        <v>22021002644</v>
      </c>
      <c r="E8" s="46" t="s">
        <v>836</v>
      </c>
      <c r="F8" s="48">
        <v>302.5</v>
      </c>
      <c r="G8" s="46" t="s">
        <v>309</v>
      </c>
      <c r="H8" s="46" t="s">
        <v>837</v>
      </c>
      <c r="I8" s="45" t="s">
        <v>125</v>
      </c>
      <c r="J8" s="46" t="s">
        <v>126</v>
      </c>
      <c r="K8" s="46" t="s">
        <v>126</v>
      </c>
      <c r="L8" s="46" t="s">
        <v>12</v>
      </c>
      <c r="M8" s="46" t="s">
        <v>10</v>
      </c>
      <c r="N8" s="46" t="s">
        <v>11</v>
      </c>
      <c r="O8" s="49" t="s">
        <v>815</v>
      </c>
      <c r="P8" s="46" t="s">
        <v>507</v>
      </c>
      <c r="Q8" s="35" t="str">
        <f>MID(Tabla1[[#This Row],[Aplicación]],14,1)</f>
        <v>2</v>
      </c>
      <c r="R8" s="35" t="s">
        <v>495</v>
      </c>
      <c r="S8" s="35" t="str">
        <f>MID(Tabla1[[#This Row],[Aplicación]],6,2)</f>
        <v>05</v>
      </c>
      <c r="T8" s="35" t="str">
        <f>VLOOKUP(Tabla1[[#This Row],[AREA]],Hoja1!A:B,2,FALSE)</f>
        <v>05. Innovación, desarrollo económico, empleo y comercio</v>
      </c>
      <c r="U8" s="35" t="str">
        <f>MID(Tabla1[[#This Row],[Aplicación]],9,4)</f>
        <v>4331</v>
      </c>
      <c r="V8" s="35" t="str">
        <f>VLOOKUP(Tabla1[[#This Row],[PROGRAMA]],Hoja1!A:B,2,FALSE)</f>
        <v>4331. Desarrollo empresarial</v>
      </c>
      <c r="W8" s="35" t="str">
        <f>MID(Tabla1[[#This Row],[Aplicación]],14,2)</f>
        <v>22</v>
      </c>
      <c r="X8" s="35" t="str">
        <f>MID(Tabla1[[#This Row],[Aplicación]],14,6)</f>
        <v>22699</v>
      </c>
    </row>
    <row r="9" spans="1:24" x14ac:dyDescent="0.25">
      <c r="A9" s="45">
        <v>220199000342</v>
      </c>
      <c r="B9" s="46" t="s">
        <v>9</v>
      </c>
      <c r="C9" s="47">
        <v>44198</v>
      </c>
      <c r="D9" s="45">
        <v>22021000699</v>
      </c>
      <c r="E9" s="46" t="s">
        <v>838</v>
      </c>
      <c r="F9" s="48">
        <v>1160998.1200000001</v>
      </c>
      <c r="G9" s="46" t="s">
        <v>564</v>
      </c>
      <c r="H9" s="46" t="s">
        <v>599</v>
      </c>
      <c r="I9" s="45" t="s">
        <v>125</v>
      </c>
      <c r="J9" s="46" t="s">
        <v>565</v>
      </c>
      <c r="K9" s="46" t="s">
        <v>126</v>
      </c>
      <c r="L9" s="46" t="s">
        <v>12</v>
      </c>
      <c r="M9" s="46" t="s">
        <v>13</v>
      </c>
      <c r="N9" s="46" t="s">
        <v>14</v>
      </c>
      <c r="O9" s="49" t="s">
        <v>803</v>
      </c>
      <c r="P9" s="46" t="s">
        <v>507</v>
      </c>
      <c r="Q9" s="35" t="str">
        <f>MID(Tabla1[[#This Row],[Aplicación]],14,1)</f>
        <v>6</v>
      </c>
      <c r="R9" s="35" t="s">
        <v>496</v>
      </c>
      <c r="S9" s="35" t="str">
        <f>MID(Tabla1[[#This Row],[Aplicación]],6,2)</f>
        <v>07</v>
      </c>
      <c r="T9" s="35" t="str">
        <f>VLOOKUP(Tabla1[[#This Row],[AREA]],Hoja1!A:B,2,FALSE)</f>
        <v>07. Medio ambiente y desarrollo sostenible</v>
      </c>
      <c r="U9" s="35" t="str">
        <f>MID(Tabla1[[#This Row],[Aplicación]],9,4)</f>
        <v>1711</v>
      </c>
      <c r="V9" s="35" t="str">
        <f>VLOOKUP(Tabla1[[#This Row],[PROGRAMA]],Hoja1!A:B,2,FALSE)</f>
        <v>1711. Parques y jardines</v>
      </c>
      <c r="W9" s="35" t="str">
        <f>MID(Tabla1[[#This Row],[Aplicación]],14,2)</f>
        <v>61</v>
      </c>
      <c r="X9" s="35" t="str">
        <f>MID(Tabla1[[#This Row],[Aplicación]],14,6)</f>
        <v>610</v>
      </c>
    </row>
    <row r="10" spans="1:24" x14ac:dyDescent="0.25">
      <c r="A10" s="45">
        <v>220199000343</v>
      </c>
      <c r="B10" s="46" t="s">
        <v>9</v>
      </c>
      <c r="C10" s="47">
        <v>44198</v>
      </c>
      <c r="D10" s="45">
        <v>22021000700</v>
      </c>
      <c r="E10" s="46" t="s">
        <v>838</v>
      </c>
      <c r="F10" s="48">
        <v>255114.6</v>
      </c>
      <c r="G10" s="46" t="s">
        <v>564</v>
      </c>
      <c r="H10" s="46" t="s">
        <v>839</v>
      </c>
      <c r="I10" s="45" t="s">
        <v>125</v>
      </c>
      <c r="J10" s="46" t="s">
        <v>565</v>
      </c>
      <c r="K10" s="46" t="s">
        <v>126</v>
      </c>
      <c r="L10" s="46" t="s">
        <v>12</v>
      </c>
      <c r="M10" s="46" t="s">
        <v>13</v>
      </c>
      <c r="N10" s="46" t="s">
        <v>14</v>
      </c>
      <c r="O10" s="49" t="s">
        <v>803</v>
      </c>
      <c r="P10" s="46" t="s">
        <v>507</v>
      </c>
      <c r="Q10" s="35" t="str">
        <f>MID(Tabla1[[#This Row],[Aplicación]],14,1)</f>
        <v>6</v>
      </c>
      <c r="R10" s="35" t="s">
        <v>496</v>
      </c>
      <c r="S10" s="35" t="str">
        <f>MID(Tabla1[[#This Row],[Aplicación]],6,2)</f>
        <v>07</v>
      </c>
      <c r="T10" s="35" t="str">
        <f>VLOOKUP(Tabla1[[#This Row],[AREA]],Hoja1!A:B,2,FALSE)</f>
        <v>07. Medio ambiente y desarrollo sostenible</v>
      </c>
      <c r="U10" s="35" t="str">
        <f>MID(Tabla1[[#This Row],[Aplicación]],9,4)</f>
        <v>1711</v>
      </c>
      <c r="V10" s="35" t="str">
        <f>VLOOKUP(Tabla1[[#This Row],[PROGRAMA]],Hoja1!A:B,2,FALSE)</f>
        <v>1711. Parques y jardines</v>
      </c>
      <c r="W10" s="35" t="str">
        <f>MID(Tabla1[[#This Row],[Aplicación]],14,2)</f>
        <v>61</v>
      </c>
      <c r="X10" s="35" t="str">
        <f>MID(Tabla1[[#This Row],[Aplicación]],14,6)</f>
        <v>610</v>
      </c>
    </row>
    <row r="11" spans="1:24" x14ac:dyDescent="0.25">
      <c r="A11" s="45">
        <v>220199000344</v>
      </c>
      <c r="B11" s="46" t="s">
        <v>9</v>
      </c>
      <c r="C11" s="47">
        <v>44198</v>
      </c>
      <c r="D11" s="45">
        <v>22021000147</v>
      </c>
      <c r="E11" s="46" t="s">
        <v>840</v>
      </c>
      <c r="F11" s="48">
        <v>318036.63</v>
      </c>
      <c r="G11" s="46" t="s">
        <v>564</v>
      </c>
      <c r="H11" s="46" t="s">
        <v>607</v>
      </c>
      <c r="I11" s="45" t="s">
        <v>125</v>
      </c>
      <c r="J11" s="46" t="s">
        <v>565</v>
      </c>
      <c r="K11" s="46" t="s">
        <v>126</v>
      </c>
      <c r="L11" s="46" t="s">
        <v>12</v>
      </c>
      <c r="M11" s="46" t="s">
        <v>13</v>
      </c>
      <c r="N11" s="46" t="s">
        <v>14</v>
      </c>
      <c r="O11" s="49" t="s">
        <v>803</v>
      </c>
      <c r="P11" s="46" t="s">
        <v>507</v>
      </c>
      <c r="Q11" s="35" t="str">
        <f>MID(Tabla1[[#This Row],[Aplicación]],14,1)</f>
        <v>2</v>
      </c>
      <c r="R11" s="35" t="s">
        <v>495</v>
      </c>
      <c r="S11" s="35" t="str">
        <f>MID(Tabla1[[#This Row],[Aplicación]],6,2)</f>
        <v>07</v>
      </c>
      <c r="T11" s="35" t="str">
        <f>VLOOKUP(Tabla1[[#This Row],[AREA]],Hoja1!A:B,2,FALSE)</f>
        <v>07. Medio ambiente y desarrollo sostenible</v>
      </c>
      <c r="U11" s="35" t="str">
        <f>MID(Tabla1[[#This Row],[Aplicación]],9,4)</f>
        <v>1711</v>
      </c>
      <c r="V11" s="35" t="str">
        <f>VLOOKUP(Tabla1[[#This Row],[PROGRAMA]],Hoja1!A:B,2,FALSE)</f>
        <v>1711. Parques y jardines</v>
      </c>
      <c r="W11" s="35" t="str">
        <f>MID(Tabla1[[#This Row],[Aplicación]],14,2)</f>
        <v>22</v>
      </c>
      <c r="X11" s="35" t="str">
        <f>MID(Tabla1[[#This Row],[Aplicación]],14,6)</f>
        <v>22799</v>
      </c>
    </row>
    <row r="12" spans="1:24" x14ac:dyDescent="0.25">
      <c r="A12" s="45">
        <v>220199000345</v>
      </c>
      <c r="B12" s="46" t="s">
        <v>9</v>
      </c>
      <c r="C12" s="47">
        <v>44198</v>
      </c>
      <c r="D12" s="45">
        <v>22021000148</v>
      </c>
      <c r="E12" s="46" t="s">
        <v>840</v>
      </c>
      <c r="F12" s="48">
        <v>38378.269999999997</v>
      </c>
      <c r="G12" s="46" t="s">
        <v>564</v>
      </c>
      <c r="H12" s="46" t="s">
        <v>841</v>
      </c>
      <c r="I12" s="45" t="s">
        <v>125</v>
      </c>
      <c r="J12" s="46" t="s">
        <v>565</v>
      </c>
      <c r="K12" s="46" t="s">
        <v>126</v>
      </c>
      <c r="L12" s="46" t="s">
        <v>12</v>
      </c>
      <c r="M12" s="46" t="s">
        <v>13</v>
      </c>
      <c r="N12" s="46" t="s">
        <v>14</v>
      </c>
      <c r="O12" s="49" t="s">
        <v>803</v>
      </c>
      <c r="P12" s="46" t="s">
        <v>507</v>
      </c>
      <c r="Q12" s="35" t="str">
        <f>MID(Tabla1[[#This Row],[Aplicación]],14,1)</f>
        <v>2</v>
      </c>
      <c r="R12" s="35" t="s">
        <v>495</v>
      </c>
      <c r="S12" s="35" t="str">
        <f>MID(Tabla1[[#This Row],[Aplicación]],6,2)</f>
        <v>07</v>
      </c>
      <c r="T12" s="35" t="str">
        <f>VLOOKUP(Tabla1[[#This Row],[AREA]],Hoja1!A:B,2,FALSE)</f>
        <v>07. Medio ambiente y desarrollo sostenible</v>
      </c>
      <c r="U12" s="35" t="str">
        <f>MID(Tabla1[[#This Row],[Aplicación]],9,4)</f>
        <v>1711</v>
      </c>
      <c r="V12" s="35" t="str">
        <f>VLOOKUP(Tabla1[[#This Row],[PROGRAMA]],Hoja1!A:B,2,FALSE)</f>
        <v>1711. Parques y jardines</v>
      </c>
      <c r="W12" s="35" t="str">
        <f>MID(Tabla1[[#This Row],[Aplicación]],14,2)</f>
        <v>22</v>
      </c>
      <c r="X12" s="35" t="str">
        <f>MID(Tabla1[[#This Row],[Aplicación]],14,6)</f>
        <v>22799</v>
      </c>
    </row>
    <row r="13" spans="1:24" x14ac:dyDescent="0.25">
      <c r="A13" s="45">
        <v>220209000334</v>
      </c>
      <c r="B13" s="46" t="s">
        <v>9</v>
      </c>
      <c r="C13" s="47">
        <v>44198</v>
      </c>
      <c r="D13" s="45">
        <v>22021000267</v>
      </c>
      <c r="E13" s="46" t="s">
        <v>842</v>
      </c>
      <c r="F13" s="48">
        <v>138000</v>
      </c>
      <c r="G13" s="46" t="s">
        <v>167</v>
      </c>
      <c r="H13" s="46" t="s">
        <v>843</v>
      </c>
      <c r="I13" s="45" t="s">
        <v>125</v>
      </c>
      <c r="J13" s="46" t="s">
        <v>127</v>
      </c>
      <c r="K13" s="46" t="s">
        <v>127</v>
      </c>
      <c r="L13" s="46" t="s">
        <v>12</v>
      </c>
      <c r="M13" s="46" t="s">
        <v>13</v>
      </c>
      <c r="N13" s="46" t="s">
        <v>14</v>
      </c>
      <c r="O13" s="49" t="s">
        <v>803</v>
      </c>
      <c r="P13" s="46" t="s">
        <v>507</v>
      </c>
      <c r="Q13" s="35" t="str">
        <f>MID(Tabla1[[#This Row],[Aplicación]],14,1)</f>
        <v>2</v>
      </c>
      <c r="R13" s="35" t="s">
        <v>495</v>
      </c>
      <c r="S13" s="35" t="str">
        <f>MID(Tabla1[[#This Row],[Aplicación]],6,2)</f>
        <v>06</v>
      </c>
      <c r="T13" s="35" t="str">
        <f>VLOOKUP(Tabla1[[#This Row],[AREA]],Hoja1!A:B,2,FALSE)</f>
        <v>06. Educación, infancia, juventud e igualdad</v>
      </c>
      <c r="U13" s="35" t="str">
        <f>MID(Tabla1[[#This Row],[Aplicación]],9,4)</f>
        <v>3261</v>
      </c>
      <c r="V13" s="35" t="str">
        <f>VLOOKUP(Tabla1[[#This Row],[PROGRAMA]],Hoja1!A:B,2,FALSE)</f>
        <v>3261. Servicios complementarios de educación</v>
      </c>
      <c r="W13" s="35" t="str">
        <f>MID(Tabla1[[#This Row],[Aplicación]],14,2)</f>
        <v>22</v>
      </c>
      <c r="X13" s="35" t="str">
        <f>MID(Tabla1[[#This Row],[Aplicación]],14,6)</f>
        <v>22799</v>
      </c>
    </row>
    <row r="14" spans="1:24" x14ac:dyDescent="0.25">
      <c r="A14" s="45">
        <v>220210002865</v>
      </c>
      <c r="B14" s="46" t="s">
        <v>9</v>
      </c>
      <c r="C14" s="47">
        <v>44238</v>
      </c>
      <c r="D14" s="45">
        <v>22021002414</v>
      </c>
      <c r="E14" s="46" t="s">
        <v>844</v>
      </c>
      <c r="F14" s="48">
        <v>326.7</v>
      </c>
      <c r="G14" s="46" t="s">
        <v>845</v>
      </c>
      <c r="H14" s="46" t="s">
        <v>846</v>
      </c>
      <c r="I14" s="45" t="s">
        <v>125</v>
      </c>
      <c r="J14" s="46" t="s">
        <v>127</v>
      </c>
      <c r="K14" s="46" t="s">
        <v>127</v>
      </c>
      <c r="L14" s="46" t="s">
        <v>12</v>
      </c>
      <c r="M14" s="46" t="s">
        <v>10</v>
      </c>
      <c r="N14" s="46" t="s">
        <v>11</v>
      </c>
      <c r="O14" s="49" t="s">
        <v>815</v>
      </c>
      <c r="P14" s="46" t="s">
        <v>507</v>
      </c>
      <c r="Q14" s="35" t="str">
        <f>MID(Tabla1[[#This Row],[Aplicación]],14,1)</f>
        <v>2</v>
      </c>
      <c r="R14" s="35" t="s">
        <v>495</v>
      </c>
      <c r="S14" s="35" t="str">
        <f>MID(Tabla1[[#This Row],[Aplicación]],6,2)</f>
        <v>10</v>
      </c>
      <c r="T14" s="35" t="str">
        <f>VLOOKUP(Tabla1[[#This Row],[AREA]],Hoja1!A:B,2,FALSE)</f>
        <v>10. Servicios sociales y mediación comunitaria</v>
      </c>
      <c r="U14" s="35" t="str">
        <f>MID(Tabla1[[#This Row],[Aplicación]],9,4)</f>
        <v>2312</v>
      </c>
      <c r="V14" s="35" t="str">
        <f>VLOOKUP(Tabla1[[#This Row],[PROGRAMA]],Hoja1!A:B,2,FALSE)</f>
        <v>2312. Iniciativas sociales</v>
      </c>
      <c r="W14" s="35" t="str">
        <f>MID(Tabla1[[#This Row],[Aplicación]],14,2)</f>
        <v>21</v>
      </c>
      <c r="X14" s="35" t="str">
        <f>MID(Tabla1[[#This Row],[Aplicación]],14,6)</f>
        <v>212</v>
      </c>
    </row>
    <row r="15" spans="1:24" x14ac:dyDescent="0.25">
      <c r="A15" s="45">
        <v>220210003755</v>
      </c>
      <c r="B15" s="46" t="s">
        <v>9</v>
      </c>
      <c r="C15" s="47">
        <v>44243</v>
      </c>
      <c r="D15" s="45">
        <v>22021002630</v>
      </c>
      <c r="E15" s="46" t="s">
        <v>847</v>
      </c>
      <c r="F15" s="48">
        <v>321.86</v>
      </c>
      <c r="G15" s="46" t="s">
        <v>845</v>
      </c>
      <c r="H15" s="46" t="s">
        <v>848</v>
      </c>
      <c r="I15" s="45" t="s">
        <v>125</v>
      </c>
      <c r="J15" s="46" t="s">
        <v>127</v>
      </c>
      <c r="K15" s="46" t="s">
        <v>127</v>
      </c>
      <c r="L15" s="46" t="s">
        <v>12</v>
      </c>
      <c r="M15" s="46" t="s">
        <v>10</v>
      </c>
      <c r="N15" s="46" t="s">
        <v>11</v>
      </c>
      <c r="O15" s="49" t="s">
        <v>815</v>
      </c>
      <c r="P15" s="46" t="s">
        <v>507</v>
      </c>
      <c r="Q15" s="35" t="str">
        <f>MID(Tabla1[[#This Row],[Aplicación]],14,1)</f>
        <v>2</v>
      </c>
      <c r="R15" s="35" t="s">
        <v>495</v>
      </c>
      <c r="S15" s="35" t="str">
        <f>MID(Tabla1[[#This Row],[Aplicación]],6,2)</f>
        <v>11</v>
      </c>
      <c r="T15" s="35" t="str">
        <f>VLOOKUP(Tabla1[[#This Row],[AREA]],Hoja1!A:B,2,FALSE)</f>
        <v>11. Salud pública y seguridad ciudadana</v>
      </c>
      <c r="U15" s="35" t="str">
        <f>MID(Tabla1[[#This Row],[Aplicación]],9,4)</f>
        <v>3111</v>
      </c>
      <c r="V15" s="35" t="str">
        <f>VLOOKUP(Tabla1[[#This Row],[PROGRAMA]],Hoja1!A:B,2,FALSE)</f>
        <v>3111. Protección de la salubridad pública</v>
      </c>
      <c r="W15" s="35" t="str">
        <f>MID(Tabla1[[#This Row],[Aplicación]],14,2)</f>
        <v>21</v>
      </c>
      <c r="X15" s="35" t="str">
        <f>MID(Tabla1[[#This Row],[Aplicación]],14,6)</f>
        <v>212</v>
      </c>
    </row>
    <row r="16" spans="1:24" x14ac:dyDescent="0.25">
      <c r="A16" s="45">
        <v>220209000143</v>
      </c>
      <c r="B16" s="46" t="s">
        <v>9</v>
      </c>
      <c r="C16" s="47">
        <v>44198</v>
      </c>
      <c r="D16" s="45">
        <v>22021000213</v>
      </c>
      <c r="E16" s="46" t="s">
        <v>849</v>
      </c>
      <c r="F16" s="48">
        <v>50</v>
      </c>
      <c r="G16" s="46" t="s">
        <v>567</v>
      </c>
      <c r="H16" s="46" t="s">
        <v>850</v>
      </c>
      <c r="I16" s="45" t="s">
        <v>125</v>
      </c>
      <c r="J16" s="46" t="s">
        <v>645</v>
      </c>
      <c r="K16" s="46" t="s">
        <v>136</v>
      </c>
      <c r="L16" s="46" t="s">
        <v>15</v>
      </c>
      <c r="M16" s="46" t="s">
        <v>10</v>
      </c>
      <c r="N16" s="46" t="s">
        <v>11</v>
      </c>
      <c r="O16" s="49" t="s">
        <v>815</v>
      </c>
      <c r="P16" s="46" t="s">
        <v>507</v>
      </c>
      <c r="Q16" s="35" t="str">
        <f>MID(Tabla1[[#This Row],[Aplicación]],14,1)</f>
        <v>2</v>
      </c>
      <c r="R16" s="35" t="s">
        <v>495</v>
      </c>
      <c r="S16" s="35" t="str">
        <f>MID(Tabla1[[#This Row],[Aplicación]],6,2)</f>
        <v>08</v>
      </c>
      <c r="T16" s="35" t="str">
        <f>VLOOKUP(Tabla1[[#This Row],[AREA]],Hoja1!A:B,2,FALSE)</f>
        <v>08. Movilidad y espacio urbano</v>
      </c>
      <c r="U16" s="35" t="str">
        <f>MID(Tabla1[[#This Row],[Aplicación]],9,4)</f>
        <v>1301</v>
      </c>
      <c r="V16" s="35" t="str">
        <f>VLOOKUP(Tabla1[[#This Row],[PROGRAMA]],Hoja1!A:B,2,FALSE)</f>
        <v>1301. Dirección del área de seguridad</v>
      </c>
      <c r="W16" s="35" t="str">
        <f>MID(Tabla1[[#This Row],[Aplicación]],14,2)</f>
        <v>22</v>
      </c>
      <c r="X16" s="35" t="str">
        <f>MID(Tabla1[[#This Row],[Aplicación]],14,6)</f>
        <v>22699</v>
      </c>
    </row>
    <row r="17" spans="1:24" x14ac:dyDescent="0.25">
      <c r="A17" s="45">
        <v>220210004012</v>
      </c>
      <c r="B17" s="46" t="s">
        <v>9</v>
      </c>
      <c r="C17" s="47">
        <v>44244</v>
      </c>
      <c r="D17" s="45">
        <v>22021002557</v>
      </c>
      <c r="E17" s="46" t="s">
        <v>851</v>
      </c>
      <c r="F17" s="48">
        <v>500</v>
      </c>
      <c r="G17" s="46" t="s">
        <v>567</v>
      </c>
      <c r="H17" s="46" t="s">
        <v>852</v>
      </c>
      <c r="I17" s="45" t="s">
        <v>125</v>
      </c>
      <c r="J17" s="46" t="s">
        <v>645</v>
      </c>
      <c r="K17" s="46" t="s">
        <v>136</v>
      </c>
      <c r="L17" s="46" t="s">
        <v>15</v>
      </c>
      <c r="M17" s="46" t="s">
        <v>10</v>
      </c>
      <c r="N17" s="46" t="s">
        <v>11</v>
      </c>
      <c r="O17" s="49" t="s">
        <v>815</v>
      </c>
      <c r="P17" s="46" t="s">
        <v>507</v>
      </c>
      <c r="Q17" s="35" t="str">
        <f>MID(Tabla1[[#This Row],[Aplicación]],14,1)</f>
        <v>2</v>
      </c>
      <c r="R17" s="35" t="s">
        <v>495</v>
      </c>
      <c r="S17" s="35" t="str">
        <f>MID(Tabla1[[#This Row],[Aplicación]],6,2)</f>
        <v>01</v>
      </c>
      <c r="T17" s="35" t="str">
        <f>VLOOKUP(Tabla1[[#This Row],[AREA]],Hoja1!A:B,2,FALSE)</f>
        <v>01. Alcaldía</v>
      </c>
      <c r="U17" s="35" t="str">
        <f>MID(Tabla1[[#This Row],[Aplicación]],9,4)</f>
        <v>9312</v>
      </c>
      <c r="V17" s="35" t="str">
        <f>VLOOKUP(Tabla1[[#This Row],[PROGRAMA]],Hoja1!A:B,2,FALSE)</f>
        <v>9312. Intervención general</v>
      </c>
      <c r="W17" s="35" t="str">
        <f>MID(Tabla1[[#This Row],[Aplicación]],14,2)</f>
        <v>22</v>
      </c>
      <c r="X17" s="35" t="str">
        <f>MID(Tabla1[[#This Row],[Aplicación]],14,6)</f>
        <v>22699</v>
      </c>
    </row>
    <row r="18" spans="1:24" x14ac:dyDescent="0.25">
      <c r="A18" s="45">
        <v>220210004580</v>
      </c>
      <c r="B18" s="46" t="s">
        <v>9</v>
      </c>
      <c r="C18" s="47">
        <v>44246</v>
      </c>
      <c r="D18" s="45">
        <v>22021002879</v>
      </c>
      <c r="E18" s="46" t="s">
        <v>849</v>
      </c>
      <c r="F18" s="48">
        <v>320</v>
      </c>
      <c r="G18" s="46" t="s">
        <v>567</v>
      </c>
      <c r="H18" s="46" t="s">
        <v>853</v>
      </c>
      <c r="I18" s="45" t="s">
        <v>125</v>
      </c>
      <c r="J18" s="46" t="s">
        <v>645</v>
      </c>
      <c r="K18" s="46" t="s">
        <v>136</v>
      </c>
      <c r="L18" s="46" t="s">
        <v>15</v>
      </c>
      <c r="M18" s="46" t="s">
        <v>10</v>
      </c>
      <c r="N18" s="46" t="s">
        <v>11</v>
      </c>
      <c r="O18" s="49" t="s">
        <v>815</v>
      </c>
      <c r="P18" s="46" t="s">
        <v>507</v>
      </c>
      <c r="Q18" s="35" t="str">
        <f>MID(Tabla1[[#This Row],[Aplicación]],14,1)</f>
        <v>2</v>
      </c>
      <c r="R18" s="35" t="s">
        <v>495</v>
      </c>
      <c r="S18" s="35" t="str">
        <f>MID(Tabla1[[#This Row],[Aplicación]],6,2)</f>
        <v>08</v>
      </c>
      <c r="T18" s="35" t="str">
        <f>VLOOKUP(Tabla1[[#This Row],[AREA]],Hoja1!A:B,2,FALSE)</f>
        <v>08. Movilidad y espacio urbano</v>
      </c>
      <c r="U18" s="35" t="str">
        <f>MID(Tabla1[[#This Row],[Aplicación]],9,4)</f>
        <v>1301</v>
      </c>
      <c r="V18" s="35" t="str">
        <f>VLOOKUP(Tabla1[[#This Row],[PROGRAMA]],Hoja1!A:B,2,FALSE)</f>
        <v>1301. Dirección del área de seguridad</v>
      </c>
      <c r="W18" s="35" t="str">
        <f>MID(Tabla1[[#This Row],[Aplicación]],14,2)</f>
        <v>22</v>
      </c>
      <c r="X18" s="35" t="str">
        <f>MID(Tabla1[[#This Row],[Aplicación]],14,6)</f>
        <v>22699</v>
      </c>
    </row>
    <row r="19" spans="1:24" x14ac:dyDescent="0.25">
      <c r="A19" s="45">
        <v>220210005227</v>
      </c>
      <c r="B19" s="46" t="s">
        <v>32</v>
      </c>
      <c r="C19" s="47">
        <v>44249</v>
      </c>
      <c r="D19" s="45">
        <v>22021002877</v>
      </c>
      <c r="E19" s="46" t="s">
        <v>851</v>
      </c>
      <c r="F19" s="48">
        <v>136.51</v>
      </c>
      <c r="G19" s="46" t="s">
        <v>567</v>
      </c>
      <c r="H19" s="46" t="s">
        <v>854</v>
      </c>
      <c r="I19" s="45" t="s">
        <v>234</v>
      </c>
      <c r="J19" s="46" t="s">
        <v>645</v>
      </c>
      <c r="K19" s="46" t="s">
        <v>136</v>
      </c>
      <c r="L19" s="46" t="s">
        <v>15</v>
      </c>
      <c r="M19" s="46" t="s">
        <v>10</v>
      </c>
      <c r="N19" s="46" t="s">
        <v>11</v>
      </c>
      <c r="O19" s="49" t="s">
        <v>815</v>
      </c>
      <c r="P19" s="46" t="s">
        <v>507</v>
      </c>
      <c r="Q19" s="35" t="str">
        <f>MID(Tabla1[[#This Row],[Aplicación]],14,1)</f>
        <v>2</v>
      </c>
      <c r="R19" s="35" t="s">
        <v>495</v>
      </c>
      <c r="S19" s="35" t="str">
        <f>MID(Tabla1[[#This Row],[Aplicación]],6,2)</f>
        <v>01</v>
      </c>
      <c r="T19" s="35" t="str">
        <f>VLOOKUP(Tabla1[[#This Row],[AREA]],Hoja1!A:B,2,FALSE)</f>
        <v>01. Alcaldía</v>
      </c>
      <c r="U19" s="35" t="str">
        <f>MID(Tabla1[[#This Row],[Aplicación]],9,4)</f>
        <v>9312</v>
      </c>
      <c r="V19" s="35" t="str">
        <f>VLOOKUP(Tabla1[[#This Row],[PROGRAMA]],Hoja1!A:B,2,FALSE)</f>
        <v>9312. Intervención general</v>
      </c>
      <c r="W19" s="35" t="str">
        <f>MID(Tabla1[[#This Row],[Aplicación]],14,2)</f>
        <v>22</v>
      </c>
      <c r="X19" s="35" t="str">
        <f>MID(Tabla1[[#This Row],[Aplicación]],14,6)</f>
        <v>22699</v>
      </c>
    </row>
    <row r="20" spans="1:24" x14ac:dyDescent="0.25">
      <c r="A20" s="45">
        <v>220209000162</v>
      </c>
      <c r="B20" s="46" t="s">
        <v>9</v>
      </c>
      <c r="C20" s="47">
        <v>44198</v>
      </c>
      <c r="D20" s="45">
        <v>22021000226</v>
      </c>
      <c r="E20" s="46" t="s">
        <v>818</v>
      </c>
      <c r="F20" s="48">
        <v>17150.8</v>
      </c>
      <c r="G20" s="46" t="s">
        <v>855</v>
      </c>
      <c r="H20" s="46" t="s">
        <v>856</v>
      </c>
      <c r="I20" s="45" t="s">
        <v>125</v>
      </c>
      <c r="J20" s="46" t="s">
        <v>127</v>
      </c>
      <c r="K20" s="46" t="s">
        <v>127</v>
      </c>
      <c r="L20" s="46" t="s">
        <v>12</v>
      </c>
      <c r="M20" s="46" t="s">
        <v>13</v>
      </c>
      <c r="N20" s="46" t="s">
        <v>14</v>
      </c>
      <c r="O20" s="49" t="s">
        <v>803</v>
      </c>
      <c r="P20" s="46" t="s">
        <v>507</v>
      </c>
      <c r="Q20" s="35" t="str">
        <f>MID(Tabla1[[#This Row],[Aplicación]],14,1)</f>
        <v>2</v>
      </c>
      <c r="R20" s="35" t="s">
        <v>495</v>
      </c>
      <c r="S20" s="35" t="str">
        <f>MID(Tabla1[[#This Row],[Aplicación]],6,2)</f>
        <v>09</v>
      </c>
      <c r="T20" s="35" t="str">
        <f>VLOOKUP(Tabla1[[#This Row],[AREA]],Hoja1!A:B,2,FALSE)</f>
        <v>09. Cultura y turismo</v>
      </c>
      <c r="U20" s="35" t="str">
        <f>MID(Tabla1[[#This Row],[Aplicación]],9,4)</f>
        <v>3341</v>
      </c>
      <c r="V20" s="35" t="str">
        <f>VLOOKUP(Tabla1[[#This Row],[PROGRAMA]],Hoja1!A:B,2,FALSE)</f>
        <v>3341. Coordinación de políticas culturales</v>
      </c>
      <c r="W20" s="35" t="str">
        <f>MID(Tabla1[[#This Row],[Aplicación]],14,2)</f>
        <v>22</v>
      </c>
      <c r="X20" s="35" t="str">
        <f>MID(Tabla1[[#This Row],[Aplicación]],14,6)</f>
        <v>22609</v>
      </c>
    </row>
    <row r="21" spans="1:24" x14ac:dyDescent="0.25">
      <c r="A21" s="45">
        <v>220209000163</v>
      </c>
      <c r="B21" s="46" t="s">
        <v>9</v>
      </c>
      <c r="C21" s="47">
        <v>44198</v>
      </c>
      <c r="D21" s="45">
        <v>22021000227</v>
      </c>
      <c r="E21" s="46" t="s">
        <v>818</v>
      </c>
      <c r="F21" s="48">
        <v>9655.7999999999993</v>
      </c>
      <c r="G21" s="46" t="s">
        <v>855</v>
      </c>
      <c r="H21" s="46" t="s">
        <v>857</v>
      </c>
      <c r="I21" s="45" t="s">
        <v>125</v>
      </c>
      <c r="J21" s="46" t="s">
        <v>127</v>
      </c>
      <c r="K21" s="46" t="s">
        <v>127</v>
      </c>
      <c r="L21" s="46" t="s">
        <v>12</v>
      </c>
      <c r="M21" s="46" t="s">
        <v>13</v>
      </c>
      <c r="N21" s="46" t="s">
        <v>14</v>
      </c>
      <c r="O21" s="49" t="s">
        <v>803</v>
      </c>
      <c r="P21" s="46" t="s">
        <v>507</v>
      </c>
      <c r="Q21" s="35" t="str">
        <f>MID(Tabla1[[#This Row],[Aplicación]],14,1)</f>
        <v>2</v>
      </c>
      <c r="R21" s="35" t="s">
        <v>495</v>
      </c>
      <c r="S21" s="35" t="str">
        <f>MID(Tabla1[[#This Row],[Aplicación]],6,2)</f>
        <v>09</v>
      </c>
      <c r="T21" s="35" t="str">
        <f>VLOOKUP(Tabla1[[#This Row],[AREA]],Hoja1!A:B,2,FALSE)</f>
        <v>09. Cultura y turismo</v>
      </c>
      <c r="U21" s="35" t="str">
        <f>MID(Tabla1[[#This Row],[Aplicación]],9,4)</f>
        <v>3341</v>
      </c>
      <c r="V21" s="35" t="str">
        <f>VLOOKUP(Tabla1[[#This Row],[PROGRAMA]],Hoja1!A:B,2,FALSE)</f>
        <v>3341. Coordinación de políticas culturales</v>
      </c>
      <c r="W21" s="35" t="str">
        <f>MID(Tabla1[[#This Row],[Aplicación]],14,2)</f>
        <v>22</v>
      </c>
      <c r="X21" s="35" t="str">
        <f>MID(Tabla1[[#This Row],[Aplicación]],14,6)</f>
        <v>22609</v>
      </c>
    </row>
    <row r="22" spans="1:24" x14ac:dyDescent="0.25">
      <c r="A22" s="45">
        <v>220209000569</v>
      </c>
      <c r="B22" s="46" t="s">
        <v>9</v>
      </c>
      <c r="C22" s="47">
        <v>44198</v>
      </c>
      <c r="D22" s="45">
        <v>22021000594</v>
      </c>
      <c r="E22" s="46" t="s">
        <v>818</v>
      </c>
      <c r="F22" s="48">
        <v>7</v>
      </c>
      <c r="G22" s="46" t="s">
        <v>855</v>
      </c>
      <c r="H22" s="46" t="s">
        <v>858</v>
      </c>
      <c r="I22" s="45" t="s">
        <v>125</v>
      </c>
      <c r="J22" s="46" t="s">
        <v>127</v>
      </c>
      <c r="K22" s="46" t="s">
        <v>127</v>
      </c>
      <c r="L22" s="46" t="s">
        <v>12</v>
      </c>
      <c r="M22" s="46" t="s">
        <v>13</v>
      </c>
      <c r="N22" s="46" t="s">
        <v>14</v>
      </c>
      <c r="O22" s="49" t="s">
        <v>803</v>
      </c>
      <c r="P22" s="46" t="s">
        <v>507</v>
      </c>
      <c r="Q22" s="35" t="str">
        <f>MID(Tabla1[[#This Row],[Aplicación]],14,1)</f>
        <v>2</v>
      </c>
      <c r="R22" s="35" t="s">
        <v>495</v>
      </c>
      <c r="S22" s="35" t="str">
        <f>MID(Tabla1[[#This Row],[Aplicación]],6,2)</f>
        <v>09</v>
      </c>
      <c r="T22" s="35" t="str">
        <f>VLOOKUP(Tabla1[[#This Row],[AREA]],Hoja1!A:B,2,FALSE)</f>
        <v>09. Cultura y turismo</v>
      </c>
      <c r="U22" s="35" t="str">
        <f>MID(Tabla1[[#This Row],[Aplicación]],9,4)</f>
        <v>3341</v>
      </c>
      <c r="V22" s="35" t="str">
        <f>VLOOKUP(Tabla1[[#This Row],[PROGRAMA]],Hoja1!A:B,2,FALSE)</f>
        <v>3341. Coordinación de políticas culturales</v>
      </c>
      <c r="W22" s="35" t="str">
        <f>MID(Tabla1[[#This Row],[Aplicación]],14,2)</f>
        <v>22</v>
      </c>
      <c r="X22" s="35" t="str">
        <f>MID(Tabla1[[#This Row],[Aplicación]],14,6)</f>
        <v>22609</v>
      </c>
    </row>
    <row r="23" spans="1:24" x14ac:dyDescent="0.25">
      <c r="A23" s="45">
        <v>220209000782</v>
      </c>
      <c r="B23" s="46" t="s">
        <v>9</v>
      </c>
      <c r="C23" s="47">
        <v>44198</v>
      </c>
      <c r="D23" s="45">
        <v>22021002465</v>
      </c>
      <c r="E23" s="46" t="s">
        <v>859</v>
      </c>
      <c r="F23" s="48">
        <v>9015</v>
      </c>
      <c r="G23" s="46" t="s">
        <v>860</v>
      </c>
      <c r="H23" s="46" t="s">
        <v>861</v>
      </c>
      <c r="I23" s="45" t="s">
        <v>125</v>
      </c>
      <c r="J23" s="46" t="s">
        <v>862</v>
      </c>
      <c r="K23" s="46" t="s">
        <v>126</v>
      </c>
      <c r="L23" s="46" t="s">
        <v>12</v>
      </c>
      <c r="M23" s="46" t="s">
        <v>10</v>
      </c>
      <c r="N23" s="46" t="s">
        <v>11</v>
      </c>
      <c r="O23" s="49" t="s">
        <v>815</v>
      </c>
      <c r="P23" s="46" t="s">
        <v>507</v>
      </c>
      <c r="Q23" s="35" t="str">
        <f>MID(Tabla1[[#This Row],[Aplicación]],14,1)</f>
        <v>2</v>
      </c>
      <c r="R23" s="35" t="s">
        <v>495</v>
      </c>
      <c r="S23" s="35" t="str">
        <f>MID(Tabla1[[#This Row],[Aplicación]],6,2)</f>
        <v>05</v>
      </c>
      <c r="T23" s="35" t="str">
        <f>VLOOKUP(Tabla1[[#This Row],[AREA]],Hoja1!A:B,2,FALSE)</f>
        <v>05. Innovación, desarrollo económico, empleo y comercio</v>
      </c>
      <c r="U23" s="35" t="str">
        <f>MID(Tabla1[[#This Row],[Aplicación]],9,4)</f>
        <v>4331</v>
      </c>
      <c r="V23" s="35" t="str">
        <f>VLOOKUP(Tabla1[[#This Row],[PROGRAMA]],Hoja1!A:B,2,FALSE)</f>
        <v>4331. Desarrollo empresarial</v>
      </c>
      <c r="W23" s="35" t="str">
        <f>MID(Tabla1[[#This Row],[Aplicación]],14,2)</f>
        <v>22</v>
      </c>
      <c r="X23" s="35" t="str">
        <f>MID(Tabla1[[#This Row],[Aplicación]],14,6)</f>
        <v>22706</v>
      </c>
    </row>
    <row r="24" spans="1:24" x14ac:dyDescent="0.25">
      <c r="A24" s="45">
        <v>220210002499</v>
      </c>
      <c r="B24" s="46" t="s">
        <v>9</v>
      </c>
      <c r="C24" s="47">
        <v>44235</v>
      </c>
      <c r="D24" s="45">
        <v>22021001270</v>
      </c>
      <c r="E24" s="46" t="s">
        <v>863</v>
      </c>
      <c r="F24" s="48">
        <v>9275.67</v>
      </c>
      <c r="G24" s="46" t="s">
        <v>64</v>
      </c>
      <c r="H24" s="46" t="s">
        <v>864</v>
      </c>
      <c r="I24" s="45" t="s">
        <v>125</v>
      </c>
      <c r="J24" s="46" t="s">
        <v>180</v>
      </c>
      <c r="K24" s="46" t="s">
        <v>180</v>
      </c>
      <c r="L24" s="46" t="s">
        <v>12</v>
      </c>
      <c r="M24" s="46" t="s">
        <v>10</v>
      </c>
      <c r="N24" s="46" t="s">
        <v>11</v>
      </c>
      <c r="O24" s="49" t="s">
        <v>815</v>
      </c>
      <c r="P24" s="46" t="s">
        <v>507</v>
      </c>
      <c r="Q24" s="35" t="str">
        <f>MID(Tabla1[[#This Row],[Aplicación]],14,1)</f>
        <v>2</v>
      </c>
      <c r="R24" s="35" t="s">
        <v>495</v>
      </c>
      <c r="S24" s="35" t="str">
        <f>MID(Tabla1[[#This Row],[Aplicación]],6,2)</f>
        <v>01</v>
      </c>
      <c r="T24" s="35" t="str">
        <f>VLOOKUP(Tabla1[[#This Row],[AREA]],Hoja1!A:B,2,FALSE)</f>
        <v>01. Alcaldía</v>
      </c>
      <c r="U24" s="35" t="str">
        <f>MID(Tabla1[[#This Row],[Aplicación]],9,4)</f>
        <v>9207</v>
      </c>
      <c r="V24" s="35" t="str">
        <f>VLOOKUP(Tabla1[[#This Row],[PROGRAMA]],Hoja1!A:B,2,FALSE)</f>
        <v>9207. Gobierno y relaciones</v>
      </c>
      <c r="W24" s="35" t="str">
        <f>MID(Tabla1[[#This Row],[Aplicación]],14,2)</f>
        <v>22</v>
      </c>
      <c r="X24" s="35" t="str">
        <f>MID(Tabla1[[#This Row],[Aplicación]],14,6)</f>
        <v>22799</v>
      </c>
    </row>
    <row r="25" spans="1:24" x14ac:dyDescent="0.25">
      <c r="A25" s="45">
        <v>220210002501</v>
      </c>
      <c r="B25" s="46" t="s">
        <v>9</v>
      </c>
      <c r="C25" s="47">
        <v>44235</v>
      </c>
      <c r="D25" s="45">
        <v>22021001971</v>
      </c>
      <c r="E25" s="46" t="s">
        <v>863</v>
      </c>
      <c r="F25" s="48">
        <v>10529.62</v>
      </c>
      <c r="G25" s="46" t="s">
        <v>63</v>
      </c>
      <c r="H25" s="46" t="s">
        <v>865</v>
      </c>
      <c r="I25" s="45" t="s">
        <v>125</v>
      </c>
      <c r="J25" s="46" t="s">
        <v>126</v>
      </c>
      <c r="K25" s="46" t="s">
        <v>126</v>
      </c>
      <c r="L25" s="46" t="s">
        <v>12</v>
      </c>
      <c r="M25" s="46" t="s">
        <v>10</v>
      </c>
      <c r="N25" s="46" t="s">
        <v>11</v>
      </c>
      <c r="O25" s="49" t="s">
        <v>815</v>
      </c>
      <c r="P25" s="46" t="s">
        <v>507</v>
      </c>
      <c r="Q25" s="35" t="str">
        <f>MID(Tabla1[[#This Row],[Aplicación]],14,1)</f>
        <v>2</v>
      </c>
      <c r="R25" s="35" t="s">
        <v>495</v>
      </c>
      <c r="S25" s="35" t="str">
        <f>MID(Tabla1[[#This Row],[Aplicación]],6,2)</f>
        <v>01</v>
      </c>
      <c r="T25" s="35" t="str">
        <f>VLOOKUP(Tabla1[[#This Row],[AREA]],Hoja1!A:B,2,FALSE)</f>
        <v>01. Alcaldía</v>
      </c>
      <c r="U25" s="35" t="str">
        <f>MID(Tabla1[[#This Row],[Aplicación]],9,4)</f>
        <v>9207</v>
      </c>
      <c r="V25" s="35" t="str">
        <f>VLOOKUP(Tabla1[[#This Row],[PROGRAMA]],Hoja1!A:B,2,FALSE)</f>
        <v>9207. Gobierno y relaciones</v>
      </c>
      <c r="W25" s="35" t="str">
        <f>MID(Tabla1[[#This Row],[Aplicación]],14,2)</f>
        <v>22</v>
      </c>
      <c r="X25" s="35" t="str">
        <f>MID(Tabla1[[#This Row],[Aplicación]],14,6)</f>
        <v>22799</v>
      </c>
    </row>
    <row r="26" spans="1:24" x14ac:dyDescent="0.25">
      <c r="A26" s="45">
        <v>220210003984</v>
      </c>
      <c r="B26" s="46" t="s">
        <v>9</v>
      </c>
      <c r="C26" s="47">
        <v>44244</v>
      </c>
      <c r="D26" s="45">
        <v>22021002521</v>
      </c>
      <c r="E26" s="46" t="s">
        <v>866</v>
      </c>
      <c r="F26" s="48">
        <v>2000</v>
      </c>
      <c r="G26" s="46" t="s">
        <v>867</v>
      </c>
      <c r="H26" s="46" t="s">
        <v>868</v>
      </c>
      <c r="I26" s="45" t="s">
        <v>125</v>
      </c>
      <c r="J26" s="46" t="s">
        <v>660</v>
      </c>
      <c r="K26" s="46" t="s">
        <v>126</v>
      </c>
      <c r="L26" s="46" t="s">
        <v>15</v>
      </c>
      <c r="M26" s="46" t="s">
        <v>10</v>
      </c>
      <c r="N26" s="46" t="s">
        <v>11</v>
      </c>
      <c r="O26" s="49" t="s">
        <v>815</v>
      </c>
      <c r="P26" s="46" t="s">
        <v>507</v>
      </c>
      <c r="Q26" s="35" t="str">
        <f>MID(Tabla1[[#This Row],[Aplicación]],14,1)</f>
        <v>2</v>
      </c>
      <c r="R26" s="35" t="s">
        <v>495</v>
      </c>
      <c r="S26" s="35" t="str">
        <f>MID(Tabla1[[#This Row],[Aplicación]],6,2)</f>
        <v>07</v>
      </c>
      <c r="T26" s="35" t="str">
        <f>VLOOKUP(Tabla1[[#This Row],[AREA]],Hoja1!A:B,2,FALSE)</f>
        <v>07. Medio ambiente y desarrollo sostenible</v>
      </c>
      <c r="U26" s="35" t="str">
        <f>MID(Tabla1[[#This Row],[Aplicación]],9,4)</f>
        <v>1721</v>
      </c>
      <c r="V26" s="35" t="str">
        <f>VLOOKUP(Tabla1[[#This Row],[PROGRAMA]],Hoja1!A:B,2,FALSE)</f>
        <v>1721. Protección del medio ambiente</v>
      </c>
      <c r="W26" s="35" t="str">
        <f>MID(Tabla1[[#This Row],[Aplicación]],14,2)</f>
        <v>22</v>
      </c>
      <c r="X26" s="35" t="str">
        <f>MID(Tabla1[[#This Row],[Aplicación]],14,6)</f>
        <v>22199</v>
      </c>
    </row>
    <row r="27" spans="1:24" x14ac:dyDescent="0.25">
      <c r="A27" s="45">
        <v>220210003985</v>
      </c>
      <c r="B27" s="46" t="s">
        <v>9</v>
      </c>
      <c r="C27" s="47">
        <v>44244</v>
      </c>
      <c r="D27" s="45">
        <v>22021002522</v>
      </c>
      <c r="E27" s="46" t="s">
        <v>869</v>
      </c>
      <c r="F27" s="48">
        <v>7000</v>
      </c>
      <c r="G27" s="46" t="s">
        <v>867</v>
      </c>
      <c r="H27" s="46" t="s">
        <v>870</v>
      </c>
      <c r="I27" s="45" t="s">
        <v>125</v>
      </c>
      <c r="J27" s="46" t="s">
        <v>660</v>
      </c>
      <c r="K27" s="46" t="s">
        <v>126</v>
      </c>
      <c r="L27" s="46" t="s">
        <v>12</v>
      </c>
      <c r="M27" s="46" t="s">
        <v>10</v>
      </c>
      <c r="N27" s="46" t="s">
        <v>11</v>
      </c>
      <c r="O27" s="49" t="s">
        <v>815</v>
      </c>
      <c r="P27" s="46" t="s">
        <v>507</v>
      </c>
      <c r="Q27" s="35" t="str">
        <f>MID(Tabla1[[#This Row],[Aplicación]],14,1)</f>
        <v>2</v>
      </c>
      <c r="R27" s="35" t="s">
        <v>495</v>
      </c>
      <c r="S27" s="35" t="str">
        <f>MID(Tabla1[[#This Row],[Aplicación]],6,2)</f>
        <v>07</v>
      </c>
      <c r="T27" s="35" t="str">
        <f>VLOOKUP(Tabla1[[#This Row],[AREA]],Hoja1!A:B,2,FALSE)</f>
        <v>07. Medio ambiente y desarrollo sostenible</v>
      </c>
      <c r="U27" s="35" t="str">
        <f>MID(Tabla1[[#This Row],[Aplicación]],9,4)</f>
        <v>1721</v>
      </c>
      <c r="V27" s="35" t="str">
        <f>VLOOKUP(Tabla1[[#This Row],[PROGRAMA]],Hoja1!A:B,2,FALSE)</f>
        <v>1721. Protección del medio ambiente</v>
      </c>
      <c r="W27" s="35" t="str">
        <f>MID(Tabla1[[#This Row],[Aplicación]],14,2)</f>
        <v>21</v>
      </c>
      <c r="X27" s="35" t="str">
        <f>MID(Tabla1[[#This Row],[Aplicación]],14,6)</f>
        <v>213</v>
      </c>
    </row>
    <row r="28" spans="1:24" x14ac:dyDescent="0.25">
      <c r="A28" s="45">
        <v>220209000051</v>
      </c>
      <c r="B28" s="46" t="s">
        <v>9</v>
      </c>
      <c r="C28" s="47">
        <v>44198</v>
      </c>
      <c r="D28" s="45">
        <v>22021000194</v>
      </c>
      <c r="E28" s="46" t="s">
        <v>871</v>
      </c>
      <c r="F28" s="48">
        <v>27225</v>
      </c>
      <c r="G28" s="46" t="s">
        <v>671</v>
      </c>
      <c r="H28" s="46" t="s">
        <v>872</v>
      </c>
      <c r="I28" s="45" t="s">
        <v>125</v>
      </c>
      <c r="J28" s="46" t="s">
        <v>162</v>
      </c>
      <c r="K28" s="46" t="s">
        <v>162</v>
      </c>
      <c r="L28" s="46" t="s">
        <v>12</v>
      </c>
      <c r="M28" s="46" t="s">
        <v>13</v>
      </c>
      <c r="N28" s="46" t="s">
        <v>14</v>
      </c>
      <c r="O28" s="49" t="s">
        <v>803</v>
      </c>
      <c r="P28" s="46" t="s">
        <v>507</v>
      </c>
      <c r="Q28" s="35" t="str">
        <f>MID(Tabla1[[#This Row],[Aplicación]],14,1)</f>
        <v>2</v>
      </c>
      <c r="R28" s="35" t="s">
        <v>495</v>
      </c>
      <c r="S28" s="35" t="str">
        <f>MID(Tabla1[[#This Row],[Aplicación]],6,2)</f>
        <v>09</v>
      </c>
      <c r="T28" s="35" t="str">
        <f>VLOOKUP(Tabla1[[#This Row],[AREA]],Hoja1!A:B,2,FALSE)</f>
        <v>09. Cultura y turismo</v>
      </c>
      <c r="U28" s="35" t="str">
        <f>MID(Tabla1[[#This Row],[Aplicación]],9,4)</f>
        <v>3301</v>
      </c>
      <c r="V28" s="35" t="str">
        <f>VLOOKUP(Tabla1[[#This Row],[PROGRAMA]],Hoja1!A:B,2,FALSE)</f>
        <v>3301. Dirección del área de cultura</v>
      </c>
      <c r="W28" s="35" t="str">
        <f>MID(Tabla1[[#This Row],[Aplicación]],14,2)</f>
        <v>22</v>
      </c>
      <c r="X28" s="35" t="str">
        <f>MID(Tabla1[[#This Row],[Aplicación]],14,6)</f>
        <v>22706</v>
      </c>
    </row>
    <row r="29" spans="1:24" x14ac:dyDescent="0.25">
      <c r="A29" s="45">
        <v>220210001016</v>
      </c>
      <c r="B29" s="46" t="s">
        <v>9</v>
      </c>
      <c r="C29" s="47">
        <v>44223</v>
      </c>
      <c r="D29" s="45">
        <v>22021001896</v>
      </c>
      <c r="E29" s="46" t="s">
        <v>873</v>
      </c>
      <c r="F29" s="48">
        <v>358.37</v>
      </c>
      <c r="G29" s="46" t="s">
        <v>874</v>
      </c>
      <c r="H29" s="46" t="s">
        <v>875</v>
      </c>
      <c r="I29" s="45" t="s">
        <v>125</v>
      </c>
      <c r="J29" s="46" t="s">
        <v>600</v>
      </c>
      <c r="K29" s="46" t="s">
        <v>126</v>
      </c>
      <c r="L29" s="46" t="s">
        <v>15</v>
      </c>
      <c r="M29" s="46" t="s">
        <v>10</v>
      </c>
      <c r="N29" s="46" t="s">
        <v>11</v>
      </c>
      <c r="O29" s="49" t="s">
        <v>815</v>
      </c>
      <c r="P29" s="46" t="s">
        <v>507</v>
      </c>
      <c r="Q29" s="35" t="str">
        <f>MID(Tabla1[[#This Row],[Aplicación]],14,1)</f>
        <v>2</v>
      </c>
      <c r="R29" s="35" t="s">
        <v>495</v>
      </c>
      <c r="S29" s="35" t="str">
        <f>MID(Tabla1[[#This Row],[Aplicación]],6,2)</f>
        <v>10</v>
      </c>
      <c r="T29" s="35" t="str">
        <f>VLOOKUP(Tabla1[[#This Row],[AREA]],Hoja1!A:B,2,FALSE)</f>
        <v>10. Servicios sociales y mediación comunitaria</v>
      </c>
      <c r="U29" s="35" t="str">
        <f>MID(Tabla1[[#This Row],[Aplicación]],9,4)</f>
        <v>2412</v>
      </c>
      <c r="V29" s="35" t="str">
        <f>VLOOKUP(Tabla1[[#This Row],[PROGRAMA]],Hoja1!A:B,2,FALSE)</f>
        <v>2412. Formación para el empleo</v>
      </c>
      <c r="W29" s="35" t="str">
        <f>MID(Tabla1[[#This Row],[Aplicación]],14,2)</f>
        <v>22</v>
      </c>
      <c r="X29" s="35" t="str">
        <f>MID(Tabla1[[#This Row],[Aplicación]],14,6)</f>
        <v>22199</v>
      </c>
    </row>
    <row r="30" spans="1:24" x14ac:dyDescent="0.25">
      <c r="A30" s="45">
        <v>220210004010</v>
      </c>
      <c r="B30" s="46" t="s">
        <v>9</v>
      </c>
      <c r="C30" s="47">
        <v>44244</v>
      </c>
      <c r="D30" s="45">
        <v>22021002610</v>
      </c>
      <c r="E30" s="46" t="s">
        <v>876</v>
      </c>
      <c r="F30" s="48">
        <v>4000</v>
      </c>
      <c r="G30" s="46" t="s">
        <v>546</v>
      </c>
      <c r="H30" s="46" t="s">
        <v>877</v>
      </c>
      <c r="I30" s="45" t="s">
        <v>125</v>
      </c>
      <c r="J30" s="46" t="s">
        <v>714</v>
      </c>
      <c r="K30" s="46" t="s">
        <v>126</v>
      </c>
      <c r="L30" s="46" t="s">
        <v>15</v>
      </c>
      <c r="M30" s="46" t="s">
        <v>10</v>
      </c>
      <c r="N30" s="46" t="s">
        <v>11</v>
      </c>
      <c r="O30" s="49" t="s">
        <v>815</v>
      </c>
      <c r="P30" s="46" t="s">
        <v>507</v>
      </c>
      <c r="Q30" s="35" t="str">
        <f>MID(Tabla1[[#This Row],[Aplicación]],14,1)</f>
        <v>2</v>
      </c>
      <c r="R30" s="35" t="s">
        <v>495</v>
      </c>
      <c r="S30" s="35" t="str">
        <f>MID(Tabla1[[#This Row],[Aplicación]],6,2)</f>
        <v>11</v>
      </c>
      <c r="T30" s="35" t="str">
        <f>VLOOKUP(Tabla1[[#This Row],[AREA]],Hoja1!A:B,2,FALSE)</f>
        <v>11. Salud pública y seguridad ciudadana</v>
      </c>
      <c r="U30" s="35" t="str">
        <f>MID(Tabla1[[#This Row],[Aplicación]],9,4)</f>
        <v>1631</v>
      </c>
      <c r="V30" s="35" t="str">
        <f>VLOOKUP(Tabla1[[#This Row],[PROGRAMA]],Hoja1!A:B,2,FALSE)</f>
        <v>1631. Limpieza viaria</v>
      </c>
      <c r="W30" s="35" t="str">
        <f>MID(Tabla1[[#This Row],[Aplicación]],14,2)</f>
        <v>22</v>
      </c>
      <c r="X30" s="35" t="str">
        <f>MID(Tabla1[[#This Row],[Aplicación]],14,6)</f>
        <v>22110</v>
      </c>
    </row>
    <row r="31" spans="1:24" x14ac:dyDescent="0.25">
      <c r="A31" s="45">
        <v>220210001378</v>
      </c>
      <c r="B31" s="46" t="s">
        <v>9</v>
      </c>
      <c r="C31" s="47">
        <v>44228</v>
      </c>
      <c r="D31" s="45">
        <v>22021002084</v>
      </c>
      <c r="E31" s="46" t="s">
        <v>878</v>
      </c>
      <c r="F31" s="48">
        <v>520</v>
      </c>
      <c r="G31" s="46" t="s">
        <v>98</v>
      </c>
      <c r="H31" s="46" t="s">
        <v>879</v>
      </c>
      <c r="I31" s="45" t="s">
        <v>125</v>
      </c>
      <c r="J31" s="46" t="s">
        <v>126</v>
      </c>
      <c r="K31" s="46" t="s">
        <v>126</v>
      </c>
      <c r="L31" s="46" t="s">
        <v>12</v>
      </c>
      <c r="M31" s="46" t="s">
        <v>10</v>
      </c>
      <c r="N31" s="46" t="s">
        <v>11</v>
      </c>
      <c r="O31" s="49" t="s">
        <v>815</v>
      </c>
      <c r="P31" s="46" t="s">
        <v>507</v>
      </c>
      <c r="Q31" s="35" t="str">
        <f>MID(Tabla1[[#This Row],[Aplicación]],14,1)</f>
        <v>2</v>
      </c>
      <c r="R31" s="35" t="s">
        <v>495</v>
      </c>
      <c r="S31" s="35" t="str">
        <f>MID(Tabla1[[#This Row],[Aplicación]],6,2)</f>
        <v>05</v>
      </c>
      <c r="T31" s="35" t="str">
        <f>VLOOKUP(Tabla1[[#This Row],[AREA]],Hoja1!A:B,2,FALSE)</f>
        <v>05. Innovación, desarrollo económico, empleo y comercio</v>
      </c>
      <c r="U31" s="35" t="str">
        <f>MID(Tabla1[[#This Row],[Aplicación]],9,4)</f>
        <v>4331</v>
      </c>
      <c r="V31" s="35" t="str">
        <f>VLOOKUP(Tabla1[[#This Row],[PROGRAMA]],Hoja1!A:B,2,FALSE)</f>
        <v>4331. Desarrollo empresarial</v>
      </c>
      <c r="W31" s="35" t="str">
        <f>MID(Tabla1[[#This Row],[Aplicación]],14,2)</f>
        <v>20</v>
      </c>
      <c r="X31" s="35" t="str">
        <f>MID(Tabla1[[#This Row],[Aplicación]],14,6)</f>
        <v>203</v>
      </c>
    </row>
    <row r="32" spans="1:24" x14ac:dyDescent="0.25">
      <c r="A32" s="45">
        <v>220210004162</v>
      </c>
      <c r="B32" s="46" t="s">
        <v>32</v>
      </c>
      <c r="C32" s="47">
        <v>44244</v>
      </c>
      <c r="D32" s="45">
        <v>22021002744</v>
      </c>
      <c r="E32" s="46" t="s">
        <v>878</v>
      </c>
      <c r="F32" s="48">
        <v>39.81</v>
      </c>
      <c r="G32" s="46" t="s">
        <v>98</v>
      </c>
      <c r="H32" s="46" t="s">
        <v>880</v>
      </c>
      <c r="I32" s="45" t="s">
        <v>234</v>
      </c>
      <c r="J32" s="46" t="s">
        <v>126</v>
      </c>
      <c r="K32" s="46" t="s">
        <v>126</v>
      </c>
      <c r="L32" s="46" t="s">
        <v>12</v>
      </c>
      <c r="M32" s="46" t="s">
        <v>10</v>
      </c>
      <c r="N32" s="46" t="s">
        <v>11</v>
      </c>
      <c r="O32" s="49" t="s">
        <v>815</v>
      </c>
      <c r="P32" s="46" t="s">
        <v>507</v>
      </c>
      <c r="Q32" s="35" t="str">
        <f>MID(Tabla1[[#This Row],[Aplicación]],14,1)</f>
        <v>2</v>
      </c>
      <c r="R32" s="35" t="s">
        <v>495</v>
      </c>
      <c r="S32" s="35" t="str">
        <f>MID(Tabla1[[#This Row],[Aplicación]],6,2)</f>
        <v>05</v>
      </c>
      <c r="T32" s="35" t="str">
        <f>VLOOKUP(Tabla1[[#This Row],[AREA]],Hoja1!A:B,2,FALSE)</f>
        <v>05. Innovación, desarrollo económico, empleo y comercio</v>
      </c>
      <c r="U32" s="35" t="str">
        <f>MID(Tabla1[[#This Row],[Aplicación]],9,4)</f>
        <v>4331</v>
      </c>
      <c r="V32" s="35" t="str">
        <f>VLOOKUP(Tabla1[[#This Row],[PROGRAMA]],Hoja1!A:B,2,FALSE)</f>
        <v>4331. Desarrollo empresarial</v>
      </c>
      <c r="W32" s="35" t="str">
        <f>MID(Tabla1[[#This Row],[Aplicación]],14,2)</f>
        <v>20</v>
      </c>
      <c r="X32" s="35" t="str">
        <f>MID(Tabla1[[#This Row],[Aplicación]],14,6)</f>
        <v>203</v>
      </c>
    </row>
    <row r="33" spans="1:24" x14ac:dyDescent="0.25">
      <c r="A33" s="45">
        <v>220210010690</v>
      </c>
      <c r="B33" s="46" t="s">
        <v>9</v>
      </c>
      <c r="C33" s="47">
        <v>44278</v>
      </c>
      <c r="D33" s="45">
        <v>22021003179</v>
      </c>
      <c r="E33" s="46" t="s">
        <v>881</v>
      </c>
      <c r="F33" s="48">
        <v>11470.8</v>
      </c>
      <c r="G33" s="46" t="s">
        <v>783</v>
      </c>
      <c r="H33" s="46" t="s">
        <v>882</v>
      </c>
      <c r="I33" s="45" t="s">
        <v>125</v>
      </c>
      <c r="J33" s="46" t="s">
        <v>127</v>
      </c>
      <c r="K33" s="46" t="s">
        <v>127</v>
      </c>
      <c r="L33" s="46" t="s">
        <v>12</v>
      </c>
      <c r="M33" s="46" t="s">
        <v>10</v>
      </c>
      <c r="N33" s="46" t="s">
        <v>11</v>
      </c>
      <c r="O33" s="49" t="s">
        <v>815</v>
      </c>
      <c r="P33" s="46" t="s">
        <v>507</v>
      </c>
      <c r="Q33" s="35" t="str">
        <f>MID(Tabla1[[#This Row],[Aplicación]],14,1)</f>
        <v>2</v>
      </c>
      <c r="R33" s="35" t="s">
        <v>495</v>
      </c>
      <c r="S33" s="35" t="str">
        <f>MID(Tabla1[[#This Row],[Aplicación]],6,2)</f>
        <v>05</v>
      </c>
      <c r="T33" s="35" t="str">
        <f>VLOOKUP(Tabla1[[#This Row],[AREA]],Hoja1!A:B,2,FALSE)</f>
        <v>05. Innovación, desarrollo económico, empleo y comercio</v>
      </c>
      <c r="U33" s="35" t="str">
        <f>MID(Tabla1[[#This Row],[Aplicación]],9,4)</f>
        <v>4331</v>
      </c>
      <c r="V33" s="35" t="str">
        <f>VLOOKUP(Tabla1[[#This Row],[PROGRAMA]],Hoja1!A:B,2,FALSE)</f>
        <v>4331. Desarrollo empresarial</v>
      </c>
      <c r="W33" s="35" t="str">
        <f>MID(Tabla1[[#This Row],[Aplicación]],14,2)</f>
        <v>22</v>
      </c>
      <c r="X33" s="35" t="str">
        <f>MID(Tabla1[[#This Row],[Aplicación]],14,6)</f>
        <v>22799</v>
      </c>
    </row>
    <row r="34" spans="1:24" x14ac:dyDescent="0.25">
      <c r="A34" s="45">
        <v>220199000362</v>
      </c>
      <c r="B34" s="46" t="s">
        <v>9</v>
      </c>
      <c r="C34" s="47">
        <v>44198</v>
      </c>
      <c r="D34" s="45">
        <v>22021000150</v>
      </c>
      <c r="E34" s="46" t="s">
        <v>883</v>
      </c>
      <c r="F34" s="48">
        <v>115856.91</v>
      </c>
      <c r="G34" s="46" t="s">
        <v>278</v>
      </c>
      <c r="H34" s="46" t="s">
        <v>621</v>
      </c>
      <c r="I34" s="45" t="s">
        <v>125</v>
      </c>
      <c r="J34" s="46" t="s">
        <v>127</v>
      </c>
      <c r="K34" s="46" t="s">
        <v>127</v>
      </c>
      <c r="L34" s="46" t="s">
        <v>12</v>
      </c>
      <c r="M34" s="46" t="s">
        <v>13</v>
      </c>
      <c r="N34" s="46" t="s">
        <v>14</v>
      </c>
      <c r="O34" s="49" t="s">
        <v>803</v>
      </c>
      <c r="P34" s="46" t="s">
        <v>507</v>
      </c>
      <c r="Q34" s="35" t="str">
        <f>MID(Tabla1[[#This Row],[Aplicación]],14,1)</f>
        <v>2</v>
      </c>
      <c r="R34" s="35" t="s">
        <v>495</v>
      </c>
      <c r="S34" s="35" t="str">
        <f>MID(Tabla1[[#This Row],[Aplicación]],6,2)</f>
        <v>11</v>
      </c>
      <c r="T34" s="35" t="str">
        <f>VLOOKUP(Tabla1[[#This Row],[AREA]],Hoja1!A:B,2,FALSE)</f>
        <v>11. Salud pública y seguridad ciudadana</v>
      </c>
      <c r="U34" s="35" t="str">
        <f>MID(Tabla1[[#This Row],[Aplicación]],9,4)</f>
        <v>1621</v>
      </c>
      <c r="V34" s="35" t="str">
        <f>VLOOKUP(Tabla1[[#This Row],[PROGRAMA]],Hoja1!A:B,2,FALSE)</f>
        <v>1621. Servicio de limpieza</v>
      </c>
      <c r="W34" s="35" t="str">
        <f>MID(Tabla1[[#This Row],[Aplicación]],14,2)</f>
        <v>22</v>
      </c>
      <c r="X34" s="35" t="str">
        <f>MID(Tabla1[[#This Row],[Aplicación]],14,6)</f>
        <v>22700</v>
      </c>
    </row>
    <row r="35" spans="1:24" x14ac:dyDescent="0.25">
      <c r="A35" s="45">
        <v>220199000602</v>
      </c>
      <c r="B35" s="46" t="s">
        <v>9</v>
      </c>
      <c r="C35" s="47">
        <v>44198</v>
      </c>
      <c r="D35" s="45">
        <v>22021000166</v>
      </c>
      <c r="E35" s="46" t="s">
        <v>883</v>
      </c>
      <c r="F35" s="48">
        <v>26518.97</v>
      </c>
      <c r="G35" s="46" t="s">
        <v>278</v>
      </c>
      <c r="H35" s="46" t="s">
        <v>884</v>
      </c>
      <c r="I35" s="45" t="s">
        <v>125</v>
      </c>
      <c r="J35" s="46" t="s">
        <v>127</v>
      </c>
      <c r="K35" s="46" t="s">
        <v>127</v>
      </c>
      <c r="L35" s="46" t="s">
        <v>12</v>
      </c>
      <c r="M35" s="46" t="s">
        <v>13</v>
      </c>
      <c r="N35" s="46" t="s">
        <v>14</v>
      </c>
      <c r="O35" s="49" t="s">
        <v>803</v>
      </c>
      <c r="P35" s="46" t="s">
        <v>507</v>
      </c>
      <c r="Q35" s="35" t="str">
        <f>MID(Tabla1[[#This Row],[Aplicación]],14,1)</f>
        <v>2</v>
      </c>
      <c r="R35" s="35" t="s">
        <v>495</v>
      </c>
      <c r="S35" s="35" t="str">
        <f>MID(Tabla1[[#This Row],[Aplicación]],6,2)</f>
        <v>11</v>
      </c>
      <c r="T35" s="35" t="str">
        <f>VLOOKUP(Tabla1[[#This Row],[AREA]],Hoja1!A:B,2,FALSE)</f>
        <v>11. Salud pública y seguridad ciudadana</v>
      </c>
      <c r="U35" s="35" t="str">
        <f>MID(Tabla1[[#This Row],[Aplicación]],9,4)</f>
        <v>1621</v>
      </c>
      <c r="V35" s="35" t="str">
        <f>VLOOKUP(Tabla1[[#This Row],[PROGRAMA]],Hoja1!A:B,2,FALSE)</f>
        <v>1621. Servicio de limpieza</v>
      </c>
      <c r="W35" s="35" t="str">
        <f>MID(Tabla1[[#This Row],[Aplicación]],14,2)</f>
        <v>22</v>
      </c>
      <c r="X35" s="35" t="str">
        <f>MID(Tabla1[[#This Row],[Aplicación]],14,6)</f>
        <v>22700</v>
      </c>
    </row>
    <row r="36" spans="1:24" x14ac:dyDescent="0.25">
      <c r="A36" s="45">
        <v>220210004094</v>
      </c>
      <c r="B36" s="46" t="s">
        <v>32</v>
      </c>
      <c r="C36" s="47">
        <v>44244</v>
      </c>
      <c r="D36" s="45">
        <v>22021002633</v>
      </c>
      <c r="E36" s="46" t="s">
        <v>883</v>
      </c>
      <c r="F36" s="48">
        <v>17796.98</v>
      </c>
      <c r="G36" s="46" t="s">
        <v>278</v>
      </c>
      <c r="H36" s="46" t="s">
        <v>885</v>
      </c>
      <c r="I36" s="45" t="s">
        <v>234</v>
      </c>
      <c r="J36" s="46" t="s">
        <v>127</v>
      </c>
      <c r="K36" s="46" t="s">
        <v>127</v>
      </c>
      <c r="L36" s="46" t="s">
        <v>12</v>
      </c>
      <c r="M36" s="46" t="s">
        <v>13</v>
      </c>
      <c r="N36" s="46" t="s">
        <v>14</v>
      </c>
      <c r="O36" s="49" t="s">
        <v>803</v>
      </c>
      <c r="P36" s="46" t="s">
        <v>507</v>
      </c>
      <c r="Q36" s="35" t="str">
        <f>MID(Tabla1[[#This Row],[Aplicación]],14,1)</f>
        <v>2</v>
      </c>
      <c r="R36" s="35" t="s">
        <v>495</v>
      </c>
      <c r="S36" s="35" t="str">
        <f>MID(Tabla1[[#This Row],[Aplicación]],6,2)</f>
        <v>11</v>
      </c>
      <c r="T36" s="35" t="str">
        <f>VLOOKUP(Tabla1[[#This Row],[AREA]],Hoja1!A:B,2,FALSE)</f>
        <v>11. Salud pública y seguridad ciudadana</v>
      </c>
      <c r="U36" s="35" t="str">
        <f>MID(Tabla1[[#This Row],[Aplicación]],9,4)</f>
        <v>1621</v>
      </c>
      <c r="V36" s="35" t="str">
        <f>VLOOKUP(Tabla1[[#This Row],[PROGRAMA]],Hoja1!A:B,2,FALSE)</f>
        <v>1621. Servicio de limpieza</v>
      </c>
      <c r="W36" s="35" t="str">
        <f>MID(Tabla1[[#This Row],[Aplicación]],14,2)</f>
        <v>22</v>
      </c>
      <c r="X36" s="35" t="str">
        <f>MID(Tabla1[[#This Row],[Aplicación]],14,6)</f>
        <v>22700</v>
      </c>
    </row>
    <row r="37" spans="1:24" x14ac:dyDescent="0.25">
      <c r="A37" s="45">
        <v>220210002863</v>
      </c>
      <c r="B37" s="46" t="s">
        <v>9</v>
      </c>
      <c r="C37" s="47">
        <v>44238</v>
      </c>
      <c r="D37" s="45">
        <v>22021002389</v>
      </c>
      <c r="E37" s="46" t="s">
        <v>886</v>
      </c>
      <c r="F37" s="48">
        <v>180.42</v>
      </c>
      <c r="G37" s="46" t="s">
        <v>283</v>
      </c>
      <c r="H37" s="46" t="s">
        <v>887</v>
      </c>
      <c r="I37" s="45" t="s">
        <v>125</v>
      </c>
      <c r="J37" s="46" t="s">
        <v>127</v>
      </c>
      <c r="K37" s="46" t="s">
        <v>127</v>
      </c>
      <c r="L37" s="46" t="s">
        <v>15</v>
      </c>
      <c r="M37" s="46" t="s">
        <v>10</v>
      </c>
      <c r="N37" s="46" t="s">
        <v>11</v>
      </c>
      <c r="O37" s="49" t="s">
        <v>815</v>
      </c>
      <c r="P37" s="46" t="s">
        <v>507</v>
      </c>
      <c r="Q37" s="35" t="str">
        <f>MID(Tabla1[[#This Row],[Aplicación]],14,1)</f>
        <v>2</v>
      </c>
      <c r="R37" s="35" t="s">
        <v>495</v>
      </c>
      <c r="S37" s="35" t="str">
        <f>MID(Tabla1[[#This Row],[Aplicación]],6,2)</f>
        <v>10</v>
      </c>
      <c r="T37" s="35" t="str">
        <f>VLOOKUP(Tabla1[[#This Row],[AREA]],Hoja1!A:B,2,FALSE)</f>
        <v>10. Servicios sociales y mediación comunitaria</v>
      </c>
      <c r="U37" s="35" t="str">
        <f>MID(Tabla1[[#This Row],[Aplicación]],9,4)</f>
        <v>2311</v>
      </c>
      <c r="V37" s="35" t="str">
        <f>VLOOKUP(Tabla1[[#This Row],[PROGRAMA]],Hoja1!A:B,2,FALSE)</f>
        <v>2311. Intervención social</v>
      </c>
      <c r="W37" s="35" t="str">
        <f>MID(Tabla1[[#This Row],[Aplicación]],14,2)</f>
        <v>21</v>
      </c>
      <c r="X37" s="35" t="str">
        <f>MID(Tabla1[[#This Row],[Aplicación]],14,6)</f>
        <v>213</v>
      </c>
    </row>
    <row r="38" spans="1:24" x14ac:dyDescent="0.25">
      <c r="A38" s="45">
        <v>220210002837</v>
      </c>
      <c r="B38" s="46" t="s">
        <v>9</v>
      </c>
      <c r="C38" s="47">
        <v>44238</v>
      </c>
      <c r="D38" s="45">
        <v>22021002242</v>
      </c>
      <c r="E38" s="46" t="s">
        <v>888</v>
      </c>
      <c r="F38" s="48">
        <v>770</v>
      </c>
      <c r="G38" s="46" t="s">
        <v>67</v>
      </c>
      <c r="H38" s="46" t="s">
        <v>889</v>
      </c>
      <c r="I38" s="45" t="s">
        <v>125</v>
      </c>
      <c r="J38" s="46" t="s">
        <v>127</v>
      </c>
      <c r="K38" s="46" t="s">
        <v>127</v>
      </c>
      <c r="L38" s="46" t="s">
        <v>12</v>
      </c>
      <c r="M38" s="46" t="s">
        <v>10</v>
      </c>
      <c r="N38" s="46" t="s">
        <v>11</v>
      </c>
      <c r="O38" s="49" t="s">
        <v>815</v>
      </c>
      <c r="P38" s="46" t="s">
        <v>507</v>
      </c>
      <c r="Q38" s="35" t="str">
        <f>MID(Tabla1[[#This Row],[Aplicación]],14,1)</f>
        <v>2</v>
      </c>
      <c r="R38" s="35" t="s">
        <v>495</v>
      </c>
      <c r="S38" s="35" t="str">
        <f>MID(Tabla1[[#This Row],[Aplicación]],6,2)</f>
        <v>06</v>
      </c>
      <c r="T38" s="35" t="str">
        <f>VLOOKUP(Tabla1[[#This Row],[AREA]],Hoja1!A:B,2,FALSE)</f>
        <v>06. Educación, infancia, juventud e igualdad</v>
      </c>
      <c r="U38" s="35" t="str">
        <f>MID(Tabla1[[#This Row],[Aplicación]],9,4)</f>
        <v>2315</v>
      </c>
      <c r="V38" s="35" t="str">
        <f>VLOOKUP(Tabla1[[#This Row],[PROGRAMA]],Hoja1!A:B,2,FALSE)</f>
        <v>2315. Políticas de Igualdad e infancia</v>
      </c>
      <c r="W38" s="35" t="str">
        <f>MID(Tabla1[[#This Row],[Aplicación]],14,2)</f>
        <v>22</v>
      </c>
      <c r="X38" s="35" t="str">
        <f>MID(Tabla1[[#This Row],[Aplicación]],14,6)</f>
        <v>22613</v>
      </c>
    </row>
    <row r="39" spans="1:24" x14ac:dyDescent="0.25">
      <c r="A39" s="45">
        <v>220199000149</v>
      </c>
      <c r="B39" s="46" t="s">
        <v>9</v>
      </c>
      <c r="C39" s="47">
        <v>44198</v>
      </c>
      <c r="D39" s="45">
        <v>22021000127</v>
      </c>
      <c r="E39" s="46" t="s">
        <v>866</v>
      </c>
      <c r="F39" s="48">
        <v>10687.95</v>
      </c>
      <c r="G39" s="46" t="s">
        <v>547</v>
      </c>
      <c r="H39" s="46" t="s">
        <v>695</v>
      </c>
      <c r="I39" s="45" t="s">
        <v>125</v>
      </c>
      <c r="J39" s="46" t="s">
        <v>126</v>
      </c>
      <c r="K39" s="46" t="s">
        <v>126</v>
      </c>
      <c r="L39" s="46" t="s">
        <v>15</v>
      </c>
      <c r="M39" s="46" t="s">
        <v>13</v>
      </c>
      <c r="N39" s="46" t="s">
        <v>14</v>
      </c>
      <c r="O39" s="49" t="s">
        <v>803</v>
      </c>
      <c r="P39" s="46" t="s">
        <v>507</v>
      </c>
      <c r="Q39" s="35" t="str">
        <f>MID(Tabla1[[#This Row],[Aplicación]],14,1)</f>
        <v>2</v>
      </c>
      <c r="R39" s="35" t="s">
        <v>495</v>
      </c>
      <c r="S39" s="35" t="str">
        <f>MID(Tabla1[[#This Row],[Aplicación]],6,2)</f>
        <v>07</v>
      </c>
      <c r="T39" s="35" t="str">
        <f>VLOOKUP(Tabla1[[#This Row],[AREA]],Hoja1!A:B,2,FALSE)</f>
        <v>07. Medio ambiente y desarrollo sostenible</v>
      </c>
      <c r="U39" s="35" t="str">
        <f>MID(Tabla1[[#This Row],[Aplicación]],9,4)</f>
        <v>1721</v>
      </c>
      <c r="V39" s="35" t="str">
        <f>VLOOKUP(Tabla1[[#This Row],[PROGRAMA]],Hoja1!A:B,2,FALSE)</f>
        <v>1721. Protección del medio ambiente</v>
      </c>
      <c r="W39" s="35" t="str">
        <f>MID(Tabla1[[#This Row],[Aplicación]],14,2)</f>
        <v>22</v>
      </c>
      <c r="X39" s="35" t="str">
        <f>MID(Tabla1[[#This Row],[Aplicación]],14,6)</f>
        <v>22199</v>
      </c>
    </row>
    <row r="40" spans="1:24" x14ac:dyDescent="0.25">
      <c r="A40" s="45">
        <v>220210005523</v>
      </c>
      <c r="B40" s="46" t="s">
        <v>204</v>
      </c>
      <c r="C40" s="47">
        <v>44250</v>
      </c>
      <c r="D40" s="45">
        <v>22021002048</v>
      </c>
      <c r="E40" s="46" t="s">
        <v>890</v>
      </c>
      <c r="F40" s="48">
        <v>1044.0999999999999</v>
      </c>
      <c r="G40" s="46" t="s">
        <v>271</v>
      </c>
      <c r="H40" s="46" t="s">
        <v>891</v>
      </c>
      <c r="I40" s="45" t="s">
        <v>205</v>
      </c>
      <c r="J40" s="46" t="s">
        <v>127</v>
      </c>
      <c r="K40" s="46" t="s">
        <v>127</v>
      </c>
      <c r="L40" s="46" t="s">
        <v>15</v>
      </c>
      <c r="M40" s="46" t="s">
        <v>13</v>
      </c>
      <c r="N40" s="46" t="s">
        <v>14</v>
      </c>
      <c r="O40" s="49" t="s">
        <v>814</v>
      </c>
      <c r="P40" s="46" t="s">
        <v>507</v>
      </c>
      <c r="Q40" s="35" t="str">
        <f>MID(Tabla1[[#This Row],[Aplicación]],14,1)</f>
        <v>2</v>
      </c>
      <c r="R40" s="35" t="s">
        <v>495</v>
      </c>
      <c r="S40" s="35" t="str">
        <f>MID(Tabla1[[#This Row],[Aplicación]],6,2)</f>
        <v>11</v>
      </c>
      <c r="T40" s="35" t="str">
        <f>VLOOKUP(Tabla1[[#This Row],[AREA]],Hoja1!A:B,2,FALSE)</f>
        <v>11. Salud pública y seguridad ciudadana</v>
      </c>
      <c r="U40" s="35" t="str">
        <f>MID(Tabla1[[#This Row],[Aplicación]],9,4)</f>
        <v>1621</v>
      </c>
      <c r="V40" s="35" t="str">
        <f>VLOOKUP(Tabla1[[#This Row],[PROGRAMA]],Hoja1!A:B,2,FALSE)</f>
        <v>1621. Servicio de limpieza</v>
      </c>
      <c r="W40" s="35" t="str">
        <f>MID(Tabla1[[#This Row],[Aplicación]],14,2)</f>
        <v>21</v>
      </c>
      <c r="X40" s="35" t="str">
        <f>MID(Tabla1[[#This Row],[Aplicación]],14,6)</f>
        <v>214</v>
      </c>
    </row>
    <row r="41" spans="1:24" x14ac:dyDescent="0.25">
      <c r="A41" s="45">
        <v>220210005529</v>
      </c>
      <c r="B41" s="46" t="s">
        <v>204</v>
      </c>
      <c r="C41" s="47">
        <v>44250</v>
      </c>
      <c r="D41" s="45">
        <v>22021002048</v>
      </c>
      <c r="E41" s="46" t="s">
        <v>890</v>
      </c>
      <c r="F41" s="48">
        <v>839.26</v>
      </c>
      <c r="G41" s="46" t="s">
        <v>271</v>
      </c>
      <c r="H41" s="46" t="s">
        <v>892</v>
      </c>
      <c r="I41" s="45" t="s">
        <v>205</v>
      </c>
      <c r="J41" s="46" t="s">
        <v>127</v>
      </c>
      <c r="K41" s="46" t="s">
        <v>127</v>
      </c>
      <c r="L41" s="46" t="s">
        <v>15</v>
      </c>
      <c r="M41" s="46" t="s">
        <v>13</v>
      </c>
      <c r="N41" s="46" t="s">
        <v>14</v>
      </c>
      <c r="O41" s="49" t="s">
        <v>814</v>
      </c>
      <c r="P41" s="46" t="s">
        <v>507</v>
      </c>
      <c r="Q41" s="35" t="str">
        <f>MID(Tabla1[[#This Row],[Aplicación]],14,1)</f>
        <v>2</v>
      </c>
      <c r="R41" s="35" t="s">
        <v>495</v>
      </c>
      <c r="S41" s="35" t="str">
        <f>MID(Tabla1[[#This Row],[Aplicación]],6,2)</f>
        <v>11</v>
      </c>
      <c r="T41" s="35" t="str">
        <f>VLOOKUP(Tabla1[[#This Row],[AREA]],Hoja1!A:B,2,FALSE)</f>
        <v>11. Salud pública y seguridad ciudadana</v>
      </c>
      <c r="U41" s="35" t="str">
        <f>MID(Tabla1[[#This Row],[Aplicación]],9,4)</f>
        <v>1621</v>
      </c>
      <c r="V41" s="35" t="str">
        <f>VLOOKUP(Tabla1[[#This Row],[PROGRAMA]],Hoja1!A:B,2,FALSE)</f>
        <v>1621. Servicio de limpieza</v>
      </c>
      <c r="W41" s="35" t="str">
        <f>MID(Tabla1[[#This Row],[Aplicación]],14,2)</f>
        <v>21</v>
      </c>
      <c r="X41" s="35" t="str">
        <f>MID(Tabla1[[#This Row],[Aplicación]],14,6)</f>
        <v>214</v>
      </c>
    </row>
    <row r="42" spans="1:24" x14ac:dyDescent="0.25">
      <c r="A42" s="45">
        <v>220210005531</v>
      </c>
      <c r="B42" s="46" t="s">
        <v>204</v>
      </c>
      <c r="C42" s="47">
        <v>44250</v>
      </c>
      <c r="D42" s="45">
        <v>22021002048</v>
      </c>
      <c r="E42" s="46" t="s">
        <v>890</v>
      </c>
      <c r="F42" s="48">
        <v>785.08</v>
      </c>
      <c r="G42" s="46" t="s">
        <v>271</v>
      </c>
      <c r="H42" s="46" t="s">
        <v>893</v>
      </c>
      <c r="I42" s="45" t="s">
        <v>205</v>
      </c>
      <c r="J42" s="46" t="s">
        <v>127</v>
      </c>
      <c r="K42" s="46" t="s">
        <v>127</v>
      </c>
      <c r="L42" s="46" t="s">
        <v>15</v>
      </c>
      <c r="M42" s="46" t="s">
        <v>13</v>
      </c>
      <c r="N42" s="46" t="s">
        <v>14</v>
      </c>
      <c r="O42" s="49" t="s">
        <v>814</v>
      </c>
      <c r="P42" s="46" t="s">
        <v>507</v>
      </c>
      <c r="Q42" s="35" t="str">
        <f>MID(Tabla1[[#This Row],[Aplicación]],14,1)</f>
        <v>2</v>
      </c>
      <c r="R42" s="35" t="s">
        <v>495</v>
      </c>
      <c r="S42" s="35" t="str">
        <f>MID(Tabla1[[#This Row],[Aplicación]],6,2)</f>
        <v>11</v>
      </c>
      <c r="T42" s="35" t="str">
        <f>VLOOKUP(Tabla1[[#This Row],[AREA]],Hoja1!A:B,2,FALSE)</f>
        <v>11. Salud pública y seguridad ciudadana</v>
      </c>
      <c r="U42" s="35" t="str">
        <f>MID(Tabla1[[#This Row],[Aplicación]],9,4)</f>
        <v>1621</v>
      </c>
      <c r="V42" s="35" t="str">
        <f>VLOOKUP(Tabla1[[#This Row],[PROGRAMA]],Hoja1!A:B,2,FALSE)</f>
        <v>1621. Servicio de limpieza</v>
      </c>
      <c r="W42" s="35" t="str">
        <f>MID(Tabla1[[#This Row],[Aplicación]],14,2)</f>
        <v>21</v>
      </c>
      <c r="X42" s="35" t="str">
        <f>MID(Tabla1[[#This Row],[Aplicación]],14,6)</f>
        <v>214</v>
      </c>
    </row>
    <row r="43" spans="1:24" x14ac:dyDescent="0.25">
      <c r="A43" s="45">
        <v>220210006520</v>
      </c>
      <c r="B43" s="46" t="s">
        <v>204</v>
      </c>
      <c r="C43" s="47">
        <v>44253</v>
      </c>
      <c r="D43" s="45">
        <v>22021002048</v>
      </c>
      <c r="E43" s="46" t="s">
        <v>890</v>
      </c>
      <c r="F43" s="48">
        <v>1854.51</v>
      </c>
      <c r="G43" s="46" t="s">
        <v>271</v>
      </c>
      <c r="H43" s="46" t="s">
        <v>894</v>
      </c>
      <c r="I43" s="45" t="s">
        <v>205</v>
      </c>
      <c r="J43" s="46" t="s">
        <v>127</v>
      </c>
      <c r="K43" s="46" t="s">
        <v>127</v>
      </c>
      <c r="L43" s="46" t="s">
        <v>15</v>
      </c>
      <c r="M43" s="46" t="s">
        <v>13</v>
      </c>
      <c r="N43" s="46" t="s">
        <v>14</v>
      </c>
      <c r="O43" s="49" t="s">
        <v>814</v>
      </c>
      <c r="P43" s="46" t="s">
        <v>507</v>
      </c>
      <c r="Q43" s="35" t="str">
        <f>MID(Tabla1[[#This Row],[Aplicación]],14,1)</f>
        <v>2</v>
      </c>
      <c r="R43" s="35" t="s">
        <v>495</v>
      </c>
      <c r="S43" s="35" t="str">
        <f>MID(Tabla1[[#This Row],[Aplicación]],6,2)</f>
        <v>11</v>
      </c>
      <c r="T43" s="35" t="str">
        <f>VLOOKUP(Tabla1[[#This Row],[AREA]],Hoja1!A:B,2,FALSE)</f>
        <v>11. Salud pública y seguridad ciudadana</v>
      </c>
      <c r="U43" s="35" t="str">
        <f>MID(Tabla1[[#This Row],[Aplicación]],9,4)</f>
        <v>1621</v>
      </c>
      <c r="V43" s="35" t="str">
        <f>VLOOKUP(Tabla1[[#This Row],[PROGRAMA]],Hoja1!A:B,2,FALSE)</f>
        <v>1621. Servicio de limpieza</v>
      </c>
      <c r="W43" s="35" t="str">
        <f>MID(Tabla1[[#This Row],[Aplicación]],14,2)</f>
        <v>21</v>
      </c>
      <c r="X43" s="35" t="str">
        <f>MID(Tabla1[[#This Row],[Aplicación]],14,6)</f>
        <v>214</v>
      </c>
    </row>
    <row r="44" spans="1:24" x14ac:dyDescent="0.25">
      <c r="A44" s="45">
        <v>220210002383</v>
      </c>
      <c r="B44" s="46" t="s">
        <v>9</v>
      </c>
      <c r="C44" s="47">
        <v>44235</v>
      </c>
      <c r="D44" s="45">
        <v>22021002334</v>
      </c>
      <c r="E44" s="46" t="s">
        <v>895</v>
      </c>
      <c r="F44" s="48">
        <v>1100</v>
      </c>
      <c r="G44" s="46" t="s">
        <v>303</v>
      </c>
      <c r="H44" s="46" t="s">
        <v>896</v>
      </c>
      <c r="I44" s="45" t="s">
        <v>125</v>
      </c>
      <c r="J44" s="46" t="s">
        <v>127</v>
      </c>
      <c r="K44" s="46" t="s">
        <v>127</v>
      </c>
      <c r="L44" s="46" t="s">
        <v>15</v>
      </c>
      <c r="M44" s="46" t="s">
        <v>10</v>
      </c>
      <c r="N44" s="46" t="s">
        <v>11</v>
      </c>
      <c r="O44" s="49" t="s">
        <v>815</v>
      </c>
      <c r="P44" s="46" t="s">
        <v>507</v>
      </c>
      <c r="Q44" s="35" t="str">
        <f>MID(Tabla1[[#This Row],[Aplicación]],14,1)</f>
        <v>2</v>
      </c>
      <c r="R44" s="35" t="s">
        <v>495</v>
      </c>
      <c r="S44" s="35" t="str">
        <f>MID(Tabla1[[#This Row],[Aplicación]],6,2)</f>
        <v>08</v>
      </c>
      <c r="T44" s="35" t="str">
        <f>VLOOKUP(Tabla1[[#This Row],[AREA]],Hoja1!A:B,2,FALSE)</f>
        <v>08. Movilidad y espacio urbano</v>
      </c>
      <c r="U44" s="35" t="str">
        <f>MID(Tabla1[[#This Row],[Aplicación]],9,4)</f>
        <v>1532</v>
      </c>
      <c r="V44" s="35" t="str">
        <f>VLOOKUP(Tabla1[[#This Row],[PROGRAMA]],Hoja1!A:B,2,FALSE)</f>
        <v>1532. Pavimentación vias públicas y otros servicios urbanísticos</v>
      </c>
      <c r="W44" s="35" t="str">
        <f>MID(Tabla1[[#This Row],[Aplicación]],14,2)</f>
        <v>22</v>
      </c>
      <c r="X44" s="35" t="str">
        <f>MID(Tabla1[[#This Row],[Aplicación]],14,6)</f>
        <v>22199</v>
      </c>
    </row>
    <row r="45" spans="1:24" x14ac:dyDescent="0.25">
      <c r="A45" s="45">
        <v>220209000062</v>
      </c>
      <c r="B45" s="46" t="s">
        <v>9</v>
      </c>
      <c r="C45" s="47">
        <v>44198</v>
      </c>
      <c r="D45" s="45">
        <v>22021000198</v>
      </c>
      <c r="E45" s="46" t="s">
        <v>897</v>
      </c>
      <c r="F45" s="48">
        <v>1000</v>
      </c>
      <c r="G45" s="46" t="s">
        <v>68</v>
      </c>
      <c r="H45" s="46" t="s">
        <v>898</v>
      </c>
      <c r="I45" s="45" t="s">
        <v>125</v>
      </c>
      <c r="J45" s="46" t="s">
        <v>127</v>
      </c>
      <c r="K45" s="46" t="s">
        <v>127</v>
      </c>
      <c r="L45" s="46" t="s">
        <v>15</v>
      </c>
      <c r="M45" s="46" t="s">
        <v>13</v>
      </c>
      <c r="N45" s="46" t="s">
        <v>14</v>
      </c>
      <c r="O45" s="49" t="s">
        <v>803</v>
      </c>
      <c r="P45" s="46" t="s">
        <v>507</v>
      </c>
      <c r="Q45" s="35" t="str">
        <f>MID(Tabla1[[#This Row],[Aplicación]],14,1)</f>
        <v>2</v>
      </c>
      <c r="R45" s="35" t="s">
        <v>495</v>
      </c>
      <c r="S45" s="35" t="str">
        <f>MID(Tabla1[[#This Row],[Aplicación]],6,2)</f>
        <v>08</v>
      </c>
      <c r="T45" s="35" t="str">
        <f>VLOOKUP(Tabla1[[#This Row],[AREA]],Hoja1!A:B,2,FALSE)</f>
        <v>08. Movilidad y espacio urbano</v>
      </c>
      <c r="U45" s="35" t="str">
        <f>MID(Tabla1[[#This Row],[Aplicación]],9,4)</f>
        <v>1341</v>
      </c>
      <c r="V45" s="35" t="str">
        <f>VLOOKUP(Tabla1[[#This Row],[PROGRAMA]],Hoja1!A:B,2,FALSE)</f>
        <v>1341. Movilidad</v>
      </c>
      <c r="W45" s="35" t="str">
        <f>MID(Tabla1[[#This Row],[Aplicación]],14,2)</f>
        <v>20</v>
      </c>
      <c r="X45" s="35" t="str">
        <f>MID(Tabla1[[#This Row],[Aplicación]],14,6)</f>
        <v>203</v>
      </c>
    </row>
    <row r="46" spans="1:24" x14ac:dyDescent="0.25">
      <c r="A46" s="45">
        <v>220209000080</v>
      </c>
      <c r="B46" s="46" t="s">
        <v>9</v>
      </c>
      <c r="C46" s="47">
        <v>44198</v>
      </c>
      <c r="D46" s="45">
        <v>22021000069</v>
      </c>
      <c r="E46" s="46" t="s">
        <v>899</v>
      </c>
      <c r="F46" s="48">
        <v>2000</v>
      </c>
      <c r="G46" s="46" t="s">
        <v>68</v>
      </c>
      <c r="H46" s="46" t="s">
        <v>900</v>
      </c>
      <c r="I46" s="45" t="s">
        <v>125</v>
      </c>
      <c r="J46" s="46" t="s">
        <v>127</v>
      </c>
      <c r="K46" s="46" t="s">
        <v>127</v>
      </c>
      <c r="L46" s="46" t="s">
        <v>15</v>
      </c>
      <c r="M46" s="46" t="s">
        <v>13</v>
      </c>
      <c r="N46" s="46" t="s">
        <v>14</v>
      </c>
      <c r="O46" s="49" t="s">
        <v>803</v>
      </c>
      <c r="P46" s="46" t="s">
        <v>507</v>
      </c>
      <c r="Q46" s="35" t="str">
        <f>MID(Tabla1[[#This Row],[Aplicación]],14,1)</f>
        <v>2</v>
      </c>
      <c r="R46" s="35" t="s">
        <v>495</v>
      </c>
      <c r="S46" s="35" t="str">
        <f>MID(Tabla1[[#This Row],[Aplicación]],6,2)</f>
        <v>08</v>
      </c>
      <c r="T46" s="35" t="str">
        <f>VLOOKUP(Tabla1[[#This Row],[AREA]],Hoja1!A:B,2,FALSE)</f>
        <v>08. Movilidad y espacio urbano</v>
      </c>
      <c r="U46" s="35" t="str">
        <f>MID(Tabla1[[#This Row],[Aplicación]],9,4)</f>
        <v>1341</v>
      </c>
      <c r="V46" s="35" t="str">
        <f>VLOOKUP(Tabla1[[#This Row],[PROGRAMA]],Hoja1!A:B,2,FALSE)</f>
        <v>1341. Movilidad</v>
      </c>
      <c r="W46" s="35" t="str">
        <f>MID(Tabla1[[#This Row],[Aplicación]],14,2)</f>
        <v>21</v>
      </c>
      <c r="X46" s="35" t="str">
        <f>MID(Tabla1[[#This Row],[Aplicación]],14,6)</f>
        <v>213</v>
      </c>
    </row>
    <row r="47" spans="1:24" x14ac:dyDescent="0.25">
      <c r="A47" s="45">
        <v>220209000081</v>
      </c>
      <c r="B47" s="46" t="s">
        <v>9</v>
      </c>
      <c r="C47" s="47">
        <v>44198</v>
      </c>
      <c r="D47" s="45">
        <v>22021000070</v>
      </c>
      <c r="E47" s="46" t="s">
        <v>899</v>
      </c>
      <c r="F47" s="48">
        <v>1000</v>
      </c>
      <c r="G47" s="46" t="s">
        <v>68</v>
      </c>
      <c r="H47" s="46" t="s">
        <v>901</v>
      </c>
      <c r="I47" s="45" t="s">
        <v>125</v>
      </c>
      <c r="J47" s="46" t="s">
        <v>127</v>
      </c>
      <c r="K47" s="46" t="s">
        <v>127</v>
      </c>
      <c r="L47" s="46" t="s">
        <v>15</v>
      </c>
      <c r="M47" s="46" t="s">
        <v>13</v>
      </c>
      <c r="N47" s="46" t="s">
        <v>14</v>
      </c>
      <c r="O47" s="49" t="s">
        <v>803</v>
      </c>
      <c r="P47" s="46" t="s">
        <v>507</v>
      </c>
      <c r="Q47" s="35" t="str">
        <f>MID(Tabla1[[#This Row],[Aplicación]],14,1)</f>
        <v>2</v>
      </c>
      <c r="R47" s="35" t="s">
        <v>495</v>
      </c>
      <c r="S47" s="35" t="str">
        <f>MID(Tabla1[[#This Row],[Aplicación]],6,2)</f>
        <v>08</v>
      </c>
      <c r="T47" s="35" t="str">
        <f>VLOOKUP(Tabla1[[#This Row],[AREA]],Hoja1!A:B,2,FALSE)</f>
        <v>08. Movilidad y espacio urbano</v>
      </c>
      <c r="U47" s="35" t="str">
        <f>MID(Tabla1[[#This Row],[Aplicación]],9,4)</f>
        <v>1341</v>
      </c>
      <c r="V47" s="35" t="str">
        <f>VLOOKUP(Tabla1[[#This Row],[PROGRAMA]],Hoja1!A:B,2,FALSE)</f>
        <v>1341. Movilidad</v>
      </c>
      <c r="W47" s="35" t="str">
        <f>MID(Tabla1[[#This Row],[Aplicación]],14,2)</f>
        <v>21</v>
      </c>
      <c r="X47" s="35" t="str">
        <f>MID(Tabla1[[#This Row],[Aplicación]],14,6)</f>
        <v>213</v>
      </c>
    </row>
    <row r="48" spans="1:24" x14ac:dyDescent="0.25">
      <c r="A48" s="45">
        <v>220209000156</v>
      </c>
      <c r="B48" s="46" t="s">
        <v>9</v>
      </c>
      <c r="C48" s="47">
        <v>44198</v>
      </c>
      <c r="D48" s="45">
        <v>22021000222</v>
      </c>
      <c r="E48" s="46" t="s">
        <v>902</v>
      </c>
      <c r="F48" s="48">
        <v>65.95</v>
      </c>
      <c r="G48" s="46" t="s">
        <v>68</v>
      </c>
      <c r="H48" s="46" t="s">
        <v>903</v>
      </c>
      <c r="I48" s="45" t="s">
        <v>125</v>
      </c>
      <c r="J48" s="46" t="s">
        <v>127</v>
      </c>
      <c r="K48" s="46" t="s">
        <v>127</v>
      </c>
      <c r="L48" s="46" t="s">
        <v>15</v>
      </c>
      <c r="M48" s="46" t="s">
        <v>13</v>
      </c>
      <c r="N48" s="46" t="s">
        <v>14</v>
      </c>
      <c r="O48" s="49" t="s">
        <v>803</v>
      </c>
      <c r="P48" s="46" t="s">
        <v>507</v>
      </c>
      <c r="Q48" s="35" t="str">
        <f>MID(Tabla1[[#This Row],[Aplicación]],14,1)</f>
        <v>2</v>
      </c>
      <c r="R48" s="35" t="s">
        <v>495</v>
      </c>
      <c r="S48" s="35" t="str">
        <f>MID(Tabla1[[#This Row],[Aplicación]],6,2)</f>
        <v>01</v>
      </c>
      <c r="T48" s="35" t="str">
        <f>VLOOKUP(Tabla1[[#This Row],[AREA]],Hoja1!A:B,2,FALSE)</f>
        <v>01. Alcaldía</v>
      </c>
      <c r="U48" s="35" t="str">
        <f>MID(Tabla1[[#This Row],[Aplicación]],9,4)</f>
        <v>9203</v>
      </c>
      <c r="V48" s="35" t="str">
        <f>VLOOKUP(Tabla1[[#This Row],[PROGRAMA]],Hoja1!A:B,2,FALSE)</f>
        <v>9203. Unidad de régimen interior</v>
      </c>
      <c r="W48" s="35" t="str">
        <f>MID(Tabla1[[#This Row],[Aplicación]],14,2)</f>
        <v>20</v>
      </c>
      <c r="X48" s="35" t="str">
        <f>MID(Tabla1[[#This Row],[Aplicación]],14,6)</f>
        <v>203</v>
      </c>
    </row>
    <row r="49" spans="1:24" x14ac:dyDescent="0.25">
      <c r="A49" s="45">
        <v>220209000274</v>
      </c>
      <c r="B49" s="46" t="s">
        <v>9</v>
      </c>
      <c r="C49" s="47">
        <v>44198</v>
      </c>
      <c r="D49" s="45">
        <v>22021000254</v>
      </c>
      <c r="E49" s="46" t="s">
        <v>904</v>
      </c>
      <c r="F49" s="48">
        <v>160</v>
      </c>
      <c r="G49" s="46" t="s">
        <v>68</v>
      </c>
      <c r="H49" s="46" t="s">
        <v>905</v>
      </c>
      <c r="I49" s="45" t="s">
        <v>125</v>
      </c>
      <c r="J49" s="46" t="s">
        <v>127</v>
      </c>
      <c r="K49" s="46" t="s">
        <v>127</v>
      </c>
      <c r="L49" s="46" t="s">
        <v>15</v>
      </c>
      <c r="M49" s="46" t="s">
        <v>13</v>
      </c>
      <c r="N49" s="46" t="s">
        <v>14</v>
      </c>
      <c r="O49" s="49" t="s">
        <v>803</v>
      </c>
      <c r="P49" s="46" t="s">
        <v>507</v>
      </c>
      <c r="Q49" s="35" t="str">
        <f>MID(Tabla1[[#This Row],[Aplicación]],14,1)</f>
        <v>2</v>
      </c>
      <c r="R49" s="35" t="s">
        <v>495</v>
      </c>
      <c r="S49" s="35" t="str">
        <f>MID(Tabla1[[#This Row],[Aplicación]],6,2)</f>
        <v>04</v>
      </c>
      <c r="T49" s="35" t="str">
        <f>VLOOKUP(Tabla1[[#This Row],[AREA]],Hoja1!A:B,2,FALSE)</f>
        <v>04. Planificación y recursos</v>
      </c>
      <c r="U49" s="35" t="str">
        <f>MID(Tabla1[[#This Row],[Aplicación]],9,4)</f>
        <v>9202</v>
      </c>
      <c r="V49" s="35" t="str">
        <f>VLOOKUP(Tabla1[[#This Row],[PROGRAMA]],Hoja1!A:B,2,FALSE)</f>
        <v>9202. Gestión de recursos humanos</v>
      </c>
      <c r="W49" s="35" t="str">
        <f>MID(Tabla1[[#This Row],[Aplicación]],14,2)</f>
        <v>20</v>
      </c>
      <c r="X49" s="35" t="str">
        <f>MID(Tabla1[[#This Row],[Aplicación]],14,6)</f>
        <v>203</v>
      </c>
    </row>
    <row r="50" spans="1:24" x14ac:dyDescent="0.25">
      <c r="A50" s="45">
        <v>220209000275</v>
      </c>
      <c r="B50" s="46" t="s">
        <v>9</v>
      </c>
      <c r="C50" s="47">
        <v>44198</v>
      </c>
      <c r="D50" s="45">
        <v>22021000255</v>
      </c>
      <c r="E50" s="46" t="s">
        <v>906</v>
      </c>
      <c r="F50" s="48">
        <v>260</v>
      </c>
      <c r="G50" s="46" t="s">
        <v>68</v>
      </c>
      <c r="H50" s="46" t="s">
        <v>907</v>
      </c>
      <c r="I50" s="45" t="s">
        <v>125</v>
      </c>
      <c r="J50" s="46" t="s">
        <v>127</v>
      </c>
      <c r="K50" s="46" t="s">
        <v>127</v>
      </c>
      <c r="L50" s="46" t="s">
        <v>15</v>
      </c>
      <c r="M50" s="46" t="s">
        <v>13</v>
      </c>
      <c r="N50" s="46" t="s">
        <v>14</v>
      </c>
      <c r="O50" s="49" t="s">
        <v>803</v>
      </c>
      <c r="P50" s="46" t="s">
        <v>507</v>
      </c>
      <c r="Q50" s="35" t="str">
        <f>MID(Tabla1[[#This Row],[Aplicación]],14,1)</f>
        <v>2</v>
      </c>
      <c r="R50" s="35" t="s">
        <v>495</v>
      </c>
      <c r="S50" s="35" t="str">
        <f>MID(Tabla1[[#This Row],[Aplicación]],6,2)</f>
        <v>04</v>
      </c>
      <c r="T50" s="35" t="str">
        <f>VLOOKUP(Tabla1[[#This Row],[AREA]],Hoja1!A:B,2,FALSE)</f>
        <v>04. Planificación y recursos</v>
      </c>
      <c r="U50" s="35" t="str">
        <f>MID(Tabla1[[#This Row],[Aplicación]],9,4)</f>
        <v>9202</v>
      </c>
      <c r="V50" s="35" t="str">
        <f>VLOOKUP(Tabla1[[#This Row],[PROGRAMA]],Hoja1!A:B,2,FALSE)</f>
        <v>9202. Gestión de recursos humanos</v>
      </c>
      <c r="W50" s="35" t="str">
        <f>MID(Tabla1[[#This Row],[Aplicación]],14,2)</f>
        <v>21</v>
      </c>
      <c r="X50" s="35" t="str">
        <f>MID(Tabla1[[#This Row],[Aplicación]],14,6)</f>
        <v>213</v>
      </c>
    </row>
    <row r="51" spans="1:24" x14ac:dyDescent="0.25">
      <c r="A51" s="45">
        <v>220210002689</v>
      </c>
      <c r="B51" s="46" t="s">
        <v>9</v>
      </c>
      <c r="C51" s="47">
        <v>44237</v>
      </c>
      <c r="D51" s="45">
        <v>22021000540</v>
      </c>
      <c r="E51" s="46" t="s">
        <v>830</v>
      </c>
      <c r="F51" s="48">
        <v>700</v>
      </c>
      <c r="G51" s="46" t="s">
        <v>68</v>
      </c>
      <c r="H51" s="46" t="s">
        <v>908</v>
      </c>
      <c r="I51" s="45" t="s">
        <v>125</v>
      </c>
      <c r="J51" s="46" t="s">
        <v>127</v>
      </c>
      <c r="K51" s="46" t="s">
        <v>127</v>
      </c>
      <c r="L51" s="46" t="s">
        <v>15</v>
      </c>
      <c r="M51" s="46" t="s">
        <v>13</v>
      </c>
      <c r="N51" s="46" t="s">
        <v>14</v>
      </c>
      <c r="O51" s="49" t="s">
        <v>803</v>
      </c>
      <c r="P51" s="46" t="s">
        <v>507</v>
      </c>
      <c r="Q51" s="35" t="str">
        <f>MID(Tabla1[[#This Row],[Aplicación]],14,1)</f>
        <v>2</v>
      </c>
      <c r="R51" s="35" t="s">
        <v>495</v>
      </c>
      <c r="S51" s="35" t="str">
        <f>MID(Tabla1[[#This Row],[Aplicación]],6,2)</f>
        <v>01</v>
      </c>
      <c r="T51" s="35" t="str">
        <f>VLOOKUP(Tabla1[[#This Row],[AREA]],Hoja1!A:B,2,FALSE)</f>
        <v>01. Alcaldía</v>
      </c>
      <c r="U51" s="35" t="str">
        <f>MID(Tabla1[[#This Row],[Aplicación]],9,4)</f>
        <v>9203</v>
      </c>
      <c r="V51" s="35" t="str">
        <f>VLOOKUP(Tabla1[[#This Row],[PROGRAMA]],Hoja1!A:B,2,FALSE)</f>
        <v>9203. Unidad de régimen interior</v>
      </c>
      <c r="W51" s="35" t="str">
        <f>MID(Tabla1[[#This Row],[Aplicación]],14,2)</f>
        <v>21</v>
      </c>
      <c r="X51" s="35" t="str">
        <f>MID(Tabla1[[#This Row],[Aplicación]],14,6)</f>
        <v>213</v>
      </c>
    </row>
    <row r="52" spans="1:24" x14ac:dyDescent="0.25">
      <c r="A52" s="45">
        <v>220210002690</v>
      </c>
      <c r="B52" s="46" t="s">
        <v>9</v>
      </c>
      <c r="C52" s="47">
        <v>44237</v>
      </c>
      <c r="D52" s="45">
        <v>22021000541</v>
      </c>
      <c r="E52" s="46" t="s">
        <v>902</v>
      </c>
      <c r="F52" s="48">
        <v>725.45</v>
      </c>
      <c r="G52" s="46" t="s">
        <v>68</v>
      </c>
      <c r="H52" s="46" t="s">
        <v>909</v>
      </c>
      <c r="I52" s="45" t="s">
        <v>125</v>
      </c>
      <c r="J52" s="46" t="s">
        <v>127</v>
      </c>
      <c r="K52" s="46" t="s">
        <v>127</v>
      </c>
      <c r="L52" s="46" t="s">
        <v>15</v>
      </c>
      <c r="M52" s="46" t="s">
        <v>13</v>
      </c>
      <c r="N52" s="46" t="s">
        <v>14</v>
      </c>
      <c r="O52" s="49" t="s">
        <v>803</v>
      </c>
      <c r="P52" s="46" t="s">
        <v>507</v>
      </c>
      <c r="Q52" s="35" t="str">
        <f>MID(Tabla1[[#This Row],[Aplicación]],14,1)</f>
        <v>2</v>
      </c>
      <c r="R52" s="35" t="s">
        <v>495</v>
      </c>
      <c r="S52" s="35" t="str">
        <f>MID(Tabla1[[#This Row],[Aplicación]],6,2)</f>
        <v>01</v>
      </c>
      <c r="T52" s="35" t="str">
        <f>VLOOKUP(Tabla1[[#This Row],[AREA]],Hoja1!A:B,2,FALSE)</f>
        <v>01. Alcaldía</v>
      </c>
      <c r="U52" s="35" t="str">
        <f>MID(Tabla1[[#This Row],[Aplicación]],9,4)</f>
        <v>9203</v>
      </c>
      <c r="V52" s="35" t="str">
        <f>VLOOKUP(Tabla1[[#This Row],[PROGRAMA]],Hoja1!A:B,2,FALSE)</f>
        <v>9203. Unidad de régimen interior</v>
      </c>
      <c r="W52" s="35" t="str">
        <f>MID(Tabla1[[#This Row],[Aplicación]],14,2)</f>
        <v>20</v>
      </c>
      <c r="X52" s="35" t="str">
        <f>MID(Tabla1[[#This Row],[Aplicación]],14,6)</f>
        <v>203</v>
      </c>
    </row>
    <row r="53" spans="1:24" x14ac:dyDescent="0.25">
      <c r="A53" s="45">
        <v>220210002691</v>
      </c>
      <c r="B53" s="46" t="s">
        <v>9</v>
      </c>
      <c r="C53" s="47">
        <v>44237</v>
      </c>
      <c r="D53" s="45">
        <v>22021001199</v>
      </c>
      <c r="E53" s="46" t="s">
        <v>904</v>
      </c>
      <c r="F53" s="48">
        <v>990</v>
      </c>
      <c r="G53" s="46" t="s">
        <v>68</v>
      </c>
      <c r="H53" s="46" t="s">
        <v>910</v>
      </c>
      <c r="I53" s="45" t="s">
        <v>125</v>
      </c>
      <c r="J53" s="46" t="s">
        <v>127</v>
      </c>
      <c r="K53" s="46" t="s">
        <v>127</v>
      </c>
      <c r="L53" s="46" t="s">
        <v>15</v>
      </c>
      <c r="M53" s="46" t="s">
        <v>13</v>
      </c>
      <c r="N53" s="46" t="s">
        <v>14</v>
      </c>
      <c r="O53" s="49" t="s">
        <v>803</v>
      </c>
      <c r="P53" s="46" t="s">
        <v>507</v>
      </c>
      <c r="Q53" s="35" t="str">
        <f>MID(Tabla1[[#This Row],[Aplicación]],14,1)</f>
        <v>2</v>
      </c>
      <c r="R53" s="35" t="s">
        <v>495</v>
      </c>
      <c r="S53" s="35" t="str">
        <f>MID(Tabla1[[#This Row],[Aplicación]],6,2)</f>
        <v>04</v>
      </c>
      <c r="T53" s="35" t="str">
        <f>VLOOKUP(Tabla1[[#This Row],[AREA]],Hoja1!A:B,2,FALSE)</f>
        <v>04. Planificación y recursos</v>
      </c>
      <c r="U53" s="35" t="str">
        <f>MID(Tabla1[[#This Row],[Aplicación]],9,4)</f>
        <v>9202</v>
      </c>
      <c r="V53" s="35" t="str">
        <f>VLOOKUP(Tabla1[[#This Row],[PROGRAMA]],Hoja1!A:B,2,FALSE)</f>
        <v>9202. Gestión de recursos humanos</v>
      </c>
      <c r="W53" s="35" t="str">
        <f>MID(Tabla1[[#This Row],[Aplicación]],14,2)</f>
        <v>20</v>
      </c>
      <c r="X53" s="35" t="str">
        <f>MID(Tabla1[[#This Row],[Aplicación]],14,6)</f>
        <v>203</v>
      </c>
    </row>
    <row r="54" spans="1:24" x14ac:dyDescent="0.25">
      <c r="A54" s="45">
        <v>220210002692</v>
      </c>
      <c r="B54" s="46" t="s">
        <v>9</v>
      </c>
      <c r="C54" s="47">
        <v>44237</v>
      </c>
      <c r="D54" s="45">
        <v>22021001200</v>
      </c>
      <c r="E54" s="46" t="s">
        <v>906</v>
      </c>
      <c r="F54" s="48">
        <v>2240</v>
      </c>
      <c r="G54" s="46" t="s">
        <v>68</v>
      </c>
      <c r="H54" s="46" t="s">
        <v>911</v>
      </c>
      <c r="I54" s="45" t="s">
        <v>125</v>
      </c>
      <c r="J54" s="46" t="s">
        <v>127</v>
      </c>
      <c r="K54" s="46" t="s">
        <v>127</v>
      </c>
      <c r="L54" s="46" t="s">
        <v>15</v>
      </c>
      <c r="M54" s="46" t="s">
        <v>13</v>
      </c>
      <c r="N54" s="46" t="s">
        <v>14</v>
      </c>
      <c r="O54" s="49" t="s">
        <v>803</v>
      </c>
      <c r="P54" s="46" t="s">
        <v>507</v>
      </c>
      <c r="Q54" s="35" t="str">
        <f>MID(Tabla1[[#This Row],[Aplicación]],14,1)</f>
        <v>2</v>
      </c>
      <c r="R54" s="35" t="s">
        <v>495</v>
      </c>
      <c r="S54" s="35" t="str">
        <f>MID(Tabla1[[#This Row],[Aplicación]],6,2)</f>
        <v>04</v>
      </c>
      <c r="T54" s="35" t="str">
        <f>VLOOKUP(Tabla1[[#This Row],[AREA]],Hoja1!A:B,2,FALSE)</f>
        <v>04. Planificación y recursos</v>
      </c>
      <c r="U54" s="35" t="str">
        <f>MID(Tabla1[[#This Row],[Aplicación]],9,4)</f>
        <v>9202</v>
      </c>
      <c r="V54" s="35" t="str">
        <f>VLOOKUP(Tabla1[[#This Row],[PROGRAMA]],Hoja1!A:B,2,FALSE)</f>
        <v>9202. Gestión de recursos humanos</v>
      </c>
      <c r="W54" s="35" t="str">
        <f>MID(Tabla1[[#This Row],[Aplicación]],14,2)</f>
        <v>21</v>
      </c>
      <c r="X54" s="35" t="str">
        <f>MID(Tabla1[[#This Row],[Aplicación]],14,6)</f>
        <v>213</v>
      </c>
    </row>
    <row r="55" spans="1:24" x14ac:dyDescent="0.25">
      <c r="A55" s="45">
        <v>220210002759</v>
      </c>
      <c r="B55" s="46" t="s">
        <v>32</v>
      </c>
      <c r="C55" s="47">
        <v>44237</v>
      </c>
      <c r="D55" s="45">
        <v>22021001254</v>
      </c>
      <c r="E55" s="46" t="s">
        <v>902</v>
      </c>
      <c r="F55" s="48">
        <v>197.84</v>
      </c>
      <c r="G55" s="46" t="s">
        <v>68</v>
      </c>
      <c r="H55" s="46" t="s">
        <v>912</v>
      </c>
      <c r="I55" s="45" t="s">
        <v>234</v>
      </c>
      <c r="J55" s="46" t="s">
        <v>127</v>
      </c>
      <c r="K55" s="46" t="s">
        <v>127</v>
      </c>
      <c r="L55" s="46" t="s">
        <v>15</v>
      </c>
      <c r="M55" s="46" t="s">
        <v>13</v>
      </c>
      <c r="N55" s="46" t="s">
        <v>14</v>
      </c>
      <c r="O55" s="49" t="s">
        <v>803</v>
      </c>
      <c r="P55" s="46" t="s">
        <v>507</v>
      </c>
      <c r="Q55" s="35" t="str">
        <f>MID(Tabla1[[#This Row],[Aplicación]],14,1)</f>
        <v>2</v>
      </c>
      <c r="R55" s="35" t="s">
        <v>495</v>
      </c>
      <c r="S55" s="35" t="str">
        <f>MID(Tabla1[[#This Row],[Aplicación]],6,2)</f>
        <v>01</v>
      </c>
      <c r="T55" s="35" t="str">
        <f>VLOOKUP(Tabla1[[#This Row],[AREA]],Hoja1!A:B,2,FALSE)</f>
        <v>01. Alcaldía</v>
      </c>
      <c r="U55" s="35" t="str">
        <f>MID(Tabla1[[#This Row],[Aplicación]],9,4)</f>
        <v>9203</v>
      </c>
      <c r="V55" s="35" t="str">
        <f>VLOOKUP(Tabla1[[#This Row],[PROGRAMA]],Hoja1!A:B,2,FALSE)</f>
        <v>9203. Unidad de régimen interior</v>
      </c>
      <c r="W55" s="35" t="str">
        <f>MID(Tabla1[[#This Row],[Aplicación]],14,2)</f>
        <v>20</v>
      </c>
      <c r="X55" s="35" t="str">
        <f>MID(Tabla1[[#This Row],[Aplicación]],14,6)</f>
        <v>203</v>
      </c>
    </row>
    <row r="56" spans="1:24" x14ac:dyDescent="0.25">
      <c r="A56" s="45">
        <v>220210002820</v>
      </c>
      <c r="B56" s="46" t="s">
        <v>32</v>
      </c>
      <c r="C56" s="47">
        <v>44237</v>
      </c>
      <c r="D56" s="45">
        <v>22021002456</v>
      </c>
      <c r="E56" s="46" t="s">
        <v>904</v>
      </c>
      <c r="F56" s="48">
        <v>197.84</v>
      </c>
      <c r="G56" s="46" t="s">
        <v>68</v>
      </c>
      <c r="H56" s="46" t="s">
        <v>913</v>
      </c>
      <c r="I56" s="45" t="s">
        <v>234</v>
      </c>
      <c r="J56" s="46" t="s">
        <v>127</v>
      </c>
      <c r="K56" s="46" t="s">
        <v>127</v>
      </c>
      <c r="L56" s="46" t="s">
        <v>15</v>
      </c>
      <c r="M56" s="46" t="s">
        <v>13</v>
      </c>
      <c r="N56" s="46" t="s">
        <v>14</v>
      </c>
      <c r="O56" s="49" t="s">
        <v>803</v>
      </c>
      <c r="P56" s="46" t="s">
        <v>507</v>
      </c>
      <c r="Q56" s="35" t="str">
        <f>MID(Tabla1[[#This Row],[Aplicación]],14,1)</f>
        <v>2</v>
      </c>
      <c r="R56" s="35" t="s">
        <v>495</v>
      </c>
      <c r="S56" s="35" t="str">
        <f>MID(Tabla1[[#This Row],[Aplicación]],6,2)</f>
        <v>04</v>
      </c>
      <c r="T56" s="35" t="str">
        <f>VLOOKUP(Tabla1[[#This Row],[AREA]],Hoja1!A:B,2,FALSE)</f>
        <v>04. Planificación y recursos</v>
      </c>
      <c r="U56" s="35" t="str">
        <f>MID(Tabla1[[#This Row],[Aplicación]],9,4)</f>
        <v>9202</v>
      </c>
      <c r="V56" s="35" t="str">
        <f>VLOOKUP(Tabla1[[#This Row],[PROGRAMA]],Hoja1!A:B,2,FALSE)</f>
        <v>9202. Gestión de recursos humanos</v>
      </c>
      <c r="W56" s="35" t="str">
        <f>MID(Tabla1[[#This Row],[Aplicación]],14,2)</f>
        <v>20</v>
      </c>
      <c r="X56" s="35" t="str">
        <f>MID(Tabla1[[#This Row],[Aplicación]],14,6)</f>
        <v>203</v>
      </c>
    </row>
    <row r="57" spans="1:24" x14ac:dyDescent="0.25">
      <c r="A57" s="45">
        <v>220210002821</v>
      </c>
      <c r="B57" s="46" t="s">
        <v>32</v>
      </c>
      <c r="C57" s="47">
        <v>44237</v>
      </c>
      <c r="D57" s="45">
        <v>22021002467</v>
      </c>
      <c r="E57" s="46" t="s">
        <v>904</v>
      </c>
      <c r="F57" s="48">
        <v>197.84</v>
      </c>
      <c r="G57" s="46" t="s">
        <v>68</v>
      </c>
      <c r="H57" s="46" t="s">
        <v>914</v>
      </c>
      <c r="I57" s="45" t="s">
        <v>234</v>
      </c>
      <c r="J57" s="46" t="s">
        <v>127</v>
      </c>
      <c r="K57" s="46" t="s">
        <v>127</v>
      </c>
      <c r="L57" s="46" t="s">
        <v>15</v>
      </c>
      <c r="M57" s="46" t="s">
        <v>13</v>
      </c>
      <c r="N57" s="46" t="s">
        <v>14</v>
      </c>
      <c r="O57" s="49" t="s">
        <v>803</v>
      </c>
      <c r="P57" s="46" t="s">
        <v>507</v>
      </c>
      <c r="Q57" s="35" t="str">
        <f>MID(Tabla1[[#This Row],[Aplicación]],14,1)</f>
        <v>2</v>
      </c>
      <c r="R57" s="35" t="s">
        <v>495</v>
      </c>
      <c r="S57" s="35" t="str">
        <f>MID(Tabla1[[#This Row],[Aplicación]],6,2)</f>
        <v>04</v>
      </c>
      <c r="T57" s="35" t="str">
        <f>VLOOKUP(Tabla1[[#This Row],[AREA]],Hoja1!A:B,2,FALSE)</f>
        <v>04. Planificación y recursos</v>
      </c>
      <c r="U57" s="35" t="str">
        <f>MID(Tabla1[[#This Row],[Aplicación]],9,4)</f>
        <v>9202</v>
      </c>
      <c r="V57" s="35" t="str">
        <f>VLOOKUP(Tabla1[[#This Row],[PROGRAMA]],Hoja1!A:B,2,FALSE)</f>
        <v>9202. Gestión de recursos humanos</v>
      </c>
      <c r="W57" s="35" t="str">
        <f>MID(Tabla1[[#This Row],[Aplicación]],14,2)</f>
        <v>20</v>
      </c>
      <c r="X57" s="35" t="str">
        <f>MID(Tabla1[[#This Row],[Aplicación]],14,6)</f>
        <v>203</v>
      </c>
    </row>
    <row r="58" spans="1:24" x14ac:dyDescent="0.25">
      <c r="A58" s="45">
        <v>220210002822</v>
      </c>
      <c r="B58" s="46" t="s">
        <v>32</v>
      </c>
      <c r="C58" s="47">
        <v>44237</v>
      </c>
      <c r="D58" s="45">
        <v>22021002469</v>
      </c>
      <c r="E58" s="46" t="s">
        <v>906</v>
      </c>
      <c r="F58" s="48">
        <v>115.55</v>
      </c>
      <c r="G58" s="46" t="s">
        <v>68</v>
      </c>
      <c r="H58" s="46" t="s">
        <v>915</v>
      </c>
      <c r="I58" s="45" t="s">
        <v>234</v>
      </c>
      <c r="J58" s="46" t="s">
        <v>127</v>
      </c>
      <c r="K58" s="46" t="s">
        <v>127</v>
      </c>
      <c r="L58" s="46" t="s">
        <v>15</v>
      </c>
      <c r="M58" s="46" t="s">
        <v>13</v>
      </c>
      <c r="N58" s="46" t="s">
        <v>14</v>
      </c>
      <c r="O58" s="49" t="s">
        <v>803</v>
      </c>
      <c r="P58" s="46" t="s">
        <v>507</v>
      </c>
      <c r="Q58" s="35" t="str">
        <f>MID(Tabla1[[#This Row],[Aplicación]],14,1)</f>
        <v>2</v>
      </c>
      <c r="R58" s="35" t="s">
        <v>495</v>
      </c>
      <c r="S58" s="35" t="str">
        <f>MID(Tabla1[[#This Row],[Aplicación]],6,2)</f>
        <v>04</v>
      </c>
      <c r="T58" s="35" t="str">
        <f>VLOOKUP(Tabla1[[#This Row],[AREA]],Hoja1!A:B,2,FALSE)</f>
        <v>04. Planificación y recursos</v>
      </c>
      <c r="U58" s="35" t="str">
        <f>MID(Tabla1[[#This Row],[Aplicación]],9,4)</f>
        <v>9202</v>
      </c>
      <c r="V58" s="35" t="str">
        <f>VLOOKUP(Tabla1[[#This Row],[PROGRAMA]],Hoja1!A:B,2,FALSE)</f>
        <v>9202. Gestión de recursos humanos</v>
      </c>
      <c r="W58" s="35" t="str">
        <f>MID(Tabla1[[#This Row],[Aplicación]],14,2)</f>
        <v>21</v>
      </c>
      <c r="X58" s="35" t="str">
        <f>MID(Tabla1[[#This Row],[Aplicación]],14,6)</f>
        <v>213</v>
      </c>
    </row>
    <row r="59" spans="1:24" x14ac:dyDescent="0.25">
      <c r="A59" s="45">
        <v>220210002823</v>
      </c>
      <c r="B59" s="46" t="s">
        <v>32</v>
      </c>
      <c r="C59" s="47">
        <v>44237</v>
      </c>
      <c r="D59" s="45">
        <v>22021002471</v>
      </c>
      <c r="E59" s="46" t="s">
        <v>906</v>
      </c>
      <c r="F59" s="48">
        <v>352.43</v>
      </c>
      <c r="G59" s="46" t="s">
        <v>68</v>
      </c>
      <c r="H59" s="46" t="s">
        <v>916</v>
      </c>
      <c r="I59" s="45" t="s">
        <v>234</v>
      </c>
      <c r="J59" s="46" t="s">
        <v>127</v>
      </c>
      <c r="K59" s="46" t="s">
        <v>127</v>
      </c>
      <c r="L59" s="46" t="s">
        <v>15</v>
      </c>
      <c r="M59" s="46" t="s">
        <v>13</v>
      </c>
      <c r="N59" s="46" t="s">
        <v>14</v>
      </c>
      <c r="O59" s="49" t="s">
        <v>803</v>
      </c>
      <c r="P59" s="46" t="s">
        <v>507</v>
      </c>
      <c r="Q59" s="35" t="str">
        <f>MID(Tabla1[[#This Row],[Aplicación]],14,1)</f>
        <v>2</v>
      </c>
      <c r="R59" s="35" t="s">
        <v>495</v>
      </c>
      <c r="S59" s="35" t="str">
        <f>MID(Tabla1[[#This Row],[Aplicación]],6,2)</f>
        <v>04</v>
      </c>
      <c r="T59" s="35" t="str">
        <f>VLOOKUP(Tabla1[[#This Row],[AREA]],Hoja1!A:B,2,FALSE)</f>
        <v>04. Planificación y recursos</v>
      </c>
      <c r="U59" s="35" t="str">
        <f>MID(Tabla1[[#This Row],[Aplicación]],9,4)</f>
        <v>9202</v>
      </c>
      <c r="V59" s="35" t="str">
        <f>VLOOKUP(Tabla1[[#This Row],[PROGRAMA]],Hoja1!A:B,2,FALSE)</f>
        <v>9202. Gestión de recursos humanos</v>
      </c>
      <c r="W59" s="35" t="str">
        <f>MID(Tabla1[[#This Row],[Aplicación]],14,2)</f>
        <v>21</v>
      </c>
      <c r="X59" s="35" t="str">
        <f>MID(Tabla1[[#This Row],[Aplicación]],14,6)</f>
        <v>213</v>
      </c>
    </row>
    <row r="60" spans="1:24" x14ac:dyDescent="0.25">
      <c r="A60" s="45">
        <v>220210002947</v>
      </c>
      <c r="B60" s="46" t="s">
        <v>32</v>
      </c>
      <c r="C60" s="47">
        <v>44238</v>
      </c>
      <c r="D60" s="45">
        <v>22021002405</v>
      </c>
      <c r="E60" s="46" t="s">
        <v>917</v>
      </c>
      <c r="F60" s="48">
        <v>36.94</v>
      </c>
      <c r="G60" s="46" t="s">
        <v>68</v>
      </c>
      <c r="H60" s="46" t="s">
        <v>918</v>
      </c>
      <c r="I60" s="45" t="s">
        <v>234</v>
      </c>
      <c r="J60" s="46" t="s">
        <v>127</v>
      </c>
      <c r="K60" s="46" t="s">
        <v>127</v>
      </c>
      <c r="L60" s="46" t="s">
        <v>15</v>
      </c>
      <c r="M60" s="46" t="s">
        <v>13</v>
      </c>
      <c r="N60" s="46" t="s">
        <v>11</v>
      </c>
      <c r="O60" s="49" t="s">
        <v>803</v>
      </c>
      <c r="P60" s="46" t="s">
        <v>507</v>
      </c>
      <c r="Q60" s="35" t="str">
        <f>MID(Tabla1[[#This Row],[Aplicación]],14,1)</f>
        <v>2</v>
      </c>
      <c r="R60" s="35" t="s">
        <v>495</v>
      </c>
      <c r="S60" s="35" t="str">
        <f>MID(Tabla1[[#This Row],[Aplicación]],6,2)</f>
        <v>01</v>
      </c>
      <c r="T60" s="35" t="str">
        <f>VLOOKUP(Tabla1[[#This Row],[AREA]],Hoja1!A:B,2,FALSE)</f>
        <v>01. Alcaldía</v>
      </c>
      <c r="U60" s="35" t="str">
        <f>MID(Tabla1[[#This Row],[Aplicación]],9,4)</f>
        <v>9201</v>
      </c>
      <c r="V60" s="35" t="str">
        <f>VLOOKUP(Tabla1[[#This Row],[PROGRAMA]],Hoja1!A:B,2,FALSE)</f>
        <v>9201. Secretaría General</v>
      </c>
      <c r="W60" s="35" t="str">
        <f>MID(Tabla1[[#This Row],[Aplicación]],14,2)</f>
        <v>21</v>
      </c>
      <c r="X60" s="35" t="str">
        <f>MID(Tabla1[[#This Row],[Aplicación]],14,6)</f>
        <v>213</v>
      </c>
    </row>
    <row r="61" spans="1:24" x14ac:dyDescent="0.25">
      <c r="A61" s="45">
        <v>220210002948</v>
      </c>
      <c r="B61" s="46" t="s">
        <v>32</v>
      </c>
      <c r="C61" s="47">
        <v>44238</v>
      </c>
      <c r="D61" s="45">
        <v>22021002408</v>
      </c>
      <c r="E61" s="46" t="s">
        <v>917</v>
      </c>
      <c r="F61" s="48">
        <v>185.14</v>
      </c>
      <c r="G61" s="46" t="s">
        <v>68</v>
      </c>
      <c r="H61" s="46" t="s">
        <v>919</v>
      </c>
      <c r="I61" s="45" t="s">
        <v>234</v>
      </c>
      <c r="J61" s="46" t="s">
        <v>127</v>
      </c>
      <c r="K61" s="46" t="s">
        <v>127</v>
      </c>
      <c r="L61" s="46" t="s">
        <v>15</v>
      </c>
      <c r="M61" s="46" t="s">
        <v>13</v>
      </c>
      <c r="N61" s="46" t="s">
        <v>11</v>
      </c>
      <c r="O61" s="49" t="s">
        <v>803</v>
      </c>
      <c r="P61" s="46" t="s">
        <v>507</v>
      </c>
      <c r="Q61" s="35" t="str">
        <f>MID(Tabla1[[#This Row],[Aplicación]],14,1)</f>
        <v>2</v>
      </c>
      <c r="R61" s="35" t="s">
        <v>495</v>
      </c>
      <c r="S61" s="35" t="str">
        <f>MID(Tabla1[[#This Row],[Aplicación]],6,2)</f>
        <v>01</v>
      </c>
      <c r="T61" s="35" t="str">
        <f>VLOOKUP(Tabla1[[#This Row],[AREA]],Hoja1!A:B,2,FALSE)</f>
        <v>01. Alcaldía</v>
      </c>
      <c r="U61" s="35" t="str">
        <f>MID(Tabla1[[#This Row],[Aplicación]],9,4)</f>
        <v>9201</v>
      </c>
      <c r="V61" s="35" t="str">
        <f>VLOOKUP(Tabla1[[#This Row],[PROGRAMA]],Hoja1!A:B,2,FALSE)</f>
        <v>9201. Secretaría General</v>
      </c>
      <c r="W61" s="35" t="str">
        <f>MID(Tabla1[[#This Row],[Aplicación]],14,2)</f>
        <v>21</v>
      </c>
      <c r="X61" s="35" t="str">
        <f>MID(Tabla1[[#This Row],[Aplicación]],14,6)</f>
        <v>213</v>
      </c>
    </row>
    <row r="62" spans="1:24" x14ac:dyDescent="0.25">
      <c r="A62" s="45">
        <v>220210003874</v>
      </c>
      <c r="B62" s="46" t="s">
        <v>32</v>
      </c>
      <c r="C62" s="47">
        <v>44243</v>
      </c>
      <c r="D62" s="45">
        <v>22021002352</v>
      </c>
      <c r="E62" s="46" t="s">
        <v>830</v>
      </c>
      <c r="F62" s="48">
        <v>67.47</v>
      </c>
      <c r="G62" s="46" t="s">
        <v>68</v>
      </c>
      <c r="H62" s="46" t="s">
        <v>920</v>
      </c>
      <c r="I62" s="45" t="s">
        <v>234</v>
      </c>
      <c r="J62" s="46" t="s">
        <v>127</v>
      </c>
      <c r="K62" s="46" t="s">
        <v>127</v>
      </c>
      <c r="L62" s="46" t="s">
        <v>15</v>
      </c>
      <c r="M62" s="46" t="s">
        <v>13</v>
      </c>
      <c r="N62" s="46" t="s">
        <v>14</v>
      </c>
      <c r="O62" s="49" t="s">
        <v>803</v>
      </c>
      <c r="P62" s="46" t="s">
        <v>507</v>
      </c>
      <c r="Q62" s="35" t="str">
        <f>MID(Tabla1[[#This Row],[Aplicación]],14,1)</f>
        <v>2</v>
      </c>
      <c r="R62" s="35" t="s">
        <v>495</v>
      </c>
      <c r="S62" s="35" t="str">
        <f>MID(Tabla1[[#This Row],[Aplicación]],6,2)</f>
        <v>01</v>
      </c>
      <c r="T62" s="35" t="str">
        <f>VLOOKUP(Tabla1[[#This Row],[AREA]],Hoja1!A:B,2,FALSE)</f>
        <v>01. Alcaldía</v>
      </c>
      <c r="U62" s="35" t="str">
        <f>MID(Tabla1[[#This Row],[Aplicación]],9,4)</f>
        <v>9203</v>
      </c>
      <c r="V62" s="35" t="str">
        <f>VLOOKUP(Tabla1[[#This Row],[PROGRAMA]],Hoja1!A:B,2,FALSE)</f>
        <v>9203. Unidad de régimen interior</v>
      </c>
      <c r="W62" s="35" t="str">
        <f>MID(Tabla1[[#This Row],[Aplicación]],14,2)</f>
        <v>21</v>
      </c>
      <c r="X62" s="35" t="str">
        <f>MID(Tabla1[[#This Row],[Aplicación]],14,6)</f>
        <v>213</v>
      </c>
    </row>
    <row r="63" spans="1:24" x14ac:dyDescent="0.25">
      <c r="A63" s="45">
        <v>220210004035</v>
      </c>
      <c r="B63" s="46" t="s">
        <v>32</v>
      </c>
      <c r="C63" s="47">
        <v>44244</v>
      </c>
      <c r="D63" s="45">
        <v>22021002558</v>
      </c>
      <c r="E63" s="46" t="s">
        <v>921</v>
      </c>
      <c r="F63" s="48">
        <v>84.36</v>
      </c>
      <c r="G63" s="46" t="s">
        <v>68</v>
      </c>
      <c r="H63" s="46" t="s">
        <v>922</v>
      </c>
      <c r="I63" s="45" t="s">
        <v>234</v>
      </c>
      <c r="J63" s="46" t="s">
        <v>127</v>
      </c>
      <c r="K63" s="46" t="s">
        <v>127</v>
      </c>
      <c r="L63" s="46" t="s">
        <v>15</v>
      </c>
      <c r="M63" s="46" t="s">
        <v>13</v>
      </c>
      <c r="N63" s="46" t="s">
        <v>14</v>
      </c>
      <c r="O63" s="49" t="s">
        <v>803</v>
      </c>
      <c r="P63" s="46" t="s">
        <v>507</v>
      </c>
      <c r="Q63" s="35" t="str">
        <f>MID(Tabla1[[#This Row],[Aplicación]],14,1)</f>
        <v>2</v>
      </c>
      <c r="R63" s="35" t="s">
        <v>495</v>
      </c>
      <c r="S63" s="35" t="str">
        <f>MID(Tabla1[[#This Row],[Aplicación]],6,2)</f>
        <v>04</v>
      </c>
      <c r="T63" s="35" t="str">
        <f>VLOOKUP(Tabla1[[#This Row],[AREA]],Hoja1!A:B,2,FALSE)</f>
        <v>04. Planificación y recursos</v>
      </c>
      <c r="U63" s="35" t="str">
        <f>MID(Tabla1[[#This Row],[Aplicación]],9,4)</f>
        <v>9204</v>
      </c>
      <c r="V63" s="35" t="str">
        <f>VLOOKUP(Tabla1[[#This Row],[PROGRAMA]],Hoja1!A:B,2,FALSE)</f>
        <v>9204. Tecnologías de la información y comunicación</v>
      </c>
      <c r="W63" s="35" t="str">
        <f>MID(Tabla1[[#This Row],[Aplicación]],14,2)</f>
        <v>21</v>
      </c>
      <c r="X63" s="35" t="str">
        <f>MID(Tabla1[[#This Row],[Aplicación]],14,6)</f>
        <v>213</v>
      </c>
    </row>
    <row r="64" spans="1:24" x14ac:dyDescent="0.25">
      <c r="A64" s="45">
        <v>220210004036</v>
      </c>
      <c r="B64" s="46" t="s">
        <v>32</v>
      </c>
      <c r="C64" s="47">
        <v>44244</v>
      </c>
      <c r="D64" s="45">
        <v>22021002559</v>
      </c>
      <c r="E64" s="46" t="s">
        <v>921</v>
      </c>
      <c r="F64" s="48">
        <v>42.05</v>
      </c>
      <c r="G64" s="46" t="s">
        <v>68</v>
      </c>
      <c r="H64" s="46" t="s">
        <v>923</v>
      </c>
      <c r="I64" s="45" t="s">
        <v>234</v>
      </c>
      <c r="J64" s="46" t="s">
        <v>127</v>
      </c>
      <c r="K64" s="46" t="s">
        <v>127</v>
      </c>
      <c r="L64" s="46" t="s">
        <v>15</v>
      </c>
      <c r="M64" s="46" t="s">
        <v>13</v>
      </c>
      <c r="N64" s="46" t="s">
        <v>14</v>
      </c>
      <c r="O64" s="49" t="s">
        <v>803</v>
      </c>
      <c r="P64" s="46" t="s">
        <v>507</v>
      </c>
      <c r="Q64" s="35" t="str">
        <f>MID(Tabla1[[#This Row],[Aplicación]],14,1)</f>
        <v>2</v>
      </c>
      <c r="R64" s="35" t="s">
        <v>495</v>
      </c>
      <c r="S64" s="35" t="str">
        <f>MID(Tabla1[[#This Row],[Aplicación]],6,2)</f>
        <v>04</v>
      </c>
      <c r="T64" s="35" t="str">
        <f>VLOOKUP(Tabla1[[#This Row],[AREA]],Hoja1!A:B,2,FALSE)</f>
        <v>04. Planificación y recursos</v>
      </c>
      <c r="U64" s="35" t="str">
        <f>MID(Tabla1[[#This Row],[Aplicación]],9,4)</f>
        <v>9204</v>
      </c>
      <c r="V64" s="35" t="str">
        <f>VLOOKUP(Tabla1[[#This Row],[PROGRAMA]],Hoja1!A:B,2,FALSE)</f>
        <v>9204. Tecnologías de la información y comunicación</v>
      </c>
      <c r="W64" s="35" t="str">
        <f>MID(Tabla1[[#This Row],[Aplicación]],14,2)</f>
        <v>21</v>
      </c>
      <c r="X64" s="35" t="str">
        <f>MID(Tabla1[[#This Row],[Aplicación]],14,6)</f>
        <v>213</v>
      </c>
    </row>
    <row r="65" spans="1:24" x14ac:dyDescent="0.25">
      <c r="A65" s="45">
        <v>220210005215</v>
      </c>
      <c r="B65" s="46" t="s">
        <v>32</v>
      </c>
      <c r="C65" s="47">
        <v>44249</v>
      </c>
      <c r="D65" s="45">
        <v>22021002866</v>
      </c>
      <c r="E65" s="46" t="s">
        <v>924</v>
      </c>
      <c r="F65" s="48">
        <v>83.08</v>
      </c>
      <c r="G65" s="46" t="s">
        <v>68</v>
      </c>
      <c r="H65" s="46" t="s">
        <v>925</v>
      </c>
      <c r="I65" s="45" t="s">
        <v>234</v>
      </c>
      <c r="J65" s="46" t="s">
        <v>127</v>
      </c>
      <c r="K65" s="46" t="s">
        <v>127</v>
      </c>
      <c r="L65" s="46" t="s">
        <v>15</v>
      </c>
      <c r="M65" s="46" t="s">
        <v>13</v>
      </c>
      <c r="N65" s="46" t="s">
        <v>14</v>
      </c>
      <c r="O65" s="49" t="s">
        <v>803</v>
      </c>
      <c r="P65" s="46" t="s">
        <v>507</v>
      </c>
      <c r="Q65" s="35" t="str">
        <f>MID(Tabla1[[#This Row],[Aplicación]],14,1)</f>
        <v>2</v>
      </c>
      <c r="R65" s="35" t="s">
        <v>495</v>
      </c>
      <c r="S65" s="35" t="str">
        <f>MID(Tabla1[[#This Row],[Aplicación]],6,2)</f>
        <v>04</v>
      </c>
      <c r="T65" s="35" t="str">
        <f>VLOOKUP(Tabla1[[#This Row],[AREA]],Hoja1!A:B,2,FALSE)</f>
        <v>04. Planificación y recursos</v>
      </c>
      <c r="U65" s="35" t="str">
        <f>MID(Tabla1[[#This Row],[Aplicación]],9,4)</f>
        <v>3121</v>
      </c>
      <c r="V65" s="35" t="str">
        <f>VLOOKUP(Tabla1[[#This Row],[PROGRAMA]],Hoja1!A:B,2,FALSE)</f>
        <v>3121. Prevención y salud laboral</v>
      </c>
      <c r="W65" s="35" t="str">
        <f>MID(Tabla1[[#This Row],[Aplicación]],14,2)</f>
        <v>21</v>
      </c>
      <c r="X65" s="35" t="str">
        <f>MID(Tabla1[[#This Row],[Aplicación]],14,6)</f>
        <v>213</v>
      </c>
    </row>
    <row r="66" spans="1:24" x14ac:dyDescent="0.25">
      <c r="A66" s="45">
        <v>220210005229</v>
      </c>
      <c r="B66" s="46" t="s">
        <v>32</v>
      </c>
      <c r="C66" s="47">
        <v>44249</v>
      </c>
      <c r="D66" s="45">
        <v>22021002902</v>
      </c>
      <c r="E66" s="46" t="s">
        <v>926</v>
      </c>
      <c r="F66" s="48">
        <v>46.64</v>
      </c>
      <c r="G66" s="46" t="s">
        <v>68</v>
      </c>
      <c r="H66" s="46" t="s">
        <v>927</v>
      </c>
      <c r="I66" s="45" t="s">
        <v>234</v>
      </c>
      <c r="J66" s="46" t="s">
        <v>127</v>
      </c>
      <c r="K66" s="46" t="s">
        <v>127</v>
      </c>
      <c r="L66" s="46" t="s">
        <v>15</v>
      </c>
      <c r="M66" s="46" t="s">
        <v>13</v>
      </c>
      <c r="N66" s="46" t="s">
        <v>14</v>
      </c>
      <c r="O66" s="49" t="s">
        <v>803</v>
      </c>
      <c r="P66" s="46" t="s">
        <v>507</v>
      </c>
      <c r="Q66" s="35" t="str">
        <f>MID(Tabla1[[#This Row],[Aplicación]],14,1)</f>
        <v>2</v>
      </c>
      <c r="R66" s="35" t="s">
        <v>495</v>
      </c>
      <c r="S66" s="35" t="str">
        <f>MID(Tabla1[[#This Row],[Aplicación]],6,2)</f>
        <v>08</v>
      </c>
      <c r="T66" s="35" t="str">
        <f>VLOOKUP(Tabla1[[#This Row],[AREA]],Hoja1!A:B,2,FALSE)</f>
        <v>08. Movilidad y espacio urbano</v>
      </c>
      <c r="U66" s="35" t="str">
        <f>MID(Tabla1[[#This Row],[Aplicación]],9,4)</f>
        <v>1532</v>
      </c>
      <c r="V66" s="35" t="str">
        <f>VLOOKUP(Tabla1[[#This Row],[PROGRAMA]],Hoja1!A:B,2,FALSE)</f>
        <v>1532. Pavimentación vias públicas y otros servicios urbanísticos</v>
      </c>
      <c r="W66" s="35" t="str">
        <f>MID(Tabla1[[#This Row],[Aplicación]],14,2)</f>
        <v>21</v>
      </c>
      <c r="X66" s="35" t="str">
        <f>MID(Tabla1[[#This Row],[Aplicación]],14,6)</f>
        <v>213</v>
      </c>
    </row>
    <row r="67" spans="1:24" x14ac:dyDescent="0.25">
      <c r="A67" s="45">
        <v>220210005230</v>
      </c>
      <c r="B67" s="46" t="s">
        <v>32</v>
      </c>
      <c r="C67" s="47">
        <v>44249</v>
      </c>
      <c r="D67" s="45">
        <v>22021002903</v>
      </c>
      <c r="E67" s="46" t="s">
        <v>926</v>
      </c>
      <c r="F67" s="48">
        <v>66.5</v>
      </c>
      <c r="G67" s="46" t="s">
        <v>68</v>
      </c>
      <c r="H67" s="46" t="s">
        <v>928</v>
      </c>
      <c r="I67" s="45" t="s">
        <v>234</v>
      </c>
      <c r="J67" s="46" t="s">
        <v>127</v>
      </c>
      <c r="K67" s="46" t="s">
        <v>127</v>
      </c>
      <c r="L67" s="46" t="s">
        <v>15</v>
      </c>
      <c r="M67" s="46" t="s">
        <v>13</v>
      </c>
      <c r="N67" s="46" t="s">
        <v>14</v>
      </c>
      <c r="O67" s="49" t="s">
        <v>803</v>
      </c>
      <c r="P67" s="46" t="s">
        <v>507</v>
      </c>
      <c r="Q67" s="35" t="str">
        <f>MID(Tabla1[[#This Row],[Aplicación]],14,1)</f>
        <v>2</v>
      </c>
      <c r="R67" s="35" t="s">
        <v>495</v>
      </c>
      <c r="S67" s="35" t="str">
        <f>MID(Tabla1[[#This Row],[Aplicación]],6,2)</f>
        <v>08</v>
      </c>
      <c r="T67" s="35" t="str">
        <f>VLOOKUP(Tabla1[[#This Row],[AREA]],Hoja1!A:B,2,FALSE)</f>
        <v>08. Movilidad y espacio urbano</v>
      </c>
      <c r="U67" s="35" t="str">
        <f>MID(Tabla1[[#This Row],[Aplicación]],9,4)</f>
        <v>1532</v>
      </c>
      <c r="V67" s="35" t="str">
        <f>VLOOKUP(Tabla1[[#This Row],[PROGRAMA]],Hoja1!A:B,2,FALSE)</f>
        <v>1532. Pavimentación vias públicas y otros servicios urbanísticos</v>
      </c>
      <c r="W67" s="35" t="str">
        <f>MID(Tabla1[[#This Row],[Aplicación]],14,2)</f>
        <v>21</v>
      </c>
      <c r="X67" s="35" t="str">
        <f>MID(Tabla1[[#This Row],[Aplicación]],14,6)</f>
        <v>213</v>
      </c>
    </row>
    <row r="68" spans="1:24" x14ac:dyDescent="0.25">
      <c r="A68" s="45">
        <v>220210005231</v>
      </c>
      <c r="B68" s="46" t="s">
        <v>32</v>
      </c>
      <c r="C68" s="47">
        <v>44249</v>
      </c>
      <c r="D68" s="45">
        <v>22021002904</v>
      </c>
      <c r="E68" s="46" t="s">
        <v>926</v>
      </c>
      <c r="F68" s="48">
        <v>20.13</v>
      </c>
      <c r="G68" s="46" t="s">
        <v>68</v>
      </c>
      <c r="H68" s="46" t="s">
        <v>929</v>
      </c>
      <c r="I68" s="45" t="s">
        <v>234</v>
      </c>
      <c r="J68" s="46" t="s">
        <v>127</v>
      </c>
      <c r="K68" s="46" t="s">
        <v>127</v>
      </c>
      <c r="L68" s="46" t="s">
        <v>15</v>
      </c>
      <c r="M68" s="46" t="s">
        <v>13</v>
      </c>
      <c r="N68" s="46" t="s">
        <v>14</v>
      </c>
      <c r="O68" s="49" t="s">
        <v>803</v>
      </c>
      <c r="P68" s="46" t="s">
        <v>507</v>
      </c>
      <c r="Q68" s="35" t="str">
        <f>MID(Tabla1[[#This Row],[Aplicación]],14,1)</f>
        <v>2</v>
      </c>
      <c r="R68" s="35" t="s">
        <v>495</v>
      </c>
      <c r="S68" s="35" t="str">
        <f>MID(Tabla1[[#This Row],[Aplicación]],6,2)</f>
        <v>08</v>
      </c>
      <c r="T68" s="35" t="str">
        <f>VLOOKUP(Tabla1[[#This Row],[AREA]],Hoja1!A:B,2,FALSE)</f>
        <v>08. Movilidad y espacio urbano</v>
      </c>
      <c r="U68" s="35" t="str">
        <f>MID(Tabla1[[#This Row],[Aplicación]],9,4)</f>
        <v>1532</v>
      </c>
      <c r="V68" s="35" t="str">
        <f>VLOOKUP(Tabla1[[#This Row],[PROGRAMA]],Hoja1!A:B,2,FALSE)</f>
        <v>1532. Pavimentación vias públicas y otros servicios urbanísticos</v>
      </c>
      <c r="W68" s="35" t="str">
        <f>MID(Tabla1[[#This Row],[Aplicación]],14,2)</f>
        <v>21</v>
      </c>
      <c r="X68" s="35" t="str">
        <f>MID(Tabla1[[#This Row],[Aplicación]],14,6)</f>
        <v>213</v>
      </c>
    </row>
    <row r="69" spans="1:24" x14ac:dyDescent="0.25">
      <c r="A69" s="45">
        <v>220210005232</v>
      </c>
      <c r="B69" s="46" t="s">
        <v>32</v>
      </c>
      <c r="C69" s="47">
        <v>44249</v>
      </c>
      <c r="D69" s="45">
        <v>22021002905</v>
      </c>
      <c r="E69" s="46" t="s">
        <v>930</v>
      </c>
      <c r="F69" s="48">
        <v>197.58</v>
      </c>
      <c r="G69" s="46" t="s">
        <v>68</v>
      </c>
      <c r="H69" s="46" t="s">
        <v>931</v>
      </c>
      <c r="I69" s="45" t="s">
        <v>234</v>
      </c>
      <c r="J69" s="46" t="s">
        <v>127</v>
      </c>
      <c r="K69" s="46" t="s">
        <v>127</v>
      </c>
      <c r="L69" s="46" t="s">
        <v>15</v>
      </c>
      <c r="M69" s="46" t="s">
        <v>13</v>
      </c>
      <c r="N69" s="46" t="s">
        <v>14</v>
      </c>
      <c r="O69" s="49" t="s">
        <v>803</v>
      </c>
      <c r="P69" s="46" t="s">
        <v>507</v>
      </c>
      <c r="Q69" s="35" t="str">
        <f>MID(Tabla1[[#This Row],[Aplicación]],14,1)</f>
        <v>2</v>
      </c>
      <c r="R69" s="35" t="s">
        <v>495</v>
      </c>
      <c r="S69" s="35" t="str">
        <f>MID(Tabla1[[#This Row],[Aplicación]],6,2)</f>
        <v>08</v>
      </c>
      <c r="T69" s="35" t="str">
        <f>VLOOKUP(Tabla1[[#This Row],[AREA]],Hoja1!A:B,2,FALSE)</f>
        <v>08. Movilidad y espacio urbano</v>
      </c>
      <c r="U69" s="35" t="str">
        <f>MID(Tabla1[[#This Row],[Aplicación]],9,4)</f>
        <v>1532</v>
      </c>
      <c r="V69" s="35" t="str">
        <f>VLOOKUP(Tabla1[[#This Row],[PROGRAMA]],Hoja1!A:B,2,FALSE)</f>
        <v>1532. Pavimentación vias públicas y otros servicios urbanísticos</v>
      </c>
      <c r="W69" s="35" t="str">
        <f>MID(Tabla1[[#This Row],[Aplicación]],14,2)</f>
        <v>20</v>
      </c>
      <c r="X69" s="35" t="str">
        <f>MID(Tabla1[[#This Row],[Aplicación]],14,6)</f>
        <v>203</v>
      </c>
    </row>
    <row r="70" spans="1:24" x14ac:dyDescent="0.25">
      <c r="A70" s="45">
        <v>220210005585</v>
      </c>
      <c r="B70" s="46" t="s">
        <v>32</v>
      </c>
      <c r="C70" s="47">
        <v>44250</v>
      </c>
      <c r="D70" s="45">
        <v>22021002998</v>
      </c>
      <c r="E70" s="46" t="s">
        <v>930</v>
      </c>
      <c r="F70" s="48">
        <v>161.63999999999999</v>
      </c>
      <c r="G70" s="46" t="s">
        <v>68</v>
      </c>
      <c r="H70" s="46" t="s">
        <v>932</v>
      </c>
      <c r="I70" s="45" t="s">
        <v>234</v>
      </c>
      <c r="J70" s="46" t="s">
        <v>127</v>
      </c>
      <c r="K70" s="46" t="s">
        <v>127</v>
      </c>
      <c r="L70" s="46" t="s">
        <v>15</v>
      </c>
      <c r="M70" s="46" t="s">
        <v>13</v>
      </c>
      <c r="N70" s="46" t="s">
        <v>14</v>
      </c>
      <c r="O70" s="49" t="s">
        <v>803</v>
      </c>
      <c r="P70" s="46" t="s">
        <v>507</v>
      </c>
      <c r="Q70" s="35" t="str">
        <f>MID(Tabla1[[#This Row],[Aplicación]],14,1)</f>
        <v>2</v>
      </c>
      <c r="R70" s="35" t="s">
        <v>495</v>
      </c>
      <c r="S70" s="35" t="str">
        <f>MID(Tabla1[[#This Row],[Aplicación]],6,2)</f>
        <v>08</v>
      </c>
      <c r="T70" s="35" t="str">
        <f>VLOOKUP(Tabla1[[#This Row],[AREA]],Hoja1!A:B,2,FALSE)</f>
        <v>08. Movilidad y espacio urbano</v>
      </c>
      <c r="U70" s="35" t="str">
        <f>MID(Tabla1[[#This Row],[Aplicación]],9,4)</f>
        <v>1532</v>
      </c>
      <c r="V70" s="35" t="str">
        <f>VLOOKUP(Tabla1[[#This Row],[PROGRAMA]],Hoja1!A:B,2,FALSE)</f>
        <v>1532. Pavimentación vias públicas y otros servicios urbanísticos</v>
      </c>
      <c r="W70" s="35" t="str">
        <f>MID(Tabla1[[#This Row],[Aplicación]],14,2)</f>
        <v>20</v>
      </c>
      <c r="X70" s="35" t="str">
        <f>MID(Tabla1[[#This Row],[Aplicación]],14,6)</f>
        <v>203</v>
      </c>
    </row>
    <row r="71" spans="1:24" x14ac:dyDescent="0.25">
      <c r="A71" s="45">
        <v>220210005586</v>
      </c>
      <c r="B71" s="46" t="s">
        <v>32</v>
      </c>
      <c r="C71" s="47">
        <v>44250</v>
      </c>
      <c r="D71" s="45">
        <v>22021002999</v>
      </c>
      <c r="E71" s="46" t="s">
        <v>930</v>
      </c>
      <c r="F71" s="48">
        <v>161.63999999999999</v>
      </c>
      <c r="G71" s="46" t="s">
        <v>68</v>
      </c>
      <c r="H71" s="46" t="s">
        <v>933</v>
      </c>
      <c r="I71" s="45" t="s">
        <v>234</v>
      </c>
      <c r="J71" s="46" t="s">
        <v>127</v>
      </c>
      <c r="K71" s="46" t="s">
        <v>127</v>
      </c>
      <c r="L71" s="46" t="s">
        <v>15</v>
      </c>
      <c r="M71" s="46" t="s">
        <v>13</v>
      </c>
      <c r="N71" s="46" t="s">
        <v>14</v>
      </c>
      <c r="O71" s="49" t="s">
        <v>803</v>
      </c>
      <c r="P71" s="46" t="s">
        <v>507</v>
      </c>
      <c r="Q71" s="35" t="str">
        <f>MID(Tabla1[[#This Row],[Aplicación]],14,1)</f>
        <v>2</v>
      </c>
      <c r="R71" s="35" t="s">
        <v>495</v>
      </c>
      <c r="S71" s="35" t="str">
        <f>MID(Tabla1[[#This Row],[Aplicación]],6,2)</f>
        <v>08</v>
      </c>
      <c r="T71" s="35" t="str">
        <f>VLOOKUP(Tabla1[[#This Row],[AREA]],Hoja1!A:B,2,FALSE)</f>
        <v>08. Movilidad y espacio urbano</v>
      </c>
      <c r="U71" s="35" t="str">
        <f>MID(Tabla1[[#This Row],[Aplicación]],9,4)</f>
        <v>1532</v>
      </c>
      <c r="V71" s="35" t="str">
        <f>VLOOKUP(Tabla1[[#This Row],[PROGRAMA]],Hoja1!A:B,2,FALSE)</f>
        <v>1532. Pavimentación vias públicas y otros servicios urbanísticos</v>
      </c>
      <c r="W71" s="35" t="str">
        <f>MID(Tabla1[[#This Row],[Aplicación]],14,2)</f>
        <v>20</v>
      </c>
      <c r="X71" s="35" t="str">
        <f>MID(Tabla1[[#This Row],[Aplicación]],14,6)</f>
        <v>203</v>
      </c>
    </row>
    <row r="72" spans="1:24" x14ac:dyDescent="0.25">
      <c r="A72" s="45">
        <v>220210003221</v>
      </c>
      <c r="B72" s="46" t="s">
        <v>32</v>
      </c>
      <c r="C72" s="47">
        <v>44239</v>
      </c>
      <c r="D72" s="45">
        <v>22021002543</v>
      </c>
      <c r="E72" s="46" t="s">
        <v>886</v>
      </c>
      <c r="F72" s="48">
        <v>197.84</v>
      </c>
      <c r="G72" s="46" t="s">
        <v>68</v>
      </c>
      <c r="H72" s="46" t="s">
        <v>934</v>
      </c>
      <c r="I72" s="45" t="s">
        <v>234</v>
      </c>
      <c r="J72" s="46" t="s">
        <v>127</v>
      </c>
      <c r="K72" s="46" t="s">
        <v>127</v>
      </c>
      <c r="L72" s="46" t="s">
        <v>15</v>
      </c>
      <c r="M72" s="46" t="s">
        <v>13</v>
      </c>
      <c r="N72" s="46" t="s">
        <v>14</v>
      </c>
      <c r="O72" s="49" t="s">
        <v>803</v>
      </c>
      <c r="P72" s="46" t="s">
        <v>507</v>
      </c>
      <c r="Q72" s="35" t="str">
        <f>MID(Tabla1[[#This Row],[Aplicación]],14,1)</f>
        <v>2</v>
      </c>
      <c r="R72" s="35" t="s">
        <v>495</v>
      </c>
      <c r="S72" s="35" t="str">
        <f>MID(Tabla1[[#This Row],[Aplicación]],6,2)</f>
        <v>10</v>
      </c>
      <c r="T72" s="35" t="str">
        <f>VLOOKUP(Tabla1[[#This Row],[AREA]],Hoja1!A:B,2,FALSE)</f>
        <v>10. Servicios sociales y mediación comunitaria</v>
      </c>
      <c r="U72" s="35" t="str">
        <f>MID(Tabla1[[#This Row],[Aplicación]],9,4)</f>
        <v>2311</v>
      </c>
      <c r="V72" s="35" t="str">
        <f>VLOOKUP(Tabla1[[#This Row],[PROGRAMA]],Hoja1!A:B,2,FALSE)</f>
        <v>2311. Intervención social</v>
      </c>
      <c r="W72" s="35" t="str">
        <f>MID(Tabla1[[#This Row],[Aplicación]],14,2)</f>
        <v>21</v>
      </c>
      <c r="X72" s="35" t="str">
        <f>MID(Tabla1[[#This Row],[Aplicación]],14,6)</f>
        <v>213</v>
      </c>
    </row>
    <row r="73" spans="1:24" x14ac:dyDescent="0.25">
      <c r="A73" s="45">
        <v>220209000061</v>
      </c>
      <c r="B73" s="46" t="s">
        <v>9</v>
      </c>
      <c r="C73" s="47">
        <v>44198</v>
      </c>
      <c r="D73" s="45">
        <v>22021000197</v>
      </c>
      <c r="E73" s="46" t="s">
        <v>897</v>
      </c>
      <c r="F73" s="48">
        <v>1000</v>
      </c>
      <c r="G73" s="46" t="s">
        <v>68</v>
      </c>
      <c r="H73" s="46" t="s">
        <v>935</v>
      </c>
      <c r="I73" s="45" t="s">
        <v>125</v>
      </c>
      <c r="J73" s="46" t="s">
        <v>127</v>
      </c>
      <c r="K73" s="46" t="s">
        <v>127</v>
      </c>
      <c r="L73" s="46" t="s">
        <v>15</v>
      </c>
      <c r="M73" s="46" t="s">
        <v>13</v>
      </c>
      <c r="N73" s="46" t="s">
        <v>14</v>
      </c>
      <c r="O73" s="49" t="s">
        <v>803</v>
      </c>
      <c r="P73" s="46" t="s">
        <v>507</v>
      </c>
      <c r="Q73" s="35" t="str">
        <f>MID(Tabla1[[#This Row],[Aplicación]],14,1)</f>
        <v>2</v>
      </c>
      <c r="R73" s="35" t="s">
        <v>495</v>
      </c>
      <c r="S73" s="35" t="str">
        <f>MID(Tabla1[[#This Row],[Aplicación]],6,2)</f>
        <v>08</v>
      </c>
      <c r="T73" s="35" t="str">
        <f>VLOOKUP(Tabla1[[#This Row],[AREA]],Hoja1!A:B,2,FALSE)</f>
        <v>08. Movilidad y espacio urbano</v>
      </c>
      <c r="U73" s="35" t="str">
        <f>MID(Tabla1[[#This Row],[Aplicación]],9,4)</f>
        <v>1341</v>
      </c>
      <c r="V73" s="35" t="str">
        <f>VLOOKUP(Tabla1[[#This Row],[PROGRAMA]],Hoja1!A:B,2,FALSE)</f>
        <v>1341. Movilidad</v>
      </c>
      <c r="W73" s="35" t="str">
        <f>MID(Tabla1[[#This Row],[Aplicación]],14,2)</f>
        <v>20</v>
      </c>
      <c r="X73" s="35" t="str">
        <f>MID(Tabla1[[#This Row],[Aplicación]],14,6)</f>
        <v>203</v>
      </c>
    </row>
    <row r="74" spans="1:24" x14ac:dyDescent="0.25">
      <c r="A74" s="45">
        <v>220209000063</v>
      </c>
      <c r="B74" s="46" t="s">
        <v>9</v>
      </c>
      <c r="C74" s="47">
        <v>44198</v>
      </c>
      <c r="D74" s="45">
        <v>22021000199</v>
      </c>
      <c r="E74" s="46" t="s">
        <v>936</v>
      </c>
      <c r="F74" s="48">
        <v>300</v>
      </c>
      <c r="G74" s="46" t="s">
        <v>68</v>
      </c>
      <c r="H74" s="46" t="s">
        <v>721</v>
      </c>
      <c r="I74" s="45" t="s">
        <v>125</v>
      </c>
      <c r="J74" s="46" t="s">
        <v>127</v>
      </c>
      <c r="K74" s="46" t="s">
        <v>127</v>
      </c>
      <c r="L74" s="46" t="s">
        <v>15</v>
      </c>
      <c r="M74" s="46" t="s">
        <v>13</v>
      </c>
      <c r="N74" s="46" t="s">
        <v>14</v>
      </c>
      <c r="O74" s="49" t="s">
        <v>803</v>
      </c>
      <c r="P74" s="46" t="s">
        <v>507</v>
      </c>
      <c r="Q74" s="35" t="str">
        <f>MID(Tabla1[[#This Row],[Aplicación]],14,1)</f>
        <v>2</v>
      </c>
      <c r="R74" s="35" t="s">
        <v>495</v>
      </c>
      <c r="S74" s="35" t="str">
        <f>MID(Tabla1[[#This Row],[Aplicación]],6,2)</f>
        <v>10</v>
      </c>
      <c r="T74" s="35" t="str">
        <f>VLOOKUP(Tabla1[[#This Row],[AREA]],Hoja1!A:B,2,FALSE)</f>
        <v>10. Servicios sociales y mediación comunitaria</v>
      </c>
      <c r="U74" s="35" t="str">
        <f>MID(Tabla1[[#This Row],[Aplicación]],9,4)</f>
        <v>2313</v>
      </c>
      <c r="V74" s="35" t="str">
        <f>VLOOKUP(Tabla1[[#This Row],[PROGRAMA]],Hoja1!A:B,2,FALSE)</f>
        <v>2313. Dirección del área de servicios sociales</v>
      </c>
      <c r="W74" s="35" t="str">
        <f>MID(Tabla1[[#This Row],[Aplicación]],14,2)</f>
        <v>21</v>
      </c>
      <c r="X74" s="35" t="str">
        <f>MID(Tabla1[[#This Row],[Aplicación]],14,6)</f>
        <v>213</v>
      </c>
    </row>
    <row r="75" spans="1:24" x14ac:dyDescent="0.25">
      <c r="A75" s="45">
        <v>220209000065</v>
      </c>
      <c r="B75" s="46" t="s">
        <v>9</v>
      </c>
      <c r="C75" s="47">
        <v>44198</v>
      </c>
      <c r="D75" s="45">
        <v>22021000200</v>
      </c>
      <c r="E75" s="46" t="s">
        <v>937</v>
      </c>
      <c r="F75" s="48">
        <v>500</v>
      </c>
      <c r="G75" s="46" t="s">
        <v>68</v>
      </c>
      <c r="H75" s="46" t="s">
        <v>706</v>
      </c>
      <c r="I75" s="45" t="s">
        <v>125</v>
      </c>
      <c r="J75" s="46" t="s">
        <v>127</v>
      </c>
      <c r="K75" s="46" t="s">
        <v>127</v>
      </c>
      <c r="L75" s="46" t="s">
        <v>15</v>
      </c>
      <c r="M75" s="46" t="s">
        <v>13</v>
      </c>
      <c r="N75" s="46" t="s">
        <v>14</v>
      </c>
      <c r="O75" s="49" t="s">
        <v>803</v>
      </c>
      <c r="P75" s="46" t="s">
        <v>507</v>
      </c>
      <c r="Q75" s="35" t="str">
        <f>MID(Tabla1[[#This Row],[Aplicación]],14,1)</f>
        <v>2</v>
      </c>
      <c r="R75" s="35" t="s">
        <v>495</v>
      </c>
      <c r="S75" s="35" t="str">
        <f>MID(Tabla1[[#This Row],[Aplicación]],6,2)</f>
        <v>04</v>
      </c>
      <c r="T75" s="35" t="str">
        <f>VLOOKUP(Tabla1[[#This Row],[AREA]],Hoja1!A:B,2,FALSE)</f>
        <v>04. Planificación y recursos</v>
      </c>
      <c r="U75" s="35" t="str">
        <f>MID(Tabla1[[#This Row],[Aplicación]],9,4)</f>
        <v>9231</v>
      </c>
      <c r="V75" s="35" t="str">
        <f>VLOOKUP(Tabla1[[#This Row],[PROGRAMA]],Hoja1!A:B,2,FALSE)</f>
        <v>9231. Información, registro y gestión del padrón</v>
      </c>
      <c r="W75" s="35" t="str">
        <f>MID(Tabla1[[#This Row],[Aplicación]],14,2)</f>
        <v>21</v>
      </c>
      <c r="X75" s="35" t="str">
        <f>MID(Tabla1[[#This Row],[Aplicación]],14,6)</f>
        <v>213</v>
      </c>
    </row>
    <row r="76" spans="1:24" x14ac:dyDescent="0.25">
      <c r="A76" s="45">
        <v>220209000073</v>
      </c>
      <c r="B76" s="46" t="s">
        <v>9</v>
      </c>
      <c r="C76" s="47">
        <v>44198</v>
      </c>
      <c r="D76" s="45">
        <v>22021000203</v>
      </c>
      <c r="E76" s="46" t="s">
        <v>938</v>
      </c>
      <c r="F76" s="48">
        <v>450</v>
      </c>
      <c r="G76" s="46" t="s">
        <v>68</v>
      </c>
      <c r="H76" s="46" t="s">
        <v>712</v>
      </c>
      <c r="I76" s="45" t="s">
        <v>125</v>
      </c>
      <c r="J76" s="46" t="s">
        <v>127</v>
      </c>
      <c r="K76" s="46" t="s">
        <v>127</v>
      </c>
      <c r="L76" s="46" t="s">
        <v>15</v>
      </c>
      <c r="M76" s="46" t="s">
        <v>13</v>
      </c>
      <c r="N76" s="46" t="s">
        <v>16</v>
      </c>
      <c r="O76" s="49" t="s">
        <v>803</v>
      </c>
      <c r="P76" s="46" t="s">
        <v>507</v>
      </c>
      <c r="Q76" s="35" t="str">
        <f>MID(Tabla1[[#This Row],[Aplicación]],14,1)</f>
        <v>2</v>
      </c>
      <c r="R76" s="35" t="s">
        <v>495</v>
      </c>
      <c r="S76" s="35" t="str">
        <f>MID(Tabla1[[#This Row],[Aplicación]],6,2)</f>
        <v>04</v>
      </c>
      <c r="T76" s="35" t="str">
        <f>VLOOKUP(Tabla1[[#This Row],[AREA]],Hoja1!A:B,2,FALSE)</f>
        <v>04. Planificación y recursos</v>
      </c>
      <c r="U76" s="35" t="str">
        <f>MID(Tabla1[[#This Row],[Aplicación]],9,4)</f>
        <v>9209</v>
      </c>
      <c r="V76" s="35" t="str">
        <f>VLOOKUP(Tabla1[[#This Row],[PROGRAMA]],Hoja1!A:B,2,FALSE)</f>
        <v>9209. Dirección del area de hacienda y función pública</v>
      </c>
      <c r="W76" s="35" t="str">
        <f>MID(Tabla1[[#This Row],[Aplicación]],14,2)</f>
        <v>20</v>
      </c>
      <c r="X76" s="35" t="str">
        <f>MID(Tabla1[[#This Row],[Aplicación]],14,6)</f>
        <v>203</v>
      </c>
    </row>
    <row r="77" spans="1:24" x14ac:dyDescent="0.25">
      <c r="A77" s="45">
        <v>220209000075</v>
      </c>
      <c r="B77" s="46" t="s">
        <v>9</v>
      </c>
      <c r="C77" s="47">
        <v>44198</v>
      </c>
      <c r="D77" s="45">
        <v>22021000205</v>
      </c>
      <c r="E77" s="46" t="s">
        <v>939</v>
      </c>
      <c r="F77" s="48">
        <v>3000</v>
      </c>
      <c r="G77" s="46" t="s">
        <v>68</v>
      </c>
      <c r="H77" s="46" t="s">
        <v>940</v>
      </c>
      <c r="I77" s="45" t="s">
        <v>125</v>
      </c>
      <c r="J77" s="46" t="s">
        <v>127</v>
      </c>
      <c r="K77" s="46" t="s">
        <v>127</v>
      </c>
      <c r="L77" s="46" t="s">
        <v>15</v>
      </c>
      <c r="M77" s="46" t="s">
        <v>13</v>
      </c>
      <c r="N77" s="46" t="s">
        <v>14</v>
      </c>
      <c r="O77" s="49" t="s">
        <v>803</v>
      </c>
      <c r="P77" s="46" t="s">
        <v>507</v>
      </c>
      <c r="Q77" s="35" t="str">
        <f>MID(Tabla1[[#This Row],[Aplicación]],14,1)</f>
        <v>2</v>
      </c>
      <c r="R77" s="35" t="s">
        <v>495</v>
      </c>
      <c r="S77" s="35" t="str">
        <f>MID(Tabla1[[#This Row],[Aplicación]],6,2)</f>
        <v>02</v>
      </c>
      <c r="T77" s="35" t="str">
        <f>VLOOKUP(Tabla1[[#This Row],[AREA]],Hoja1!A:B,2,FALSE)</f>
        <v>02. Planeamiento urbanístico y vivienda</v>
      </c>
      <c r="U77" s="35" t="str">
        <f>MID(Tabla1[[#This Row],[Aplicación]],9,4)</f>
        <v>1501</v>
      </c>
      <c r="V77" s="35" t="str">
        <f>VLOOKUP(Tabla1[[#This Row],[PROGRAMA]],Hoja1!A:B,2,FALSE)</f>
        <v>1501. Dirección del área de urbanismo</v>
      </c>
      <c r="W77" s="35" t="str">
        <f>MID(Tabla1[[#This Row],[Aplicación]],14,2)</f>
        <v>20</v>
      </c>
      <c r="X77" s="35" t="str">
        <f>MID(Tabla1[[#This Row],[Aplicación]],14,6)</f>
        <v>203</v>
      </c>
    </row>
    <row r="78" spans="1:24" x14ac:dyDescent="0.25">
      <c r="A78" s="45">
        <v>220209000077</v>
      </c>
      <c r="B78" s="46" t="s">
        <v>9</v>
      </c>
      <c r="C78" s="47">
        <v>44198</v>
      </c>
      <c r="D78" s="45">
        <v>22021000066</v>
      </c>
      <c r="E78" s="46" t="s">
        <v>886</v>
      </c>
      <c r="F78" s="48">
        <v>2000</v>
      </c>
      <c r="G78" s="46" t="s">
        <v>68</v>
      </c>
      <c r="H78" s="46" t="s">
        <v>679</v>
      </c>
      <c r="I78" s="45" t="s">
        <v>125</v>
      </c>
      <c r="J78" s="46" t="s">
        <v>127</v>
      </c>
      <c r="K78" s="46" t="s">
        <v>127</v>
      </c>
      <c r="L78" s="46" t="s">
        <v>15</v>
      </c>
      <c r="M78" s="46" t="s">
        <v>13</v>
      </c>
      <c r="N78" s="46" t="s">
        <v>14</v>
      </c>
      <c r="O78" s="49" t="s">
        <v>803</v>
      </c>
      <c r="P78" s="46" t="s">
        <v>507</v>
      </c>
      <c r="Q78" s="35" t="str">
        <f>MID(Tabla1[[#This Row],[Aplicación]],14,1)</f>
        <v>2</v>
      </c>
      <c r="R78" s="35" t="s">
        <v>495</v>
      </c>
      <c r="S78" s="35" t="str">
        <f>MID(Tabla1[[#This Row],[Aplicación]],6,2)</f>
        <v>10</v>
      </c>
      <c r="T78" s="35" t="str">
        <f>VLOOKUP(Tabla1[[#This Row],[AREA]],Hoja1!A:B,2,FALSE)</f>
        <v>10. Servicios sociales y mediación comunitaria</v>
      </c>
      <c r="U78" s="35" t="str">
        <f>MID(Tabla1[[#This Row],[Aplicación]],9,4)</f>
        <v>2311</v>
      </c>
      <c r="V78" s="35" t="str">
        <f>VLOOKUP(Tabla1[[#This Row],[PROGRAMA]],Hoja1!A:B,2,FALSE)</f>
        <v>2311. Intervención social</v>
      </c>
      <c r="W78" s="35" t="str">
        <f>MID(Tabla1[[#This Row],[Aplicación]],14,2)</f>
        <v>21</v>
      </c>
      <c r="X78" s="35" t="str">
        <f>MID(Tabla1[[#This Row],[Aplicación]],14,6)</f>
        <v>213</v>
      </c>
    </row>
    <row r="79" spans="1:24" x14ac:dyDescent="0.25">
      <c r="A79" s="45">
        <v>220209000078</v>
      </c>
      <c r="B79" s="46" t="s">
        <v>9</v>
      </c>
      <c r="C79" s="47">
        <v>44198</v>
      </c>
      <c r="D79" s="45">
        <v>22021000067</v>
      </c>
      <c r="E79" s="46" t="s">
        <v>886</v>
      </c>
      <c r="F79" s="48">
        <v>75</v>
      </c>
      <c r="G79" s="46" t="s">
        <v>68</v>
      </c>
      <c r="H79" s="46" t="s">
        <v>738</v>
      </c>
      <c r="I79" s="45" t="s">
        <v>125</v>
      </c>
      <c r="J79" s="46" t="s">
        <v>127</v>
      </c>
      <c r="K79" s="46" t="s">
        <v>127</v>
      </c>
      <c r="L79" s="46" t="s">
        <v>15</v>
      </c>
      <c r="M79" s="46" t="s">
        <v>13</v>
      </c>
      <c r="N79" s="46" t="s">
        <v>14</v>
      </c>
      <c r="O79" s="49" t="s">
        <v>803</v>
      </c>
      <c r="P79" s="46" t="s">
        <v>507</v>
      </c>
      <c r="Q79" s="35" t="str">
        <f>MID(Tabla1[[#This Row],[Aplicación]],14,1)</f>
        <v>2</v>
      </c>
      <c r="R79" s="35" t="s">
        <v>495</v>
      </c>
      <c r="S79" s="35" t="str">
        <f>MID(Tabla1[[#This Row],[Aplicación]],6,2)</f>
        <v>10</v>
      </c>
      <c r="T79" s="35" t="str">
        <f>VLOOKUP(Tabla1[[#This Row],[AREA]],Hoja1!A:B,2,FALSE)</f>
        <v>10. Servicios sociales y mediación comunitaria</v>
      </c>
      <c r="U79" s="35" t="str">
        <f>MID(Tabla1[[#This Row],[Aplicación]],9,4)</f>
        <v>2311</v>
      </c>
      <c r="V79" s="35" t="str">
        <f>VLOOKUP(Tabla1[[#This Row],[PROGRAMA]],Hoja1!A:B,2,FALSE)</f>
        <v>2311. Intervención social</v>
      </c>
      <c r="W79" s="35" t="str">
        <f>MID(Tabla1[[#This Row],[Aplicación]],14,2)</f>
        <v>21</v>
      </c>
      <c r="X79" s="35" t="str">
        <f>MID(Tabla1[[#This Row],[Aplicación]],14,6)</f>
        <v>213</v>
      </c>
    </row>
    <row r="80" spans="1:24" x14ac:dyDescent="0.25">
      <c r="A80" s="45">
        <v>220209000079</v>
      </c>
      <c r="B80" s="46" t="s">
        <v>9</v>
      </c>
      <c r="C80" s="47">
        <v>44198</v>
      </c>
      <c r="D80" s="45">
        <v>22021000068</v>
      </c>
      <c r="E80" s="46" t="s">
        <v>941</v>
      </c>
      <c r="F80" s="48">
        <v>335.8</v>
      </c>
      <c r="G80" s="46" t="s">
        <v>68</v>
      </c>
      <c r="H80" s="46" t="s">
        <v>717</v>
      </c>
      <c r="I80" s="45" t="s">
        <v>125</v>
      </c>
      <c r="J80" s="46" t="s">
        <v>127</v>
      </c>
      <c r="K80" s="46" t="s">
        <v>127</v>
      </c>
      <c r="L80" s="46" t="s">
        <v>15</v>
      </c>
      <c r="M80" s="46" t="s">
        <v>13</v>
      </c>
      <c r="N80" s="46" t="s">
        <v>16</v>
      </c>
      <c r="O80" s="49" t="s">
        <v>803</v>
      </c>
      <c r="P80" s="46" t="s">
        <v>507</v>
      </c>
      <c r="Q80" s="35" t="str">
        <f>MID(Tabla1[[#This Row],[Aplicación]],14,1)</f>
        <v>2</v>
      </c>
      <c r="R80" s="35" t="s">
        <v>495</v>
      </c>
      <c r="S80" s="35" t="str">
        <f>MID(Tabla1[[#This Row],[Aplicación]],6,2)</f>
        <v>06</v>
      </c>
      <c r="T80" s="35" t="str">
        <f>VLOOKUP(Tabla1[[#This Row],[AREA]],Hoja1!A:B,2,FALSE)</f>
        <v>06. Educación, infancia, juventud e igualdad</v>
      </c>
      <c r="U80" s="35" t="str">
        <f>MID(Tabla1[[#This Row],[Aplicación]],9,4)</f>
        <v>3232</v>
      </c>
      <c r="V80" s="35" t="str">
        <f>VLOOKUP(Tabla1[[#This Row],[PROGRAMA]],Hoja1!A:B,2,FALSE)</f>
        <v>3232. Conservación y mantenimiento centros educación infantil y primaria</v>
      </c>
      <c r="W80" s="35" t="str">
        <f>MID(Tabla1[[#This Row],[Aplicación]],14,2)</f>
        <v>21</v>
      </c>
      <c r="X80" s="35" t="str">
        <f>MID(Tabla1[[#This Row],[Aplicación]],14,6)</f>
        <v>213</v>
      </c>
    </row>
    <row r="81" spans="1:24" x14ac:dyDescent="0.25">
      <c r="A81" s="45">
        <v>220209000083</v>
      </c>
      <c r="B81" s="46" t="s">
        <v>9</v>
      </c>
      <c r="C81" s="47">
        <v>44198</v>
      </c>
      <c r="D81" s="45">
        <v>22021000206</v>
      </c>
      <c r="E81" s="46" t="s">
        <v>942</v>
      </c>
      <c r="F81" s="48">
        <v>200</v>
      </c>
      <c r="G81" s="46" t="s">
        <v>68</v>
      </c>
      <c r="H81" s="46" t="s">
        <v>943</v>
      </c>
      <c r="I81" s="45" t="s">
        <v>125</v>
      </c>
      <c r="J81" s="46" t="s">
        <v>127</v>
      </c>
      <c r="K81" s="46" t="s">
        <v>127</v>
      </c>
      <c r="L81" s="46" t="s">
        <v>15</v>
      </c>
      <c r="M81" s="46" t="s">
        <v>13</v>
      </c>
      <c r="N81" s="46" t="s">
        <v>16</v>
      </c>
      <c r="O81" s="49" t="s">
        <v>803</v>
      </c>
      <c r="P81" s="46" t="s">
        <v>507</v>
      </c>
      <c r="Q81" s="35" t="str">
        <f>MID(Tabla1[[#This Row],[Aplicación]],14,1)</f>
        <v>2</v>
      </c>
      <c r="R81" s="35" t="s">
        <v>495</v>
      </c>
      <c r="S81" s="35" t="str">
        <f>MID(Tabla1[[#This Row],[Aplicación]],6,2)</f>
        <v>05</v>
      </c>
      <c r="T81" s="35" t="str">
        <f>VLOOKUP(Tabla1[[#This Row],[AREA]],Hoja1!A:B,2,FALSE)</f>
        <v>05. Innovación, desarrollo económico, empleo y comercio</v>
      </c>
      <c r="U81" s="35" t="str">
        <f>MID(Tabla1[[#This Row],[Aplicación]],9,4)</f>
        <v>4315</v>
      </c>
      <c r="V81" s="35" t="str">
        <f>VLOOKUP(Tabla1[[#This Row],[PROGRAMA]],Hoja1!A:B,2,FALSE)</f>
        <v>4315. Actuaciones en materia de consumo</v>
      </c>
      <c r="W81" s="35" t="str">
        <f>MID(Tabla1[[#This Row],[Aplicación]],14,2)</f>
        <v>20</v>
      </c>
      <c r="X81" s="35" t="str">
        <f>MID(Tabla1[[#This Row],[Aplicación]],14,6)</f>
        <v>203</v>
      </c>
    </row>
    <row r="82" spans="1:24" x14ac:dyDescent="0.25">
      <c r="A82" s="45">
        <v>220209000085</v>
      </c>
      <c r="B82" s="46" t="s">
        <v>9</v>
      </c>
      <c r="C82" s="47">
        <v>44198</v>
      </c>
      <c r="D82" s="45">
        <v>22021000071</v>
      </c>
      <c r="E82" s="46" t="s">
        <v>944</v>
      </c>
      <c r="F82" s="48">
        <v>250</v>
      </c>
      <c r="G82" s="46" t="s">
        <v>68</v>
      </c>
      <c r="H82" s="46" t="s">
        <v>728</v>
      </c>
      <c r="I82" s="45" t="s">
        <v>125</v>
      </c>
      <c r="J82" s="46" t="s">
        <v>127</v>
      </c>
      <c r="K82" s="46" t="s">
        <v>127</v>
      </c>
      <c r="L82" s="46" t="s">
        <v>15</v>
      </c>
      <c r="M82" s="46" t="s">
        <v>13</v>
      </c>
      <c r="N82" s="46" t="s">
        <v>14</v>
      </c>
      <c r="O82" s="49" t="s">
        <v>803</v>
      </c>
      <c r="P82" s="46" t="s">
        <v>507</v>
      </c>
      <c r="Q82" s="35" t="str">
        <f>MID(Tabla1[[#This Row],[Aplicación]],14,1)</f>
        <v>2</v>
      </c>
      <c r="R82" s="35" t="s">
        <v>495</v>
      </c>
      <c r="S82" s="35" t="str">
        <f>MID(Tabla1[[#This Row],[Aplicación]],6,2)</f>
        <v>11</v>
      </c>
      <c r="T82" s="35" t="str">
        <f>VLOOKUP(Tabla1[[#This Row],[AREA]],Hoja1!A:B,2,FALSE)</f>
        <v>11. Salud pública y seguridad ciudadana</v>
      </c>
      <c r="U82" s="35" t="str">
        <f>MID(Tabla1[[#This Row],[Aplicación]],9,4)</f>
        <v>1621</v>
      </c>
      <c r="V82" s="35" t="str">
        <f>VLOOKUP(Tabla1[[#This Row],[PROGRAMA]],Hoja1!A:B,2,FALSE)</f>
        <v>1621. Servicio de limpieza</v>
      </c>
      <c r="W82" s="35" t="str">
        <f>MID(Tabla1[[#This Row],[Aplicación]],14,2)</f>
        <v>21</v>
      </c>
      <c r="X82" s="35" t="str">
        <f>MID(Tabla1[[#This Row],[Aplicación]],14,6)</f>
        <v>213</v>
      </c>
    </row>
    <row r="83" spans="1:24" x14ac:dyDescent="0.25">
      <c r="A83" s="45">
        <v>220209000086</v>
      </c>
      <c r="B83" s="46" t="s">
        <v>9</v>
      </c>
      <c r="C83" s="47">
        <v>44198</v>
      </c>
      <c r="D83" s="45">
        <v>22021000072</v>
      </c>
      <c r="E83" s="46" t="s">
        <v>945</v>
      </c>
      <c r="F83" s="48">
        <v>500</v>
      </c>
      <c r="G83" s="46" t="s">
        <v>68</v>
      </c>
      <c r="H83" s="46" t="s">
        <v>704</v>
      </c>
      <c r="I83" s="45" t="s">
        <v>125</v>
      </c>
      <c r="J83" s="46" t="s">
        <v>127</v>
      </c>
      <c r="K83" s="46" t="s">
        <v>127</v>
      </c>
      <c r="L83" s="46" t="s">
        <v>15</v>
      </c>
      <c r="M83" s="46" t="s">
        <v>13</v>
      </c>
      <c r="N83" s="46" t="s">
        <v>14</v>
      </c>
      <c r="O83" s="49" t="s">
        <v>803</v>
      </c>
      <c r="P83" s="46" t="s">
        <v>507</v>
      </c>
      <c r="Q83" s="35" t="str">
        <f>MID(Tabla1[[#This Row],[Aplicación]],14,1)</f>
        <v>2</v>
      </c>
      <c r="R83" s="35" t="s">
        <v>495</v>
      </c>
      <c r="S83" s="35" t="str">
        <f>MID(Tabla1[[#This Row],[Aplicación]],6,2)</f>
        <v>04</v>
      </c>
      <c r="T83" s="35" t="str">
        <f>VLOOKUP(Tabla1[[#This Row],[AREA]],Hoja1!A:B,2,FALSE)</f>
        <v>04. Planificación y recursos</v>
      </c>
      <c r="U83" s="35" t="str">
        <f>MID(Tabla1[[#This Row],[Aplicación]],9,4)</f>
        <v>9341</v>
      </c>
      <c r="V83" s="35" t="str">
        <f>VLOOKUP(Tabla1[[#This Row],[PROGRAMA]],Hoja1!A:B,2,FALSE)</f>
        <v>9341. Tesorería y recaudación</v>
      </c>
      <c r="W83" s="35" t="str">
        <f>MID(Tabla1[[#This Row],[Aplicación]],14,2)</f>
        <v>21</v>
      </c>
      <c r="X83" s="35" t="str">
        <f>MID(Tabla1[[#This Row],[Aplicación]],14,6)</f>
        <v>213</v>
      </c>
    </row>
    <row r="84" spans="1:24" x14ac:dyDescent="0.25">
      <c r="A84" s="45">
        <v>220209000097</v>
      </c>
      <c r="B84" s="46" t="s">
        <v>9</v>
      </c>
      <c r="C84" s="47">
        <v>44198</v>
      </c>
      <c r="D84" s="45">
        <v>22021000085</v>
      </c>
      <c r="E84" s="46" t="s">
        <v>878</v>
      </c>
      <c r="F84" s="48">
        <v>500</v>
      </c>
      <c r="G84" s="46" t="s">
        <v>68</v>
      </c>
      <c r="H84" s="46" t="s">
        <v>946</v>
      </c>
      <c r="I84" s="45" t="s">
        <v>125</v>
      </c>
      <c r="J84" s="46" t="s">
        <v>127</v>
      </c>
      <c r="K84" s="46" t="s">
        <v>127</v>
      </c>
      <c r="L84" s="46" t="s">
        <v>15</v>
      </c>
      <c r="M84" s="46" t="s">
        <v>13</v>
      </c>
      <c r="N84" s="46" t="s">
        <v>14</v>
      </c>
      <c r="O84" s="49" t="s">
        <v>803</v>
      </c>
      <c r="P84" s="46" t="s">
        <v>507</v>
      </c>
      <c r="Q84" s="35" t="str">
        <f>MID(Tabla1[[#This Row],[Aplicación]],14,1)</f>
        <v>2</v>
      </c>
      <c r="R84" s="35" t="s">
        <v>495</v>
      </c>
      <c r="S84" s="35" t="str">
        <f>MID(Tabla1[[#This Row],[Aplicación]],6,2)</f>
        <v>05</v>
      </c>
      <c r="T84" s="35" t="str">
        <f>VLOOKUP(Tabla1[[#This Row],[AREA]],Hoja1!A:B,2,FALSE)</f>
        <v>05. Innovación, desarrollo económico, empleo y comercio</v>
      </c>
      <c r="U84" s="35" t="str">
        <f>MID(Tabla1[[#This Row],[Aplicación]],9,4)</f>
        <v>4331</v>
      </c>
      <c r="V84" s="35" t="str">
        <f>VLOOKUP(Tabla1[[#This Row],[PROGRAMA]],Hoja1!A:B,2,FALSE)</f>
        <v>4331. Desarrollo empresarial</v>
      </c>
      <c r="W84" s="35" t="str">
        <f>MID(Tabla1[[#This Row],[Aplicación]],14,2)</f>
        <v>20</v>
      </c>
      <c r="X84" s="35" t="str">
        <f>MID(Tabla1[[#This Row],[Aplicación]],14,6)</f>
        <v>203</v>
      </c>
    </row>
    <row r="85" spans="1:24" x14ac:dyDescent="0.25">
      <c r="A85" s="45">
        <v>220209000098</v>
      </c>
      <c r="B85" s="46" t="s">
        <v>9</v>
      </c>
      <c r="C85" s="47">
        <v>44198</v>
      </c>
      <c r="D85" s="45">
        <v>22021000086</v>
      </c>
      <c r="E85" s="46" t="s">
        <v>878</v>
      </c>
      <c r="F85" s="48">
        <v>500</v>
      </c>
      <c r="G85" s="46" t="s">
        <v>68</v>
      </c>
      <c r="H85" s="46" t="s">
        <v>947</v>
      </c>
      <c r="I85" s="45" t="s">
        <v>125</v>
      </c>
      <c r="J85" s="46" t="s">
        <v>127</v>
      </c>
      <c r="K85" s="46" t="s">
        <v>127</v>
      </c>
      <c r="L85" s="46" t="s">
        <v>15</v>
      </c>
      <c r="M85" s="46" t="s">
        <v>13</v>
      </c>
      <c r="N85" s="46" t="s">
        <v>14</v>
      </c>
      <c r="O85" s="49" t="s">
        <v>803</v>
      </c>
      <c r="P85" s="46" t="s">
        <v>507</v>
      </c>
      <c r="Q85" s="35" t="str">
        <f>MID(Tabla1[[#This Row],[Aplicación]],14,1)</f>
        <v>2</v>
      </c>
      <c r="R85" s="35" t="s">
        <v>495</v>
      </c>
      <c r="S85" s="35" t="str">
        <f>MID(Tabla1[[#This Row],[Aplicación]],6,2)</f>
        <v>05</v>
      </c>
      <c r="T85" s="35" t="str">
        <f>VLOOKUP(Tabla1[[#This Row],[AREA]],Hoja1!A:B,2,FALSE)</f>
        <v>05. Innovación, desarrollo económico, empleo y comercio</v>
      </c>
      <c r="U85" s="35" t="str">
        <f>MID(Tabla1[[#This Row],[Aplicación]],9,4)</f>
        <v>4331</v>
      </c>
      <c r="V85" s="35" t="str">
        <f>VLOOKUP(Tabla1[[#This Row],[PROGRAMA]],Hoja1!A:B,2,FALSE)</f>
        <v>4331. Desarrollo empresarial</v>
      </c>
      <c r="W85" s="35" t="str">
        <f>MID(Tabla1[[#This Row],[Aplicación]],14,2)</f>
        <v>20</v>
      </c>
      <c r="X85" s="35" t="str">
        <f>MID(Tabla1[[#This Row],[Aplicación]],14,6)</f>
        <v>203</v>
      </c>
    </row>
    <row r="86" spans="1:24" x14ac:dyDescent="0.25">
      <c r="A86" s="45">
        <v>220209000099</v>
      </c>
      <c r="B86" s="46" t="s">
        <v>9</v>
      </c>
      <c r="C86" s="47">
        <v>44198</v>
      </c>
      <c r="D86" s="45">
        <v>22021000087</v>
      </c>
      <c r="E86" s="46" t="s">
        <v>948</v>
      </c>
      <c r="F86" s="48">
        <v>200</v>
      </c>
      <c r="G86" s="46" t="s">
        <v>68</v>
      </c>
      <c r="H86" s="46" t="s">
        <v>949</v>
      </c>
      <c r="I86" s="45" t="s">
        <v>125</v>
      </c>
      <c r="J86" s="46" t="s">
        <v>127</v>
      </c>
      <c r="K86" s="46" t="s">
        <v>127</v>
      </c>
      <c r="L86" s="46" t="s">
        <v>15</v>
      </c>
      <c r="M86" s="46" t="s">
        <v>13</v>
      </c>
      <c r="N86" s="46" t="s">
        <v>14</v>
      </c>
      <c r="O86" s="49" t="s">
        <v>803</v>
      </c>
      <c r="P86" s="46" t="s">
        <v>507</v>
      </c>
      <c r="Q86" s="35" t="str">
        <f>MID(Tabla1[[#This Row],[Aplicación]],14,1)</f>
        <v>2</v>
      </c>
      <c r="R86" s="35" t="s">
        <v>495</v>
      </c>
      <c r="S86" s="35" t="str">
        <f>MID(Tabla1[[#This Row],[Aplicación]],6,2)</f>
        <v>04</v>
      </c>
      <c r="T86" s="35" t="str">
        <f>VLOOKUP(Tabla1[[#This Row],[AREA]],Hoja1!A:B,2,FALSE)</f>
        <v>04. Planificación y recursos</v>
      </c>
      <c r="U86" s="35" t="str">
        <f>MID(Tabla1[[#This Row],[Aplicación]],9,4)</f>
        <v>9331</v>
      </c>
      <c r="V86" s="35" t="str">
        <f>VLOOKUP(Tabla1[[#This Row],[PROGRAMA]],Hoja1!A:B,2,FALSE)</f>
        <v>9331. Gestión del patrimonio</v>
      </c>
      <c r="W86" s="35" t="str">
        <f>MID(Tabla1[[#This Row],[Aplicación]],14,2)</f>
        <v>20</v>
      </c>
      <c r="X86" s="35" t="str">
        <f>MID(Tabla1[[#This Row],[Aplicación]],14,6)</f>
        <v>203</v>
      </c>
    </row>
    <row r="87" spans="1:24" x14ac:dyDescent="0.25">
      <c r="A87" s="45">
        <v>220209000101</v>
      </c>
      <c r="B87" s="46" t="s">
        <v>9</v>
      </c>
      <c r="C87" s="47">
        <v>44198</v>
      </c>
      <c r="D87" s="45">
        <v>22021000088</v>
      </c>
      <c r="E87" s="46" t="s">
        <v>950</v>
      </c>
      <c r="F87" s="48">
        <v>1500</v>
      </c>
      <c r="G87" s="46" t="s">
        <v>68</v>
      </c>
      <c r="H87" s="46" t="s">
        <v>951</v>
      </c>
      <c r="I87" s="45" t="s">
        <v>125</v>
      </c>
      <c r="J87" s="46" t="s">
        <v>127</v>
      </c>
      <c r="K87" s="46" t="s">
        <v>127</v>
      </c>
      <c r="L87" s="46" t="s">
        <v>15</v>
      </c>
      <c r="M87" s="46" t="s">
        <v>13</v>
      </c>
      <c r="N87" s="46" t="s">
        <v>14</v>
      </c>
      <c r="O87" s="49" t="s">
        <v>803</v>
      </c>
      <c r="P87" s="46" t="s">
        <v>507</v>
      </c>
      <c r="Q87" s="35" t="str">
        <f>MID(Tabla1[[#This Row],[Aplicación]],14,1)</f>
        <v>2</v>
      </c>
      <c r="R87" s="35" t="s">
        <v>495</v>
      </c>
      <c r="S87" s="35" t="str">
        <f>MID(Tabla1[[#This Row],[Aplicación]],6,2)</f>
        <v>11</v>
      </c>
      <c r="T87" s="35" t="str">
        <f>VLOOKUP(Tabla1[[#This Row],[AREA]],Hoja1!A:B,2,FALSE)</f>
        <v>11. Salud pública y seguridad ciudadana</v>
      </c>
      <c r="U87" s="35" t="str">
        <f>MID(Tabla1[[#This Row],[Aplicación]],9,4)</f>
        <v>1321</v>
      </c>
      <c r="V87" s="35" t="str">
        <f>VLOOKUP(Tabla1[[#This Row],[PROGRAMA]],Hoja1!A:B,2,FALSE)</f>
        <v>1321. Policía municipal</v>
      </c>
      <c r="W87" s="35" t="str">
        <f>MID(Tabla1[[#This Row],[Aplicación]],14,2)</f>
        <v>21</v>
      </c>
      <c r="X87" s="35" t="str">
        <f>MID(Tabla1[[#This Row],[Aplicación]],14,6)</f>
        <v>213</v>
      </c>
    </row>
    <row r="88" spans="1:24" x14ac:dyDescent="0.25">
      <c r="A88" s="45">
        <v>220209000103</v>
      </c>
      <c r="B88" s="46" t="s">
        <v>9</v>
      </c>
      <c r="C88" s="47">
        <v>44198</v>
      </c>
      <c r="D88" s="45">
        <v>22021000089</v>
      </c>
      <c r="E88" s="46" t="s">
        <v>952</v>
      </c>
      <c r="F88" s="48">
        <v>1200</v>
      </c>
      <c r="G88" s="46" t="s">
        <v>68</v>
      </c>
      <c r="H88" s="46" t="s">
        <v>953</v>
      </c>
      <c r="I88" s="45" t="s">
        <v>125</v>
      </c>
      <c r="J88" s="46" t="s">
        <v>127</v>
      </c>
      <c r="K88" s="46" t="s">
        <v>127</v>
      </c>
      <c r="L88" s="46" t="s">
        <v>15</v>
      </c>
      <c r="M88" s="46" t="s">
        <v>13</v>
      </c>
      <c r="N88" s="46" t="s">
        <v>14</v>
      </c>
      <c r="O88" s="49" t="s">
        <v>803</v>
      </c>
      <c r="P88" s="46" t="s">
        <v>507</v>
      </c>
      <c r="Q88" s="35" t="str">
        <f>MID(Tabla1[[#This Row],[Aplicación]],14,1)</f>
        <v>2</v>
      </c>
      <c r="R88" s="35" t="s">
        <v>495</v>
      </c>
      <c r="S88" s="35" t="str">
        <f>MID(Tabla1[[#This Row],[Aplicación]],6,2)</f>
        <v>04</v>
      </c>
      <c r="T88" s="35" t="str">
        <f>VLOOKUP(Tabla1[[#This Row],[AREA]],Hoja1!A:B,2,FALSE)</f>
        <v>04. Planificación y recursos</v>
      </c>
      <c r="U88" s="35" t="str">
        <f>MID(Tabla1[[#This Row],[Aplicación]],9,4)</f>
        <v>9331</v>
      </c>
      <c r="V88" s="35" t="str">
        <f>VLOOKUP(Tabla1[[#This Row],[PROGRAMA]],Hoja1!A:B,2,FALSE)</f>
        <v>9331. Gestión del patrimonio</v>
      </c>
      <c r="W88" s="35" t="str">
        <f>MID(Tabla1[[#This Row],[Aplicación]],14,2)</f>
        <v>21</v>
      </c>
      <c r="X88" s="35" t="str">
        <f>MID(Tabla1[[#This Row],[Aplicación]],14,6)</f>
        <v>213</v>
      </c>
    </row>
    <row r="89" spans="1:24" x14ac:dyDescent="0.25">
      <c r="A89" s="45">
        <v>220209000121</v>
      </c>
      <c r="B89" s="46" t="s">
        <v>9</v>
      </c>
      <c r="C89" s="47">
        <v>44198</v>
      </c>
      <c r="D89" s="45">
        <v>22021000107</v>
      </c>
      <c r="E89" s="46" t="s">
        <v>954</v>
      </c>
      <c r="F89" s="48">
        <v>1000</v>
      </c>
      <c r="G89" s="46" t="s">
        <v>68</v>
      </c>
      <c r="H89" s="46" t="s">
        <v>955</v>
      </c>
      <c r="I89" s="45" t="s">
        <v>125</v>
      </c>
      <c r="J89" s="46" t="s">
        <v>127</v>
      </c>
      <c r="K89" s="46" t="s">
        <v>127</v>
      </c>
      <c r="L89" s="46" t="s">
        <v>15</v>
      </c>
      <c r="M89" s="46" t="s">
        <v>13</v>
      </c>
      <c r="N89" s="46" t="s">
        <v>16</v>
      </c>
      <c r="O89" s="49" t="s">
        <v>803</v>
      </c>
      <c r="P89" s="46" t="s">
        <v>507</v>
      </c>
      <c r="Q89" s="35" t="str">
        <f>MID(Tabla1[[#This Row],[Aplicación]],14,1)</f>
        <v>2</v>
      </c>
      <c r="R89" s="35" t="s">
        <v>495</v>
      </c>
      <c r="S89" s="35" t="str">
        <f>MID(Tabla1[[#This Row],[Aplicación]],6,2)</f>
        <v>03</v>
      </c>
      <c r="T89" s="35" t="str">
        <f>VLOOKUP(Tabla1[[#This Row],[AREA]],Hoja1!A:B,2,FALSE)</f>
        <v>03. Participación ciudadana y deportes</v>
      </c>
      <c r="U89" s="35" t="str">
        <f>MID(Tabla1[[#This Row],[Aplicación]],9,4)</f>
        <v>9241</v>
      </c>
      <c r="V89" s="35" t="str">
        <f>VLOOKUP(Tabla1[[#This Row],[PROGRAMA]],Hoja1!A:B,2,FALSE)</f>
        <v>9241. Participación ciudadana</v>
      </c>
      <c r="W89" s="35" t="str">
        <f>MID(Tabla1[[#This Row],[Aplicación]],14,2)</f>
        <v>20</v>
      </c>
      <c r="X89" s="35" t="str">
        <f>MID(Tabla1[[#This Row],[Aplicación]],14,6)</f>
        <v>203</v>
      </c>
    </row>
    <row r="90" spans="1:24" x14ac:dyDescent="0.25">
      <c r="A90" s="45">
        <v>220209000123</v>
      </c>
      <c r="B90" s="46" t="s">
        <v>9</v>
      </c>
      <c r="C90" s="47">
        <v>44198</v>
      </c>
      <c r="D90" s="45">
        <v>22021000108</v>
      </c>
      <c r="E90" s="46" t="s">
        <v>956</v>
      </c>
      <c r="F90" s="48">
        <v>70</v>
      </c>
      <c r="G90" s="46" t="s">
        <v>68</v>
      </c>
      <c r="H90" s="46" t="s">
        <v>957</v>
      </c>
      <c r="I90" s="45" t="s">
        <v>125</v>
      </c>
      <c r="J90" s="46" t="s">
        <v>127</v>
      </c>
      <c r="K90" s="46" t="s">
        <v>127</v>
      </c>
      <c r="L90" s="46" t="s">
        <v>15</v>
      </c>
      <c r="M90" s="46" t="s">
        <v>13</v>
      </c>
      <c r="N90" s="46" t="s">
        <v>14</v>
      </c>
      <c r="O90" s="49" t="s">
        <v>803</v>
      </c>
      <c r="P90" s="46" t="s">
        <v>507</v>
      </c>
      <c r="Q90" s="35" t="str">
        <f>MID(Tabla1[[#This Row],[Aplicación]],14,1)</f>
        <v>2</v>
      </c>
      <c r="R90" s="35" t="s">
        <v>495</v>
      </c>
      <c r="S90" s="35" t="str">
        <f>MID(Tabla1[[#This Row],[Aplicación]],6,2)</f>
        <v>01</v>
      </c>
      <c r="T90" s="35" t="str">
        <f>VLOOKUP(Tabla1[[#This Row],[AREA]],Hoja1!A:B,2,FALSE)</f>
        <v>01. Alcaldía</v>
      </c>
      <c r="U90" s="35" t="str">
        <f>MID(Tabla1[[#This Row],[Aplicación]],9,4)</f>
        <v>9312</v>
      </c>
      <c r="V90" s="35" t="str">
        <f>VLOOKUP(Tabla1[[#This Row],[PROGRAMA]],Hoja1!A:B,2,FALSE)</f>
        <v>9312. Intervención general</v>
      </c>
      <c r="W90" s="35" t="str">
        <f>MID(Tabla1[[#This Row],[Aplicación]],14,2)</f>
        <v>20</v>
      </c>
      <c r="X90" s="35" t="str">
        <f>MID(Tabla1[[#This Row],[Aplicación]],14,6)</f>
        <v>203</v>
      </c>
    </row>
    <row r="91" spans="1:24" x14ac:dyDescent="0.25">
      <c r="A91" s="45">
        <v>220209000124</v>
      </c>
      <c r="B91" s="46" t="s">
        <v>9</v>
      </c>
      <c r="C91" s="47">
        <v>44198</v>
      </c>
      <c r="D91" s="45">
        <v>22021000109</v>
      </c>
      <c r="E91" s="46" t="s">
        <v>956</v>
      </c>
      <c r="F91" s="48">
        <v>70</v>
      </c>
      <c r="G91" s="46" t="s">
        <v>68</v>
      </c>
      <c r="H91" s="46" t="s">
        <v>958</v>
      </c>
      <c r="I91" s="45" t="s">
        <v>125</v>
      </c>
      <c r="J91" s="46" t="s">
        <v>127</v>
      </c>
      <c r="K91" s="46" t="s">
        <v>127</v>
      </c>
      <c r="L91" s="46" t="s">
        <v>15</v>
      </c>
      <c r="M91" s="46" t="s">
        <v>13</v>
      </c>
      <c r="N91" s="46" t="s">
        <v>14</v>
      </c>
      <c r="O91" s="49" t="s">
        <v>803</v>
      </c>
      <c r="P91" s="46" t="s">
        <v>507</v>
      </c>
      <c r="Q91" s="35" t="str">
        <f>MID(Tabla1[[#This Row],[Aplicación]],14,1)</f>
        <v>2</v>
      </c>
      <c r="R91" s="35" t="s">
        <v>495</v>
      </c>
      <c r="S91" s="35" t="str">
        <f>MID(Tabla1[[#This Row],[Aplicación]],6,2)</f>
        <v>01</v>
      </c>
      <c r="T91" s="35" t="str">
        <f>VLOOKUP(Tabla1[[#This Row],[AREA]],Hoja1!A:B,2,FALSE)</f>
        <v>01. Alcaldía</v>
      </c>
      <c r="U91" s="35" t="str">
        <f>MID(Tabla1[[#This Row],[Aplicación]],9,4)</f>
        <v>9312</v>
      </c>
      <c r="V91" s="35" t="str">
        <f>VLOOKUP(Tabla1[[#This Row],[PROGRAMA]],Hoja1!A:B,2,FALSE)</f>
        <v>9312. Intervención general</v>
      </c>
      <c r="W91" s="35" t="str">
        <f>MID(Tabla1[[#This Row],[Aplicación]],14,2)</f>
        <v>20</v>
      </c>
      <c r="X91" s="35" t="str">
        <f>MID(Tabla1[[#This Row],[Aplicación]],14,6)</f>
        <v>203</v>
      </c>
    </row>
    <row r="92" spans="1:24" x14ac:dyDescent="0.25">
      <c r="A92" s="45">
        <v>220209000125</v>
      </c>
      <c r="B92" s="46" t="s">
        <v>9</v>
      </c>
      <c r="C92" s="47">
        <v>44198</v>
      </c>
      <c r="D92" s="45">
        <v>22021000110</v>
      </c>
      <c r="E92" s="46" t="s">
        <v>959</v>
      </c>
      <c r="F92" s="48">
        <v>70</v>
      </c>
      <c r="G92" s="46" t="s">
        <v>68</v>
      </c>
      <c r="H92" s="46" t="s">
        <v>960</v>
      </c>
      <c r="I92" s="45" t="s">
        <v>125</v>
      </c>
      <c r="J92" s="46" t="s">
        <v>127</v>
      </c>
      <c r="K92" s="46" t="s">
        <v>127</v>
      </c>
      <c r="L92" s="46" t="s">
        <v>15</v>
      </c>
      <c r="M92" s="46" t="s">
        <v>13</v>
      </c>
      <c r="N92" s="46" t="s">
        <v>14</v>
      </c>
      <c r="O92" s="49" t="s">
        <v>803</v>
      </c>
      <c r="P92" s="46" t="s">
        <v>507</v>
      </c>
      <c r="Q92" s="35" t="str">
        <f>MID(Tabla1[[#This Row],[Aplicación]],14,1)</f>
        <v>2</v>
      </c>
      <c r="R92" s="35" t="s">
        <v>495</v>
      </c>
      <c r="S92" s="35" t="str">
        <f>MID(Tabla1[[#This Row],[Aplicación]],6,2)</f>
        <v>01</v>
      </c>
      <c r="T92" s="35" t="str">
        <f>VLOOKUP(Tabla1[[#This Row],[AREA]],Hoja1!A:B,2,FALSE)</f>
        <v>01. Alcaldía</v>
      </c>
      <c r="U92" s="35" t="str">
        <f>MID(Tabla1[[#This Row],[Aplicación]],9,4)</f>
        <v>9312</v>
      </c>
      <c r="V92" s="35" t="str">
        <f>VLOOKUP(Tabla1[[#This Row],[PROGRAMA]],Hoja1!A:B,2,FALSE)</f>
        <v>9312. Intervención general</v>
      </c>
      <c r="W92" s="35" t="str">
        <f>MID(Tabla1[[#This Row],[Aplicación]],14,2)</f>
        <v>21</v>
      </c>
      <c r="X92" s="35" t="str">
        <f>MID(Tabla1[[#This Row],[Aplicación]],14,6)</f>
        <v>213</v>
      </c>
    </row>
    <row r="93" spans="1:24" x14ac:dyDescent="0.25">
      <c r="A93" s="45">
        <v>220209000126</v>
      </c>
      <c r="B93" s="46" t="s">
        <v>9</v>
      </c>
      <c r="C93" s="47">
        <v>44198</v>
      </c>
      <c r="D93" s="45">
        <v>22021000111</v>
      </c>
      <c r="E93" s="46" t="s">
        <v>959</v>
      </c>
      <c r="F93" s="48">
        <v>60</v>
      </c>
      <c r="G93" s="46" t="s">
        <v>68</v>
      </c>
      <c r="H93" s="46" t="s">
        <v>961</v>
      </c>
      <c r="I93" s="45" t="s">
        <v>125</v>
      </c>
      <c r="J93" s="46" t="s">
        <v>127</v>
      </c>
      <c r="K93" s="46" t="s">
        <v>127</v>
      </c>
      <c r="L93" s="46" t="s">
        <v>15</v>
      </c>
      <c r="M93" s="46" t="s">
        <v>13</v>
      </c>
      <c r="N93" s="46" t="s">
        <v>14</v>
      </c>
      <c r="O93" s="49" t="s">
        <v>803</v>
      </c>
      <c r="P93" s="46" t="s">
        <v>507</v>
      </c>
      <c r="Q93" s="35" t="str">
        <f>MID(Tabla1[[#This Row],[Aplicación]],14,1)</f>
        <v>2</v>
      </c>
      <c r="R93" s="35" t="s">
        <v>495</v>
      </c>
      <c r="S93" s="35" t="str">
        <f>MID(Tabla1[[#This Row],[Aplicación]],6,2)</f>
        <v>01</v>
      </c>
      <c r="T93" s="35" t="str">
        <f>VLOOKUP(Tabla1[[#This Row],[AREA]],Hoja1!A:B,2,FALSE)</f>
        <v>01. Alcaldía</v>
      </c>
      <c r="U93" s="35" t="str">
        <f>MID(Tabla1[[#This Row],[Aplicación]],9,4)</f>
        <v>9312</v>
      </c>
      <c r="V93" s="35" t="str">
        <f>VLOOKUP(Tabla1[[#This Row],[PROGRAMA]],Hoja1!A:B,2,FALSE)</f>
        <v>9312. Intervención general</v>
      </c>
      <c r="W93" s="35" t="str">
        <f>MID(Tabla1[[#This Row],[Aplicación]],14,2)</f>
        <v>21</v>
      </c>
      <c r="X93" s="35" t="str">
        <f>MID(Tabla1[[#This Row],[Aplicación]],14,6)</f>
        <v>213</v>
      </c>
    </row>
    <row r="94" spans="1:24" x14ac:dyDescent="0.25">
      <c r="A94" s="45">
        <v>220209000128</v>
      </c>
      <c r="B94" s="46" t="s">
        <v>9</v>
      </c>
      <c r="C94" s="47">
        <v>44198</v>
      </c>
      <c r="D94" s="45">
        <v>22021000112</v>
      </c>
      <c r="E94" s="46" t="s">
        <v>962</v>
      </c>
      <c r="F94" s="48">
        <v>760</v>
      </c>
      <c r="G94" s="46" t="s">
        <v>68</v>
      </c>
      <c r="H94" s="46" t="s">
        <v>963</v>
      </c>
      <c r="I94" s="45" t="s">
        <v>125</v>
      </c>
      <c r="J94" s="46" t="s">
        <v>127</v>
      </c>
      <c r="K94" s="46" t="s">
        <v>127</v>
      </c>
      <c r="L94" s="46" t="s">
        <v>15</v>
      </c>
      <c r="M94" s="46" t="s">
        <v>13</v>
      </c>
      <c r="N94" s="46" t="s">
        <v>14</v>
      </c>
      <c r="O94" s="49" t="s">
        <v>803</v>
      </c>
      <c r="P94" s="46" t="s">
        <v>507</v>
      </c>
      <c r="Q94" s="35" t="str">
        <f>MID(Tabla1[[#This Row],[Aplicación]],14,1)</f>
        <v>2</v>
      </c>
      <c r="R94" s="35" t="s">
        <v>495</v>
      </c>
      <c r="S94" s="35" t="str">
        <f>MID(Tabla1[[#This Row],[Aplicación]],6,2)</f>
        <v>09</v>
      </c>
      <c r="T94" s="35" t="str">
        <f>VLOOKUP(Tabla1[[#This Row],[AREA]],Hoja1!A:B,2,FALSE)</f>
        <v>09. Cultura y turismo</v>
      </c>
      <c r="U94" s="35" t="str">
        <f>MID(Tabla1[[#This Row],[Aplicación]],9,4)</f>
        <v>3301</v>
      </c>
      <c r="V94" s="35" t="str">
        <f>VLOOKUP(Tabla1[[#This Row],[PROGRAMA]],Hoja1!A:B,2,FALSE)</f>
        <v>3301. Dirección del área de cultura</v>
      </c>
      <c r="W94" s="35" t="str">
        <f>MID(Tabla1[[#This Row],[Aplicación]],14,2)</f>
        <v>21</v>
      </c>
      <c r="X94" s="35" t="str">
        <f>MID(Tabla1[[#This Row],[Aplicación]],14,6)</f>
        <v>213</v>
      </c>
    </row>
    <row r="95" spans="1:24" x14ac:dyDescent="0.25">
      <c r="A95" s="45">
        <v>220209000129</v>
      </c>
      <c r="B95" s="46" t="s">
        <v>9</v>
      </c>
      <c r="C95" s="47">
        <v>44198</v>
      </c>
      <c r="D95" s="45">
        <v>22021000113</v>
      </c>
      <c r="E95" s="46" t="s">
        <v>964</v>
      </c>
      <c r="F95" s="48">
        <v>216.15</v>
      </c>
      <c r="G95" s="46" t="s">
        <v>68</v>
      </c>
      <c r="H95" s="46" t="s">
        <v>965</v>
      </c>
      <c r="I95" s="45" t="s">
        <v>125</v>
      </c>
      <c r="J95" s="46" t="s">
        <v>127</v>
      </c>
      <c r="K95" s="46" t="s">
        <v>127</v>
      </c>
      <c r="L95" s="46" t="s">
        <v>15</v>
      </c>
      <c r="M95" s="46" t="s">
        <v>13</v>
      </c>
      <c r="N95" s="46" t="s">
        <v>14</v>
      </c>
      <c r="O95" s="49" t="s">
        <v>803</v>
      </c>
      <c r="P95" s="46" t="s">
        <v>507</v>
      </c>
      <c r="Q95" s="35" t="str">
        <f>MID(Tabla1[[#This Row],[Aplicación]],14,1)</f>
        <v>2</v>
      </c>
      <c r="R95" s="35" t="s">
        <v>495</v>
      </c>
      <c r="S95" s="35" t="str">
        <f>MID(Tabla1[[#This Row],[Aplicación]],6,2)</f>
        <v>01</v>
      </c>
      <c r="T95" s="35" t="str">
        <f>VLOOKUP(Tabla1[[#This Row],[AREA]],Hoja1!A:B,2,FALSE)</f>
        <v>01. Alcaldía</v>
      </c>
      <c r="U95" s="35" t="str">
        <f>MID(Tabla1[[#This Row],[Aplicación]],9,4)</f>
        <v>9207</v>
      </c>
      <c r="V95" s="35" t="str">
        <f>VLOOKUP(Tabla1[[#This Row],[PROGRAMA]],Hoja1!A:B,2,FALSE)</f>
        <v>9207. Gobierno y relaciones</v>
      </c>
      <c r="W95" s="35" t="str">
        <f>MID(Tabla1[[#This Row],[Aplicación]],14,2)</f>
        <v>20</v>
      </c>
      <c r="X95" s="35" t="str">
        <f>MID(Tabla1[[#This Row],[Aplicación]],14,6)</f>
        <v>203</v>
      </c>
    </row>
    <row r="96" spans="1:24" x14ac:dyDescent="0.25">
      <c r="A96" s="45">
        <v>220209000130</v>
      </c>
      <c r="B96" s="46" t="s">
        <v>9</v>
      </c>
      <c r="C96" s="47">
        <v>44198</v>
      </c>
      <c r="D96" s="45">
        <v>22021000114</v>
      </c>
      <c r="E96" s="46" t="s">
        <v>966</v>
      </c>
      <c r="F96" s="48">
        <v>500</v>
      </c>
      <c r="G96" s="46" t="s">
        <v>68</v>
      </c>
      <c r="H96" s="46" t="s">
        <v>967</v>
      </c>
      <c r="I96" s="45" t="s">
        <v>125</v>
      </c>
      <c r="J96" s="46" t="s">
        <v>127</v>
      </c>
      <c r="K96" s="46" t="s">
        <v>127</v>
      </c>
      <c r="L96" s="46" t="s">
        <v>15</v>
      </c>
      <c r="M96" s="46" t="s">
        <v>13</v>
      </c>
      <c r="N96" s="46" t="s">
        <v>14</v>
      </c>
      <c r="O96" s="49" t="s">
        <v>803</v>
      </c>
      <c r="P96" s="46" t="s">
        <v>507</v>
      </c>
      <c r="Q96" s="35" t="str">
        <f>MID(Tabla1[[#This Row],[Aplicación]],14,1)</f>
        <v>2</v>
      </c>
      <c r="R96" s="35" t="s">
        <v>495</v>
      </c>
      <c r="S96" s="35" t="str">
        <f>MID(Tabla1[[#This Row],[Aplicación]],6,2)</f>
        <v>05</v>
      </c>
      <c r="T96" s="35" t="str">
        <f>VLOOKUP(Tabla1[[#This Row],[AREA]],Hoja1!A:B,2,FALSE)</f>
        <v>05. Innovación, desarrollo económico, empleo y comercio</v>
      </c>
      <c r="U96" s="35" t="str">
        <f>MID(Tabla1[[#This Row],[Aplicación]],9,4)</f>
        <v>4301</v>
      </c>
      <c r="V96" s="35" t="str">
        <f>VLOOKUP(Tabla1[[#This Row],[PROGRAMA]],Hoja1!A:B,2,FALSE)</f>
        <v>4301. Dirección del área de innovación</v>
      </c>
      <c r="W96" s="35" t="str">
        <f>MID(Tabla1[[#This Row],[Aplicación]],14,2)</f>
        <v>20</v>
      </c>
      <c r="X96" s="35" t="str">
        <f>MID(Tabla1[[#This Row],[Aplicación]],14,6)</f>
        <v>203</v>
      </c>
    </row>
    <row r="97" spans="1:24" x14ac:dyDescent="0.25">
      <c r="A97" s="45">
        <v>220209000139</v>
      </c>
      <c r="B97" s="46" t="s">
        <v>9</v>
      </c>
      <c r="C97" s="47">
        <v>44198</v>
      </c>
      <c r="D97" s="45">
        <v>22021000211</v>
      </c>
      <c r="E97" s="46" t="s">
        <v>921</v>
      </c>
      <c r="F97" s="48">
        <v>100</v>
      </c>
      <c r="G97" s="46" t="s">
        <v>68</v>
      </c>
      <c r="H97" s="46" t="s">
        <v>968</v>
      </c>
      <c r="I97" s="45" t="s">
        <v>125</v>
      </c>
      <c r="J97" s="46" t="s">
        <v>127</v>
      </c>
      <c r="K97" s="46" t="s">
        <v>127</v>
      </c>
      <c r="L97" s="46" t="s">
        <v>15</v>
      </c>
      <c r="M97" s="46" t="s">
        <v>13</v>
      </c>
      <c r="N97" s="46" t="s">
        <v>14</v>
      </c>
      <c r="O97" s="49" t="s">
        <v>803</v>
      </c>
      <c r="P97" s="46" t="s">
        <v>507</v>
      </c>
      <c r="Q97" s="35" t="str">
        <f>MID(Tabla1[[#This Row],[Aplicación]],14,1)</f>
        <v>2</v>
      </c>
      <c r="R97" s="35" t="s">
        <v>495</v>
      </c>
      <c r="S97" s="35" t="str">
        <f>MID(Tabla1[[#This Row],[Aplicación]],6,2)</f>
        <v>04</v>
      </c>
      <c r="T97" s="35" t="str">
        <f>VLOOKUP(Tabla1[[#This Row],[AREA]],Hoja1!A:B,2,FALSE)</f>
        <v>04. Planificación y recursos</v>
      </c>
      <c r="U97" s="35" t="str">
        <f>MID(Tabla1[[#This Row],[Aplicación]],9,4)</f>
        <v>9204</v>
      </c>
      <c r="V97" s="35" t="str">
        <f>VLOOKUP(Tabla1[[#This Row],[PROGRAMA]],Hoja1!A:B,2,FALSE)</f>
        <v>9204. Tecnologías de la información y comunicación</v>
      </c>
      <c r="W97" s="35" t="str">
        <f>MID(Tabla1[[#This Row],[Aplicación]],14,2)</f>
        <v>21</v>
      </c>
      <c r="X97" s="35" t="str">
        <f>MID(Tabla1[[#This Row],[Aplicación]],14,6)</f>
        <v>213</v>
      </c>
    </row>
    <row r="98" spans="1:24" x14ac:dyDescent="0.25">
      <c r="A98" s="45">
        <v>220209000140</v>
      </c>
      <c r="B98" s="46" t="s">
        <v>9</v>
      </c>
      <c r="C98" s="47">
        <v>44198</v>
      </c>
      <c r="D98" s="45">
        <v>22021000212</v>
      </c>
      <c r="E98" s="46" t="s">
        <v>969</v>
      </c>
      <c r="F98" s="48">
        <v>335.8</v>
      </c>
      <c r="G98" s="46" t="s">
        <v>68</v>
      </c>
      <c r="H98" s="46" t="s">
        <v>970</v>
      </c>
      <c r="I98" s="45" t="s">
        <v>125</v>
      </c>
      <c r="J98" s="46" t="s">
        <v>127</v>
      </c>
      <c r="K98" s="46" t="s">
        <v>127</v>
      </c>
      <c r="L98" s="46" t="s">
        <v>15</v>
      </c>
      <c r="M98" s="46" t="s">
        <v>13</v>
      </c>
      <c r="N98" s="46" t="s">
        <v>14</v>
      </c>
      <c r="O98" s="49" t="s">
        <v>803</v>
      </c>
      <c r="P98" s="46" t="s">
        <v>507</v>
      </c>
      <c r="Q98" s="35" t="str">
        <f>MID(Tabla1[[#This Row],[Aplicación]],14,1)</f>
        <v>2</v>
      </c>
      <c r="R98" s="35" t="s">
        <v>495</v>
      </c>
      <c r="S98" s="35" t="str">
        <f>MID(Tabla1[[#This Row],[Aplicación]],6,2)</f>
        <v>06</v>
      </c>
      <c r="T98" s="35" t="str">
        <f>VLOOKUP(Tabla1[[#This Row],[AREA]],Hoja1!A:B,2,FALSE)</f>
        <v>06. Educación, infancia, juventud e igualdad</v>
      </c>
      <c r="U98" s="35" t="str">
        <f>MID(Tabla1[[#This Row],[Aplicación]],9,4)</f>
        <v>2315</v>
      </c>
      <c r="V98" s="35" t="str">
        <f>VLOOKUP(Tabla1[[#This Row],[PROGRAMA]],Hoja1!A:B,2,FALSE)</f>
        <v>2315. Políticas de Igualdad e infancia</v>
      </c>
      <c r="W98" s="35" t="str">
        <f>MID(Tabla1[[#This Row],[Aplicación]],14,2)</f>
        <v>21</v>
      </c>
      <c r="X98" s="35" t="str">
        <f>MID(Tabla1[[#This Row],[Aplicación]],14,6)</f>
        <v>213</v>
      </c>
    </row>
    <row r="99" spans="1:24" x14ac:dyDescent="0.25">
      <c r="A99" s="45">
        <v>220209000157</v>
      </c>
      <c r="B99" s="46" t="s">
        <v>9</v>
      </c>
      <c r="C99" s="47">
        <v>44198</v>
      </c>
      <c r="D99" s="45">
        <v>22021000223</v>
      </c>
      <c r="E99" s="46" t="s">
        <v>830</v>
      </c>
      <c r="F99" s="48">
        <v>80</v>
      </c>
      <c r="G99" s="46" t="s">
        <v>68</v>
      </c>
      <c r="H99" s="46" t="s">
        <v>971</v>
      </c>
      <c r="I99" s="45" t="s">
        <v>125</v>
      </c>
      <c r="J99" s="46" t="s">
        <v>127</v>
      </c>
      <c r="K99" s="46" t="s">
        <v>127</v>
      </c>
      <c r="L99" s="46" t="s">
        <v>15</v>
      </c>
      <c r="M99" s="46" t="s">
        <v>13</v>
      </c>
      <c r="N99" s="46" t="s">
        <v>14</v>
      </c>
      <c r="O99" s="49" t="s">
        <v>803</v>
      </c>
      <c r="P99" s="46" t="s">
        <v>507</v>
      </c>
      <c r="Q99" s="35" t="str">
        <f>MID(Tabla1[[#This Row],[Aplicación]],14,1)</f>
        <v>2</v>
      </c>
      <c r="R99" s="35" t="s">
        <v>495</v>
      </c>
      <c r="S99" s="35" t="str">
        <f>MID(Tabla1[[#This Row],[Aplicación]],6,2)</f>
        <v>01</v>
      </c>
      <c r="T99" s="35" t="str">
        <f>VLOOKUP(Tabla1[[#This Row],[AREA]],Hoja1!A:B,2,FALSE)</f>
        <v>01. Alcaldía</v>
      </c>
      <c r="U99" s="35" t="str">
        <f>MID(Tabla1[[#This Row],[Aplicación]],9,4)</f>
        <v>9203</v>
      </c>
      <c r="V99" s="35" t="str">
        <f>VLOOKUP(Tabla1[[#This Row],[PROGRAMA]],Hoja1!A:B,2,FALSE)</f>
        <v>9203. Unidad de régimen interior</v>
      </c>
      <c r="W99" s="35" t="str">
        <f>MID(Tabla1[[#This Row],[Aplicación]],14,2)</f>
        <v>21</v>
      </c>
      <c r="X99" s="35" t="str">
        <f>MID(Tabla1[[#This Row],[Aplicación]],14,6)</f>
        <v>213</v>
      </c>
    </row>
    <row r="100" spans="1:24" x14ac:dyDescent="0.25">
      <c r="A100" s="45">
        <v>220209000158</v>
      </c>
      <c r="B100" s="46" t="s">
        <v>9</v>
      </c>
      <c r="C100" s="47">
        <v>44198</v>
      </c>
      <c r="D100" s="45">
        <v>22021000224</v>
      </c>
      <c r="E100" s="46" t="s">
        <v>972</v>
      </c>
      <c r="F100" s="48">
        <v>155</v>
      </c>
      <c r="G100" s="46" t="s">
        <v>68</v>
      </c>
      <c r="H100" s="46" t="s">
        <v>973</v>
      </c>
      <c r="I100" s="45" t="s">
        <v>125</v>
      </c>
      <c r="J100" s="46" t="s">
        <v>127</v>
      </c>
      <c r="K100" s="46" t="s">
        <v>127</v>
      </c>
      <c r="L100" s="46" t="s">
        <v>15</v>
      </c>
      <c r="M100" s="46" t="s">
        <v>13</v>
      </c>
      <c r="N100" s="46" t="s">
        <v>14</v>
      </c>
      <c r="O100" s="49" t="s">
        <v>803</v>
      </c>
      <c r="P100" s="46" t="s">
        <v>507</v>
      </c>
      <c r="Q100" s="35" t="str">
        <f>MID(Tabla1[[#This Row],[Aplicación]],14,1)</f>
        <v>2</v>
      </c>
      <c r="R100" s="35" t="s">
        <v>495</v>
      </c>
      <c r="S100" s="35" t="str">
        <f>MID(Tabla1[[#This Row],[Aplicación]],6,2)</f>
        <v>01</v>
      </c>
      <c r="T100" s="35" t="str">
        <f>VLOOKUP(Tabla1[[#This Row],[AREA]],Hoja1!A:B,2,FALSE)</f>
        <v>01. Alcaldía</v>
      </c>
      <c r="U100" s="35" t="str">
        <f>MID(Tabla1[[#This Row],[Aplicación]],9,4)</f>
        <v>9206</v>
      </c>
      <c r="V100" s="35" t="str">
        <f>VLOOKUP(Tabla1[[#This Row],[PROGRAMA]],Hoja1!A:B,2,FALSE)</f>
        <v>9206. Archivo municipal</v>
      </c>
      <c r="W100" s="35" t="str">
        <f>MID(Tabla1[[#This Row],[Aplicación]],14,2)</f>
        <v>20</v>
      </c>
      <c r="X100" s="35" t="str">
        <f>MID(Tabla1[[#This Row],[Aplicación]],14,6)</f>
        <v>203</v>
      </c>
    </row>
    <row r="101" spans="1:24" x14ac:dyDescent="0.25">
      <c r="A101" s="45">
        <v>220209000159</v>
      </c>
      <c r="B101" s="46" t="s">
        <v>9</v>
      </c>
      <c r="C101" s="47">
        <v>44198</v>
      </c>
      <c r="D101" s="45">
        <v>22021000225</v>
      </c>
      <c r="E101" s="46" t="s">
        <v>974</v>
      </c>
      <c r="F101" s="48">
        <v>100</v>
      </c>
      <c r="G101" s="46" t="s">
        <v>68</v>
      </c>
      <c r="H101" s="46" t="s">
        <v>975</v>
      </c>
      <c r="I101" s="45" t="s">
        <v>125</v>
      </c>
      <c r="J101" s="46" t="s">
        <v>127</v>
      </c>
      <c r="K101" s="46" t="s">
        <v>127</v>
      </c>
      <c r="L101" s="46" t="s">
        <v>15</v>
      </c>
      <c r="M101" s="46" t="s">
        <v>13</v>
      </c>
      <c r="N101" s="46" t="s">
        <v>14</v>
      </c>
      <c r="O101" s="49" t="s">
        <v>803</v>
      </c>
      <c r="P101" s="46" t="s">
        <v>507</v>
      </c>
      <c r="Q101" s="35" t="str">
        <f>MID(Tabla1[[#This Row],[Aplicación]],14,1)</f>
        <v>2</v>
      </c>
      <c r="R101" s="35" t="s">
        <v>495</v>
      </c>
      <c r="S101" s="35" t="str">
        <f>MID(Tabla1[[#This Row],[Aplicación]],6,2)</f>
        <v>01</v>
      </c>
      <c r="T101" s="35" t="str">
        <f>VLOOKUP(Tabla1[[#This Row],[AREA]],Hoja1!A:B,2,FALSE)</f>
        <v>01. Alcaldía</v>
      </c>
      <c r="U101" s="35" t="str">
        <f>MID(Tabla1[[#This Row],[Aplicación]],9,4)</f>
        <v>9206</v>
      </c>
      <c r="V101" s="35" t="str">
        <f>VLOOKUP(Tabla1[[#This Row],[PROGRAMA]],Hoja1!A:B,2,FALSE)</f>
        <v>9206. Archivo municipal</v>
      </c>
      <c r="W101" s="35" t="str">
        <f>MID(Tabla1[[#This Row],[Aplicación]],14,2)</f>
        <v>21</v>
      </c>
      <c r="X101" s="35" t="str">
        <f>MID(Tabla1[[#This Row],[Aplicación]],14,6)</f>
        <v>213</v>
      </c>
    </row>
    <row r="102" spans="1:24" x14ac:dyDescent="0.25">
      <c r="A102" s="45">
        <v>220209000187</v>
      </c>
      <c r="B102" s="46" t="s">
        <v>9</v>
      </c>
      <c r="C102" s="47">
        <v>44198</v>
      </c>
      <c r="D102" s="45">
        <v>22021000232</v>
      </c>
      <c r="E102" s="46" t="s">
        <v>924</v>
      </c>
      <c r="F102" s="48">
        <v>115</v>
      </c>
      <c r="G102" s="46" t="s">
        <v>68</v>
      </c>
      <c r="H102" s="46" t="s">
        <v>976</v>
      </c>
      <c r="I102" s="45" t="s">
        <v>125</v>
      </c>
      <c r="J102" s="46" t="s">
        <v>127</v>
      </c>
      <c r="K102" s="46" t="s">
        <v>127</v>
      </c>
      <c r="L102" s="46" t="s">
        <v>15</v>
      </c>
      <c r="M102" s="46" t="s">
        <v>13</v>
      </c>
      <c r="N102" s="46" t="s">
        <v>14</v>
      </c>
      <c r="O102" s="49" t="s">
        <v>803</v>
      </c>
      <c r="P102" s="46" t="s">
        <v>507</v>
      </c>
      <c r="Q102" s="35" t="str">
        <f>MID(Tabla1[[#This Row],[Aplicación]],14,1)</f>
        <v>2</v>
      </c>
      <c r="R102" s="35" t="s">
        <v>495</v>
      </c>
      <c r="S102" s="35" t="str">
        <f>MID(Tabla1[[#This Row],[Aplicación]],6,2)</f>
        <v>04</v>
      </c>
      <c r="T102" s="35" t="str">
        <f>VLOOKUP(Tabla1[[#This Row],[AREA]],Hoja1!A:B,2,FALSE)</f>
        <v>04. Planificación y recursos</v>
      </c>
      <c r="U102" s="35" t="str">
        <f>MID(Tabla1[[#This Row],[Aplicación]],9,4)</f>
        <v>3121</v>
      </c>
      <c r="V102" s="35" t="str">
        <f>VLOOKUP(Tabla1[[#This Row],[PROGRAMA]],Hoja1!A:B,2,FALSE)</f>
        <v>3121. Prevención y salud laboral</v>
      </c>
      <c r="W102" s="35" t="str">
        <f>MID(Tabla1[[#This Row],[Aplicación]],14,2)</f>
        <v>21</v>
      </c>
      <c r="X102" s="35" t="str">
        <f>MID(Tabla1[[#This Row],[Aplicación]],14,6)</f>
        <v>213</v>
      </c>
    </row>
    <row r="103" spans="1:24" x14ac:dyDescent="0.25">
      <c r="A103" s="45">
        <v>220209000243</v>
      </c>
      <c r="B103" s="46" t="s">
        <v>9</v>
      </c>
      <c r="C103" s="47">
        <v>44198</v>
      </c>
      <c r="D103" s="45">
        <v>22021000250</v>
      </c>
      <c r="E103" s="46" t="s">
        <v>977</v>
      </c>
      <c r="F103" s="48">
        <v>82.28</v>
      </c>
      <c r="G103" s="46" t="s">
        <v>68</v>
      </c>
      <c r="H103" s="46" t="s">
        <v>978</v>
      </c>
      <c r="I103" s="45" t="s">
        <v>125</v>
      </c>
      <c r="J103" s="46" t="s">
        <v>127</v>
      </c>
      <c r="K103" s="46" t="s">
        <v>127</v>
      </c>
      <c r="L103" s="46" t="s">
        <v>15</v>
      </c>
      <c r="M103" s="46" t="s">
        <v>13</v>
      </c>
      <c r="N103" s="46" t="s">
        <v>14</v>
      </c>
      <c r="O103" s="49" t="s">
        <v>803</v>
      </c>
      <c r="P103" s="46" t="s">
        <v>507</v>
      </c>
      <c r="Q103" s="35" t="str">
        <f>MID(Tabla1[[#This Row],[Aplicación]],14,1)</f>
        <v>2</v>
      </c>
      <c r="R103" s="35" t="s">
        <v>495</v>
      </c>
      <c r="S103" s="35" t="str">
        <f>MID(Tabla1[[#This Row],[Aplicación]],6,2)</f>
        <v>04</v>
      </c>
      <c r="T103" s="35" t="str">
        <f>VLOOKUP(Tabla1[[#This Row],[AREA]],Hoja1!A:B,2,FALSE)</f>
        <v>04. Planificación y recursos</v>
      </c>
      <c r="U103" s="35" t="str">
        <f>MID(Tabla1[[#This Row],[Aplicación]],9,4)</f>
        <v>9311</v>
      </c>
      <c r="V103" s="35" t="str">
        <f>VLOOKUP(Tabla1[[#This Row],[PROGRAMA]],Hoja1!A:B,2,FALSE)</f>
        <v>9311. Planificación económico financiera</v>
      </c>
      <c r="W103" s="35" t="str">
        <f>MID(Tabla1[[#This Row],[Aplicación]],14,2)</f>
        <v>20</v>
      </c>
      <c r="X103" s="35" t="str">
        <f>MID(Tabla1[[#This Row],[Aplicación]],14,6)</f>
        <v>203</v>
      </c>
    </row>
    <row r="104" spans="1:24" x14ac:dyDescent="0.25">
      <c r="A104" s="45">
        <v>220209000244</v>
      </c>
      <c r="B104" s="46" t="s">
        <v>9</v>
      </c>
      <c r="C104" s="47">
        <v>44198</v>
      </c>
      <c r="D104" s="45">
        <v>22021000251</v>
      </c>
      <c r="E104" s="46" t="s">
        <v>977</v>
      </c>
      <c r="F104" s="48">
        <v>98.9</v>
      </c>
      <c r="G104" s="46" t="s">
        <v>68</v>
      </c>
      <c r="H104" s="46" t="s">
        <v>979</v>
      </c>
      <c r="I104" s="45" t="s">
        <v>125</v>
      </c>
      <c r="J104" s="46" t="s">
        <v>127</v>
      </c>
      <c r="K104" s="46" t="s">
        <v>127</v>
      </c>
      <c r="L104" s="46" t="s">
        <v>15</v>
      </c>
      <c r="M104" s="46" t="s">
        <v>13</v>
      </c>
      <c r="N104" s="46" t="s">
        <v>14</v>
      </c>
      <c r="O104" s="49" t="s">
        <v>803</v>
      </c>
      <c r="P104" s="46" t="s">
        <v>507</v>
      </c>
      <c r="Q104" s="35" t="str">
        <f>MID(Tabla1[[#This Row],[Aplicación]],14,1)</f>
        <v>2</v>
      </c>
      <c r="R104" s="35" t="s">
        <v>495</v>
      </c>
      <c r="S104" s="35" t="str">
        <f>MID(Tabla1[[#This Row],[Aplicación]],6,2)</f>
        <v>04</v>
      </c>
      <c r="T104" s="35" t="str">
        <f>VLOOKUP(Tabla1[[#This Row],[AREA]],Hoja1!A:B,2,FALSE)</f>
        <v>04. Planificación y recursos</v>
      </c>
      <c r="U104" s="35" t="str">
        <f>MID(Tabla1[[#This Row],[Aplicación]],9,4)</f>
        <v>9311</v>
      </c>
      <c r="V104" s="35" t="str">
        <f>VLOOKUP(Tabla1[[#This Row],[PROGRAMA]],Hoja1!A:B,2,FALSE)</f>
        <v>9311. Planificación económico financiera</v>
      </c>
      <c r="W104" s="35" t="str">
        <f>MID(Tabla1[[#This Row],[Aplicación]],14,2)</f>
        <v>20</v>
      </c>
      <c r="X104" s="35" t="str">
        <f>MID(Tabla1[[#This Row],[Aplicación]],14,6)</f>
        <v>203</v>
      </c>
    </row>
    <row r="105" spans="1:24" x14ac:dyDescent="0.25">
      <c r="A105" s="45">
        <v>220209000245</v>
      </c>
      <c r="B105" s="46" t="s">
        <v>9</v>
      </c>
      <c r="C105" s="47">
        <v>44198</v>
      </c>
      <c r="D105" s="45">
        <v>22021000252</v>
      </c>
      <c r="E105" s="46" t="s">
        <v>980</v>
      </c>
      <c r="F105" s="48">
        <v>348.8</v>
      </c>
      <c r="G105" s="46" t="s">
        <v>68</v>
      </c>
      <c r="H105" s="46" t="s">
        <v>981</v>
      </c>
      <c r="I105" s="45" t="s">
        <v>125</v>
      </c>
      <c r="J105" s="46" t="s">
        <v>127</v>
      </c>
      <c r="K105" s="46" t="s">
        <v>127</v>
      </c>
      <c r="L105" s="46" t="s">
        <v>15</v>
      </c>
      <c r="M105" s="46" t="s">
        <v>13</v>
      </c>
      <c r="N105" s="46" t="s">
        <v>14</v>
      </c>
      <c r="O105" s="49" t="s">
        <v>803</v>
      </c>
      <c r="P105" s="46" t="s">
        <v>507</v>
      </c>
      <c r="Q105" s="35" t="str">
        <f>MID(Tabla1[[#This Row],[Aplicación]],14,1)</f>
        <v>2</v>
      </c>
      <c r="R105" s="35" t="s">
        <v>495</v>
      </c>
      <c r="S105" s="35" t="str">
        <f>MID(Tabla1[[#This Row],[Aplicación]],6,2)</f>
        <v>11</v>
      </c>
      <c r="T105" s="35" t="str">
        <f>VLOOKUP(Tabla1[[#This Row],[AREA]],Hoja1!A:B,2,FALSE)</f>
        <v>11. Salud pública y seguridad ciudadana</v>
      </c>
      <c r="U105" s="35" t="str">
        <f>MID(Tabla1[[#This Row],[Aplicación]],9,4)</f>
        <v>1361</v>
      </c>
      <c r="V105" s="35" t="str">
        <f>VLOOKUP(Tabla1[[#This Row],[PROGRAMA]],Hoja1!A:B,2,FALSE)</f>
        <v>1361. Prevención y extinción de incencios</v>
      </c>
      <c r="W105" s="35" t="str">
        <f>MID(Tabla1[[#This Row],[Aplicación]],14,2)</f>
        <v>21</v>
      </c>
      <c r="X105" s="35" t="str">
        <f>MID(Tabla1[[#This Row],[Aplicación]],14,6)</f>
        <v>213</v>
      </c>
    </row>
    <row r="106" spans="1:24" x14ac:dyDescent="0.25">
      <c r="A106" s="45">
        <v>220209000435</v>
      </c>
      <c r="B106" s="46" t="s">
        <v>9</v>
      </c>
      <c r="C106" s="47">
        <v>44198</v>
      </c>
      <c r="D106" s="45">
        <v>22021000301</v>
      </c>
      <c r="E106" s="46" t="s">
        <v>982</v>
      </c>
      <c r="F106" s="48">
        <v>400</v>
      </c>
      <c r="G106" s="46" t="s">
        <v>68</v>
      </c>
      <c r="H106" s="46" t="s">
        <v>715</v>
      </c>
      <c r="I106" s="45" t="s">
        <v>125</v>
      </c>
      <c r="J106" s="46" t="s">
        <v>127</v>
      </c>
      <c r="K106" s="46" t="s">
        <v>127</v>
      </c>
      <c r="L106" s="46" t="s">
        <v>15</v>
      </c>
      <c r="M106" s="46" t="s">
        <v>13</v>
      </c>
      <c r="N106" s="46" t="s">
        <v>14</v>
      </c>
      <c r="O106" s="49" t="s">
        <v>803</v>
      </c>
      <c r="P106" s="46" t="s">
        <v>507</v>
      </c>
      <c r="Q106" s="35" t="str">
        <f>MID(Tabla1[[#This Row],[Aplicación]],14,1)</f>
        <v>2</v>
      </c>
      <c r="R106" s="35" t="s">
        <v>495</v>
      </c>
      <c r="S106" s="35" t="str">
        <f>MID(Tabla1[[#This Row],[Aplicación]],6,2)</f>
        <v>10</v>
      </c>
      <c r="T106" s="35" t="str">
        <f>VLOOKUP(Tabla1[[#This Row],[AREA]],Hoja1!A:B,2,FALSE)</f>
        <v>10. Servicios sociales y mediación comunitaria</v>
      </c>
      <c r="U106" s="35" t="str">
        <f>MID(Tabla1[[#This Row],[Aplicación]],9,4)</f>
        <v>2312</v>
      </c>
      <c r="V106" s="35" t="str">
        <f>VLOOKUP(Tabla1[[#This Row],[PROGRAMA]],Hoja1!A:B,2,FALSE)</f>
        <v>2312. Iniciativas sociales</v>
      </c>
      <c r="W106" s="35" t="str">
        <f>MID(Tabla1[[#This Row],[Aplicación]],14,2)</f>
        <v>21</v>
      </c>
      <c r="X106" s="35" t="str">
        <f>MID(Tabla1[[#This Row],[Aplicación]],14,6)</f>
        <v>213</v>
      </c>
    </row>
    <row r="107" spans="1:24" x14ac:dyDescent="0.25">
      <c r="A107" s="45">
        <v>220209000436</v>
      </c>
      <c r="B107" s="46" t="s">
        <v>9</v>
      </c>
      <c r="C107" s="47">
        <v>44198</v>
      </c>
      <c r="D107" s="45">
        <v>22021000302</v>
      </c>
      <c r="E107" s="46" t="s">
        <v>982</v>
      </c>
      <c r="F107" s="48">
        <v>1030</v>
      </c>
      <c r="G107" s="46" t="s">
        <v>68</v>
      </c>
      <c r="H107" s="46" t="s">
        <v>692</v>
      </c>
      <c r="I107" s="45" t="s">
        <v>125</v>
      </c>
      <c r="J107" s="46" t="s">
        <v>127</v>
      </c>
      <c r="K107" s="46" t="s">
        <v>127</v>
      </c>
      <c r="L107" s="46" t="s">
        <v>15</v>
      </c>
      <c r="M107" s="46" t="s">
        <v>13</v>
      </c>
      <c r="N107" s="46" t="s">
        <v>14</v>
      </c>
      <c r="O107" s="49" t="s">
        <v>803</v>
      </c>
      <c r="P107" s="46" t="s">
        <v>507</v>
      </c>
      <c r="Q107" s="35" t="str">
        <f>MID(Tabla1[[#This Row],[Aplicación]],14,1)</f>
        <v>2</v>
      </c>
      <c r="R107" s="35" t="s">
        <v>495</v>
      </c>
      <c r="S107" s="35" t="str">
        <f>MID(Tabla1[[#This Row],[Aplicación]],6,2)</f>
        <v>10</v>
      </c>
      <c r="T107" s="35" t="str">
        <f>VLOOKUP(Tabla1[[#This Row],[AREA]],Hoja1!A:B,2,FALSE)</f>
        <v>10. Servicios sociales y mediación comunitaria</v>
      </c>
      <c r="U107" s="35" t="str">
        <f>MID(Tabla1[[#This Row],[Aplicación]],9,4)</f>
        <v>2312</v>
      </c>
      <c r="V107" s="35" t="str">
        <f>VLOOKUP(Tabla1[[#This Row],[PROGRAMA]],Hoja1!A:B,2,FALSE)</f>
        <v>2312. Iniciativas sociales</v>
      </c>
      <c r="W107" s="35" t="str">
        <f>MID(Tabla1[[#This Row],[Aplicación]],14,2)</f>
        <v>21</v>
      </c>
      <c r="X107" s="35" t="str">
        <f>MID(Tabla1[[#This Row],[Aplicación]],14,6)</f>
        <v>213</v>
      </c>
    </row>
    <row r="108" spans="1:24" x14ac:dyDescent="0.25">
      <c r="A108" s="45">
        <v>220209000437</v>
      </c>
      <c r="B108" s="46" t="s">
        <v>9</v>
      </c>
      <c r="C108" s="47">
        <v>44198</v>
      </c>
      <c r="D108" s="45">
        <v>22021000303</v>
      </c>
      <c r="E108" s="46" t="s">
        <v>983</v>
      </c>
      <c r="F108" s="48">
        <v>300</v>
      </c>
      <c r="G108" s="46" t="s">
        <v>68</v>
      </c>
      <c r="H108" s="46" t="s">
        <v>984</v>
      </c>
      <c r="I108" s="45" t="s">
        <v>125</v>
      </c>
      <c r="J108" s="46" t="s">
        <v>127</v>
      </c>
      <c r="K108" s="46" t="s">
        <v>127</v>
      </c>
      <c r="L108" s="46" t="s">
        <v>15</v>
      </c>
      <c r="M108" s="46" t="s">
        <v>13</v>
      </c>
      <c r="N108" s="46" t="s">
        <v>14</v>
      </c>
      <c r="O108" s="49" t="s">
        <v>803</v>
      </c>
      <c r="P108" s="46" t="s">
        <v>507</v>
      </c>
      <c r="Q108" s="35" t="str">
        <f>MID(Tabla1[[#This Row],[Aplicación]],14,1)</f>
        <v>2</v>
      </c>
      <c r="R108" s="35" t="s">
        <v>495</v>
      </c>
      <c r="S108" s="35" t="str">
        <f>MID(Tabla1[[#This Row],[Aplicación]],6,2)</f>
        <v>10</v>
      </c>
      <c r="T108" s="35" t="str">
        <f>VLOOKUP(Tabla1[[#This Row],[AREA]],Hoja1!A:B,2,FALSE)</f>
        <v>10. Servicios sociales y mediación comunitaria</v>
      </c>
      <c r="U108" s="35" t="str">
        <f>MID(Tabla1[[#This Row],[Aplicación]],9,4)</f>
        <v>2412</v>
      </c>
      <c r="V108" s="35" t="str">
        <f>VLOOKUP(Tabla1[[#This Row],[PROGRAMA]],Hoja1!A:B,2,FALSE)</f>
        <v>2412. Formación para el empleo</v>
      </c>
      <c r="W108" s="35" t="str">
        <f>MID(Tabla1[[#This Row],[Aplicación]],14,2)</f>
        <v>21</v>
      </c>
      <c r="X108" s="35" t="str">
        <f>MID(Tabla1[[#This Row],[Aplicación]],14,6)</f>
        <v>213</v>
      </c>
    </row>
    <row r="109" spans="1:24" x14ac:dyDescent="0.25">
      <c r="A109" s="45">
        <v>220209000468</v>
      </c>
      <c r="B109" s="46" t="s">
        <v>9</v>
      </c>
      <c r="C109" s="47">
        <v>44198</v>
      </c>
      <c r="D109" s="45">
        <v>22021000319</v>
      </c>
      <c r="E109" s="46" t="s">
        <v>985</v>
      </c>
      <c r="F109" s="48">
        <v>75</v>
      </c>
      <c r="G109" s="46" t="s">
        <v>68</v>
      </c>
      <c r="H109" s="46" t="s">
        <v>986</v>
      </c>
      <c r="I109" s="45" t="s">
        <v>125</v>
      </c>
      <c r="J109" s="46" t="s">
        <v>127</v>
      </c>
      <c r="K109" s="46" t="s">
        <v>127</v>
      </c>
      <c r="L109" s="46" t="s">
        <v>15</v>
      </c>
      <c r="M109" s="46" t="s">
        <v>13</v>
      </c>
      <c r="N109" s="46" t="s">
        <v>14</v>
      </c>
      <c r="O109" s="49" t="s">
        <v>803</v>
      </c>
      <c r="P109" s="46" t="s">
        <v>507</v>
      </c>
      <c r="Q109" s="35" t="str">
        <f>MID(Tabla1[[#This Row],[Aplicación]],14,1)</f>
        <v>2</v>
      </c>
      <c r="R109" s="35" t="s">
        <v>495</v>
      </c>
      <c r="S109" s="35" t="str">
        <f>MID(Tabla1[[#This Row],[Aplicación]],6,2)</f>
        <v>10</v>
      </c>
      <c r="T109" s="35" t="str">
        <f>VLOOKUP(Tabla1[[#This Row],[AREA]],Hoja1!A:B,2,FALSE)</f>
        <v>10. Servicios sociales y mediación comunitaria</v>
      </c>
      <c r="U109" s="35" t="str">
        <f>MID(Tabla1[[#This Row],[Aplicación]],9,4)</f>
        <v>2316</v>
      </c>
      <c r="V109" s="35" t="str">
        <f>VLOOKUP(Tabla1[[#This Row],[PROGRAMA]],Hoja1!A:B,2,FALSE)</f>
        <v>2316. Mediación comunitaria</v>
      </c>
      <c r="W109" s="35" t="str">
        <f>MID(Tabla1[[#This Row],[Aplicación]],14,2)</f>
        <v>21</v>
      </c>
      <c r="X109" s="35" t="str">
        <f>MID(Tabla1[[#This Row],[Aplicación]],14,6)</f>
        <v>213</v>
      </c>
    </row>
    <row r="110" spans="1:24" x14ac:dyDescent="0.25">
      <c r="A110" s="45">
        <v>220210000343</v>
      </c>
      <c r="B110" s="46" t="s">
        <v>32</v>
      </c>
      <c r="C110" s="47">
        <v>44217</v>
      </c>
      <c r="D110" s="45">
        <v>22021000674</v>
      </c>
      <c r="E110" s="46" t="s">
        <v>987</v>
      </c>
      <c r="F110" s="48">
        <v>84.36</v>
      </c>
      <c r="G110" s="46" t="s">
        <v>68</v>
      </c>
      <c r="H110" s="46" t="s">
        <v>988</v>
      </c>
      <c r="I110" s="45" t="s">
        <v>234</v>
      </c>
      <c r="J110" s="46" t="s">
        <v>127</v>
      </c>
      <c r="K110" s="46" t="s">
        <v>127</v>
      </c>
      <c r="L110" s="46" t="s">
        <v>15</v>
      </c>
      <c r="M110" s="46" t="s">
        <v>13</v>
      </c>
      <c r="N110" s="46" t="s">
        <v>14</v>
      </c>
      <c r="O110" s="49" t="s">
        <v>803</v>
      </c>
      <c r="P110" s="46" t="s">
        <v>507</v>
      </c>
      <c r="Q110" s="35" t="str">
        <f>MID(Tabla1[[#This Row],[Aplicación]],14,1)</f>
        <v>2</v>
      </c>
      <c r="R110" s="35" t="s">
        <v>495</v>
      </c>
      <c r="S110" s="35" t="str">
        <f>MID(Tabla1[[#This Row],[Aplicación]],6,2)</f>
        <v>04</v>
      </c>
      <c r="T110" s="35" t="str">
        <f>VLOOKUP(Tabla1[[#This Row],[AREA]],Hoja1!A:B,2,FALSE)</f>
        <v>04. Planificación y recursos</v>
      </c>
      <c r="U110" s="35" t="str">
        <f>MID(Tabla1[[#This Row],[Aplicación]],9,4)</f>
        <v>9321</v>
      </c>
      <c r="V110" s="35" t="str">
        <f>VLOOKUP(Tabla1[[#This Row],[PROGRAMA]],Hoja1!A:B,2,FALSE)</f>
        <v>9321. Gestión de ingresos e inspección</v>
      </c>
      <c r="W110" s="35" t="str">
        <f>MID(Tabla1[[#This Row],[Aplicación]],14,2)</f>
        <v>20</v>
      </c>
      <c r="X110" s="35" t="str">
        <f>MID(Tabla1[[#This Row],[Aplicación]],14,6)</f>
        <v>203</v>
      </c>
    </row>
    <row r="111" spans="1:24" x14ac:dyDescent="0.25">
      <c r="A111" s="45">
        <v>220210000344</v>
      </c>
      <c r="B111" s="46" t="s">
        <v>32</v>
      </c>
      <c r="C111" s="47">
        <v>44217</v>
      </c>
      <c r="D111" s="45">
        <v>22021000675</v>
      </c>
      <c r="E111" s="46" t="s">
        <v>987</v>
      </c>
      <c r="F111" s="48">
        <v>84.36</v>
      </c>
      <c r="G111" s="46" t="s">
        <v>68</v>
      </c>
      <c r="H111" s="46" t="s">
        <v>989</v>
      </c>
      <c r="I111" s="45" t="s">
        <v>234</v>
      </c>
      <c r="J111" s="46" t="s">
        <v>127</v>
      </c>
      <c r="K111" s="46" t="s">
        <v>127</v>
      </c>
      <c r="L111" s="46" t="s">
        <v>15</v>
      </c>
      <c r="M111" s="46" t="s">
        <v>13</v>
      </c>
      <c r="N111" s="46" t="s">
        <v>14</v>
      </c>
      <c r="O111" s="49" t="s">
        <v>803</v>
      </c>
      <c r="P111" s="46" t="s">
        <v>507</v>
      </c>
      <c r="Q111" s="35" t="str">
        <f>MID(Tabla1[[#This Row],[Aplicación]],14,1)</f>
        <v>2</v>
      </c>
      <c r="R111" s="35" t="s">
        <v>495</v>
      </c>
      <c r="S111" s="35" t="str">
        <f>MID(Tabla1[[#This Row],[Aplicación]],6,2)</f>
        <v>04</v>
      </c>
      <c r="T111" s="35" t="str">
        <f>VLOOKUP(Tabla1[[#This Row],[AREA]],Hoja1!A:B,2,FALSE)</f>
        <v>04. Planificación y recursos</v>
      </c>
      <c r="U111" s="35" t="str">
        <f>MID(Tabla1[[#This Row],[Aplicación]],9,4)</f>
        <v>9321</v>
      </c>
      <c r="V111" s="35" t="str">
        <f>VLOOKUP(Tabla1[[#This Row],[PROGRAMA]],Hoja1!A:B,2,FALSE)</f>
        <v>9321. Gestión de ingresos e inspección</v>
      </c>
      <c r="W111" s="35" t="str">
        <f>MID(Tabla1[[#This Row],[Aplicación]],14,2)</f>
        <v>20</v>
      </c>
      <c r="X111" s="35" t="str">
        <f>MID(Tabla1[[#This Row],[Aplicación]],14,6)</f>
        <v>203</v>
      </c>
    </row>
    <row r="112" spans="1:24" x14ac:dyDescent="0.25">
      <c r="A112" s="45">
        <v>220210000346</v>
      </c>
      <c r="B112" s="46" t="s">
        <v>32</v>
      </c>
      <c r="C112" s="47">
        <v>44217</v>
      </c>
      <c r="D112" s="45">
        <v>22021000979</v>
      </c>
      <c r="E112" s="46" t="s">
        <v>987</v>
      </c>
      <c r="F112" s="48">
        <v>161.72</v>
      </c>
      <c r="G112" s="46" t="s">
        <v>68</v>
      </c>
      <c r="H112" s="46" t="s">
        <v>990</v>
      </c>
      <c r="I112" s="45" t="s">
        <v>234</v>
      </c>
      <c r="J112" s="46" t="s">
        <v>127</v>
      </c>
      <c r="K112" s="46" t="s">
        <v>127</v>
      </c>
      <c r="L112" s="46" t="s">
        <v>15</v>
      </c>
      <c r="M112" s="46" t="s">
        <v>13</v>
      </c>
      <c r="N112" s="46" t="s">
        <v>14</v>
      </c>
      <c r="O112" s="49" t="s">
        <v>803</v>
      </c>
      <c r="P112" s="46" t="s">
        <v>507</v>
      </c>
      <c r="Q112" s="35" t="str">
        <f>MID(Tabla1[[#This Row],[Aplicación]],14,1)</f>
        <v>2</v>
      </c>
      <c r="R112" s="35" t="s">
        <v>495</v>
      </c>
      <c r="S112" s="35" t="str">
        <f>MID(Tabla1[[#This Row],[Aplicación]],6,2)</f>
        <v>04</v>
      </c>
      <c r="T112" s="35" t="str">
        <f>VLOOKUP(Tabla1[[#This Row],[AREA]],Hoja1!A:B,2,FALSE)</f>
        <v>04. Planificación y recursos</v>
      </c>
      <c r="U112" s="35" t="str">
        <f>MID(Tabla1[[#This Row],[Aplicación]],9,4)</f>
        <v>9321</v>
      </c>
      <c r="V112" s="35" t="str">
        <f>VLOOKUP(Tabla1[[#This Row],[PROGRAMA]],Hoja1!A:B,2,FALSE)</f>
        <v>9321. Gestión de ingresos e inspección</v>
      </c>
      <c r="W112" s="35" t="str">
        <f>MID(Tabla1[[#This Row],[Aplicación]],14,2)</f>
        <v>20</v>
      </c>
      <c r="X112" s="35" t="str">
        <f>MID(Tabla1[[#This Row],[Aplicación]],14,6)</f>
        <v>203</v>
      </c>
    </row>
    <row r="113" spans="1:24" x14ac:dyDescent="0.25">
      <c r="A113" s="45">
        <v>220210000347</v>
      </c>
      <c r="B113" s="46" t="s">
        <v>32</v>
      </c>
      <c r="C113" s="47">
        <v>44217</v>
      </c>
      <c r="D113" s="45">
        <v>22021000994</v>
      </c>
      <c r="E113" s="46" t="s">
        <v>987</v>
      </c>
      <c r="F113" s="48">
        <v>197.84</v>
      </c>
      <c r="G113" s="46" t="s">
        <v>68</v>
      </c>
      <c r="H113" s="46" t="s">
        <v>991</v>
      </c>
      <c r="I113" s="45" t="s">
        <v>234</v>
      </c>
      <c r="J113" s="46" t="s">
        <v>127</v>
      </c>
      <c r="K113" s="46" t="s">
        <v>127</v>
      </c>
      <c r="L113" s="46" t="s">
        <v>15</v>
      </c>
      <c r="M113" s="46" t="s">
        <v>13</v>
      </c>
      <c r="N113" s="46" t="s">
        <v>14</v>
      </c>
      <c r="O113" s="49" t="s">
        <v>803</v>
      </c>
      <c r="P113" s="46" t="s">
        <v>507</v>
      </c>
      <c r="Q113" s="35" t="str">
        <f>MID(Tabla1[[#This Row],[Aplicación]],14,1)</f>
        <v>2</v>
      </c>
      <c r="R113" s="35" t="s">
        <v>495</v>
      </c>
      <c r="S113" s="35" t="str">
        <f>MID(Tabla1[[#This Row],[Aplicación]],6,2)</f>
        <v>04</v>
      </c>
      <c r="T113" s="35" t="str">
        <f>VLOOKUP(Tabla1[[#This Row],[AREA]],Hoja1!A:B,2,FALSE)</f>
        <v>04. Planificación y recursos</v>
      </c>
      <c r="U113" s="35" t="str">
        <f>MID(Tabla1[[#This Row],[Aplicación]],9,4)</f>
        <v>9321</v>
      </c>
      <c r="V113" s="35" t="str">
        <f>VLOOKUP(Tabla1[[#This Row],[PROGRAMA]],Hoja1!A:B,2,FALSE)</f>
        <v>9321. Gestión de ingresos e inspección</v>
      </c>
      <c r="W113" s="35" t="str">
        <f>MID(Tabla1[[#This Row],[Aplicación]],14,2)</f>
        <v>20</v>
      </c>
      <c r="X113" s="35" t="str">
        <f>MID(Tabla1[[#This Row],[Aplicación]],14,6)</f>
        <v>203</v>
      </c>
    </row>
    <row r="114" spans="1:24" x14ac:dyDescent="0.25">
      <c r="A114" s="45">
        <v>220210000386</v>
      </c>
      <c r="B114" s="46" t="s">
        <v>32</v>
      </c>
      <c r="C114" s="47">
        <v>44217</v>
      </c>
      <c r="D114" s="45">
        <v>22021001209</v>
      </c>
      <c r="E114" s="46" t="s">
        <v>956</v>
      </c>
      <c r="F114" s="48">
        <v>197.84</v>
      </c>
      <c r="G114" s="46" t="s">
        <v>68</v>
      </c>
      <c r="H114" s="46" t="s">
        <v>992</v>
      </c>
      <c r="I114" s="45" t="s">
        <v>234</v>
      </c>
      <c r="J114" s="46" t="s">
        <v>127</v>
      </c>
      <c r="K114" s="46" t="s">
        <v>127</v>
      </c>
      <c r="L114" s="46" t="s">
        <v>15</v>
      </c>
      <c r="M114" s="46" t="s">
        <v>13</v>
      </c>
      <c r="N114" s="46" t="s">
        <v>14</v>
      </c>
      <c r="O114" s="49" t="s">
        <v>803</v>
      </c>
      <c r="P114" s="46" t="s">
        <v>507</v>
      </c>
      <c r="Q114" s="35" t="str">
        <f>MID(Tabla1[[#This Row],[Aplicación]],14,1)</f>
        <v>2</v>
      </c>
      <c r="R114" s="35" t="s">
        <v>495</v>
      </c>
      <c r="S114" s="35" t="str">
        <f>MID(Tabla1[[#This Row],[Aplicación]],6,2)</f>
        <v>01</v>
      </c>
      <c r="T114" s="35" t="str">
        <f>VLOOKUP(Tabla1[[#This Row],[AREA]],Hoja1!A:B,2,FALSE)</f>
        <v>01. Alcaldía</v>
      </c>
      <c r="U114" s="35" t="str">
        <f>MID(Tabla1[[#This Row],[Aplicación]],9,4)</f>
        <v>9312</v>
      </c>
      <c r="V114" s="35" t="str">
        <f>VLOOKUP(Tabla1[[#This Row],[PROGRAMA]],Hoja1!A:B,2,FALSE)</f>
        <v>9312. Intervención general</v>
      </c>
      <c r="W114" s="35" t="str">
        <f>MID(Tabla1[[#This Row],[Aplicación]],14,2)</f>
        <v>20</v>
      </c>
      <c r="X114" s="35" t="str">
        <f>MID(Tabla1[[#This Row],[Aplicación]],14,6)</f>
        <v>203</v>
      </c>
    </row>
    <row r="115" spans="1:24" x14ac:dyDescent="0.25">
      <c r="A115" s="45">
        <v>220210000387</v>
      </c>
      <c r="B115" s="46" t="s">
        <v>32</v>
      </c>
      <c r="C115" s="47">
        <v>44217</v>
      </c>
      <c r="D115" s="45">
        <v>22021001210</v>
      </c>
      <c r="E115" s="46" t="s">
        <v>956</v>
      </c>
      <c r="F115" s="48">
        <v>197.84</v>
      </c>
      <c r="G115" s="46" t="s">
        <v>68</v>
      </c>
      <c r="H115" s="46" t="s">
        <v>993</v>
      </c>
      <c r="I115" s="45" t="s">
        <v>234</v>
      </c>
      <c r="J115" s="46" t="s">
        <v>127</v>
      </c>
      <c r="K115" s="46" t="s">
        <v>127</v>
      </c>
      <c r="L115" s="46" t="s">
        <v>15</v>
      </c>
      <c r="M115" s="46" t="s">
        <v>13</v>
      </c>
      <c r="N115" s="46" t="s">
        <v>14</v>
      </c>
      <c r="O115" s="49" t="s">
        <v>803</v>
      </c>
      <c r="P115" s="46" t="s">
        <v>507</v>
      </c>
      <c r="Q115" s="35" t="str">
        <f>MID(Tabla1[[#This Row],[Aplicación]],14,1)</f>
        <v>2</v>
      </c>
      <c r="R115" s="35" t="s">
        <v>495</v>
      </c>
      <c r="S115" s="35" t="str">
        <f>MID(Tabla1[[#This Row],[Aplicación]],6,2)</f>
        <v>01</v>
      </c>
      <c r="T115" s="35" t="str">
        <f>VLOOKUP(Tabla1[[#This Row],[AREA]],Hoja1!A:B,2,FALSE)</f>
        <v>01. Alcaldía</v>
      </c>
      <c r="U115" s="35" t="str">
        <f>MID(Tabla1[[#This Row],[Aplicación]],9,4)</f>
        <v>9312</v>
      </c>
      <c r="V115" s="35" t="str">
        <f>VLOOKUP(Tabla1[[#This Row],[PROGRAMA]],Hoja1!A:B,2,FALSE)</f>
        <v>9312. Intervención general</v>
      </c>
      <c r="W115" s="35" t="str">
        <f>MID(Tabla1[[#This Row],[Aplicación]],14,2)</f>
        <v>20</v>
      </c>
      <c r="X115" s="35" t="str">
        <f>MID(Tabla1[[#This Row],[Aplicación]],14,6)</f>
        <v>203</v>
      </c>
    </row>
    <row r="116" spans="1:24" x14ac:dyDescent="0.25">
      <c r="A116" s="45">
        <v>220210000405</v>
      </c>
      <c r="B116" s="46" t="s">
        <v>32</v>
      </c>
      <c r="C116" s="47">
        <v>44217</v>
      </c>
      <c r="D116" s="45">
        <v>22021001250</v>
      </c>
      <c r="E116" s="46" t="s">
        <v>977</v>
      </c>
      <c r="F116" s="48">
        <v>197.84</v>
      </c>
      <c r="G116" s="46" t="s">
        <v>68</v>
      </c>
      <c r="H116" s="46" t="s">
        <v>994</v>
      </c>
      <c r="I116" s="45" t="s">
        <v>234</v>
      </c>
      <c r="J116" s="46" t="s">
        <v>127</v>
      </c>
      <c r="K116" s="46" t="s">
        <v>127</v>
      </c>
      <c r="L116" s="46" t="s">
        <v>15</v>
      </c>
      <c r="M116" s="46" t="s">
        <v>13</v>
      </c>
      <c r="N116" s="46" t="s">
        <v>14</v>
      </c>
      <c r="O116" s="49" t="s">
        <v>803</v>
      </c>
      <c r="P116" s="46" t="s">
        <v>507</v>
      </c>
      <c r="Q116" s="35" t="str">
        <f>MID(Tabla1[[#This Row],[Aplicación]],14,1)</f>
        <v>2</v>
      </c>
      <c r="R116" s="35" t="s">
        <v>495</v>
      </c>
      <c r="S116" s="35" t="str">
        <f>MID(Tabla1[[#This Row],[Aplicación]],6,2)</f>
        <v>04</v>
      </c>
      <c r="T116" s="35" t="str">
        <f>VLOOKUP(Tabla1[[#This Row],[AREA]],Hoja1!A:B,2,FALSE)</f>
        <v>04. Planificación y recursos</v>
      </c>
      <c r="U116" s="35" t="str">
        <f>MID(Tabla1[[#This Row],[Aplicación]],9,4)</f>
        <v>9311</v>
      </c>
      <c r="V116" s="35" t="str">
        <f>VLOOKUP(Tabla1[[#This Row],[PROGRAMA]],Hoja1!A:B,2,FALSE)</f>
        <v>9311. Planificación económico financiera</v>
      </c>
      <c r="W116" s="35" t="str">
        <f>MID(Tabla1[[#This Row],[Aplicación]],14,2)</f>
        <v>20</v>
      </c>
      <c r="X116" s="35" t="str">
        <f>MID(Tabla1[[#This Row],[Aplicación]],14,6)</f>
        <v>203</v>
      </c>
    </row>
    <row r="117" spans="1:24" x14ac:dyDescent="0.25">
      <c r="A117" s="45">
        <v>220210000409</v>
      </c>
      <c r="B117" s="46" t="s">
        <v>32</v>
      </c>
      <c r="C117" s="47">
        <v>44217</v>
      </c>
      <c r="D117" s="45">
        <v>22021001261</v>
      </c>
      <c r="E117" s="46" t="s">
        <v>945</v>
      </c>
      <c r="F117" s="48">
        <v>197.84</v>
      </c>
      <c r="G117" s="46" t="s">
        <v>68</v>
      </c>
      <c r="H117" s="46" t="s">
        <v>995</v>
      </c>
      <c r="I117" s="45" t="s">
        <v>234</v>
      </c>
      <c r="J117" s="46" t="s">
        <v>127</v>
      </c>
      <c r="K117" s="46" t="s">
        <v>127</v>
      </c>
      <c r="L117" s="46" t="s">
        <v>15</v>
      </c>
      <c r="M117" s="46" t="s">
        <v>13</v>
      </c>
      <c r="N117" s="46" t="s">
        <v>14</v>
      </c>
      <c r="O117" s="49" t="s">
        <v>803</v>
      </c>
      <c r="P117" s="46" t="s">
        <v>507</v>
      </c>
      <c r="Q117" s="35" t="str">
        <f>MID(Tabla1[[#This Row],[Aplicación]],14,1)</f>
        <v>2</v>
      </c>
      <c r="R117" s="35" t="s">
        <v>495</v>
      </c>
      <c r="S117" s="35" t="str">
        <f>MID(Tabla1[[#This Row],[Aplicación]],6,2)</f>
        <v>04</v>
      </c>
      <c r="T117" s="35" t="str">
        <f>VLOOKUP(Tabla1[[#This Row],[AREA]],Hoja1!A:B,2,FALSE)</f>
        <v>04. Planificación y recursos</v>
      </c>
      <c r="U117" s="35" t="str">
        <f>MID(Tabla1[[#This Row],[Aplicación]],9,4)</f>
        <v>9341</v>
      </c>
      <c r="V117" s="35" t="str">
        <f>VLOOKUP(Tabla1[[#This Row],[PROGRAMA]],Hoja1!A:B,2,FALSE)</f>
        <v>9341. Tesorería y recaudación</v>
      </c>
      <c r="W117" s="35" t="str">
        <f>MID(Tabla1[[#This Row],[Aplicación]],14,2)</f>
        <v>21</v>
      </c>
      <c r="X117" s="35" t="str">
        <f>MID(Tabla1[[#This Row],[Aplicación]],14,6)</f>
        <v>213</v>
      </c>
    </row>
    <row r="118" spans="1:24" x14ac:dyDescent="0.25">
      <c r="A118" s="45">
        <v>220210000410</v>
      </c>
      <c r="B118" s="46" t="s">
        <v>32</v>
      </c>
      <c r="C118" s="47">
        <v>44217</v>
      </c>
      <c r="D118" s="45">
        <v>22021001262</v>
      </c>
      <c r="E118" s="46" t="s">
        <v>945</v>
      </c>
      <c r="F118" s="48">
        <v>197.84</v>
      </c>
      <c r="G118" s="46" t="s">
        <v>68</v>
      </c>
      <c r="H118" s="46" t="s">
        <v>996</v>
      </c>
      <c r="I118" s="45" t="s">
        <v>234</v>
      </c>
      <c r="J118" s="46" t="s">
        <v>127</v>
      </c>
      <c r="K118" s="46" t="s">
        <v>127</v>
      </c>
      <c r="L118" s="46" t="s">
        <v>15</v>
      </c>
      <c r="M118" s="46" t="s">
        <v>13</v>
      </c>
      <c r="N118" s="46" t="s">
        <v>14</v>
      </c>
      <c r="O118" s="49" t="s">
        <v>803</v>
      </c>
      <c r="P118" s="46" t="s">
        <v>507</v>
      </c>
      <c r="Q118" s="35" t="str">
        <f>MID(Tabla1[[#This Row],[Aplicación]],14,1)</f>
        <v>2</v>
      </c>
      <c r="R118" s="35" t="s">
        <v>495</v>
      </c>
      <c r="S118" s="35" t="str">
        <f>MID(Tabla1[[#This Row],[Aplicación]],6,2)</f>
        <v>04</v>
      </c>
      <c r="T118" s="35" t="str">
        <f>VLOOKUP(Tabla1[[#This Row],[AREA]],Hoja1!A:B,2,FALSE)</f>
        <v>04. Planificación y recursos</v>
      </c>
      <c r="U118" s="35" t="str">
        <f>MID(Tabla1[[#This Row],[Aplicación]],9,4)</f>
        <v>9341</v>
      </c>
      <c r="V118" s="35" t="str">
        <f>VLOOKUP(Tabla1[[#This Row],[PROGRAMA]],Hoja1!A:B,2,FALSE)</f>
        <v>9341. Tesorería y recaudación</v>
      </c>
      <c r="W118" s="35" t="str">
        <f>MID(Tabla1[[#This Row],[Aplicación]],14,2)</f>
        <v>21</v>
      </c>
      <c r="X118" s="35" t="str">
        <f>MID(Tabla1[[#This Row],[Aplicación]],14,6)</f>
        <v>213</v>
      </c>
    </row>
    <row r="119" spans="1:24" x14ac:dyDescent="0.25">
      <c r="A119" s="45">
        <v>220210000411</v>
      </c>
      <c r="B119" s="46" t="s">
        <v>32</v>
      </c>
      <c r="C119" s="47">
        <v>44217</v>
      </c>
      <c r="D119" s="45">
        <v>22021001263</v>
      </c>
      <c r="E119" s="46" t="s">
        <v>945</v>
      </c>
      <c r="F119" s="48">
        <v>197.84</v>
      </c>
      <c r="G119" s="46" t="s">
        <v>68</v>
      </c>
      <c r="H119" s="46" t="s">
        <v>997</v>
      </c>
      <c r="I119" s="45" t="s">
        <v>234</v>
      </c>
      <c r="J119" s="46" t="s">
        <v>127</v>
      </c>
      <c r="K119" s="46" t="s">
        <v>127</v>
      </c>
      <c r="L119" s="46" t="s">
        <v>15</v>
      </c>
      <c r="M119" s="46" t="s">
        <v>13</v>
      </c>
      <c r="N119" s="46" t="s">
        <v>14</v>
      </c>
      <c r="O119" s="49" t="s">
        <v>803</v>
      </c>
      <c r="P119" s="46" t="s">
        <v>507</v>
      </c>
      <c r="Q119" s="35" t="str">
        <f>MID(Tabla1[[#This Row],[Aplicación]],14,1)</f>
        <v>2</v>
      </c>
      <c r="R119" s="35" t="s">
        <v>495</v>
      </c>
      <c r="S119" s="35" t="str">
        <f>MID(Tabla1[[#This Row],[Aplicación]],6,2)</f>
        <v>04</v>
      </c>
      <c r="T119" s="35" t="str">
        <f>VLOOKUP(Tabla1[[#This Row],[AREA]],Hoja1!A:B,2,FALSE)</f>
        <v>04. Planificación y recursos</v>
      </c>
      <c r="U119" s="35" t="str">
        <f>MID(Tabla1[[#This Row],[Aplicación]],9,4)</f>
        <v>9341</v>
      </c>
      <c r="V119" s="35" t="str">
        <f>VLOOKUP(Tabla1[[#This Row],[PROGRAMA]],Hoja1!A:B,2,FALSE)</f>
        <v>9341. Tesorería y recaudación</v>
      </c>
      <c r="W119" s="35" t="str">
        <f>MID(Tabla1[[#This Row],[Aplicación]],14,2)</f>
        <v>21</v>
      </c>
      <c r="X119" s="35" t="str">
        <f>MID(Tabla1[[#This Row],[Aplicación]],14,6)</f>
        <v>213</v>
      </c>
    </row>
    <row r="120" spans="1:24" x14ac:dyDescent="0.25">
      <c r="A120" s="45">
        <v>220210000412</v>
      </c>
      <c r="B120" s="46" t="s">
        <v>32</v>
      </c>
      <c r="C120" s="47">
        <v>44217</v>
      </c>
      <c r="D120" s="45">
        <v>22021001265</v>
      </c>
      <c r="E120" s="46" t="s">
        <v>945</v>
      </c>
      <c r="F120" s="48">
        <v>197.84</v>
      </c>
      <c r="G120" s="46" t="s">
        <v>68</v>
      </c>
      <c r="H120" s="46" t="s">
        <v>998</v>
      </c>
      <c r="I120" s="45" t="s">
        <v>234</v>
      </c>
      <c r="J120" s="46" t="s">
        <v>127</v>
      </c>
      <c r="K120" s="46" t="s">
        <v>127</v>
      </c>
      <c r="L120" s="46" t="s">
        <v>15</v>
      </c>
      <c r="M120" s="46" t="s">
        <v>13</v>
      </c>
      <c r="N120" s="46" t="s">
        <v>14</v>
      </c>
      <c r="O120" s="49" t="s">
        <v>803</v>
      </c>
      <c r="P120" s="46" t="s">
        <v>507</v>
      </c>
      <c r="Q120" s="35" t="str">
        <f>MID(Tabla1[[#This Row],[Aplicación]],14,1)</f>
        <v>2</v>
      </c>
      <c r="R120" s="35" t="s">
        <v>495</v>
      </c>
      <c r="S120" s="35" t="str">
        <f>MID(Tabla1[[#This Row],[Aplicación]],6,2)</f>
        <v>04</v>
      </c>
      <c r="T120" s="35" t="str">
        <f>VLOOKUP(Tabla1[[#This Row],[AREA]],Hoja1!A:B,2,FALSE)</f>
        <v>04. Planificación y recursos</v>
      </c>
      <c r="U120" s="35" t="str">
        <f>MID(Tabla1[[#This Row],[Aplicación]],9,4)</f>
        <v>9341</v>
      </c>
      <c r="V120" s="35" t="str">
        <f>VLOOKUP(Tabla1[[#This Row],[PROGRAMA]],Hoja1!A:B,2,FALSE)</f>
        <v>9341. Tesorería y recaudación</v>
      </c>
      <c r="W120" s="35" t="str">
        <f>MID(Tabla1[[#This Row],[Aplicación]],14,2)</f>
        <v>21</v>
      </c>
      <c r="X120" s="35" t="str">
        <f>MID(Tabla1[[#This Row],[Aplicación]],14,6)</f>
        <v>213</v>
      </c>
    </row>
    <row r="121" spans="1:24" x14ac:dyDescent="0.25">
      <c r="A121" s="45">
        <v>220210000521</v>
      </c>
      <c r="B121" s="46" t="s">
        <v>501</v>
      </c>
      <c r="C121" s="47">
        <v>44221</v>
      </c>
      <c r="D121" s="45">
        <v>22021000303</v>
      </c>
      <c r="E121" s="46" t="s">
        <v>983</v>
      </c>
      <c r="F121" s="48">
        <v>-300</v>
      </c>
      <c r="G121" s="46" t="s">
        <v>68</v>
      </c>
      <c r="H121" s="46" t="s">
        <v>984</v>
      </c>
      <c r="I121" s="45" t="s">
        <v>125</v>
      </c>
      <c r="J121" s="46" t="s">
        <v>127</v>
      </c>
      <c r="K121" s="46" t="s">
        <v>127</v>
      </c>
      <c r="L121" s="46" t="s">
        <v>15</v>
      </c>
      <c r="M121" s="46" t="s">
        <v>13</v>
      </c>
      <c r="N121" s="46" t="s">
        <v>14</v>
      </c>
      <c r="O121" s="49" t="s">
        <v>803</v>
      </c>
      <c r="P121" s="46" t="s">
        <v>507</v>
      </c>
      <c r="Q121" s="35" t="str">
        <f>MID(Tabla1[[#This Row],[Aplicación]],14,1)</f>
        <v>2</v>
      </c>
      <c r="R121" s="35" t="s">
        <v>495</v>
      </c>
      <c r="S121" s="35" t="str">
        <f>MID(Tabla1[[#This Row],[Aplicación]],6,2)</f>
        <v>10</v>
      </c>
      <c r="T121" s="35" t="str">
        <f>VLOOKUP(Tabla1[[#This Row],[AREA]],Hoja1!A:B,2,FALSE)</f>
        <v>10. Servicios sociales y mediación comunitaria</v>
      </c>
      <c r="U121" s="35" t="str">
        <f>MID(Tabla1[[#This Row],[Aplicación]],9,4)</f>
        <v>2412</v>
      </c>
      <c r="V121" s="35" t="str">
        <f>VLOOKUP(Tabla1[[#This Row],[PROGRAMA]],Hoja1!A:B,2,FALSE)</f>
        <v>2412. Formación para el empleo</v>
      </c>
      <c r="W121" s="35" t="str">
        <f>MID(Tabla1[[#This Row],[Aplicación]],14,2)</f>
        <v>21</v>
      </c>
      <c r="X121" s="35" t="str">
        <f>MID(Tabla1[[#This Row],[Aplicación]],14,6)</f>
        <v>213</v>
      </c>
    </row>
    <row r="122" spans="1:24" x14ac:dyDescent="0.25">
      <c r="A122" s="45">
        <v>220210000909</v>
      </c>
      <c r="B122" s="46" t="s">
        <v>32</v>
      </c>
      <c r="C122" s="47">
        <v>44222</v>
      </c>
      <c r="D122" s="45">
        <v>22021001908</v>
      </c>
      <c r="E122" s="46" t="s">
        <v>987</v>
      </c>
      <c r="F122" s="48">
        <v>114.77</v>
      </c>
      <c r="G122" s="46" t="s">
        <v>68</v>
      </c>
      <c r="H122" s="46" t="s">
        <v>999</v>
      </c>
      <c r="I122" s="45" t="s">
        <v>234</v>
      </c>
      <c r="J122" s="46" t="s">
        <v>127</v>
      </c>
      <c r="K122" s="46" t="s">
        <v>127</v>
      </c>
      <c r="L122" s="46" t="s">
        <v>15</v>
      </c>
      <c r="M122" s="46" t="s">
        <v>13</v>
      </c>
      <c r="N122" s="46" t="s">
        <v>14</v>
      </c>
      <c r="O122" s="49" t="s">
        <v>803</v>
      </c>
      <c r="P122" s="46" t="s">
        <v>507</v>
      </c>
      <c r="Q122" s="35" t="str">
        <f>MID(Tabla1[[#This Row],[Aplicación]],14,1)</f>
        <v>2</v>
      </c>
      <c r="R122" s="35" t="s">
        <v>495</v>
      </c>
      <c r="S122" s="35" t="str">
        <f>MID(Tabla1[[#This Row],[Aplicación]],6,2)</f>
        <v>04</v>
      </c>
      <c r="T122" s="35" t="str">
        <f>VLOOKUP(Tabla1[[#This Row],[AREA]],Hoja1!A:B,2,FALSE)</f>
        <v>04. Planificación y recursos</v>
      </c>
      <c r="U122" s="35" t="str">
        <f>MID(Tabla1[[#This Row],[Aplicación]],9,4)</f>
        <v>9321</v>
      </c>
      <c r="V122" s="35" t="str">
        <f>VLOOKUP(Tabla1[[#This Row],[PROGRAMA]],Hoja1!A:B,2,FALSE)</f>
        <v>9321. Gestión de ingresos e inspección</v>
      </c>
      <c r="W122" s="35" t="str">
        <f>MID(Tabla1[[#This Row],[Aplicación]],14,2)</f>
        <v>20</v>
      </c>
      <c r="X122" s="35" t="str">
        <f>MID(Tabla1[[#This Row],[Aplicación]],14,6)</f>
        <v>203</v>
      </c>
    </row>
    <row r="123" spans="1:24" x14ac:dyDescent="0.25">
      <c r="A123" s="45">
        <v>220210000910</v>
      </c>
      <c r="B123" s="46" t="s">
        <v>32</v>
      </c>
      <c r="C123" s="47">
        <v>44222</v>
      </c>
      <c r="D123" s="45">
        <v>22021001909</v>
      </c>
      <c r="E123" s="46" t="s">
        <v>987</v>
      </c>
      <c r="F123" s="48">
        <v>100.76</v>
      </c>
      <c r="G123" s="46" t="s">
        <v>68</v>
      </c>
      <c r="H123" s="46" t="s">
        <v>1000</v>
      </c>
      <c r="I123" s="45" t="s">
        <v>234</v>
      </c>
      <c r="J123" s="46" t="s">
        <v>127</v>
      </c>
      <c r="K123" s="46" t="s">
        <v>127</v>
      </c>
      <c r="L123" s="46" t="s">
        <v>15</v>
      </c>
      <c r="M123" s="46" t="s">
        <v>13</v>
      </c>
      <c r="N123" s="46" t="s">
        <v>14</v>
      </c>
      <c r="O123" s="49" t="s">
        <v>803</v>
      </c>
      <c r="P123" s="46" t="s">
        <v>507</v>
      </c>
      <c r="Q123" s="35" t="str">
        <f>MID(Tabla1[[#This Row],[Aplicación]],14,1)</f>
        <v>2</v>
      </c>
      <c r="R123" s="35" t="s">
        <v>495</v>
      </c>
      <c r="S123" s="35" t="str">
        <f>MID(Tabla1[[#This Row],[Aplicación]],6,2)</f>
        <v>04</v>
      </c>
      <c r="T123" s="35" t="str">
        <f>VLOOKUP(Tabla1[[#This Row],[AREA]],Hoja1!A:B,2,FALSE)</f>
        <v>04. Planificación y recursos</v>
      </c>
      <c r="U123" s="35" t="str">
        <f>MID(Tabla1[[#This Row],[Aplicación]],9,4)</f>
        <v>9321</v>
      </c>
      <c r="V123" s="35" t="str">
        <f>VLOOKUP(Tabla1[[#This Row],[PROGRAMA]],Hoja1!A:B,2,FALSE)</f>
        <v>9321. Gestión de ingresos e inspección</v>
      </c>
      <c r="W123" s="35" t="str">
        <f>MID(Tabla1[[#This Row],[Aplicación]],14,2)</f>
        <v>20</v>
      </c>
      <c r="X123" s="35" t="str">
        <f>MID(Tabla1[[#This Row],[Aplicación]],14,6)</f>
        <v>203</v>
      </c>
    </row>
    <row r="124" spans="1:24" x14ac:dyDescent="0.25">
      <c r="A124" s="45">
        <v>220210001161</v>
      </c>
      <c r="B124" s="46" t="s">
        <v>32</v>
      </c>
      <c r="C124" s="47">
        <v>44225</v>
      </c>
      <c r="D124" s="45">
        <v>22021002014</v>
      </c>
      <c r="E124" s="46" t="s">
        <v>987</v>
      </c>
      <c r="F124" s="48">
        <v>215.65</v>
      </c>
      <c r="G124" s="46" t="s">
        <v>68</v>
      </c>
      <c r="H124" s="46" t="s">
        <v>1001</v>
      </c>
      <c r="I124" s="45" t="s">
        <v>234</v>
      </c>
      <c r="J124" s="46" t="s">
        <v>127</v>
      </c>
      <c r="K124" s="46" t="s">
        <v>127</v>
      </c>
      <c r="L124" s="46" t="s">
        <v>15</v>
      </c>
      <c r="M124" s="46" t="s">
        <v>13</v>
      </c>
      <c r="N124" s="46" t="s">
        <v>14</v>
      </c>
      <c r="O124" s="49" t="s">
        <v>803</v>
      </c>
      <c r="P124" s="46" t="s">
        <v>507</v>
      </c>
      <c r="Q124" s="35" t="str">
        <f>MID(Tabla1[[#This Row],[Aplicación]],14,1)</f>
        <v>2</v>
      </c>
      <c r="R124" s="35" t="s">
        <v>495</v>
      </c>
      <c r="S124" s="35" t="str">
        <f>MID(Tabla1[[#This Row],[Aplicación]],6,2)</f>
        <v>04</v>
      </c>
      <c r="T124" s="35" t="str">
        <f>VLOOKUP(Tabla1[[#This Row],[AREA]],Hoja1!A:B,2,FALSE)</f>
        <v>04. Planificación y recursos</v>
      </c>
      <c r="U124" s="35" t="str">
        <f>MID(Tabla1[[#This Row],[Aplicación]],9,4)</f>
        <v>9321</v>
      </c>
      <c r="V124" s="35" t="str">
        <f>VLOOKUP(Tabla1[[#This Row],[PROGRAMA]],Hoja1!A:B,2,FALSE)</f>
        <v>9321. Gestión de ingresos e inspección</v>
      </c>
      <c r="W124" s="35" t="str">
        <f>MID(Tabla1[[#This Row],[Aplicación]],14,2)</f>
        <v>20</v>
      </c>
      <c r="X124" s="35" t="str">
        <f>MID(Tabla1[[#This Row],[Aplicación]],14,6)</f>
        <v>203</v>
      </c>
    </row>
    <row r="125" spans="1:24" x14ac:dyDescent="0.25">
      <c r="A125" s="45">
        <v>220210001162</v>
      </c>
      <c r="B125" s="46" t="s">
        <v>32</v>
      </c>
      <c r="C125" s="47">
        <v>44225</v>
      </c>
      <c r="D125" s="45">
        <v>22021002016</v>
      </c>
      <c r="E125" s="46" t="s">
        <v>977</v>
      </c>
      <c r="F125" s="48">
        <v>276.92</v>
      </c>
      <c r="G125" s="46" t="s">
        <v>68</v>
      </c>
      <c r="H125" s="46" t="s">
        <v>1002</v>
      </c>
      <c r="I125" s="45" t="s">
        <v>234</v>
      </c>
      <c r="J125" s="46" t="s">
        <v>127</v>
      </c>
      <c r="K125" s="46" t="s">
        <v>127</v>
      </c>
      <c r="L125" s="46" t="s">
        <v>15</v>
      </c>
      <c r="M125" s="46" t="s">
        <v>13</v>
      </c>
      <c r="N125" s="46" t="s">
        <v>14</v>
      </c>
      <c r="O125" s="49" t="s">
        <v>803</v>
      </c>
      <c r="P125" s="46" t="s">
        <v>507</v>
      </c>
      <c r="Q125" s="35" t="str">
        <f>MID(Tabla1[[#This Row],[Aplicación]],14,1)</f>
        <v>2</v>
      </c>
      <c r="R125" s="35" t="s">
        <v>495</v>
      </c>
      <c r="S125" s="35" t="str">
        <f>MID(Tabla1[[#This Row],[Aplicación]],6,2)</f>
        <v>04</v>
      </c>
      <c r="T125" s="35" t="str">
        <f>VLOOKUP(Tabla1[[#This Row],[AREA]],Hoja1!A:B,2,FALSE)</f>
        <v>04. Planificación y recursos</v>
      </c>
      <c r="U125" s="35" t="str">
        <f>MID(Tabla1[[#This Row],[Aplicación]],9,4)</f>
        <v>9311</v>
      </c>
      <c r="V125" s="35" t="str">
        <f>VLOOKUP(Tabla1[[#This Row],[PROGRAMA]],Hoja1!A:B,2,FALSE)</f>
        <v>9311. Planificación económico financiera</v>
      </c>
      <c r="W125" s="35" t="str">
        <f>MID(Tabla1[[#This Row],[Aplicación]],14,2)</f>
        <v>20</v>
      </c>
      <c r="X125" s="35" t="str">
        <f>MID(Tabla1[[#This Row],[Aplicación]],14,6)</f>
        <v>203</v>
      </c>
    </row>
    <row r="126" spans="1:24" x14ac:dyDescent="0.25">
      <c r="A126" s="45">
        <v>220210001164</v>
      </c>
      <c r="B126" s="46" t="s">
        <v>32</v>
      </c>
      <c r="C126" s="47">
        <v>44225</v>
      </c>
      <c r="D126" s="45">
        <v>22021002027</v>
      </c>
      <c r="E126" s="46" t="s">
        <v>941</v>
      </c>
      <c r="F126" s="48">
        <v>197.84</v>
      </c>
      <c r="G126" s="46" t="s">
        <v>68</v>
      </c>
      <c r="H126" s="46" t="s">
        <v>1003</v>
      </c>
      <c r="I126" s="45" t="s">
        <v>234</v>
      </c>
      <c r="J126" s="46" t="s">
        <v>127</v>
      </c>
      <c r="K126" s="46" t="s">
        <v>127</v>
      </c>
      <c r="L126" s="46" t="s">
        <v>15</v>
      </c>
      <c r="M126" s="46" t="s">
        <v>13</v>
      </c>
      <c r="N126" s="46" t="s">
        <v>14</v>
      </c>
      <c r="O126" s="49" t="s">
        <v>803</v>
      </c>
      <c r="P126" s="46" t="s">
        <v>507</v>
      </c>
      <c r="Q126" s="35" t="str">
        <f>MID(Tabla1[[#This Row],[Aplicación]],14,1)</f>
        <v>2</v>
      </c>
      <c r="R126" s="35" t="s">
        <v>495</v>
      </c>
      <c r="S126" s="35" t="str">
        <f>MID(Tabla1[[#This Row],[Aplicación]],6,2)</f>
        <v>06</v>
      </c>
      <c r="T126" s="35" t="str">
        <f>VLOOKUP(Tabla1[[#This Row],[AREA]],Hoja1!A:B,2,FALSE)</f>
        <v>06. Educación, infancia, juventud e igualdad</v>
      </c>
      <c r="U126" s="35" t="str">
        <f>MID(Tabla1[[#This Row],[Aplicación]],9,4)</f>
        <v>3232</v>
      </c>
      <c r="V126" s="35" t="str">
        <f>VLOOKUP(Tabla1[[#This Row],[PROGRAMA]],Hoja1!A:B,2,FALSE)</f>
        <v>3232. Conservación y mantenimiento centros educación infantil y primaria</v>
      </c>
      <c r="W126" s="35" t="str">
        <f>MID(Tabla1[[#This Row],[Aplicación]],14,2)</f>
        <v>21</v>
      </c>
      <c r="X126" s="35" t="str">
        <f>MID(Tabla1[[#This Row],[Aplicación]],14,6)</f>
        <v>213</v>
      </c>
    </row>
    <row r="127" spans="1:24" x14ac:dyDescent="0.25">
      <c r="A127" s="45">
        <v>220210001165</v>
      </c>
      <c r="B127" s="46" t="s">
        <v>32</v>
      </c>
      <c r="C127" s="47">
        <v>44225</v>
      </c>
      <c r="D127" s="45">
        <v>22021002028</v>
      </c>
      <c r="E127" s="46" t="s">
        <v>941</v>
      </c>
      <c r="F127" s="48">
        <v>197.84</v>
      </c>
      <c r="G127" s="46" t="s">
        <v>68</v>
      </c>
      <c r="H127" s="46" t="s">
        <v>1004</v>
      </c>
      <c r="I127" s="45" t="s">
        <v>234</v>
      </c>
      <c r="J127" s="46" t="s">
        <v>127</v>
      </c>
      <c r="K127" s="46" t="s">
        <v>127</v>
      </c>
      <c r="L127" s="46" t="s">
        <v>15</v>
      </c>
      <c r="M127" s="46" t="s">
        <v>13</v>
      </c>
      <c r="N127" s="46" t="s">
        <v>14</v>
      </c>
      <c r="O127" s="49" t="s">
        <v>803</v>
      </c>
      <c r="P127" s="46" t="s">
        <v>507</v>
      </c>
      <c r="Q127" s="35" t="str">
        <f>MID(Tabla1[[#This Row],[Aplicación]],14,1)</f>
        <v>2</v>
      </c>
      <c r="R127" s="35" t="s">
        <v>495</v>
      </c>
      <c r="S127" s="35" t="str">
        <f>MID(Tabla1[[#This Row],[Aplicación]],6,2)</f>
        <v>06</v>
      </c>
      <c r="T127" s="35" t="str">
        <f>VLOOKUP(Tabla1[[#This Row],[AREA]],Hoja1!A:B,2,FALSE)</f>
        <v>06. Educación, infancia, juventud e igualdad</v>
      </c>
      <c r="U127" s="35" t="str">
        <f>MID(Tabla1[[#This Row],[Aplicación]],9,4)</f>
        <v>3232</v>
      </c>
      <c r="V127" s="35" t="str">
        <f>VLOOKUP(Tabla1[[#This Row],[PROGRAMA]],Hoja1!A:B,2,FALSE)</f>
        <v>3232. Conservación y mantenimiento centros educación infantil y primaria</v>
      </c>
      <c r="W127" s="35" t="str">
        <f>MID(Tabla1[[#This Row],[Aplicación]],14,2)</f>
        <v>21</v>
      </c>
      <c r="X127" s="35" t="str">
        <f>MID(Tabla1[[#This Row],[Aplicación]],14,6)</f>
        <v>213</v>
      </c>
    </row>
    <row r="128" spans="1:24" x14ac:dyDescent="0.25">
      <c r="A128" s="45">
        <v>220210001423</v>
      </c>
      <c r="B128" s="46" t="s">
        <v>32</v>
      </c>
      <c r="C128" s="47">
        <v>44229</v>
      </c>
      <c r="D128" s="45">
        <v>22021002083</v>
      </c>
      <c r="E128" s="46" t="s">
        <v>956</v>
      </c>
      <c r="F128" s="48">
        <v>72.260000000000005</v>
      </c>
      <c r="G128" s="46" t="s">
        <v>68</v>
      </c>
      <c r="H128" s="46" t="s">
        <v>1005</v>
      </c>
      <c r="I128" s="45" t="s">
        <v>234</v>
      </c>
      <c r="J128" s="46" t="s">
        <v>127</v>
      </c>
      <c r="K128" s="46" t="s">
        <v>127</v>
      </c>
      <c r="L128" s="46" t="s">
        <v>15</v>
      </c>
      <c r="M128" s="46" t="s">
        <v>13</v>
      </c>
      <c r="N128" s="46" t="s">
        <v>14</v>
      </c>
      <c r="O128" s="49" t="s">
        <v>803</v>
      </c>
      <c r="P128" s="46" t="s">
        <v>507</v>
      </c>
      <c r="Q128" s="35" t="str">
        <f>MID(Tabla1[[#This Row],[Aplicación]],14,1)</f>
        <v>2</v>
      </c>
      <c r="R128" s="35" t="s">
        <v>495</v>
      </c>
      <c r="S128" s="35" t="str">
        <f>MID(Tabla1[[#This Row],[Aplicación]],6,2)</f>
        <v>01</v>
      </c>
      <c r="T128" s="35" t="str">
        <f>VLOOKUP(Tabla1[[#This Row],[AREA]],Hoja1!A:B,2,FALSE)</f>
        <v>01. Alcaldía</v>
      </c>
      <c r="U128" s="35" t="str">
        <f>MID(Tabla1[[#This Row],[Aplicación]],9,4)</f>
        <v>9312</v>
      </c>
      <c r="V128" s="35" t="str">
        <f>VLOOKUP(Tabla1[[#This Row],[PROGRAMA]],Hoja1!A:B,2,FALSE)</f>
        <v>9312. Intervención general</v>
      </c>
      <c r="W128" s="35" t="str">
        <f>MID(Tabla1[[#This Row],[Aplicación]],14,2)</f>
        <v>20</v>
      </c>
      <c r="X128" s="35" t="str">
        <f>MID(Tabla1[[#This Row],[Aplicación]],14,6)</f>
        <v>203</v>
      </c>
    </row>
    <row r="129" spans="1:24" x14ac:dyDescent="0.25">
      <c r="A129" s="45">
        <v>220210001424</v>
      </c>
      <c r="B129" s="46" t="s">
        <v>32</v>
      </c>
      <c r="C129" s="47">
        <v>44229</v>
      </c>
      <c r="D129" s="45">
        <v>22021002085</v>
      </c>
      <c r="E129" s="46" t="s">
        <v>956</v>
      </c>
      <c r="F129" s="48">
        <v>39</v>
      </c>
      <c r="G129" s="46" t="s">
        <v>68</v>
      </c>
      <c r="H129" s="46" t="s">
        <v>1006</v>
      </c>
      <c r="I129" s="45" t="s">
        <v>234</v>
      </c>
      <c r="J129" s="46" t="s">
        <v>127</v>
      </c>
      <c r="K129" s="46" t="s">
        <v>127</v>
      </c>
      <c r="L129" s="46" t="s">
        <v>15</v>
      </c>
      <c r="M129" s="46" t="s">
        <v>13</v>
      </c>
      <c r="N129" s="46" t="s">
        <v>14</v>
      </c>
      <c r="O129" s="49" t="s">
        <v>803</v>
      </c>
      <c r="P129" s="46" t="s">
        <v>507</v>
      </c>
      <c r="Q129" s="35" t="str">
        <f>MID(Tabla1[[#This Row],[Aplicación]],14,1)</f>
        <v>2</v>
      </c>
      <c r="R129" s="35" t="s">
        <v>495</v>
      </c>
      <c r="S129" s="35" t="str">
        <f>MID(Tabla1[[#This Row],[Aplicación]],6,2)</f>
        <v>01</v>
      </c>
      <c r="T129" s="35" t="str">
        <f>VLOOKUP(Tabla1[[#This Row],[AREA]],Hoja1!A:B,2,FALSE)</f>
        <v>01. Alcaldía</v>
      </c>
      <c r="U129" s="35" t="str">
        <f>MID(Tabla1[[#This Row],[Aplicación]],9,4)</f>
        <v>9312</v>
      </c>
      <c r="V129" s="35" t="str">
        <f>VLOOKUP(Tabla1[[#This Row],[PROGRAMA]],Hoja1!A:B,2,FALSE)</f>
        <v>9312. Intervención general</v>
      </c>
      <c r="W129" s="35" t="str">
        <f>MID(Tabla1[[#This Row],[Aplicación]],14,2)</f>
        <v>20</v>
      </c>
      <c r="X129" s="35" t="str">
        <f>MID(Tabla1[[#This Row],[Aplicación]],14,6)</f>
        <v>203</v>
      </c>
    </row>
    <row r="130" spans="1:24" x14ac:dyDescent="0.25">
      <c r="A130" s="45">
        <v>220210001425</v>
      </c>
      <c r="B130" s="46" t="s">
        <v>32</v>
      </c>
      <c r="C130" s="47">
        <v>44229</v>
      </c>
      <c r="D130" s="45">
        <v>22021002098</v>
      </c>
      <c r="E130" s="46" t="s">
        <v>941</v>
      </c>
      <c r="F130" s="48">
        <v>107.22</v>
      </c>
      <c r="G130" s="46" t="s">
        <v>68</v>
      </c>
      <c r="H130" s="46" t="s">
        <v>1007</v>
      </c>
      <c r="I130" s="45" t="s">
        <v>234</v>
      </c>
      <c r="J130" s="46" t="s">
        <v>127</v>
      </c>
      <c r="K130" s="46" t="s">
        <v>127</v>
      </c>
      <c r="L130" s="46" t="s">
        <v>15</v>
      </c>
      <c r="M130" s="46" t="s">
        <v>13</v>
      </c>
      <c r="N130" s="46" t="s">
        <v>14</v>
      </c>
      <c r="O130" s="49" t="s">
        <v>803</v>
      </c>
      <c r="P130" s="46" t="s">
        <v>507</v>
      </c>
      <c r="Q130" s="35" t="str">
        <f>MID(Tabla1[[#This Row],[Aplicación]],14,1)</f>
        <v>2</v>
      </c>
      <c r="R130" s="35" t="s">
        <v>495</v>
      </c>
      <c r="S130" s="35" t="str">
        <f>MID(Tabla1[[#This Row],[Aplicación]],6,2)</f>
        <v>06</v>
      </c>
      <c r="T130" s="35" t="str">
        <f>VLOOKUP(Tabla1[[#This Row],[AREA]],Hoja1!A:B,2,FALSE)</f>
        <v>06. Educación, infancia, juventud e igualdad</v>
      </c>
      <c r="U130" s="35" t="str">
        <f>MID(Tabla1[[#This Row],[Aplicación]],9,4)</f>
        <v>3232</v>
      </c>
      <c r="V130" s="35" t="str">
        <f>VLOOKUP(Tabla1[[#This Row],[PROGRAMA]],Hoja1!A:B,2,FALSE)</f>
        <v>3232. Conservación y mantenimiento centros educación infantil y primaria</v>
      </c>
      <c r="W130" s="35" t="str">
        <f>MID(Tabla1[[#This Row],[Aplicación]],14,2)</f>
        <v>21</v>
      </c>
      <c r="X130" s="35" t="str">
        <f>MID(Tabla1[[#This Row],[Aplicación]],14,6)</f>
        <v>213</v>
      </c>
    </row>
    <row r="131" spans="1:24" x14ac:dyDescent="0.25">
      <c r="A131" s="45">
        <v>220210001426</v>
      </c>
      <c r="B131" s="46" t="s">
        <v>32</v>
      </c>
      <c r="C131" s="47">
        <v>44229</v>
      </c>
      <c r="D131" s="45">
        <v>22021002099</v>
      </c>
      <c r="E131" s="46" t="s">
        <v>941</v>
      </c>
      <c r="F131" s="48">
        <v>150.32</v>
      </c>
      <c r="G131" s="46" t="s">
        <v>68</v>
      </c>
      <c r="H131" s="46" t="s">
        <v>1008</v>
      </c>
      <c r="I131" s="45" t="s">
        <v>234</v>
      </c>
      <c r="J131" s="46" t="s">
        <v>127</v>
      </c>
      <c r="K131" s="46" t="s">
        <v>127</v>
      </c>
      <c r="L131" s="46" t="s">
        <v>15</v>
      </c>
      <c r="M131" s="46" t="s">
        <v>13</v>
      </c>
      <c r="N131" s="46" t="s">
        <v>14</v>
      </c>
      <c r="O131" s="49" t="s">
        <v>803</v>
      </c>
      <c r="P131" s="46" t="s">
        <v>507</v>
      </c>
      <c r="Q131" s="35" t="str">
        <f>MID(Tabla1[[#This Row],[Aplicación]],14,1)</f>
        <v>2</v>
      </c>
      <c r="R131" s="35" t="s">
        <v>495</v>
      </c>
      <c r="S131" s="35" t="str">
        <f>MID(Tabla1[[#This Row],[Aplicación]],6,2)</f>
        <v>06</v>
      </c>
      <c r="T131" s="35" t="str">
        <f>VLOOKUP(Tabla1[[#This Row],[AREA]],Hoja1!A:B,2,FALSE)</f>
        <v>06. Educación, infancia, juventud e igualdad</v>
      </c>
      <c r="U131" s="35" t="str">
        <f>MID(Tabla1[[#This Row],[Aplicación]],9,4)</f>
        <v>3232</v>
      </c>
      <c r="V131" s="35" t="str">
        <f>VLOOKUP(Tabla1[[#This Row],[PROGRAMA]],Hoja1!A:B,2,FALSE)</f>
        <v>3232. Conservación y mantenimiento centros educación infantil y primaria</v>
      </c>
      <c r="W131" s="35" t="str">
        <f>MID(Tabla1[[#This Row],[Aplicación]],14,2)</f>
        <v>21</v>
      </c>
      <c r="X131" s="35" t="str">
        <f>MID(Tabla1[[#This Row],[Aplicación]],14,6)</f>
        <v>213</v>
      </c>
    </row>
    <row r="132" spans="1:24" x14ac:dyDescent="0.25">
      <c r="A132" s="45">
        <v>220210001701</v>
      </c>
      <c r="B132" s="46" t="s">
        <v>32</v>
      </c>
      <c r="C132" s="47">
        <v>44229</v>
      </c>
      <c r="D132" s="45">
        <v>22021002122</v>
      </c>
      <c r="E132" s="46" t="s">
        <v>969</v>
      </c>
      <c r="F132" s="48">
        <v>197.84</v>
      </c>
      <c r="G132" s="46" t="s">
        <v>68</v>
      </c>
      <c r="H132" s="46" t="s">
        <v>1009</v>
      </c>
      <c r="I132" s="45" t="s">
        <v>234</v>
      </c>
      <c r="J132" s="46" t="s">
        <v>127</v>
      </c>
      <c r="K132" s="46" t="s">
        <v>127</v>
      </c>
      <c r="L132" s="46" t="s">
        <v>15</v>
      </c>
      <c r="M132" s="46" t="s">
        <v>13</v>
      </c>
      <c r="N132" s="46" t="s">
        <v>16</v>
      </c>
      <c r="O132" s="49" t="s">
        <v>803</v>
      </c>
      <c r="P132" s="46" t="s">
        <v>507</v>
      </c>
      <c r="Q132" s="35" t="str">
        <f>MID(Tabla1[[#This Row],[Aplicación]],14,1)</f>
        <v>2</v>
      </c>
      <c r="R132" s="35" t="s">
        <v>495</v>
      </c>
      <c r="S132" s="35" t="str">
        <f>MID(Tabla1[[#This Row],[Aplicación]],6,2)</f>
        <v>06</v>
      </c>
      <c r="T132" s="35" t="str">
        <f>VLOOKUP(Tabla1[[#This Row],[AREA]],Hoja1!A:B,2,FALSE)</f>
        <v>06. Educación, infancia, juventud e igualdad</v>
      </c>
      <c r="U132" s="35" t="str">
        <f>MID(Tabla1[[#This Row],[Aplicación]],9,4)</f>
        <v>2315</v>
      </c>
      <c r="V132" s="35" t="str">
        <f>VLOOKUP(Tabla1[[#This Row],[PROGRAMA]],Hoja1!A:B,2,FALSE)</f>
        <v>2315. Políticas de Igualdad e infancia</v>
      </c>
      <c r="W132" s="35" t="str">
        <f>MID(Tabla1[[#This Row],[Aplicación]],14,2)</f>
        <v>21</v>
      </c>
      <c r="X132" s="35" t="str">
        <f>MID(Tabla1[[#This Row],[Aplicación]],14,6)</f>
        <v>213</v>
      </c>
    </row>
    <row r="133" spans="1:24" x14ac:dyDescent="0.25">
      <c r="A133" s="45">
        <v>220210001702</v>
      </c>
      <c r="B133" s="46" t="s">
        <v>32</v>
      </c>
      <c r="C133" s="47">
        <v>44229</v>
      </c>
      <c r="D133" s="45">
        <v>22021002123</v>
      </c>
      <c r="E133" s="46" t="s">
        <v>969</v>
      </c>
      <c r="F133" s="48">
        <v>197.84</v>
      </c>
      <c r="G133" s="46" t="s">
        <v>68</v>
      </c>
      <c r="H133" s="46" t="s">
        <v>1010</v>
      </c>
      <c r="I133" s="45" t="s">
        <v>234</v>
      </c>
      <c r="J133" s="46" t="s">
        <v>127</v>
      </c>
      <c r="K133" s="46" t="s">
        <v>127</v>
      </c>
      <c r="L133" s="46" t="s">
        <v>15</v>
      </c>
      <c r="M133" s="46" t="s">
        <v>13</v>
      </c>
      <c r="N133" s="46" t="s">
        <v>16</v>
      </c>
      <c r="O133" s="49" t="s">
        <v>803</v>
      </c>
      <c r="P133" s="46" t="s">
        <v>507</v>
      </c>
      <c r="Q133" s="35" t="str">
        <f>MID(Tabla1[[#This Row],[Aplicación]],14,1)</f>
        <v>2</v>
      </c>
      <c r="R133" s="35" t="s">
        <v>495</v>
      </c>
      <c r="S133" s="35" t="str">
        <f>MID(Tabla1[[#This Row],[Aplicación]],6,2)</f>
        <v>06</v>
      </c>
      <c r="T133" s="35" t="str">
        <f>VLOOKUP(Tabla1[[#This Row],[AREA]],Hoja1!A:B,2,FALSE)</f>
        <v>06. Educación, infancia, juventud e igualdad</v>
      </c>
      <c r="U133" s="35" t="str">
        <f>MID(Tabla1[[#This Row],[Aplicación]],9,4)</f>
        <v>2315</v>
      </c>
      <c r="V133" s="35" t="str">
        <f>VLOOKUP(Tabla1[[#This Row],[PROGRAMA]],Hoja1!A:B,2,FALSE)</f>
        <v>2315. Políticas de Igualdad e infancia</v>
      </c>
      <c r="W133" s="35" t="str">
        <f>MID(Tabla1[[#This Row],[Aplicación]],14,2)</f>
        <v>21</v>
      </c>
      <c r="X133" s="35" t="str">
        <f>MID(Tabla1[[#This Row],[Aplicación]],14,6)</f>
        <v>213</v>
      </c>
    </row>
    <row r="134" spans="1:24" x14ac:dyDescent="0.25">
      <c r="A134" s="45">
        <v>220210001706</v>
      </c>
      <c r="B134" s="46" t="s">
        <v>32</v>
      </c>
      <c r="C134" s="47">
        <v>44229</v>
      </c>
      <c r="D134" s="45">
        <v>22021002157</v>
      </c>
      <c r="E134" s="46" t="s">
        <v>987</v>
      </c>
      <c r="F134" s="48">
        <v>278.31</v>
      </c>
      <c r="G134" s="46" t="s">
        <v>68</v>
      </c>
      <c r="H134" s="46" t="s">
        <v>1011</v>
      </c>
      <c r="I134" s="45" t="s">
        <v>234</v>
      </c>
      <c r="J134" s="46" t="s">
        <v>127</v>
      </c>
      <c r="K134" s="46" t="s">
        <v>127</v>
      </c>
      <c r="L134" s="46" t="s">
        <v>15</v>
      </c>
      <c r="M134" s="46" t="s">
        <v>13</v>
      </c>
      <c r="N134" s="46" t="s">
        <v>14</v>
      </c>
      <c r="O134" s="49" t="s">
        <v>803</v>
      </c>
      <c r="P134" s="46" t="s">
        <v>507</v>
      </c>
      <c r="Q134" s="35" t="str">
        <f>MID(Tabla1[[#This Row],[Aplicación]],14,1)</f>
        <v>2</v>
      </c>
      <c r="R134" s="35" t="s">
        <v>495</v>
      </c>
      <c r="S134" s="35" t="str">
        <f>MID(Tabla1[[#This Row],[Aplicación]],6,2)</f>
        <v>04</v>
      </c>
      <c r="T134" s="35" t="str">
        <f>VLOOKUP(Tabla1[[#This Row],[AREA]],Hoja1!A:B,2,FALSE)</f>
        <v>04. Planificación y recursos</v>
      </c>
      <c r="U134" s="35" t="str">
        <f>MID(Tabla1[[#This Row],[Aplicación]],9,4)</f>
        <v>9321</v>
      </c>
      <c r="V134" s="35" t="str">
        <f>VLOOKUP(Tabla1[[#This Row],[PROGRAMA]],Hoja1!A:B,2,FALSE)</f>
        <v>9321. Gestión de ingresos e inspección</v>
      </c>
      <c r="W134" s="35" t="str">
        <f>MID(Tabla1[[#This Row],[Aplicación]],14,2)</f>
        <v>20</v>
      </c>
      <c r="X134" s="35" t="str">
        <f>MID(Tabla1[[#This Row],[Aplicación]],14,6)</f>
        <v>203</v>
      </c>
    </row>
    <row r="135" spans="1:24" x14ac:dyDescent="0.25">
      <c r="A135" s="45">
        <v>220210001707</v>
      </c>
      <c r="B135" s="46" t="s">
        <v>32</v>
      </c>
      <c r="C135" s="47">
        <v>44229</v>
      </c>
      <c r="D135" s="45">
        <v>22021002163</v>
      </c>
      <c r="E135" s="46" t="s">
        <v>945</v>
      </c>
      <c r="F135" s="48">
        <v>148.51</v>
      </c>
      <c r="G135" s="46" t="s">
        <v>68</v>
      </c>
      <c r="H135" s="46" t="s">
        <v>1012</v>
      </c>
      <c r="I135" s="45" t="s">
        <v>234</v>
      </c>
      <c r="J135" s="46" t="s">
        <v>127</v>
      </c>
      <c r="K135" s="46" t="s">
        <v>127</v>
      </c>
      <c r="L135" s="46" t="s">
        <v>15</v>
      </c>
      <c r="M135" s="46" t="s">
        <v>13</v>
      </c>
      <c r="N135" s="46" t="s">
        <v>14</v>
      </c>
      <c r="O135" s="49" t="s">
        <v>803</v>
      </c>
      <c r="P135" s="46" t="s">
        <v>507</v>
      </c>
      <c r="Q135" s="35" t="str">
        <f>MID(Tabla1[[#This Row],[Aplicación]],14,1)</f>
        <v>2</v>
      </c>
      <c r="R135" s="35" t="s">
        <v>495</v>
      </c>
      <c r="S135" s="35" t="str">
        <f>MID(Tabla1[[#This Row],[Aplicación]],6,2)</f>
        <v>04</v>
      </c>
      <c r="T135" s="35" t="str">
        <f>VLOOKUP(Tabla1[[#This Row],[AREA]],Hoja1!A:B,2,FALSE)</f>
        <v>04. Planificación y recursos</v>
      </c>
      <c r="U135" s="35" t="str">
        <f>MID(Tabla1[[#This Row],[Aplicación]],9,4)</f>
        <v>9341</v>
      </c>
      <c r="V135" s="35" t="str">
        <f>VLOOKUP(Tabla1[[#This Row],[PROGRAMA]],Hoja1!A:B,2,FALSE)</f>
        <v>9341. Tesorería y recaudación</v>
      </c>
      <c r="W135" s="35" t="str">
        <f>MID(Tabla1[[#This Row],[Aplicación]],14,2)</f>
        <v>21</v>
      </c>
      <c r="X135" s="35" t="str">
        <f>MID(Tabla1[[#This Row],[Aplicación]],14,6)</f>
        <v>213</v>
      </c>
    </row>
    <row r="136" spans="1:24" x14ac:dyDescent="0.25">
      <c r="A136" s="45">
        <v>220210001708</v>
      </c>
      <c r="B136" s="46" t="s">
        <v>32</v>
      </c>
      <c r="C136" s="47">
        <v>44229</v>
      </c>
      <c r="D136" s="45">
        <v>22021002164</v>
      </c>
      <c r="E136" s="46" t="s">
        <v>945</v>
      </c>
      <c r="F136" s="48">
        <v>6.51</v>
      </c>
      <c r="G136" s="46" t="s">
        <v>68</v>
      </c>
      <c r="H136" s="46" t="s">
        <v>1013</v>
      </c>
      <c r="I136" s="45" t="s">
        <v>234</v>
      </c>
      <c r="J136" s="46" t="s">
        <v>127</v>
      </c>
      <c r="K136" s="46" t="s">
        <v>127</v>
      </c>
      <c r="L136" s="46" t="s">
        <v>15</v>
      </c>
      <c r="M136" s="46" t="s">
        <v>13</v>
      </c>
      <c r="N136" s="46" t="s">
        <v>14</v>
      </c>
      <c r="O136" s="49" t="s">
        <v>803</v>
      </c>
      <c r="P136" s="46" t="s">
        <v>507</v>
      </c>
      <c r="Q136" s="35" t="str">
        <f>MID(Tabla1[[#This Row],[Aplicación]],14,1)</f>
        <v>2</v>
      </c>
      <c r="R136" s="35" t="s">
        <v>495</v>
      </c>
      <c r="S136" s="35" t="str">
        <f>MID(Tabla1[[#This Row],[Aplicación]],6,2)</f>
        <v>04</v>
      </c>
      <c r="T136" s="35" t="str">
        <f>VLOOKUP(Tabla1[[#This Row],[AREA]],Hoja1!A:B,2,FALSE)</f>
        <v>04. Planificación y recursos</v>
      </c>
      <c r="U136" s="35" t="str">
        <f>MID(Tabla1[[#This Row],[Aplicación]],9,4)</f>
        <v>9341</v>
      </c>
      <c r="V136" s="35" t="str">
        <f>VLOOKUP(Tabla1[[#This Row],[PROGRAMA]],Hoja1!A:B,2,FALSE)</f>
        <v>9341. Tesorería y recaudación</v>
      </c>
      <c r="W136" s="35" t="str">
        <f>MID(Tabla1[[#This Row],[Aplicación]],14,2)</f>
        <v>21</v>
      </c>
      <c r="X136" s="35" t="str">
        <f>MID(Tabla1[[#This Row],[Aplicación]],14,6)</f>
        <v>213</v>
      </c>
    </row>
    <row r="137" spans="1:24" x14ac:dyDescent="0.25">
      <c r="A137" s="45">
        <v>220210001709</v>
      </c>
      <c r="B137" s="46" t="s">
        <v>32</v>
      </c>
      <c r="C137" s="47">
        <v>44229</v>
      </c>
      <c r="D137" s="45">
        <v>22021002166</v>
      </c>
      <c r="E137" s="46" t="s">
        <v>945</v>
      </c>
      <c r="F137" s="48">
        <v>88.48</v>
      </c>
      <c r="G137" s="46" t="s">
        <v>68</v>
      </c>
      <c r="H137" s="46" t="s">
        <v>1014</v>
      </c>
      <c r="I137" s="45" t="s">
        <v>234</v>
      </c>
      <c r="J137" s="46" t="s">
        <v>127</v>
      </c>
      <c r="K137" s="46" t="s">
        <v>127</v>
      </c>
      <c r="L137" s="46" t="s">
        <v>15</v>
      </c>
      <c r="M137" s="46" t="s">
        <v>13</v>
      </c>
      <c r="N137" s="46" t="s">
        <v>14</v>
      </c>
      <c r="O137" s="49" t="s">
        <v>803</v>
      </c>
      <c r="P137" s="46" t="s">
        <v>507</v>
      </c>
      <c r="Q137" s="35" t="str">
        <f>MID(Tabla1[[#This Row],[Aplicación]],14,1)</f>
        <v>2</v>
      </c>
      <c r="R137" s="35" t="s">
        <v>495</v>
      </c>
      <c r="S137" s="35" t="str">
        <f>MID(Tabla1[[#This Row],[Aplicación]],6,2)</f>
        <v>04</v>
      </c>
      <c r="T137" s="35" t="str">
        <f>VLOOKUP(Tabla1[[#This Row],[AREA]],Hoja1!A:B,2,FALSE)</f>
        <v>04. Planificación y recursos</v>
      </c>
      <c r="U137" s="35" t="str">
        <f>MID(Tabla1[[#This Row],[Aplicación]],9,4)</f>
        <v>9341</v>
      </c>
      <c r="V137" s="35" t="str">
        <f>VLOOKUP(Tabla1[[#This Row],[PROGRAMA]],Hoja1!A:B,2,FALSE)</f>
        <v>9341. Tesorería y recaudación</v>
      </c>
      <c r="W137" s="35" t="str">
        <f>MID(Tabla1[[#This Row],[Aplicación]],14,2)</f>
        <v>21</v>
      </c>
      <c r="X137" s="35" t="str">
        <f>MID(Tabla1[[#This Row],[Aplicación]],14,6)</f>
        <v>213</v>
      </c>
    </row>
    <row r="138" spans="1:24" x14ac:dyDescent="0.25">
      <c r="A138" s="45">
        <v>220210001710</v>
      </c>
      <c r="B138" s="46" t="s">
        <v>32</v>
      </c>
      <c r="C138" s="47">
        <v>44229</v>
      </c>
      <c r="D138" s="45">
        <v>22021002167</v>
      </c>
      <c r="E138" s="46" t="s">
        <v>945</v>
      </c>
      <c r="F138" s="48">
        <v>36.299999999999997</v>
      </c>
      <c r="G138" s="46" t="s">
        <v>68</v>
      </c>
      <c r="H138" s="46" t="s">
        <v>1015</v>
      </c>
      <c r="I138" s="45" t="s">
        <v>234</v>
      </c>
      <c r="J138" s="46" t="s">
        <v>127</v>
      </c>
      <c r="K138" s="46" t="s">
        <v>127</v>
      </c>
      <c r="L138" s="46" t="s">
        <v>15</v>
      </c>
      <c r="M138" s="46" t="s">
        <v>13</v>
      </c>
      <c r="N138" s="46" t="s">
        <v>14</v>
      </c>
      <c r="O138" s="49" t="s">
        <v>803</v>
      </c>
      <c r="P138" s="46" t="s">
        <v>507</v>
      </c>
      <c r="Q138" s="35" t="str">
        <f>MID(Tabla1[[#This Row],[Aplicación]],14,1)</f>
        <v>2</v>
      </c>
      <c r="R138" s="35" t="s">
        <v>495</v>
      </c>
      <c r="S138" s="35" t="str">
        <f>MID(Tabla1[[#This Row],[Aplicación]],6,2)</f>
        <v>04</v>
      </c>
      <c r="T138" s="35" t="str">
        <f>VLOOKUP(Tabla1[[#This Row],[AREA]],Hoja1!A:B,2,FALSE)</f>
        <v>04. Planificación y recursos</v>
      </c>
      <c r="U138" s="35" t="str">
        <f>MID(Tabla1[[#This Row],[Aplicación]],9,4)</f>
        <v>9341</v>
      </c>
      <c r="V138" s="35" t="str">
        <f>VLOOKUP(Tabla1[[#This Row],[PROGRAMA]],Hoja1!A:B,2,FALSE)</f>
        <v>9341. Tesorería y recaudación</v>
      </c>
      <c r="W138" s="35" t="str">
        <f>MID(Tabla1[[#This Row],[Aplicación]],14,2)</f>
        <v>21</v>
      </c>
      <c r="X138" s="35" t="str">
        <f>MID(Tabla1[[#This Row],[Aplicación]],14,6)</f>
        <v>213</v>
      </c>
    </row>
    <row r="139" spans="1:24" x14ac:dyDescent="0.25">
      <c r="A139" s="45">
        <v>220210001714</v>
      </c>
      <c r="B139" s="46" t="s">
        <v>32</v>
      </c>
      <c r="C139" s="47">
        <v>44229</v>
      </c>
      <c r="D139" s="45">
        <v>22021002172</v>
      </c>
      <c r="E139" s="46" t="s">
        <v>937</v>
      </c>
      <c r="F139" s="48">
        <v>239.54</v>
      </c>
      <c r="G139" s="46" t="s">
        <v>68</v>
      </c>
      <c r="H139" s="46" t="s">
        <v>1016</v>
      </c>
      <c r="I139" s="45" t="s">
        <v>234</v>
      </c>
      <c r="J139" s="46" t="s">
        <v>127</v>
      </c>
      <c r="K139" s="46" t="s">
        <v>127</v>
      </c>
      <c r="L139" s="46" t="s">
        <v>15</v>
      </c>
      <c r="M139" s="46" t="s">
        <v>13</v>
      </c>
      <c r="N139" s="46" t="s">
        <v>14</v>
      </c>
      <c r="O139" s="49" t="s">
        <v>803</v>
      </c>
      <c r="P139" s="46" t="s">
        <v>507</v>
      </c>
      <c r="Q139" s="35" t="str">
        <f>MID(Tabla1[[#This Row],[Aplicación]],14,1)</f>
        <v>2</v>
      </c>
      <c r="R139" s="35" t="s">
        <v>495</v>
      </c>
      <c r="S139" s="35" t="str">
        <f>MID(Tabla1[[#This Row],[Aplicación]],6,2)</f>
        <v>04</v>
      </c>
      <c r="T139" s="35" t="str">
        <f>VLOOKUP(Tabla1[[#This Row],[AREA]],Hoja1!A:B,2,FALSE)</f>
        <v>04. Planificación y recursos</v>
      </c>
      <c r="U139" s="35" t="str">
        <f>MID(Tabla1[[#This Row],[Aplicación]],9,4)</f>
        <v>9231</v>
      </c>
      <c r="V139" s="35" t="str">
        <f>VLOOKUP(Tabla1[[#This Row],[PROGRAMA]],Hoja1!A:B,2,FALSE)</f>
        <v>9231. Información, registro y gestión del padrón</v>
      </c>
      <c r="W139" s="35" t="str">
        <f>MID(Tabla1[[#This Row],[Aplicación]],14,2)</f>
        <v>21</v>
      </c>
      <c r="X139" s="35" t="str">
        <f>MID(Tabla1[[#This Row],[Aplicación]],14,6)</f>
        <v>213</v>
      </c>
    </row>
    <row r="140" spans="1:24" x14ac:dyDescent="0.25">
      <c r="A140" s="45">
        <v>220210001715</v>
      </c>
      <c r="B140" s="46" t="s">
        <v>32</v>
      </c>
      <c r="C140" s="47">
        <v>44229</v>
      </c>
      <c r="D140" s="45">
        <v>22021002173</v>
      </c>
      <c r="E140" s="46" t="s">
        <v>937</v>
      </c>
      <c r="F140" s="48">
        <v>11.59</v>
      </c>
      <c r="G140" s="46" t="s">
        <v>68</v>
      </c>
      <c r="H140" s="46" t="s">
        <v>1017</v>
      </c>
      <c r="I140" s="45" t="s">
        <v>234</v>
      </c>
      <c r="J140" s="46" t="s">
        <v>127</v>
      </c>
      <c r="K140" s="46" t="s">
        <v>127</v>
      </c>
      <c r="L140" s="46" t="s">
        <v>15</v>
      </c>
      <c r="M140" s="46" t="s">
        <v>13</v>
      </c>
      <c r="N140" s="46" t="s">
        <v>14</v>
      </c>
      <c r="O140" s="49" t="s">
        <v>803</v>
      </c>
      <c r="P140" s="46" t="s">
        <v>507</v>
      </c>
      <c r="Q140" s="35" t="str">
        <f>MID(Tabla1[[#This Row],[Aplicación]],14,1)</f>
        <v>2</v>
      </c>
      <c r="R140" s="35" t="s">
        <v>495</v>
      </c>
      <c r="S140" s="35" t="str">
        <f>MID(Tabla1[[#This Row],[Aplicación]],6,2)</f>
        <v>04</v>
      </c>
      <c r="T140" s="35" t="str">
        <f>VLOOKUP(Tabla1[[#This Row],[AREA]],Hoja1!A:B,2,FALSE)</f>
        <v>04. Planificación y recursos</v>
      </c>
      <c r="U140" s="35" t="str">
        <f>MID(Tabla1[[#This Row],[Aplicación]],9,4)</f>
        <v>9231</v>
      </c>
      <c r="V140" s="35" t="str">
        <f>VLOOKUP(Tabla1[[#This Row],[PROGRAMA]],Hoja1!A:B,2,FALSE)</f>
        <v>9231. Información, registro y gestión del padrón</v>
      </c>
      <c r="W140" s="35" t="str">
        <f>MID(Tabla1[[#This Row],[Aplicación]],14,2)</f>
        <v>21</v>
      </c>
      <c r="X140" s="35" t="str">
        <f>MID(Tabla1[[#This Row],[Aplicación]],14,6)</f>
        <v>213</v>
      </c>
    </row>
    <row r="141" spans="1:24" x14ac:dyDescent="0.25">
      <c r="A141" s="45">
        <v>220210001716</v>
      </c>
      <c r="B141" s="46" t="s">
        <v>32</v>
      </c>
      <c r="C141" s="47">
        <v>44229</v>
      </c>
      <c r="D141" s="45">
        <v>22021002174</v>
      </c>
      <c r="E141" s="46" t="s">
        <v>937</v>
      </c>
      <c r="F141" s="48">
        <v>11.62</v>
      </c>
      <c r="G141" s="46" t="s">
        <v>68</v>
      </c>
      <c r="H141" s="46" t="s">
        <v>1018</v>
      </c>
      <c r="I141" s="45" t="s">
        <v>234</v>
      </c>
      <c r="J141" s="46" t="s">
        <v>127</v>
      </c>
      <c r="K141" s="46" t="s">
        <v>127</v>
      </c>
      <c r="L141" s="46" t="s">
        <v>15</v>
      </c>
      <c r="M141" s="46" t="s">
        <v>13</v>
      </c>
      <c r="N141" s="46" t="s">
        <v>14</v>
      </c>
      <c r="O141" s="49" t="s">
        <v>803</v>
      </c>
      <c r="P141" s="46" t="s">
        <v>507</v>
      </c>
      <c r="Q141" s="35" t="str">
        <f>MID(Tabla1[[#This Row],[Aplicación]],14,1)</f>
        <v>2</v>
      </c>
      <c r="R141" s="35" t="s">
        <v>495</v>
      </c>
      <c r="S141" s="35" t="str">
        <f>MID(Tabla1[[#This Row],[Aplicación]],6,2)</f>
        <v>04</v>
      </c>
      <c r="T141" s="35" t="str">
        <f>VLOOKUP(Tabla1[[#This Row],[AREA]],Hoja1!A:B,2,FALSE)</f>
        <v>04. Planificación y recursos</v>
      </c>
      <c r="U141" s="35" t="str">
        <f>MID(Tabla1[[#This Row],[Aplicación]],9,4)</f>
        <v>9231</v>
      </c>
      <c r="V141" s="35" t="str">
        <f>VLOOKUP(Tabla1[[#This Row],[PROGRAMA]],Hoja1!A:B,2,FALSE)</f>
        <v>9231. Información, registro y gestión del padrón</v>
      </c>
      <c r="W141" s="35" t="str">
        <f>MID(Tabla1[[#This Row],[Aplicación]],14,2)</f>
        <v>21</v>
      </c>
      <c r="X141" s="35" t="str">
        <f>MID(Tabla1[[#This Row],[Aplicación]],14,6)</f>
        <v>213</v>
      </c>
    </row>
    <row r="142" spans="1:24" x14ac:dyDescent="0.25">
      <c r="A142" s="45">
        <v>220210001717</v>
      </c>
      <c r="B142" s="46" t="s">
        <v>32</v>
      </c>
      <c r="C142" s="47">
        <v>44229</v>
      </c>
      <c r="D142" s="45">
        <v>22021002175</v>
      </c>
      <c r="E142" s="46" t="s">
        <v>937</v>
      </c>
      <c r="F142" s="48">
        <v>24.05</v>
      </c>
      <c r="G142" s="46" t="s">
        <v>68</v>
      </c>
      <c r="H142" s="46" t="s">
        <v>1019</v>
      </c>
      <c r="I142" s="45" t="s">
        <v>234</v>
      </c>
      <c r="J142" s="46" t="s">
        <v>127</v>
      </c>
      <c r="K142" s="46" t="s">
        <v>127</v>
      </c>
      <c r="L142" s="46" t="s">
        <v>15</v>
      </c>
      <c r="M142" s="46" t="s">
        <v>13</v>
      </c>
      <c r="N142" s="46" t="s">
        <v>14</v>
      </c>
      <c r="O142" s="49" t="s">
        <v>803</v>
      </c>
      <c r="P142" s="46" t="s">
        <v>507</v>
      </c>
      <c r="Q142" s="35" t="str">
        <f>MID(Tabla1[[#This Row],[Aplicación]],14,1)</f>
        <v>2</v>
      </c>
      <c r="R142" s="35" t="s">
        <v>495</v>
      </c>
      <c r="S142" s="35" t="str">
        <f>MID(Tabla1[[#This Row],[Aplicación]],6,2)</f>
        <v>04</v>
      </c>
      <c r="T142" s="35" t="str">
        <f>VLOOKUP(Tabla1[[#This Row],[AREA]],Hoja1!A:B,2,FALSE)</f>
        <v>04. Planificación y recursos</v>
      </c>
      <c r="U142" s="35" t="str">
        <f>MID(Tabla1[[#This Row],[Aplicación]],9,4)</f>
        <v>9231</v>
      </c>
      <c r="V142" s="35" t="str">
        <f>VLOOKUP(Tabla1[[#This Row],[PROGRAMA]],Hoja1!A:B,2,FALSE)</f>
        <v>9231. Información, registro y gestión del padrón</v>
      </c>
      <c r="W142" s="35" t="str">
        <f>MID(Tabla1[[#This Row],[Aplicación]],14,2)</f>
        <v>21</v>
      </c>
      <c r="X142" s="35" t="str">
        <f>MID(Tabla1[[#This Row],[Aplicación]],14,6)</f>
        <v>213</v>
      </c>
    </row>
    <row r="143" spans="1:24" x14ac:dyDescent="0.25">
      <c r="A143" s="45">
        <v>220210001718</v>
      </c>
      <c r="B143" s="46" t="s">
        <v>32</v>
      </c>
      <c r="C143" s="47">
        <v>44229</v>
      </c>
      <c r="D143" s="45">
        <v>22021002176</v>
      </c>
      <c r="E143" s="46" t="s">
        <v>937</v>
      </c>
      <c r="F143" s="48">
        <v>42</v>
      </c>
      <c r="G143" s="46" t="s">
        <v>68</v>
      </c>
      <c r="H143" s="46" t="s">
        <v>1020</v>
      </c>
      <c r="I143" s="45" t="s">
        <v>234</v>
      </c>
      <c r="J143" s="46" t="s">
        <v>127</v>
      </c>
      <c r="K143" s="46" t="s">
        <v>127</v>
      </c>
      <c r="L143" s="46" t="s">
        <v>15</v>
      </c>
      <c r="M143" s="46" t="s">
        <v>13</v>
      </c>
      <c r="N143" s="46" t="s">
        <v>14</v>
      </c>
      <c r="O143" s="49" t="s">
        <v>803</v>
      </c>
      <c r="P143" s="46" t="s">
        <v>507</v>
      </c>
      <c r="Q143" s="35" t="str">
        <f>MID(Tabla1[[#This Row],[Aplicación]],14,1)</f>
        <v>2</v>
      </c>
      <c r="R143" s="35" t="s">
        <v>495</v>
      </c>
      <c r="S143" s="35" t="str">
        <f>MID(Tabla1[[#This Row],[Aplicación]],6,2)</f>
        <v>04</v>
      </c>
      <c r="T143" s="35" t="str">
        <f>VLOOKUP(Tabla1[[#This Row],[AREA]],Hoja1!A:B,2,FALSE)</f>
        <v>04. Planificación y recursos</v>
      </c>
      <c r="U143" s="35" t="str">
        <f>MID(Tabla1[[#This Row],[Aplicación]],9,4)</f>
        <v>9231</v>
      </c>
      <c r="V143" s="35" t="str">
        <f>VLOOKUP(Tabla1[[#This Row],[PROGRAMA]],Hoja1!A:B,2,FALSE)</f>
        <v>9231. Información, registro y gestión del padrón</v>
      </c>
      <c r="W143" s="35" t="str">
        <f>MID(Tabla1[[#This Row],[Aplicación]],14,2)</f>
        <v>21</v>
      </c>
      <c r="X143" s="35" t="str">
        <f>MID(Tabla1[[#This Row],[Aplicación]],14,6)</f>
        <v>213</v>
      </c>
    </row>
    <row r="144" spans="1:24" x14ac:dyDescent="0.25">
      <c r="A144" s="45">
        <v>220210001721</v>
      </c>
      <c r="B144" s="46" t="s">
        <v>32</v>
      </c>
      <c r="C144" s="47">
        <v>44229</v>
      </c>
      <c r="D144" s="45">
        <v>22021002189</v>
      </c>
      <c r="E144" s="46" t="s">
        <v>969</v>
      </c>
      <c r="F144" s="48">
        <v>100.96</v>
      </c>
      <c r="G144" s="46" t="s">
        <v>68</v>
      </c>
      <c r="H144" s="46" t="s">
        <v>1021</v>
      </c>
      <c r="I144" s="45" t="s">
        <v>234</v>
      </c>
      <c r="J144" s="46" t="s">
        <v>127</v>
      </c>
      <c r="K144" s="46" t="s">
        <v>127</v>
      </c>
      <c r="L144" s="46" t="s">
        <v>15</v>
      </c>
      <c r="M144" s="46" t="s">
        <v>13</v>
      </c>
      <c r="N144" s="46" t="s">
        <v>14</v>
      </c>
      <c r="O144" s="49" t="s">
        <v>803</v>
      </c>
      <c r="P144" s="46" t="s">
        <v>507</v>
      </c>
      <c r="Q144" s="35" t="str">
        <f>MID(Tabla1[[#This Row],[Aplicación]],14,1)</f>
        <v>2</v>
      </c>
      <c r="R144" s="35" t="s">
        <v>495</v>
      </c>
      <c r="S144" s="35" t="str">
        <f>MID(Tabla1[[#This Row],[Aplicación]],6,2)</f>
        <v>06</v>
      </c>
      <c r="T144" s="35" t="str">
        <f>VLOOKUP(Tabla1[[#This Row],[AREA]],Hoja1!A:B,2,FALSE)</f>
        <v>06. Educación, infancia, juventud e igualdad</v>
      </c>
      <c r="U144" s="35" t="str">
        <f>MID(Tabla1[[#This Row],[Aplicación]],9,4)</f>
        <v>2315</v>
      </c>
      <c r="V144" s="35" t="str">
        <f>VLOOKUP(Tabla1[[#This Row],[PROGRAMA]],Hoja1!A:B,2,FALSE)</f>
        <v>2315. Políticas de Igualdad e infancia</v>
      </c>
      <c r="W144" s="35" t="str">
        <f>MID(Tabla1[[#This Row],[Aplicación]],14,2)</f>
        <v>21</v>
      </c>
      <c r="X144" s="35" t="str">
        <f>MID(Tabla1[[#This Row],[Aplicación]],14,6)</f>
        <v>213</v>
      </c>
    </row>
    <row r="145" spans="1:24" x14ac:dyDescent="0.25">
      <c r="A145" s="45">
        <v>220210001722</v>
      </c>
      <c r="B145" s="46" t="s">
        <v>32</v>
      </c>
      <c r="C145" s="47">
        <v>44229</v>
      </c>
      <c r="D145" s="45">
        <v>22021002190</v>
      </c>
      <c r="E145" s="46" t="s">
        <v>969</v>
      </c>
      <c r="F145" s="48">
        <v>97.45</v>
      </c>
      <c r="G145" s="46" t="s">
        <v>68</v>
      </c>
      <c r="H145" s="46" t="s">
        <v>1022</v>
      </c>
      <c r="I145" s="45" t="s">
        <v>234</v>
      </c>
      <c r="J145" s="46" t="s">
        <v>127</v>
      </c>
      <c r="K145" s="46" t="s">
        <v>127</v>
      </c>
      <c r="L145" s="46" t="s">
        <v>15</v>
      </c>
      <c r="M145" s="46" t="s">
        <v>13</v>
      </c>
      <c r="N145" s="46" t="s">
        <v>14</v>
      </c>
      <c r="O145" s="49" t="s">
        <v>803</v>
      </c>
      <c r="P145" s="46" t="s">
        <v>507</v>
      </c>
      <c r="Q145" s="35" t="str">
        <f>MID(Tabla1[[#This Row],[Aplicación]],14,1)</f>
        <v>2</v>
      </c>
      <c r="R145" s="35" t="s">
        <v>495</v>
      </c>
      <c r="S145" s="35" t="str">
        <f>MID(Tabla1[[#This Row],[Aplicación]],6,2)</f>
        <v>06</v>
      </c>
      <c r="T145" s="35" t="str">
        <f>VLOOKUP(Tabla1[[#This Row],[AREA]],Hoja1!A:B,2,FALSE)</f>
        <v>06. Educación, infancia, juventud e igualdad</v>
      </c>
      <c r="U145" s="35" t="str">
        <f>MID(Tabla1[[#This Row],[Aplicación]],9,4)</f>
        <v>2315</v>
      </c>
      <c r="V145" s="35" t="str">
        <f>VLOOKUP(Tabla1[[#This Row],[PROGRAMA]],Hoja1!A:B,2,FALSE)</f>
        <v>2315. Políticas de Igualdad e infancia</v>
      </c>
      <c r="W145" s="35" t="str">
        <f>MID(Tabla1[[#This Row],[Aplicación]],14,2)</f>
        <v>21</v>
      </c>
      <c r="X145" s="35" t="str">
        <f>MID(Tabla1[[#This Row],[Aplicación]],14,6)</f>
        <v>213</v>
      </c>
    </row>
    <row r="146" spans="1:24" x14ac:dyDescent="0.25">
      <c r="A146" s="45">
        <v>220210002577</v>
      </c>
      <c r="B146" s="46" t="s">
        <v>9</v>
      </c>
      <c r="C146" s="47">
        <v>44236</v>
      </c>
      <c r="D146" s="45">
        <v>22021000010</v>
      </c>
      <c r="E146" s="46" t="s">
        <v>1023</v>
      </c>
      <c r="F146" s="48">
        <v>4125</v>
      </c>
      <c r="G146" s="46" t="s">
        <v>68</v>
      </c>
      <c r="H146" s="46" t="s">
        <v>1024</v>
      </c>
      <c r="I146" s="45" t="s">
        <v>125</v>
      </c>
      <c r="J146" s="46" t="s">
        <v>127</v>
      </c>
      <c r="K146" s="46" t="s">
        <v>127</v>
      </c>
      <c r="L146" s="46" t="s">
        <v>15</v>
      </c>
      <c r="M146" s="46" t="s">
        <v>13</v>
      </c>
      <c r="N146" s="46" t="s">
        <v>14</v>
      </c>
      <c r="O146" s="49" t="s">
        <v>803</v>
      </c>
      <c r="P146" s="46" t="s">
        <v>507</v>
      </c>
      <c r="Q146" s="35" t="str">
        <f>MID(Tabla1[[#This Row],[Aplicación]],14,1)</f>
        <v>2</v>
      </c>
      <c r="R146" s="35" t="s">
        <v>495</v>
      </c>
      <c r="S146" s="35" t="str">
        <f>MID(Tabla1[[#This Row],[Aplicación]],6,2)</f>
        <v>11</v>
      </c>
      <c r="T146" s="35" t="str">
        <f>VLOOKUP(Tabla1[[#This Row],[AREA]],Hoja1!A:B,2,FALSE)</f>
        <v>11. Salud pública y seguridad ciudadana</v>
      </c>
      <c r="U146" s="35" t="str">
        <f>MID(Tabla1[[#This Row],[Aplicación]],9,4)</f>
        <v>3111</v>
      </c>
      <c r="V146" s="35" t="str">
        <f>VLOOKUP(Tabla1[[#This Row],[PROGRAMA]],Hoja1!A:B,2,FALSE)</f>
        <v>3111. Protección de la salubridad pública</v>
      </c>
      <c r="W146" s="35" t="str">
        <f>MID(Tabla1[[#This Row],[Aplicación]],14,2)</f>
        <v>20</v>
      </c>
      <c r="X146" s="35" t="str">
        <f>MID(Tabla1[[#This Row],[Aplicación]],14,6)</f>
        <v>203</v>
      </c>
    </row>
    <row r="147" spans="1:24" x14ac:dyDescent="0.25">
      <c r="A147" s="45">
        <v>220210002578</v>
      </c>
      <c r="B147" s="46" t="s">
        <v>9</v>
      </c>
      <c r="C147" s="47">
        <v>44236</v>
      </c>
      <c r="D147" s="45">
        <v>22021000011</v>
      </c>
      <c r="E147" s="46" t="s">
        <v>954</v>
      </c>
      <c r="F147" s="48">
        <v>11000</v>
      </c>
      <c r="G147" s="46" t="s">
        <v>68</v>
      </c>
      <c r="H147" s="46" t="s">
        <v>1025</v>
      </c>
      <c r="I147" s="45" t="s">
        <v>125</v>
      </c>
      <c r="J147" s="46" t="s">
        <v>127</v>
      </c>
      <c r="K147" s="46" t="s">
        <v>127</v>
      </c>
      <c r="L147" s="46" t="s">
        <v>15</v>
      </c>
      <c r="M147" s="46" t="s">
        <v>13</v>
      </c>
      <c r="N147" s="46" t="s">
        <v>14</v>
      </c>
      <c r="O147" s="49" t="s">
        <v>803</v>
      </c>
      <c r="P147" s="46" t="s">
        <v>507</v>
      </c>
      <c r="Q147" s="35" t="str">
        <f>MID(Tabla1[[#This Row],[Aplicación]],14,1)</f>
        <v>2</v>
      </c>
      <c r="R147" s="35" t="s">
        <v>495</v>
      </c>
      <c r="S147" s="35" t="str">
        <f>MID(Tabla1[[#This Row],[Aplicación]],6,2)</f>
        <v>03</v>
      </c>
      <c r="T147" s="35" t="str">
        <f>VLOOKUP(Tabla1[[#This Row],[AREA]],Hoja1!A:B,2,FALSE)</f>
        <v>03. Participación ciudadana y deportes</v>
      </c>
      <c r="U147" s="35" t="str">
        <f>MID(Tabla1[[#This Row],[Aplicación]],9,4)</f>
        <v>9241</v>
      </c>
      <c r="V147" s="35" t="str">
        <f>VLOOKUP(Tabla1[[#This Row],[PROGRAMA]],Hoja1!A:B,2,FALSE)</f>
        <v>9241. Participación ciudadana</v>
      </c>
      <c r="W147" s="35" t="str">
        <f>MID(Tabla1[[#This Row],[Aplicación]],14,2)</f>
        <v>20</v>
      </c>
      <c r="X147" s="35" t="str">
        <f>MID(Tabla1[[#This Row],[Aplicación]],14,6)</f>
        <v>203</v>
      </c>
    </row>
    <row r="148" spans="1:24" x14ac:dyDescent="0.25">
      <c r="A148" s="45">
        <v>220210002579</v>
      </c>
      <c r="B148" s="46" t="s">
        <v>9</v>
      </c>
      <c r="C148" s="47">
        <v>44236</v>
      </c>
      <c r="D148" s="45">
        <v>22021000017</v>
      </c>
      <c r="E148" s="46" t="s">
        <v>1026</v>
      </c>
      <c r="F148" s="48">
        <v>7200</v>
      </c>
      <c r="G148" s="46" t="s">
        <v>68</v>
      </c>
      <c r="H148" s="46" t="s">
        <v>1027</v>
      </c>
      <c r="I148" s="45" t="s">
        <v>125</v>
      </c>
      <c r="J148" s="46" t="s">
        <v>127</v>
      </c>
      <c r="K148" s="46" t="s">
        <v>127</v>
      </c>
      <c r="L148" s="46" t="s">
        <v>15</v>
      </c>
      <c r="M148" s="46" t="s">
        <v>13</v>
      </c>
      <c r="N148" s="46" t="s">
        <v>14</v>
      </c>
      <c r="O148" s="49" t="s">
        <v>803</v>
      </c>
      <c r="P148" s="46" t="s">
        <v>507</v>
      </c>
      <c r="Q148" s="35" t="str">
        <f>MID(Tabla1[[#This Row],[Aplicación]],14,1)</f>
        <v>2</v>
      </c>
      <c r="R148" s="35" t="s">
        <v>495</v>
      </c>
      <c r="S148" s="35" t="str">
        <f>MID(Tabla1[[#This Row],[Aplicación]],6,2)</f>
        <v>08</v>
      </c>
      <c r="T148" s="35" t="str">
        <f>VLOOKUP(Tabla1[[#This Row],[AREA]],Hoja1!A:B,2,FALSE)</f>
        <v>08. Movilidad y espacio urbano</v>
      </c>
      <c r="U148" s="35" t="str">
        <f>MID(Tabla1[[#This Row],[Aplicación]],9,4)</f>
        <v>1301</v>
      </c>
      <c r="V148" s="35" t="str">
        <f>VLOOKUP(Tabla1[[#This Row],[PROGRAMA]],Hoja1!A:B,2,FALSE)</f>
        <v>1301. Dirección del área de seguridad</v>
      </c>
      <c r="W148" s="35" t="str">
        <f>MID(Tabla1[[#This Row],[Aplicación]],14,2)</f>
        <v>20</v>
      </c>
      <c r="X148" s="35" t="str">
        <f>MID(Tabla1[[#This Row],[Aplicación]],14,6)</f>
        <v>203</v>
      </c>
    </row>
    <row r="149" spans="1:24" x14ac:dyDescent="0.25">
      <c r="A149" s="45">
        <v>220210002580</v>
      </c>
      <c r="B149" s="46" t="s">
        <v>9</v>
      </c>
      <c r="C149" s="47">
        <v>44236</v>
      </c>
      <c r="D149" s="45">
        <v>22021000018</v>
      </c>
      <c r="E149" s="46" t="s">
        <v>945</v>
      </c>
      <c r="F149" s="48">
        <v>4100</v>
      </c>
      <c r="G149" s="46" t="s">
        <v>68</v>
      </c>
      <c r="H149" s="46" t="s">
        <v>1028</v>
      </c>
      <c r="I149" s="45" t="s">
        <v>125</v>
      </c>
      <c r="J149" s="46" t="s">
        <v>127</v>
      </c>
      <c r="K149" s="46" t="s">
        <v>127</v>
      </c>
      <c r="L149" s="46" t="s">
        <v>15</v>
      </c>
      <c r="M149" s="46" t="s">
        <v>13</v>
      </c>
      <c r="N149" s="46" t="s">
        <v>14</v>
      </c>
      <c r="O149" s="49" t="s">
        <v>803</v>
      </c>
      <c r="P149" s="46" t="s">
        <v>507</v>
      </c>
      <c r="Q149" s="35" t="str">
        <f>MID(Tabla1[[#This Row],[Aplicación]],14,1)</f>
        <v>2</v>
      </c>
      <c r="R149" s="35" t="s">
        <v>495</v>
      </c>
      <c r="S149" s="35" t="str">
        <f>MID(Tabla1[[#This Row],[Aplicación]],6,2)</f>
        <v>04</v>
      </c>
      <c r="T149" s="35" t="str">
        <f>VLOOKUP(Tabla1[[#This Row],[AREA]],Hoja1!A:B,2,FALSE)</f>
        <v>04. Planificación y recursos</v>
      </c>
      <c r="U149" s="35" t="str">
        <f>MID(Tabla1[[#This Row],[Aplicación]],9,4)</f>
        <v>9341</v>
      </c>
      <c r="V149" s="35" t="str">
        <f>VLOOKUP(Tabla1[[#This Row],[PROGRAMA]],Hoja1!A:B,2,FALSE)</f>
        <v>9341. Tesorería y recaudación</v>
      </c>
      <c r="W149" s="35" t="str">
        <f>MID(Tabla1[[#This Row],[Aplicación]],14,2)</f>
        <v>21</v>
      </c>
      <c r="X149" s="35" t="str">
        <f>MID(Tabla1[[#This Row],[Aplicación]],14,6)</f>
        <v>213</v>
      </c>
    </row>
    <row r="150" spans="1:24" x14ac:dyDescent="0.25">
      <c r="A150" s="45">
        <v>220210002581</v>
      </c>
      <c r="B150" s="46" t="s">
        <v>9</v>
      </c>
      <c r="C150" s="47">
        <v>44236</v>
      </c>
      <c r="D150" s="45">
        <v>22021000019</v>
      </c>
      <c r="E150" s="46" t="s">
        <v>1029</v>
      </c>
      <c r="F150" s="48">
        <v>10750</v>
      </c>
      <c r="G150" s="46" t="s">
        <v>68</v>
      </c>
      <c r="H150" s="46" t="s">
        <v>1030</v>
      </c>
      <c r="I150" s="45" t="s">
        <v>125</v>
      </c>
      <c r="J150" s="46" t="s">
        <v>127</v>
      </c>
      <c r="K150" s="46" t="s">
        <v>127</v>
      </c>
      <c r="L150" s="46" t="s">
        <v>15</v>
      </c>
      <c r="M150" s="46" t="s">
        <v>13</v>
      </c>
      <c r="N150" s="46" t="s">
        <v>16</v>
      </c>
      <c r="O150" s="49" t="s">
        <v>803</v>
      </c>
      <c r="P150" s="46" t="s">
        <v>507</v>
      </c>
      <c r="Q150" s="35" t="str">
        <f>MID(Tabla1[[#This Row],[Aplicación]],14,1)</f>
        <v>2</v>
      </c>
      <c r="R150" s="35" t="s">
        <v>495</v>
      </c>
      <c r="S150" s="35" t="str">
        <f>MID(Tabla1[[#This Row],[Aplicación]],6,2)</f>
        <v>08</v>
      </c>
      <c r="T150" s="35" t="str">
        <f>VLOOKUP(Tabla1[[#This Row],[AREA]],Hoja1!A:B,2,FALSE)</f>
        <v>08. Movilidad y espacio urbano</v>
      </c>
      <c r="U150" s="35" t="str">
        <f>MID(Tabla1[[#This Row],[Aplicación]],9,4)</f>
        <v>1301</v>
      </c>
      <c r="V150" s="35" t="str">
        <f>VLOOKUP(Tabla1[[#This Row],[PROGRAMA]],Hoja1!A:B,2,FALSE)</f>
        <v>1301. Dirección del área de seguridad</v>
      </c>
      <c r="W150" s="35" t="str">
        <f>MID(Tabla1[[#This Row],[Aplicación]],14,2)</f>
        <v>21</v>
      </c>
      <c r="X150" s="35" t="str">
        <f>MID(Tabla1[[#This Row],[Aplicación]],14,6)</f>
        <v>213</v>
      </c>
    </row>
    <row r="151" spans="1:24" x14ac:dyDescent="0.25">
      <c r="A151" s="45">
        <v>220210002583</v>
      </c>
      <c r="B151" s="46" t="s">
        <v>9</v>
      </c>
      <c r="C151" s="47">
        <v>44236</v>
      </c>
      <c r="D151" s="45">
        <v>22021000021</v>
      </c>
      <c r="E151" s="46" t="s">
        <v>977</v>
      </c>
      <c r="F151" s="48">
        <v>1000</v>
      </c>
      <c r="G151" s="46" t="s">
        <v>68</v>
      </c>
      <c r="H151" s="46" t="s">
        <v>1031</v>
      </c>
      <c r="I151" s="45" t="s">
        <v>125</v>
      </c>
      <c r="J151" s="46" t="s">
        <v>127</v>
      </c>
      <c r="K151" s="46" t="s">
        <v>127</v>
      </c>
      <c r="L151" s="46" t="s">
        <v>15</v>
      </c>
      <c r="M151" s="46" t="s">
        <v>13</v>
      </c>
      <c r="N151" s="46" t="s">
        <v>14</v>
      </c>
      <c r="O151" s="49" t="s">
        <v>803</v>
      </c>
      <c r="P151" s="46" t="s">
        <v>507</v>
      </c>
      <c r="Q151" s="35" t="str">
        <f>MID(Tabla1[[#This Row],[Aplicación]],14,1)</f>
        <v>2</v>
      </c>
      <c r="R151" s="35" t="s">
        <v>495</v>
      </c>
      <c r="S151" s="35" t="str">
        <f>MID(Tabla1[[#This Row],[Aplicación]],6,2)</f>
        <v>04</v>
      </c>
      <c r="T151" s="35" t="str">
        <f>VLOOKUP(Tabla1[[#This Row],[AREA]],Hoja1!A:B,2,FALSE)</f>
        <v>04. Planificación y recursos</v>
      </c>
      <c r="U151" s="35" t="str">
        <f>MID(Tabla1[[#This Row],[Aplicación]],9,4)</f>
        <v>9311</v>
      </c>
      <c r="V151" s="35" t="str">
        <f>VLOOKUP(Tabla1[[#This Row],[PROGRAMA]],Hoja1!A:B,2,FALSE)</f>
        <v>9311. Planificación económico financiera</v>
      </c>
      <c r="W151" s="35" t="str">
        <f>MID(Tabla1[[#This Row],[Aplicación]],14,2)</f>
        <v>20</v>
      </c>
      <c r="X151" s="35" t="str">
        <f>MID(Tabla1[[#This Row],[Aplicación]],14,6)</f>
        <v>203</v>
      </c>
    </row>
    <row r="152" spans="1:24" x14ac:dyDescent="0.25">
      <c r="A152" s="45">
        <v>220210002584</v>
      </c>
      <c r="B152" s="46" t="s">
        <v>9</v>
      </c>
      <c r="C152" s="47">
        <v>44236</v>
      </c>
      <c r="D152" s="45">
        <v>22021000022</v>
      </c>
      <c r="E152" s="46" t="s">
        <v>977</v>
      </c>
      <c r="F152" s="48">
        <v>724.46</v>
      </c>
      <c r="G152" s="46" t="s">
        <v>68</v>
      </c>
      <c r="H152" s="46" t="s">
        <v>1032</v>
      </c>
      <c r="I152" s="45" t="s">
        <v>125</v>
      </c>
      <c r="J152" s="46" t="s">
        <v>127</v>
      </c>
      <c r="K152" s="46" t="s">
        <v>127</v>
      </c>
      <c r="L152" s="46" t="s">
        <v>15</v>
      </c>
      <c r="M152" s="46" t="s">
        <v>13</v>
      </c>
      <c r="N152" s="46" t="s">
        <v>14</v>
      </c>
      <c r="O152" s="49" t="s">
        <v>803</v>
      </c>
      <c r="P152" s="46" t="s">
        <v>507</v>
      </c>
      <c r="Q152" s="35" t="str">
        <f>MID(Tabla1[[#This Row],[Aplicación]],14,1)</f>
        <v>2</v>
      </c>
      <c r="R152" s="35" t="s">
        <v>495</v>
      </c>
      <c r="S152" s="35" t="str">
        <f>MID(Tabla1[[#This Row],[Aplicación]],6,2)</f>
        <v>04</v>
      </c>
      <c r="T152" s="35" t="str">
        <f>VLOOKUP(Tabla1[[#This Row],[AREA]],Hoja1!A:B,2,FALSE)</f>
        <v>04. Planificación y recursos</v>
      </c>
      <c r="U152" s="35" t="str">
        <f>MID(Tabla1[[#This Row],[Aplicación]],9,4)</f>
        <v>9311</v>
      </c>
      <c r="V152" s="35" t="str">
        <f>VLOOKUP(Tabla1[[#This Row],[PROGRAMA]],Hoja1!A:B,2,FALSE)</f>
        <v>9311. Planificación económico financiera</v>
      </c>
      <c r="W152" s="35" t="str">
        <f>MID(Tabla1[[#This Row],[Aplicación]],14,2)</f>
        <v>20</v>
      </c>
      <c r="X152" s="35" t="str">
        <f>MID(Tabla1[[#This Row],[Aplicación]],14,6)</f>
        <v>203</v>
      </c>
    </row>
    <row r="153" spans="1:24" x14ac:dyDescent="0.25">
      <c r="A153" s="45">
        <v>220210002585</v>
      </c>
      <c r="B153" s="46" t="s">
        <v>9</v>
      </c>
      <c r="C153" s="47">
        <v>44236</v>
      </c>
      <c r="D153" s="45">
        <v>22021000023</v>
      </c>
      <c r="E153" s="46" t="s">
        <v>1033</v>
      </c>
      <c r="F153" s="48">
        <v>10500</v>
      </c>
      <c r="G153" s="46" t="s">
        <v>68</v>
      </c>
      <c r="H153" s="46" t="s">
        <v>1034</v>
      </c>
      <c r="I153" s="45" t="s">
        <v>125</v>
      </c>
      <c r="J153" s="46" t="s">
        <v>127</v>
      </c>
      <c r="K153" s="46" t="s">
        <v>127</v>
      </c>
      <c r="L153" s="46" t="s">
        <v>15</v>
      </c>
      <c r="M153" s="46" t="s">
        <v>13</v>
      </c>
      <c r="N153" s="46" t="s">
        <v>14</v>
      </c>
      <c r="O153" s="49" t="s">
        <v>803</v>
      </c>
      <c r="P153" s="46" t="s">
        <v>507</v>
      </c>
      <c r="Q153" s="35" t="str">
        <f>MID(Tabla1[[#This Row],[Aplicación]],14,1)</f>
        <v>2</v>
      </c>
      <c r="R153" s="35" t="s">
        <v>495</v>
      </c>
      <c r="S153" s="35" t="str">
        <f>MID(Tabla1[[#This Row],[Aplicación]],6,2)</f>
        <v>07</v>
      </c>
      <c r="T153" s="35" t="str">
        <f>VLOOKUP(Tabla1[[#This Row],[AREA]],Hoja1!A:B,2,FALSE)</f>
        <v>07. Medio ambiente y desarrollo sostenible</v>
      </c>
      <c r="U153" s="35" t="str">
        <f>MID(Tabla1[[#This Row],[Aplicación]],9,4)</f>
        <v>1721</v>
      </c>
      <c r="V153" s="35" t="str">
        <f>VLOOKUP(Tabla1[[#This Row],[PROGRAMA]],Hoja1!A:B,2,FALSE)</f>
        <v>1721. Protección del medio ambiente</v>
      </c>
      <c r="W153" s="35" t="str">
        <f>MID(Tabla1[[#This Row],[Aplicación]],14,2)</f>
        <v>20</v>
      </c>
      <c r="X153" s="35" t="str">
        <f>MID(Tabla1[[#This Row],[Aplicación]],14,6)</f>
        <v>203</v>
      </c>
    </row>
    <row r="154" spans="1:24" x14ac:dyDescent="0.25">
      <c r="A154" s="45">
        <v>220210002586</v>
      </c>
      <c r="B154" s="46" t="s">
        <v>9</v>
      </c>
      <c r="C154" s="47">
        <v>44236</v>
      </c>
      <c r="D154" s="45">
        <v>22021000029</v>
      </c>
      <c r="E154" s="46" t="s">
        <v>921</v>
      </c>
      <c r="F154" s="48">
        <v>800</v>
      </c>
      <c r="G154" s="46" t="s">
        <v>68</v>
      </c>
      <c r="H154" s="46" t="s">
        <v>1035</v>
      </c>
      <c r="I154" s="45" t="s">
        <v>125</v>
      </c>
      <c r="J154" s="46" t="s">
        <v>127</v>
      </c>
      <c r="K154" s="46" t="s">
        <v>127</v>
      </c>
      <c r="L154" s="46" t="s">
        <v>15</v>
      </c>
      <c r="M154" s="46" t="s">
        <v>13</v>
      </c>
      <c r="N154" s="46" t="s">
        <v>16</v>
      </c>
      <c r="O154" s="49" t="s">
        <v>803</v>
      </c>
      <c r="P154" s="46" t="s">
        <v>507</v>
      </c>
      <c r="Q154" s="35" t="str">
        <f>MID(Tabla1[[#This Row],[Aplicación]],14,1)</f>
        <v>2</v>
      </c>
      <c r="R154" s="35" t="s">
        <v>495</v>
      </c>
      <c r="S154" s="35" t="str">
        <f>MID(Tabla1[[#This Row],[Aplicación]],6,2)</f>
        <v>04</v>
      </c>
      <c r="T154" s="35" t="str">
        <f>VLOOKUP(Tabla1[[#This Row],[AREA]],Hoja1!A:B,2,FALSE)</f>
        <v>04. Planificación y recursos</v>
      </c>
      <c r="U154" s="35" t="str">
        <f>MID(Tabla1[[#This Row],[Aplicación]],9,4)</f>
        <v>9204</v>
      </c>
      <c r="V154" s="35" t="str">
        <f>VLOOKUP(Tabla1[[#This Row],[PROGRAMA]],Hoja1!A:B,2,FALSE)</f>
        <v>9204. Tecnologías de la información y comunicación</v>
      </c>
      <c r="W154" s="35" t="str">
        <f>MID(Tabla1[[#This Row],[Aplicación]],14,2)</f>
        <v>21</v>
      </c>
      <c r="X154" s="35" t="str">
        <f>MID(Tabla1[[#This Row],[Aplicación]],14,6)</f>
        <v>213</v>
      </c>
    </row>
    <row r="155" spans="1:24" x14ac:dyDescent="0.25">
      <c r="A155" s="45">
        <v>220210002587</v>
      </c>
      <c r="B155" s="46" t="s">
        <v>9</v>
      </c>
      <c r="C155" s="47">
        <v>44236</v>
      </c>
      <c r="D155" s="45">
        <v>22021000071</v>
      </c>
      <c r="E155" s="46" t="s">
        <v>944</v>
      </c>
      <c r="F155" s="48">
        <v>1950</v>
      </c>
      <c r="G155" s="46" t="s">
        <v>68</v>
      </c>
      <c r="H155" s="46" t="s">
        <v>1036</v>
      </c>
      <c r="I155" s="45" t="s">
        <v>125</v>
      </c>
      <c r="J155" s="46" t="s">
        <v>127</v>
      </c>
      <c r="K155" s="46" t="s">
        <v>127</v>
      </c>
      <c r="L155" s="46" t="s">
        <v>15</v>
      </c>
      <c r="M155" s="46" t="s">
        <v>13</v>
      </c>
      <c r="N155" s="46" t="s">
        <v>14</v>
      </c>
      <c r="O155" s="49" t="s">
        <v>803</v>
      </c>
      <c r="P155" s="46" t="s">
        <v>507</v>
      </c>
      <c r="Q155" s="35" t="str">
        <f>MID(Tabla1[[#This Row],[Aplicación]],14,1)</f>
        <v>2</v>
      </c>
      <c r="R155" s="35" t="s">
        <v>495</v>
      </c>
      <c r="S155" s="35" t="str">
        <f>MID(Tabla1[[#This Row],[Aplicación]],6,2)</f>
        <v>11</v>
      </c>
      <c r="T155" s="35" t="str">
        <f>VLOOKUP(Tabla1[[#This Row],[AREA]],Hoja1!A:B,2,FALSE)</f>
        <v>11. Salud pública y seguridad ciudadana</v>
      </c>
      <c r="U155" s="35" t="str">
        <f>MID(Tabla1[[#This Row],[Aplicación]],9,4)</f>
        <v>1621</v>
      </c>
      <c r="V155" s="35" t="str">
        <f>VLOOKUP(Tabla1[[#This Row],[PROGRAMA]],Hoja1!A:B,2,FALSE)</f>
        <v>1621. Servicio de limpieza</v>
      </c>
      <c r="W155" s="35" t="str">
        <f>MID(Tabla1[[#This Row],[Aplicación]],14,2)</f>
        <v>21</v>
      </c>
      <c r="X155" s="35" t="str">
        <f>MID(Tabla1[[#This Row],[Aplicación]],14,6)</f>
        <v>213</v>
      </c>
    </row>
    <row r="156" spans="1:24" x14ac:dyDescent="0.25">
      <c r="A156" s="45">
        <v>220210002588</v>
      </c>
      <c r="B156" s="46" t="s">
        <v>9</v>
      </c>
      <c r="C156" s="47">
        <v>44236</v>
      </c>
      <c r="D156" s="45">
        <v>22021000268</v>
      </c>
      <c r="E156" s="46" t="s">
        <v>938</v>
      </c>
      <c r="F156" s="48">
        <v>3550</v>
      </c>
      <c r="G156" s="46" t="s">
        <v>68</v>
      </c>
      <c r="H156" s="46" t="s">
        <v>712</v>
      </c>
      <c r="I156" s="45" t="s">
        <v>125</v>
      </c>
      <c r="J156" s="46" t="s">
        <v>127</v>
      </c>
      <c r="K156" s="46" t="s">
        <v>127</v>
      </c>
      <c r="L156" s="46" t="s">
        <v>15</v>
      </c>
      <c r="M156" s="46" t="s">
        <v>13</v>
      </c>
      <c r="N156" s="46" t="s">
        <v>16</v>
      </c>
      <c r="O156" s="49" t="s">
        <v>803</v>
      </c>
      <c r="P156" s="46" t="s">
        <v>507</v>
      </c>
      <c r="Q156" s="35" t="str">
        <f>MID(Tabla1[[#This Row],[Aplicación]],14,1)</f>
        <v>2</v>
      </c>
      <c r="R156" s="35" t="s">
        <v>495</v>
      </c>
      <c r="S156" s="35" t="str">
        <f>MID(Tabla1[[#This Row],[Aplicación]],6,2)</f>
        <v>04</v>
      </c>
      <c r="T156" s="35" t="str">
        <f>VLOOKUP(Tabla1[[#This Row],[AREA]],Hoja1!A:B,2,FALSE)</f>
        <v>04. Planificación y recursos</v>
      </c>
      <c r="U156" s="35" t="str">
        <f>MID(Tabla1[[#This Row],[Aplicación]],9,4)</f>
        <v>9209</v>
      </c>
      <c r="V156" s="35" t="str">
        <f>VLOOKUP(Tabla1[[#This Row],[PROGRAMA]],Hoja1!A:B,2,FALSE)</f>
        <v>9209. Dirección del area de hacienda y función pública</v>
      </c>
      <c r="W156" s="35" t="str">
        <f>MID(Tabla1[[#This Row],[Aplicación]],14,2)</f>
        <v>20</v>
      </c>
      <c r="X156" s="35" t="str">
        <f>MID(Tabla1[[#This Row],[Aplicación]],14,6)</f>
        <v>203</v>
      </c>
    </row>
    <row r="157" spans="1:24" x14ac:dyDescent="0.25">
      <c r="A157" s="45">
        <v>220210002589</v>
      </c>
      <c r="B157" s="46" t="s">
        <v>9</v>
      </c>
      <c r="C157" s="47">
        <v>44236</v>
      </c>
      <c r="D157" s="45">
        <v>22021000269</v>
      </c>
      <c r="E157" s="46" t="s">
        <v>950</v>
      </c>
      <c r="F157" s="48">
        <v>14500</v>
      </c>
      <c r="G157" s="46" t="s">
        <v>68</v>
      </c>
      <c r="H157" s="46" t="s">
        <v>1037</v>
      </c>
      <c r="I157" s="45" t="s">
        <v>125</v>
      </c>
      <c r="J157" s="46" t="s">
        <v>127</v>
      </c>
      <c r="K157" s="46" t="s">
        <v>127</v>
      </c>
      <c r="L157" s="46" t="s">
        <v>15</v>
      </c>
      <c r="M157" s="46" t="s">
        <v>13</v>
      </c>
      <c r="N157" s="46" t="s">
        <v>14</v>
      </c>
      <c r="O157" s="49" t="s">
        <v>803</v>
      </c>
      <c r="P157" s="46" t="s">
        <v>507</v>
      </c>
      <c r="Q157" s="35" t="str">
        <f>MID(Tabla1[[#This Row],[Aplicación]],14,1)</f>
        <v>2</v>
      </c>
      <c r="R157" s="35" t="s">
        <v>495</v>
      </c>
      <c r="S157" s="35" t="str">
        <f>MID(Tabla1[[#This Row],[Aplicación]],6,2)</f>
        <v>11</v>
      </c>
      <c r="T157" s="35" t="str">
        <f>VLOOKUP(Tabla1[[#This Row],[AREA]],Hoja1!A:B,2,FALSE)</f>
        <v>11. Salud pública y seguridad ciudadana</v>
      </c>
      <c r="U157" s="35" t="str">
        <f>MID(Tabla1[[#This Row],[Aplicación]],9,4)</f>
        <v>1321</v>
      </c>
      <c r="V157" s="35" t="str">
        <f>VLOOKUP(Tabla1[[#This Row],[PROGRAMA]],Hoja1!A:B,2,FALSE)</f>
        <v>1321. Policía municipal</v>
      </c>
      <c r="W157" s="35" t="str">
        <f>MID(Tabla1[[#This Row],[Aplicación]],14,2)</f>
        <v>21</v>
      </c>
      <c r="X157" s="35" t="str">
        <f>MID(Tabla1[[#This Row],[Aplicación]],14,6)</f>
        <v>213</v>
      </c>
    </row>
    <row r="158" spans="1:24" x14ac:dyDescent="0.25">
      <c r="A158" s="45">
        <v>220210002590</v>
      </c>
      <c r="B158" s="46" t="s">
        <v>9</v>
      </c>
      <c r="C158" s="47">
        <v>44236</v>
      </c>
      <c r="D158" s="45">
        <v>22021000400</v>
      </c>
      <c r="E158" s="46" t="s">
        <v>980</v>
      </c>
      <c r="F158" s="48">
        <v>2800.9</v>
      </c>
      <c r="G158" s="46" t="s">
        <v>68</v>
      </c>
      <c r="H158" s="46" t="s">
        <v>1038</v>
      </c>
      <c r="I158" s="45" t="s">
        <v>125</v>
      </c>
      <c r="J158" s="46" t="s">
        <v>127</v>
      </c>
      <c r="K158" s="46" t="s">
        <v>127</v>
      </c>
      <c r="L158" s="46" t="s">
        <v>15</v>
      </c>
      <c r="M158" s="46" t="s">
        <v>13</v>
      </c>
      <c r="N158" s="46" t="s">
        <v>14</v>
      </c>
      <c r="O158" s="49" t="s">
        <v>803</v>
      </c>
      <c r="P158" s="46" t="s">
        <v>507</v>
      </c>
      <c r="Q158" s="35" t="str">
        <f>MID(Tabla1[[#This Row],[Aplicación]],14,1)</f>
        <v>2</v>
      </c>
      <c r="R158" s="35" t="s">
        <v>495</v>
      </c>
      <c r="S158" s="35" t="str">
        <f>MID(Tabla1[[#This Row],[Aplicación]],6,2)</f>
        <v>11</v>
      </c>
      <c r="T158" s="35" t="str">
        <f>VLOOKUP(Tabla1[[#This Row],[AREA]],Hoja1!A:B,2,FALSE)</f>
        <v>11. Salud pública y seguridad ciudadana</v>
      </c>
      <c r="U158" s="35" t="str">
        <f>MID(Tabla1[[#This Row],[Aplicación]],9,4)</f>
        <v>1361</v>
      </c>
      <c r="V158" s="35" t="str">
        <f>VLOOKUP(Tabla1[[#This Row],[PROGRAMA]],Hoja1!A:B,2,FALSE)</f>
        <v>1361. Prevención y extinción de incencios</v>
      </c>
      <c r="W158" s="35" t="str">
        <f>MID(Tabla1[[#This Row],[Aplicación]],14,2)</f>
        <v>21</v>
      </c>
      <c r="X158" s="35" t="str">
        <f>MID(Tabla1[[#This Row],[Aplicación]],14,6)</f>
        <v>213</v>
      </c>
    </row>
    <row r="159" spans="1:24" x14ac:dyDescent="0.25">
      <c r="A159" s="45">
        <v>220210002591</v>
      </c>
      <c r="B159" s="46" t="s">
        <v>9</v>
      </c>
      <c r="C159" s="47">
        <v>44236</v>
      </c>
      <c r="D159" s="45">
        <v>22021000535</v>
      </c>
      <c r="E159" s="46" t="s">
        <v>941</v>
      </c>
      <c r="F159" s="48">
        <v>2845.4</v>
      </c>
      <c r="G159" s="46" t="s">
        <v>68</v>
      </c>
      <c r="H159" s="46" t="s">
        <v>1039</v>
      </c>
      <c r="I159" s="45" t="s">
        <v>125</v>
      </c>
      <c r="J159" s="46" t="s">
        <v>127</v>
      </c>
      <c r="K159" s="46" t="s">
        <v>127</v>
      </c>
      <c r="L159" s="46" t="s">
        <v>15</v>
      </c>
      <c r="M159" s="46" t="s">
        <v>13</v>
      </c>
      <c r="N159" s="46" t="s">
        <v>14</v>
      </c>
      <c r="O159" s="49" t="s">
        <v>803</v>
      </c>
      <c r="P159" s="46" t="s">
        <v>507</v>
      </c>
      <c r="Q159" s="35" t="str">
        <f>MID(Tabla1[[#This Row],[Aplicación]],14,1)</f>
        <v>2</v>
      </c>
      <c r="R159" s="35" t="s">
        <v>495</v>
      </c>
      <c r="S159" s="35" t="str">
        <f>MID(Tabla1[[#This Row],[Aplicación]],6,2)</f>
        <v>06</v>
      </c>
      <c r="T159" s="35" t="str">
        <f>VLOOKUP(Tabla1[[#This Row],[AREA]],Hoja1!A:B,2,FALSE)</f>
        <v>06. Educación, infancia, juventud e igualdad</v>
      </c>
      <c r="U159" s="35" t="str">
        <f>MID(Tabla1[[#This Row],[Aplicación]],9,4)</f>
        <v>3232</v>
      </c>
      <c r="V159" s="35" t="str">
        <f>VLOOKUP(Tabla1[[#This Row],[PROGRAMA]],Hoja1!A:B,2,FALSE)</f>
        <v>3232. Conservación y mantenimiento centros educación infantil y primaria</v>
      </c>
      <c r="W159" s="35" t="str">
        <f>MID(Tabla1[[#This Row],[Aplicación]],14,2)</f>
        <v>21</v>
      </c>
      <c r="X159" s="35" t="str">
        <f>MID(Tabla1[[#This Row],[Aplicación]],14,6)</f>
        <v>213</v>
      </c>
    </row>
    <row r="160" spans="1:24" x14ac:dyDescent="0.25">
      <c r="A160" s="45">
        <v>220210002592</v>
      </c>
      <c r="B160" s="46" t="s">
        <v>9</v>
      </c>
      <c r="C160" s="47">
        <v>44236</v>
      </c>
      <c r="D160" s="45">
        <v>22021000553</v>
      </c>
      <c r="E160" s="46" t="s">
        <v>886</v>
      </c>
      <c r="F160" s="48">
        <v>19600</v>
      </c>
      <c r="G160" s="46" t="s">
        <v>68</v>
      </c>
      <c r="H160" s="46" t="s">
        <v>1040</v>
      </c>
      <c r="I160" s="45" t="s">
        <v>125</v>
      </c>
      <c r="J160" s="46" t="s">
        <v>127</v>
      </c>
      <c r="K160" s="46" t="s">
        <v>127</v>
      </c>
      <c r="L160" s="46" t="s">
        <v>15</v>
      </c>
      <c r="M160" s="46" t="s">
        <v>13</v>
      </c>
      <c r="N160" s="46" t="s">
        <v>14</v>
      </c>
      <c r="O160" s="49" t="s">
        <v>803</v>
      </c>
      <c r="P160" s="46" t="s">
        <v>507</v>
      </c>
      <c r="Q160" s="35" t="str">
        <f>MID(Tabla1[[#This Row],[Aplicación]],14,1)</f>
        <v>2</v>
      </c>
      <c r="R160" s="35" t="s">
        <v>495</v>
      </c>
      <c r="S160" s="35" t="str">
        <f>MID(Tabla1[[#This Row],[Aplicación]],6,2)</f>
        <v>10</v>
      </c>
      <c r="T160" s="35" t="str">
        <f>VLOOKUP(Tabla1[[#This Row],[AREA]],Hoja1!A:B,2,FALSE)</f>
        <v>10. Servicios sociales y mediación comunitaria</v>
      </c>
      <c r="U160" s="35" t="str">
        <f>MID(Tabla1[[#This Row],[Aplicación]],9,4)</f>
        <v>2311</v>
      </c>
      <c r="V160" s="35" t="str">
        <f>VLOOKUP(Tabla1[[#This Row],[PROGRAMA]],Hoja1!A:B,2,FALSE)</f>
        <v>2311. Intervención social</v>
      </c>
      <c r="W160" s="35" t="str">
        <f>MID(Tabla1[[#This Row],[Aplicación]],14,2)</f>
        <v>21</v>
      </c>
      <c r="X160" s="35" t="str">
        <f>MID(Tabla1[[#This Row],[Aplicación]],14,6)</f>
        <v>213</v>
      </c>
    </row>
    <row r="161" spans="1:24" x14ac:dyDescent="0.25">
      <c r="A161" s="45">
        <v>220210002593</v>
      </c>
      <c r="B161" s="46" t="s">
        <v>9</v>
      </c>
      <c r="C161" s="47">
        <v>44236</v>
      </c>
      <c r="D161" s="45">
        <v>22021000559</v>
      </c>
      <c r="E161" s="46" t="s">
        <v>886</v>
      </c>
      <c r="F161" s="48">
        <v>800</v>
      </c>
      <c r="G161" s="46" t="s">
        <v>68</v>
      </c>
      <c r="H161" s="46" t="s">
        <v>1041</v>
      </c>
      <c r="I161" s="45" t="s">
        <v>125</v>
      </c>
      <c r="J161" s="46" t="s">
        <v>127</v>
      </c>
      <c r="K161" s="46" t="s">
        <v>127</v>
      </c>
      <c r="L161" s="46" t="s">
        <v>15</v>
      </c>
      <c r="M161" s="46" t="s">
        <v>13</v>
      </c>
      <c r="N161" s="46" t="s">
        <v>14</v>
      </c>
      <c r="O161" s="49" t="s">
        <v>803</v>
      </c>
      <c r="P161" s="46" t="s">
        <v>507</v>
      </c>
      <c r="Q161" s="35" t="str">
        <f>MID(Tabla1[[#This Row],[Aplicación]],14,1)</f>
        <v>2</v>
      </c>
      <c r="R161" s="35" t="s">
        <v>495</v>
      </c>
      <c r="S161" s="35" t="str">
        <f>MID(Tabla1[[#This Row],[Aplicación]],6,2)</f>
        <v>10</v>
      </c>
      <c r="T161" s="35" t="str">
        <f>VLOOKUP(Tabla1[[#This Row],[AREA]],Hoja1!A:B,2,FALSE)</f>
        <v>10. Servicios sociales y mediación comunitaria</v>
      </c>
      <c r="U161" s="35" t="str">
        <f>MID(Tabla1[[#This Row],[Aplicación]],9,4)</f>
        <v>2311</v>
      </c>
      <c r="V161" s="35" t="str">
        <f>VLOOKUP(Tabla1[[#This Row],[PROGRAMA]],Hoja1!A:B,2,FALSE)</f>
        <v>2311. Intervención social</v>
      </c>
      <c r="W161" s="35" t="str">
        <f>MID(Tabla1[[#This Row],[Aplicación]],14,2)</f>
        <v>21</v>
      </c>
      <c r="X161" s="35" t="str">
        <f>MID(Tabla1[[#This Row],[Aplicación]],14,6)</f>
        <v>213</v>
      </c>
    </row>
    <row r="162" spans="1:24" x14ac:dyDescent="0.25">
      <c r="A162" s="45">
        <v>220210002594</v>
      </c>
      <c r="B162" s="46" t="s">
        <v>9</v>
      </c>
      <c r="C162" s="47">
        <v>44236</v>
      </c>
      <c r="D162" s="45">
        <v>22021000680</v>
      </c>
      <c r="E162" s="46" t="s">
        <v>930</v>
      </c>
      <c r="F162" s="48">
        <v>2700</v>
      </c>
      <c r="G162" s="46" t="s">
        <v>68</v>
      </c>
      <c r="H162" s="46" t="s">
        <v>1042</v>
      </c>
      <c r="I162" s="45" t="s">
        <v>125</v>
      </c>
      <c r="J162" s="46" t="s">
        <v>127</v>
      </c>
      <c r="K162" s="46" t="s">
        <v>127</v>
      </c>
      <c r="L162" s="46" t="s">
        <v>15</v>
      </c>
      <c r="M162" s="46" t="s">
        <v>13</v>
      </c>
      <c r="N162" s="46" t="s">
        <v>14</v>
      </c>
      <c r="O162" s="49" t="s">
        <v>803</v>
      </c>
      <c r="P162" s="46" t="s">
        <v>507</v>
      </c>
      <c r="Q162" s="35" t="str">
        <f>MID(Tabla1[[#This Row],[Aplicación]],14,1)</f>
        <v>2</v>
      </c>
      <c r="R162" s="35" t="s">
        <v>495</v>
      </c>
      <c r="S162" s="35" t="str">
        <f>MID(Tabla1[[#This Row],[Aplicación]],6,2)</f>
        <v>08</v>
      </c>
      <c r="T162" s="35" t="str">
        <f>VLOOKUP(Tabla1[[#This Row],[AREA]],Hoja1!A:B,2,FALSE)</f>
        <v>08. Movilidad y espacio urbano</v>
      </c>
      <c r="U162" s="35" t="str">
        <f>MID(Tabla1[[#This Row],[Aplicación]],9,4)</f>
        <v>1532</v>
      </c>
      <c r="V162" s="35" t="str">
        <f>VLOOKUP(Tabla1[[#This Row],[PROGRAMA]],Hoja1!A:B,2,FALSE)</f>
        <v>1532. Pavimentación vias públicas y otros servicios urbanísticos</v>
      </c>
      <c r="W162" s="35" t="str">
        <f>MID(Tabla1[[#This Row],[Aplicación]],14,2)</f>
        <v>20</v>
      </c>
      <c r="X162" s="35" t="str">
        <f>MID(Tabla1[[#This Row],[Aplicación]],14,6)</f>
        <v>203</v>
      </c>
    </row>
    <row r="163" spans="1:24" x14ac:dyDescent="0.25">
      <c r="A163" s="45">
        <v>220210002595</v>
      </c>
      <c r="B163" s="46" t="s">
        <v>9</v>
      </c>
      <c r="C163" s="47">
        <v>44236</v>
      </c>
      <c r="D163" s="45">
        <v>22021000682</v>
      </c>
      <c r="E163" s="46" t="s">
        <v>926</v>
      </c>
      <c r="F163" s="48">
        <v>1300</v>
      </c>
      <c r="G163" s="46" t="s">
        <v>68</v>
      </c>
      <c r="H163" s="46" t="s">
        <v>1043</v>
      </c>
      <c r="I163" s="45" t="s">
        <v>125</v>
      </c>
      <c r="J163" s="46" t="s">
        <v>127</v>
      </c>
      <c r="K163" s="46" t="s">
        <v>127</v>
      </c>
      <c r="L163" s="46" t="s">
        <v>15</v>
      </c>
      <c r="M163" s="46" t="s">
        <v>13</v>
      </c>
      <c r="N163" s="46" t="s">
        <v>14</v>
      </c>
      <c r="O163" s="49" t="s">
        <v>803</v>
      </c>
      <c r="P163" s="46" t="s">
        <v>507</v>
      </c>
      <c r="Q163" s="35" t="str">
        <f>MID(Tabla1[[#This Row],[Aplicación]],14,1)</f>
        <v>2</v>
      </c>
      <c r="R163" s="35" t="s">
        <v>495</v>
      </c>
      <c r="S163" s="35" t="str">
        <f>MID(Tabla1[[#This Row],[Aplicación]],6,2)</f>
        <v>08</v>
      </c>
      <c r="T163" s="35" t="str">
        <f>VLOOKUP(Tabla1[[#This Row],[AREA]],Hoja1!A:B,2,FALSE)</f>
        <v>08. Movilidad y espacio urbano</v>
      </c>
      <c r="U163" s="35" t="str">
        <f>MID(Tabla1[[#This Row],[Aplicación]],9,4)</f>
        <v>1532</v>
      </c>
      <c r="V163" s="35" t="str">
        <f>VLOOKUP(Tabla1[[#This Row],[PROGRAMA]],Hoja1!A:B,2,FALSE)</f>
        <v>1532. Pavimentación vias públicas y otros servicios urbanísticos</v>
      </c>
      <c r="W163" s="35" t="str">
        <f>MID(Tabla1[[#This Row],[Aplicación]],14,2)</f>
        <v>21</v>
      </c>
      <c r="X163" s="35" t="str">
        <f>MID(Tabla1[[#This Row],[Aplicación]],14,6)</f>
        <v>213</v>
      </c>
    </row>
    <row r="164" spans="1:24" x14ac:dyDescent="0.25">
      <c r="A164" s="45">
        <v>220210002596</v>
      </c>
      <c r="B164" s="46" t="s">
        <v>9</v>
      </c>
      <c r="C164" s="47">
        <v>44236</v>
      </c>
      <c r="D164" s="45">
        <v>22021000645</v>
      </c>
      <c r="E164" s="46" t="s">
        <v>987</v>
      </c>
      <c r="F164" s="48">
        <v>1000</v>
      </c>
      <c r="G164" s="46" t="s">
        <v>68</v>
      </c>
      <c r="H164" s="46" t="s">
        <v>1044</v>
      </c>
      <c r="I164" s="45" t="s">
        <v>125</v>
      </c>
      <c r="J164" s="46" t="s">
        <v>127</v>
      </c>
      <c r="K164" s="46" t="s">
        <v>127</v>
      </c>
      <c r="L164" s="46" t="s">
        <v>15</v>
      </c>
      <c r="M164" s="46" t="s">
        <v>13</v>
      </c>
      <c r="N164" s="46" t="s">
        <v>14</v>
      </c>
      <c r="O164" s="49" t="s">
        <v>803</v>
      </c>
      <c r="P164" s="46" t="s">
        <v>507</v>
      </c>
      <c r="Q164" s="35" t="str">
        <f>MID(Tabla1[[#This Row],[Aplicación]],14,1)</f>
        <v>2</v>
      </c>
      <c r="R164" s="35" t="s">
        <v>495</v>
      </c>
      <c r="S164" s="35" t="str">
        <f>MID(Tabla1[[#This Row],[Aplicación]],6,2)</f>
        <v>04</v>
      </c>
      <c r="T164" s="35" t="str">
        <f>VLOOKUP(Tabla1[[#This Row],[AREA]],Hoja1!A:B,2,FALSE)</f>
        <v>04. Planificación y recursos</v>
      </c>
      <c r="U164" s="35" t="str">
        <f>MID(Tabla1[[#This Row],[Aplicación]],9,4)</f>
        <v>9321</v>
      </c>
      <c r="V164" s="35" t="str">
        <f>VLOOKUP(Tabla1[[#This Row],[PROGRAMA]],Hoja1!A:B,2,FALSE)</f>
        <v>9321. Gestión de ingresos e inspección</v>
      </c>
      <c r="W164" s="35" t="str">
        <f>MID(Tabla1[[#This Row],[Aplicación]],14,2)</f>
        <v>20</v>
      </c>
      <c r="X164" s="35" t="str">
        <f>MID(Tabla1[[#This Row],[Aplicación]],14,6)</f>
        <v>203</v>
      </c>
    </row>
    <row r="165" spans="1:24" x14ac:dyDescent="0.25">
      <c r="A165" s="45">
        <v>220210002597</v>
      </c>
      <c r="B165" s="46" t="s">
        <v>9</v>
      </c>
      <c r="C165" s="47">
        <v>44236</v>
      </c>
      <c r="D165" s="45">
        <v>22021000646</v>
      </c>
      <c r="E165" s="46" t="s">
        <v>987</v>
      </c>
      <c r="F165" s="48">
        <v>4500</v>
      </c>
      <c r="G165" s="46" t="s">
        <v>68</v>
      </c>
      <c r="H165" s="46" t="s">
        <v>1045</v>
      </c>
      <c r="I165" s="45" t="s">
        <v>125</v>
      </c>
      <c r="J165" s="46" t="s">
        <v>127</v>
      </c>
      <c r="K165" s="46" t="s">
        <v>127</v>
      </c>
      <c r="L165" s="46" t="s">
        <v>15</v>
      </c>
      <c r="M165" s="46" t="s">
        <v>13</v>
      </c>
      <c r="N165" s="46" t="s">
        <v>14</v>
      </c>
      <c r="O165" s="49" t="s">
        <v>803</v>
      </c>
      <c r="P165" s="46" t="s">
        <v>507</v>
      </c>
      <c r="Q165" s="35" t="str">
        <f>MID(Tabla1[[#This Row],[Aplicación]],14,1)</f>
        <v>2</v>
      </c>
      <c r="R165" s="35" t="s">
        <v>495</v>
      </c>
      <c r="S165" s="35" t="str">
        <f>MID(Tabla1[[#This Row],[Aplicación]],6,2)</f>
        <v>04</v>
      </c>
      <c r="T165" s="35" t="str">
        <f>VLOOKUP(Tabla1[[#This Row],[AREA]],Hoja1!A:B,2,FALSE)</f>
        <v>04. Planificación y recursos</v>
      </c>
      <c r="U165" s="35" t="str">
        <f>MID(Tabla1[[#This Row],[Aplicación]],9,4)</f>
        <v>9321</v>
      </c>
      <c r="V165" s="35" t="str">
        <f>VLOOKUP(Tabla1[[#This Row],[PROGRAMA]],Hoja1!A:B,2,FALSE)</f>
        <v>9321. Gestión de ingresos e inspección</v>
      </c>
      <c r="W165" s="35" t="str">
        <f>MID(Tabla1[[#This Row],[Aplicación]],14,2)</f>
        <v>20</v>
      </c>
      <c r="X165" s="35" t="str">
        <f>MID(Tabla1[[#This Row],[Aplicación]],14,6)</f>
        <v>203</v>
      </c>
    </row>
    <row r="166" spans="1:24" x14ac:dyDescent="0.25">
      <c r="A166" s="45">
        <v>220210002598</v>
      </c>
      <c r="B166" s="46" t="s">
        <v>204</v>
      </c>
      <c r="C166" s="47">
        <v>44236</v>
      </c>
      <c r="D166" s="45">
        <v>22021002209</v>
      </c>
      <c r="E166" s="46" t="s">
        <v>1029</v>
      </c>
      <c r="F166" s="48">
        <v>1250</v>
      </c>
      <c r="G166" s="46" t="s">
        <v>68</v>
      </c>
      <c r="H166" s="46" t="s">
        <v>1046</v>
      </c>
      <c r="I166" s="45" t="s">
        <v>205</v>
      </c>
      <c r="J166" s="46" t="s">
        <v>127</v>
      </c>
      <c r="K166" s="46" t="s">
        <v>127</v>
      </c>
      <c r="L166" s="46" t="s">
        <v>15</v>
      </c>
      <c r="M166" s="46" t="s">
        <v>13</v>
      </c>
      <c r="N166" s="46" t="s">
        <v>14</v>
      </c>
      <c r="O166" s="49" t="s">
        <v>803</v>
      </c>
      <c r="P166" s="46" t="s">
        <v>507</v>
      </c>
      <c r="Q166" s="35" t="str">
        <f>MID(Tabla1[[#This Row],[Aplicación]],14,1)</f>
        <v>2</v>
      </c>
      <c r="R166" s="35" t="s">
        <v>495</v>
      </c>
      <c r="S166" s="35" t="str">
        <f>MID(Tabla1[[#This Row],[Aplicación]],6,2)</f>
        <v>08</v>
      </c>
      <c r="T166" s="35" t="str">
        <f>VLOOKUP(Tabla1[[#This Row],[AREA]],Hoja1!A:B,2,FALSE)</f>
        <v>08. Movilidad y espacio urbano</v>
      </c>
      <c r="U166" s="35" t="str">
        <f>MID(Tabla1[[#This Row],[Aplicación]],9,4)</f>
        <v>1301</v>
      </c>
      <c r="V166" s="35" t="str">
        <f>VLOOKUP(Tabla1[[#This Row],[PROGRAMA]],Hoja1!A:B,2,FALSE)</f>
        <v>1301. Dirección del área de seguridad</v>
      </c>
      <c r="W166" s="35" t="str">
        <f>MID(Tabla1[[#This Row],[Aplicación]],14,2)</f>
        <v>21</v>
      </c>
      <c r="X166" s="35" t="str">
        <f>MID(Tabla1[[#This Row],[Aplicación]],14,6)</f>
        <v>213</v>
      </c>
    </row>
    <row r="167" spans="1:24" x14ac:dyDescent="0.25">
      <c r="A167" s="45">
        <v>220210002599</v>
      </c>
      <c r="B167" s="46" t="s">
        <v>204</v>
      </c>
      <c r="C167" s="47">
        <v>44236</v>
      </c>
      <c r="D167" s="45">
        <v>22021002210</v>
      </c>
      <c r="E167" s="46" t="s">
        <v>1026</v>
      </c>
      <c r="F167" s="48">
        <v>834</v>
      </c>
      <c r="G167" s="46" t="s">
        <v>68</v>
      </c>
      <c r="H167" s="46" t="s">
        <v>1047</v>
      </c>
      <c r="I167" s="45" t="s">
        <v>205</v>
      </c>
      <c r="J167" s="46" t="s">
        <v>127</v>
      </c>
      <c r="K167" s="46" t="s">
        <v>127</v>
      </c>
      <c r="L167" s="46" t="s">
        <v>15</v>
      </c>
      <c r="M167" s="46" t="s">
        <v>13</v>
      </c>
      <c r="N167" s="46" t="s">
        <v>14</v>
      </c>
      <c r="O167" s="49" t="s">
        <v>803</v>
      </c>
      <c r="P167" s="46" t="s">
        <v>507</v>
      </c>
      <c r="Q167" s="35" t="str">
        <f>MID(Tabla1[[#This Row],[Aplicación]],14,1)</f>
        <v>2</v>
      </c>
      <c r="R167" s="35" t="s">
        <v>495</v>
      </c>
      <c r="S167" s="35" t="str">
        <f>MID(Tabla1[[#This Row],[Aplicación]],6,2)</f>
        <v>08</v>
      </c>
      <c r="T167" s="35" t="str">
        <f>VLOOKUP(Tabla1[[#This Row],[AREA]],Hoja1!A:B,2,FALSE)</f>
        <v>08. Movilidad y espacio urbano</v>
      </c>
      <c r="U167" s="35" t="str">
        <f>MID(Tabla1[[#This Row],[Aplicación]],9,4)</f>
        <v>1301</v>
      </c>
      <c r="V167" s="35" t="str">
        <f>VLOOKUP(Tabla1[[#This Row],[PROGRAMA]],Hoja1!A:B,2,FALSE)</f>
        <v>1301. Dirección del área de seguridad</v>
      </c>
      <c r="W167" s="35" t="str">
        <f>MID(Tabla1[[#This Row],[Aplicación]],14,2)</f>
        <v>20</v>
      </c>
      <c r="X167" s="35" t="str">
        <f>MID(Tabla1[[#This Row],[Aplicación]],14,6)</f>
        <v>203</v>
      </c>
    </row>
    <row r="168" spans="1:24" x14ac:dyDescent="0.25">
      <c r="A168" s="45">
        <v>220210002676</v>
      </c>
      <c r="B168" s="46" t="s">
        <v>9</v>
      </c>
      <c r="C168" s="47">
        <v>44237</v>
      </c>
      <c r="D168" s="45">
        <v>22021000012</v>
      </c>
      <c r="E168" s="46" t="s">
        <v>959</v>
      </c>
      <c r="F168" s="48">
        <v>260</v>
      </c>
      <c r="G168" s="46" t="s">
        <v>68</v>
      </c>
      <c r="H168" s="46" t="s">
        <v>1048</v>
      </c>
      <c r="I168" s="45" t="s">
        <v>125</v>
      </c>
      <c r="J168" s="46" t="s">
        <v>127</v>
      </c>
      <c r="K168" s="46" t="s">
        <v>127</v>
      </c>
      <c r="L168" s="46" t="s">
        <v>15</v>
      </c>
      <c r="M168" s="46" t="s">
        <v>13</v>
      </c>
      <c r="N168" s="46" t="s">
        <v>14</v>
      </c>
      <c r="O168" s="49" t="s">
        <v>803</v>
      </c>
      <c r="P168" s="46" t="s">
        <v>507</v>
      </c>
      <c r="Q168" s="35" t="str">
        <f>MID(Tabla1[[#This Row],[Aplicación]],14,1)</f>
        <v>2</v>
      </c>
      <c r="R168" s="35" t="s">
        <v>495</v>
      </c>
      <c r="S168" s="35" t="str">
        <f>MID(Tabla1[[#This Row],[Aplicación]],6,2)</f>
        <v>01</v>
      </c>
      <c r="T168" s="35" t="str">
        <f>VLOOKUP(Tabla1[[#This Row],[AREA]],Hoja1!A:B,2,FALSE)</f>
        <v>01. Alcaldía</v>
      </c>
      <c r="U168" s="35" t="str">
        <f>MID(Tabla1[[#This Row],[Aplicación]],9,4)</f>
        <v>9312</v>
      </c>
      <c r="V168" s="35" t="str">
        <f>VLOOKUP(Tabla1[[#This Row],[PROGRAMA]],Hoja1!A:B,2,FALSE)</f>
        <v>9312. Intervención general</v>
      </c>
      <c r="W168" s="35" t="str">
        <f>MID(Tabla1[[#This Row],[Aplicación]],14,2)</f>
        <v>21</v>
      </c>
      <c r="X168" s="35" t="str">
        <f>MID(Tabla1[[#This Row],[Aplicación]],14,6)</f>
        <v>213</v>
      </c>
    </row>
    <row r="169" spans="1:24" x14ac:dyDescent="0.25">
      <c r="A169" s="45">
        <v>220210002677</v>
      </c>
      <c r="B169" s="46" t="s">
        <v>9</v>
      </c>
      <c r="C169" s="47">
        <v>44237</v>
      </c>
      <c r="D169" s="45">
        <v>22021000013</v>
      </c>
      <c r="E169" s="46" t="s">
        <v>956</v>
      </c>
      <c r="F169" s="48">
        <v>750</v>
      </c>
      <c r="G169" s="46" t="s">
        <v>68</v>
      </c>
      <c r="H169" s="46" t="s">
        <v>1049</v>
      </c>
      <c r="I169" s="45" t="s">
        <v>125</v>
      </c>
      <c r="J169" s="46" t="s">
        <v>127</v>
      </c>
      <c r="K169" s="46" t="s">
        <v>127</v>
      </c>
      <c r="L169" s="46" t="s">
        <v>15</v>
      </c>
      <c r="M169" s="46" t="s">
        <v>13</v>
      </c>
      <c r="N169" s="46" t="s">
        <v>14</v>
      </c>
      <c r="O169" s="49" t="s">
        <v>803</v>
      </c>
      <c r="P169" s="46" t="s">
        <v>507</v>
      </c>
      <c r="Q169" s="35" t="str">
        <f>MID(Tabla1[[#This Row],[Aplicación]],14,1)</f>
        <v>2</v>
      </c>
      <c r="R169" s="35" t="s">
        <v>495</v>
      </c>
      <c r="S169" s="35" t="str">
        <f>MID(Tabla1[[#This Row],[Aplicación]],6,2)</f>
        <v>01</v>
      </c>
      <c r="T169" s="35" t="str">
        <f>VLOOKUP(Tabla1[[#This Row],[AREA]],Hoja1!A:B,2,FALSE)</f>
        <v>01. Alcaldía</v>
      </c>
      <c r="U169" s="35" t="str">
        <f>MID(Tabla1[[#This Row],[Aplicación]],9,4)</f>
        <v>9312</v>
      </c>
      <c r="V169" s="35" t="str">
        <f>VLOOKUP(Tabla1[[#This Row],[PROGRAMA]],Hoja1!A:B,2,FALSE)</f>
        <v>9312. Intervención general</v>
      </c>
      <c r="W169" s="35" t="str">
        <f>MID(Tabla1[[#This Row],[Aplicación]],14,2)</f>
        <v>20</v>
      </c>
      <c r="X169" s="35" t="str">
        <f>MID(Tabla1[[#This Row],[Aplicación]],14,6)</f>
        <v>203</v>
      </c>
    </row>
    <row r="170" spans="1:24" x14ac:dyDescent="0.25">
      <c r="A170" s="45">
        <v>220210002678</v>
      </c>
      <c r="B170" s="46" t="s">
        <v>9</v>
      </c>
      <c r="C170" s="47">
        <v>44237</v>
      </c>
      <c r="D170" s="45">
        <v>22021000014</v>
      </c>
      <c r="E170" s="46" t="s">
        <v>956</v>
      </c>
      <c r="F170" s="48">
        <v>750</v>
      </c>
      <c r="G170" s="46" t="s">
        <v>68</v>
      </c>
      <c r="H170" s="46" t="s">
        <v>1050</v>
      </c>
      <c r="I170" s="45" t="s">
        <v>125</v>
      </c>
      <c r="J170" s="46" t="s">
        <v>127</v>
      </c>
      <c r="K170" s="46" t="s">
        <v>127</v>
      </c>
      <c r="L170" s="46" t="s">
        <v>15</v>
      </c>
      <c r="M170" s="46" t="s">
        <v>13</v>
      </c>
      <c r="N170" s="46" t="s">
        <v>14</v>
      </c>
      <c r="O170" s="49" t="s">
        <v>803</v>
      </c>
      <c r="P170" s="46" t="s">
        <v>507</v>
      </c>
      <c r="Q170" s="35" t="str">
        <f>MID(Tabla1[[#This Row],[Aplicación]],14,1)</f>
        <v>2</v>
      </c>
      <c r="R170" s="35" t="s">
        <v>495</v>
      </c>
      <c r="S170" s="35" t="str">
        <f>MID(Tabla1[[#This Row],[Aplicación]],6,2)</f>
        <v>01</v>
      </c>
      <c r="T170" s="35" t="str">
        <f>VLOOKUP(Tabla1[[#This Row],[AREA]],Hoja1!A:B,2,FALSE)</f>
        <v>01. Alcaldía</v>
      </c>
      <c r="U170" s="35" t="str">
        <f>MID(Tabla1[[#This Row],[Aplicación]],9,4)</f>
        <v>9312</v>
      </c>
      <c r="V170" s="35" t="str">
        <f>VLOOKUP(Tabla1[[#This Row],[PROGRAMA]],Hoja1!A:B,2,FALSE)</f>
        <v>9312. Intervención general</v>
      </c>
      <c r="W170" s="35" t="str">
        <f>MID(Tabla1[[#This Row],[Aplicación]],14,2)</f>
        <v>20</v>
      </c>
      <c r="X170" s="35" t="str">
        <f>MID(Tabla1[[#This Row],[Aplicación]],14,6)</f>
        <v>203</v>
      </c>
    </row>
    <row r="171" spans="1:24" x14ac:dyDescent="0.25">
      <c r="A171" s="45">
        <v>220210002679</v>
      </c>
      <c r="B171" s="46" t="s">
        <v>9</v>
      </c>
      <c r="C171" s="47">
        <v>44237</v>
      </c>
      <c r="D171" s="45">
        <v>22021000015</v>
      </c>
      <c r="E171" s="46" t="s">
        <v>959</v>
      </c>
      <c r="F171" s="48">
        <v>600</v>
      </c>
      <c r="G171" s="46" t="s">
        <v>68</v>
      </c>
      <c r="H171" s="46" t="s">
        <v>1051</v>
      </c>
      <c r="I171" s="45" t="s">
        <v>125</v>
      </c>
      <c r="J171" s="46" t="s">
        <v>127</v>
      </c>
      <c r="K171" s="46" t="s">
        <v>127</v>
      </c>
      <c r="L171" s="46" t="s">
        <v>15</v>
      </c>
      <c r="M171" s="46" t="s">
        <v>13</v>
      </c>
      <c r="N171" s="46" t="s">
        <v>14</v>
      </c>
      <c r="O171" s="49" t="s">
        <v>803</v>
      </c>
      <c r="P171" s="46" t="s">
        <v>507</v>
      </c>
      <c r="Q171" s="35" t="str">
        <f>MID(Tabla1[[#This Row],[Aplicación]],14,1)</f>
        <v>2</v>
      </c>
      <c r="R171" s="35" t="s">
        <v>495</v>
      </c>
      <c r="S171" s="35" t="str">
        <f>MID(Tabla1[[#This Row],[Aplicación]],6,2)</f>
        <v>01</v>
      </c>
      <c r="T171" s="35" t="str">
        <f>VLOOKUP(Tabla1[[#This Row],[AREA]],Hoja1!A:B,2,FALSE)</f>
        <v>01. Alcaldía</v>
      </c>
      <c r="U171" s="35" t="str">
        <f>MID(Tabla1[[#This Row],[Aplicación]],9,4)</f>
        <v>9312</v>
      </c>
      <c r="V171" s="35" t="str">
        <f>VLOOKUP(Tabla1[[#This Row],[PROGRAMA]],Hoja1!A:B,2,FALSE)</f>
        <v>9312. Intervención general</v>
      </c>
      <c r="W171" s="35" t="str">
        <f>MID(Tabla1[[#This Row],[Aplicación]],14,2)</f>
        <v>21</v>
      </c>
      <c r="X171" s="35" t="str">
        <f>MID(Tabla1[[#This Row],[Aplicación]],14,6)</f>
        <v>213</v>
      </c>
    </row>
    <row r="172" spans="1:24" x14ac:dyDescent="0.25">
      <c r="A172" s="45">
        <v>220210002680</v>
      </c>
      <c r="B172" s="46" t="s">
        <v>9</v>
      </c>
      <c r="C172" s="47">
        <v>44237</v>
      </c>
      <c r="D172" s="45">
        <v>22021000024</v>
      </c>
      <c r="E172" s="46" t="s">
        <v>972</v>
      </c>
      <c r="F172" s="48">
        <v>1375</v>
      </c>
      <c r="G172" s="46" t="s">
        <v>68</v>
      </c>
      <c r="H172" s="46" t="s">
        <v>1052</v>
      </c>
      <c r="I172" s="45" t="s">
        <v>125</v>
      </c>
      <c r="J172" s="46" t="s">
        <v>127</v>
      </c>
      <c r="K172" s="46" t="s">
        <v>127</v>
      </c>
      <c r="L172" s="46" t="s">
        <v>15</v>
      </c>
      <c r="M172" s="46" t="s">
        <v>13</v>
      </c>
      <c r="N172" s="46" t="s">
        <v>14</v>
      </c>
      <c r="O172" s="49" t="s">
        <v>803</v>
      </c>
      <c r="P172" s="46" t="s">
        <v>507</v>
      </c>
      <c r="Q172" s="35" t="str">
        <f>MID(Tabla1[[#This Row],[Aplicación]],14,1)</f>
        <v>2</v>
      </c>
      <c r="R172" s="35" t="s">
        <v>495</v>
      </c>
      <c r="S172" s="35" t="str">
        <f>MID(Tabla1[[#This Row],[Aplicación]],6,2)</f>
        <v>01</v>
      </c>
      <c r="T172" s="35" t="str">
        <f>VLOOKUP(Tabla1[[#This Row],[AREA]],Hoja1!A:B,2,FALSE)</f>
        <v>01. Alcaldía</v>
      </c>
      <c r="U172" s="35" t="str">
        <f>MID(Tabla1[[#This Row],[Aplicación]],9,4)</f>
        <v>9206</v>
      </c>
      <c r="V172" s="35" t="str">
        <f>VLOOKUP(Tabla1[[#This Row],[PROGRAMA]],Hoja1!A:B,2,FALSE)</f>
        <v>9206. Archivo municipal</v>
      </c>
      <c r="W172" s="35" t="str">
        <f>MID(Tabla1[[#This Row],[Aplicación]],14,2)</f>
        <v>20</v>
      </c>
      <c r="X172" s="35" t="str">
        <f>MID(Tabla1[[#This Row],[Aplicación]],14,6)</f>
        <v>203</v>
      </c>
    </row>
    <row r="173" spans="1:24" x14ac:dyDescent="0.25">
      <c r="A173" s="45">
        <v>220210002681</v>
      </c>
      <c r="B173" s="46" t="s">
        <v>9</v>
      </c>
      <c r="C173" s="47">
        <v>44237</v>
      </c>
      <c r="D173" s="45">
        <v>22021000025</v>
      </c>
      <c r="E173" s="46" t="s">
        <v>974</v>
      </c>
      <c r="F173" s="48">
        <v>415</v>
      </c>
      <c r="G173" s="46" t="s">
        <v>68</v>
      </c>
      <c r="H173" s="46" t="s">
        <v>1053</v>
      </c>
      <c r="I173" s="45" t="s">
        <v>125</v>
      </c>
      <c r="J173" s="46" t="s">
        <v>127</v>
      </c>
      <c r="K173" s="46" t="s">
        <v>127</v>
      </c>
      <c r="L173" s="46" t="s">
        <v>15</v>
      </c>
      <c r="M173" s="46" t="s">
        <v>13</v>
      </c>
      <c r="N173" s="46" t="s">
        <v>14</v>
      </c>
      <c r="O173" s="49" t="s">
        <v>803</v>
      </c>
      <c r="P173" s="46" t="s">
        <v>507</v>
      </c>
      <c r="Q173" s="35" t="str">
        <f>MID(Tabla1[[#This Row],[Aplicación]],14,1)</f>
        <v>2</v>
      </c>
      <c r="R173" s="35" t="s">
        <v>495</v>
      </c>
      <c r="S173" s="35" t="str">
        <f>MID(Tabla1[[#This Row],[Aplicación]],6,2)</f>
        <v>01</v>
      </c>
      <c r="T173" s="35" t="str">
        <f>VLOOKUP(Tabla1[[#This Row],[AREA]],Hoja1!A:B,2,FALSE)</f>
        <v>01. Alcaldía</v>
      </c>
      <c r="U173" s="35" t="str">
        <f>MID(Tabla1[[#This Row],[Aplicación]],9,4)</f>
        <v>9206</v>
      </c>
      <c r="V173" s="35" t="str">
        <f>VLOOKUP(Tabla1[[#This Row],[PROGRAMA]],Hoja1!A:B,2,FALSE)</f>
        <v>9206. Archivo municipal</v>
      </c>
      <c r="W173" s="35" t="str">
        <f>MID(Tabla1[[#This Row],[Aplicación]],14,2)</f>
        <v>21</v>
      </c>
      <c r="X173" s="35" t="str">
        <f>MID(Tabla1[[#This Row],[Aplicación]],14,6)</f>
        <v>213</v>
      </c>
    </row>
    <row r="174" spans="1:24" x14ac:dyDescent="0.25">
      <c r="A174" s="45">
        <v>220210002682</v>
      </c>
      <c r="B174" s="46" t="s">
        <v>9</v>
      </c>
      <c r="C174" s="47">
        <v>44237</v>
      </c>
      <c r="D174" s="45">
        <v>22021000026</v>
      </c>
      <c r="E174" s="46" t="s">
        <v>878</v>
      </c>
      <c r="F174" s="48">
        <v>5500</v>
      </c>
      <c r="G174" s="46" t="s">
        <v>68</v>
      </c>
      <c r="H174" s="46" t="s">
        <v>1054</v>
      </c>
      <c r="I174" s="45" t="s">
        <v>125</v>
      </c>
      <c r="J174" s="46" t="s">
        <v>127</v>
      </c>
      <c r="K174" s="46" t="s">
        <v>127</v>
      </c>
      <c r="L174" s="46" t="s">
        <v>15</v>
      </c>
      <c r="M174" s="46" t="s">
        <v>13</v>
      </c>
      <c r="N174" s="46" t="s">
        <v>14</v>
      </c>
      <c r="O174" s="49" t="s">
        <v>803</v>
      </c>
      <c r="P174" s="46" t="s">
        <v>507</v>
      </c>
      <c r="Q174" s="35" t="str">
        <f>MID(Tabla1[[#This Row],[Aplicación]],14,1)</f>
        <v>2</v>
      </c>
      <c r="R174" s="35" t="s">
        <v>495</v>
      </c>
      <c r="S174" s="35" t="str">
        <f>MID(Tabla1[[#This Row],[Aplicación]],6,2)</f>
        <v>05</v>
      </c>
      <c r="T174" s="35" t="str">
        <f>VLOOKUP(Tabla1[[#This Row],[AREA]],Hoja1!A:B,2,FALSE)</f>
        <v>05. Innovación, desarrollo económico, empleo y comercio</v>
      </c>
      <c r="U174" s="35" t="str">
        <f>MID(Tabla1[[#This Row],[Aplicación]],9,4)</f>
        <v>4331</v>
      </c>
      <c r="V174" s="35" t="str">
        <f>VLOOKUP(Tabla1[[#This Row],[PROGRAMA]],Hoja1!A:B,2,FALSE)</f>
        <v>4331. Desarrollo empresarial</v>
      </c>
      <c r="W174" s="35" t="str">
        <f>MID(Tabla1[[#This Row],[Aplicación]],14,2)</f>
        <v>20</v>
      </c>
      <c r="X174" s="35" t="str">
        <f>MID(Tabla1[[#This Row],[Aplicación]],14,6)</f>
        <v>203</v>
      </c>
    </row>
    <row r="175" spans="1:24" x14ac:dyDescent="0.25">
      <c r="A175" s="45">
        <v>220210002683</v>
      </c>
      <c r="B175" s="46" t="s">
        <v>9</v>
      </c>
      <c r="C175" s="47">
        <v>44237</v>
      </c>
      <c r="D175" s="45">
        <v>22021000028</v>
      </c>
      <c r="E175" s="46" t="s">
        <v>937</v>
      </c>
      <c r="F175" s="48">
        <v>4000</v>
      </c>
      <c r="G175" s="46" t="s">
        <v>68</v>
      </c>
      <c r="H175" s="46" t="s">
        <v>1055</v>
      </c>
      <c r="I175" s="45" t="s">
        <v>125</v>
      </c>
      <c r="J175" s="46" t="s">
        <v>127</v>
      </c>
      <c r="K175" s="46" t="s">
        <v>127</v>
      </c>
      <c r="L175" s="46" t="s">
        <v>15</v>
      </c>
      <c r="M175" s="46" t="s">
        <v>13</v>
      </c>
      <c r="N175" s="46" t="s">
        <v>14</v>
      </c>
      <c r="O175" s="49" t="s">
        <v>803</v>
      </c>
      <c r="P175" s="46" t="s">
        <v>507</v>
      </c>
      <c r="Q175" s="35" t="str">
        <f>MID(Tabla1[[#This Row],[Aplicación]],14,1)</f>
        <v>2</v>
      </c>
      <c r="R175" s="35" t="s">
        <v>495</v>
      </c>
      <c r="S175" s="35" t="str">
        <f>MID(Tabla1[[#This Row],[Aplicación]],6,2)</f>
        <v>04</v>
      </c>
      <c r="T175" s="35" t="str">
        <f>VLOOKUP(Tabla1[[#This Row],[AREA]],Hoja1!A:B,2,FALSE)</f>
        <v>04. Planificación y recursos</v>
      </c>
      <c r="U175" s="35" t="str">
        <f>MID(Tabla1[[#This Row],[Aplicación]],9,4)</f>
        <v>9231</v>
      </c>
      <c r="V175" s="35" t="str">
        <f>VLOOKUP(Tabla1[[#This Row],[PROGRAMA]],Hoja1!A:B,2,FALSE)</f>
        <v>9231. Información, registro y gestión del padrón</v>
      </c>
      <c r="W175" s="35" t="str">
        <f>MID(Tabla1[[#This Row],[Aplicación]],14,2)</f>
        <v>21</v>
      </c>
      <c r="X175" s="35" t="str">
        <f>MID(Tabla1[[#This Row],[Aplicación]],14,6)</f>
        <v>213</v>
      </c>
    </row>
    <row r="176" spans="1:24" x14ac:dyDescent="0.25">
      <c r="A176" s="45">
        <v>220210002684</v>
      </c>
      <c r="B176" s="46" t="s">
        <v>9</v>
      </c>
      <c r="C176" s="47">
        <v>44237</v>
      </c>
      <c r="D176" s="45">
        <v>22021000031</v>
      </c>
      <c r="E176" s="46" t="s">
        <v>939</v>
      </c>
      <c r="F176" s="48">
        <v>9000</v>
      </c>
      <c r="G176" s="46" t="s">
        <v>68</v>
      </c>
      <c r="H176" s="46" t="s">
        <v>1056</v>
      </c>
      <c r="I176" s="45" t="s">
        <v>125</v>
      </c>
      <c r="J176" s="46" t="s">
        <v>127</v>
      </c>
      <c r="K176" s="46" t="s">
        <v>127</v>
      </c>
      <c r="L176" s="46" t="s">
        <v>15</v>
      </c>
      <c r="M176" s="46" t="s">
        <v>13</v>
      </c>
      <c r="N176" s="46" t="s">
        <v>14</v>
      </c>
      <c r="O176" s="49" t="s">
        <v>803</v>
      </c>
      <c r="P176" s="46" t="s">
        <v>507</v>
      </c>
      <c r="Q176" s="35" t="str">
        <f>MID(Tabla1[[#This Row],[Aplicación]],14,1)</f>
        <v>2</v>
      </c>
      <c r="R176" s="35" t="s">
        <v>495</v>
      </c>
      <c r="S176" s="35" t="str">
        <f>MID(Tabla1[[#This Row],[Aplicación]],6,2)</f>
        <v>02</v>
      </c>
      <c r="T176" s="35" t="str">
        <f>VLOOKUP(Tabla1[[#This Row],[AREA]],Hoja1!A:B,2,FALSE)</f>
        <v>02. Planeamiento urbanístico y vivienda</v>
      </c>
      <c r="U176" s="35" t="str">
        <f>MID(Tabla1[[#This Row],[Aplicación]],9,4)</f>
        <v>1501</v>
      </c>
      <c r="V176" s="35" t="str">
        <f>VLOOKUP(Tabla1[[#This Row],[PROGRAMA]],Hoja1!A:B,2,FALSE)</f>
        <v>1501. Dirección del área de urbanismo</v>
      </c>
      <c r="W176" s="35" t="str">
        <f>MID(Tabla1[[#This Row],[Aplicación]],14,2)</f>
        <v>20</v>
      </c>
      <c r="X176" s="35" t="str">
        <f>MID(Tabla1[[#This Row],[Aplicación]],14,6)</f>
        <v>203</v>
      </c>
    </row>
    <row r="177" spans="1:24" x14ac:dyDescent="0.25">
      <c r="A177" s="45">
        <v>220210002685</v>
      </c>
      <c r="B177" s="46" t="s">
        <v>9</v>
      </c>
      <c r="C177" s="47">
        <v>44237</v>
      </c>
      <c r="D177" s="45">
        <v>22021000129</v>
      </c>
      <c r="E177" s="46" t="s">
        <v>966</v>
      </c>
      <c r="F177" s="48">
        <v>2000</v>
      </c>
      <c r="G177" s="46" t="s">
        <v>68</v>
      </c>
      <c r="H177" s="46" t="s">
        <v>1057</v>
      </c>
      <c r="I177" s="45" t="s">
        <v>125</v>
      </c>
      <c r="J177" s="46" t="s">
        <v>127</v>
      </c>
      <c r="K177" s="46" t="s">
        <v>127</v>
      </c>
      <c r="L177" s="46" t="s">
        <v>15</v>
      </c>
      <c r="M177" s="46" t="s">
        <v>13</v>
      </c>
      <c r="N177" s="46" t="s">
        <v>14</v>
      </c>
      <c r="O177" s="49" t="s">
        <v>803</v>
      </c>
      <c r="P177" s="46" t="s">
        <v>507</v>
      </c>
      <c r="Q177" s="35" t="str">
        <f>MID(Tabla1[[#This Row],[Aplicación]],14,1)</f>
        <v>2</v>
      </c>
      <c r="R177" s="35" t="s">
        <v>495</v>
      </c>
      <c r="S177" s="35" t="str">
        <f>MID(Tabla1[[#This Row],[Aplicación]],6,2)</f>
        <v>05</v>
      </c>
      <c r="T177" s="35" t="str">
        <f>VLOOKUP(Tabla1[[#This Row],[AREA]],Hoja1!A:B,2,FALSE)</f>
        <v>05. Innovación, desarrollo económico, empleo y comercio</v>
      </c>
      <c r="U177" s="35" t="str">
        <f>MID(Tabla1[[#This Row],[Aplicación]],9,4)</f>
        <v>4301</v>
      </c>
      <c r="V177" s="35" t="str">
        <f>VLOOKUP(Tabla1[[#This Row],[PROGRAMA]],Hoja1!A:B,2,FALSE)</f>
        <v>4301. Dirección del área de innovación</v>
      </c>
      <c r="W177" s="35" t="str">
        <f>MID(Tabla1[[#This Row],[Aplicación]],14,2)</f>
        <v>20</v>
      </c>
      <c r="X177" s="35" t="str">
        <f>MID(Tabla1[[#This Row],[Aplicación]],14,6)</f>
        <v>203</v>
      </c>
    </row>
    <row r="178" spans="1:24" x14ac:dyDescent="0.25">
      <c r="A178" s="45">
        <v>220210002686</v>
      </c>
      <c r="B178" s="46" t="s">
        <v>9</v>
      </c>
      <c r="C178" s="47">
        <v>44237</v>
      </c>
      <c r="D178" s="45">
        <v>22021000138</v>
      </c>
      <c r="E178" s="46" t="s">
        <v>948</v>
      </c>
      <c r="F178" s="48">
        <v>1400</v>
      </c>
      <c r="G178" s="46" t="s">
        <v>68</v>
      </c>
      <c r="H178" s="46" t="s">
        <v>1058</v>
      </c>
      <c r="I178" s="45" t="s">
        <v>125</v>
      </c>
      <c r="J178" s="46" t="s">
        <v>127</v>
      </c>
      <c r="K178" s="46" t="s">
        <v>127</v>
      </c>
      <c r="L178" s="46" t="s">
        <v>15</v>
      </c>
      <c r="M178" s="46" t="s">
        <v>13</v>
      </c>
      <c r="N178" s="46" t="s">
        <v>14</v>
      </c>
      <c r="O178" s="49" t="s">
        <v>803</v>
      </c>
      <c r="P178" s="46" t="s">
        <v>507</v>
      </c>
      <c r="Q178" s="35" t="str">
        <f>MID(Tabla1[[#This Row],[Aplicación]],14,1)</f>
        <v>2</v>
      </c>
      <c r="R178" s="35" t="s">
        <v>495</v>
      </c>
      <c r="S178" s="35" t="str">
        <f>MID(Tabla1[[#This Row],[Aplicación]],6,2)</f>
        <v>04</v>
      </c>
      <c r="T178" s="35" t="str">
        <f>VLOOKUP(Tabla1[[#This Row],[AREA]],Hoja1!A:B,2,FALSE)</f>
        <v>04. Planificación y recursos</v>
      </c>
      <c r="U178" s="35" t="str">
        <f>MID(Tabla1[[#This Row],[Aplicación]],9,4)</f>
        <v>9331</v>
      </c>
      <c r="V178" s="35" t="str">
        <f>VLOOKUP(Tabla1[[#This Row],[PROGRAMA]],Hoja1!A:B,2,FALSE)</f>
        <v>9331. Gestión del patrimonio</v>
      </c>
      <c r="W178" s="35" t="str">
        <f>MID(Tabla1[[#This Row],[Aplicación]],14,2)</f>
        <v>20</v>
      </c>
      <c r="X178" s="35" t="str">
        <f>MID(Tabla1[[#This Row],[Aplicación]],14,6)</f>
        <v>203</v>
      </c>
    </row>
    <row r="179" spans="1:24" x14ac:dyDescent="0.25">
      <c r="A179" s="45">
        <v>220210002687</v>
      </c>
      <c r="B179" s="46" t="s">
        <v>9</v>
      </c>
      <c r="C179" s="47">
        <v>44237</v>
      </c>
      <c r="D179" s="45">
        <v>22021000140</v>
      </c>
      <c r="E179" s="46" t="s">
        <v>952</v>
      </c>
      <c r="F179" s="48">
        <v>6800</v>
      </c>
      <c r="G179" s="46" t="s">
        <v>68</v>
      </c>
      <c r="H179" s="46" t="s">
        <v>1059</v>
      </c>
      <c r="I179" s="45" t="s">
        <v>125</v>
      </c>
      <c r="J179" s="46" t="s">
        <v>127</v>
      </c>
      <c r="K179" s="46" t="s">
        <v>127</v>
      </c>
      <c r="L179" s="46" t="s">
        <v>15</v>
      </c>
      <c r="M179" s="46" t="s">
        <v>13</v>
      </c>
      <c r="N179" s="46" t="s">
        <v>14</v>
      </c>
      <c r="O179" s="49" t="s">
        <v>803</v>
      </c>
      <c r="P179" s="46" t="s">
        <v>507</v>
      </c>
      <c r="Q179" s="35" t="str">
        <f>MID(Tabla1[[#This Row],[Aplicación]],14,1)</f>
        <v>2</v>
      </c>
      <c r="R179" s="35" t="s">
        <v>495</v>
      </c>
      <c r="S179" s="35" t="str">
        <f>MID(Tabla1[[#This Row],[Aplicación]],6,2)</f>
        <v>04</v>
      </c>
      <c r="T179" s="35" t="str">
        <f>VLOOKUP(Tabla1[[#This Row],[AREA]],Hoja1!A:B,2,FALSE)</f>
        <v>04. Planificación y recursos</v>
      </c>
      <c r="U179" s="35" t="str">
        <f>MID(Tabla1[[#This Row],[Aplicación]],9,4)</f>
        <v>9331</v>
      </c>
      <c r="V179" s="35" t="str">
        <f>VLOOKUP(Tabla1[[#This Row],[PROGRAMA]],Hoja1!A:B,2,FALSE)</f>
        <v>9331. Gestión del patrimonio</v>
      </c>
      <c r="W179" s="35" t="str">
        <f>MID(Tabla1[[#This Row],[Aplicación]],14,2)</f>
        <v>21</v>
      </c>
      <c r="X179" s="35" t="str">
        <f>MID(Tabla1[[#This Row],[Aplicación]],14,6)</f>
        <v>213</v>
      </c>
    </row>
    <row r="180" spans="1:24" x14ac:dyDescent="0.25">
      <c r="A180" s="45">
        <v>220210002688</v>
      </c>
      <c r="B180" s="46" t="s">
        <v>9</v>
      </c>
      <c r="C180" s="47">
        <v>44237</v>
      </c>
      <c r="D180" s="45">
        <v>22021000534</v>
      </c>
      <c r="E180" s="46" t="s">
        <v>969</v>
      </c>
      <c r="F180" s="48">
        <v>2845.4</v>
      </c>
      <c r="G180" s="46" t="s">
        <v>68</v>
      </c>
      <c r="H180" s="46" t="s">
        <v>1060</v>
      </c>
      <c r="I180" s="45" t="s">
        <v>125</v>
      </c>
      <c r="J180" s="46" t="s">
        <v>127</v>
      </c>
      <c r="K180" s="46" t="s">
        <v>127</v>
      </c>
      <c r="L180" s="46" t="s">
        <v>15</v>
      </c>
      <c r="M180" s="46" t="s">
        <v>13</v>
      </c>
      <c r="N180" s="46" t="s">
        <v>14</v>
      </c>
      <c r="O180" s="49" t="s">
        <v>803</v>
      </c>
      <c r="P180" s="46" t="s">
        <v>507</v>
      </c>
      <c r="Q180" s="35" t="str">
        <f>MID(Tabla1[[#This Row],[Aplicación]],14,1)</f>
        <v>2</v>
      </c>
      <c r="R180" s="35" t="s">
        <v>495</v>
      </c>
      <c r="S180" s="35" t="str">
        <f>MID(Tabla1[[#This Row],[Aplicación]],6,2)</f>
        <v>06</v>
      </c>
      <c r="T180" s="35" t="str">
        <f>VLOOKUP(Tabla1[[#This Row],[AREA]],Hoja1!A:B,2,FALSE)</f>
        <v>06. Educación, infancia, juventud e igualdad</v>
      </c>
      <c r="U180" s="35" t="str">
        <f>MID(Tabla1[[#This Row],[Aplicación]],9,4)</f>
        <v>2315</v>
      </c>
      <c r="V180" s="35" t="str">
        <f>VLOOKUP(Tabla1[[#This Row],[PROGRAMA]],Hoja1!A:B,2,FALSE)</f>
        <v>2315. Políticas de Igualdad e infancia</v>
      </c>
      <c r="W180" s="35" t="str">
        <f>MID(Tabla1[[#This Row],[Aplicación]],14,2)</f>
        <v>21</v>
      </c>
      <c r="X180" s="35" t="str">
        <f>MID(Tabla1[[#This Row],[Aplicación]],14,6)</f>
        <v>213</v>
      </c>
    </row>
    <row r="181" spans="1:24" x14ac:dyDescent="0.25">
      <c r="A181" s="45">
        <v>220210002693</v>
      </c>
      <c r="B181" s="46" t="s">
        <v>9</v>
      </c>
      <c r="C181" s="47">
        <v>44237</v>
      </c>
      <c r="D181" s="45">
        <v>22021001255</v>
      </c>
      <c r="E181" s="46" t="s">
        <v>1061</v>
      </c>
      <c r="F181" s="48">
        <v>2443</v>
      </c>
      <c r="G181" s="46" t="s">
        <v>68</v>
      </c>
      <c r="H181" s="46" t="s">
        <v>1062</v>
      </c>
      <c r="I181" s="45" t="s">
        <v>125</v>
      </c>
      <c r="J181" s="46" t="s">
        <v>127</v>
      </c>
      <c r="K181" s="46" t="s">
        <v>127</v>
      </c>
      <c r="L181" s="46" t="s">
        <v>15</v>
      </c>
      <c r="M181" s="46" t="s">
        <v>13</v>
      </c>
      <c r="N181" s="46" t="s">
        <v>14</v>
      </c>
      <c r="O181" s="49" t="s">
        <v>803</v>
      </c>
      <c r="P181" s="46" t="s">
        <v>507</v>
      </c>
      <c r="Q181" s="35" t="str">
        <f>MID(Tabla1[[#This Row],[Aplicación]],14,1)</f>
        <v>2</v>
      </c>
      <c r="R181" s="35" t="s">
        <v>495</v>
      </c>
      <c r="S181" s="35" t="str">
        <f>MID(Tabla1[[#This Row],[Aplicación]],6,2)</f>
        <v>01</v>
      </c>
      <c r="T181" s="35" t="str">
        <f>VLOOKUP(Tabla1[[#This Row],[AREA]],Hoja1!A:B,2,FALSE)</f>
        <v>01. Alcaldía</v>
      </c>
      <c r="U181" s="35" t="str">
        <f>MID(Tabla1[[#This Row],[Aplicación]],9,4)</f>
        <v>9201</v>
      </c>
      <c r="V181" s="35" t="str">
        <f>VLOOKUP(Tabla1[[#This Row],[PROGRAMA]],Hoja1!A:B,2,FALSE)</f>
        <v>9201. Secretaría General</v>
      </c>
      <c r="W181" s="35" t="str">
        <f>MID(Tabla1[[#This Row],[Aplicación]],14,2)</f>
        <v>20</v>
      </c>
      <c r="X181" s="35" t="str">
        <f>MID(Tabla1[[#This Row],[Aplicación]],14,6)</f>
        <v>203</v>
      </c>
    </row>
    <row r="182" spans="1:24" x14ac:dyDescent="0.25">
      <c r="A182" s="45">
        <v>220210002694</v>
      </c>
      <c r="B182" s="46" t="s">
        <v>9</v>
      </c>
      <c r="C182" s="47">
        <v>44237</v>
      </c>
      <c r="D182" s="45">
        <v>22021001264</v>
      </c>
      <c r="E182" s="46" t="s">
        <v>917</v>
      </c>
      <c r="F182" s="48">
        <v>300</v>
      </c>
      <c r="G182" s="46" t="s">
        <v>68</v>
      </c>
      <c r="H182" s="46" t="s">
        <v>1063</v>
      </c>
      <c r="I182" s="45" t="s">
        <v>125</v>
      </c>
      <c r="J182" s="46" t="s">
        <v>127</v>
      </c>
      <c r="K182" s="46" t="s">
        <v>127</v>
      </c>
      <c r="L182" s="46" t="s">
        <v>15</v>
      </c>
      <c r="M182" s="46" t="s">
        <v>13</v>
      </c>
      <c r="N182" s="46" t="s">
        <v>14</v>
      </c>
      <c r="O182" s="49" t="s">
        <v>803</v>
      </c>
      <c r="P182" s="46" t="s">
        <v>507</v>
      </c>
      <c r="Q182" s="35" t="str">
        <f>MID(Tabla1[[#This Row],[Aplicación]],14,1)</f>
        <v>2</v>
      </c>
      <c r="R182" s="35" t="s">
        <v>495</v>
      </c>
      <c r="S182" s="35" t="str">
        <f>MID(Tabla1[[#This Row],[Aplicación]],6,2)</f>
        <v>01</v>
      </c>
      <c r="T182" s="35" t="str">
        <f>VLOOKUP(Tabla1[[#This Row],[AREA]],Hoja1!A:B,2,FALSE)</f>
        <v>01. Alcaldía</v>
      </c>
      <c r="U182" s="35" t="str">
        <f>MID(Tabla1[[#This Row],[Aplicación]],9,4)</f>
        <v>9201</v>
      </c>
      <c r="V182" s="35" t="str">
        <f>VLOOKUP(Tabla1[[#This Row],[PROGRAMA]],Hoja1!A:B,2,FALSE)</f>
        <v>9201. Secretaría General</v>
      </c>
      <c r="W182" s="35" t="str">
        <f>MID(Tabla1[[#This Row],[Aplicación]],14,2)</f>
        <v>21</v>
      </c>
      <c r="X182" s="35" t="str">
        <f>MID(Tabla1[[#This Row],[Aplicación]],14,6)</f>
        <v>213</v>
      </c>
    </row>
    <row r="183" spans="1:24" x14ac:dyDescent="0.25">
      <c r="A183" s="45">
        <v>220210002695</v>
      </c>
      <c r="B183" s="46" t="s">
        <v>9</v>
      </c>
      <c r="C183" s="47">
        <v>44237</v>
      </c>
      <c r="D183" s="45">
        <v>22021001266</v>
      </c>
      <c r="E183" s="46" t="s">
        <v>917</v>
      </c>
      <c r="F183" s="48">
        <v>2400</v>
      </c>
      <c r="G183" s="46" t="s">
        <v>68</v>
      </c>
      <c r="H183" s="46" t="s">
        <v>1064</v>
      </c>
      <c r="I183" s="45" t="s">
        <v>125</v>
      </c>
      <c r="J183" s="46" t="s">
        <v>127</v>
      </c>
      <c r="K183" s="46" t="s">
        <v>127</v>
      </c>
      <c r="L183" s="46" t="s">
        <v>15</v>
      </c>
      <c r="M183" s="46" t="s">
        <v>13</v>
      </c>
      <c r="N183" s="46" t="s">
        <v>14</v>
      </c>
      <c r="O183" s="49" t="s">
        <v>803</v>
      </c>
      <c r="P183" s="46" t="s">
        <v>507</v>
      </c>
      <c r="Q183" s="35" t="str">
        <f>MID(Tabla1[[#This Row],[Aplicación]],14,1)</f>
        <v>2</v>
      </c>
      <c r="R183" s="35" t="s">
        <v>495</v>
      </c>
      <c r="S183" s="35" t="str">
        <f>MID(Tabla1[[#This Row],[Aplicación]],6,2)</f>
        <v>01</v>
      </c>
      <c r="T183" s="35" t="str">
        <f>VLOOKUP(Tabla1[[#This Row],[AREA]],Hoja1!A:B,2,FALSE)</f>
        <v>01. Alcaldía</v>
      </c>
      <c r="U183" s="35" t="str">
        <f>MID(Tabla1[[#This Row],[Aplicación]],9,4)</f>
        <v>9201</v>
      </c>
      <c r="V183" s="35" t="str">
        <f>VLOOKUP(Tabla1[[#This Row],[PROGRAMA]],Hoja1!A:B,2,FALSE)</f>
        <v>9201. Secretaría General</v>
      </c>
      <c r="W183" s="35" t="str">
        <f>MID(Tabla1[[#This Row],[Aplicación]],14,2)</f>
        <v>21</v>
      </c>
      <c r="X183" s="35" t="str">
        <f>MID(Tabla1[[#This Row],[Aplicación]],14,6)</f>
        <v>213</v>
      </c>
    </row>
    <row r="184" spans="1:24" x14ac:dyDescent="0.25">
      <c r="A184" s="45">
        <v>220210002824</v>
      </c>
      <c r="B184" s="46" t="s">
        <v>9</v>
      </c>
      <c r="C184" s="47">
        <v>44237</v>
      </c>
      <c r="D184" s="45">
        <v>22021000027</v>
      </c>
      <c r="E184" s="46" t="s">
        <v>924</v>
      </c>
      <c r="F184" s="48">
        <v>931.6</v>
      </c>
      <c r="G184" s="46" t="s">
        <v>68</v>
      </c>
      <c r="H184" s="46" t="s">
        <v>1065</v>
      </c>
      <c r="I184" s="45" t="s">
        <v>125</v>
      </c>
      <c r="J184" s="46" t="s">
        <v>127</v>
      </c>
      <c r="K184" s="46" t="s">
        <v>127</v>
      </c>
      <c r="L184" s="46" t="s">
        <v>15</v>
      </c>
      <c r="M184" s="46" t="s">
        <v>13</v>
      </c>
      <c r="N184" s="46" t="s">
        <v>14</v>
      </c>
      <c r="O184" s="49" t="s">
        <v>803</v>
      </c>
      <c r="P184" s="46" t="s">
        <v>507</v>
      </c>
      <c r="Q184" s="35" t="str">
        <f>MID(Tabla1[[#This Row],[Aplicación]],14,1)</f>
        <v>2</v>
      </c>
      <c r="R184" s="35" t="s">
        <v>495</v>
      </c>
      <c r="S184" s="35" t="str">
        <f>MID(Tabla1[[#This Row],[Aplicación]],6,2)</f>
        <v>04</v>
      </c>
      <c r="T184" s="35" t="str">
        <f>VLOOKUP(Tabla1[[#This Row],[AREA]],Hoja1!A:B,2,FALSE)</f>
        <v>04. Planificación y recursos</v>
      </c>
      <c r="U184" s="35" t="str">
        <f>MID(Tabla1[[#This Row],[Aplicación]],9,4)</f>
        <v>3121</v>
      </c>
      <c r="V184" s="35" t="str">
        <f>VLOOKUP(Tabla1[[#This Row],[PROGRAMA]],Hoja1!A:B,2,FALSE)</f>
        <v>3121. Prevención y salud laboral</v>
      </c>
      <c r="W184" s="35" t="str">
        <f>MID(Tabla1[[#This Row],[Aplicación]],14,2)</f>
        <v>21</v>
      </c>
      <c r="X184" s="35" t="str">
        <f>MID(Tabla1[[#This Row],[Aplicación]],14,6)</f>
        <v>213</v>
      </c>
    </row>
    <row r="185" spans="1:24" x14ac:dyDescent="0.25">
      <c r="A185" s="45">
        <v>220210002825</v>
      </c>
      <c r="B185" s="46" t="s">
        <v>9</v>
      </c>
      <c r="C185" s="47">
        <v>44237</v>
      </c>
      <c r="D185" s="45">
        <v>22021000136</v>
      </c>
      <c r="E185" s="46" t="s">
        <v>982</v>
      </c>
      <c r="F185" s="48">
        <v>7950</v>
      </c>
      <c r="G185" s="46" t="s">
        <v>68</v>
      </c>
      <c r="H185" s="46" t="s">
        <v>1066</v>
      </c>
      <c r="I185" s="45" t="s">
        <v>125</v>
      </c>
      <c r="J185" s="46" t="s">
        <v>127</v>
      </c>
      <c r="K185" s="46" t="s">
        <v>127</v>
      </c>
      <c r="L185" s="46" t="s">
        <v>15</v>
      </c>
      <c r="M185" s="46" t="s">
        <v>13</v>
      </c>
      <c r="N185" s="46" t="s">
        <v>14</v>
      </c>
      <c r="O185" s="49" t="s">
        <v>803</v>
      </c>
      <c r="P185" s="46" t="s">
        <v>507</v>
      </c>
      <c r="Q185" s="35" t="str">
        <f>MID(Tabla1[[#This Row],[Aplicación]],14,1)</f>
        <v>2</v>
      </c>
      <c r="R185" s="35" t="s">
        <v>495</v>
      </c>
      <c r="S185" s="35" t="str">
        <f>MID(Tabla1[[#This Row],[Aplicación]],6,2)</f>
        <v>10</v>
      </c>
      <c r="T185" s="35" t="str">
        <f>VLOOKUP(Tabla1[[#This Row],[AREA]],Hoja1!A:B,2,FALSE)</f>
        <v>10. Servicios sociales y mediación comunitaria</v>
      </c>
      <c r="U185" s="35" t="str">
        <f>MID(Tabla1[[#This Row],[Aplicación]],9,4)</f>
        <v>2312</v>
      </c>
      <c r="V185" s="35" t="str">
        <f>VLOOKUP(Tabla1[[#This Row],[PROGRAMA]],Hoja1!A:B,2,FALSE)</f>
        <v>2312. Iniciativas sociales</v>
      </c>
      <c r="W185" s="35" t="str">
        <f>MID(Tabla1[[#This Row],[Aplicación]],14,2)</f>
        <v>21</v>
      </c>
      <c r="X185" s="35" t="str">
        <f>MID(Tabla1[[#This Row],[Aplicación]],14,6)</f>
        <v>213</v>
      </c>
    </row>
    <row r="186" spans="1:24" x14ac:dyDescent="0.25">
      <c r="A186" s="45">
        <v>220210002826</v>
      </c>
      <c r="B186" s="46" t="s">
        <v>9</v>
      </c>
      <c r="C186" s="47">
        <v>44237</v>
      </c>
      <c r="D186" s="45">
        <v>22021000139</v>
      </c>
      <c r="E186" s="46" t="s">
        <v>982</v>
      </c>
      <c r="F186" s="48">
        <v>4850</v>
      </c>
      <c r="G186" s="46" t="s">
        <v>68</v>
      </c>
      <c r="H186" s="46" t="s">
        <v>1067</v>
      </c>
      <c r="I186" s="45" t="s">
        <v>125</v>
      </c>
      <c r="J186" s="46" t="s">
        <v>127</v>
      </c>
      <c r="K186" s="46" t="s">
        <v>127</v>
      </c>
      <c r="L186" s="46" t="s">
        <v>15</v>
      </c>
      <c r="M186" s="46" t="s">
        <v>13</v>
      </c>
      <c r="N186" s="46" t="s">
        <v>14</v>
      </c>
      <c r="O186" s="49" t="s">
        <v>803</v>
      </c>
      <c r="P186" s="46" t="s">
        <v>507</v>
      </c>
      <c r="Q186" s="35" t="str">
        <f>MID(Tabla1[[#This Row],[Aplicación]],14,1)</f>
        <v>2</v>
      </c>
      <c r="R186" s="35" t="s">
        <v>495</v>
      </c>
      <c r="S186" s="35" t="str">
        <f>MID(Tabla1[[#This Row],[Aplicación]],6,2)</f>
        <v>10</v>
      </c>
      <c r="T186" s="35" t="str">
        <f>VLOOKUP(Tabla1[[#This Row],[AREA]],Hoja1!A:B,2,FALSE)</f>
        <v>10. Servicios sociales y mediación comunitaria</v>
      </c>
      <c r="U186" s="35" t="str">
        <f>MID(Tabla1[[#This Row],[Aplicación]],9,4)</f>
        <v>2312</v>
      </c>
      <c r="V186" s="35" t="str">
        <f>VLOOKUP(Tabla1[[#This Row],[PROGRAMA]],Hoja1!A:B,2,FALSE)</f>
        <v>2312. Iniciativas sociales</v>
      </c>
      <c r="W186" s="35" t="str">
        <f>MID(Tabla1[[#This Row],[Aplicación]],14,2)</f>
        <v>21</v>
      </c>
      <c r="X186" s="35" t="str">
        <f>MID(Tabla1[[#This Row],[Aplicación]],14,6)</f>
        <v>213</v>
      </c>
    </row>
    <row r="187" spans="1:24" x14ac:dyDescent="0.25">
      <c r="A187" s="45">
        <v>220210002827</v>
      </c>
      <c r="B187" s="46" t="s">
        <v>9</v>
      </c>
      <c r="C187" s="47">
        <v>44237</v>
      </c>
      <c r="D187" s="45">
        <v>22021000334</v>
      </c>
      <c r="E187" s="46" t="s">
        <v>962</v>
      </c>
      <c r="F187" s="48">
        <v>3989.12</v>
      </c>
      <c r="G187" s="46" t="s">
        <v>68</v>
      </c>
      <c r="H187" s="46" t="s">
        <v>1068</v>
      </c>
      <c r="I187" s="45" t="s">
        <v>125</v>
      </c>
      <c r="J187" s="46" t="s">
        <v>127</v>
      </c>
      <c r="K187" s="46" t="s">
        <v>127</v>
      </c>
      <c r="L187" s="46" t="s">
        <v>15</v>
      </c>
      <c r="M187" s="46" t="s">
        <v>13</v>
      </c>
      <c r="N187" s="46" t="s">
        <v>14</v>
      </c>
      <c r="O187" s="49" t="s">
        <v>803</v>
      </c>
      <c r="P187" s="46" t="s">
        <v>507</v>
      </c>
      <c r="Q187" s="35" t="str">
        <f>MID(Tabla1[[#This Row],[Aplicación]],14,1)</f>
        <v>2</v>
      </c>
      <c r="R187" s="35" t="s">
        <v>495</v>
      </c>
      <c r="S187" s="35" t="str">
        <f>MID(Tabla1[[#This Row],[Aplicación]],6,2)</f>
        <v>09</v>
      </c>
      <c r="T187" s="35" t="str">
        <f>VLOOKUP(Tabla1[[#This Row],[AREA]],Hoja1!A:B,2,FALSE)</f>
        <v>09. Cultura y turismo</v>
      </c>
      <c r="U187" s="35" t="str">
        <f>MID(Tabla1[[#This Row],[Aplicación]],9,4)</f>
        <v>3301</v>
      </c>
      <c r="V187" s="35" t="str">
        <f>VLOOKUP(Tabla1[[#This Row],[PROGRAMA]],Hoja1!A:B,2,FALSE)</f>
        <v>3301. Dirección del área de cultura</v>
      </c>
      <c r="W187" s="35" t="str">
        <f>MID(Tabla1[[#This Row],[Aplicación]],14,2)</f>
        <v>21</v>
      </c>
      <c r="X187" s="35" t="str">
        <f>MID(Tabla1[[#This Row],[Aplicación]],14,6)</f>
        <v>213</v>
      </c>
    </row>
    <row r="188" spans="1:24" x14ac:dyDescent="0.25">
      <c r="A188" s="45">
        <v>220210002828</v>
      </c>
      <c r="B188" s="46" t="s">
        <v>9</v>
      </c>
      <c r="C188" s="47">
        <v>44237</v>
      </c>
      <c r="D188" s="45">
        <v>22021000539</v>
      </c>
      <c r="E188" s="46" t="s">
        <v>936</v>
      </c>
      <c r="F188" s="48">
        <v>2600</v>
      </c>
      <c r="G188" s="46" t="s">
        <v>68</v>
      </c>
      <c r="H188" s="46" t="s">
        <v>1069</v>
      </c>
      <c r="I188" s="45" t="s">
        <v>125</v>
      </c>
      <c r="J188" s="46" t="s">
        <v>127</v>
      </c>
      <c r="K188" s="46" t="s">
        <v>127</v>
      </c>
      <c r="L188" s="46" t="s">
        <v>15</v>
      </c>
      <c r="M188" s="46" t="s">
        <v>13</v>
      </c>
      <c r="N188" s="46" t="s">
        <v>14</v>
      </c>
      <c r="O188" s="49" t="s">
        <v>803</v>
      </c>
      <c r="P188" s="46" t="s">
        <v>507</v>
      </c>
      <c r="Q188" s="35" t="str">
        <f>MID(Tabla1[[#This Row],[Aplicación]],14,1)</f>
        <v>2</v>
      </c>
      <c r="R188" s="35" t="s">
        <v>495</v>
      </c>
      <c r="S188" s="35" t="str">
        <f>MID(Tabla1[[#This Row],[Aplicación]],6,2)</f>
        <v>10</v>
      </c>
      <c r="T188" s="35" t="str">
        <f>VLOOKUP(Tabla1[[#This Row],[AREA]],Hoja1!A:B,2,FALSE)</f>
        <v>10. Servicios sociales y mediación comunitaria</v>
      </c>
      <c r="U188" s="35" t="str">
        <f>MID(Tabla1[[#This Row],[Aplicación]],9,4)</f>
        <v>2313</v>
      </c>
      <c r="V188" s="35" t="str">
        <f>VLOOKUP(Tabla1[[#This Row],[PROGRAMA]],Hoja1!A:B,2,FALSE)</f>
        <v>2313. Dirección del área de servicios sociales</v>
      </c>
      <c r="W188" s="35" t="str">
        <f>MID(Tabla1[[#This Row],[Aplicación]],14,2)</f>
        <v>21</v>
      </c>
      <c r="X188" s="35" t="str">
        <f>MID(Tabla1[[#This Row],[Aplicación]],14,6)</f>
        <v>213</v>
      </c>
    </row>
    <row r="189" spans="1:24" x14ac:dyDescent="0.25">
      <c r="A189" s="45">
        <v>220210002829</v>
      </c>
      <c r="B189" s="46" t="s">
        <v>9</v>
      </c>
      <c r="C189" s="47">
        <v>44237</v>
      </c>
      <c r="D189" s="45">
        <v>22021000555</v>
      </c>
      <c r="E189" s="46" t="s">
        <v>985</v>
      </c>
      <c r="F189" s="48">
        <v>800</v>
      </c>
      <c r="G189" s="46" t="s">
        <v>68</v>
      </c>
      <c r="H189" s="46" t="s">
        <v>1070</v>
      </c>
      <c r="I189" s="45" t="s">
        <v>125</v>
      </c>
      <c r="J189" s="46" t="s">
        <v>127</v>
      </c>
      <c r="K189" s="46" t="s">
        <v>127</v>
      </c>
      <c r="L189" s="46" t="s">
        <v>15</v>
      </c>
      <c r="M189" s="46" t="s">
        <v>13</v>
      </c>
      <c r="N189" s="46" t="s">
        <v>14</v>
      </c>
      <c r="O189" s="49" t="s">
        <v>803</v>
      </c>
      <c r="P189" s="46" t="s">
        <v>507</v>
      </c>
      <c r="Q189" s="35" t="str">
        <f>MID(Tabla1[[#This Row],[Aplicación]],14,1)</f>
        <v>2</v>
      </c>
      <c r="R189" s="35" t="s">
        <v>495</v>
      </c>
      <c r="S189" s="35" t="str">
        <f>MID(Tabla1[[#This Row],[Aplicación]],6,2)</f>
        <v>10</v>
      </c>
      <c r="T189" s="35" t="str">
        <f>VLOOKUP(Tabla1[[#This Row],[AREA]],Hoja1!A:B,2,FALSE)</f>
        <v>10. Servicios sociales y mediación comunitaria</v>
      </c>
      <c r="U189" s="35" t="str">
        <f>MID(Tabla1[[#This Row],[Aplicación]],9,4)</f>
        <v>2316</v>
      </c>
      <c r="V189" s="35" t="str">
        <f>VLOOKUP(Tabla1[[#This Row],[PROGRAMA]],Hoja1!A:B,2,FALSE)</f>
        <v>2316. Mediación comunitaria</v>
      </c>
      <c r="W189" s="35" t="str">
        <f>MID(Tabla1[[#This Row],[Aplicación]],14,2)</f>
        <v>21</v>
      </c>
      <c r="X189" s="35" t="str">
        <f>MID(Tabla1[[#This Row],[Aplicación]],14,6)</f>
        <v>213</v>
      </c>
    </row>
    <row r="190" spans="1:24" x14ac:dyDescent="0.25">
      <c r="A190" s="45">
        <v>220210002830</v>
      </c>
      <c r="B190" s="46" t="s">
        <v>9</v>
      </c>
      <c r="C190" s="47">
        <v>44237</v>
      </c>
      <c r="D190" s="45">
        <v>22021001698</v>
      </c>
      <c r="E190" s="46" t="s">
        <v>942</v>
      </c>
      <c r="F190" s="48">
        <v>1810</v>
      </c>
      <c r="G190" s="46" t="s">
        <v>68</v>
      </c>
      <c r="H190" s="46" t="s">
        <v>1071</v>
      </c>
      <c r="I190" s="45" t="s">
        <v>125</v>
      </c>
      <c r="J190" s="46" t="s">
        <v>127</v>
      </c>
      <c r="K190" s="46" t="s">
        <v>127</v>
      </c>
      <c r="L190" s="46" t="s">
        <v>15</v>
      </c>
      <c r="M190" s="46" t="s">
        <v>13</v>
      </c>
      <c r="N190" s="46" t="s">
        <v>14</v>
      </c>
      <c r="O190" s="49" t="s">
        <v>803</v>
      </c>
      <c r="P190" s="46" t="s">
        <v>507</v>
      </c>
      <c r="Q190" s="35" t="str">
        <f>MID(Tabla1[[#This Row],[Aplicación]],14,1)</f>
        <v>2</v>
      </c>
      <c r="R190" s="35" t="s">
        <v>495</v>
      </c>
      <c r="S190" s="35" t="str">
        <f>MID(Tabla1[[#This Row],[Aplicación]],6,2)</f>
        <v>05</v>
      </c>
      <c r="T190" s="35" t="str">
        <f>VLOOKUP(Tabla1[[#This Row],[AREA]],Hoja1!A:B,2,FALSE)</f>
        <v>05. Innovación, desarrollo económico, empleo y comercio</v>
      </c>
      <c r="U190" s="35" t="str">
        <f>MID(Tabla1[[#This Row],[Aplicación]],9,4)</f>
        <v>4315</v>
      </c>
      <c r="V190" s="35" t="str">
        <f>VLOOKUP(Tabla1[[#This Row],[PROGRAMA]],Hoja1!A:B,2,FALSE)</f>
        <v>4315. Actuaciones en materia de consumo</v>
      </c>
      <c r="W190" s="35" t="str">
        <f>MID(Tabla1[[#This Row],[Aplicación]],14,2)</f>
        <v>20</v>
      </c>
      <c r="X190" s="35" t="str">
        <f>MID(Tabla1[[#This Row],[Aplicación]],14,6)</f>
        <v>203</v>
      </c>
    </row>
    <row r="191" spans="1:24" x14ac:dyDescent="0.25">
      <c r="A191" s="45">
        <v>220210003177</v>
      </c>
      <c r="B191" s="46" t="s">
        <v>32</v>
      </c>
      <c r="C191" s="47">
        <v>44239</v>
      </c>
      <c r="D191" s="45">
        <v>22021002386</v>
      </c>
      <c r="E191" s="46" t="s">
        <v>982</v>
      </c>
      <c r="F191" s="48">
        <v>84.36</v>
      </c>
      <c r="G191" s="46" t="s">
        <v>68</v>
      </c>
      <c r="H191" s="46" t="s">
        <v>1072</v>
      </c>
      <c r="I191" s="45" t="s">
        <v>234</v>
      </c>
      <c r="J191" s="46" t="s">
        <v>127</v>
      </c>
      <c r="K191" s="46" t="s">
        <v>127</v>
      </c>
      <c r="L191" s="46" t="s">
        <v>15</v>
      </c>
      <c r="M191" s="46" t="s">
        <v>13</v>
      </c>
      <c r="N191" s="46" t="s">
        <v>14</v>
      </c>
      <c r="O191" s="49" t="s">
        <v>803</v>
      </c>
      <c r="P191" s="46" t="s">
        <v>507</v>
      </c>
      <c r="Q191" s="35" t="str">
        <f>MID(Tabla1[[#This Row],[Aplicación]],14,1)</f>
        <v>2</v>
      </c>
      <c r="R191" s="35" t="s">
        <v>495</v>
      </c>
      <c r="S191" s="35" t="str">
        <f>MID(Tabla1[[#This Row],[Aplicación]],6,2)</f>
        <v>10</v>
      </c>
      <c r="T191" s="35" t="str">
        <f>VLOOKUP(Tabla1[[#This Row],[AREA]],Hoja1!A:B,2,FALSE)</f>
        <v>10. Servicios sociales y mediación comunitaria</v>
      </c>
      <c r="U191" s="35" t="str">
        <f>MID(Tabla1[[#This Row],[Aplicación]],9,4)</f>
        <v>2312</v>
      </c>
      <c r="V191" s="35" t="str">
        <f>VLOOKUP(Tabla1[[#This Row],[PROGRAMA]],Hoja1!A:B,2,FALSE)</f>
        <v>2312. Iniciativas sociales</v>
      </c>
      <c r="W191" s="35" t="str">
        <f>MID(Tabla1[[#This Row],[Aplicación]],14,2)</f>
        <v>21</v>
      </c>
      <c r="X191" s="35" t="str">
        <f>MID(Tabla1[[#This Row],[Aplicación]],14,6)</f>
        <v>213</v>
      </c>
    </row>
    <row r="192" spans="1:24" x14ac:dyDescent="0.25">
      <c r="A192" s="45">
        <v>220210003178</v>
      </c>
      <c r="B192" s="46" t="s">
        <v>32</v>
      </c>
      <c r="C192" s="47">
        <v>44239</v>
      </c>
      <c r="D192" s="45">
        <v>22021002387</v>
      </c>
      <c r="E192" s="46" t="s">
        <v>982</v>
      </c>
      <c r="F192" s="48">
        <v>84.36</v>
      </c>
      <c r="G192" s="46" t="s">
        <v>68</v>
      </c>
      <c r="H192" s="46" t="s">
        <v>1073</v>
      </c>
      <c r="I192" s="45" t="s">
        <v>234</v>
      </c>
      <c r="J192" s="46" t="s">
        <v>127</v>
      </c>
      <c r="K192" s="46" t="s">
        <v>127</v>
      </c>
      <c r="L192" s="46" t="s">
        <v>15</v>
      </c>
      <c r="M192" s="46" t="s">
        <v>13</v>
      </c>
      <c r="N192" s="46" t="s">
        <v>14</v>
      </c>
      <c r="O192" s="49" t="s">
        <v>803</v>
      </c>
      <c r="P192" s="46" t="s">
        <v>507</v>
      </c>
      <c r="Q192" s="35" t="str">
        <f>MID(Tabla1[[#This Row],[Aplicación]],14,1)</f>
        <v>2</v>
      </c>
      <c r="R192" s="35" t="s">
        <v>495</v>
      </c>
      <c r="S192" s="35" t="str">
        <f>MID(Tabla1[[#This Row],[Aplicación]],6,2)</f>
        <v>10</v>
      </c>
      <c r="T192" s="35" t="str">
        <f>VLOOKUP(Tabla1[[#This Row],[AREA]],Hoja1!A:B,2,FALSE)</f>
        <v>10. Servicios sociales y mediación comunitaria</v>
      </c>
      <c r="U192" s="35" t="str">
        <f>MID(Tabla1[[#This Row],[Aplicación]],9,4)</f>
        <v>2312</v>
      </c>
      <c r="V192" s="35" t="str">
        <f>VLOOKUP(Tabla1[[#This Row],[PROGRAMA]],Hoja1!A:B,2,FALSE)</f>
        <v>2312. Iniciativas sociales</v>
      </c>
      <c r="W192" s="35" t="str">
        <f>MID(Tabla1[[#This Row],[Aplicación]],14,2)</f>
        <v>21</v>
      </c>
      <c r="X192" s="35" t="str">
        <f>MID(Tabla1[[#This Row],[Aplicación]],14,6)</f>
        <v>213</v>
      </c>
    </row>
    <row r="193" spans="1:24" x14ac:dyDescent="0.25">
      <c r="A193" s="45">
        <v>220210003179</v>
      </c>
      <c r="B193" s="46" t="s">
        <v>32</v>
      </c>
      <c r="C193" s="47">
        <v>44239</v>
      </c>
      <c r="D193" s="45">
        <v>22021002388</v>
      </c>
      <c r="E193" s="46" t="s">
        <v>982</v>
      </c>
      <c r="F193" s="48">
        <v>161.72</v>
      </c>
      <c r="G193" s="46" t="s">
        <v>68</v>
      </c>
      <c r="H193" s="46" t="s">
        <v>1074</v>
      </c>
      <c r="I193" s="45" t="s">
        <v>234</v>
      </c>
      <c r="J193" s="46" t="s">
        <v>127</v>
      </c>
      <c r="K193" s="46" t="s">
        <v>127</v>
      </c>
      <c r="L193" s="46" t="s">
        <v>15</v>
      </c>
      <c r="M193" s="46" t="s">
        <v>13</v>
      </c>
      <c r="N193" s="46" t="s">
        <v>14</v>
      </c>
      <c r="O193" s="49" t="s">
        <v>803</v>
      </c>
      <c r="P193" s="46" t="s">
        <v>507</v>
      </c>
      <c r="Q193" s="35" t="str">
        <f>MID(Tabla1[[#This Row],[Aplicación]],14,1)</f>
        <v>2</v>
      </c>
      <c r="R193" s="35" t="s">
        <v>495</v>
      </c>
      <c r="S193" s="35" t="str">
        <f>MID(Tabla1[[#This Row],[Aplicación]],6,2)</f>
        <v>10</v>
      </c>
      <c r="T193" s="35" t="str">
        <f>VLOOKUP(Tabla1[[#This Row],[AREA]],Hoja1!A:B,2,FALSE)</f>
        <v>10. Servicios sociales y mediación comunitaria</v>
      </c>
      <c r="U193" s="35" t="str">
        <f>MID(Tabla1[[#This Row],[Aplicación]],9,4)</f>
        <v>2312</v>
      </c>
      <c r="V193" s="35" t="str">
        <f>VLOOKUP(Tabla1[[#This Row],[PROGRAMA]],Hoja1!A:B,2,FALSE)</f>
        <v>2312. Iniciativas sociales</v>
      </c>
      <c r="W193" s="35" t="str">
        <f>MID(Tabla1[[#This Row],[Aplicación]],14,2)</f>
        <v>21</v>
      </c>
      <c r="X193" s="35" t="str">
        <f>MID(Tabla1[[#This Row],[Aplicación]],14,6)</f>
        <v>213</v>
      </c>
    </row>
    <row r="194" spans="1:24" x14ac:dyDescent="0.25">
      <c r="A194" s="45">
        <v>220210003183</v>
      </c>
      <c r="B194" s="46" t="s">
        <v>32</v>
      </c>
      <c r="C194" s="47">
        <v>44239</v>
      </c>
      <c r="D194" s="45">
        <v>22021002398</v>
      </c>
      <c r="E194" s="46" t="s">
        <v>982</v>
      </c>
      <c r="F194" s="48">
        <v>197.84</v>
      </c>
      <c r="G194" s="46" t="s">
        <v>68</v>
      </c>
      <c r="H194" s="46" t="s">
        <v>1075</v>
      </c>
      <c r="I194" s="45" t="s">
        <v>234</v>
      </c>
      <c r="J194" s="46" t="s">
        <v>127</v>
      </c>
      <c r="K194" s="46" t="s">
        <v>127</v>
      </c>
      <c r="L194" s="46" t="s">
        <v>15</v>
      </c>
      <c r="M194" s="46" t="s">
        <v>13</v>
      </c>
      <c r="N194" s="46" t="s">
        <v>14</v>
      </c>
      <c r="O194" s="49" t="s">
        <v>803</v>
      </c>
      <c r="P194" s="46" t="s">
        <v>507</v>
      </c>
      <c r="Q194" s="35" t="str">
        <f>MID(Tabla1[[#This Row],[Aplicación]],14,1)</f>
        <v>2</v>
      </c>
      <c r="R194" s="35" t="s">
        <v>495</v>
      </c>
      <c r="S194" s="35" t="str">
        <f>MID(Tabla1[[#This Row],[Aplicación]],6,2)</f>
        <v>10</v>
      </c>
      <c r="T194" s="35" t="str">
        <f>VLOOKUP(Tabla1[[#This Row],[AREA]],Hoja1!A:B,2,FALSE)</f>
        <v>10. Servicios sociales y mediación comunitaria</v>
      </c>
      <c r="U194" s="35" t="str">
        <f>MID(Tabla1[[#This Row],[Aplicación]],9,4)</f>
        <v>2312</v>
      </c>
      <c r="V194" s="35" t="str">
        <f>VLOOKUP(Tabla1[[#This Row],[PROGRAMA]],Hoja1!A:B,2,FALSE)</f>
        <v>2312. Iniciativas sociales</v>
      </c>
      <c r="W194" s="35" t="str">
        <f>MID(Tabla1[[#This Row],[Aplicación]],14,2)</f>
        <v>21</v>
      </c>
      <c r="X194" s="35" t="str">
        <f>MID(Tabla1[[#This Row],[Aplicación]],14,6)</f>
        <v>213</v>
      </c>
    </row>
    <row r="195" spans="1:24" x14ac:dyDescent="0.25">
      <c r="A195" s="45">
        <v>220210003184</v>
      </c>
      <c r="B195" s="46" t="s">
        <v>32</v>
      </c>
      <c r="C195" s="47">
        <v>44239</v>
      </c>
      <c r="D195" s="45">
        <v>22021002399</v>
      </c>
      <c r="E195" s="46" t="s">
        <v>982</v>
      </c>
      <c r="F195" s="48">
        <v>161.72</v>
      </c>
      <c r="G195" s="46" t="s">
        <v>68</v>
      </c>
      <c r="H195" s="46" t="s">
        <v>1076</v>
      </c>
      <c r="I195" s="45" t="s">
        <v>234</v>
      </c>
      <c r="J195" s="46" t="s">
        <v>127</v>
      </c>
      <c r="K195" s="46" t="s">
        <v>127</v>
      </c>
      <c r="L195" s="46" t="s">
        <v>15</v>
      </c>
      <c r="M195" s="46" t="s">
        <v>13</v>
      </c>
      <c r="N195" s="46" t="s">
        <v>14</v>
      </c>
      <c r="O195" s="49" t="s">
        <v>803</v>
      </c>
      <c r="P195" s="46" t="s">
        <v>507</v>
      </c>
      <c r="Q195" s="35" t="str">
        <f>MID(Tabla1[[#This Row],[Aplicación]],14,1)</f>
        <v>2</v>
      </c>
      <c r="R195" s="35" t="s">
        <v>495</v>
      </c>
      <c r="S195" s="35" t="str">
        <f>MID(Tabla1[[#This Row],[Aplicación]],6,2)</f>
        <v>10</v>
      </c>
      <c r="T195" s="35" t="str">
        <f>VLOOKUP(Tabla1[[#This Row],[AREA]],Hoja1!A:B,2,FALSE)</f>
        <v>10. Servicios sociales y mediación comunitaria</v>
      </c>
      <c r="U195" s="35" t="str">
        <f>MID(Tabla1[[#This Row],[Aplicación]],9,4)</f>
        <v>2312</v>
      </c>
      <c r="V195" s="35" t="str">
        <f>VLOOKUP(Tabla1[[#This Row],[PROGRAMA]],Hoja1!A:B,2,FALSE)</f>
        <v>2312. Iniciativas sociales</v>
      </c>
      <c r="W195" s="35" t="str">
        <f>MID(Tabla1[[#This Row],[Aplicación]],14,2)</f>
        <v>21</v>
      </c>
      <c r="X195" s="35" t="str">
        <f>MID(Tabla1[[#This Row],[Aplicación]],14,6)</f>
        <v>213</v>
      </c>
    </row>
    <row r="196" spans="1:24" x14ac:dyDescent="0.25">
      <c r="A196" s="45">
        <v>220210003185</v>
      </c>
      <c r="B196" s="46" t="s">
        <v>32</v>
      </c>
      <c r="C196" s="47">
        <v>44239</v>
      </c>
      <c r="D196" s="45">
        <v>22021002400</v>
      </c>
      <c r="E196" s="46" t="s">
        <v>982</v>
      </c>
      <c r="F196" s="48">
        <v>47.88</v>
      </c>
      <c r="G196" s="46" t="s">
        <v>68</v>
      </c>
      <c r="H196" s="46" t="s">
        <v>1077</v>
      </c>
      <c r="I196" s="45" t="s">
        <v>234</v>
      </c>
      <c r="J196" s="46" t="s">
        <v>127</v>
      </c>
      <c r="K196" s="46" t="s">
        <v>127</v>
      </c>
      <c r="L196" s="46" t="s">
        <v>15</v>
      </c>
      <c r="M196" s="46" t="s">
        <v>13</v>
      </c>
      <c r="N196" s="46" t="s">
        <v>14</v>
      </c>
      <c r="O196" s="49" t="s">
        <v>803</v>
      </c>
      <c r="P196" s="46" t="s">
        <v>507</v>
      </c>
      <c r="Q196" s="35" t="str">
        <f>MID(Tabla1[[#This Row],[Aplicación]],14,1)</f>
        <v>2</v>
      </c>
      <c r="R196" s="35" t="s">
        <v>495</v>
      </c>
      <c r="S196" s="35" t="str">
        <f>MID(Tabla1[[#This Row],[Aplicación]],6,2)</f>
        <v>10</v>
      </c>
      <c r="T196" s="35" t="str">
        <f>VLOOKUP(Tabla1[[#This Row],[AREA]],Hoja1!A:B,2,FALSE)</f>
        <v>10. Servicios sociales y mediación comunitaria</v>
      </c>
      <c r="U196" s="35" t="str">
        <f>MID(Tabla1[[#This Row],[Aplicación]],9,4)</f>
        <v>2312</v>
      </c>
      <c r="V196" s="35" t="str">
        <f>VLOOKUP(Tabla1[[#This Row],[PROGRAMA]],Hoja1!A:B,2,FALSE)</f>
        <v>2312. Iniciativas sociales</v>
      </c>
      <c r="W196" s="35" t="str">
        <f>MID(Tabla1[[#This Row],[Aplicación]],14,2)</f>
        <v>21</v>
      </c>
      <c r="X196" s="35" t="str">
        <f>MID(Tabla1[[#This Row],[Aplicación]],14,6)</f>
        <v>213</v>
      </c>
    </row>
    <row r="197" spans="1:24" x14ac:dyDescent="0.25">
      <c r="A197" s="45">
        <v>220210003186</v>
      </c>
      <c r="B197" s="46" t="s">
        <v>32</v>
      </c>
      <c r="C197" s="47">
        <v>44239</v>
      </c>
      <c r="D197" s="45">
        <v>22021002401</v>
      </c>
      <c r="E197" s="46" t="s">
        <v>982</v>
      </c>
      <c r="F197" s="48">
        <v>22.76</v>
      </c>
      <c r="G197" s="46" t="s">
        <v>68</v>
      </c>
      <c r="H197" s="46" t="s">
        <v>1078</v>
      </c>
      <c r="I197" s="45" t="s">
        <v>234</v>
      </c>
      <c r="J197" s="46" t="s">
        <v>127</v>
      </c>
      <c r="K197" s="46" t="s">
        <v>127</v>
      </c>
      <c r="L197" s="46" t="s">
        <v>15</v>
      </c>
      <c r="M197" s="46" t="s">
        <v>13</v>
      </c>
      <c r="N197" s="46" t="s">
        <v>14</v>
      </c>
      <c r="O197" s="49" t="s">
        <v>803</v>
      </c>
      <c r="P197" s="46" t="s">
        <v>507</v>
      </c>
      <c r="Q197" s="35" t="str">
        <f>MID(Tabla1[[#This Row],[Aplicación]],14,1)</f>
        <v>2</v>
      </c>
      <c r="R197" s="35" t="s">
        <v>495</v>
      </c>
      <c r="S197" s="35" t="str">
        <f>MID(Tabla1[[#This Row],[Aplicación]],6,2)</f>
        <v>10</v>
      </c>
      <c r="T197" s="35" t="str">
        <f>VLOOKUP(Tabla1[[#This Row],[AREA]],Hoja1!A:B,2,FALSE)</f>
        <v>10. Servicios sociales y mediación comunitaria</v>
      </c>
      <c r="U197" s="35" t="str">
        <f>MID(Tabla1[[#This Row],[Aplicación]],9,4)</f>
        <v>2312</v>
      </c>
      <c r="V197" s="35" t="str">
        <f>VLOOKUP(Tabla1[[#This Row],[PROGRAMA]],Hoja1!A:B,2,FALSE)</f>
        <v>2312. Iniciativas sociales</v>
      </c>
      <c r="W197" s="35" t="str">
        <f>MID(Tabla1[[#This Row],[Aplicación]],14,2)</f>
        <v>21</v>
      </c>
      <c r="X197" s="35" t="str">
        <f>MID(Tabla1[[#This Row],[Aplicación]],14,6)</f>
        <v>213</v>
      </c>
    </row>
    <row r="198" spans="1:24" x14ac:dyDescent="0.25">
      <c r="A198" s="45">
        <v>220210003187</v>
      </c>
      <c r="B198" s="46" t="s">
        <v>32</v>
      </c>
      <c r="C198" s="47">
        <v>44239</v>
      </c>
      <c r="D198" s="45">
        <v>22021002402</v>
      </c>
      <c r="E198" s="46" t="s">
        <v>982</v>
      </c>
      <c r="F198" s="48">
        <v>326.5</v>
      </c>
      <c r="G198" s="46" t="s">
        <v>68</v>
      </c>
      <c r="H198" s="46" t="s">
        <v>1079</v>
      </c>
      <c r="I198" s="45" t="s">
        <v>234</v>
      </c>
      <c r="J198" s="46" t="s">
        <v>127</v>
      </c>
      <c r="K198" s="46" t="s">
        <v>127</v>
      </c>
      <c r="L198" s="46" t="s">
        <v>15</v>
      </c>
      <c r="M198" s="46" t="s">
        <v>13</v>
      </c>
      <c r="N198" s="46" t="s">
        <v>14</v>
      </c>
      <c r="O198" s="49" t="s">
        <v>803</v>
      </c>
      <c r="P198" s="46" t="s">
        <v>507</v>
      </c>
      <c r="Q198" s="35" t="str">
        <f>MID(Tabla1[[#This Row],[Aplicación]],14,1)</f>
        <v>2</v>
      </c>
      <c r="R198" s="35" t="s">
        <v>495</v>
      </c>
      <c r="S198" s="35" t="str">
        <f>MID(Tabla1[[#This Row],[Aplicación]],6,2)</f>
        <v>10</v>
      </c>
      <c r="T198" s="35" t="str">
        <f>VLOOKUP(Tabla1[[#This Row],[AREA]],Hoja1!A:B,2,FALSE)</f>
        <v>10. Servicios sociales y mediación comunitaria</v>
      </c>
      <c r="U198" s="35" t="str">
        <f>MID(Tabla1[[#This Row],[Aplicación]],9,4)</f>
        <v>2312</v>
      </c>
      <c r="V198" s="35" t="str">
        <f>VLOOKUP(Tabla1[[#This Row],[PROGRAMA]],Hoja1!A:B,2,FALSE)</f>
        <v>2312. Iniciativas sociales</v>
      </c>
      <c r="W198" s="35" t="str">
        <f>MID(Tabla1[[#This Row],[Aplicación]],14,2)</f>
        <v>21</v>
      </c>
      <c r="X198" s="35" t="str">
        <f>MID(Tabla1[[#This Row],[Aplicación]],14,6)</f>
        <v>213</v>
      </c>
    </row>
    <row r="199" spans="1:24" x14ac:dyDescent="0.25">
      <c r="A199" s="45">
        <v>220210003188</v>
      </c>
      <c r="B199" s="46" t="s">
        <v>32</v>
      </c>
      <c r="C199" s="47">
        <v>44239</v>
      </c>
      <c r="D199" s="45">
        <v>22021002403</v>
      </c>
      <c r="E199" s="46" t="s">
        <v>982</v>
      </c>
      <c r="F199" s="48">
        <v>161.72</v>
      </c>
      <c r="G199" s="46" t="s">
        <v>68</v>
      </c>
      <c r="H199" s="46" t="s">
        <v>1080</v>
      </c>
      <c r="I199" s="45" t="s">
        <v>234</v>
      </c>
      <c r="J199" s="46" t="s">
        <v>127</v>
      </c>
      <c r="K199" s="46" t="s">
        <v>127</v>
      </c>
      <c r="L199" s="46" t="s">
        <v>15</v>
      </c>
      <c r="M199" s="46" t="s">
        <v>13</v>
      </c>
      <c r="N199" s="46" t="s">
        <v>14</v>
      </c>
      <c r="O199" s="49" t="s">
        <v>803</v>
      </c>
      <c r="P199" s="46" t="s">
        <v>507</v>
      </c>
      <c r="Q199" s="35" t="str">
        <f>MID(Tabla1[[#This Row],[Aplicación]],14,1)</f>
        <v>2</v>
      </c>
      <c r="R199" s="35" t="s">
        <v>495</v>
      </c>
      <c r="S199" s="35" t="str">
        <f>MID(Tabla1[[#This Row],[Aplicación]],6,2)</f>
        <v>10</v>
      </c>
      <c r="T199" s="35" t="str">
        <f>VLOOKUP(Tabla1[[#This Row],[AREA]],Hoja1!A:B,2,FALSE)</f>
        <v>10. Servicios sociales y mediación comunitaria</v>
      </c>
      <c r="U199" s="35" t="str">
        <f>MID(Tabla1[[#This Row],[Aplicación]],9,4)</f>
        <v>2312</v>
      </c>
      <c r="V199" s="35" t="str">
        <f>VLOOKUP(Tabla1[[#This Row],[PROGRAMA]],Hoja1!A:B,2,FALSE)</f>
        <v>2312. Iniciativas sociales</v>
      </c>
      <c r="W199" s="35" t="str">
        <f>MID(Tabla1[[#This Row],[Aplicación]],14,2)</f>
        <v>21</v>
      </c>
      <c r="X199" s="35" t="str">
        <f>MID(Tabla1[[#This Row],[Aplicación]],14,6)</f>
        <v>213</v>
      </c>
    </row>
    <row r="200" spans="1:24" x14ac:dyDescent="0.25">
      <c r="A200" s="45">
        <v>220210003194</v>
      </c>
      <c r="B200" s="46" t="s">
        <v>32</v>
      </c>
      <c r="C200" s="47">
        <v>44239</v>
      </c>
      <c r="D200" s="45">
        <v>22021002509</v>
      </c>
      <c r="E200" s="46" t="s">
        <v>936</v>
      </c>
      <c r="F200" s="48">
        <v>84.36</v>
      </c>
      <c r="G200" s="46" t="s">
        <v>68</v>
      </c>
      <c r="H200" s="46" t="s">
        <v>1081</v>
      </c>
      <c r="I200" s="45" t="s">
        <v>234</v>
      </c>
      <c r="J200" s="46" t="s">
        <v>127</v>
      </c>
      <c r="K200" s="46" t="s">
        <v>127</v>
      </c>
      <c r="L200" s="46" t="s">
        <v>15</v>
      </c>
      <c r="M200" s="46" t="s">
        <v>13</v>
      </c>
      <c r="N200" s="46" t="s">
        <v>14</v>
      </c>
      <c r="O200" s="49" t="s">
        <v>803</v>
      </c>
      <c r="P200" s="46" t="s">
        <v>507</v>
      </c>
      <c r="Q200" s="35" t="str">
        <f>MID(Tabla1[[#This Row],[Aplicación]],14,1)</f>
        <v>2</v>
      </c>
      <c r="R200" s="35" t="s">
        <v>495</v>
      </c>
      <c r="S200" s="35" t="str">
        <f>MID(Tabla1[[#This Row],[Aplicación]],6,2)</f>
        <v>10</v>
      </c>
      <c r="T200" s="35" t="str">
        <f>VLOOKUP(Tabla1[[#This Row],[AREA]],Hoja1!A:B,2,FALSE)</f>
        <v>10. Servicios sociales y mediación comunitaria</v>
      </c>
      <c r="U200" s="35" t="str">
        <f>MID(Tabla1[[#This Row],[Aplicación]],9,4)</f>
        <v>2313</v>
      </c>
      <c r="V200" s="35" t="str">
        <f>VLOOKUP(Tabla1[[#This Row],[PROGRAMA]],Hoja1!A:B,2,FALSE)</f>
        <v>2313. Dirección del área de servicios sociales</v>
      </c>
      <c r="W200" s="35" t="str">
        <f>MID(Tabla1[[#This Row],[Aplicación]],14,2)</f>
        <v>21</v>
      </c>
      <c r="X200" s="35" t="str">
        <f>MID(Tabla1[[#This Row],[Aplicación]],14,6)</f>
        <v>213</v>
      </c>
    </row>
    <row r="201" spans="1:24" x14ac:dyDescent="0.25">
      <c r="A201" s="45">
        <v>220210003195</v>
      </c>
      <c r="B201" s="46" t="s">
        <v>32</v>
      </c>
      <c r="C201" s="47">
        <v>44239</v>
      </c>
      <c r="D201" s="45">
        <v>22021002511</v>
      </c>
      <c r="E201" s="46" t="s">
        <v>936</v>
      </c>
      <c r="F201" s="48">
        <v>197.84</v>
      </c>
      <c r="G201" s="46" t="s">
        <v>68</v>
      </c>
      <c r="H201" s="46" t="s">
        <v>1082</v>
      </c>
      <c r="I201" s="45" t="s">
        <v>234</v>
      </c>
      <c r="J201" s="46" t="s">
        <v>127</v>
      </c>
      <c r="K201" s="46" t="s">
        <v>127</v>
      </c>
      <c r="L201" s="46" t="s">
        <v>15</v>
      </c>
      <c r="M201" s="46" t="s">
        <v>13</v>
      </c>
      <c r="N201" s="46" t="s">
        <v>14</v>
      </c>
      <c r="O201" s="49" t="s">
        <v>803</v>
      </c>
      <c r="P201" s="46" t="s">
        <v>507</v>
      </c>
      <c r="Q201" s="35" t="str">
        <f>MID(Tabla1[[#This Row],[Aplicación]],14,1)</f>
        <v>2</v>
      </c>
      <c r="R201" s="35" t="s">
        <v>495</v>
      </c>
      <c r="S201" s="35" t="str">
        <f>MID(Tabla1[[#This Row],[Aplicación]],6,2)</f>
        <v>10</v>
      </c>
      <c r="T201" s="35" t="str">
        <f>VLOOKUP(Tabla1[[#This Row],[AREA]],Hoja1!A:B,2,FALSE)</f>
        <v>10. Servicios sociales y mediación comunitaria</v>
      </c>
      <c r="U201" s="35" t="str">
        <f>MID(Tabla1[[#This Row],[Aplicación]],9,4)</f>
        <v>2313</v>
      </c>
      <c r="V201" s="35" t="str">
        <f>VLOOKUP(Tabla1[[#This Row],[PROGRAMA]],Hoja1!A:B,2,FALSE)</f>
        <v>2313. Dirección del área de servicios sociales</v>
      </c>
      <c r="W201" s="35" t="str">
        <f>MID(Tabla1[[#This Row],[Aplicación]],14,2)</f>
        <v>21</v>
      </c>
      <c r="X201" s="35" t="str">
        <f>MID(Tabla1[[#This Row],[Aplicación]],14,6)</f>
        <v>213</v>
      </c>
    </row>
    <row r="202" spans="1:24" x14ac:dyDescent="0.25">
      <c r="A202" s="45">
        <v>220210003196</v>
      </c>
      <c r="B202" s="46" t="s">
        <v>32</v>
      </c>
      <c r="C202" s="47">
        <v>44239</v>
      </c>
      <c r="D202" s="45">
        <v>22021002512</v>
      </c>
      <c r="E202" s="46" t="s">
        <v>936</v>
      </c>
      <c r="F202" s="48">
        <v>40.909999999999997</v>
      </c>
      <c r="G202" s="46" t="s">
        <v>68</v>
      </c>
      <c r="H202" s="46" t="s">
        <v>1083</v>
      </c>
      <c r="I202" s="45" t="s">
        <v>234</v>
      </c>
      <c r="J202" s="46" t="s">
        <v>127</v>
      </c>
      <c r="K202" s="46" t="s">
        <v>127</v>
      </c>
      <c r="L202" s="46" t="s">
        <v>15</v>
      </c>
      <c r="M202" s="46" t="s">
        <v>13</v>
      </c>
      <c r="N202" s="46" t="s">
        <v>14</v>
      </c>
      <c r="O202" s="49" t="s">
        <v>803</v>
      </c>
      <c r="P202" s="46" t="s">
        <v>507</v>
      </c>
      <c r="Q202" s="35" t="str">
        <f>MID(Tabla1[[#This Row],[Aplicación]],14,1)</f>
        <v>2</v>
      </c>
      <c r="R202" s="35" t="s">
        <v>495</v>
      </c>
      <c r="S202" s="35" t="str">
        <f>MID(Tabla1[[#This Row],[Aplicación]],6,2)</f>
        <v>10</v>
      </c>
      <c r="T202" s="35" t="str">
        <f>VLOOKUP(Tabla1[[#This Row],[AREA]],Hoja1!A:B,2,FALSE)</f>
        <v>10. Servicios sociales y mediación comunitaria</v>
      </c>
      <c r="U202" s="35" t="str">
        <f>MID(Tabla1[[#This Row],[Aplicación]],9,4)</f>
        <v>2313</v>
      </c>
      <c r="V202" s="35" t="str">
        <f>VLOOKUP(Tabla1[[#This Row],[PROGRAMA]],Hoja1!A:B,2,FALSE)</f>
        <v>2313. Dirección del área de servicios sociales</v>
      </c>
      <c r="W202" s="35" t="str">
        <f>MID(Tabla1[[#This Row],[Aplicación]],14,2)</f>
        <v>21</v>
      </c>
      <c r="X202" s="35" t="str">
        <f>MID(Tabla1[[#This Row],[Aplicación]],14,6)</f>
        <v>213</v>
      </c>
    </row>
    <row r="203" spans="1:24" x14ac:dyDescent="0.25">
      <c r="A203" s="45">
        <v>220210003197</v>
      </c>
      <c r="B203" s="46" t="s">
        <v>32</v>
      </c>
      <c r="C203" s="47">
        <v>44239</v>
      </c>
      <c r="D203" s="45">
        <v>22021002513</v>
      </c>
      <c r="E203" s="46" t="s">
        <v>936</v>
      </c>
      <c r="F203" s="48">
        <v>132.13</v>
      </c>
      <c r="G203" s="46" t="s">
        <v>68</v>
      </c>
      <c r="H203" s="46" t="s">
        <v>1084</v>
      </c>
      <c r="I203" s="45" t="s">
        <v>234</v>
      </c>
      <c r="J203" s="46" t="s">
        <v>127</v>
      </c>
      <c r="K203" s="46" t="s">
        <v>127</v>
      </c>
      <c r="L203" s="46" t="s">
        <v>15</v>
      </c>
      <c r="M203" s="46" t="s">
        <v>13</v>
      </c>
      <c r="N203" s="46" t="s">
        <v>14</v>
      </c>
      <c r="O203" s="49" t="s">
        <v>803</v>
      </c>
      <c r="P203" s="46" t="s">
        <v>507</v>
      </c>
      <c r="Q203" s="35" t="str">
        <f>MID(Tabla1[[#This Row],[Aplicación]],14,1)</f>
        <v>2</v>
      </c>
      <c r="R203" s="35" t="s">
        <v>495</v>
      </c>
      <c r="S203" s="35" t="str">
        <f>MID(Tabla1[[#This Row],[Aplicación]],6,2)</f>
        <v>10</v>
      </c>
      <c r="T203" s="35" t="str">
        <f>VLOOKUP(Tabla1[[#This Row],[AREA]],Hoja1!A:B,2,FALSE)</f>
        <v>10. Servicios sociales y mediación comunitaria</v>
      </c>
      <c r="U203" s="35" t="str">
        <f>MID(Tabla1[[#This Row],[Aplicación]],9,4)</f>
        <v>2313</v>
      </c>
      <c r="V203" s="35" t="str">
        <f>VLOOKUP(Tabla1[[#This Row],[PROGRAMA]],Hoja1!A:B,2,FALSE)</f>
        <v>2313. Dirección del área de servicios sociales</v>
      </c>
      <c r="W203" s="35" t="str">
        <f>MID(Tabla1[[#This Row],[Aplicación]],14,2)</f>
        <v>21</v>
      </c>
      <c r="X203" s="35" t="str">
        <f>MID(Tabla1[[#This Row],[Aplicación]],14,6)</f>
        <v>213</v>
      </c>
    </row>
    <row r="204" spans="1:24" x14ac:dyDescent="0.25">
      <c r="A204" s="45">
        <v>220210003214</v>
      </c>
      <c r="B204" s="46" t="s">
        <v>32</v>
      </c>
      <c r="C204" s="47">
        <v>44239</v>
      </c>
      <c r="D204" s="45">
        <v>22021002541</v>
      </c>
      <c r="E204" s="46" t="s">
        <v>886</v>
      </c>
      <c r="F204" s="48">
        <v>84.36</v>
      </c>
      <c r="G204" s="46" t="s">
        <v>68</v>
      </c>
      <c r="H204" s="46" t="s">
        <v>1085</v>
      </c>
      <c r="I204" s="45" t="s">
        <v>234</v>
      </c>
      <c r="J204" s="46" t="s">
        <v>127</v>
      </c>
      <c r="K204" s="46" t="s">
        <v>127</v>
      </c>
      <c r="L204" s="46" t="s">
        <v>15</v>
      </c>
      <c r="M204" s="46" t="s">
        <v>13</v>
      </c>
      <c r="N204" s="46" t="s">
        <v>14</v>
      </c>
      <c r="O204" s="49" t="s">
        <v>803</v>
      </c>
      <c r="P204" s="46" t="s">
        <v>507</v>
      </c>
      <c r="Q204" s="35" t="str">
        <f>MID(Tabla1[[#This Row],[Aplicación]],14,1)</f>
        <v>2</v>
      </c>
      <c r="R204" s="35" t="s">
        <v>495</v>
      </c>
      <c r="S204" s="35" t="str">
        <f>MID(Tabla1[[#This Row],[Aplicación]],6,2)</f>
        <v>10</v>
      </c>
      <c r="T204" s="35" t="str">
        <f>VLOOKUP(Tabla1[[#This Row],[AREA]],Hoja1!A:B,2,FALSE)</f>
        <v>10. Servicios sociales y mediación comunitaria</v>
      </c>
      <c r="U204" s="35" t="str">
        <f>MID(Tabla1[[#This Row],[Aplicación]],9,4)</f>
        <v>2311</v>
      </c>
      <c r="V204" s="35" t="str">
        <f>VLOOKUP(Tabla1[[#This Row],[PROGRAMA]],Hoja1!A:B,2,FALSE)</f>
        <v>2311. Intervención social</v>
      </c>
      <c r="W204" s="35" t="str">
        <f>MID(Tabla1[[#This Row],[Aplicación]],14,2)</f>
        <v>21</v>
      </c>
      <c r="X204" s="35" t="str">
        <f>MID(Tabla1[[#This Row],[Aplicación]],14,6)</f>
        <v>213</v>
      </c>
    </row>
    <row r="205" spans="1:24" x14ac:dyDescent="0.25">
      <c r="A205" s="45">
        <v>220210003218</v>
      </c>
      <c r="B205" s="46" t="s">
        <v>32</v>
      </c>
      <c r="C205" s="47">
        <v>44239</v>
      </c>
      <c r="D205" s="45">
        <v>22021002542</v>
      </c>
      <c r="E205" s="46" t="s">
        <v>886</v>
      </c>
      <c r="F205" s="48">
        <v>197.84</v>
      </c>
      <c r="G205" s="46" t="s">
        <v>68</v>
      </c>
      <c r="H205" s="46" t="s">
        <v>1086</v>
      </c>
      <c r="I205" s="45" t="s">
        <v>234</v>
      </c>
      <c r="J205" s="46" t="s">
        <v>127</v>
      </c>
      <c r="K205" s="46" t="s">
        <v>127</v>
      </c>
      <c r="L205" s="46" t="s">
        <v>15</v>
      </c>
      <c r="M205" s="46" t="s">
        <v>13</v>
      </c>
      <c r="N205" s="46" t="s">
        <v>14</v>
      </c>
      <c r="O205" s="49" t="s">
        <v>803</v>
      </c>
      <c r="P205" s="46" t="s">
        <v>507</v>
      </c>
      <c r="Q205" s="35" t="str">
        <f>MID(Tabla1[[#This Row],[Aplicación]],14,1)</f>
        <v>2</v>
      </c>
      <c r="R205" s="35" t="s">
        <v>495</v>
      </c>
      <c r="S205" s="35" t="str">
        <f>MID(Tabla1[[#This Row],[Aplicación]],6,2)</f>
        <v>10</v>
      </c>
      <c r="T205" s="35" t="str">
        <f>VLOOKUP(Tabla1[[#This Row],[AREA]],Hoja1!A:B,2,FALSE)</f>
        <v>10. Servicios sociales y mediación comunitaria</v>
      </c>
      <c r="U205" s="35" t="str">
        <f>MID(Tabla1[[#This Row],[Aplicación]],9,4)</f>
        <v>2311</v>
      </c>
      <c r="V205" s="35" t="str">
        <f>VLOOKUP(Tabla1[[#This Row],[PROGRAMA]],Hoja1!A:B,2,FALSE)</f>
        <v>2311. Intervención social</v>
      </c>
      <c r="W205" s="35" t="str">
        <f>MID(Tabla1[[#This Row],[Aplicación]],14,2)</f>
        <v>21</v>
      </c>
      <c r="X205" s="35" t="str">
        <f>MID(Tabla1[[#This Row],[Aplicación]],14,6)</f>
        <v>213</v>
      </c>
    </row>
    <row r="206" spans="1:24" x14ac:dyDescent="0.25">
      <c r="A206" s="45">
        <v>220210003227</v>
      </c>
      <c r="B206" s="46" t="s">
        <v>32</v>
      </c>
      <c r="C206" s="47">
        <v>44239</v>
      </c>
      <c r="D206" s="45">
        <v>22021002545</v>
      </c>
      <c r="E206" s="46" t="s">
        <v>886</v>
      </c>
      <c r="F206" s="48">
        <v>49.28</v>
      </c>
      <c r="G206" s="46" t="s">
        <v>68</v>
      </c>
      <c r="H206" s="46" t="s">
        <v>1087</v>
      </c>
      <c r="I206" s="45" t="s">
        <v>234</v>
      </c>
      <c r="J206" s="46" t="s">
        <v>127</v>
      </c>
      <c r="K206" s="46" t="s">
        <v>127</v>
      </c>
      <c r="L206" s="46" t="s">
        <v>15</v>
      </c>
      <c r="M206" s="46" t="s">
        <v>13</v>
      </c>
      <c r="N206" s="46" t="s">
        <v>14</v>
      </c>
      <c r="O206" s="49" t="s">
        <v>803</v>
      </c>
      <c r="P206" s="46" t="s">
        <v>507</v>
      </c>
      <c r="Q206" s="35" t="str">
        <f>MID(Tabla1[[#This Row],[Aplicación]],14,1)</f>
        <v>2</v>
      </c>
      <c r="R206" s="35" t="s">
        <v>495</v>
      </c>
      <c r="S206" s="35" t="str">
        <f>MID(Tabla1[[#This Row],[Aplicación]],6,2)</f>
        <v>10</v>
      </c>
      <c r="T206" s="35" t="str">
        <f>VLOOKUP(Tabla1[[#This Row],[AREA]],Hoja1!A:B,2,FALSE)</f>
        <v>10. Servicios sociales y mediación comunitaria</v>
      </c>
      <c r="U206" s="35" t="str">
        <f>MID(Tabla1[[#This Row],[Aplicación]],9,4)</f>
        <v>2311</v>
      </c>
      <c r="V206" s="35" t="str">
        <f>VLOOKUP(Tabla1[[#This Row],[PROGRAMA]],Hoja1!A:B,2,FALSE)</f>
        <v>2311. Intervención social</v>
      </c>
      <c r="W206" s="35" t="str">
        <f>MID(Tabla1[[#This Row],[Aplicación]],14,2)</f>
        <v>21</v>
      </c>
      <c r="X206" s="35" t="str">
        <f>MID(Tabla1[[#This Row],[Aplicación]],14,6)</f>
        <v>213</v>
      </c>
    </row>
    <row r="207" spans="1:24" x14ac:dyDescent="0.25">
      <c r="A207" s="45">
        <v>220210003228</v>
      </c>
      <c r="B207" s="46" t="s">
        <v>32</v>
      </c>
      <c r="C207" s="47">
        <v>44239</v>
      </c>
      <c r="D207" s="45">
        <v>22021002546</v>
      </c>
      <c r="E207" s="46" t="s">
        <v>886</v>
      </c>
      <c r="F207" s="48">
        <v>44.71</v>
      </c>
      <c r="G207" s="46" t="s">
        <v>68</v>
      </c>
      <c r="H207" s="46" t="s">
        <v>1088</v>
      </c>
      <c r="I207" s="45" t="s">
        <v>234</v>
      </c>
      <c r="J207" s="46" t="s">
        <v>127</v>
      </c>
      <c r="K207" s="46" t="s">
        <v>127</v>
      </c>
      <c r="L207" s="46" t="s">
        <v>15</v>
      </c>
      <c r="M207" s="46" t="s">
        <v>13</v>
      </c>
      <c r="N207" s="46" t="s">
        <v>14</v>
      </c>
      <c r="O207" s="49" t="s">
        <v>803</v>
      </c>
      <c r="P207" s="46" t="s">
        <v>507</v>
      </c>
      <c r="Q207" s="35" t="str">
        <f>MID(Tabla1[[#This Row],[Aplicación]],14,1)</f>
        <v>2</v>
      </c>
      <c r="R207" s="35" t="s">
        <v>495</v>
      </c>
      <c r="S207" s="35" t="str">
        <f>MID(Tabla1[[#This Row],[Aplicación]],6,2)</f>
        <v>10</v>
      </c>
      <c r="T207" s="35" t="str">
        <f>VLOOKUP(Tabla1[[#This Row],[AREA]],Hoja1!A:B,2,FALSE)</f>
        <v>10. Servicios sociales y mediación comunitaria</v>
      </c>
      <c r="U207" s="35" t="str">
        <f>MID(Tabla1[[#This Row],[Aplicación]],9,4)</f>
        <v>2311</v>
      </c>
      <c r="V207" s="35" t="str">
        <f>VLOOKUP(Tabla1[[#This Row],[PROGRAMA]],Hoja1!A:B,2,FALSE)</f>
        <v>2311. Intervención social</v>
      </c>
      <c r="W207" s="35" t="str">
        <f>MID(Tabla1[[#This Row],[Aplicación]],14,2)</f>
        <v>21</v>
      </c>
      <c r="X207" s="35" t="str">
        <f>MID(Tabla1[[#This Row],[Aplicación]],14,6)</f>
        <v>213</v>
      </c>
    </row>
    <row r="208" spans="1:24" x14ac:dyDescent="0.25">
      <c r="A208" s="45">
        <v>220210003229</v>
      </c>
      <c r="B208" s="46" t="s">
        <v>32</v>
      </c>
      <c r="C208" s="47">
        <v>44239</v>
      </c>
      <c r="D208" s="45">
        <v>22021002551</v>
      </c>
      <c r="E208" s="46" t="s">
        <v>886</v>
      </c>
      <c r="F208" s="48">
        <v>51.92</v>
      </c>
      <c r="G208" s="46" t="s">
        <v>68</v>
      </c>
      <c r="H208" s="46" t="s">
        <v>1089</v>
      </c>
      <c r="I208" s="45" t="s">
        <v>234</v>
      </c>
      <c r="J208" s="46" t="s">
        <v>127</v>
      </c>
      <c r="K208" s="46" t="s">
        <v>127</v>
      </c>
      <c r="L208" s="46" t="s">
        <v>15</v>
      </c>
      <c r="M208" s="46" t="s">
        <v>13</v>
      </c>
      <c r="N208" s="46" t="s">
        <v>14</v>
      </c>
      <c r="O208" s="49" t="s">
        <v>803</v>
      </c>
      <c r="P208" s="46" t="s">
        <v>507</v>
      </c>
      <c r="Q208" s="35" t="str">
        <f>MID(Tabla1[[#This Row],[Aplicación]],14,1)</f>
        <v>2</v>
      </c>
      <c r="R208" s="35" t="s">
        <v>495</v>
      </c>
      <c r="S208" s="35" t="str">
        <f>MID(Tabla1[[#This Row],[Aplicación]],6,2)</f>
        <v>10</v>
      </c>
      <c r="T208" s="35" t="str">
        <f>VLOOKUP(Tabla1[[#This Row],[AREA]],Hoja1!A:B,2,FALSE)</f>
        <v>10. Servicios sociales y mediación comunitaria</v>
      </c>
      <c r="U208" s="35" t="str">
        <f>MID(Tabla1[[#This Row],[Aplicación]],9,4)</f>
        <v>2311</v>
      </c>
      <c r="V208" s="35" t="str">
        <f>VLOOKUP(Tabla1[[#This Row],[PROGRAMA]],Hoja1!A:B,2,FALSE)</f>
        <v>2311. Intervención social</v>
      </c>
      <c r="W208" s="35" t="str">
        <f>MID(Tabla1[[#This Row],[Aplicación]],14,2)</f>
        <v>21</v>
      </c>
      <c r="X208" s="35" t="str">
        <f>MID(Tabla1[[#This Row],[Aplicación]],14,6)</f>
        <v>213</v>
      </c>
    </row>
    <row r="209" spans="1:24" x14ac:dyDescent="0.25">
      <c r="A209" s="45">
        <v>220210003909</v>
      </c>
      <c r="B209" s="46" t="s">
        <v>32</v>
      </c>
      <c r="C209" s="47">
        <v>44243</v>
      </c>
      <c r="D209" s="45">
        <v>22021002659</v>
      </c>
      <c r="E209" s="46" t="s">
        <v>950</v>
      </c>
      <c r="F209" s="48">
        <v>161.72</v>
      </c>
      <c r="G209" s="46" t="s">
        <v>68</v>
      </c>
      <c r="H209" s="46" t="s">
        <v>1090</v>
      </c>
      <c r="I209" s="45" t="s">
        <v>234</v>
      </c>
      <c r="J209" s="46" t="s">
        <v>127</v>
      </c>
      <c r="K209" s="46" t="s">
        <v>127</v>
      </c>
      <c r="L209" s="46" t="s">
        <v>15</v>
      </c>
      <c r="M209" s="46" t="s">
        <v>13</v>
      </c>
      <c r="N209" s="46" t="s">
        <v>14</v>
      </c>
      <c r="O209" s="49" t="s">
        <v>803</v>
      </c>
      <c r="P209" s="46" t="s">
        <v>507</v>
      </c>
      <c r="Q209" s="35" t="str">
        <f>MID(Tabla1[[#This Row],[Aplicación]],14,1)</f>
        <v>2</v>
      </c>
      <c r="R209" s="35" t="s">
        <v>495</v>
      </c>
      <c r="S209" s="35" t="str">
        <f>MID(Tabla1[[#This Row],[Aplicación]],6,2)</f>
        <v>11</v>
      </c>
      <c r="T209" s="35" t="str">
        <f>VLOOKUP(Tabla1[[#This Row],[AREA]],Hoja1!A:B,2,FALSE)</f>
        <v>11. Salud pública y seguridad ciudadana</v>
      </c>
      <c r="U209" s="35" t="str">
        <f>MID(Tabla1[[#This Row],[Aplicación]],9,4)</f>
        <v>1321</v>
      </c>
      <c r="V209" s="35" t="str">
        <f>VLOOKUP(Tabla1[[#This Row],[PROGRAMA]],Hoja1!A:B,2,FALSE)</f>
        <v>1321. Policía municipal</v>
      </c>
      <c r="W209" s="35" t="str">
        <f>MID(Tabla1[[#This Row],[Aplicación]],14,2)</f>
        <v>21</v>
      </c>
      <c r="X209" s="35" t="str">
        <f>MID(Tabla1[[#This Row],[Aplicación]],14,6)</f>
        <v>213</v>
      </c>
    </row>
    <row r="210" spans="1:24" x14ac:dyDescent="0.25">
      <c r="A210" s="45">
        <v>220210003910</v>
      </c>
      <c r="B210" s="46" t="s">
        <v>32</v>
      </c>
      <c r="C210" s="47">
        <v>44243</v>
      </c>
      <c r="D210" s="45">
        <v>22021002660</v>
      </c>
      <c r="E210" s="46" t="s">
        <v>950</v>
      </c>
      <c r="F210" s="48">
        <v>197.84</v>
      </c>
      <c r="G210" s="46" t="s">
        <v>68</v>
      </c>
      <c r="H210" s="46" t="s">
        <v>1091</v>
      </c>
      <c r="I210" s="45" t="s">
        <v>234</v>
      </c>
      <c r="J210" s="46" t="s">
        <v>127</v>
      </c>
      <c r="K210" s="46" t="s">
        <v>127</v>
      </c>
      <c r="L210" s="46" t="s">
        <v>15</v>
      </c>
      <c r="M210" s="46" t="s">
        <v>13</v>
      </c>
      <c r="N210" s="46" t="s">
        <v>14</v>
      </c>
      <c r="O210" s="49" t="s">
        <v>803</v>
      </c>
      <c r="P210" s="46" t="s">
        <v>507</v>
      </c>
      <c r="Q210" s="35" t="str">
        <f>MID(Tabla1[[#This Row],[Aplicación]],14,1)</f>
        <v>2</v>
      </c>
      <c r="R210" s="35" t="s">
        <v>495</v>
      </c>
      <c r="S210" s="35" t="str">
        <f>MID(Tabla1[[#This Row],[Aplicación]],6,2)</f>
        <v>11</v>
      </c>
      <c r="T210" s="35" t="str">
        <f>VLOOKUP(Tabla1[[#This Row],[AREA]],Hoja1!A:B,2,FALSE)</f>
        <v>11. Salud pública y seguridad ciudadana</v>
      </c>
      <c r="U210" s="35" t="str">
        <f>MID(Tabla1[[#This Row],[Aplicación]],9,4)</f>
        <v>1321</v>
      </c>
      <c r="V210" s="35" t="str">
        <f>VLOOKUP(Tabla1[[#This Row],[PROGRAMA]],Hoja1!A:B,2,FALSE)</f>
        <v>1321. Policía municipal</v>
      </c>
      <c r="W210" s="35" t="str">
        <f>MID(Tabla1[[#This Row],[Aplicación]],14,2)</f>
        <v>21</v>
      </c>
      <c r="X210" s="35" t="str">
        <f>MID(Tabla1[[#This Row],[Aplicación]],14,6)</f>
        <v>213</v>
      </c>
    </row>
    <row r="211" spans="1:24" x14ac:dyDescent="0.25">
      <c r="A211" s="45">
        <v>220210003911</v>
      </c>
      <c r="B211" s="46" t="s">
        <v>32</v>
      </c>
      <c r="C211" s="47">
        <v>44243</v>
      </c>
      <c r="D211" s="45">
        <v>22021002664</v>
      </c>
      <c r="E211" s="46" t="s">
        <v>950</v>
      </c>
      <c r="F211" s="48">
        <v>197.84</v>
      </c>
      <c r="G211" s="46" t="s">
        <v>68</v>
      </c>
      <c r="H211" s="46" t="s">
        <v>1092</v>
      </c>
      <c r="I211" s="45" t="s">
        <v>234</v>
      </c>
      <c r="J211" s="46" t="s">
        <v>127</v>
      </c>
      <c r="K211" s="46" t="s">
        <v>127</v>
      </c>
      <c r="L211" s="46" t="s">
        <v>15</v>
      </c>
      <c r="M211" s="46" t="s">
        <v>13</v>
      </c>
      <c r="N211" s="46" t="s">
        <v>14</v>
      </c>
      <c r="O211" s="49" t="s">
        <v>803</v>
      </c>
      <c r="P211" s="46" t="s">
        <v>507</v>
      </c>
      <c r="Q211" s="35" t="str">
        <f>MID(Tabla1[[#This Row],[Aplicación]],14,1)</f>
        <v>2</v>
      </c>
      <c r="R211" s="35" t="s">
        <v>495</v>
      </c>
      <c r="S211" s="35" t="str">
        <f>MID(Tabla1[[#This Row],[Aplicación]],6,2)</f>
        <v>11</v>
      </c>
      <c r="T211" s="35" t="str">
        <f>VLOOKUP(Tabla1[[#This Row],[AREA]],Hoja1!A:B,2,FALSE)</f>
        <v>11. Salud pública y seguridad ciudadana</v>
      </c>
      <c r="U211" s="35" t="str">
        <f>MID(Tabla1[[#This Row],[Aplicación]],9,4)</f>
        <v>1321</v>
      </c>
      <c r="V211" s="35" t="str">
        <f>VLOOKUP(Tabla1[[#This Row],[PROGRAMA]],Hoja1!A:B,2,FALSE)</f>
        <v>1321. Policía municipal</v>
      </c>
      <c r="W211" s="35" t="str">
        <f>MID(Tabla1[[#This Row],[Aplicación]],14,2)</f>
        <v>21</v>
      </c>
      <c r="X211" s="35" t="str">
        <f>MID(Tabla1[[#This Row],[Aplicación]],14,6)</f>
        <v>213</v>
      </c>
    </row>
    <row r="212" spans="1:24" x14ac:dyDescent="0.25">
      <c r="A212" s="45">
        <v>220210003912</v>
      </c>
      <c r="B212" s="46" t="s">
        <v>32</v>
      </c>
      <c r="C212" s="47">
        <v>44243</v>
      </c>
      <c r="D212" s="45">
        <v>22021002665</v>
      </c>
      <c r="E212" s="46" t="s">
        <v>950</v>
      </c>
      <c r="F212" s="48">
        <v>197.84</v>
      </c>
      <c r="G212" s="46" t="s">
        <v>68</v>
      </c>
      <c r="H212" s="46" t="s">
        <v>1093</v>
      </c>
      <c r="I212" s="45" t="s">
        <v>234</v>
      </c>
      <c r="J212" s="46" t="s">
        <v>127</v>
      </c>
      <c r="K212" s="46" t="s">
        <v>127</v>
      </c>
      <c r="L212" s="46" t="s">
        <v>15</v>
      </c>
      <c r="M212" s="46" t="s">
        <v>13</v>
      </c>
      <c r="N212" s="46" t="s">
        <v>14</v>
      </c>
      <c r="O212" s="49" t="s">
        <v>803</v>
      </c>
      <c r="P212" s="46" t="s">
        <v>507</v>
      </c>
      <c r="Q212" s="35" t="str">
        <f>MID(Tabla1[[#This Row],[Aplicación]],14,1)</f>
        <v>2</v>
      </c>
      <c r="R212" s="35" t="s">
        <v>495</v>
      </c>
      <c r="S212" s="35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35" t="str">
        <f>MID(Tabla1[[#This Row],[Aplicación]],9,4)</f>
        <v>1321</v>
      </c>
      <c r="V212" s="35" t="str">
        <f>VLOOKUP(Tabla1[[#This Row],[PROGRAMA]],Hoja1!A:B,2,FALSE)</f>
        <v>1321. Policía municipal</v>
      </c>
      <c r="W212" s="35" t="str">
        <f>MID(Tabla1[[#This Row],[Aplicación]],14,2)</f>
        <v>21</v>
      </c>
      <c r="X212" s="35" t="str">
        <f>MID(Tabla1[[#This Row],[Aplicación]],14,6)</f>
        <v>213</v>
      </c>
    </row>
    <row r="213" spans="1:24" x14ac:dyDescent="0.25">
      <c r="A213" s="45">
        <v>220210003913</v>
      </c>
      <c r="B213" s="46" t="s">
        <v>32</v>
      </c>
      <c r="C213" s="47">
        <v>44243</v>
      </c>
      <c r="D213" s="45">
        <v>22021002666</v>
      </c>
      <c r="E213" s="46" t="s">
        <v>950</v>
      </c>
      <c r="F213" s="48">
        <v>197.84</v>
      </c>
      <c r="G213" s="46" t="s">
        <v>68</v>
      </c>
      <c r="H213" s="46" t="s">
        <v>1094</v>
      </c>
      <c r="I213" s="45" t="s">
        <v>234</v>
      </c>
      <c r="J213" s="46" t="s">
        <v>127</v>
      </c>
      <c r="K213" s="46" t="s">
        <v>127</v>
      </c>
      <c r="L213" s="46" t="s">
        <v>15</v>
      </c>
      <c r="M213" s="46" t="s">
        <v>13</v>
      </c>
      <c r="N213" s="46" t="s">
        <v>14</v>
      </c>
      <c r="O213" s="49" t="s">
        <v>803</v>
      </c>
      <c r="P213" s="46" t="s">
        <v>507</v>
      </c>
      <c r="Q213" s="35" t="str">
        <f>MID(Tabla1[[#This Row],[Aplicación]],14,1)</f>
        <v>2</v>
      </c>
      <c r="R213" s="35" t="s">
        <v>495</v>
      </c>
      <c r="S213" s="35" t="str">
        <f>MID(Tabla1[[#This Row],[Aplicación]],6,2)</f>
        <v>11</v>
      </c>
      <c r="T213" s="35" t="str">
        <f>VLOOKUP(Tabla1[[#This Row],[AREA]],Hoja1!A:B,2,FALSE)</f>
        <v>11. Salud pública y seguridad ciudadana</v>
      </c>
      <c r="U213" s="35" t="str">
        <f>MID(Tabla1[[#This Row],[Aplicación]],9,4)</f>
        <v>1321</v>
      </c>
      <c r="V213" s="35" t="str">
        <f>VLOOKUP(Tabla1[[#This Row],[PROGRAMA]],Hoja1!A:B,2,FALSE)</f>
        <v>1321. Policía municipal</v>
      </c>
      <c r="W213" s="35" t="str">
        <f>MID(Tabla1[[#This Row],[Aplicación]],14,2)</f>
        <v>21</v>
      </c>
      <c r="X213" s="35" t="str">
        <f>MID(Tabla1[[#This Row],[Aplicación]],14,6)</f>
        <v>213</v>
      </c>
    </row>
    <row r="214" spans="1:24" x14ac:dyDescent="0.25">
      <c r="A214" s="45">
        <v>220210003915</v>
      </c>
      <c r="B214" s="46" t="s">
        <v>32</v>
      </c>
      <c r="C214" s="47">
        <v>44243</v>
      </c>
      <c r="D214" s="45">
        <v>22021002667</v>
      </c>
      <c r="E214" s="46" t="s">
        <v>950</v>
      </c>
      <c r="F214" s="48">
        <v>197.84</v>
      </c>
      <c r="G214" s="46" t="s">
        <v>68</v>
      </c>
      <c r="H214" s="46" t="s">
        <v>1095</v>
      </c>
      <c r="I214" s="45" t="s">
        <v>234</v>
      </c>
      <c r="J214" s="46" t="s">
        <v>127</v>
      </c>
      <c r="K214" s="46" t="s">
        <v>127</v>
      </c>
      <c r="L214" s="46" t="s">
        <v>15</v>
      </c>
      <c r="M214" s="46" t="s">
        <v>13</v>
      </c>
      <c r="N214" s="46" t="s">
        <v>14</v>
      </c>
      <c r="O214" s="49" t="s">
        <v>803</v>
      </c>
      <c r="P214" s="46" t="s">
        <v>507</v>
      </c>
      <c r="Q214" s="35" t="str">
        <f>MID(Tabla1[[#This Row],[Aplicación]],14,1)</f>
        <v>2</v>
      </c>
      <c r="R214" s="35" t="s">
        <v>495</v>
      </c>
      <c r="S214" s="35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35" t="str">
        <f>MID(Tabla1[[#This Row],[Aplicación]],9,4)</f>
        <v>1321</v>
      </c>
      <c r="V214" s="35" t="str">
        <f>VLOOKUP(Tabla1[[#This Row],[PROGRAMA]],Hoja1!A:B,2,FALSE)</f>
        <v>1321. Policía municipal</v>
      </c>
      <c r="W214" s="35" t="str">
        <f>MID(Tabla1[[#This Row],[Aplicación]],14,2)</f>
        <v>21</v>
      </c>
      <c r="X214" s="35" t="str">
        <f>MID(Tabla1[[#This Row],[Aplicación]],14,6)</f>
        <v>213</v>
      </c>
    </row>
    <row r="215" spans="1:24" x14ac:dyDescent="0.25">
      <c r="A215" s="45">
        <v>220210003916</v>
      </c>
      <c r="B215" s="46" t="s">
        <v>32</v>
      </c>
      <c r="C215" s="47">
        <v>44243</v>
      </c>
      <c r="D215" s="45">
        <v>22021002668</v>
      </c>
      <c r="E215" s="46" t="s">
        <v>950</v>
      </c>
      <c r="F215" s="48">
        <v>11.63</v>
      </c>
      <c r="G215" s="46" t="s">
        <v>68</v>
      </c>
      <c r="H215" s="46" t="s">
        <v>1096</v>
      </c>
      <c r="I215" s="45" t="s">
        <v>234</v>
      </c>
      <c r="J215" s="46" t="s">
        <v>127</v>
      </c>
      <c r="K215" s="46" t="s">
        <v>127</v>
      </c>
      <c r="L215" s="46" t="s">
        <v>15</v>
      </c>
      <c r="M215" s="46" t="s">
        <v>13</v>
      </c>
      <c r="N215" s="46" t="s">
        <v>14</v>
      </c>
      <c r="O215" s="49" t="s">
        <v>803</v>
      </c>
      <c r="P215" s="46" t="s">
        <v>507</v>
      </c>
      <c r="Q215" s="35" t="str">
        <f>MID(Tabla1[[#This Row],[Aplicación]],14,1)</f>
        <v>2</v>
      </c>
      <c r="R215" s="35" t="s">
        <v>495</v>
      </c>
      <c r="S215" s="35" t="str">
        <f>MID(Tabla1[[#This Row],[Aplicación]],6,2)</f>
        <v>11</v>
      </c>
      <c r="T215" s="35" t="str">
        <f>VLOOKUP(Tabla1[[#This Row],[AREA]],Hoja1!A:B,2,FALSE)</f>
        <v>11. Salud pública y seguridad ciudadana</v>
      </c>
      <c r="U215" s="35" t="str">
        <f>MID(Tabla1[[#This Row],[Aplicación]],9,4)</f>
        <v>1321</v>
      </c>
      <c r="V215" s="35" t="str">
        <f>VLOOKUP(Tabla1[[#This Row],[PROGRAMA]],Hoja1!A:B,2,FALSE)</f>
        <v>1321. Policía municipal</v>
      </c>
      <c r="W215" s="35" t="str">
        <f>MID(Tabla1[[#This Row],[Aplicación]],14,2)</f>
        <v>21</v>
      </c>
      <c r="X215" s="35" t="str">
        <f>MID(Tabla1[[#This Row],[Aplicación]],14,6)</f>
        <v>213</v>
      </c>
    </row>
    <row r="216" spans="1:24" x14ac:dyDescent="0.25">
      <c r="A216" s="45">
        <v>220210003919</v>
      </c>
      <c r="B216" s="46" t="s">
        <v>32</v>
      </c>
      <c r="C216" s="47">
        <v>44243</v>
      </c>
      <c r="D216" s="45">
        <v>22021002669</v>
      </c>
      <c r="E216" s="46" t="s">
        <v>950</v>
      </c>
      <c r="F216" s="48">
        <v>16.02</v>
      </c>
      <c r="G216" s="46" t="s">
        <v>68</v>
      </c>
      <c r="H216" s="46" t="s">
        <v>1097</v>
      </c>
      <c r="I216" s="45" t="s">
        <v>234</v>
      </c>
      <c r="J216" s="46" t="s">
        <v>127</v>
      </c>
      <c r="K216" s="46" t="s">
        <v>127</v>
      </c>
      <c r="L216" s="46" t="s">
        <v>15</v>
      </c>
      <c r="M216" s="46" t="s">
        <v>13</v>
      </c>
      <c r="N216" s="46" t="s">
        <v>14</v>
      </c>
      <c r="O216" s="49" t="s">
        <v>803</v>
      </c>
      <c r="P216" s="46" t="s">
        <v>507</v>
      </c>
      <c r="Q216" s="35" t="str">
        <f>MID(Tabla1[[#This Row],[Aplicación]],14,1)</f>
        <v>2</v>
      </c>
      <c r="R216" s="35" t="s">
        <v>495</v>
      </c>
      <c r="S216" s="35" t="str">
        <f>MID(Tabla1[[#This Row],[Aplicación]],6,2)</f>
        <v>11</v>
      </c>
      <c r="T216" s="35" t="str">
        <f>VLOOKUP(Tabla1[[#This Row],[AREA]],Hoja1!A:B,2,FALSE)</f>
        <v>11. Salud pública y seguridad ciudadana</v>
      </c>
      <c r="U216" s="35" t="str">
        <f>MID(Tabla1[[#This Row],[Aplicación]],9,4)</f>
        <v>1321</v>
      </c>
      <c r="V216" s="35" t="str">
        <f>VLOOKUP(Tabla1[[#This Row],[PROGRAMA]],Hoja1!A:B,2,FALSE)</f>
        <v>1321. Policía municipal</v>
      </c>
      <c r="W216" s="35" t="str">
        <f>MID(Tabla1[[#This Row],[Aplicación]],14,2)</f>
        <v>21</v>
      </c>
      <c r="X216" s="35" t="str">
        <f>MID(Tabla1[[#This Row],[Aplicación]],14,6)</f>
        <v>213</v>
      </c>
    </row>
    <row r="217" spans="1:24" x14ac:dyDescent="0.25">
      <c r="A217" s="45">
        <v>220210003921</v>
      </c>
      <c r="B217" s="46" t="s">
        <v>32</v>
      </c>
      <c r="C217" s="47">
        <v>44243</v>
      </c>
      <c r="D217" s="45">
        <v>22021002670</v>
      </c>
      <c r="E217" s="46" t="s">
        <v>950</v>
      </c>
      <c r="F217" s="48">
        <v>100.97</v>
      </c>
      <c r="G217" s="46" t="s">
        <v>68</v>
      </c>
      <c r="H217" s="46" t="s">
        <v>1098</v>
      </c>
      <c r="I217" s="45" t="s">
        <v>234</v>
      </c>
      <c r="J217" s="46" t="s">
        <v>127</v>
      </c>
      <c r="K217" s="46" t="s">
        <v>127</v>
      </c>
      <c r="L217" s="46" t="s">
        <v>15</v>
      </c>
      <c r="M217" s="46" t="s">
        <v>13</v>
      </c>
      <c r="N217" s="46" t="s">
        <v>14</v>
      </c>
      <c r="O217" s="49" t="s">
        <v>803</v>
      </c>
      <c r="P217" s="46" t="s">
        <v>507</v>
      </c>
      <c r="Q217" s="35" t="str">
        <f>MID(Tabla1[[#This Row],[Aplicación]],14,1)</f>
        <v>2</v>
      </c>
      <c r="R217" s="35" t="s">
        <v>495</v>
      </c>
      <c r="S217" s="35" t="str">
        <f>MID(Tabla1[[#This Row],[Aplicación]],6,2)</f>
        <v>11</v>
      </c>
      <c r="T217" s="35" t="str">
        <f>VLOOKUP(Tabla1[[#This Row],[AREA]],Hoja1!A:B,2,FALSE)</f>
        <v>11. Salud pública y seguridad ciudadana</v>
      </c>
      <c r="U217" s="35" t="str">
        <f>MID(Tabla1[[#This Row],[Aplicación]],9,4)</f>
        <v>1321</v>
      </c>
      <c r="V217" s="35" t="str">
        <f>VLOOKUP(Tabla1[[#This Row],[PROGRAMA]],Hoja1!A:B,2,FALSE)</f>
        <v>1321. Policía municipal</v>
      </c>
      <c r="W217" s="35" t="str">
        <f>MID(Tabla1[[#This Row],[Aplicación]],14,2)</f>
        <v>21</v>
      </c>
      <c r="X217" s="35" t="str">
        <f>MID(Tabla1[[#This Row],[Aplicación]],14,6)</f>
        <v>213</v>
      </c>
    </row>
    <row r="218" spans="1:24" x14ac:dyDescent="0.25">
      <c r="A218" s="45">
        <v>220210003923</v>
      </c>
      <c r="B218" s="46" t="s">
        <v>32</v>
      </c>
      <c r="C218" s="47">
        <v>44243</v>
      </c>
      <c r="D218" s="45">
        <v>22021002671</v>
      </c>
      <c r="E218" s="46" t="s">
        <v>950</v>
      </c>
      <c r="F218" s="48">
        <v>105.19</v>
      </c>
      <c r="G218" s="46" t="s">
        <v>68</v>
      </c>
      <c r="H218" s="46" t="s">
        <v>1099</v>
      </c>
      <c r="I218" s="45" t="s">
        <v>234</v>
      </c>
      <c r="J218" s="46" t="s">
        <v>127</v>
      </c>
      <c r="K218" s="46" t="s">
        <v>127</v>
      </c>
      <c r="L218" s="46" t="s">
        <v>15</v>
      </c>
      <c r="M218" s="46" t="s">
        <v>13</v>
      </c>
      <c r="N218" s="46" t="s">
        <v>14</v>
      </c>
      <c r="O218" s="49" t="s">
        <v>803</v>
      </c>
      <c r="P218" s="46" t="s">
        <v>507</v>
      </c>
      <c r="Q218" s="35" t="str">
        <f>MID(Tabla1[[#This Row],[Aplicación]],14,1)</f>
        <v>2</v>
      </c>
      <c r="R218" s="35" t="s">
        <v>495</v>
      </c>
      <c r="S218" s="35" t="str">
        <f>MID(Tabla1[[#This Row],[Aplicación]],6,2)</f>
        <v>11</v>
      </c>
      <c r="T218" s="35" t="str">
        <f>VLOOKUP(Tabla1[[#This Row],[AREA]],Hoja1!A:B,2,FALSE)</f>
        <v>11. Salud pública y seguridad ciudadana</v>
      </c>
      <c r="U218" s="35" t="str">
        <f>MID(Tabla1[[#This Row],[Aplicación]],9,4)</f>
        <v>1321</v>
      </c>
      <c r="V218" s="35" t="str">
        <f>VLOOKUP(Tabla1[[#This Row],[PROGRAMA]],Hoja1!A:B,2,FALSE)</f>
        <v>1321. Policía municipal</v>
      </c>
      <c r="W218" s="35" t="str">
        <f>MID(Tabla1[[#This Row],[Aplicación]],14,2)</f>
        <v>21</v>
      </c>
      <c r="X218" s="35" t="str">
        <f>MID(Tabla1[[#This Row],[Aplicación]],14,6)</f>
        <v>213</v>
      </c>
    </row>
    <row r="219" spans="1:24" x14ac:dyDescent="0.25">
      <c r="A219" s="45">
        <v>220210003925</v>
      </c>
      <c r="B219" s="46" t="s">
        <v>32</v>
      </c>
      <c r="C219" s="47">
        <v>44243</v>
      </c>
      <c r="D219" s="45">
        <v>22021002672</v>
      </c>
      <c r="E219" s="46" t="s">
        <v>950</v>
      </c>
      <c r="F219" s="48">
        <v>54.38</v>
      </c>
      <c r="G219" s="46" t="s">
        <v>68</v>
      </c>
      <c r="H219" s="46" t="s">
        <v>1100</v>
      </c>
      <c r="I219" s="45" t="s">
        <v>234</v>
      </c>
      <c r="J219" s="46" t="s">
        <v>127</v>
      </c>
      <c r="K219" s="46" t="s">
        <v>127</v>
      </c>
      <c r="L219" s="46" t="s">
        <v>15</v>
      </c>
      <c r="M219" s="46" t="s">
        <v>13</v>
      </c>
      <c r="N219" s="46" t="s">
        <v>14</v>
      </c>
      <c r="O219" s="49" t="s">
        <v>803</v>
      </c>
      <c r="P219" s="46" t="s">
        <v>507</v>
      </c>
      <c r="Q219" s="35" t="str">
        <f>MID(Tabla1[[#This Row],[Aplicación]],14,1)</f>
        <v>2</v>
      </c>
      <c r="R219" s="35" t="s">
        <v>495</v>
      </c>
      <c r="S219" s="35" t="str">
        <f>MID(Tabla1[[#This Row],[Aplicación]],6,2)</f>
        <v>11</v>
      </c>
      <c r="T219" s="35" t="str">
        <f>VLOOKUP(Tabla1[[#This Row],[AREA]],Hoja1!A:B,2,FALSE)</f>
        <v>11. Salud pública y seguridad ciudadana</v>
      </c>
      <c r="U219" s="35" t="str">
        <f>MID(Tabla1[[#This Row],[Aplicación]],9,4)</f>
        <v>1321</v>
      </c>
      <c r="V219" s="35" t="str">
        <f>VLOOKUP(Tabla1[[#This Row],[PROGRAMA]],Hoja1!A:B,2,FALSE)</f>
        <v>1321. Policía municipal</v>
      </c>
      <c r="W219" s="35" t="str">
        <f>MID(Tabla1[[#This Row],[Aplicación]],14,2)</f>
        <v>21</v>
      </c>
      <c r="X219" s="35" t="str">
        <f>MID(Tabla1[[#This Row],[Aplicación]],14,6)</f>
        <v>213</v>
      </c>
    </row>
    <row r="220" spans="1:24" x14ac:dyDescent="0.25">
      <c r="A220" s="45">
        <v>220210003927</v>
      </c>
      <c r="B220" s="46" t="s">
        <v>32</v>
      </c>
      <c r="C220" s="47">
        <v>44243</v>
      </c>
      <c r="D220" s="45">
        <v>22021002673</v>
      </c>
      <c r="E220" s="46" t="s">
        <v>950</v>
      </c>
      <c r="F220" s="48">
        <v>37.76</v>
      </c>
      <c r="G220" s="46" t="s">
        <v>68</v>
      </c>
      <c r="H220" s="46" t="s">
        <v>1101</v>
      </c>
      <c r="I220" s="45" t="s">
        <v>234</v>
      </c>
      <c r="J220" s="46" t="s">
        <v>127</v>
      </c>
      <c r="K220" s="46" t="s">
        <v>127</v>
      </c>
      <c r="L220" s="46" t="s">
        <v>15</v>
      </c>
      <c r="M220" s="46" t="s">
        <v>13</v>
      </c>
      <c r="N220" s="46" t="s">
        <v>14</v>
      </c>
      <c r="O220" s="49" t="s">
        <v>803</v>
      </c>
      <c r="P220" s="46" t="s">
        <v>507</v>
      </c>
      <c r="Q220" s="35" t="str">
        <f>MID(Tabla1[[#This Row],[Aplicación]],14,1)</f>
        <v>2</v>
      </c>
      <c r="R220" s="35" t="s">
        <v>495</v>
      </c>
      <c r="S220" s="35" t="str">
        <f>MID(Tabla1[[#This Row],[Aplicación]],6,2)</f>
        <v>11</v>
      </c>
      <c r="T220" s="35" t="str">
        <f>VLOOKUP(Tabla1[[#This Row],[AREA]],Hoja1!A:B,2,FALSE)</f>
        <v>11. Salud pública y seguridad ciudadana</v>
      </c>
      <c r="U220" s="35" t="str">
        <f>MID(Tabla1[[#This Row],[Aplicación]],9,4)</f>
        <v>1321</v>
      </c>
      <c r="V220" s="35" t="str">
        <f>VLOOKUP(Tabla1[[#This Row],[PROGRAMA]],Hoja1!A:B,2,FALSE)</f>
        <v>1321. Policía municipal</v>
      </c>
      <c r="W220" s="35" t="str">
        <f>MID(Tabla1[[#This Row],[Aplicación]],14,2)</f>
        <v>21</v>
      </c>
      <c r="X220" s="35" t="str">
        <f>MID(Tabla1[[#This Row],[Aplicación]],14,6)</f>
        <v>213</v>
      </c>
    </row>
    <row r="221" spans="1:24" x14ac:dyDescent="0.25">
      <c r="A221" s="45">
        <v>220210003928</v>
      </c>
      <c r="B221" s="46" t="s">
        <v>32</v>
      </c>
      <c r="C221" s="47">
        <v>44243</v>
      </c>
      <c r="D221" s="45">
        <v>22021002674</v>
      </c>
      <c r="E221" s="46" t="s">
        <v>950</v>
      </c>
      <c r="F221" s="48">
        <v>120.7</v>
      </c>
      <c r="G221" s="46" t="s">
        <v>68</v>
      </c>
      <c r="H221" s="46" t="s">
        <v>1102</v>
      </c>
      <c r="I221" s="45" t="s">
        <v>234</v>
      </c>
      <c r="J221" s="46" t="s">
        <v>127</v>
      </c>
      <c r="K221" s="46" t="s">
        <v>127</v>
      </c>
      <c r="L221" s="46" t="s">
        <v>15</v>
      </c>
      <c r="M221" s="46" t="s">
        <v>13</v>
      </c>
      <c r="N221" s="46" t="s">
        <v>14</v>
      </c>
      <c r="O221" s="49" t="s">
        <v>803</v>
      </c>
      <c r="P221" s="46" t="s">
        <v>507</v>
      </c>
      <c r="Q221" s="35" t="str">
        <f>MID(Tabla1[[#This Row],[Aplicación]],14,1)</f>
        <v>2</v>
      </c>
      <c r="R221" s="35" t="s">
        <v>495</v>
      </c>
      <c r="S221" s="35" t="str">
        <f>MID(Tabla1[[#This Row],[Aplicación]],6,2)</f>
        <v>11</v>
      </c>
      <c r="T221" s="35" t="str">
        <f>VLOOKUP(Tabla1[[#This Row],[AREA]],Hoja1!A:B,2,FALSE)</f>
        <v>11. Salud pública y seguridad ciudadana</v>
      </c>
      <c r="U221" s="35" t="str">
        <f>MID(Tabla1[[#This Row],[Aplicación]],9,4)</f>
        <v>1321</v>
      </c>
      <c r="V221" s="35" t="str">
        <f>VLOOKUP(Tabla1[[#This Row],[PROGRAMA]],Hoja1!A:B,2,FALSE)</f>
        <v>1321. Policía municipal</v>
      </c>
      <c r="W221" s="35" t="str">
        <f>MID(Tabla1[[#This Row],[Aplicación]],14,2)</f>
        <v>21</v>
      </c>
      <c r="X221" s="35" t="str">
        <f>MID(Tabla1[[#This Row],[Aplicación]],14,6)</f>
        <v>213</v>
      </c>
    </row>
    <row r="222" spans="1:24" x14ac:dyDescent="0.25">
      <c r="A222" s="45">
        <v>220210003929</v>
      </c>
      <c r="B222" s="46" t="s">
        <v>32</v>
      </c>
      <c r="C222" s="47">
        <v>44243</v>
      </c>
      <c r="D222" s="45">
        <v>22021002675</v>
      </c>
      <c r="E222" s="46" t="s">
        <v>950</v>
      </c>
      <c r="F222" s="48">
        <v>6.92</v>
      </c>
      <c r="G222" s="46" t="s">
        <v>68</v>
      </c>
      <c r="H222" s="46" t="s">
        <v>1103</v>
      </c>
      <c r="I222" s="45" t="s">
        <v>234</v>
      </c>
      <c r="J222" s="46" t="s">
        <v>127</v>
      </c>
      <c r="K222" s="46" t="s">
        <v>127</v>
      </c>
      <c r="L222" s="46" t="s">
        <v>15</v>
      </c>
      <c r="M222" s="46" t="s">
        <v>13</v>
      </c>
      <c r="N222" s="46" t="s">
        <v>14</v>
      </c>
      <c r="O222" s="49" t="s">
        <v>803</v>
      </c>
      <c r="P222" s="46" t="s">
        <v>507</v>
      </c>
      <c r="Q222" s="35" t="str">
        <f>MID(Tabla1[[#This Row],[Aplicación]],14,1)</f>
        <v>2</v>
      </c>
      <c r="R222" s="35" t="s">
        <v>495</v>
      </c>
      <c r="S222" s="35" t="str">
        <f>MID(Tabla1[[#This Row],[Aplicación]],6,2)</f>
        <v>11</v>
      </c>
      <c r="T222" s="35" t="str">
        <f>VLOOKUP(Tabla1[[#This Row],[AREA]],Hoja1!A:B,2,FALSE)</f>
        <v>11. Salud pública y seguridad ciudadana</v>
      </c>
      <c r="U222" s="35" t="str">
        <f>MID(Tabla1[[#This Row],[Aplicación]],9,4)</f>
        <v>1321</v>
      </c>
      <c r="V222" s="35" t="str">
        <f>VLOOKUP(Tabla1[[#This Row],[PROGRAMA]],Hoja1!A:B,2,FALSE)</f>
        <v>1321. Policía municipal</v>
      </c>
      <c r="W222" s="35" t="str">
        <f>MID(Tabla1[[#This Row],[Aplicación]],14,2)</f>
        <v>21</v>
      </c>
      <c r="X222" s="35" t="str">
        <f>MID(Tabla1[[#This Row],[Aplicación]],14,6)</f>
        <v>213</v>
      </c>
    </row>
    <row r="223" spans="1:24" x14ac:dyDescent="0.25">
      <c r="A223" s="45">
        <v>220210003930</v>
      </c>
      <c r="B223" s="46" t="s">
        <v>32</v>
      </c>
      <c r="C223" s="47">
        <v>44243</v>
      </c>
      <c r="D223" s="45">
        <v>22021002676</v>
      </c>
      <c r="E223" s="46" t="s">
        <v>950</v>
      </c>
      <c r="F223" s="48">
        <v>15.52</v>
      </c>
      <c r="G223" s="46" t="s">
        <v>68</v>
      </c>
      <c r="H223" s="46" t="s">
        <v>1104</v>
      </c>
      <c r="I223" s="45" t="s">
        <v>234</v>
      </c>
      <c r="J223" s="46" t="s">
        <v>127</v>
      </c>
      <c r="K223" s="46" t="s">
        <v>127</v>
      </c>
      <c r="L223" s="46" t="s">
        <v>15</v>
      </c>
      <c r="M223" s="46" t="s">
        <v>13</v>
      </c>
      <c r="N223" s="46" t="s">
        <v>14</v>
      </c>
      <c r="O223" s="49" t="s">
        <v>803</v>
      </c>
      <c r="P223" s="46" t="s">
        <v>507</v>
      </c>
      <c r="Q223" s="35" t="str">
        <f>MID(Tabla1[[#This Row],[Aplicación]],14,1)</f>
        <v>2</v>
      </c>
      <c r="R223" s="35" t="s">
        <v>495</v>
      </c>
      <c r="S223" s="35" t="str">
        <f>MID(Tabla1[[#This Row],[Aplicación]],6,2)</f>
        <v>11</v>
      </c>
      <c r="T223" s="35" t="str">
        <f>VLOOKUP(Tabla1[[#This Row],[AREA]],Hoja1!A:B,2,FALSE)</f>
        <v>11. Salud pública y seguridad ciudadana</v>
      </c>
      <c r="U223" s="35" t="str">
        <f>MID(Tabla1[[#This Row],[Aplicación]],9,4)</f>
        <v>1321</v>
      </c>
      <c r="V223" s="35" t="str">
        <f>VLOOKUP(Tabla1[[#This Row],[PROGRAMA]],Hoja1!A:B,2,FALSE)</f>
        <v>1321. Policía municipal</v>
      </c>
      <c r="W223" s="35" t="str">
        <f>MID(Tabla1[[#This Row],[Aplicación]],14,2)</f>
        <v>21</v>
      </c>
      <c r="X223" s="35" t="str">
        <f>MID(Tabla1[[#This Row],[Aplicación]],14,6)</f>
        <v>213</v>
      </c>
    </row>
    <row r="224" spans="1:24" x14ac:dyDescent="0.25">
      <c r="A224" s="45">
        <v>220210003931</v>
      </c>
      <c r="B224" s="46" t="s">
        <v>32</v>
      </c>
      <c r="C224" s="47">
        <v>44243</v>
      </c>
      <c r="D224" s="45">
        <v>22021002677</v>
      </c>
      <c r="E224" s="46" t="s">
        <v>950</v>
      </c>
      <c r="F224" s="48">
        <v>31.82</v>
      </c>
      <c r="G224" s="46" t="s">
        <v>68</v>
      </c>
      <c r="H224" s="46" t="s">
        <v>1105</v>
      </c>
      <c r="I224" s="45" t="s">
        <v>234</v>
      </c>
      <c r="J224" s="46" t="s">
        <v>127</v>
      </c>
      <c r="K224" s="46" t="s">
        <v>127</v>
      </c>
      <c r="L224" s="46" t="s">
        <v>15</v>
      </c>
      <c r="M224" s="46" t="s">
        <v>13</v>
      </c>
      <c r="N224" s="46" t="s">
        <v>14</v>
      </c>
      <c r="O224" s="49" t="s">
        <v>803</v>
      </c>
      <c r="P224" s="46" t="s">
        <v>507</v>
      </c>
      <c r="Q224" s="35" t="str">
        <f>MID(Tabla1[[#This Row],[Aplicación]],14,1)</f>
        <v>2</v>
      </c>
      <c r="R224" s="35" t="s">
        <v>495</v>
      </c>
      <c r="S224" s="35" t="str">
        <f>MID(Tabla1[[#This Row],[Aplicación]],6,2)</f>
        <v>11</v>
      </c>
      <c r="T224" s="35" t="str">
        <f>VLOOKUP(Tabla1[[#This Row],[AREA]],Hoja1!A:B,2,FALSE)</f>
        <v>11. Salud pública y seguridad ciudadana</v>
      </c>
      <c r="U224" s="35" t="str">
        <f>MID(Tabla1[[#This Row],[Aplicación]],9,4)</f>
        <v>1321</v>
      </c>
      <c r="V224" s="35" t="str">
        <f>VLOOKUP(Tabla1[[#This Row],[PROGRAMA]],Hoja1!A:B,2,FALSE)</f>
        <v>1321. Policía municipal</v>
      </c>
      <c r="W224" s="35" t="str">
        <f>MID(Tabla1[[#This Row],[Aplicación]],14,2)</f>
        <v>21</v>
      </c>
      <c r="X224" s="35" t="str">
        <f>MID(Tabla1[[#This Row],[Aplicación]],14,6)</f>
        <v>213</v>
      </c>
    </row>
    <row r="225" spans="1:24" x14ac:dyDescent="0.25">
      <c r="A225" s="45">
        <v>220210003932</v>
      </c>
      <c r="B225" s="46" t="s">
        <v>32</v>
      </c>
      <c r="C225" s="47">
        <v>44243</v>
      </c>
      <c r="D225" s="45">
        <v>22021002678</v>
      </c>
      <c r="E225" s="46" t="s">
        <v>950</v>
      </c>
      <c r="F225" s="48">
        <v>300.82</v>
      </c>
      <c r="G225" s="46" t="s">
        <v>68</v>
      </c>
      <c r="H225" s="46" t="s">
        <v>1106</v>
      </c>
      <c r="I225" s="45" t="s">
        <v>234</v>
      </c>
      <c r="J225" s="46" t="s">
        <v>127</v>
      </c>
      <c r="K225" s="46" t="s">
        <v>127</v>
      </c>
      <c r="L225" s="46" t="s">
        <v>15</v>
      </c>
      <c r="M225" s="46" t="s">
        <v>13</v>
      </c>
      <c r="N225" s="46" t="s">
        <v>14</v>
      </c>
      <c r="O225" s="49" t="s">
        <v>803</v>
      </c>
      <c r="P225" s="46" t="s">
        <v>507</v>
      </c>
      <c r="Q225" s="35" t="str">
        <f>MID(Tabla1[[#This Row],[Aplicación]],14,1)</f>
        <v>2</v>
      </c>
      <c r="R225" s="35" t="s">
        <v>495</v>
      </c>
      <c r="S225" s="35" t="str">
        <f>MID(Tabla1[[#This Row],[Aplicación]],6,2)</f>
        <v>11</v>
      </c>
      <c r="T225" s="35" t="str">
        <f>VLOOKUP(Tabla1[[#This Row],[AREA]],Hoja1!A:B,2,FALSE)</f>
        <v>11. Salud pública y seguridad ciudadana</v>
      </c>
      <c r="U225" s="35" t="str">
        <f>MID(Tabla1[[#This Row],[Aplicación]],9,4)</f>
        <v>1321</v>
      </c>
      <c r="V225" s="35" t="str">
        <f>VLOOKUP(Tabla1[[#This Row],[PROGRAMA]],Hoja1!A:B,2,FALSE)</f>
        <v>1321. Policía municipal</v>
      </c>
      <c r="W225" s="35" t="str">
        <f>MID(Tabla1[[#This Row],[Aplicación]],14,2)</f>
        <v>21</v>
      </c>
      <c r="X225" s="35" t="str">
        <f>MID(Tabla1[[#This Row],[Aplicación]],14,6)</f>
        <v>213</v>
      </c>
    </row>
    <row r="226" spans="1:24" x14ac:dyDescent="0.25">
      <c r="A226" s="45">
        <v>220210003933</v>
      </c>
      <c r="B226" s="46" t="s">
        <v>32</v>
      </c>
      <c r="C226" s="47">
        <v>44243</v>
      </c>
      <c r="D226" s="45">
        <v>22021002679</v>
      </c>
      <c r="E226" s="46" t="s">
        <v>950</v>
      </c>
      <c r="F226" s="48">
        <v>186.8</v>
      </c>
      <c r="G226" s="46" t="s">
        <v>68</v>
      </c>
      <c r="H226" s="46" t="s">
        <v>1107</v>
      </c>
      <c r="I226" s="45" t="s">
        <v>234</v>
      </c>
      <c r="J226" s="46" t="s">
        <v>127</v>
      </c>
      <c r="K226" s="46" t="s">
        <v>127</v>
      </c>
      <c r="L226" s="46" t="s">
        <v>15</v>
      </c>
      <c r="M226" s="46" t="s">
        <v>13</v>
      </c>
      <c r="N226" s="46" t="s">
        <v>14</v>
      </c>
      <c r="O226" s="49" t="s">
        <v>803</v>
      </c>
      <c r="P226" s="46" t="s">
        <v>507</v>
      </c>
      <c r="Q226" s="35" t="str">
        <f>MID(Tabla1[[#This Row],[Aplicación]],14,1)</f>
        <v>2</v>
      </c>
      <c r="R226" s="35" t="s">
        <v>495</v>
      </c>
      <c r="S226" s="35" t="str">
        <f>MID(Tabla1[[#This Row],[Aplicación]],6,2)</f>
        <v>11</v>
      </c>
      <c r="T226" s="35" t="str">
        <f>VLOOKUP(Tabla1[[#This Row],[AREA]],Hoja1!A:B,2,FALSE)</f>
        <v>11. Salud pública y seguridad ciudadana</v>
      </c>
      <c r="U226" s="35" t="str">
        <f>MID(Tabla1[[#This Row],[Aplicación]],9,4)</f>
        <v>1321</v>
      </c>
      <c r="V226" s="35" t="str">
        <f>VLOOKUP(Tabla1[[#This Row],[PROGRAMA]],Hoja1!A:B,2,FALSE)</f>
        <v>1321. Policía municipal</v>
      </c>
      <c r="W226" s="35" t="str">
        <f>MID(Tabla1[[#This Row],[Aplicación]],14,2)</f>
        <v>21</v>
      </c>
      <c r="X226" s="35" t="str">
        <f>MID(Tabla1[[#This Row],[Aplicación]],14,6)</f>
        <v>213</v>
      </c>
    </row>
    <row r="227" spans="1:24" x14ac:dyDescent="0.25">
      <c r="A227" s="45">
        <v>220210003934</v>
      </c>
      <c r="B227" s="46" t="s">
        <v>32</v>
      </c>
      <c r="C227" s="47">
        <v>44243</v>
      </c>
      <c r="D227" s="45">
        <v>22021002680</v>
      </c>
      <c r="E227" s="46" t="s">
        <v>950</v>
      </c>
      <c r="F227" s="48">
        <v>59.94</v>
      </c>
      <c r="G227" s="46" t="s">
        <v>68</v>
      </c>
      <c r="H227" s="46" t="s">
        <v>1108</v>
      </c>
      <c r="I227" s="45" t="s">
        <v>234</v>
      </c>
      <c r="J227" s="46" t="s">
        <v>127</v>
      </c>
      <c r="K227" s="46" t="s">
        <v>127</v>
      </c>
      <c r="L227" s="46" t="s">
        <v>15</v>
      </c>
      <c r="M227" s="46" t="s">
        <v>13</v>
      </c>
      <c r="N227" s="46" t="s">
        <v>14</v>
      </c>
      <c r="O227" s="49" t="s">
        <v>803</v>
      </c>
      <c r="P227" s="46" t="s">
        <v>507</v>
      </c>
      <c r="Q227" s="35" t="str">
        <f>MID(Tabla1[[#This Row],[Aplicación]],14,1)</f>
        <v>2</v>
      </c>
      <c r="R227" s="35" t="s">
        <v>495</v>
      </c>
      <c r="S227" s="35" t="str">
        <f>MID(Tabla1[[#This Row],[Aplicación]],6,2)</f>
        <v>11</v>
      </c>
      <c r="T227" s="35" t="str">
        <f>VLOOKUP(Tabla1[[#This Row],[AREA]],Hoja1!A:B,2,FALSE)</f>
        <v>11. Salud pública y seguridad ciudadana</v>
      </c>
      <c r="U227" s="35" t="str">
        <f>MID(Tabla1[[#This Row],[Aplicación]],9,4)</f>
        <v>1321</v>
      </c>
      <c r="V227" s="35" t="str">
        <f>VLOOKUP(Tabla1[[#This Row],[PROGRAMA]],Hoja1!A:B,2,FALSE)</f>
        <v>1321. Policía municipal</v>
      </c>
      <c r="W227" s="35" t="str">
        <f>MID(Tabla1[[#This Row],[Aplicación]],14,2)</f>
        <v>21</v>
      </c>
      <c r="X227" s="35" t="str">
        <f>MID(Tabla1[[#This Row],[Aplicación]],14,6)</f>
        <v>213</v>
      </c>
    </row>
    <row r="228" spans="1:24" x14ac:dyDescent="0.25">
      <c r="A228" s="45">
        <v>220210003935</v>
      </c>
      <c r="B228" s="46" t="s">
        <v>32</v>
      </c>
      <c r="C228" s="47">
        <v>44243</v>
      </c>
      <c r="D228" s="45">
        <v>22021002681</v>
      </c>
      <c r="E228" s="46" t="s">
        <v>950</v>
      </c>
      <c r="F228" s="48">
        <v>240.95</v>
      </c>
      <c r="G228" s="46" t="s">
        <v>68</v>
      </c>
      <c r="H228" s="46" t="s">
        <v>1109</v>
      </c>
      <c r="I228" s="45" t="s">
        <v>234</v>
      </c>
      <c r="J228" s="46" t="s">
        <v>127</v>
      </c>
      <c r="K228" s="46" t="s">
        <v>127</v>
      </c>
      <c r="L228" s="46" t="s">
        <v>15</v>
      </c>
      <c r="M228" s="46" t="s">
        <v>13</v>
      </c>
      <c r="N228" s="46" t="s">
        <v>14</v>
      </c>
      <c r="O228" s="49" t="s">
        <v>803</v>
      </c>
      <c r="P228" s="46" t="s">
        <v>507</v>
      </c>
      <c r="Q228" s="35" t="str">
        <f>MID(Tabla1[[#This Row],[Aplicación]],14,1)</f>
        <v>2</v>
      </c>
      <c r="R228" s="35" t="s">
        <v>495</v>
      </c>
      <c r="S228" s="35" t="str">
        <f>MID(Tabla1[[#This Row],[Aplicación]],6,2)</f>
        <v>11</v>
      </c>
      <c r="T228" s="35" t="str">
        <f>VLOOKUP(Tabla1[[#This Row],[AREA]],Hoja1!A:B,2,FALSE)</f>
        <v>11. Salud pública y seguridad ciudadana</v>
      </c>
      <c r="U228" s="35" t="str">
        <f>MID(Tabla1[[#This Row],[Aplicación]],9,4)</f>
        <v>1321</v>
      </c>
      <c r="V228" s="35" t="str">
        <f>VLOOKUP(Tabla1[[#This Row],[PROGRAMA]],Hoja1!A:B,2,FALSE)</f>
        <v>1321. Policía municipal</v>
      </c>
      <c r="W228" s="35" t="str">
        <f>MID(Tabla1[[#This Row],[Aplicación]],14,2)</f>
        <v>21</v>
      </c>
      <c r="X228" s="35" t="str">
        <f>MID(Tabla1[[#This Row],[Aplicación]],14,6)</f>
        <v>213</v>
      </c>
    </row>
    <row r="229" spans="1:24" x14ac:dyDescent="0.25">
      <c r="A229" s="45">
        <v>220210003936</v>
      </c>
      <c r="B229" s="46" t="s">
        <v>32</v>
      </c>
      <c r="C229" s="47">
        <v>44243</v>
      </c>
      <c r="D229" s="45">
        <v>22021002682</v>
      </c>
      <c r="E229" s="46" t="s">
        <v>950</v>
      </c>
      <c r="F229" s="48">
        <v>197.84</v>
      </c>
      <c r="G229" s="46" t="s">
        <v>68</v>
      </c>
      <c r="H229" s="46" t="s">
        <v>1110</v>
      </c>
      <c r="I229" s="45" t="s">
        <v>234</v>
      </c>
      <c r="J229" s="46" t="s">
        <v>127</v>
      </c>
      <c r="K229" s="46" t="s">
        <v>127</v>
      </c>
      <c r="L229" s="46" t="s">
        <v>15</v>
      </c>
      <c r="M229" s="46" t="s">
        <v>13</v>
      </c>
      <c r="N229" s="46" t="s">
        <v>14</v>
      </c>
      <c r="O229" s="49" t="s">
        <v>803</v>
      </c>
      <c r="P229" s="46" t="s">
        <v>507</v>
      </c>
      <c r="Q229" s="35" t="str">
        <f>MID(Tabla1[[#This Row],[Aplicación]],14,1)</f>
        <v>2</v>
      </c>
      <c r="R229" s="35" t="s">
        <v>495</v>
      </c>
      <c r="S229" s="35" t="str">
        <f>MID(Tabla1[[#This Row],[Aplicación]],6,2)</f>
        <v>11</v>
      </c>
      <c r="T229" s="35" t="str">
        <f>VLOOKUP(Tabla1[[#This Row],[AREA]],Hoja1!A:B,2,FALSE)</f>
        <v>11. Salud pública y seguridad ciudadana</v>
      </c>
      <c r="U229" s="35" t="str">
        <f>MID(Tabla1[[#This Row],[Aplicación]],9,4)</f>
        <v>1321</v>
      </c>
      <c r="V229" s="35" t="str">
        <f>VLOOKUP(Tabla1[[#This Row],[PROGRAMA]],Hoja1!A:B,2,FALSE)</f>
        <v>1321. Policía municipal</v>
      </c>
      <c r="W229" s="35" t="str">
        <f>MID(Tabla1[[#This Row],[Aplicación]],14,2)</f>
        <v>21</v>
      </c>
      <c r="X229" s="35" t="str">
        <f>MID(Tabla1[[#This Row],[Aplicación]],14,6)</f>
        <v>213</v>
      </c>
    </row>
    <row r="230" spans="1:24" x14ac:dyDescent="0.25">
      <c r="A230" s="45">
        <v>220210004104</v>
      </c>
      <c r="B230" s="46" t="s">
        <v>32</v>
      </c>
      <c r="C230" s="47">
        <v>44244</v>
      </c>
      <c r="D230" s="45">
        <v>22021002686</v>
      </c>
      <c r="E230" s="46" t="s">
        <v>1061</v>
      </c>
      <c r="F230" s="48">
        <v>84.36</v>
      </c>
      <c r="G230" s="46" t="s">
        <v>68</v>
      </c>
      <c r="H230" s="46" t="s">
        <v>1111</v>
      </c>
      <c r="I230" s="45" t="s">
        <v>234</v>
      </c>
      <c r="J230" s="46" t="s">
        <v>127</v>
      </c>
      <c r="K230" s="46" t="s">
        <v>127</v>
      </c>
      <c r="L230" s="46" t="s">
        <v>15</v>
      </c>
      <c r="M230" s="46" t="s">
        <v>13</v>
      </c>
      <c r="N230" s="46" t="s">
        <v>14</v>
      </c>
      <c r="O230" s="49" t="s">
        <v>803</v>
      </c>
      <c r="P230" s="46" t="s">
        <v>507</v>
      </c>
      <c r="Q230" s="35" t="str">
        <f>MID(Tabla1[[#This Row],[Aplicación]],14,1)</f>
        <v>2</v>
      </c>
      <c r="R230" s="35" t="s">
        <v>495</v>
      </c>
      <c r="S230" s="35" t="str">
        <f>MID(Tabla1[[#This Row],[Aplicación]],6,2)</f>
        <v>01</v>
      </c>
      <c r="T230" s="35" t="str">
        <f>VLOOKUP(Tabla1[[#This Row],[AREA]],Hoja1!A:B,2,FALSE)</f>
        <v>01. Alcaldía</v>
      </c>
      <c r="U230" s="35" t="str">
        <f>MID(Tabla1[[#This Row],[Aplicación]],9,4)</f>
        <v>9201</v>
      </c>
      <c r="V230" s="35" t="str">
        <f>VLOOKUP(Tabla1[[#This Row],[PROGRAMA]],Hoja1!A:B,2,FALSE)</f>
        <v>9201. Secretaría General</v>
      </c>
      <c r="W230" s="35" t="str">
        <f>MID(Tabla1[[#This Row],[Aplicación]],14,2)</f>
        <v>20</v>
      </c>
      <c r="X230" s="35" t="str">
        <f>MID(Tabla1[[#This Row],[Aplicación]],14,6)</f>
        <v>203</v>
      </c>
    </row>
    <row r="231" spans="1:24" x14ac:dyDescent="0.25">
      <c r="A231" s="45">
        <v>220210004112</v>
      </c>
      <c r="B231" s="46" t="s">
        <v>32</v>
      </c>
      <c r="C231" s="47">
        <v>44244</v>
      </c>
      <c r="D231" s="45">
        <v>22021002691</v>
      </c>
      <c r="E231" s="46" t="s">
        <v>917</v>
      </c>
      <c r="F231" s="48">
        <v>31.84</v>
      </c>
      <c r="G231" s="46" t="s">
        <v>68</v>
      </c>
      <c r="H231" s="46" t="s">
        <v>1112</v>
      </c>
      <c r="I231" s="45" t="s">
        <v>234</v>
      </c>
      <c r="J231" s="46" t="s">
        <v>127</v>
      </c>
      <c r="K231" s="46" t="s">
        <v>127</v>
      </c>
      <c r="L231" s="46" t="s">
        <v>15</v>
      </c>
      <c r="M231" s="46" t="s">
        <v>13</v>
      </c>
      <c r="N231" s="46" t="s">
        <v>14</v>
      </c>
      <c r="O231" s="49" t="s">
        <v>803</v>
      </c>
      <c r="P231" s="46" t="s">
        <v>507</v>
      </c>
      <c r="Q231" s="35" t="str">
        <f>MID(Tabla1[[#This Row],[Aplicación]],14,1)</f>
        <v>2</v>
      </c>
      <c r="R231" s="35" t="s">
        <v>495</v>
      </c>
      <c r="S231" s="35" t="str">
        <f>MID(Tabla1[[#This Row],[Aplicación]],6,2)</f>
        <v>01</v>
      </c>
      <c r="T231" s="35" t="str">
        <f>VLOOKUP(Tabla1[[#This Row],[AREA]],Hoja1!A:B,2,FALSE)</f>
        <v>01. Alcaldía</v>
      </c>
      <c r="U231" s="35" t="str">
        <f>MID(Tabla1[[#This Row],[Aplicación]],9,4)</f>
        <v>9201</v>
      </c>
      <c r="V231" s="35" t="str">
        <f>VLOOKUP(Tabla1[[#This Row],[PROGRAMA]],Hoja1!A:B,2,FALSE)</f>
        <v>9201. Secretaría General</v>
      </c>
      <c r="W231" s="35" t="str">
        <f>MID(Tabla1[[#This Row],[Aplicación]],14,2)</f>
        <v>21</v>
      </c>
      <c r="X231" s="35" t="str">
        <f>MID(Tabla1[[#This Row],[Aplicación]],14,6)</f>
        <v>213</v>
      </c>
    </row>
    <row r="232" spans="1:24" x14ac:dyDescent="0.25">
      <c r="A232" s="45">
        <v>220210004130</v>
      </c>
      <c r="B232" s="46" t="s">
        <v>32</v>
      </c>
      <c r="C232" s="47">
        <v>44244</v>
      </c>
      <c r="D232" s="45">
        <v>22021002706</v>
      </c>
      <c r="E232" s="46" t="s">
        <v>954</v>
      </c>
      <c r="F232" s="48">
        <v>84.36</v>
      </c>
      <c r="G232" s="46" t="s">
        <v>68</v>
      </c>
      <c r="H232" s="46" t="s">
        <v>1113</v>
      </c>
      <c r="I232" s="45" t="s">
        <v>234</v>
      </c>
      <c r="J232" s="46" t="s">
        <v>127</v>
      </c>
      <c r="K232" s="46" t="s">
        <v>127</v>
      </c>
      <c r="L232" s="46" t="s">
        <v>15</v>
      </c>
      <c r="M232" s="46" t="s">
        <v>13</v>
      </c>
      <c r="N232" s="46" t="s">
        <v>14</v>
      </c>
      <c r="O232" s="49" t="s">
        <v>803</v>
      </c>
      <c r="P232" s="46" t="s">
        <v>507</v>
      </c>
      <c r="Q232" s="35" t="str">
        <f>MID(Tabla1[[#This Row],[Aplicación]],14,1)</f>
        <v>2</v>
      </c>
      <c r="R232" s="35" t="s">
        <v>495</v>
      </c>
      <c r="S232" s="35" t="str">
        <f>MID(Tabla1[[#This Row],[Aplicación]],6,2)</f>
        <v>03</v>
      </c>
      <c r="T232" s="35" t="str">
        <f>VLOOKUP(Tabla1[[#This Row],[AREA]],Hoja1!A:B,2,FALSE)</f>
        <v>03. Participación ciudadana y deportes</v>
      </c>
      <c r="U232" s="35" t="str">
        <f>MID(Tabla1[[#This Row],[Aplicación]],9,4)</f>
        <v>9241</v>
      </c>
      <c r="V232" s="35" t="str">
        <f>VLOOKUP(Tabla1[[#This Row],[PROGRAMA]],Hoja1!A:B,2,FALSE)</f>
        <v>9241. Participación ciudadana</v>
      </c>
      <c r="W232" s="35" t="str">
        <f>MID(Tabla1[[#This Row],[Aplicación]],14,2)</f>
        <v>20</v>
      </c>
      <c r="X232" s="35" t="str">
        <f>MID(Tabla1[[#This Row],[Aplicación]],14,6)</f>
        <v>203</v>
      </c>
    </row>
    <row r="233" spans="1:24" x14ac:dyDescent="0.25">
      <c r="A233" s="45">
        <v>220210004131</v>
      </c>
      <c r="B233" s="46" t="s">
        <v>32</v>
      </c>
      <c r="C233" s="47">
        <v>44244</v>
      </c>
      <c r="D233" s="45">
        <v>22021002707</v>
      </c>
      <c r="E233" s="46" t="s">
        <v>954</v>
      </c>
      <c r="F233" s="48">
        <v>84.36</v>
      </c>
      <c r="G233" s="46" t="s">
        <v>68</v>
      </c>
      <c r="H233" s="46" t="s">
        <v>1114</v>
      </c>
      <c r="I233" s="45" t="s">
        <v>234</v>
      </c>
      <c r="J233" s="46" t="s">
        <v>127</v>
      </c>
      <c r="K233" s="46" t="s">
        <v>127</v>
      </c>
      <c r="L233" s="46" t="s">
        <v>15</v>
      </c>
      <c r="M233" s="46" t="s">
        <v>13</v>
      </c>
      <c r="N233" s="46" t="s">
        <v>14</v>
      </c>
      <c r="O233" s="49" t="s">
        <v>803</v>
      </c>
      <c r="P233" s="46" t="s">
        <v>507</v>
      </c>
      <c r="Q233" s="35" t="str">
        <f>MID(Tabla1[[#This Row],[Aplicación]],14,1)</f>
        <v>2</v>
      </c>
      <c r="R233" s="35" t="s">
        <v>495</v>
      </c>
      <c r="S233" s="35" t="str">
        <f>MID(Tabla1[[#This Row],[Aplicación]],6,2)</f>
        <v>03</v>
      </c>
      <c r="T233" s="35" t="str">
        <f>VLOOKUP(Tabla1[[#This Row],[AREA]],Hoja1!A:B,2,FALSE)</f>
        <v>03. Participación ciudadana y deportes</v>
      </c>
      <c r="U233" s="35" t="str">
        <f>MID(Tabla1[[#This Row],[Aplicación]],9,4)</f>
        <v>9241</v>
      </c>
      <c r="V233" s="35" t="str">
        <f>VLOOKUP(Tabla1[[#This Row],[PROGRAMA]],Hoja1!A:B,2,FALSE)</f>
        <v>9241. Participación ciudadana</v>
      </c>
      <c r="W233" s="35" t="str">
        <f>MID(Tabla1[[#This Row],[Aplicación]],14,2)</f>
        <v>20</v>
      </c>
      <c r="X233" s="35" t="str">
        <f>MID(Tabla1[[#This Row],[Aplicación]],14,6)</f>
        <v>203</v>
      </c>
    </row>
    <row r="234" spans="1:24" x14ac:dyDescent="0.25">
      <c r="A234" s="45">
        <v>220210004132</v>
      </c>
      <c r="B234" s="46" t="s">
        <v>32</v>
      </c>
      <c r="C234" s="47">
        <v>44244</v>
      </c>
      <c r="D234" s="45">
        <v>22021002709</v>
      </c>
      <c r="E234" s="46" t="s">
        <v>954</v>
      </c>
      <c r="F234" s="48">
        <v>84.36</v>
      </c>
      <c r="G234" s="46" t="s">
        <v>68</v>
      </c>
      <c r="H234" s="46" t="s">
        <v>1115</v>
      </c>
      <c r="I234" s="45" t="s">
        <v>234</v>
      </c>
      <c r="J234" s="46" t="s">
        <v>127</v>
      </c>
      <c r="K234" s="46" t="s">
        <v>127</v>
      </c>
      <c r="L234" s="46" t="s">
        <v>15</v>
      </c>
      <c r="M234" s="46" t="s">
        <v>13</v>
      </c>
      <c r="N234" s="46" t="s">
        <v>14</v>
      </c>
      <c r="O234" s="49" t="s">
        <v>803</v>
      </c>
      <c r="P234" s="46" t="s">
        <v>507</v>
      </c>
      <c r="Q234" s="35" t="str">
        <f>MID(Tabla1[[#This Row],[Aplicación]],14,1)</f>
        <v>2</v>
      </c>
      <c r="R234" s="35" t="s">
        <v>495</v>
      </c>
      <c r="S234" s="35" t="str">
        <f>MID(Tabla1[[#This Row],[Aplicación]],6,2)</f>
        <v>03</v>
      </c>
      <c r="T234" s="35" t="str">
        <f>VLOOKUP(Tabla1[[#This Row],[AREA]],Hoja1!A:B,2,FALSE)</f>
        <v>03. Participación ciudadana y deportes</v>
      </c>
      <c r="U234" s="35" t="str">
        <f>MID(Tabla1[[#This Row],[Aplicación]],9,4)</f>
        <v>9241</v>
      </c>
      <c r="V234" s="35" t="str">
        <f>VLOOKUP(Tabla1[[#This Row],[PROGRAMA]],Hoja1!A:B,2,FALSE)</f>
        <v>9241. Participación ciudadana</v>
      </c>
      <c r="W234" s="35" t="str">
        <f>MID(Tabla1[[#This Row],[Aplicación]],14,2)</f>
        <v>20</v>
      </c>
      <c r="X234" s="35" t="str">
        <f>MID(Tabla1[[#This Row],[Aplicación]],14,6)</f>
        <v>203</v>
      </c>
    </row>
    <row r="235" spans="1:24" x14ac:dyDescent="0.25">
      <c r="A235" s="45">
        <v>220210004133</v>
      </c>
      <c r="B235" s="46" t="s">
        <v>32</v>
      </c>
      <c r="C235" s="47">
        <v>44244</v>
      </c>
      <c r="D235" s="45">
        <v>22021002710</v>
      </c>
      <c r="E235" s="46" t="s">
        <v>954</v>
      </c>
      <c r="F235" s="48">
        <v>84.36</v>
      </c>
      <c r="G235" s="46" t="s">
        <v>68</v>
      </c>
      <c r="H235" s="46" t="s">
        <v>1116</v>
      </c>
      <c r="I235" s="45" t="s">
        <v>234</v>
      </c>
      <c r="J235" s="46" t="s">
        <v>127</v>
      </c>
      <c r="K235" s="46" t="s">
        <v>127</v>
      </c>
      <c r="L235" s="46" t="s">
        <v>15</v>
      </c>
      <c r="M235" s="46" t="s">
        <v>13</v>
      </c>
      <c r="N235" s="46" t="s">
        <v>14</v>
      </c>
      <c r="O235" s="49" t="s">
        <v>803</v>
      </c>
      <c r="P235" s="46" t="s">
        <v>507</v>
      </c>
      <c r="Q235" s="35" t="str">
        <f>MID(Tabla1[[#This Row],[Aplicación]],14,1)</f>
        <v>2</v>
      </c>
      <c r="R235" s="35" t="s">
        <v>495</v>
      </c>
      <c r="S235" s="35" t="str">
        <f>MID(Tabla1[[#This Row],[Aplicación]],6,2)</f>
        <v>03</v>
      </c>
      <c r="T235" s="35" t="str">
        <f>VLOOKUP(Tabla1[[#This Row],[AREA]],Hoja1!A:B,2,FALSE)</f>
        <v>03. Participación ciudadana y deportes</v>
      </c>
      <c r="U235" s="35" t="str">
        <f>MID(Tabla1[[#This Row],[Aplicación]],9,4)</f>
        <v>9241</v>
      </c>
      <c r="V235" s="35" t="str">
        <f>VLOOKUP(Tabla1[[#This Row],[PROGRAMA]],Hoja1!A:B,2,FALSE)</f>
        <v>9241. Participación ciudadana</v>
      </c>
      <c r="W235" s="35" t="str">
        <f>MID(Tabla1[[#This Row],[Aplicación]],14,2)</f>
        <v>20</v>
      </c>
      <c r="X235" s="35" t="str">
        <f>MID(Tabla1[[#This Row],[Aplicación]],14,6)</f>
        <v>203</v>
      </c>
    </row>
    <row r="236" spans="1:24" x14ac:dyDescent="0.25">
      <c r="A236" s="45">
        <v>220210004134</v>
      </c>
      <c r="B236" s="46" t="s">
        <v>32</v>
      </c>
      <c r="C236" s="47">
        <v>44244</v>
      </c>
      <c r="D236" s="45">
        <v>22021002711</v>
      </c>
      <c r="E236" s="46" t="s">
        <v>954</v>
      </c>
      <c r="F236" s="48">
        <v>197.84</v>
      </c>
      <c r="G236" s="46" t="s">
        <v>68</v>
      </c>
      <c r="H236" s="46" t="s">
        <v>1117</v>
      </c>
      <c r="I236" s="45" t="s">
        <v>234</v>
      </c>
      <c r="J236" s="46" t="s">
        <v>127</v>
      </c>
      <c r="K236" s="46" t="s">
        <v>127</v>
      </c>
      <c r="L236" s="46" t="s">
        <v>15</v>
      </c>
      <c r="M236" s="46" t="s">
        <v>13</v>
      </c>
      <c r="N236" s="46" t="s">
        <v>14</v>
      </c>
      <c r="O236" s="49" t="s">
        <v>803</v>
      </c>
      <c r="P236" s="46" t="s">
        <v>507</v>
      </c>
      <c r="Q236" s="35" t="str">
        <f>MID(Tabla1[[#This Row],[Aplicación]],14,1)</f>
        <v>2</v>
      </c>
      <c r="R236" s="35" t="s">
        <v>495</v>
      </c>
      <c r="S236" s="35" t="str">
        <f>MID(Tabla1[[#This Row],[Aplicación]],6,2)</f>
        <v>03</v>
      </c>
      <c r="T236" s="35" t="str">
        <f>VLOOKUP(Tabla1[[#This Row],[AREA]],Hoja1!A:B,2,FALSE)</f>
        <v>03. Participación ciudadana y deportes</v>
      </c>
      <c r="U236" s="35" t="str">
        <f>MID(Tabla1[[#This Row],[Aplicación]],9,4)</f>
        <v>9241</v>
      </c>
      <c r="V236" s="35" t="str">
        <f>VLOOKUP(Tabla1[[#This Row],[PROGRAMA]],Hoja1!A:B,2,FALSE)</f>
        <v>9241. Participación ciudadana</v>
      </c>
      <c r="W236" s="35" t="str">
        <f>MID(Tabla1[[#This Row],[Aplicación]],14,2)</f>
        <v>20</v>
      </c>
      <c r="X236" s="35" t="str">
        <f>MID(Tabla1[[#This Row],[Aplicación]],14,6)</f>
        <v>203</v>
      </c>
    </row>
    <row r="237" spans="1:24" x14ac:dyDescent="0.25">
      <c r="A237" s="45">
        <v>220210004135</v>
      </c>
      <c r="B237" s="46" t="s">
        <v>32</v>
      </c>
      <c r="C237" s="47">
        <v>44244</v>
      </c>
      <c r="D237" s="45">
        <v>22021002712</v>
      </c>
      <c r="E237" s="46" t="s">
        <v>954</v>
      </c>
      <c r="F237" s="48">
        <v>23.44</v>
      </c>
      <c r="G237" s="46" t="s">
        <v>68</v>
      </c>
      <c r="H237" s="46" t="s">
        <v>1118</v>
      </c>
      <c r="I237" s="45" t="s">
        <v>234</v>
      </c>
      <c r="J237" s="46" t="s">
        <v>127</v>
      </c>
      <c r="K237" s="46" t="s">
        <v>127</v>
      </c>
      <c r="L237" s="46" t="s">
        <v>15</v>
      </c>
      <c r="M237" s="46" t="s">
        <v>13</v>
      </c>
      <c r="N237" s="46" t="s">
        <v>14</v>
      </c>
      <c r="O237" s="49" t="s">
        <v>803</v>
      </c>
      <c r="P237" s="46" t="s">
        <v>507</v>
      </c>
      <c r="Q237" s="35" t="str">
        <f>MID(Tabla1[[#This Row],[Aplicación]],14,1)</f>
        <v>2</v>
      </c>
      <c r="R237" s="35" t="s">
        <v>495</v>
      </c>
      <c r="S237" s="35" t="str">
        <f>MID(Tabla1[[#This Row],[Aplicación]],6,2)</f>
        <v>03</v>
      </c>
      <c r="T237" s="35" t="str">
        <f>VLOOKUP(Tabla1[[#This Row],[AREA]],Hoja1!A:B,2,FALSE)</f>
        <v>03. Participación ciudadana y deportes</v>
      </c>
      <c r="U237" s="35" t="str">
        <f>MID(Tabla1[[#This Row],[Aplicación]],9,4)</f>
        <v>9241</v>
      </c>
      <c r="V237" s="35" t="str">
        <f>VLOOKUP(Tabla1[[#This Row],[PROGRAMA]],Hoja1!A:B,2,FALSE)</f>
        <v>9241. Participación ciudadana</v>
      </c>
      <c r="W237" s="35" t="str">
        <f>MID(Tabla1[[#This Row],[Aplicación]],14,2)</f>
        <v>20</v>
      </c>
      <c r="X237" s="35" t="str">
        <f>MID(Tabla1[[#This Row],[Aplicación]],14,6)</f>
        <v>203</v>
      </c>
    </row>
    <row r="238" spans="1:24" x14ac:dyDescent="0.25">
      <c r="A238" s="45">
        <v>220210004136</v>
      </c>
      <c r="B238" s="46" t="s">
        <v>32</v>
      </c>
      <c r="C238" s="47">
        <v>44244</v>
      </c>
      <c r="D238" s="45">
        <v>22021002713</v>
      </c>
      <c r="E238" s="46" t="s">
        <v>954</v>
      </c>
      <c r="F238" s="48">
        <v>58.62</v>
      </c>
      <c r="G238" s="46" t="s">
        <v>68</v>
      </c>
      <c r="H238" s="46" t="s">
        <v>1119</v>
      </c>
      <c r="I238" s="45" t="s">
        <v>234</v>
      </c>
      <c r="J238" s="46" t="s">
        <v>127</v>
      </c>
      <c r="K238" s="46" t="s">
        <v>127</v>
      </c>
      <c r="L238" s="46" t="s">
        <v>15</v>
      </c>
      <c r="M238" s="46" t="s">
        <v>13</v>
      </c>
      <c r="N238" s="46" t="s">
        <v>14</v>
      </c>
      <c r="O238" s="49" t="s">
        <v>803</v>
      </c>
      <c r="P238" s="46" t="s">
        <v>507</v>
      </c>
      <c r="Q238" s="35" t="str">
        <f>MID(Tabla1[[#This Row],[Aplicación]],14,1)</f>
        <v>2</v>
      </c>
      <c r="R238" s="35" t="s">
        <v>495</v>
      </c>
      <c r="S238" s="35" t="str">
        <f>MID(Tabla1[[#This Row],[Aplicación]],6,2)</f>
        <v>03</v>
      </c>
      <c r="T238" s="35" t="str">
        <f>VLOOKUP(Tabla1[[#This Row],[AREA]],Hoja1!A:B,2,FALSE)</f>
        <v>03. Participación ciudadana y deportes</v>
      </c>
      <c r="U238" s="35" t="str">
        <f>MID(Tabla1[[#This Row],[Aplicación]],9,4)</f>
        <v>9241</v>
      </c>
      <c r="V238" s="35" t="str">
        <f>VLOOKUP(Tabla1[[#This Row],[PROGRAMA]],Hoja1!A:B,2,FALSE)</f>
        <v>9241. Participación ciudadana</v>
      </c>
      <c r="W238" s="35" t="str">
        <f>MID(Tabla1[[#This Row],[Aplicación]],14,2)</f>
        <v>20</v>
      </c>
      <c r="X238" s="35" t="str">
        <f>MID(Tabla1[[#This Row],[Aplicación]],14,6)</f>
        <v>203</v>
      </c>
    </row>
    <row r="239" spans="1:24" x14ac:dyDescent="0.25">
      <c r="A239" s="45">
        <v>220210004137</v>
      </c>
      <c r="B239" s="46" t="s">
        <v>32</v>
      </c>
      <c r="C239" s="47">
        <v>44244</v>
      </c>
      <c r="D239" s="45">
        <v>22021002714</v>
      </c>
      <c r="E239" s="46" t="s">
        <v>954</v>
      </c>
      <c r="F239" s="48">
        <v>14.33</v>
      </c>
      <c r="G239" s="46" t="s">
        <v>68</v>
      </c>
      <c r="H239" s="46" t="s">
        <v>1120</v>
      </c>
      <c r="I239" s="45" t="s">
        <v>234</v>
      </c>
      <c r="J239" s="46" t="s">
        <v>127</v>
      </c>
      <c r="K239" s="46" t="s">
        <v>127</v>
      </c>
      <c r="L239" s="46" t="s">
        <v>15</v>
      </c>
      <c r="M239" s="46" t="s">
        <v>13</v>
      </c>
      <c r="N239" s="46" t="s">
        <v>14</v>
      </c>
      <c r="O239" s="49" t="s">
        <v>803</v>
      </c>
      <c r="P239" s="46" t="s">
        <v>507</v>
      </c>
      <c r="Q239" s="35" t="str">
        <f>MID(Tabla1[[#This Row],[Aplicación]],14,1)</f>
        <v>2</v>
      </c>
      <c r="R239" s="35" t="s">
        <v>495</v>
      </c>
      <c r="S239" s="35" t="str">
        <f>MID(Tabla1[[#This Row],[Aplicación]],6,2)</f>
        <v>03</v>
      </c>
      <c r="T239" s="35" t="str">
        <f>VLOOKUP(Tabla1[[#This Row],[AREA]],Hoja1!A:B,2,FALSE)</f>
        <v>03. Participación ciudadana y deportes</v>
      </c>
      <c r="U239" s="35" t="str">
        <f>MID(Tabla1[[#This Row],[Aplicación]],9,4)</f>
        <v>9241</v>
      </c>
      <c r="V239" s="35" t="str">
        <f>VLOOKUP(Tabla1[[#This Row],[PROGRAMA]],Hoja1!A:B,2,FALSE)</f>
        <v>9241. Participación ciudadana</v>
      </c>
      <c r="W239" s="35" t="str">
        <f>MID(Tabla1[[#This Row],[Aplicación]],14,2)</f>
        <v>20</v>
      </c>
      <c r="X239" s="35" t="str">
        <f>MID(Tabla1[[#This Row],[Aplicación]],14,6)</f>
        <v>203</v>
      </c>
    </row>
    <row r="240" spans="1:24" x14ac:dyDescent="0.25">
      <c r="A240" s="45">
        <v>220210004138</v>
      </c>
      <c r="B240" s="46" t="s">
        <v>32</v>
      </c>
      <c r="C240" s="47">
        <v>44244</v>
      </c>
      <c r="D240" s="45">
        <v>22021002715</v>
      </c>
      <c r="E240" s="46" t="s">
        <v>954</v>
      </c>
      <c r="F240" s="48">
        <v>193.38</v>
      </c>
      <c r="G240" s="46" t="s">
        <v>68</v>
      </c>
      <c r="H240" s="46" t="s">
        <v>1121</v>
      </c>
      <c r="I240" s="45" t="s">
        <v>234</v>
      </c>
      <c r="J240" s="46" t="s">
        <v>127</v>
      </c>
      <c r="K240" s="46" t="s">
        <v>127</v>
      </c>
      <c r="L240" s="46" t="s">
        <v>15</v>
      </c>
      <c r="M240" s="46" t="s">
        <v>13</v>
      </c>
      <c r="N240" s="46" t="s">
        <v>16</v>
      </c>
      <c r="O240" s="49" t="s">
        <v>803</v>
      </c>
      <c r="P240" s="46" t="s">
        <v>507</v>
      </c>
      <c r="Q240" s="35" t="str">
        <f>MID(Tabla1[[#This Row],[Aplicación]],14,1)</f>
        <v>2</v>
      </c>
      <c r="R240" s="35" t="s">
        <v>495</v>
      </c>
      <c r="S240" s="35" t="str">
        <f>MID(Tabla1[[#This Row],[Aplicación]],6,2)</f>
        <v>03</v>
      </c>
      <c r="T240" s="35" t="str">
        <f>VLOOKUP(Tabla1[[#This Row],[AREA]],Hoja1!A:B,2,FALSE)</f>
        <v>03. Participación ciudadana y deportes</v>
      </c>
      <c r="U240" s="35" t="str">
        <f>MID(Tabla1[[#This Row],[Aplicación]],9,4)</f>
        <v>9241</v>
      </c>
      <c r="V240" s="35" t="str">
        <f>VLOOKUP(Tabla1[[#This Row],[PROGRAMA]],Hoja1!A:B,2,FALSE)</f>
        <v>9241. Participación ciudadana</v>
      </c>
      <c r="W240" s="35" t="str">
        <f>MID(Tabla1[[#This Row],[Aplicación]],14,2)</f>
        <v>20</v>
      </c>
      <c r="X240" s="35" t="str">
        <f>MID(Tabla1[[#This Row],[Aplicación]],14,6)</f>
        <v>203</v>
      </c>
    </row>
    <row r="241" spans="1:24" x14ac:dyDescent="0.25">
      <c r="A241" s="45">
        <v>220210004139</v>
      </c>
      <c r="B241" s="46" t="s">
        <v>32</v>
      </c>
      <c r="C241" s="47">
        <v>44244</v>
      </c>
      <c r="D241" s="45">
        <v>22021002716</v>
      </c>
      <c r="E241" s="46" t="s">
        <v>954</v>
      </c>
      <c r="F241" s="48">
        <v>332.7</v>
      </c>
      <c r="G241" s="46" t="s">
        <v>68</v>
      </c>
      <c r="H241" s="46" t="s">
        <v>1122</v>
      </c>
      <c r="I241" s="45" t="s">
        <v>234</v>
      </c>
      <c r="J241" s="46" t="s">
        <v>127</v>
      </c>
      <c r="K241" s="46" t="s">
        <v>127</v>
      </c>
      <c r="L241" s="46" t="s">
        <v>15</v>
      </c>
      <c r="M241" s="46" t="s">
        <v>13</v>
      </c>
      <c r="N241" s="46" t="s">
        <v>16</v>
      </c>
      <c r="O241" s="49" t="s">
        <v>803</v>
      </c>
      <c r="P241" s="46" t="s">
        <v>507</v>
      </c>
      <c r="Q241" s="35" t="str">
        <f>MID(Tabla1[[#This Row],[Aplicación]],14,1)</f>
        <v>2</v>
      </c>
      <c r="R241" s="35" t="s">
        <v>495</v>
      </c>
      <c r="S241" s="35" t="str">
        <f>MID(Tabla1[[#This Row],[Aplicación]],6,2)</f>
        <v>03</v>
      </c>
      <c r="T241" s="35" t="str">
        <f>VLOOKUP(Tabla1[[#This Row],[AREA]],Hoja1!A:B,2,FALSE)</f>
        <v>03. Participación ciudadana y deportes</v>
      </c>
      <c r="U241" s="35" t="str">
        <f>MID(Tabla1[[#This Row],[Aplicación]],9,4)</f>
        <v>9241</v>
      </c>
      <c r="V241" s="35" t="str">
        <f>VLOOKUP(Tabla1[[#This Row],[PROGRAMA]],Hoja1!A:B,2,FALSE)</f>
        <v>9241. Participación ciudadana</v>
      </c>
      <c r="W241" s="35" t="str">
        <f>MID(Tabla1[[#This Row],[Aplicación]],14,2)</f>
        <v>20</v>
      </c>
      <c r="X241" s="35" t="str">
        <f>MID(Tabla1[[#This Row],[Aplicación]],14,6)</f>
        <v>203</v>
      </c>
    </row>
    <row r="242" spans="1:24" x14ac:dyDescent="0.25">
      <c r="A242" s="45">
        <v>220210004140</v>
      </c>
      <c r="B242" s="46" t="s">
        <v>32</v>
      </c>
      <c r="C242" s="47">
        <v>44244</v>
      </c>
      <c r="D242" s="45">
        <v>22021002718</v>
      </c>
      <c r="E242" s="46" t="s">
        <v>954</v>
      </c>
      <c r="F242" s="48">
        <v>40.96</v>
      </c>
      <c r="G242" s="46" t="s">
        <v>68</v>
      </c>
      <c r="H242" s="46" t="s">
        <v>1123</v>
      </c>
      <c r="I242" s="45" t="s">
        <v>234</v>
      </c>
      <c r="J242" s="46" t="s">
        <v>127</v>
      </c>
      <c r="K242" s="46" t="s">
        <v>127</v>
      </c>
      <c r="L242" s="46" t="s">
        <v>15</v>
      </c>
      <c r="M242" s="46" t="s">
        <v>13</v>
      </c>
      <c r="N242" s="46" t="s">
        <v>16</v>
      </c>
      <c r="O242" s="49" t="s">
        <v>803</v>
      </c>
      <c r="P242" s="46" t="s">
        <v>507</v>
      </c>
      <c r="Q242" s="35" t="str">
        <f>MID(Tabla1[[#This Row],[Aplicación]],14,1)</f>
        <v>2</v>
      </c>
      <c r="R242" s="35" t="s">
        <v>495</v>
      </c>
      <c r="S242" s="35" t="str">
        <f>MID(Tabla1[[#This Row],[Aplicación]],6,2)</f>
        <v>03</v>
      </c>
      <c r="T242" s="35" t="str">
        <f>VLOOKUP(Tabla1[[#This Row],[AREA]],Hoja1!A:B,2,FALSE)</f>
        <v>03. Participación ciudadana y deportes</v>
      </c>
      <c r="U242" s="35" t="str">
        <f>MID(Tabla1[[#This Row],[Aplicación]],9,4)</f>
        <v>9241</v>
      </c>
      <c r="V242" s="35" t="str">
        <f>VLOOKUP(Tabla1[[#This Row],[PROGRAMA]],Hoja1!A:B,2,FALSE)</f>
        <v>9241. Participación ciudadana</v>
      </c>
      <c r="W242" s="35" t="str">
        <f>MID(Tabla1[[#This Row],[Aplicación]],14,2)</f>
        <v>20</v>
      </c>
      <c r="X242" s="35" t="str">
        <f>MID(Tabla1[[#This Row],[Aplicación]],14,6)</f>
        <v>203</v>
      </c>
    </row>
    <row r="243" spans="1:24" x14ac:dyDescent="0.25">
      <c r="A243" s="45">
        <v>220210004141</v>
      </c>
      <c r="B243" s="46" t="s">
        <v>32</v>
      </c>
      <c r="C243" s="47">
        <v>44244</v>
      </c>
      <c r="D243" s="45">
        <v>22021002719</v>
      </c>
      <c r="E243" s="46" t="s">
        <v>954</v>
      </c>
      <c r="F243" s="48">
        <v>88</v>
      </c>
      <c r="G243" s="46" t="s">
        <v>68</v>
      </c>
      <c r="H243" s="46" t="s">
        <v>1124</v>
      </c>
      <c r="I243" s="45" t="s">
        <v>234</v>
      </c>
      <c r="J243" s="46" t="s">
        <v>127</v>
      </c>
      <c r="K243" s="46" t="s">
        <v>127</v>
      </c>
      <c r="L243" s="46" t="s">
        <v>15</v>
      </c>
      <c r="M243" s="46" t="s">
        <v>13</v>
      </c>
      <c r="N243" s="46" t="s">
        <v>16</v>
      </c>
      <c r="O243" s="49" t="s">
        <v>803</v>
      </c>
      <c r="P243" s="46" t="s">
        <v>507</v>
      </c>
      <c r="Q243" s="35" t="str">
        <f>MID(Tabla1[[#This Row],[Aplicación]],14,1)</f>
        <v>2</v>
      </c>
      <c r="R243" s="35" t="s">
        <v>495</v>
      </c>
      <c r="S243" s="35" t="str">
        <f>MID(Tabla1[[#This Row],[Aplicación]],6,2)</f>
        <v>03</v>
      </c>
      <c r="T243" s="35" t="str">
        <f>VLOOKUP(Tabla1[[#This Row],[AREA]],Hoja1!A:B,2,FALSE)</f>
        <v>03. Participación ciudadana y deportes</v>
      </c>
      <c r="U243" s="35" t="str">
        <f>MID(Tabla1[[#This Row],[Aplicación]],9,4)</f>
        <v>9241</v>
      </c>
      <c r="V243" s="35" t="str">
        <f>VLOOKUP(Tabla1[[#This Row],[PROGRAMA]],Hoja1!A:B,2,FALSE)</f>
        <v>9241. Participación ciudadana</v>
      </c>
      <c r="W243" s="35" t="str">
        <f>MID(Tabla1[[#This Row],[Aplicación]],14,2)</f>
        <v>20</v>
      </c>
      <c r="X243" s="35" t="str">
        <f>MID(Tabla1[[#This Row],[Aplicación]],14,6)</f>
        <v>203</v>
      </c>
    </row>
    <row r="244" spans="1:24" x14ac:dyDescent="0.25">
      <c r="A244" s="45">
        <v>220210004142</v>
      </c>
      <c r="B244" s="46" t="s">
        <v>32</v>
      </c>
      <c r="C244" s="47">
        <v>44244</v>
      </c>
      <c r="D244" s="45">
        <v>22021002720</v>
      </c>
      <c r="E244" s="46" t="s">
        <v>954</v>
      </c>
      <c r="F244" s="48">
        <v>104.01</v>
      </c>
      <c r="G244" s="46" t="s">
        <v>68</v>
      </c>
      <c r="H244" s="46" t="s">
        <v>1125</v>
      </c>
      <c r="I244" s="45" t="s">
        <v>234</v>
      </c>
      <c r="J244" s="46" t="s">
        <v>127</v>
      </c>
      <c r="K244" s="46" t="s">
        <v>127</v>
      </c>
      <c r="L244" s="46" t="s">
        <v>15</v>
      </c>
      <c r="M244" s="46" t="s">
        <v>13</v>
      </c>
      <c r="N244" s="46" t="s">
        <v>16</v>
      </c>
      <c r="O244" s="49" t="s">
        <v>803</v>
      </c>
      <c r="P244" s="46" t="s">
        <v>507</v>
      </c>
      <c r="Q244" s="35" t="str">
        <f>MID(Tabla1[[#This Row],[Aplicación]],14,1)</f>
        <v>2</v>
      </c>
      <c r="R244" s="35" t="s">
        <v>495</v>
      </c>
      <c r="S244" s="35" t="str">
        <f>MID(Tabla1[[#This Row],[Aplicación]],6,2)</f>
        <v>03</v>
      </c>
      <c r="T244" s="35" t="str">
        <f>VLOOKUP(Tabla1[[#This Row],[AREA]],Hoja1!A:B,2,FALSE)</f>
        <v>03. Participación ciudadana y deportes</v>
      </c>
      <c r="U244" s="35" t="str">
        <f>MID(Tabla1[[#This Row],[Aplicación]],9,4)</f>
        <v>9241</v>
      </c>
      <c r="V244" s="35" t="str">
        <f>VLOOKUP(Tabla1[[#This Row],[PROGRAMA]],Hoja1!A:B,2,FALSE)</f>
        <v>9241. Participación ciudadana</v>
      </c>
      <c r="W244" s="35" t="str">
        <f>MID(Tabla1[[#This Row],[Aplicación]],14,2)</f>
        <v>20</v>
      </c>
      <c r="X244" s="35" t="str">
        <f>MID(Tabla1[[#This Row],[Aplicación]],14,6)</f>
        <v>203</v>
      </c>
    </row>
    <row r="245" spans="1:24" x14ac:dyDescent="0.25">
      <c r="A245" s="45">
        <v>220210004143</v>
      </c>
      <c r="B245" s="46" t="s">
        <v>32</v>
      </c>
      <c r="C245" s="47">
        <v>44244</v>
      </c>
      <c r="D245" s="45">
        <v>22021002721</v>
      </c>
      <c r="E245" s="46" t="s">
        <v>954</v>
      </c>
      <c r="F245" s="48">
        <v>282.7</v>
      </c>
      <c r="G245" s="46" t="s">
        <v>68</v>
      </c>
      <c r="H245" s="46" t="s">
        <v>1126</v>
      </c>
      <c r="I245" s="45" t="s">
        <v>234</v>
      </c>
      <c r="J245" s="46" t="s">
        <v>127</v>
      </c>
      <c r="K245" s="46" t="s">
        <v>127</v>
      </c>
      <c r="L245" s="46" t="s">
        <v>15</v>
      </c>
      <c r="M245" s="46" t="s">
        <v>13</v>
      </c>
      <c r="N245" s="46" t="s">
        <v>16</v>
      </c>
      <c r="O245" s="49" t="s">
        <v>803</v>
      </c>
      <c r="P245" s="46" t="s">
        <v>507</v>
      </c>
      <c r="Q245" s="35" t="str">
        <f>MID(Tabla1[[#This Row],[Aplicación]],14,1)</f>
        <v>2</v>
      </c>
      <c r="R245" s="35" t="s">
        <v>495</v>
      </c>
      <c r="S245" s="35" t="str">
        <f>MID(Tabla1[[#This Row],[Aplicación]],6,2)</f>
        <v>03</v>
      </c>
      <c r="T245" s="35" t="str">
        <f>VLOOKUP(Tabla1[[#This Row],[AREA]],Hoja1!A:B,2,FALSE)</f>
        <v>03. Participación ciudadana y deportes</v>
      </c>
      <c r="U245" s="35" t="str">
        <f>MID(Tabla1[[#This Row],[Aplicación]],9,4)</f>
        <v>9241</v>
      </c>
      <c r="V245" s="35" t="str">
        <f>VLOOKUP(Tabla1[[#This Row],[PROGRAMA]],Hoja1!A:B,2,FALSE)</f>
        <v>9241. Participación ciudadana</v>
      </c>
      <c r="W245" s="35" t="str">
        <f>MID(Tabla1[[#This Row],[Aplicación]],14,2)</f>
        <v>20</v>
      </c>
      <c r="X245" s="35" t="str">
        <f>MID(Tabla1[[#This Row],[Aplicación]],14,6)</f>
        <v>203</v>
      </c>
    </row>
    <row r="246" spans="1:24" x14ac:dyDescent="0.25">
      <c r="A246" s="45">
        <v>220210004186</v>
      </c>
      <c r="B246" s="46" t="s">
        <v>32</v>
      </c>
      <c r="C246" s="47">
        <v>44244</v>
      </c>
      <c r="D246" s="45">
        <v>22021002829</v>
      </c>
      <c r="E246" s="46" t="s">
        <v>980</v>
      </c>
      <c r="F246" s="48">
        <v>197.84</v>
      </c>
      <c r="G246" s="46" t="s">
        <v>68</v>
      </c>
      <c r="H246" s="46" t="s">
        <v>1127</v>
      </c>
      <c r="I246" s="45" t="s">
        <v>234</v>
      </c>
      <c r="J246" s="46" t="s">
        <v>127</v>
      </c>
      <c r="K246" s="46" t="s">
        <v>127</v>
      </c>
      <c r="L246" s="46" t="s">
        <v>15</v>
      </c>
      <c r="M246" s="46" t="s">
        <v>13</v>
      </c>
      <c r="N246" s="46" t="s">
        <v>14</v>
      </c>
      <c r="O246" s="49" t="s">
        <v>803</v>
      </c>
      <c r="P246" s="46" t="s">
        <v>507</v>
      </c>
      <c r="Q246" s="35" t="str">
        <f>MID(Tabla1[[#This Row],[Aplicación]],14,1)</f>
        <v>2</v>
      </c>
      <c r="R246" s="35" t="s">
        <v>495</v>
      </c>
      <c r="S246" s="35" t="str">
        <f>MID(Tabla1[[#This Row],[Aplicación]],6,2)</f>
        <v>11</v>
      </c>
      <c r="T246" s="35" t="str">
        <f>VLOOKUP(Tabla1[[#This Row],[AREA]],Hoja1!A:B,2,FALSE)</f>
        <v>11. Salud pública y seguridad ciudadana</v>
      </c>
      <c r="U246" s="35" t="str">
        <f>MID(Tabla1[[#This Row],[Aplicación]],9,4)</f>
        <v>1361</v>
      </c>
      <c r="V246" s="35" t="str">
        <f>VLOOKUP(Tabla1[[#This Row],[PROGRAMA]],Hoja1!A:B,2,FALSE)</f>
        <v>1361. Prevención y extinción de incencios</v>
      </c>
      <c r="W246" s="35" t="str">
        <f>MID(Tabla1[[#This Row],[Aplicación]],14,2)</f>
        <v>21</v>
      </c>
      <c r="X246" s="35" t="str">
        <f>MID(Tabla1[[#This Row],[Aplicación]],14,6)</f>
        <v>213</v>
      </c>
    </row>
    <row r="247" spans="1:24" x14ac:dyDescent="0.25">
      <c r="A247" s="45">
        <v>220210004187</v>
      </c>
      <c r="B247" s="46" t="s">
        <v>32</v>
      </c>
      <c r="C247" s="47">
        <v>44244</v>
      </c>
      <c r="D247" s="45">
        <v>22021002830</v>
      </c>
      <c r="E247" s="46" t="s">
        <v>980</v>
      </c>
      <c r="F247" s="48">
        <v>123.16</v>
      </c>
      <c r="G247" s="46" t="s">
        <v>68</v>
      </c>
      <c r="H247" s="46" t="s">
        <v>1128</v>
      </c>
      <c r="I247" s="45" t="s">
        <v>234</v>
      </c>
      <c r="J247" s="46" t="s">
        <v>127</v>
      </c>
      <c r="K247" s="46" t="s">
        <v>127</v>
      </c>
      <c r="L247" s="46" t="s">
        <v>15</v>
      </c>
      <c r="M247" s="46" t="s">
        <v>13</v>
      </c>
      <c r="N247" s="46" t="s">
        <v>14</v>
      </c>
      <c r="O247" s="49" t="s">
        <v>803</v>
      </c>
      <c r="P247" s="46" t="s">
        <v>507</v>
      </c>
      <c r="Q247" s="35" t="str">
        <f>MID(Tabla1[[#This Row],[Aplicación]],14,1)</f>
        <v>2</v>
      </c>
      <c r="R247" s="35" t="s">
        <v>495</v>
      </c>
      <c r="S247" s="35" t="str">
        <f>MID(Tabla1[[#This Row],[Aplicación]],6,2)</f>
        <v>11</v>
      </c>
      <c r="T247" s="35" t="str">
        <f>VLOOKUP(Tabla1[[#This Row],[AREA]],Hoja1!A:B,2,FALSE)</f>
        <v>11. Salud pública y seguridad ciudadana</v>
      </c>
      <c r="U247" s="35" t="str">
        <f>MID(Tabla1[[#This Row],[Aplicación]],9,4)</f>
        <v>1361</v>
      </c>
      <c r="V247" s="35" t="str">
        <f>VLOOKUP(Tabla1[[#This Row],[PROGRAMA]],Hoja1!A:B,2,FALSE)</f>
        <v>1361. Prevención y extinción de incencios</v>
      </c>
      <c r="W247" s="35" t="str">
        <f>MID(Tabla1[[#This Row],[Aplicación]],14,2)</f>
        <v>21</v>
      </c>
      <c r="X247" s="35" t="str">
        <f>MID(Tabla1[[#This Row],[Aplicación]],14,6)</f>
        <v>213</v>
      </c>
    </row>
    <row r="248" spans="1:24" x14ac:dyDescent="0.25">
      <c r="A248" s="45">
        <v>220210004188</v>
      </c>
      <c r="B248" s="46" t="s">
        <v>32</v>
      </c>
      <c r="C248" s="47">
        <v>44244</v>
      </c>
      <c r="D248" s="45">
        <v>22021002831</v>
      </c>
      <c r="E248" s="46" t="s">
        <v>980</v>
      </c>
      <c r="F248" s="48">
        <v>197.84</v>
      </c>
      <c r="G248" s="46" t="s">
        <v>68</v>
      </c>
      <c r="H248" s="46" t="s">
        <v>1129</v>
      </c>
      <c r="I248" s="45" t="s">
        <v>234</v>
      </c>
      <c r="J248" s="46" t="s">
        <v>127</v>
      </c>
      <c r="K248" s="46" t="s">
        <v>127</v>
      </c>
      <c r="L248" s="46" t="s">
        <v>15</v>
      </c>
      <c r="M248" s="46" t="s">
        <v>13</v>
      </c>
      <c r="N248" s="46" t="s">
        <v>14</v>
      </c>
      <c r="O248" s="49" t="s">
        <v>803</v>
      </c>
      <c r="P248" s="46" t="s">
        <v>507</v>
      </c>
      <c r="Q248" s="35" t="str">
        <f>MID(Tabla1[[#This Row],[Aplicación]],14,1)</f>
        <v>2</v>
      </c>
      <c r="R248" s="35" t="s">
        <v>495</v>
      </c>
      <c r="S248" s="35" t="str">
        <f>MID(Tabla1[[#This Row],[Aplicación]],6,2)</f>
        <v>11</v>
      </c>
      <c r="T248" s="35" t="str">
        <f>VLOOKUP(Tabla1[[#This Row],[AREA]],Hoja1!A:B,2,FALSE)</f>
        <v>11. Salud pública y seguridad ciudadana</v>
      </c>
      <c r="U248" s="35" t="str">
        <f>MID(Tabla1[[#This Row],[Aplicación]],9,4)</f>
        <v>1361</v>
      </c>
      <c r="V248" s="35" t="str">
        <f>VLOOKUP(Tabla1[[#This Row],[PROGRAMA]],Hoja1!A:B,2,FALSE)</f>
        <v>1361. Prevención y extinción de incencios</v>
      </c>
      <c r="W248" s="35" t="str">
        <f>MID(Tabla1[[#This Row],[Aplicación]],14,2)</f>
        <v>21</v>
      </c>
      <c r="X248" s="35" t="str">
        <f>MID(Tabla1[[#This Row],[Aplicación]],14,6)</f>
        <v>213</v>
      </c>
    </row>
    <row r="249" spans="1:24" x14ac:dyDescent="0.25">
      <c r="A249" s="45">
        <v>220210004491</v>
      </c>
      <c r="B249" s="46" t="s">
        <v>32</v>
      </c>
      <c r="C249" s="47">
        <v>44246</v>
      </c>
      <c r="D249" s="45">
        <v>22021002696</v>
      </c>
      <c r="E249" s="46" t="s">
        <v>886</v>
      </c>
      <c r="F249" s="48">
        <v>41.12</v>
      </c>
      <c r="G249" s="46" t="s">
        <v>68</v>
      </c>
      <c r="H249" s="46" t="s">
        <v>1130</v>
      </c>
      <c r="I249" s="45" t="s">
        <v>234</v>
      </c>
      <c r="J249" s="46" t="s">
        <v>127</v>
      </c>
      <c r="K249" s="46" t="s">
        <v>127</v>
      </c>
      <c r="L249" s="46" t="s">
        <v>15</v>
      </c>
      <c r="M249" s="46" t="s">
        <v>13</v>
      </c>
      <c r="N249" s="46" t="s">
        <v>14</v>
      </c>
      <c r="O249" s="49" t="s">
        <v>803</v>
      </c>
      <c r="P249" s="46" t="s">
        <v>507</v>
      </c>
      <c r="Q249" s="35" t="str">
        <f>MID(Tabla1[[#This Row],[Aplicación]],14,1)</f>
        <v>2</v>
      </c>
      <c r="R249" s="35" t="s">
        <v>495</v>
      </c>
      <c r="S249" s="35" t="str">
        <f>MID(Tabla1[[#This Row],[Aplicación]],6,2)</f>
        <v>10</v>
      </c>
      <c r="T249" s="35" t="str">
        <f>VLOOKUP(Tabla1[[#This Row],[AREA]],Hoja1!A:B,2,FALSE)</f>
        <v>10. Servicios sociales y mediación comunitaria</v>
      </c>
      <c r="U249" s="35" t="str">
        <f>MID(Tabla1[[#This Row],[Aplicación]],9,4)</f>
        <v>2311</v>
      </c>
      <c r="V249" s="35" t="str">
        <f>VLOOKUP(Tabla1[[#This Row],[PROGRAMA]],Hoja1!A:B,2,FALSE)</f>
        <v>2311. Intervención social</v>
      </c>
      <c r="W249" s="35" t="str">
        <f>MID(Tabla1[[#This Row],[Aplicación]],14,2)</f>
        <v>21</v>
      </c>
      <c r="X249" s="35" t="str">
        <f>MID(Tabla1[[#This Row],[Aplicación]],14,6)</f>
        <v>213</v>
      </c>
    </row>
    <row r="250" spans="1:24" x14ac:dyDescent="0.25">
      <c r="A250" s="45">
        <v>220210004492</v>
      </c>
      <c r="B250" s="46" t="s">
        <v>32</v>
      </c>
      <c r="C250" s="47">
        <v>44246</v>
      </c>
      <c r="D250" s="45">
        <v>22021002697</v>
      </c>
      <c r="E250" s="46" t="s">
        <v>886</v>
      </c>
      <c r="F250" s="48">
        <v>29.86</v>
      </c>
      <c r="G250" s="46" t="s">
        <v>68</v>
      </c>
      <c r="H250" s="46" t="s">
        <v>1131</v>
      </c>
      <c r="I250" s="45" t="s">
        <v>234</v>
      </c>
      <c r="J250" s="46" t="s">
        <v>127</v>
      </c>
      <c r="K250" s="46" t="s">
        <v>127</v>
      </c>
      <c r="L250" s="46" t="s">
        <v>15</v>
      </c>
      <c r="M250" s="46" t="s">
        <v>13</v>
      </c>
      <c r="N250" s="46" t="s">
        <v>14</v>
      </c>
      <c r="O250" s="49" t="s">
        <v>803</v>
      </c>
      <c r="P250" s="46" t="s">
        <v>507</v>
      </c>
      <c r="Q250" s="35" t="str">
        <f>MID(Tabla1[[#This Row],[Aplicación]],14,1)</f>
        <v>2</v>
      </c>
      <c r="R250" s="35" t="s">
        <v>495</v>
      </c>
      <c r="S250" s="35" t="str">
        <f>MID(Tabla1[[#This Row],[Aplicación]],6,2)</f>
        <v>10</v>
      </c>
      <c r="T250" s="35" t="str">
        <f>VLOOKUP(Tabla1[[#This Row],[AREA]],Hoja1!A:B,2,FALSE)</f>
        <v>10. Servicios sociales y mediación comunitaria</v>
      </c>
      <c r="U250" s="35" t="str">
        <f>MID(Tabla1[[#This Row],[Aplicación]],9,4)</f>
        <v>2311</v>
      </c>
      <c r="V250" s="35" t="str">
        <f>VLOOKUP(Tabla1[[#This Row],[PROGRAMA]],Hoja1!A:B,2,FALSE)</f>
        <v>2311. Intervención social</v>
      </c>
      <c r="W250" s="35" t="str">
        <f>MID(Tabla1[[#This Row],[Aplicación]],14,2)</f>
        <v>21</v>
      </c>
      <c r="X250" s="35" t="str">
        <f>MID(Tabla1[[#This Row],[Aplicación]],14,6)</f>
        <v>213</v>
      </c>
    </row>
    <row r="251" spans="1:24" x14ac:dyDescent="0.25">
      <c r="A251" s="45">
        <v>220210004493</v>
      </c>
      <c r="B251" s="46" t="s">
        <v>32</v>
      </c>
      <c r="C251" s="47">
        <v>44246</v>
      </c>
      <c r="D251" s="45">
        <v>22021002698</v>
      </c>
      <c r="E251" s="46" t="s">
        <v>886</v>
      </c>
      <c r="F251" s="48">
        <v>70.52</v>
      </c>
      <c r="G251" s="46" t="s">
        <v>68</v>
      </c>
      <c r="H251" s="46" t="s">
        <v>1132</v>
      </c>
      <c r="I251" s="45" t="s">
        <v>234</v>
      </c>
      <c r="J251" s="46" t="s">
        <v>127</v>
      </c>
      <c r="K251" s="46" t="s">
        <v>127</v>
      </c>
      <c r="L251" s="46" t="s">
        <v>15</v>
      </c>
      <c r="M251" s="46" t="s">
        <v>13</v>
      </c>
      <c r="N251" s="46" t="s">
        <v>14</v>
      </c>
      <c r="O251" s="49" t="s">
        <v>803</v>
      </c>
      <c r="P251" s="46" t="s">
        <v>507</v>
      </c>
      <c r="Q251" s="35" t="str">
        <f>MID(Tabla1[[#This Row],[Aplicación]],14,1)</f>
        <v>2</v>
      </c>
      <c r="R251" s="35" t="s">
        <v>495</v>
      </c>
      <c r="S251" s="35" t="str">
        <f>MID(Tabla1[[#This Row],[Aplicación]],6,2)</f>
        <v>10</v>
      </c>
      <c r="T251" s="35" t="str">
        <f>VLOOKUP(Tabla1[[#This Row],[AREA]],Hoja1!A:B,2,FALSE)</f>
        <v>10. Servicios sociales y mediación comunitaria</v>
      </c>
      <c r="U251" s="35" t="str">
        <f>MID(Tabla1[[#This Row],[Aplicación]],9,4)</f>
        <v>2311</v>
      </c>
      <c r="V251" s="35" t="str">
        <f>VLOOKUP(Tabla1[[#This Row],[PROGRAMA]],Hoja1!A:B,2,FALSE)</f>
        <v>2311. Intervención social</v>
      </c>
      <c r="W251" s="35" t="str">
        <f>MID(Tabla1[[#This Row],[Aplicación]],14,2)</f>
        <v>21</v>
      </c>
      <c r="X251" s="35" t="str">
        <f>MID(Tabla1[[#This Row],[Aplicación]],14,6)</f>
        <v>213</v>
      </c>
    </row>
    <row r="252" spans="1:24" x14ac:dyDescent="0.25">
      <c r="A252" s="45">
        <v>220210004494</v>
      </c>
      <c r="B252" s="46" t="s">
        <v>32</v>
      </c>
      <c r="C252" s="47">
        <v>44246</v>
      </c>
      <c r="D252" s="45">
        <v>22021002699</v>
      </c>
      <c r="E252" s="46" t="s">
        <v>886</v>
      </c>
      <c r="F252" s="48">
        <v>43.1</v>
      </c>
      <c r="G252" s="46" t="s">
        <v>68</v>
      </c>
      <c r="H252" s="46" t="s">
        <v>1133</v>
      </c>
      <c r="I252" s="45" t="s">
        <v>234</v>
      </c>
      <c r="J252" s="46" t="s">
        <v>127</v>
      </c>
      <c r="K252" s="46" t="s">
        <v>127</v>
      </c>
      <c r="L252" s="46" t="s">
        <v>15</v>
      </c>
      <c r="M252" s="46" t="s">
        <v>13</v>
      </c>
      <c r="N252" s="46" t="s">
        <v>14</v>
      </c>
      <c r="O252" s="49" t="s">
        <v>803</v>
      </c>
      <c r="P252" s="46" t="s">
        <v>507</v>
      </c>
      <c r="Q252" s="35" t="str">
        <f>MID(Tabla1[[#This Row],[Aplicación]],14,1)</f>
        <v>2</v>
      </c>
      <c r="R252" s="35" t="s">
        <v>495</v>
      </c>
      <c r="S252" s="35" t="str">
        <f>MID(Tabla1[[#This Row],[Aplicación]],6,2)</f>
        <v>10</v>
      </c>
      <c r="T252" s="35" t="str">
        <f>VLOOKUP(Tabla1[[#This Row],[AREA]],Hoja1!A:B,2,FALSE)</f>
        <v>10. Servicios sociales y mediación comunitaria</v>
      </c>
      <c r="U252" s="35" t="str">
        <f>MID(Tabla1[[#This Row],[Aplicación]],9,4)</f>
        <v>2311</v>
      </c>
      <c r="V252" s="35" t="str">
        <f>VLOOKUP(Tabla1[[#This Row],[PROGRAMA]],Hoja1!A:B,2,FALSE)</f>
        <v>2311. Intervención social</v>
      </c>
      <c r="W252" s="35" t="str">
        <f>MID(Tabla1[[#This Row],[Aplicación]],14,2)</f>
        <v>21</v>
      </c>
      <c r="X252" s="35" t="str">
        <f>MID(Tabla1[[#This Row],[Aplicación]],14,6)</f>
        <v>213</v>
      </c>
    </row>
    <row r="253" spans="1:24" x14ac:dyDescent="0.25">
      <c r="A253" s="45">
        <v>220210004495</v>
      </c>
      <c r="B253" s="46" t="s">
        <v>32</v>
      </c>
      <c r="C253" s="47">
        <v>44246</v>
      </c>
      <c r="D253" s="45">
        <v>22021002700</v>
      </c>
      <c r="E253" s="46" t="s">
        <v>886</v>
      </c>
      <c r="F253" s="48">
        <v>96.97</v>
      </c>
      <c r="G253" s="46" t="s">
        <v>68</v>
      </c>
      <c r="H253" s="46" t="s">
        <v>1134</v>
      </c>
      <c r="I253" s="45" t="s">
        <v>234</v>
      </c>
      <c r="J253" s="46" t="s">
        <v>127</v>
      </c>
      <c r="K253" s="46" t="s">
        <v>127</v>
      </c>
      <c r="L253" s="46" t="s">
        <v>15</v>
      </c>
      <c r="M253" s="46" t="s">
        <v>13</v>
      </c>
      <c r="N253" s="46" t="s">
        <v>14</v>
      </c>
      <c r="O253" s="49" t="s">
        <v>803</v>
      </c>
      <c r="P253" s="46" t="s">
        <v>507</v>
      </c>
      <c r="Q253" s="35" t="str">
        <f>MID(Tabla1[[#This Row],[Aplicación]],14,1)</f>
        <v>2</v>
      </c>
      <c r="R253" s="35" t="s">
        <v>495</v>
      </c>
      <c r="S253" s="35" t="str">
        <f>MID(Tabla1[[#This Row],[Aplicación]],6,2)</f>
        <v>10</v>
      </c>
      <c r="T253" s="35" t="str">
        <f>VLOOKUP(Tabla1[[#This Row],[AREA]],Hoja1!A:B,2,FALSE)</f>
        <v>10. Servicios sociales y mediación comunitaria</v>
      </c>
      <c r="U253" s="35" t="str">
        <f>MID(Tabla1[[#This Row],[Aplicación]],9,4)</f>
        <v>2311</v>
      </c>
      <c r="V253" s="35" t="str">
        <f>VLOOKUP(Tabla1[[#This Row],[PROGRAMA]],Hoja1!A:B,2,FALSE)</f>
        <v>2311. Intervención social</v>
      </c>
      <c r="W253" s="35" t="str">
        <f>MID(Tabla1[[#This Row],[Aplicación]],14,2)</f>
        <v>21</v>
      </c>
      <c r="X253" s="35" t="str">
        <f>MID(Tabla1[[#This Row],[Aplicación]],14,6)</f>
        <v>213</v>
      </c>
    </row>
    <row r="254" spans="1:24" x14ac:dyDescent="0.25">
      <c r="A254" s="45">
        <v>220210004496</v>
      </c>
      <c r="B254" s="46" t="s">
        <v>32</v>
      </c>
      <c r="C254" s="47">
        <v>44246</v>
      </c>
      <c r="D254" s="45">
        <v>22021002701</v>
      </c>
      <c r="E254" s="46" t="s">
        <v>886</v>
      </c>
      <c r="F254" s="48">
        <v>109.95</v>
      </c>
      <c r="G254" s="46" t="s">
        <v>68</v>
      </c>
      <c r="H254" s="46" t="s">
        <v>1135</v>
      </c>
      <c r="I254" s="45" t="s">
        <v>234</v>
      </c>
      <c r="J254" s="46" t="s">
        <v>127</v>
      </c>
      <c r="K254" s="46" t="s">
        <v>127</v>
      </c>
      <c r="L254" s="46" t="s">
        <v>15</v>
      </c>
      <c r="M254" s="46" t="s">
        <v>13</v>
      </c>
      <c r="N254" s="46" t="s">
        <v>14</v>
      </c>
      <c r="O254" s="49" t="s">
        <v>803</v>
      </c>
      <c r="P254" s="46" t="s">
        <v>507</v>
      </c>
      <c r="Q254" s="35" t="str">
        <f>MID(Tabla1[[#This Row],[Aplicación]],14,1)</f>
        <v>2</v>
      </c>
      <c r="R254" s="35" t="s">
        <v>495</v>
      </c>
      <c r="S254" s="35" t="str">
        <f>MID(Tabla1[[#This Row],[Aplicación]],6,2)</f>
        <v>10</v>
      </c>
      <c r="T254" s="35" t="str">
        <f>VLOOKUP(Tabla1[[#This Row],[AREA]],Hoja1!A:B,2,FALSE)</f>
        <v>10. Servicios sociales y mediación comunitaria</v>
      </c>
      <c r="U254" s="35" t="str">
        <f>MID(Tabla1[[#This Row],[Aplicación]],9,4)</f>
        <v>2311</v>
      </c>
      <c r="V254" s="35" t="str">
        <f>VLOOKUP(Tabla1[[#This Row],[PROGRAMA]],Hoja1!A:B,2,FALSE)</f>
        <v>2311. Intervención social</v>
      </c>
      <c r="W254" s="35" t="str">
        <f>MID(Tabla1[[#This Row],[Aplicación]],14,2)</f>
        <v>21</v>
      </c>
      <c r="X254" s="35" t="str">
        <f>MID(Tabla1[[#This Row],[Aplicación]],14,6)</f>
        <v>213</v>
      </c>
    </row>
    <row r="255" spans="1:24" x14ac:dyDescent="0.25">
      <c r="A255" s="45">
        <v>220210004497</v>
      </c>
      <c r="B255" s="46" t="s">
        <v>32</v>
      </c>
      <c r="C255" s="47">
        <v>44246</v>
      </c>
      <c r="D255" s="45">
        <v>22021002702</v>
      </c>
      <c r="E255" s="46" t="s">
        <v>886</v>
      </c>
      <c r="F255" s="48">
        <v>46.91</v>
      </c>
      <c r="G255" s="46" t="s">
        <v>68</v>
      </c>
      <c r="H255" s="46" t="s">
        <v>1136</v>
      </c>
      <c r="I255" s="45" t="s">
        <v>234</v>
      </c>
      <c r="J255" s="46" t="s">
        <v>127</v>
      </c>
      <c r="K255" s="46" t="s">
        <v>127</v>
      </c>
      <c r="L255" s="46" t="s">
        <v>15</v>
      </c>
      <c r="M255" s="46" t="s">
        <v>13</v>
      </c>
      <c r="N255" s="46" t="s">
        <v>14</v>
      </c>
      <c r="O255" s="49" t="s">
        <v>803</v>
      </c>
      <c r="P255" s="46" t="s">
        <v>507</v>
      </c>
      <c r="Q255" s="35" t="str">
        <f>MID(Tabla1[[#This Row],[Aplicación]],14,1)</f>
        <v>2</v>
      </c>
      <c r="R255" s="35" t="s">
        <v>495</v>
      </c>
      <c r="S255" s="35" t="str">
        <f>MID(Tabla1[[#This Row],[Aplicación]],6,2)</f>
        <v>10</v>
      </c>
      <c r="T255" s="35" t="str">
        <f>VLOOKUP(Tabla1[[#This Row],[AREA]],Hoja1!A:B,2,FALSE)</f>
        <v>10. Servicios sociales y mediación comunitaria</v>
      </c>
      <c r="U255" s="35" t="str">
        <f>MID(Tabla1[[#This Row],[Aplicación]],9,4)</f>
        <v>2311</v>
      </c>
      <c r="V255" s="35" t="str">
        <f>VLOOKUP(Tabla1[[#This Row],[PROGRAMA]],Hoja1!A:B,2,FALSE)</f>
        <v>2311. Intervención social</v>
      </c>
      <c r="W255" s="35" t="str">
        <f>MID(Tabla1[[#This Row],[Aplicación]],14,2)</f>
        <v>21</v>
      </c>
      <c r="X255" s="35" t="str">
        <f>MID(Tabla1[[#This Row],[Aplicación]],14,6)</f>
        <v>213</v>
      </c>
    </row>
    <row r="256" spans="1:24" x14ac:dyDescent="0.25">
      <c r="A256" s="45">
        <v>220210004501</v>
      </c>
      <c r="B256" s="46" t="s">
        <v>32</v>
      </c>
      <c r="C256" s="47">
        <v>44246</v>
      </c>
      <c r="D256" s="45">
        <v>22021002724</v>
      </c>
      <c r="E256" s="46" t="s">
        <v>886</v>
      </c>
      <c r="F256" s="48">
        <v>84.36</v>
      </c>
      <c r="G256" s="46" t="s">
        <v>68</v>
      </c>
      <c r="H256" s="46" t="s">
        <v>1137</v>
      </c>
      <c r="I256" s="45" t="s">
        <v>234</v>
      </c>
      <c r="J256" s="46" t="s">
        <v>127</v>
      </c>
      <c r="K256" s="46" t="s">
        <v>127</v>
      </c>
      <c r="L256" s="46" t="s">
        <v>15</v>
      </c>
      <c r="M256" s="46" t="s">
        <v>13</v>
      </c>
      <c r="N256" s="46" t="s">
        <v>14</v>
      </c>
      <c r="O256" s="49" t="s">
        <v>803</v>
      </c>
      <c r="P256" s="46" t="s">
        <v>507</v>
      </c>
      <c r="Q256" s="35" t="str">
        <f>MID(Tabla1[[#This Row],[Aplicación]],14,1)</f>
        <v>2</v>
      </c>
      <c r="R256" s="35" t="s">
        <v>495</v>
      </c>
      <c r="S256" s="35" t="str">
        <f>MID(Tabla1[[#This Row],[Aplicación]],6,2)</f>
        <v>10</v>
      </c>
      <c r="T256" s="35" t="str">
        <f>VLOOKUP(Tabla1[[#This Row],[AREA]],Hoja1!A:B,2,FALSE)</f>
        <v>10. Servicios sociales y mediación comunitaria</v>
      </c>
      <c r="U256" s="35" t="str">
        <f>MID(Tabla1[[#This Row],[Aplicación]],9,4)</f>
        <v>2311</v>
      </c>
      <c r="V256" s="35" t="str">
        <f>VLOOKUP(Tabla1[[#This Row],[PROGRAMA]],Hoja1!A:B,2,FALSE)</f>
        <v>2311. Intervención social</v>
      </c>
      <c r="W256" s="35" t="str">
        <f>MID(Tabla1[[#This Row],[Aplicación]],14,2)</f>
        <v>21</v>
      </c>
      <c r="X256" s="35" t="str">
        <f>MID(Tabla1[[#This Row],[Aplicación]],14,6)</f>
        <v>213</v>
      </c>
    </row>
    <row r="257" spans="1:24" x14ac:dyDescent="0.25">
      <c r="A257" s="45">
        <v>220210004502</v>
      </c>
      <c r="B257" s="46" t="s">
        <v>32</v>
      </c>
      <c r="C257" s="47">
        <v>44246</v>
      </c>
      <c r="D257" s="45">
        <v>22021002725</v>
      </c>
      <c r="E257" s="46" t="s">
        <v>886</v>
      </c>
      <c r="F257" s="48">
        <v>161.72</v>
      </c>
      <c r="G257" s="46" t="s">
        <v>68</v>
      </c>
      <c r="H257" s="46" t="s">
        <v>1138</v>
      </c>
      <c r="I257" s="45" t="s">
        <v>234</v>
      </c>
      <c r="J257" s="46" t="s">
        <v>127</v>
      </c>
      <c r="K257" s="46" t="s">
        <v>127</v>
      </c>
      <c r="L257" s="46" t="s">
        <v>15</v>
      </c>
      <c r="M257" s="46" t="s">
        <v>13</v>
      </c>
      <c r="N257" s="46" t="s">
        <v>14</v>
      </c>
      <c r="O257" s="49" t="s">
        <v>803</v>
      </c>
      <c r="P257" s="46" t="s">
        <v>507</v>
      </c>
      <c r="Q257" s="35" t="str">
        <f>MID(Tabla1[[#This Row],[Aplicación]],14,1)</f>
        <v>2</v>
      </c>
      <c r="R257" s="35" t="s">
        <v>495</v>
      </c>
      <c r="S257" s="35" t="str">
        <f>MID(Tabla1[[#This Row],[Aplicación]],6,2)</f>
        <v>10</v>
      </c>
      <c r="T257" s="35" t="str">
        <f>VLOOKUP(Tabla1[[#This Row],[AREA]],Hoja1!A:B,2,FALSE)</f>
        <v>10. Servicios sociales y mediación comunitaria</v>
      </c>
      <c r="U257" s="35" t="str">
        <f>MID(Tabla1[[#This Row],[Aplicación]],9,4)</f>
        <v>2311</v>
      </c>
      <c r="V257" s="35" t="str">
        <f>VLOOKUP(Tabla1[[#This Row],[PROGRAMA]],Hoja1!A:B,2,FALSE)</f>
        <v>2311. Intervención social</v>
      </c>
      <c r="W257" s="35" t="str">
        <f>MID(Tabla1[[#This Row],[Aplicación]],14,2)</f>
        <v>21</v>
      </c>
      <c r="X257" s="35" t="str">
        <f>MID(Tabla1[[#This Row],[Aplicación]],14,6)</f>
        <v>213</v>
      </c>
    </row>
    <row r="258" spans="1:24" x14ac:dyDescent="0.25">
      <c r="A258" s="45">
        <v>220210004503</v>
      </c>
      <c r="B258" s="46" t="s">
        <v>32</v>
      </c>
      <c r="C258" s="47">
        <v>44246</v>
      </c>
      <c r="D258" s="45">
        <v>22021002726</v>
      </c>
      <c r="E258" s="46" t="s">
        <v>886</v>
      </c>
      <c r="F258" s="48">
        <v>197.84</v>
      </c>
      <c r="G258" s="46" t="s">
        <v>68</v>
      </c>
      <c r="H258" s="46" t="s">
        <v>1139</v>
      </c>
      <c r="I258" s="45" t="s">
        <v>234</v>
      </c>
      <c r="J258" s="46" t="s">
        <v>127</v>
      </c>
      <c r="K258" s="46" t="s">
        <v>127</v>
      </c>
      <c r="L258" s="46" t="s">
        <v>15</v>
      </c>
      <c r="M258" s="46" t="s">
        <v>13</v>
      </c>
      <c r="N258" s="46" t="s">
        <v>14</v>
      </c>
      <c r="O258" s="49" t="s">
        <v>803</v>
      </c>
      <c r="P258" s="46" t="s">
        <v>507</v>
      </c>
      <c r="Q258" s="35" t="str">
        <f>MID(Tabla1[[#This Row],[Aplicación]],14,1)</f>
        <v>2</v>
      </c>
      <c r="R258" s="35" t="s">
        <v>495</v>
      </c>
      <c r="S258" s="35" t="str">
        <f>MID(Tabla1[[#This Row],[Aplicación]],6,2)</f>
        <v>10</v>
      </c>
      <c r="T258" s="35" t="str">
        <f>VLOOKUP(Tabla1[[#This Row],[AREA]],Hoja1!A:B,2,FALSE)</f>
        <v>10. Servicios sociales y mediación comunitaria</v>
      </c>
      <c r="U258" s="35" t="str">
        <f>MID(Tabla1[[#This Row],[Aplicación]],9,4)</f>
        <v>2311</v>
      </c>
      <c r="V258" s="35" t="str">
        <f>VLOOKUP(Tabla1[[#This Row],[PROGRAMA]],Hoja1!A:B,2,FALSE)</f>
        <v>2311. Intervención social</v>
      </c>
      <c r="W258" s="35" t="str">
        <f>MID(Tabla1[[#This Row],[Aplicación]],14,2)</f>
        <v>21</v>
      </c>
      <c r="X258" s="35" t="str">
        <f>MID(Tabla1[[#This Row],[Aplicación]],14,6)</f>
        <v>213</v>
      </c>
    </row>
    <row r="259" spans="1:24" x14ac:dyDescent="0.25">
      <c r="A259" s="45">
        <v>220210004504</v>
      </c>
      <c r="B259" s="46" t="s">
        <v>32</v>
      </c>
      <c r="C259" s="47">
        <v>44246</v>
      </c>
      <c r="D259" s="45">
        <v>22021002732</v>
      </c>
      <c r="E259" s="46" t="s">
        <v>886</v>
      </c>
      <c r="F259" s="48">
        <v>34.21</v>
      </c>
      <c r="G259" s="46" t="s">
        <v>68</v>
      </c>
      <c r="H259" s="46" t="s">
        <v>1140</v>
      </c>
      <c r="I259" s="45" t="s">
        <v>234</v>
      </c>
      <c r="J259" s="46" t="s">
        <v>127</v>
      </c>
      <c r="K259" s="46" t="s">
        <v>127</v>
      </c>
      <c r="L259" s="46" t="s">
        <v>15</v>
      </c>
      <c r="M259" s="46" t="s">
        <v>13</v>
      </c>
      <c r="N259" s="46" t="s">
        <v>14</v>
      </c>
      <c r="O259" s="49" t="s">
        <v>803</v>
      </c>
      <c r="P259" s="46" t="s">
        <v>507</v>
      </c>
      <c r="Q259" s="35" t="str">
        <f>MID(Tabla1[[#This Row],[Aplicación]],14,1)</f>
        <v>2</v>
      </c>
      <c r="R259" s="35" t="s">
        <v>495</v>
      </c>
      <c r="S259" s="35" t="str">
        <f>MID(Tabla1[[#This Row],[Aplicación]],6,2)</f>
        <v>10</v>
      </c>
      <c r="T259" s="35" t="str">
        <f>VLOOKUP(Tabla1[[#This Row],[AREA]],Hoja1!A:B,2,FALSE)</f>
        <v>10. Servicios sociales y mediación comunitaria</v>
      </c>
      <c r="U259" s="35" t="str">
        <f>MID(Tabla1[[#This Row],[Aplicación]],9,4)</f>
        <v>2311</v>
      </c>
      <c r="V259" s="35" t="str">
        <f>VLOOKUP(Tabla1[[#This Row],[PROGRAMA]],Hoja1!A:B,2,FALSE)</f>
        <v>2311. Intervención social</v>
      </c>
      <c r="W259" s="35" t="str">
        <f>MID(Tabla1[[#This Row],[Aplicación]],14,2)</f>
        <v>21</v>
      </c>
      <c r="X259" s="35" t="str">
        <f>MID(Tabla1[[#This Row],[Aplicación]],14,6)</f>
        <v>213</v>
      </c>
    </row>
    <row r="260" spans="1:24" x14ac:dyDescent="0.25">
      <c r="A260" s="45">
        <v>220210004505</v>
      </c>
      <c r="B260" s="46" t="s">
        <v>32</v>
      </c>
      <c r="C260" s="47">
        <v>44246</v>
      </c>
      <c r="D260" s="45">
        <v>22021002733</v>
      </c>
      <c r="E260" s="46" t="s">
        <v>886</v>
      </c>
      <c r="F260" s="48">
        <v>66.97</v>
      </c>
      <c r="G260" s="46" t="s">
        <v>68</v>
      </c>
      <c r="H260" s="46" t="s">
        <v>1141</v>
      </c>
      <c r="I260" s="45" t="s">
        <v>234</v>
      </c>
      <c r="J260" s="46" t="s">
        <v>127</v>
      </c>
      <c r="K260" s="46" t="s">
        <v>127</v>
      </c>
      <c r="L260" s="46" t="s">
        <v>15</v>
      </c>
      <c r="M260" s="46" t="s">
        <v>13</v>
      </c>
      <c r="N260" s="46" t="s">
        <v>14</v>
      </c>
      <c r="O260" s="49" t="s">
        <v>803</v>
      </c>
      <c r="P260" s="46" t="s">
        <v>507</v>
      </c>
      <c r="Q260" s="35" t="str">
        <f>MID(Tabla1[[#This Row],[Aplicación]],14,1)</f>
        <v>2</v>
      </c>
      <c r="R260" s="35" t="s">
        <v>495</v>
      </c>
      <c r="S260" s="35" t="str">
        <f>MID(Tabla1[[#This Row],[Aplicación]],6,2)</f>
        <v>10</v>
      </c>
      <c r="T260" s="35" t="str">
        <f>VLOOKUP(Tabla1[[#This Row],[AREA]],Hoja1!A:B,2,FALSE)</f>
        <v>10. Servicios sociales y mediación comunitaria</v>
      </c>
      <c r="U260" s="35" t="str">
        <f>MID(Tabla1[[#This Row],[Aplicación]],9,4)</f>
        <v>2311</v>
      </c>
      <c r="V260" s="35" t="str">
        <f>VLOOKUP(Tabla1[[#This Row],[PROGRAMA]],Hoja1!A:B,2,FALSE)</f>
        <v>2311. Intervención social</v>
      </c>
      <c r="W260" s="35" t="str">
        <f>MID(Tabla1[[#This Row],[Aplicación]],14,2)</f>
        <v>21</v>
      </c>
      <c r="X260" s="35" t="str">
        <f>MID(Tabla1[[#This Row],[Aplicación]],14,6)</f>
        <v>213</v>
      </c>
    </row>
    <row r="261" spans="1:24" x14ac:dyDescent="0.25">
      <c r="A261" s="45">
        <v>220210004506</v>
      </c>
      <c r="B261" s="46" t="s">
        <v>32</v>
      </c>
      <c r="C261" s="47">
        <v>44246</v>
      </c>
      <c r="D261" s="45">
        <v>22021002734</v>
      </c>
      <c r="E261" s="46" t="s">
        <v>886</v>
      </c>
      <c r="F261" s="48">
        <v>98.14</v>
      </c>
      <c r="G261" s="46" t="s">
        <v>68</v>
      </c>
      <c r="H261" s="46" t="s">
        <v>1142</v>
      </c>
      <c r="I261" s="45" t="s">
        <v>234</v>
      </c>
      <c r="J261" s="46" t="s">
        <v>127</v>
      </c>
      <c r="K261" s="46" t="s">
        <v>127</v>
      </c>
      <c r="L261" s="46" t="s">
        <v>15</v>
      </c>
      <c r="M261" s="46" t="s">
        <v>13</v>
      </c>
      <c r="N261" s="46" t="s">
        <v>14</v>
      </c>
      <c r="O261" s="49" t="s">
        <v>803</v>
      </c>
      <c r="P261" s="46" t="s">
        <v>507</v>
      </c>
      <c r="Q261" s="35" t="str">
        <f>MID(Tabla1[[#This Row],[Aplicación]],14,1)</f>
        <v>2</v>
      </c>
      <c r="R261" s="35" t="s">
        <v>495</v>
      </c>
      <c r="S261" s="35" t="str">
        <f>MID(Tabla1[[#This Row],[Aplicación]],6,2)</f>
        <v>10</v>
      </c>
      <c r="T261" s="35" t="str">
        <f>VLOOKUP(Tabla1[[#This Row],[AREA]],Hoja1!A:B,2,FALSE)</f>
        <v>10. Servicios sociales y mediación comunitaria</v>
      </c>
      <c r="U261" s="35" t="str">
        <f>MID(Tabla1[[#This Row],[Aplicación]],9,4)</f>
        <v>2311</v>
      </c>
      <c r="V261" s="35" t="str">
        <f>VLOOKUP(Tabla1[[#This Row],[PROGRAMA]],Hoja1!A:B,2,FALSE)</f>
        <v>2311. Intervención social</v>
      </c>
      <c r="W261" s="35" t="str">
        <f>MID(Tabla1[[#This Row],[Aplicación]],14,2)</f>
        <v>21</v>
      </c>
      <c r="X261" s="35" t="str">
        <f>MID(Tabla1[[#This Row],[Aplicación]],14,6)</f>
        <v>213</v>
      </c>
    </row>
    <row r="262" spans="1:24" x14ac:dyDescent="0.25">
      <c r="A262" s="45">
        <v>220210005228</v>
      </c>
      <c r="B262" s="46" t="s">
        <v>32</v>
      </c>
      <c r="C262" s="47">
        <v>44249</v>
      </c>
      <c r="D262" s="45">
        <v>22021002885</v>
      </c>
      <c r="E262" s="46" t="s">
        <v>924</v>
      </c>
      <c r="F262" s="48">
        <v>84.36</v>
      </c>
      <c r="G262" s="46" t="s">
        <v>68</v>
      </c>
      <c r="H262" s="46" t="s">
        <v>1143</v>
      </c>
      <c r="I262" s="45" t="s">
        <v>234</v>
      </c>
      <c r="J262" s="46" t="s">
        <v>127</v>
      </c>
      <c r="K262" s="46" t="s">
        <v>127</v>
      </c>
      <c r="L262" s="46" t="s">
        <v>12</v>
      </c>
      <c r="M262" s="46" t="s">
        <v>13</v>
      </c>
      <c r="N262" s="46" t="s">
        <v>14</v>
      </c>
      <c r="O262" s="49" t="s">
        <v>803</v>
      </c>
      <c r="P262" s="46" t="s">
        <v>507</v>
      </c>
      <c r="Q262" s="35" t="str">
        <f>MID(Tabla1[[#This Row],[Aplicación]],14,1)</f>
        <v>2</v>
      </c>
      <c r="R262" s="35" t="s">
        <v>495</v>
      </c>
      <c r="S262" s="35" t="str">
        <f>MID(Tabla1[[#This Row],[Aplicación]],6,2)</f>
        <v>04</v>
      </c>
      <c r="T262" s="35" t="str">
        <f>VLOOKUP(Tabla1[[#This Row],[AREA]],Hoja1!A:B,2,FALSE)</f>
        <v>04. Planificación y recursos</v>
      </c>
      <c r="U262" s="35" t="str">
        <f>MID(Tabla1[[#This Row],[Aplicación]],9,4)</f>
        <v>3121</v>
      </c>
      <c r="V262" s="35" t="str">
        <f>VLOOKUP(Tabla1[[#This Row],[PROGRAMA]],Hoja1!A:B,2,FALSE)</f>
        <v>3121. Prevención y salud laboral</v>
      </c>
      <c r="W262" s="35" t="str">
        <f>MID(Tabla1[[#This Row],[Aplicación]],14,2)</f>
        <v>21</v>
      </c>
      <c r="X262" s="35" t="str">
        <f>MID(Tabla1[[#This Row],[Aplicación]],14,6)</f>
        <v>213</v>
      </c>
    </row>
    <row r="263" spans="1:24" x14ac:dyDescent="0.25">
      <c r="A263" s="45">
        <v>220210005233</v>
      </c>
      <c r="B263" s="46" t="s">
        <v>32</v>
      </c>
      <c r="C263" s="47">
        <v>44249</v>
      </c>
      <c r="D263" s="45">
        <v>22021002909</v>
      </c>
      <c r="E263" s="46" t="s">
        <v>1033</v>
      </c>
      <c r="F263" s="48">
        <v>85.62</v>
      </c>
      <c r="G263" s="46" t="s">
        <v>68</v>
      </c>
      <c r="H263" s="46" t="s">
        <v>1144</v>
      </c>
      <c r="I263" s="45" t="s">
        <v>234</v>
      </c>
      <c r="J263" s="46" t="s">
        <v>127</v>
      </c>
      <c r="K263" s="46" t="s">
        <v>127</v>
      </c>
      <c r="L263" s="46" t="s">
        <v>15</v>
      </c>
      <c r="M263" s="46" t="s">
        <v>13</v>
      </c>
      <c r="N263" s="46" t="s">
        <v>14</v>
      </c>
      <c r="O263" s="49" t="s">
        <v>803</v>
      </c>
      <c r="P263" s="46" t="s">
        <v>507</v>
      </c>
      <c r="Q263" s="35" t="str">
        <f>MID(Tabla1[[#This Row],[Aplicación]],14,1)</f>
        <v>2</v>
      </c>
      <c r="R263" s="35" t="s">
        <v>495</v>
      </c>
      <c r="S263" s="35" t="str">
        <f>MID(Tabla1[[#This Row],[Aplicación]],6,2)</f>
        <v>07</v>
      </c>
      <c r="T263" s="35" t="str">
        <f>VLOOKUP(Tabla1[[#This Row],[AREA]],Hoja1!A:B,2,FALSE)</f>
        <v>07. Medio ambiente y desarrollo sostenible</v>
      </c>
      <c r="U263" s="35" t="str">
        <f>MID(Tabla1[[#This Row],[Aplicación]],9,4)</f>
        <v>1721</v>
      </c>
      <c r="V263" s="35" t="str">
        <f>VLOOKUP(Tabla1[[#This Row],[PROGRAMA]],Hoja1!A:B,2,FALSE)</f>
        <v>1721. Protección del medio ambiente</v>
      </c>
      <c r="W263" s="35" t="str">
        <f>MID(Tabla1[[#This Row],[Aplicación]],14,2)</f>
        <v>20</v>
      </c>
      <c r="X263" s="35" t="str">
        <f>MID(Tabla1[[#This Row],[Aplicación]],14,6)</f>
        <v>203</v>
      </c>
    </row>
    <row r="264" spans="1:24" x14ac:dyDescent="0.25">
      <c r="A264" s="45">
        <v>220210005237</v>
      </c>
      <c r="B264" s="46" t="s">
        <v>32</v>
      </c>
      <c r="C264" s="47">
        <v>44249</v>
      </c>
      <c r="D264" s="45">
        <v>22021002915</v>
      </c>
      <c r="E264" s="46" t="s">
        <v>1033</v>
      </c>
      <c r="F264" s="48">
        <v>197.84</v>
      </c>
      <c r="G264" s="46" t="s">
        <v>68</v>
      </c>
      <c r="H264" s="46" t="s">
        <v>1145</v>
      </c>
      <c r="I264" s="45" t="s">
        <v>234</v>
      </c>
      <c r="J264" s="46" t="s">
        <v>127</v>
      </c>
      <c r="K264" s="46" t="s">
        <v>127</v>
      </c>
      <c r="L264" s="46" t="s">
        <v>15</v>
      </c>
      <c r="M264" s="46" t="s">
        <v>13</v>
      </c>
      <c r="N264" s="46" t="s">
        <v>14</v>
      </c>
      <c r="O264" s="49" t="s">
        <v>803</v>
      </c>
      <c r="P264" s="46" t="s">
        <v>507</v>
      </c>
      <c r="Q264" s="35" t="str">
        <f>MID(Tabla1[[#This Row],[Aplicación]],14,1)</f>
        <v>2</v>
      </c>
      <c r="R264" s="35" t="s">
        <v>495</v>
      </c>
      <c r="S264" s="35" t="str">
        <f>MID(Tabla1[[#This Row],[Aplicación]],6,2)</f>
        <v>07</v>
      </c>
      <c r="T264" s="35" t="str">
        <f>VLOOKUP(Tabla1[[#This Row],[AREA]],Hoja1!A:B,2,FALSE)</f>
        <v>07. Medio ambiente y desarrollo sostenible</v>
      </c>
      <c r="U264" s="35" t="str">
        <f>MID(Tabla1[[#This Row],[Aplicación]],9,4)</f>
        <v>1721</v>
      </c>
      <c r="V264" s="35" t="str">
        <f>VLOOKUP(Tabla1[[#This Row],[PROGRAMA]],Hoja1!A:B,2,FALSE)</f>
        <v>1721. Protección del medio ambiente</v>
      </c>
      <c r="W264" s="35" t="str">
        <f>MID(Tabla1[[#This Row],[Aplicación]],14,2)</f>
        <v>20</v>
      </c>
      <c r="X264" s="35" t="str">
        <f>MID(Tabla1[[#This Row],[Aplicación]],14,6)</f>
        <v>203</v>
      </c>
    </row>
    <row r="265" spans="1:24" x14ac:dyDescent="0.25">
      <c r="A265" s="45">
        <v>220210005238</v>
      </c>
      <c r="B265" s="46" t="s">
        <v>32</v>
      </c>
      <c r="C265" s="47">
        <v>44249</v>
      </c>
      <c r="D265" s="45">
        <v>22021002917</v>
      </c>
      <c r="E265" s="46" t="s">
        <v>1033</v>
      </c>
      <c r="F265" s="48">
        <v>197.84</v>
      </c>
      <c r="G265" s="46" t="s">
        <v>68</v>
      </c>
      <c r="H265" s="46" t="s">
        <v>1146</v>
      </c>
      <c r="I265" s="45" t="s">
        <v>234</v>
      </c>
      <c r="J265" s="46" t="s">
        <v>127</v>
      </c>
      <c r="K265" s="46" t="s">
        <v>127</v>
      </c>
      <c r="L265" s="46" t="s">
        <v>15</v>
      </c>
      <c r="M265" s="46" t="s">
        <v>13</v>
      </c>
      <c r="N265" s="46" t="s">
        <v>14</v>
      </c>
      <c r="O265" s="49" t="s">
        <v>803</v>
      </c>
      <c r="P265" s="46" t="s">
        <v>507</v>
      </c>
      <c r="Q265" s="35" t="str">
        <f>MID(Tabla1[[#This Row],[Aplicación]],14,1)</f>
        <v>2</v>
      </c>
      <c r="R265" s="35" t="s">
        <v>495</v>
      </c>
      <c r="S265" s="35" t="str">
        <f>MID(Tabla1[[#This Row],[Aplicación]],6,2)</f>
        <v>07</v>
      </c>
      <c r="T265" s="35" t="str">
        <f>VLOOKUP(Tabla1[[#This Row],[AREA]],Hoja1!A:B,2,FALSE)</f>
        <v>07. Medio ambiente y desarrollo sostenible</v>
      </c>
      <c r="U265" s="35" t="str">
        <f>MID(Tabla1[[#This Row],[Aplicación]],9,4)</f>
        <v>1721</v>
      </c>
      <c r="V265" s="35" t="str">
        <f>VLOOKUP(Tabla1[[#This Row],[PROGRAMA]],Hoja1!A:B,2,FALSE)</f>
        <v>1721. Protección del medio ambiente</v>
      </c>
      <c r="W265" s="35" t="str">
        <f>MID(Tabla1[[#This Row],[Aplicación]],14,2)</f>
        <v>20</v>
      </c>
      <c r="X265" s="35" t="str">
        <f>MID(Tabla1[[#This Row],[Aplicación]],14,6)</f>
        <v>203</v>
      </c>
    </row>
    <row r="266" spans="1:24" x14ac:dyDescent="0.25">
      <c r="A266" s="45">
        <v>220210005242</v>
      </c>
      <c r="B266" s="46" t="s">
        <v>32</v>
      </c>
      <c r="C266" s="47">
        <v>44249</v>
      </c>
      <c r="D266" s="45">
        <v>22021002921</v>
      </c>
      <c r="E266" s="46" t="s">
        <v>1033</v>
      </c>
      <c r="F266" s="48">
        <v>551.49</v>
      </c>
      <c r="G266" s="46" t="s">
        <v>68</v>
      </c>
      <c r="H266" s="46" t="s">
        <v>1147</v>
      </c>
      <c r="I266" s="45" t="s">
        <v>234</v>
      </c>
      <c r="J266" s="46" t="s">
        <v>127</v>
      </c>
      <c r="K266" s="46" t="s">
        <v>127</v>
      </c>
      <c r="L266" s="46" t="s">
        <v>15</v>
      </c>
      <c r="M266" s="46" t="s">
        <v>13</v>
      </c>
      <c r="N266" s="46" t="s">
        <v>14</v>
      </c>
      <c r="O266" s="49" t="s">
        <v>803</v>
      </c>
      <c r="P266" s="46" t="s">
        <v>507</v>
      </c>
      <c r="Q266" s="35" t="str">
        <f>MID(Tabla1[[#This Row],[Aplicación]],14,1)</f>
        <v>2</v>
      </c>
      <c r="R266" s="35" t="s">
        <v>495</v>
      </c>
      <c r="S266" s="35" t="str">
        <f>MID(Tabla1[[#This Row],[Aplicación]],6,2)</f>
        <v>07</v>
      </c>
      <c r="T266" s="35" t="str">
        <f>VLOOKUP(Tabla1[[#This Row],[AREA]],Hoja1!A:B,2,FALSE)</f>
        <v>07. Medio ambiente y desarrollo sostenible</v>
      </c>
      <c r="U266" s="35" t="str">
        <f>MID(Tabla1[[#This Row],[Aplicación]],9,4)</f>
        <v>1721</v>
      </c>
      <c r="V266" s="35" t="str">
        <f>VLOOKUP(Tabla1[[#This Row],[PROGRAMA]],Hoja1!A:B,2,FALSE)</f>
        <v>1721. Protección del medio ambiente</v>
      </c>
      <c r="W266" s="35" t="str">
        <f>MID(Tabla1[[#This Row],[Aplicación]],14,2)</f>
        <v>20</v>
      </c>
      <c r="X266" s="35" t="str">
        <f>MID(Tabla1[[#This Row],[Aplicación]],14,6)</f>
        <v>203</v>
      </c>
    </row>
    <row r="267" spans="1:24" x14ac:dyDescent="0.25">
      <c r="A267" s="45">
        <v>220210005463</v>
      </c>
      <c r="B267" s="46" t="s">
        <v>32</v>
      </c>
      <c r="C267" s="47">
        <v>44250</v>
      </c>
      <c r="D267" s="45">
        <v>22021002859</v>
      </c>
      <c r="E267" s="46" t="s">
        <v>1023</v>
      </c>
      <c r="F267" s="48">
        <v>84.36</v>
      </c>
      <c r="G267" s="46" t="s">
        <v>68</v>
      </c>
      <c r="H267" s="46" t="s">
        <v>1148</v>
      </c>
      <c r="I267" s="45" t="s">
        <v>234</v>
      </c>
      <c r="J267" s="46" t="s">
        <v>127</v>
      </c>
      <c r="K267" s="46" t="s">
        <v>127</v>
      </c>
      <c r="L267" s="46" t="s">
        <v>15</v>
      </c>
      <c r="M267" s="46" t="s">
        <v>13</v>
      </c>
      <c r="N267" s="46" t="s">
        <v>14</v>
      </c>
      <c r="O267" s="49" t="s">
        <v>803</v>
      </c>
      <c r="P267" s="46" t="s">
        <v>507</v>
      </c>
      <c r="Q267" s="35" t="str">
        <f>MID(Tabla1[[#This Row],[Aplicación]],14,1)</f>
        <v>2</v>
      </c>
      <c r="R267" s="35" t="s">
        <v>495</v>
      </c>
      <c r="S267" s="35" t="str">
        <f>MID(Tabla1[[#This Row],[Aplicación]],6,2)</f>
        <v>11</v>
      </c>
      <c r="T267" s="35" t="str">
        <f>VLOOKUP(Tabla1[[#This Row],[AREA]],Hoja1!A:B,2,FALSE)</f>
        <v>11. Salud pública y seguridad ciudadana</v>
      </c>
      <c r="U267" s="35" t="str">
        <f>MID(Tabla1[[#This Row],[Aplicación]],9,4)</f>
        <v>3111</v>
      </c>
      <c r="V267" s="35" t="str">
        <f>VLOOKUP(Tabla1[[#This Row],[PROGRAMA]],Hoja1!A:B,2,FALSE)</f>
        <v>3111. Protección de la salubridad pública</v>
      </c>
      <c r="W267" s="35" t="str">
        <f>MID(Tabla1[[#This Row],[Aplicación]],14,2)</f>
        <v>20</v>
      </c>
      <c r="X267" s="35" t="str">
        <f>MID(Tabla1[[#This Row],[Aplicación]],14,6)</f>
        <v>203</v>
      </c>
    </row>
    <row r="268" spans="1:24" x14ac:dyDescent="0.25">
      <c r="A268" s="45">
        <v>220210005464</v>
      </c>
      <c r="B268" s="46" t="s">
        <v>32</v>
      </c>
      <c r="C268" s="47">
        <v>44250</v>
      </c>
      <c r="D268" s="45">
        <v>22021002860</v>
      </c>
      <c r="E268" s="46" t="s">
        <v>1023</v>
      </c>
      <c r="F268" s="48">
        <v>84.36</v>
      </c>
      <c r="G268" s="46" t="s">
        <v>68</v>
      </c>
      <c r="H268" s="46" t="s">
        <v>1149</v>
      </c>
      <c r="I268" s="45" t="s">
        <v>234</v>
      </c>
      <c r="J268" s="46" t="s">
        <v>127</v>
      </c>
      <c r="K268" s="46" t="s">
        <v>127</v>
      </c>
      <c r="L268" s="46" t="s">
        <v>15</v>
      </c>
      <c r="M268" s="46" t="s">
        <v>13</v>
      </c>
      <c r="N268" s="46" t="s">
        <v>14</v>
      </c>
      <c r="O268" s="49" t="s">
        <v>803</v>
      </c>
      <c r="P268" s="46" t="s">
        <v>507</v>
      </c>
      <c r="Q268" s="35" t="str">
        <f>MID(Tabla1[[#This Row],[Aplicación]],14,1)</f>
        <v>2</v>
      </c>
      <c r="R268" s="35" t="s">
        <v>495</v>
      </c>
      <c r="S268" s="35" t="str">
        <f>MID(Tabla1[[#This Row],[Aplicación]],6,2)</f>
        <v>11</v>
      </c>
      <c r="T268" s="35" t="str">
        <f>VLOOKUP(Tabla1[[#This Row],[AREA]],Hoja1!A:B,2,FALSE)</f>
        <v>11. Salud pública y seguridad ciudadana</v>
      </c>
      <c r="U268" s="35" t="str">
        <f>MID(Tabla1[[#This Row],[Aplicación]],9,4)</f>
        <v>3111</v>
      </c>
      <c r="V268" s="35" t="str">
        <f>VLOOKUP(Tabla1[[#This Row],[PROGRAMA]],Hoja1!A:B,2,FALSE)</f>
        <v>3111. Protección de la salubridad pública</v>
      </c>
      <c r="W268" s="35" t="str">
        <f>MID(Tabla1[[#This Row],[Aplicación]],14,2)</f>
        <v>20</v>
      </c>
      <c r="X268" s="35" t="str">
        <f>MID(Tabla1[[#This Row],[Aplicación]],14,6)</f>
        <v>203</v>
      </c>
    </row>
    <row r="269" spans="1:24" x14ac:dyDescent="0.25">
      <c r="A269" s="45">
        <v>220210005465</v>
      </c>
      <c r="B269" s="46" t="s">
        <v>32</v>
      </c>
      <c r="C269" s="47">
        <v>44250</v>
      </c>
      <c r="D269" s="45">
        <v>22021002862</v>
      </c>
      <c r="E269" s="46" t="s">
        <v>1023</v>
      </c>
      <c r="F269" s="48">
        <v>161.72</v>
      </c>
      <c r="G269" s="46" t="s">
        <v>68</v>
      </c>
      <c r="H269" s="46" t="s">
        <v>1150</v>
      </c>
      <c r="I269" s="45" t="s">
        <v>234</v>
      </c>
      <c r="J269" s="46" t="s">
        <v>127</v>
      </c>
      <c r="K269" s="46" t="s">
        <v>127</v>
      </c>
      <c r="L269" s="46" t="s">
        <v>15</v>
      </c>
      <c r="M269" s="46" t="s">
        <v>13</v>
      </c>
      <c r="N269" s="46" t="s">
        <v>14</v>
      </c>
      <c r="O269" s="49" t="s">
        <v>803</v>
      </c>
      <c r="P269" s="46" t="s">
        <v>507</v>
      </c>
      <c r="Q269" s="35" t="str">
        <f>MID(Tabla1[[#This Row],[Aplicación]],14,1)</f>
        <v>2</v>
      </c>
      <c r="R269" s="35" t="s">
        <v>495</v>
      </c>
      <c r="S269" s="35" t="str">
        <f>MID(Tabla1[[#This Row],[Aplicación]],6,2)</f>
        <v>11</v>
      </c>
      <c r="T269" s="35" t="str">
        <f>VLOOKUP(Tabla1[[#This Row],[AREA]],Hoja1!A:B,2,FALSE)</f>
        <v>11. Salud pública y seguridad ciudadana</v>
      </c>
      <c r="U269" s="35" t="str">
        <f>MID(Tabla1[[#This Row],[Aplicación]],9,4)</f>
        <v>3111</v>
      </c>
      <c r="V269" s="35" t="str">
        <f>VLOOKUP(Tabla1[[#This Row],[PROGRAMA]],Hoja1!A:B,2,FALSE)</f>
        <v>3111. Protección de la salubridad pública</v>
      </c>
      <c r="W269" s="35" t="str">
        <f>MID(Tabla1[[#This Row],[Aplicación]],14,2)</f>
        <v>20</v>
      </c>
      <c r="X269" s="35" t="str">
        <f>MID(Tabla1[[#This Row],[Aplicación]],14,6)</f>
        <v>203</v>
      </c>
    </row>
    <row r="270" spans="1:24" x14ac:dyDescent="0.25">
      <c r="A270" s="45">
        <v>220210006447</v>
      </c>
      <c r="B270" s="46" t="s">
        <v>9</v>
      </c>
      <c r="C270" s="47">
        <v>44252</v>
      </c>
      <c r="D270" s="45">
        <v>22021000640</v>
      </c>
      <c r="E270" s="46" t="s">
        <v>983</v>
      </c>
      <c r="F270" s="48">
        <v>542</v>
      </c>
      <c r="G270" s="46" t="s">
        <v>68</v>
      </c>
      <c r="H270" s="46" t="s">
        <v>1151</v>
      </c>
      <c r="I270" s="45" t="s">
        <v>125</v>
      </c>
      <c r="J270" s="46" t="s">
        <v>127</v>
      </c>
      <c r="K270" s="46" t="s">
        <v>127</v>
      </c>
      <c r="L270" s="46" t="s">
        <v>15</v>
      </c>
      <c r="M270" s="46" t="s">
        <v>13</v>
      </c>
      <c r="N270" s="46" t="s">
        <v>14</v>
      </c>
      <c r="O270" s="49" t="s">
        <v>803</v>
      </c>
      <c r="P270" s="46" t="s">
        <v>507</v>
      </c>
      <c r="Q270" s="35" t="str">
        <f>MID(Tabla1[[#This Row],[Aplicación]],14,1)</f>
        <v>2</v>
      </c>
      <c r="R270" s="35" t="s">
        <v>495</v>
      </c>
      <c r="S270" s="35" t="str">
        <f>MID(Tabla1[[#This Row],[Aplicación]],6,2)</f>
        <v>10</v>
      </c>
      <c r="T270" s="35" t="str">
        <f>VLOOKUP(Tabla1[[#This Row],[AREA]],Hoja1!A:B,2,FALSE)</f>
        <v>10. Servicios sociales y mediación comunitaria</v>
      </c>
      <c r="U270" s="35" t="str">
        <f>MID(Tabla1[[#This Row],[Aplicación]],9,4)</f>
        <v>2412</v>
      </c>
      <c r="V270" s="35" t="str">
        <f>VLOOKUP(Tabla1[[#This Row],[PROGRAMA]],Hoja1!A:B,2,FALSE)</f>
        <v>2412. Formación para el empleo</v>
      </c>
      <c r="W270" s="35" t="str">
        <f>MID(Tabla1[[#This Row],[Aplicación]],14,2)</f>
        <v>21</v>
      </c>
      <c r="X270" s="35" t="str">
        <f>MID(Tabla1[[#This Row],[Aplicación]],14,6)</f>
        <v>213</v>
      </c>
    </row>
    <row r="271" spans="1:24" x14ac:dyDescent="0.25">
      <c r="A271" s="45">
        <v>220210006447</v>
      </c>
      <c r="B271" s="46" t="s">
        <v>9</v>
      </c>
      <c r="C271" s="47">
        <v>44252</v>
      </c>
      <c r="D271" s="45">
        <v>22021000641</v>
      </c>
      <c r="E271" s="46" t="s">
        <v>983</v>
      </c>
      <c r="F271" s="48">
        <v>1273.5</v>
      </c>
      <c r="G271" s="46" t="s">
        <v>68</v>
      </c>
      <c r="H271" s="46" t="s">
        <v>1151</v>
      </c>
      <c r="I271" s="45" t="s">
        <v>125</v>
      </c>
      <c r="J271" s="46" t="s">
        <v>127</v>
      </c>
      <c r="K271" s="46" t="s">
        <v>127</v>
      </c>
      <c r="L271" s="46" t="s">
        <v>15</v>
      </c>
      <c r="M271" s="46" t="s">
        <v>13</v>
      </c>
      <c r="N271" s="46" t="s">
        <v>14</v>
      </c>
      <c r="O271" s="49" t="s">
        <v>803</v>
      </c>
      <c r="P271" s="46" t="s">
        <v>507</v>
      </c>
      <c r="Q271" s="35" t="str">
        <f>MID(Tabla1[[#This Row],[Aplicación]],14,1)</f>
        <v>2</v>
      </c>
      <c r="R271" s="35" t="s">
        <v>495</v>
      </c>
      <c r="S271" s="35" t="str">
        <f>MID(Tabla1[[#This Row],[Aplicación]],6,2)</f>
        <v>10</v>
      </c>
      <c r="T271" s="35" t="str">
        <f>VLOOKUP(Tabla1[[#This Row],[AREA]],Hoja1!A:B,2,FALSE)</f>
        <v>10. Servicios sociales y mediación comunitaria</v>
      </c>
      <c r="U271" s="35" t="str">
        <f>MID(Tabla1[[#This Row],[Aplicación]],9,4)</f>
        <v>2412</v>
      </c>
      <c r="V271" s="35" t="str">
        <f>VLOOKUP(Tabla1[[#This Row],[PROGRAMA]],Hoja1!A:B,2,FALSE)</f>
        <v>2412. Formación para el empleo</v>
      </c>
      <c r="W271" s="35" t="str">
        <f>MID(Tabla1[[#This Row],[Aplicación]],14,2)</f>
        <v>21</v>
      </c>
      <c r="X271" s="35" t="str">
        <f>MID(Tabla1[[#This Row],[Aplicación]],14,6)</f>
        <v>213</v>
      </c>
    </row>
    <row r="272" spans="1:24" x14ac:dyDescent="0.25">
      <c r="A272" s="45">
        <v>220210006447</v>
      </c>
      <c r="B272" s="46" t="s">
        <v>9</v>
      </c>
      <c r="C272" s="47">
        <v>44252</v>
      </c>
      <c r="D272" s="45">
        <v>22021000642</v>
      </c>
      <c r="E272" s="46" t="s">
        <v>983</v>
      </c>
      <c r="F272" s="48">
        <v>485.01</v>
      </c>
      <c r="G272" s="46" t="s">
        <v>68</v>
      </c>
      <c r="H272" s="46" t="s">
        <v>1151</v>
      </c>
      <c r="I272" s="45" t="s">
        <v>125</v>
      </c>
      <c r="J272" s="46" t="s">
        <v>127</v>
      </c>
      <c r="K272" s="46" t="s">
        <v>127</v>
      </c>
      <c r="L272" s="46" t="s">
        <v>15</v>
      </c>
      <c r="M272" s="46" t="s">
        <v>13</v>
      </c>
      <c r="N272" s="46" t="s">
        <v>14</v>
      </c>
      <c r="O272" s="49" t="s">
        <v>803</v>
      </c>
      <c r="P272" s="46" t="s">
        <v>507</v>
      </c>
      <c r="Q272" s="35" t="str">
        <f>MID(Tabla1[[#This Row],[Aplicación]],14,1)</f>
        <v>2</v>
      </c>
      <c r="R272" s="35" t="s">
        <v>495</v>
      </c>
      <c r="S272" s="35" t="str">
        <f>MID(Tabla1[[#This Row],[Aplicación]],6,2)</f>
        <v>10</v>
      </c>
      <c r="T272" s="35" t="str">
        <f>VLOOKUP(Tabla1[[#This Row],[AREA]],Hoja1!A:B,2,FALSE)</f>
        <v>10. Servicios sociales y mediación comunitaria</v>
      </c>
      <c r="U272" s="35" t="str">
        <f>MID(Tabla1[[#This Row],[Aplicación]],9,4)</f>
        <v>2412</v>
      </c>
      <c r="V272" s="35" t="str">
        <f>VLOOKUP(Tabla1[[#This Row],[PROGRAMA]],Hoja1!A:B,2,FALSE)</f>
        <v>2412. Formación para el empleo</v>
      </c>
      <c r="W272" s="35" t="str">
        <f>MID(Tabla1[[#This Row],[Aplicación]],14,2)</f>
        <v>21</v>
      </c>
      <c r="X272" s="35" t="str">
        <f>MID(Tabla1[[#This Row],[Aplicación]],14,6)</f>
        <v>213</v>
      </c>
    </row>
    <row r="273" spans="1:24" x14ac:dyDescent="0.25">
      <c r="A273" s="45">
        <v>220210006447</v>
      </c>
      <c r="B273" s="46" t="s">
        <v>9</v>
      </c>
      <c r="C273" s="47">
        <v>44252</v>
      </c>
      <c r="D273" s="45">
        <v>22021000639</v>
      </c>
      <c r="E273" s="46" t="s">
        <v>983</v>
      </c>
      <c r="F273" s="48">
        <v>299.49</v>
      </c>
      <c r="G273" s="46" t="s">
        <v>68</v>
      </c>
      <c r="H273" s="46" t="s">
        <v>1151</v>
      </c>
      <c r="I273" s="45" t="s">
        <v>125</v>
      </c>
      <c r="J273" s="46" t="s">
        <v>127</v>
      </c>
      <c r="K273" s="46" t="s">
        <v>127</v>
      </c>
      <c r="L273" s="46" t="s">
        <v>15</v>
      </c>
      <c r="M273" s="46" t="s">
        <v>13</v>
      </c>
      <c r="N273" s="46" t="s">
        <v>14</v>
      </c>
      <c r="O273" s="49" t="s">
        <v>803</v>
      </c>
      <c r="P273" s="46" t="s">
        <v>507</v>
      </c>
      <c r="Q273" s="35" t="str">
        <f>MID(Tabla1[[#This Row],[Aplicación]],14,1)</f>
        <v>2</v>
      </c>
      <c r="R273" s="35" t="s">
        <v>495</v>
      </c>
      <c r="S273" s="35" t="str">
        <f>MID(Tabla1[[#This Row],[Aplicación]],6,2)</f>
        <v>10</v>
      </c>
      <c r="T273" s="35" t="str">
        <f>VLOOKUP(Tabla1[[#This Row],[AREA]],Hoja1!A:B,2,FALSE)</f>
        <v>10. Servicios sociales y mediación comunitaria</v>
      </c>
      <c r="U273" s="35" t="str">
        <f>MID(Tabla1[[#This Row],[Aplicación]],9,4)</f>
        <v>2412</v>
      </c>
      <c r="V273" s="35" t="str">
        <f>VLOOKUP(Tabla1[[#This Row],[PROGRAMA]],Hoja1!A:B,2,FALSE)</f>
        <v>2412. Formación para el empleo</v>
      </c>
      <c r="W273" s="35" t="str">
        <f>MID(Tabla1[[#This Row],[Aplicación]],14,2)</f>
        <v>21</v>
      </c>
      <c r="X273" s="35" t="str">
        <f>MID(Tabla1[[#This Row],[Aplicación]],14,6)</f>
        <v>213</v>
      </c>
    </row>
    <row r="274" spans="1:24" x14ac:dyDescent="0.25">
      <c r="A274" s="45">
        <v>220210006448</v>
      </c>
      <c r="B274" s="46" t="s">
        <v>9</v>
      </c>
      <c r="C274" s="47">
        <v>44252</v>
      </c>
      <c r="D274" s="45">
        <v>22021000653</v>
      </c>
      <c r="E274" s="46" t="s">
        <v>983</v>
      </c>
      <c r="F274" s="48">
        <v>258</v>
      </c>
      <c r="G274" s="46" t="s">
        <v>68</v>
      </c>
      <c r="H274" s="46" t="s">
        <v>1152</v>
      </c>
      <c r="I274" s="45" t="s">
        <v>125</v>
      </c>
      <c r="J274" s="46" t="s">
        <v>127</v>
      </c>
      <c r="K274" s="46" t="s">
        <v>127</v>
      </c>
      <c r="L274" s="46" t="s">
        <v>15</v>
      </c>
      <c r="M274" s="46" t="s">
        <v>13</v>
      </c>
      <c r="N274" s="46" t="s">
        <v>14</v>
      </c>
      <c r="O274" s="49" t="s">
        <v>803</v>
      </c>
      <c r="P274" s="46" t="s">
        <v>507</v>
      </c>
      <c r="Q274" s="35" t="str">
        <f>MID(Tabla1[[#This Row],[Aplicación]],14,1)</f>
        <v>2</v>
      </c>
      <c r="R274" s="35" t="s">
        <v>495</v>
      </c>
      <c r="S274" s="35" t="str">
        <f>MID(Tabla1[[#This Row],[Aplicación]],6,2)</f>
        <v>10</v>
      </c>
      <c r="T274" s="35" t="str">
        <f>VLOOKUP(Tabla1[[#This Row],[AREA]],Hoja1!A:B,2,FALSE)</f>
        <v>10. Servicios sociales y mediación comunitaria</v>
      </c>
      <c r="U274" s="35" t="str">
        <f>MID(Tabla1[[#This Row],[Aplicación]],9,4)</f>
        <v>2412</v>
      </c>
      <c r="V274" s="35" t="str">
        <f>VLOOKUP(Tabla1[[#This Row],[PROGRAMA]],Hoja1!A:B,2,FALSE)</f>
        <v>2412. Formación para el empleo</v>
      </c>
      <c r="W274" s="35" t="str">
        <f>MID(Tabla1[[#This Row],[Aplicación]],14,2)</f>
        <v>21</v>
      </c>
      <c r="X274" s="35" t="str">
        <f>MID(Tabla1[[#This Row],[Aplicación]],14,6)</f>
        <v>213</v>
      </c>
    </row>
    <row r="275" spans="1:24" x14ac:dyDescent="0.25">
      <c r="A275" s="45">
        <v>220210006448</v>
      </c>
      <c r="B275" s="46" t="s">
        <v>9</v>
      </c>
      <c r="C275" s="47">
        <v>44252</v>
      </c>
      <c r="D275" s="45">
        <v>22021000654</v>
      </c>
      <c r="E275" s="46" t="s">
        <v>983</v>
      </c>
      <c r="F275" s="48">
        <v>21</v>
      </c>
      <c r="G275" s="46" t="s">
        <v>68</v>
      </c>
      <c r="H275" s="46" t="s">
        <v>1152</v>
      </c>
      <c r="I275" s="45" t="s">
        <v>125</v>
      </c>
      <c r="J275" s="46" t="s">
        <v>127</v>
      </c>
      <c r="K275" s="46" t="s">
        <v>127</v>
      </c>
      <c r="L275" s="46" t="s">
        <v>15</v>
      </c>
      <c r="M275" s="46" t="s">
        <v>13</v>
      </c>
      <c r="N275" s="46" t="s">
        <v>14</v>
      </c>
      <c r="O275" s="49" t="s">
        <v>803</v>
      </c>
      <c r="P275" s="46" t="s">
        <v>507</v>
      </c>
      <c r="Q275" s="35" t="str">
        <f>MID(Tabla1[[#This Row],[Aplicación]],14,1)</f>
        <v>2</v>
      </c>
      <c r="R275" s="35" t="s">
        <v>495</v>
      </c>
      <c r="S275" s="35" t="str">
        <f>MID(Tabla1[[#This Row],[Aplicación]],6,2)</f>
        <v>10</v>
      </c>
      <c r="T275" s="35" t="str">
        <f>VLOOKUP(Tabla1[[#This Row],[AREA]],Hoja1!A:B,2,FALSE)</f>
        <v>10. Servicios sociales y mediación comunitaria</v>
      </c>
      <c r="U275" s="35" t="str">
        <f>MID(Tabla1[[#This Row],[Aplicación]],9,4)</f>
        <v>2412</v>
      </c>
      <c r="V275" s="35" t="str">
        <f>VLOOKUP(Tabla1[[#This Row],[PROGRAMA]],Hoja1!A:B,2,FALSE)</f>
        <v>2412. Formación para el empleo</v>
      </c>
      <c r="W275" s="35" t="str">
        <f>MID(Tabla1[[#This Row],[Aplicación]],14,2)</f>
        <v>21</v>
      </c>
      <c r="X275" s="35" t="str">
        <f>MID(Tabla1[[#This Row],[Aplicación]],14,6)</f>
        <v>213</v>
      </c>
    </row>
    <row r="276" spans="1:24" x14ac:dyDescent="0.25">
      <c r="A276" s="45">
        <v>220210006448</v>
      </c>
      <c r="B276" s="46" t="s">
        <v>9</v>
      </c>
      <c r="C276" s="47">
        <v>44252</v>
      </c>
      <c r="D276" s="45">
        <v>22021000655</v>
      </c>
      <c r="E276" s="46" t="s">
        <v>983</v>
      </c>
      <c r="F276" s="48">
        <v>21</v>
      </c>
      <c r="G276" s="46" t="s">
        <v>68</v>
      </c>
      <c r="H276" s="46" t="s">
        <v>1152</v>
      </c>
      <c r="I276" s="45" t="s">
        <v>125</v>
      </c>
      <c r="J276" s="46" t="s">
        <v>127</v>
      </c>
      <c r="K276" s="46" t="s">
        <v>127</v>
      </c>
      <c r="L276" s="46" t="s">
        <v>15</v>
      </c>
      <c r="M276" s="46" t="s">
        <v>13</v>
      </c>
      <c r="N276" s="46" t="s">
        <v>14</v>
      </c>
      <c r="O276" s="49" t="s">
        <v>803</v>
      </c>
      <c r="P276" s="46" t="s">
        <v>507</v>
      </c>
      <c r="Q276" s="35" t="str">
        <f>MID(Tabla1[[#This Row],[Aplicación]],14,1)</f>
        <v>2</v>
      </c>
      <c r="R276" s="35" t="s">
        <v>495</v>
      </c>
      <c r="S276" s="35" t="str">
        <f>MID(Tabla1[[#This Row],[Aplicación]],6,2)</f>
        <v>10</v>
      </c>
      <c r="T276" s="35" t="str">
        <f>VLOOKUP(Tabla1[[#This Row],[AREA]],Hoja1!A:B,2,FALSE)</f>
        <v>10. Servicios sociales y mediación comunitaria</v>
      </c>
      <c r="U276" s="35" t="str">
        <f>MID(Tabla1[[#This Row],[Aplicación]],9,4)</f>
        <v>2412</v>
      </c>
      <c r="V276" s="35" t="str">
        <f>VLOOKUP(Tabla1[[#This Row],[PROGRAMA]],Hoja1!A:B,2,FALSE)</f>
        <v>2412. Formación para el empleo</v>
      </c>
      <c r="W276" s="35" t="str">
        <f>MID(Tabla1[[#This Row],[Aplicación]],14,2)</f>
        <v>21</v>
      </c>
      <c r="X276" s="35" t="str">
        <f>MID(Tabla1[[#This Row],[Aplicación]],14,6)</f>
        <v>213</v>
      </c>
    </row>
    <row r="277" spans="1:24" x14ac:dyDescent="0.25">
      <c r="A277" s="45">
        <v>220210006534</v>
      </c>
      <c r="B277" s="46" t="s">
        <v>32</v>
      </c>
      <c r="C277" s="47">
        <v>44253</v>
      </c>
      <c r="D277" s="45">
        <v>22021003115</v>
      </c>
      <c r="E277" s="46" t="s">
        <v>1029</v>
      </c>
      <c r="F277" s="48">
        <v>57.68</v>
      </c>
      <c r="G277" s="46" t="s">
        <v>68</v>
      </c>
      <c r="H277" s="46" t="s">
        <v>1153</v>
      </c>
      <c r="I277" s="45" t="s">
        <v>234</v>
      </c>
      <c r="J277" s="46" t="s">
        <v>127</v>
      </c>
      <c r="K277" s="46" t="s">
        <v>127</v>
      </c>
      <c r="L277" s="46" t="s">
        <v>15</v>
      </c>
      <c r="M277" s="46" t="s">
        <v>13</v>
      </c>
      <c r="N277" s="46" t="s">
        <v>14</v>
      </c>
      <c r="O277" s="49" t="s">
        <v>803</v>
      </c>
      <c r="P277" s="46" t="s">
        <v>507</v>
      </c>
      <c r="Q277" s="35" t="str">
        <f>MID(Tabla1[[#This Row],[Aplicación]],14,1)</f>
        <v>2</v>
      </c>
      <c r="R277" s="35" t="s">
        <v>495</v>
      </c>
      <c r="S277" s="35" t="str">
        <f>MID(Tabla1[[#This Row],[Aplicación]],6,2)</f>
        <v>08</v>
      </c>
      <c r="T277" s="35" t="str">
        <f>VLOOKUP(Tabla1[[#This Row],[AREA]],Hoja1!A:B,2,FALSE)</f>
        <v>08. Movilidad y espacio urbano</v>
      </c>
      <c r="U277" s="35" t="str">
        <f>MID(Tabla1[[#This Row],[Aplicación]],9,4)</f>
        <v>1301</v>
      </c>
      <c r="V277" s="35" t="str">
        <f>VLOOKUP(Tabla1[[#This Row],[PROGRAMA]],Hoja1!A:B,2,FALSE)</f>
        <v>1301. Dirección del área de seguridad</v>
      </c>
      <c r="W277" s="35" t="str">
        <f>MID(Tabla1[[#This Row],[Aplicación]],14,2)</f>
        <v>21</v>
      </c>
      <c r="X277" s="35" t="str">
        <f>MID(Tabla1[[#This Row],[Aplicación]],14,6)</f>
        <v>213</v>
      </c>
    </row>
    <row r="278" spans="1:24" x14ac:dyDescent="0.25">
      <c r="A278" s="45">
        <v>220210001401</v>
      </c>
      <c r="B278" s="46" t="s">
        <v>32</v>
      </c>
      <c r="C278" s="47">
        <v>44229</v>
      </c>
      <c r="D278" s="45">
        <v>22021001973</v>
      </c>
      <c r="E278" s="46" t="s">
        <v>964</v>
      </c>
      <c r="F278" s="48">
        <v>84.36</v>
      </c>
      <c r="G278" s="46" t="s">
        <v>68</v>
      </c>
      <c r="H278" s="46" t="s">
        <v>1154</v>
      </c>
      <c r="I278" s="45" t="s">
        <v>234</v>
      </c>
      <c r="J278" s="46" t="s">
        <v>127</v>
      </c>
      <c r="K278" s="46" t="s">
        <v>127</v>
      </c>
      <c r="L278" s="46" t="s">
        <v>15</v>
      </c>
      <c r="M278" s="46" t="s">
        <v>13</v>
      </c>
      <c r="N278" s="46" t="s">
        <v>14</v>
      </c>
      <c r="O278" s="49" t="s">
        <v>803</v>
      </c>
      <c r="P278" s="46" t="s">
        <v>507</v>
      </c>
      <c r="Q278" s="35" t="str">
        <f>MID(Tabla1[[#This Row],[Aplicación]],14,1)</f>
        <v>2</v>
      </c>
      <c r="R278" s="35" t="s">
        <v>495</v>
      </c>
      <c r="S278" s="35" t="str">
        <f>MID(Tabla1[[#This Row],[Aplicación]],6,2)</f>
        <v>01</v>
      </c>
      <c r="T278" s="35" t="str">
        <f>VLOOKUP(Tabla1[[#This Row],[AREA]],Hoja1!A:B,2,FALSE)</f>
        <v>01. Alcaldía</v>
      </c>
      <c r="U278" s="35" t="str">
        <f>MID(Tabla1[[#This Row],[Aplicación]],9,4)</f>
        <v>9207</v>
      </c>
      <c r="V278" s="35" t="str">
        <f>VLOOKUP(Tabla1[[#This Row],[PROGRAMA]],Hoja1!A:B,2,FALSE)</f>
        <v>9207. Gobierno y relaciones</v>
      </c>
      <c r="W278" s="35" t="str">
        <f>MID(Tabla1[[#This Row],[Aplicación]],14,2)</f>
        <v>20</v>
      </c>
      <c r="X278" s="35" t="str">
        <f>MID(Tabla1[[#This Row],[Aplicación]],14,6)</f>
        <v>203</v>
      </c>
    </row>
    <row r="279" spans="1:24" x14ac:dyDescent="0.25">
      <c r="A279" s="45">
        <v>220210001402</v>
      </c>
      <c r="B279" s="46" t="s">
        <v>32</v>
      </c>
      <c r="C279" s="47">
        <v>44229</v>
      </c>
      <c r="D279" s="45">
        <v>22021001974</v>
      </c>
      <c r="E279" s="46" t="s">
        <v>964</v>
      </c>
      <c r="F279" s="48">
        <v>84.36</v>
      </c>
      <c r="G279" s="46" t="s">
        <v>68</v>
      </c>
      <c r="H279" s="46" t="s">
        <v>1155</v>
      </c>
      <c r="I279" s="45" t="s">
        <v>234</v>
      </c>
      <c r="J279" s="46" t="s">
        <v>127</v>
      </c>
      <c r="K279" s="46" t="s">
        <v>127</v>
      </c>
      <c r="L279" s="46" t="s">
        <v>15</v>
      </c>
      <c r="M279" s="46" t="s">
        <v>13</v>
      </c>
      <c r="N279" s="46" t="s">
        <v>14</v>
      </c>
      <c r="O279" s="49" t="s">
        <v>803</v>
      </c>
      <c r="P279" s="46" t="s">
        <v>507</v>
      </c>
      <c r="Q279" s="35" t="str">
        <f>MID(Tabla1[[#This Row],[Aplicación]],14,1)</f>
        <v>2</v>
      </c>
      <c r="R279" s="35" t="s">
        <v>495</v>
      </c>
      <c r="S279" s="35" t="str">
        <f>MID(Tabla1[[#This Row],[Aplicación]],6,2)</f>
        <v>01</v>
      </c>
      <c r="T279" s="35" t="str">
        <f>VLOOKUP(Tabla1[[#This Row],[AREA]],Hoja1!A:B,2,FALSE)</f>
        <v>01. Alcaldía</v>
      </c>
      <c r="U279" s="35" t="str">
        <f>MID(Tabla1[[#This Row],[Aplicación]],9,4)</f>
        <v>9207</v>
      </c>
      <c r="V279" s="35" t="str">
        <f>VLOOKUP(Tabla1[[#This Row],[PROGRAMA]],Hoja1!A:B,2,FALSE)</f>
        <v>9207. Gobierno y relaciones</v>
      </c>
      <c r="W279" s="35" t="str">
        <f>MID(Tabla1[[#This Row],[Aplicación]],14,2)</f>
        <v>20</v>
      </c>
      <c r="X279" s="35" t="str">
        <f>MID(Tabla1[[#This Row],[Aplicación]],14,6)</f>
        <v>203</v>
      </c>
    </row>
    <row r="280" spans="1:24" x14ac:dyDescent="0.25">
      <c r="A280" s="45">
        <v>220210001403</v>
      </c>
      <c r="B280" s="46" t="s">
        <v>32</v>
      </c>
      <c r="C280" s="47">
        <v>44229</v>
      </c>
      <c r="D280" s="45">
        <v>22021001975</v>
      </c>
      <c r="E280" s="46" t="s">
        <v>964</v>
      </c>
      <c r="F280" s="48">
        <v>84.36</v>
      </c>
      <c r="G280" s="46" t="s">
        <v>68</v>
      </c>
      <c r="H280" s="46" t="s">
        <v>1156</v>
      </c>
      <c r="I280" s="45" t="s">
        <v>234</v>
      </c>
      <c r="J280" s="46" t="s">
        <v>127</v>
      </c>
      <c r="K280" s="46" t="s">
        <v>127</v>
      </c>
      <c r="L280" s="46" t="s">
        <v>15</v>
      </c>
      <c r="M280" s="46" t="s">
        <v>13</v>
      </c>
      <c r="N280" s="46" t="s">
        <v>14</v>
      </c>
      <c r="O280" s="49" t="s">
        <v>803</v>
      </c>
      <c r="P280" s="46" t="s">
        <v>507</v>
      </c>
      <c r="Q280" s="35" t="str">
        <f>MID(Tabla1[[#This Row],[Aplicación]],14,1)</f>
        <v>2</v>
      </c>
      <c r="R280" s="35" t="s">
        <v>495</v>
      </c>
      <c r="S280" s="35" t="str">
        <f>MID(Tabla1[[#This Row],[Aplicación]],6,2)</f>
        <v>01</v>
      </c>
      <c r="T280" s="35" t="str">
        <f>VLOOKUP(Tabla1[[#This Row],[AREA]],Hoja1!A:B,2,FALSE)</f>
        <v>01. Alcaldía</v>
      </c>
      <c r="U280" s="35" t="str">
        <f>MID(Tabla1[[#This Row],[Aplicación]],9,4)</f>
        <v>9207</v>
      </c>
      <c r="V280" s="35" t="str">
        <f>VLOOKUP(Tabla1[[#This Row],[PROGRAMA]],Hoja1!A:B,2,FALSE)</f>
        <v>9207. Gobierno y relaciones</v>
      </c>
      <c r="W280" s="35" t="str">
        <f>MID(Tabla1[[#This Row],[Aplicación]],14,2)</f>
        <v>20</v>
      </c>
      <c r="X280" s="35" t="str">
        <f>MID(Tabla1[[#This Row],[Aplicación]],14,6)</f>
        <v>203</v>
      </c>
    </row>
    <row r="281" spans="1:24" x14ac:dyDescent="0.25">
      <c r="A281" s="45">
        <v>220210001404</v>
      </c>
      <c r="B281" s="46" t="s">
        <v>32</v>
      </c>
      <c r="C281" s="47">
        <v>44229</v>
      </c>
      <c r="D281" s="45">
        <v>22021001976</v>
      </c>
      <c r="E281" s="46" t="s">
        <v>964</v>
      </c>
      <c r="F281" s="48">
        <v>197.84</v>
      </c>
      <c r="G281" s="46" t="s">
        <v>68</v>
      </c>
      <c r="H281" s="46" t="s">
        <v>1157</v>
      </c>
      <c r="I281" s="45" t="s">
        <v>234</v>
      </c>
      <c r="J281" s="46" t="s">
        <v>127</v>
      </c>
      <c r="K281" s="46" t="s">
        <v>127</v>
      </c>
      <c r="L281" s="46" t="s">
        <v>15</v>
      </c>
      <c r="M281" s="46" t="s">
        <v>13</v>
      </c>
      <c r="N281" s="46" t="s">
        <v>14</v>
      </c>
      <c r="O281" s="49" t="s">
        <v>803</v>
      </c>
      <c r="P281" s="46" t="s">
        <v>507</v>
      </c>
      <c r="Q281" s="35" t="str">
        <f>MID(Tabla1[[#This Row],[Aplicación]],14,1)</f>
        <v>2</v>
      </c>
      <c r="R281" s="35" t="s">
        <v>495</v>
      </c>
      <c r="S281" s="35" t="str">
        <f>MID(Tabla1[[#This Row],[Aplicación]],6,2)</f>
        <v>01</v>
      </c>
      <c r="T281" s="35" t="str">
        <f>VLOOKUP(Tabla1[[#This Row],[AREA]],Hoja1!A:B,2,FALSE)</f>
        <v>01. Alcaldía</v>
      </c>
      <c r="U281" s="35" t="str">
        <f>MID(Tabla1[[#This Row],[Aplicación]],9,4)</f>
        <v>9207</v>
      </c>
      <c r="V281" s="35" t="str">
        <f>VLOOKUP(Tabla1[[#This Row],[PROGRAMA]],Hoja1!A:B,2,FALSE)</f>
        <v>9207. Gobierno y relaciones</v>
      </c>
      <c r="W281" s="35" t="str">
        <f>MID(Tabla1[[#This Row],[Aplicación]],14,2)</f>
        <v>20</v>
      </c>
      <c r="X281" s="35" t="str">
        <f>MID(Tabla1[[#This Row],[Aplicación]],14,6)</f>
        <v>203</v>
      </c>
    </row>
    <row r="282" spans="1:24" x14ac:dyDescent="0.25">
      <c r="A282" s="45">
        <v>220210001405</v>
      </c>
      <c r="B282" s="46" t="s">
        <v>32</v>
      </c>
      <c r="C282" s="47">
        <v>44229</v>
      </c>
      <c r="D282" s="45">
        <v>22021001977</v>
      </c>
      <c r="E282" s="46" t="s">
        <v>964</v>
      </c>
      <c r="F282" s="48">
        <v>196.78</v>
      </c>
      <c r="G282" s="46" t="s">
        <v>68</v>
      </c>
      <c r="H282" s="46" t="s">
        <v>1158</v>
      </c>
      <c r="I282" s="45" t="s">
        <v>234</v>
      </c>
      <c r="J282" s="46" t="s">
        <v>127</v>
      </c>
      <c r="K282" s="46" t="s">
        <v>127</v>
      </c>
      <c r="L282" s="46" t="s">
        <v>15</v>
      </c>
      <c r="M282" s="46" t="s">
        <v>13</v>
      </c>
      <c r="N282" s="46" t="s">
        <v>14</v>
      </c>
      <c r="O282" s="49" t="s">
        <v>803</v>
      </c>
      <c r="P282" s="46" t="s">
        <v>507</v>
      </c>
      <c r="Q282" s="35" t="str">
        <f>MID(Tabla1[[#This Row],[Aplicación]],14,1)</f>
        <v>2</v>
      </c>
      <c r="R282" s="35" t="s">
        <v>495</v>
      </c>
      <c r="S282" s="35" t="str">
        <f>MID(Tabla1[[#This Row],[Aplicación]],6,2)</f>
        <v>01</v>
      </c>
      <c r="T282" s="35" t="str">
        <f>VLOOKUP(Tabla1[[#This Row],[AREA]],Hoja1!A:B,2,FALSE)</f>
        <v>01. Alcaldía</v>
      </c>
      <c r="U282" s="35" t="str">
        <f>MID(Tabla1[[#This Row],[Aplicación]],9,4)</f>
        <v>9207</v>
      </c>
      <c r="V282" s="35" t="str">
        <f>VLOOKUP(Tabla1[[#This Row],[PROGRAMA]],Hoja1!A:B,2,FALSE)</f>
        <v>9207. Gobierno y relaciones</v>
      </c>
      <c r="W282" s="35" t="str">
        <f>MID(Tabla1[[#This Row],[Aplicación]],14,2)</f>
        <v>20</v>
      </c>
      <c r="X282" s="35" t="str">
        <f>MID(Tabla1[[#This Row],[Aplicación]],14,6)</f>
        <v>203</v>
      </c>
    </row>
    <row r="283" spans="1:24" x14ac:dyDescent="0.25">
      <c r="A283" s="45">
        <v>220210002582</v>
      </c>
      <c r="B283" s="46" t="s">
        <v>9</v>
      </c>
      <c r="C283" s="47">
        <v>44236</v>
      </c>
      <c r="D283" s="45">
        <v>22021000020</v>
      </c>
      <c r="E283" s="46" t="s">
        <v>964</v>
      </c>
      <c r="F283" s="48">
        <v>2377.65</v>
      </c>
      <c r="G283" s="46" t="s">
        <v>68</v>
      </c>
      <c r="H283" s="46" t="s">
        <v>1159</v>
      </c>
      <c r="I283" s="45" t="s">
        <v>125</v>
      </c>
      <c r="J283" s="46" t="s">
        <v>127</v>
      </c>
      <c r="K283" s="46" t="s">
        <v>127</v>
      </c>
      <c r="L283" s="46" t="s">
        <v>15</v>
      </c>
      <c r="M283" s="46" t="s">
        <v>13</v>
      </c>
      <c r="N283" s="46" t="s">
        <v>14</v>
      </c>
      <c r="O283" s="49" t="s">
        <v>803</v>
      </c>
      <c r="P283" s="46" t="s">
        <v>507</v>
      </c>
      <c r="Q283" s="35" t="str">
        <f>MID(Tabla1[[#This Row],[Aplicación]],14,1)</f>
        <v>2</v>
      </c>
      <c r="R283" s="35" t="s">
        <v>495</v>
      </c>
      <c r="S283" s="35" t="str">
        <f>MID(Tabla1[[#This Row],[Aplicación]],6,2)</f>
        <v>01</v>
      </c>
      <c r="T283" s="35" t="str">
        <f>VLOOKUP(Tabla1[[#This Row],[AREA]],Hoja1!A:B,2,FALSE)</f>
        <v>01. Alcaldía</v>
      </c>
      <c r="U283" s="35" t="str">
        <f>MID(Tabla1[[#This Row],[Aplicación]],9,4)</f>
        <v>9207</v>
      </c>
      <c r="V283" s="35" t="str">
        <f>VLOOKUP(Tabla1[[#This Row],[PROGRAMA]],Hoja1!A:B,2,FALSE)</f>
        <v>9207. Gobierno y relaciones</v>
      </c>
      <c r="W283" s="35" t="str">
        <f>MID(Tabla1[[#This Row],[Aplicación]],14,2)</f>
        <v>20</v>
      </c>
      <c r="X283" s="35" t="str">
        <f>MID(Tabla1[[#This Row],[Aplicación]],14,6)</f>
        <v>203</v>
      </c>
    </row>
    <row r="284" spans="1:24" x14ac:dyDescent="0.25">
      <c r="A284" s="45">
        <v>220179000081</v>
      </c>
      <c r="B284" s="46" t="s">
        <v>9</v>
      </c>
      <c r="C284" s="47">
        <v>44198</v>
      </c>
      <c r="D284" s="45">
        <v>22021000050</v>
      </c>
      <c r="E284" s="46" t="s">
        <v>1160</v>
      </c>
      <c r="F284" s="48">
        <v>27563.64</v>
      </c>
      <c r="G284" s="46" t="s">
        <v>131</v>
      </c>
      <c r="H284" s="46" t="s">
        <v>20</v>
      </c>
      <c r="I284" s="45" t="s">
        <v>125</v>
      </c>
      <c r="J284" s="46" t="s">
        <v>660</v>
      </c>
      <c r="K284" s="46" t="s">
        <v>126</v>
      </c>
      <c r="L284" s="46" t="s">
        <v>15</v>
      </c>
      <c r="M284" s="46" t="s">
        <v>13</v>
      </c>
      <c r="N284" s="46" t="s">
        <v>16</v>
      </c>
      <c r="O284" s="49" t="s">
        <v>803</v>
      </c>
      <c r="P284" s="46" t="s">
        <v>507</v>
      </c>
      <c r="Q284" s="35" t="str">
        <f>MID(Tabla1[[#This Row],[Aplicación]],14,1)</f>
        <v>2</v>
      </c>
      <c r="R284" s="35" t="s">
        <v>495</v>
      </c>
      <c r="S284" s="35" t="str">
        <f>MID(Tabla1[[#This Row],[Aplicación]],6,2)</f>
        <v>11</v>
      </c>
      <c r="T284" s="35" t="str">
        <f>VLOOKUP(Tabla1[[#This Row],[AREA]],Hoja1!A:B,2,FALSE)</f>
        <v>11. Salud pública y seguridad ciudadana</v>
      </c>
      <c r="U284" s="35" t="str">
        <f>MID(Tabla1[[#This Row],[Aplicación]],9,4)</f>
        <v>1321</v>
      </c>
      <c r="V284" s="35" t="str">
        <f>VLOOKUP(Tabla1[[#This Row],[PROGRAMA]],Hoja1!A:B,2,FALSE)</f>
        <v>1321. Policía municipal</v>
      </c>
      <c r="W284" s="35" t="str">
        <f>MID(Tabla1[[#This Row],[Aplicación]],14,2)</f>
        <v>20</v>
      </c>
      <c r="X284" s="35" t="str">
        <f>MID(Tabla1[[#This Row],[Aplicación]],14,6)</f>
        <v>204</v>
      </c>
    </row>
    <row r="285" spans="1:24" x14ac:dyDescent="0.25">
      <c r="A285" s="45">
        <v>220210004234</v>
      </c>
      <c r="B285" s="46" t="s">
        <v>9</v>
      </c>
      <c r="C285" s="47">
        <v>44245</v>
      </c>
      <c r="D285" s="45">
        <v>22021002737</v>
      </c>
      <c r="E285" s="46" t="s">
        <v>1161</v>
      </c>
      <c r="F285" s="48">
        <v>79.64</v>
      </c>
      <c r="G285" s="46" t="s">
        <v>131</v>
      </c>
      <c r="H285" s="46" t="s">
        <v>1162</v>
      </c>
      <c r="I285" s="45" t="s">
        <v>125</v>
      </c>
      <c r="J285" s="46" t="s">
        <v>660</v>
      </c>
      <c r="K285" s="46" t="s">
        <v>126</v>
      </c>
      <c r="L285" s="46" t="s">
        <v>15</v>
      </c>
      <c r="M285" s="46" t="s">
        <v>10</v>
      </c>
      <c r="N285" s="46" t="s">
        <v>11</v>
      </c>
      <c r="O285" s="49" t="s">
        <v>815</v>
      </c>
      <c r="P285" s="46" t="s">
        <v>507</v>
      </c>
      <c r="Q285" s="35" t="str">
        <f>MID(Tabla1[[#This Row],[Aplicación]],14,1)</f>
        <v>2</v>
      </c>
      <c r="R285" s="35" t="s">
        <v>495</v>
      </c>
      <c r="S285" s="35" t="str">
        <f>MID(Tabla1[[#This Row],[Aplicación]],6,2)</f>
        <v>11</v>
      </c>
      <c r="T285" s="35" t="str">
        <f>VLOOKUP(Tabla1[[#This Row],[AREA]],Hoja1!A:B,2,FALSE)</f>
        <v>11. Salud pública y seguridad ciudadana</v>
      </c>
      <c r="U285" s="35" t="str">
        <f>MID(Tabla1[[#This Row],[Aplicación]],9,4)</f>
        <v>1321</v>
      </c>
      <c r="V285" s="35" t="str">
        <f>VLOOKUP(Tabla1[[#This Row],[PROGRAMA]],Hoja1!A:B,2,FALSE)</f>
        <v>1321. Policía municipal</v>
      </c>
      <c r="W285" s="35" t="str">
        <f>MID(Tabla1[[#This Row],[Aplicación]],14,2)</f>
        <v>22</v>
      </c>
      <c r="X285" s="35" t="str">
        <f>MID(Tabla1[[#This Row],[Aplicación]],14,6)</f>
        <v>22103</v>
      </c>
    </row>
    <row r="286" spans="1:24" x14ac:dyDescent="0.25">
      <c r="A286" s="45">
        <v>220210000331</v>
      </c>
      <c r="B286" s="46" t="s">
        <v>9</v>
      </c>
      <c r="C286" s="47">
        <v>44217</v>
      </c>
      <c r="D286" s="45">
        <v>22021001219</v>
      </c>
      <c r="E286" s="46" t="s">
        <v>1163</v>
      </c>
      <c r="F286" s="48">
        <v>245</v>
      </c>
      <c r="G286" s="46" t="s">
        <v>733</v>
      </c>
      <c r="H286" s="46" t="s">
        <v>1164</v>
      </c>
      <c r="I286" s="45" t="s">
        <v>125</v>
      </c>
      <c r="J286" s="46" t="s">
        <v>146</v>
      </c>
      <c r="K286" s="46" t="s">
        <v>146</v>
      </c>
      <c r="L286" s="46" t="s">
        <v>15</v>
      </c>
      <c r="M286" s="46" t="s">
        <v>10</v>
      </c>
      <c r="N286" s="46" t="s">
        <v>11</v>
      </c>
      <c r="O286" s="49" t="s">
        <v>815</v>
      </c>
      <c r="P286" s="46" t="s">
        <v>507</v>
      </c>
      <c r="Q286" s="35" t="str">
        <f>MID(Tabla1[[#This Row],[Aplicación]],14,1)</f>
        <v>2</v>
      </c>
      <c r="R286" s="35" t="s">
        <v>495</v>
      </c>
      <c r="S286" s="35" t="str">
        <f>MID(Tabla1[[#This Row],[Aplicación]],6,2)</f>
        <v>06</v>
      </c>
      <c r="T286" s="35" t="str">
        <f>VLOOKUP(Tabla1[[#This Row],[AREA]],Hoja1!A:B,2,FALSE)</f>
        <v>06. Educación, infancia, juventud e igualdad</v>
      </c>
      <c r="U286" s="35" t="str">
        <f>MID(Tabla1[[#This Row],[Aplicación]],9,4)</f>
        <v>3321</v>
      </c>
      <c r="V286" s="35" t="str">
        <f>VLOOKUP(Tabla1[[#This Row],[PROGRAMA]],Hoja1!A:B,2,FALSE)</f>
        <v>3321. Bibliotecas públicas</v>
      </c>
      <c r="W286" s="35" t="str">
        <f>MID(Tabla1[[#This Row],[Aplicación]],14,2)</f>
        <v>22</v>
      </c>
      <c r="X286" s="35" t="str">
        <f>MID(Tabla1[[#This Row],[Aplicación]],14,6)</f>
        <v>22001</v>
      </c>
    </row>
    <row r="287" spans="1:24" x14ac:dyDescent="0.25">
      <c r="A287" s="45">
        <v>220210001368</v>
      </c>
      <c r="B287" s="46" t="s">
        <v>9</v>
      </c>
      <c r="C287" s="47">
        <v>44228</v>
      </c>
      <c r="D287" s="45">
        <v>22021002069</v>
      </c>
      <c r="E287" s="46" t="s">
        <v>950</v>
      </c>
      <c r="F287" s="48">
        <v>7247.9</v>
      </c>
      <c r="G287" s="46" t="s">
        <v>84</v>
      </c>
      <c r="H287" s="46" t="s">
        <v>1165</v>
      </c>
      <c r="I287" s="45" t="s">
        <v>125</v>
      </c>
      <c r="J287" s="46" t="s">
        <v>160</v>
      </c>
      <c r="K287" s="46" t="s">
        <v>160</v>
      </c>
      <c r="L287" s="46" t="s">
        <v>12</v>
      </c>
      <c r="M287" s="46" t="s">
        <v>10</v>
      </c>
      <c r="N287" s="46" t="s">
        <v>11</v>
      </c>
      <c r="O287" s="49" t="s">
        <v>815</v>
      </c>
      <c r="P287" s="46" t="s">
        <v>507</v>
      </c>
      <c r="Q287" s="35" t="str">
        <f>MID(Tabla1[[#This Row],[Aplicación]],14,1)</f>
        <v>2</v>
      </c>
      <c r="R287" s="35" t="s">
        <v>495</v>
      </c>
      <c r="S287" s="35" t="str">
        <f>MID(Tabla1[[#This Row],[Aplicación]],6,2)</f>
        <v>11</v>
      </c>
      <c r="T287" s="35" t="str">
        <f>VLOOKUP(Tabla1[[#This Row],[AREA]],Hoja1!A:B,2,FALSE)</f>
        <v>11. Salud pública y seguridad ciudadana</v>
      </c>
      <c r="U287" s="35" t="str">
        <f>MID(Tabla1[[#This Row],[Aplicación]],9,4)</f>
        <v>1321</v>
      </c>
      <c r="V287" s="35" t="str">
        <f>VLOOKUP(Tabla1[[#This Row],[PROGRAMA]],Hoja1!A:B,2,FALSE)</f>
        <v>1321. Policía municipal</v>
      </c>
      <c r="W287" s="35" t="str">
        <f>MID(Tabla1[[#This Row],[Aplicación]],14,2)</f>
        <v>21</v>
      </c>
      <c r="X287" s="35" t="str">
        <f>MID(Tabla1[[#This Row],[Aplicación]],14,6)</f>
        <v>213</v>
      </c>
    </row>
    <row r="288" spans="1:24" x14ac:dyDescent="0.25">
      <c r="A288" s="45">
        <v>220199000736</v>
      </c>
      <c r="B288" s="46" t="s">
        <v>9</v>
      </c>
      <c r="C288" s="47">
        <v>44198</v>
      </c>
      <c r="D288" s="45">
        <v>22021000173</v>
      </c>
      <c r="E288" s="46" t="s">
        <v>1166</v>
      </c>
      <c r="F288" s="48">
        <v>181500</v>
      </c>
      <c r="G288" s="46" t="s">
        <v>155</v>
      </c>
      <c r="H288" s="46" t="s">
        <v>625</v>
      </c>
      <c r="I288" s="45" t="s">
        <v>125</v>
      </c>
      <c r="J288" s="46" t="s">
        <v>127</v>
      </c>
      <c r="K288" s="46" t="s">
        <v>127</v>
      </c>
      <c r="L288" s="46" t="s">
        <v>12</v>
      </c>
      <c r="M288" s="46" t="s">
        <v>13</v>
      </c>
      <c r="N288" s="46" t="s">
        <v>14</v>
      </c>
      <c r="O288" s="49" t="s">
        <v>803</v>
      </c>
      <c r="P288" s="46" t="s">
        <v>507</v>
      </c>
      <c r="Q288" s="35" t="str">
        <f>MID(Tabla1[[#This Row],[Aplicación]],14,1)</f>
        <v>2</v>
      </c>
      <c r="R288" s="35" t="s">
        <v>495</v>
      </c>
      <c r="S288" s="35" t="str">
        <f>MID(Tabla1[[#This Row],[Aplicación]],6,2)</f>
        <v>03</v>
      </c>
      <c r="T288" s="35" t="str">
        <f>VLOOKUP(Tabla1[[#This Row],[AREA]],Hoja1!A:B,2,FALSE)</f>
        <v>03. Participación ciudadana y deportes</v>
      </c>
      <c r="U288" s="35" t="str">
        <f>MID(Tabla1[[#This Row],[Aplicación]],9,4)</f>
        <v>9241</v>
      </c>
      <c r="V288" s="35" t="str">
        <f>VLOOKUP(Tabla1[[#This Row],[PROGRAMA]],Hoja1!A:B,2,FALSE)</f>
        <v>9241. Participación ciudadana</v>
      </c>
      <c r="W288" s="35" t="str">
        <f>MID(Tabla1[[#This Row],[Aplicación]],14,2)</f>
        <v>22</v>
      </c>
      <c r="X288" s="35" t="str">
        <f>MID(Tabla1[[#This Row],[Aplicación]],14,6)</f>
        <v>22799</v>
      </c>
    </row>
    <row r="289" spans="1:24" x14ac:dyDescent="0.25">
      <c r="A289" s="45">
        <v>220210002411</v>
      </c>
      <c r="B289" s="46" t="s">
        <v>9</v>
      </c>
      <c r="C289" s="47">
        <v>44235</v>
      </c>
      <c r="D289" s="45">
        <v>22021002333</v>
      </c>
      <c r="E289" s="46" t="s">
        <v>1167</v>
      </c>
      <c r="F289" s="48">
        <v>1725.03</v>
      </c>
      <c r="G289" s="46" t="s">
        <v>1168</v>
      </c>
      <c r="H289" s="46" t="s">
        <v>1169</v>
      </c>
      <c r="I289" s="45" t="s">
        <v>125</v>
      </c>
      <c r="J289" s="46" t="s">
        <v>127</v>
      </c>
      <c r="K289" s="46" t="s">
        <v>127</v>
      </c>
      <c r="L289" s="46" t="s">
        <v>12</v>
      </c>
      <c r="M289" s="46" t="s">
        <v>10</v>
      </c>
      <c r="N289" s="46" t="s">
        <v>11</v>
      </c>
      <c r="O289" s="49" t="s">
        <v>815</v>
      </c>
      <c r="P289" s="46" t="s">
        <v>507</v>
      </c>
      <c r="Q289" s="35" t="str">
        <f>MID(Tabla1[[#This Row],[Aplicación]],14,1)</f>
        <v>2</v>
      </c>
      <c r="R289" s="35" t="s">
        <v>495</v>
      </c>
      <c r="S289" s="35" t="str">
        <f>MID(Tabla1[[#This Row],[Aplicación]],6,2)</f>
        <v>11</v>
      </c>
      <c r="T289" s="35" t="str">
        <f>VLOOKUP(Tabla1[[#This Row],[AREA]],Hoja1!A:B,2,FALSE)</f>
        <v>11. Salud pública y seguridad ciudadana</v>
      </c>
      <c r="U289" s="35" t="str">
        <f>MID(Tabla1[[#This Row],[Aplicación]],9,4)</f>
        <v>1321</v>
      </c>
      <c r="V289" s="35" t="str">
        <f>VLOOKUP(Tabla1[[#This Row],[PROGRAMA]],Hoja1!A:B,2,FALSE)</f>
        <v>1321. Policía municipal</v>
      </c>
      <c r="W289" s="35" t="str">
        <f>MID(Tabla1[[#This Row],[Aplicación]],14,2)</f>
        <v>21</v>
      </c>
      <c r="X289" s="35" t="str">
        <f>MID(Tabla1[[#This Row],[Aplicación]],14,6)</f>
        <v>214</v>
      </c>
    </row>
    <row r="290" spans="1:24" x14ac:dyDescent="0.25">
      <c r="A290" s="45">
        <v>220210003649</v>
      </c>
      <c r="B290" s="46" t="s">
        <v>9</v>
      </c>
      <c r="C290" s="47">
        <v>44243</v>
      </c>
      <c r="D290" s="45">
        <v>22021002597</v>
      </c>
      <c r="E290" s="46" t="s">
        <v>1167</v>
      </c>
      <c r="F290" s="48">
        <v>2801.9</v>
      </c>
      <c r="G290" s="46" t="s">
        <v>1168</v>
      </c>
      <c r="H290" s="46" t="s">
        <v>1170</v>
      </c>
      <c r="I290" s="45" t="s">
        <v>125</v>
      </c>
      <c r="J290" s="46" t="s">
        <v>127</v>
      </c>
      <c r="K290" s="46" t="s">
        <v>127</v>
      </c>
      <c r="L290" s="46" t="s">
        <v>12</v>
      </c>
      <c r="M290" s="46" t="s">
        <v>10</v>
      </c>
      <c r="N290" s="46" t="s">
        <v>11</v>
      </c>
      <c r="O290" s="49" t="s">
        <v>815</v>
      </c>
      <c r="P290" s="46" t="s">
        <v>507</v>
      </c>
      <c r="Q290" s="35" t="str">
        <f>MID(Tabla1[[#This Row],[Aplicación]],14,1)</f>
        <v>2</v>
      </c>
      <c r="R290" s="35" t="s">
        <v>495</v>
      </c>
      <c r="S290" s="35" t="str">
        <f>MID(Tabla1[[#This Row],[Aplicación]],6,2)</f>
        <v>11</v>
      </c>
      <c r="T290" s="35" t="str">
        <f>VLOOKUP(Tabla1[[#This Row],[AREA]],Hoja1!A:B,2,FALSE)</f>
        <v>11. Salud pública y seguridad ciudadana</v>
      </c>
      <c r="U290" s="35" t="str">
        <f>MID(Tabla1[[#This Row],[Aplicación]],9,4)</f>
        <v>1321</v>
      </c>
      <c r="V290" s="35" t="str">
        <f>VLOOKUP(Tabla1[[#This Row],[PROGRAMA]],Hoja1!A:B,2,FALSE)</f>
        <v>1321. Policía municipal</v>
      </c>
      <c r="W290" s="35" t="str">
        <f>MID(Tabla1[[#This Row],[Aplicación]],14,2)</f>
        <v>21</v>
      </c>
      <c r="X290" s="35" t="str">
        <f>MID(Tabla1[[#This Row],[Aplicación]],14,6)</f>
        <v>214</v>
      </c>
    </row>
    <row r="291" spans="1:24" x14ac:dyDescent="0.25">
      <c r="A291" s="45">
        <v>220210001390</v>
      </c>
      <c r="B291" s="46" t="s">
        <v>9</v>
      </c>
      <c r="C291" s="47">
        <v>44228</v>
      </c>
      <c r="D291" s="45">
        <v>22021002243</v>
      </c>
      <c r="E291" s="46" t="s">
        <v>930</v>
      </c>
      <c r="F291" s="48">
        <v>2420</v>
      </c>
      <c r="G291" s="46" t="s">
        <v>259</v>
      </c>
      <c r="H291" s="46" t="s">
        <v>1171</v>
      </c>
      <c r="I291" s="45" t="s">
        <v>125</v>
      </c>
      <c r="J291" s="46" t="s">
        <v>127</v>
      </c>
      <c r="K291" s="46" t="s">
        <v>127</v>
      </c>
      <c r="L291" s="46" t="s">
        <v>15</v>
      </c>
      <c r="M291" s="46" t="s">
        <v>10</v>
      </c>
      <c r="N291" s="46" t="s">
        <v>11</v>
      </c>
      <c r="O291" s="49" t="s">
        <v>815</v>
      </c>
      <c r="P291" s="46" t="s">
        <v>507</v>
      </c>
      <c r="Q291" s="35" t="str">
        <f>MID(Tabla1[[#This Row],[Aplicación]],14,1)</f>
        <v>2</v>
      </c>
      <c r="R291" s="35" t="s">
        <v>495</v>
      </c>
      <c r="S291" s="35" t="str">
        <f>MID(Tabla1[[#This Row],[Aplicación]],6,2)</f>
        <v>08</v>
      </c>
      <c r="T291" s="35" t="str">
        <f>VLOOKUP(Tabla1[[#This Row],[AREA]],Hoja1!A:B,2,FALSE)</f>
        <v>08. Movilidad y espacio urbano</v>
      </c>
      <c r="U291" s="35" t="str">
        <f>MID(Tabla1[[#This Row],[Aplicación]],9,4)</f>
        <v>1532</v>
      </c>
      <c r="V291" s="35" t="str">
        <f>VLOOKUP(Tabla1[[#This Row],[PROGRAMA]],Hoja1!A:B,2,FALSE)</f>
        <v>1532. Pavimentación vias públicas y otros servicios urbanísticos</v>
      </c>
      <c r="W291" s="35" t="str">
        <f>MID(Tabla1[[#This Row],[Aplicación]],14,2)</f>
        <v>20</v>
      </c>
      <c r="X291" s="35" t="str">
        <f>MID(Tabla1[[#This Row],[Aplicación]],14,6)</f>
        <v>203</v>
      </c>
    </row>
    <row r="292" spans="1:24" x14ac:dyDescent="0.25">
      <c r="A292" s="45">
        <v>220209000350</v>
      </c>
      <c r="B292" s="46" t="s">
        <v>9</v>
      </c>
      <c r="C292" s="47">
        <v>44198</v>
      </c>
      <c r="D292" s="45">
        <v>22021000733</v>
      </c>
      <c r="E292" s="46" t="s">
        <v>1172</v>
      </c>
      <c r="F292" s="48">
        <v>15367</v>
      </c>
      <c r="G292" s="46" t="s">
        <v>1173</v>
      </c>
      <c r="H292" s="46" t="s">
        <v>1174</v>
      </c>
      <c r="I292" s="45" t="s">
        <v>125</v>
      </c>
      <c r="J292" s="46" t="s">
        <v>127</v>
      </c>
      <c r="K292" s="46" t="s">
        <v>127</v>
      </c>
      <c r="L292" s="46" t="s">
        <v>12</v>
      </c>
      <c r="M292" s="46" t="s">
        <v>13</v>
      </c>
      <c r="N292" s="46" t="s">
        <v>14</v>
      </c>
      <c r="O292" s="49" t="s">
        <v>803</v>
      </c>
      <c r="P292" s="46" t="s">
        <v>507</v>
      </c>
      <c r="Q292" s="35" t="str">
        <f>MID(Tabla1[[#This Row],[Aplicación]],14,1)</f>
        <v>6</v>
      </c>
      <c r="R292" s="35" t="s">
        <v>496</v>
      </c>
      <c r="S292" s="35" t="str">
        <f>MID(Tabla1[[#This Row],[Aplicación]],6,2)</f>
        <v>02</v>
      </c>
      <c r="T292" s="35" t="str">
        <f>VLOOKUP(Tabla1[[#This Row],[AREA]],Hoja1!A:B,2,FALSE)</f>
        <v>02. Planeamiento urbanístico y vivienda</v>
      </c>
      <c r="U292" s="35" t="str">
        <f>MID(Tabla1[[#This Row],[Aplicación]],9,4)</f>
        <v>9332</v>
      </c>
      <c r="V292" s="35" t="str">
        <f>VLOOKUP(Tabla1[[#This Row],[PROGRAMA]],Hoja1!A:B,2,FALSE)</f>
        <v>9332. Mantenimiento de edificios e instalaciones municipales</v>
      </c>
      <c r="W292" s="35" t="str">
        <f>MID(Tabla1[[#This Row],[Aplicación]],14,2)</f>
        <v>63</v>
      </c>
      <c r="X292" s="35" t="str">
        <f>MID(Tabla1[[#This Row],[Aplicación]],14,6)</f>
        <v>632</v>
      </c>
    </row>
    <row r="293" spans="1:24" x14ac:dyDescent="0.25">
      <c r="A293" s="45">
        <v>220210004009</v>
      </c>
      <c r="B293" s="46" t="s">
        <v>9</v>
      </c>
      <c r="C293" s="47">
        <v>44244</v>
      </c>
      <c r="D293" s="45">
        <v>22021002179</v>
      </c>
      <c r="E293" s="46" t="s">
        <v>1175</v>
      </c>
      <c r="F293" s="48">
        <v>13583.05</v>
      </c>
      <c r="G293" s="46" t="s">
        <v>228</v>
      </c>
      <c r="H293" s="46" t="s">
        <v>1176</v>
      </c>
      <c r="I293" s="45" t="s">
        <v>125</v>
      </c>
      <c r="J293" s="46" t="s">
        <v>127</v>
      </c>
      <c r="K293" s="46" t="s">
        <v>127</v>
      </c>
      <c r="L293" s="46" t="s">
        <v>12</v>
      </c>
      <c r="M293" s="46" t="s">
        <v>10</v>
      </c>
      <c r="N293" s="46" t="s">
        <v>11</v>
      </c>
      <c r="O293" s="49" t="s">
        <v>815</v>
      </c>
      <c r="P293" s="46" t="s">
        <v>507</v>
      </c>
      <c r="Q293" s="35" t="str">
        <f>MID(Tabla1[[#This Row],[Aplicación]],14,1)</f>
        <v>2</v>
      </c>
      <c r="R293" s="35" t="s">
        <v>495</v>
      </c>
      <c r="S293" s="35" t="str">
        <f>MID(Tabla1[[#This Row],[Aplicación]],6,2)</f>
        <v>06</v>
      </c>
      <c r="T293" s="35" t="str">
        <f>VLOOKUP(Tabla1[[#This Row],[AREA]],Hoja1!A:B,2,FALSE)</f>
        <v>06. Educación, infancia, juventud e igualdad</v>
      </c>
      <c r="U293" s="35" t="str">
        <f>MID(Tabla1[[#This Row],[Aplicación]],9,4)</f>
        <v>2314</v>
      </c>
      <c r="V293" s="35" t="str">
        <f>VLOOKUP(Tabla1[[#This Row],[PROGRAMA]],Hoja1!A:B,2,FALSE)</f>
        <v>2314. Centro de programas juveniles</v>
      </c>
      <c r="W293" s="35" t="str">
        <f>MID(Tabla1[[#This Row],[Aplicación]],14,2)</f>
        <v>22</v>
      </c>
      <c r="X293" s="35" t="str">
        <f>MID(Tabla1[[#This Row],[Aplicación]],14,6)</f>
        <v>22799</v>
      </c>
    </row>
    <row r="294" spans="1:24" x14ac:dyDescent="0.25">
      <c r="A294" s="45">
        <v>220210006449</v>
      </c>
      <c r="B294" s="46" t="s">
        <v>9</v>
      </c>
      <c r="C294" s="47">
        <v>44253</v>
      </c>
      <c r="D294" s="45">
        <v>22021002526</v>
      </c>
      <c r="E294" s="46" t="s">
        <v>1177</v>
      </c>
      <c r="F294" s="48">
        <v>3267</v>
      </c>
      <c r="G294" s="46" t="s">
        <v>1178</v>
      </c>
      <c r="H294" s="46" t="s">
        <v>1179</v>
      </c>
      <c r="I294" s="45" t="s">
        <v>125</v>
      </c>
      <c r="J294" s="46" t="s">
        <v>127</v>
      </c>
      <c r="K294" s="46" t="s">
        <v>127</v>
      </c>
      <c r="L294" s="46" t="s">
        <v>12</v>
      </c>
      <c r="M294" s="46" t="s">
        <v>10</v>
      </c>
      <c r="N294" s="46" t="s">
        <v>11</v>
      </c>
      <c r="O294" s="49" t="s">
        <v>815</v>
      </c>
      <c r="P294" s="46" t="s">
        <v>507</v>
      </c>
      <c r="Q294" s="35" t="str">
        <f>MID(Tabla1[[#This Row],[Aplicación]],14,1)</f>
        <v>2</v>
      </c>
      <c r="R294" s="35" t="s">
        <v>495</v>
      </c>
      <c r="S294" s="35" t="str">
        <f>MID(Tabla1[[#This Row],[Aplicación]],6,2)</f>
        <v>09</v>
      </c>
      <c r="T294" s="35" t="str">
        <f>VLOOKUP(Tabla1[[#This Row],[AREA]],Hoja1!A:B,2,FALSE)</f>
        <v>09. Cultura y turismo</v>
      </c>
      <c r="U294" s="35" t="str">
        <f>MID(Tabla1[[#This Row],[Aplicación]],9,4)</f>
        <v>3341</v>
      </c>
      <c r="V294" s="35" t="str">
        <f>VLOOKUP(Tabla1[[#This Row],[PROGRAMA]],Hoja1!A:B,2,FALSE)</f>
        <v>3341. Coordinación de políticas culturales</v>
      </c>
      <c r="W294" s="35" t="str">
        <f>MID(Tabla1[[#This Row],[Aplicación]],14,2)</f>
        <v>22</v>
      </c>
      <c r="X294" s="35" t="str">
        <f>MID(Tabla1[[#This Row],[Aplicación]],14,6)</f>
        <v>22699</v>
      </c>
    </row>
    <row r="295" spans="1:24" x14ac:dyDescent="0.25">
      <c r="A295" s="45">
        <v>220179000082</v>
      </c>
      <c r="B295" s="46" t="s">
        <v>9</v>
      </c>
      <c r="C295" s="47">
        <v>44198</v>
      </c>
      <c r="D295" s="45">
        <v>22021000117</v>
      </c>
      <c r="E295" s="46" t="s">
        <v>1160</v>
      </c>
      <c r="F295" s="48">
        <v>82764</v>
      </c>
      <c r="G295" s="46" t="s">
        <v>132</v>
      </c>
      <c r="H295" s="46" t="s">
        <v>21</v>
      </c>
      <c r="I295" s="45" t="s">
        <v>125</v>
      </c>
      <c r="J295" s="46" t="s">
        <v>133</v>
      </c>
      <c r="K295" s="46" t="s">
        <v>133</v>
      </c>
      <c r="L295" s="46" t="s">
        <v>15</v>
      </c>
      <c r="M295" s="46" t="s">
        <v>13</v>
      </c>
      <c r="N295" s="46" t="s">
        <v>16</v>
      </c>
      <c r="O295" s="49" t="s">
        <v>803</v>
      </c>
      <c r="P295" s="46" t="s">
        <v>507</v>
      </c>
      <c r="Q295" s="35" t="str">
        <f>MID(Tabla1[[#This Row],[Aplicación]],14,1)</f>
        <v>2</v>
      </c>
      <c r="R295" s="35" t="s">
        <v>495</v>
      </c>
      <c r="S295" s="35" t="str">
        <f>MID(Tabla1[[#This Row],[Aplicación]],6,2)</f>
        <v>11</v>
      </c>
      <c r="T295" s="35" t="str">
        <f>VLOOKUP(Tabla1[[#This Row],[AREA]],Hoja1!A:B,2,FALSE)</f>
        <v>11. Salud pública y seguridad ciudadana</v>
      </c>
      <c r="U295" s="35" t="str">
        <f>MID(Tabla1[[#This Row],[Aplicación]],9,4)</f>
        <v>1321</v>
      </c>
      <c r="V295" s="35" t="str">
        <f>VLOOKUP(Tabla1[[#This Row],[PROGRAMA]],Hoja1!A:B,2,FALSE)</f>
        <v>1321. Policía municipal</v>
      </c>
      <c r="W295" s="35" t="str">
        <f>MID(Tabla1[[#This Row],[Aplicación]],14,2)</f>
        <v>20</v>
      </c>
      <c r="X295" s="35" t="str">
        <f>MID(Tabla1[[#This Row],[Aplicación]],14,6)</f>
        <v>204</v>
      </c>
    </row>
    <row r="296" spans="1:24" x14ac:dyDescent="0.25">
      <c r="A296" s="45">
        <v>220210003626</v>
      </c>
      <c r="B296" s="46" t="s">
        <v>9</v>
      </c>
      <c r="C296" s="47">
        <v>44243</v>
      </c>
      <c r="D296" s="45">
        <v>22021002580</v>
      </c>
      <c r="E296" s="46" t="s">
        <v>1180</v>
      </c>
      <c r="F296" s="48">
        <v>7178.42</v>
      </c>
      <c r="G296" s="46" t="s">
        <v>1181</v>
      </c>
      <c r="H296" s="46" t="s">
        <v>1182</v>
      </c>
      <c r="I296" s="45" t="s">
        <v>125</v>
      </c>
      <c r="J296" s="46" t="s">
        <v>127</v>
      </c>
      <c r="K296" s="46" t="s">
        <v>127</v>
      </c>
      <c r="L296" s="46" t="s">
        <v>15</v>
      </c>
      <c r="M296" s="46" t="s">
        <v>10</v>
      </c>
      <c r="N296" s="46" t="s">
        <v>11</v>
      </c>
      <c r="O296" s="49" t="s">
        <v>815</v>
      </c>
      <c r="P296" s="46" t="s">
        <v>507</v>
      </c>
      <c r="Q296" s="35" t="str">
        <f>MID(Tabla1[[#This Row],[Aplicación]],14,1)</f>
        <v>2</v>
      </c>
      <c r="R296" s="35" t="s">
        <v>495</v>
      </c>
      <c r="S296" s="35" t="str">
        <f>MID(Tabla1[[#This Row],[Aplicación]],6,2)</f>
        <v>08</v>
      </c>
      <c r="T296" s="35" t="str">
        <f>VLOOKUP(Tabla1[[#This Row],[AREA]],Hoja1!A:B,2,FALSE)</f>
        <v>08. Movilidad y espacio urbano</v>
      </c>
      <c r="U296" s="35" t="str">
        <f>MID(Tabla1[[#This Row],[Aplicación]],9,4)</f>
        <v>1532</v>
      </c>
      <c r="V296" s="35" t="str">
        <f>VLOOKUP(Tabla1[[#This Row],[PROGRAMA]],Hoja1!A:B,2,FALSE)</f>
        <v>1532. Pavimentación vias públicas y otros servicios urbanísticos</v>
      </c>
      <c r="W296" s="35" t="str">
        <f>MID(Tabla1[[#This Row],[Aplicación]],14,2)</f>
        <v>21</v>
      </c>
      <c r="X296" s="35" t="str">
        <f>MID(Tabla1[[#This Row],[Aplicación]],14,6)</f>
        <v>210</v>
      </c>
    </row>
    <row r="297" spans="1:24" x14ac:dyDescent="0.25">
      <c r="A297" s="45">
        <v>220210000482</v>
      </c>
      <c r="B297" s="46" t="s">
        <v>9</v>
      </c>
      <c r="C297" s="47">
        <v>44221</v>
      </c>
      <c r="D297" s="45">
        <v>22021001165</v>
      </c>
      <c r="E297" s="46" t="s">
        <v>1183</v>
      </c>
      <c r="F297" s="48">
        <v>414.56</v>
      </c>
      <c r="G297" s="46" t="s">
        <v>1184</v>
      </c>
      <c r="H297" s="46" t="s">
        <v>1185</v>
      </c>
      <c r="I297" s="45" t="s">
        <v>125</v>
      </c>
      <c r="J297" s="46" t="s">
        <v>127</v>
      </c>
      <c r="K297" s="46" t="s">
        <v>127</v>
      </c>
      <c r="L297" s="46" t="s">
        <v>15</v>
      </c>
      <c r="M297" s="46" t="s">
        <v>10</v>
      </c>
      <c r="N297" s="46" t="s">
        <v>11</v>
      </c>
      <c r="O297" s="49" t="s">
        <v>815</v>
      </c>
      <c r="P297" s="46" t="s">
        <v>507</v>
      </c>
      <c r="Q297" s="35" t="str">
        <f>MID(Tabla1[[#This Row],[Aplicación]],14,1)</f>
        <v>2</v>
      </c>
      <c r="R297" s="35" t="s">
        <v>495</v>
      </c>
      <c r="S297" s="35" t="str">
        <f>MID(Tabla1[[#This Row],[Aplicación]],6,2)</f>
        <v>11</v>
      </c>
      <c r="T297" s="35" t="str">
        <f>VLOOKUP(Tabla1[[#This Row],[AREA]],Hoja1!A:B,2,FALSE)</f>
        <v>11. Salud pública y seguridad ciudadana</v>
      </c>
      <c r="U297" s="35" t="str">
        <f>MID(Tabla1[[#This Row],[Aplicación]],9,4)</f>
        <v>1361</v>
      </c>
      <c r="V297" s="35" t="str">
        <f>VLOOKUP(Tabla1[[#This Row],[PROGRAMA]],Hoja1!A:B,2,FALSE)</f>
        <v>1361. Prevención y extinción de incencios</v>
      </c>
      <c r="W297" s="35" t="str">
        <f>MID(Tabla1[[#This Row],[Aplicación]],14,2)</f>
        <v>22</v>
      </c>
      <c r="X297" s="35" t="str">
        <f>MID(Tabla1[[#This Row],[Aplicación]],14,6)</f>
        <v>22199</v>
      </c>
    </row>
    <row r="298" spans="1:24" x14ac:dyDescent="0.25">
      <c r="A298" s="45">
        <v>220210002429</v>
      </c>
      <c r="B298" s="46" t="s">
        <v>9</v>
      </c>
      <c r="C298" s="47">
        <v>44235</v>
      </c>
      <c r="D298" s="45">
        <v>22021002298</v>
      </c>
      <c r="E298" s="46" t="s">
        <v>950</v>
      </c>
      <c r="F298" s="48">
        <v>2000</v>
      </c>
      <c r="G298" s="46" t="s">
        <v>1184</v>
      </c>
      <c r="H298" s="46" t="s">
        <v>1186</v>
      </c>
      <c r="I298" s="45" t="s">
        <v>125</v>
      </c>
      <c r="J298" s="46" t="s">
        <v>127</v>
      </c>
      <c r="K298" s="46" t="s">
        <v>127</v>
      </c>
      <c r="L298" s="46" t="s">
        <v>12</v>
      </c>
      <c r="M298" s="46" t="s">
        <v>10</v>
      </c>
      <c r="N298" s="46" t="s">
        <v>11</v>
      </c>
      <c r="O298" s="49" t="s">
        <v>815</v>
      </c>
      <c r="P298" s="46" t="s">
        <v>507</v>
      </c>
      <c r="Q298" s="35" t="str">
        <f>MID(Tabla1[[#This Row],[Aplicación]],14,1)</f>
        <v>2</v>
      </c>
      <c r="R298" s="35" t="s">
        <v>495</v>
      </c>
      <c r="S298" s="35" t="str">
        <f>MID(Tabla1[[#This Row],[Aplicación]],6,2)</f>
        <v>11</v>
      </c>
      <c r="T298" s="35" t="str">
        <f>VLOOKUP(Tabla1[[#This Row],[AREA]],Hoja1!A:B,2,FALSE)</f>
        <v>11. Salud pública y seguridad ciudadana</v>
      </c>
      <c r="U298" s="35" t="str">
        <f>MID(Tabla1[[#This Row],[Aplicación]],9,4)</f>
        <v>1321</v>
      </c>
      <c r="V298" s="35" t="str">
        <f>VLOOKUP(Tabla1[[#This Row],[PROGRAMA]],Hoja1!A:B,2,FALSE)</f>
        <v>1321. Policía municipal</v>
      </c>
      <c r="W298" s="35" t="str">
        <f>MID(Tabla1[[#This Row],[Aplicación]],14,2)</f>
        <v>21</v>
      </c>
      <c r="X298" s="35" t="str">
        <f>MID(Tabla1[[#This Row],[Aplicación]],14,6)</f>
        <v>213</v>
      </c>
    </row>
    <row r="299" spans="1:24" x14ac:dyDescent="0.25">
      <c r="A299" s="45">
        <v>220210003997</v>
      </c>
      <c r="B299" s="46" t="s">
        <v>9</v>
      </c>
      <c r="C299" s="47">
        <v>44244</v>
      </c>
      <c r="D299" s="45">
        <v>22021002581</v>
      </c>
      <c r="E299" s="46" t="s">
        <v>1187</v>
      </c>
      <c r="F299" s="48">
        <v>4000</v>
      </c>
      <c r="G299" s="46" t="s">
        <v>69</v>
      </c>
      <c r="H299" s="46" t="s">
        <v>1188</v>
      </c>
      <c r="I299" s="45" t="s">
        <v>125</v>
      </c>
      <c r="J299" s="46" t="s">
        <v>180</v>
      </c>
      <c r="K299" s="46" t="s">
        <v>180</v>
      </c>
      <c r="L299" s="46" t="s">
        <v>12</v>
      </c>
      <c r="M299" s="46" t="s">
        <v>10</v>
      </c>
      <c r="N299" s="46" t="s">
        <v>11</v>
      </c>
      <c r="O299" s="49" t="s">
        <v>815</v>
      </c>
      <c r="P299" s="46" t="s">
        <v>507</v>
      </c>
      <c r="Q299" s="35" t="str">
        <f>MID(Tabla1[[#This Row],[Aplicación]],14,1)</f>
        <v>2</v>
      </c>
      <c r="R299" s="35" t="s">
        <v>495</v>
      </c>
      <c r="S299" s="35" t="str">
        <f>MID(Tabla1[[#This Row],[Aplicación]],6,2)</f>
        <v>06</v>
      </c>
      <c r="T299" s="35" t="str">
        <f>VLOOKUP(Tabla1[[#This Row],[AREA]],Hoja1!A:B,2,FALSE)</f>
        <v>06. Educación, infancia, juventud e igualdad</v>
      </c>
      <c r="U299" s="35" t="str">
        <f>MID(Tabla1[[#This Row],[Aplicación]],9,4)</f>
        <v>2315</v>
      </c>
      <c r="V299" s="35" t="str">
        <f>VLOOKUP(Tabla1[[#This Row],[PROGRAMA]],Hoja1!A:B,2,FALSE)</f>
        <v>2315. Políticas de Igualdad e infancia</v>
      </c>
      <c r="W299" s="35" t="str">
        <f>MID(Tabla1[[#This Row],[Aplicación]],14,2)</f>
        <v>22</v>
      </c>
      <c r="X299" s="35" t="str">
        <f>MID(Tabla1[[#This Row],[Aplicación]],14,6)</f>
        <v>22611</v>
      </c>
    </row>
    <row r="300" spans="1:24" x14ac:dyDescent="0.25">
      <c r="A300" s="45">
        <v>220209000723</v>
      </c>
      <c r="B300" s="46" t="s">
        <v>9</v>
      </c>
      <c r="C300" s="47">
        <v>44198</v>
      </c>
      <c r="D300" s="45">
        <v>22021000458</v>
      </c>
      <c r="E300" s="46" t="s">
        <v>1189</v>
      </c>
      <c r="F300" s="48">
        <v>52273.94</v>
      </c>
      <c r="G300" s="46" t="s">
        <v>176</v>
      </c>
      <c r="H300" s="46" t="s">
        <v>1190</v>
      </c>
      <c r="I300" s="45" t="s">
        <v>125</v>
      </c>
      <c r="J300" s="46" t="s">
        <v>127</v>
      </c>
      <c r="K300" s="46" t="s">
        <v>127</v>
      </c>
      <c r="L300" s="46" t="s">
        <v>12</v>
      </c>
      <c r="M300" s="46" t="s">
        <v>13</v>
      </c>
      <c r="N300" s="46" t="s">
        <v>14</v>
      </c>
      <c r="O300" s="49" t="s">
        <v>803</v>
      </c>
      <c r="P300" s="46" t="s">
        <v>507</v>
      </c>
      <c r="Q300" s="35" t="str">
        <f>MID(Tabla1[[#This Row],[Aplicación]],14,1)</f>
        <v>2</v>
      </c>
      <c r="R300" s="35" t="s">
        <v>495</v>
      </c>
      <c r="S300" s="35" t="str">
        <f>MID(Tabla1[[#This Row],[Aplicación]],6,2)</f>
        <v>10</v>
      </c>
      <c r="T300" s="35" t="str">
        <f>VLOOKUP(Tabla1[[#This Row],[AREA]],Hoja1!A:B,2,FALSE)</f>
        <v>10. Servicios sociales y mediación comunitaria</v>
      </c>
      <c r="U300" s="35" t="str">
        <f>MID(Tabla1[[#This Row],[Aplicación]],9,4)</f>
        <v>2311</v>
      </c>
      <c r="V300" s="35" t="str">
        <f>VLOOKUP(Tabla1[[#This Row],[PROGRAMA]],Hoja1!A:B,2,FALSE)</f>
        <v>2311. Intervención social</v>
      </c>
      <c r="W300" s="35" t="str">
        <f>MID(Tabla1[[#This Row],[Aplicación]],14,2)</f>
        <v>22</v>
      </c>
      <c r="X300" s="35" t="str">
        <f>MID(Tabla1[[#This Row],[Aplicación]],14,6)</f>
        <v>22700</v>
      </c>
    </row>
    <row r="301" spans="1:24" x14ac:dyDescent="0.25">
      <c r="A301" s="45">
        <v>220209000724</v>
      </c>
      <c r="B301" s="46" t="s">
        <v>9</v>
      </c>
      <c r="C301" s="47">
        <v>44198</v>
      </c>
      <c r="D301" s="45">
        <v>22021000459</v>
      </c>
      <c r="E301" s="46" t="s">
        <v>1189</v>
      </c>
      <c r="F301" s="48">
        <v>3535.75</v>
      </c>
      <c r="G301" s="46" t="s">
        <v>176</v>
      </c>
      <c r="H301" s="46" t="s">
        <v>1191</v>
      </c>
      <c r="I301" s="45" t="s">
        <v>125</v>
      </c>
      <c r="J301" s="46" t="s">
        <v>127</v>
      </c>
      <c r="K301" s="46" t="s">
        <v>127</v>
      </c>
      <c r="L301" s="46" t="s">
        <v>12</v>
      </c>
      <c r="M301" s="46" t="s">
        <v>13</v>
      </c>
      <c r="N301" s="46" t="s">
        <v>14</v>
      </c>
      <c r="O301" s="49" t="s">
        <v>803</v>
      </c>
      <c r="P301" s="46" t="s">
        <v>507</v>
      </c>
      <c r="Q301" s="35" t="str">
        <f>MID(Tabla1[[#This Row],[Aplicación]],14,1)</f>
        <v>2</v>
      </c>
      <c r="R301" s="35" t="s">
        <v>495</v>
      </c>
      <c r="S301" s="35" t="str">
        <f>MID(Tabla1[[#This Row],[Aplicación]],6,2)</f>
        <v>10</v>
      </c>
      <c r="T301" s="35" t="str">
        <f>VLOOKUP(Tabla1[[#This Row],[AREA]],Hoja1!A:B,2,FALSE)</f>
        <v>10. Servicios sociales y mediación comunitaria</v>
      </c>
      <c r="U301" s="35" t="str">
        <f>MID(Tabla1[[#This Row],[Aplicación]],9,4)</f>
        <v>2311</v>
      </c>
      <c r="V301" s="35" t="str">
        <f>VLOOKUP(Tabla1[[#This Row],[PROGRAMA]],Hoja1!A:B,2,FALSE)</f>
        <v>2311. Intervención social</v>
      </c>
      <c r="W301" s="35" t="str">
        <f>MID(Tabla1[[#This Row],[Aplicación]],14,2)</f>
        <v>22</v>
      </c>
      <c r="X301" s="35" t="str">
        <f>MID(Tabla1[[#This Row],[Aplicación]],14,6)</f>
        <v>22700</v>
      </c>
    </row>
    <row r="302" spans="1:24" x14ac:dyDescent="0.25">
      <c r="A302" s="45">
        <v>220209000725</v>
      </c>
      <c r="B302" s="46" t="s">
        <v>9</v>
      </c>
      <c r="C302" s="47">
        <v>44198</v>
      </c>
      <c r="D302" s="45">
        <v>22021000460</v>
      </c>
      <c r="E302" s="46" t="s">
        <v>1189</v>
      </c>
      <c r="F302" s="48">
        <v>7237.16</v>
      </c>
      <c r="G302" s="46" t="s">
        <v>176</v>
      </c>
      <c r="H302" s="46" t="s">
        <v>1192</v>
      </c>
      <c r="I302" s="45" t="s">
        <v>125</v>
      </c>
      <c r="J302" s="46" t="s">
        <v>127</v>
      </c>
      <c r="K302" s="46" t="s">
        <v>127</v>
      </c>
      <c r="L302" s="46" t="s">
        <v>12</v>
      </c>
      <c r="M302" s="46" t="s">
        <v>13</v>
      </c>
      <c r="N302" s="46" t="s">
        <v>14</v>
      </c>
      <c r="O302" s="49" t="s">
        <v>803</v>
      </c>
      <c r="P302" s="46" t="s">
        <v>507</v>
      </c>
      <c r="Q302" s="35" t="str">
        <f>MID(Tabla1[[#This Row],[Aplicación]],14,1)</f>
        <v>2</v>
      </c>
      <c r="R302" s="35" t="s">
        <v>495</v>
      </c>
      <c r="S302" s="35" t="str">
        <f>MID(Tabla1[[#This Row],[Aplicación]],6,2)</f>
        <v>10</v>
      </c>
      <c r="T302" s="35" t="str">
        <f>VLOOKUP(Tabla1[[#This Row],[AREA]],Hoja1!A:B,2,FALSE)</f>
        <v>10. Servicios sociales y mediación comunitaria</v>
      </c>
      <c r="U302" s="35" t="str">
        <f>MID(Tabla1[[#This Row],[Aplicación]],9,4)</f>
        <v>2311</v>
      </c>
      <c r="V302" s="35" t="str">
        <f>VLOOKUP(Tabla1[[#This Row],[PROGRAMA]],Hoja1!A:B,2,FALSE)</f>
        <v>2311. Intervención social</v>
      </c>
      <c r="W302" s="35" t="str">
        <f>MID(Tabla1[[#This Row],[Aplicación]],14,2)</f>
        <v>22</v>
      </c>
      <c r="X302" s="35" t="str">
        <f>MID(Tabla1[[#This Row],[Aplicación]],14,6)</f>
        <v>22700</v>
      </c>
    </row>
    <row r="303" spans="1:24" x14ac:dyDescent="0.25">
      <c r="A303" s="45">
        <v>220210001359</v>
      </c>
      <c r="B303" s="46" t="s">
        <v>9</v>
      </c>
      <c r="C303" s="47">
        <v>44228</v>
      </c>
      <c r="D303" s="45">
        <v>22021001248</v>
      </c>
      <c r="E303" s="46" t="s">
        <v>876</v>
      </c>
      <c r="F303" s="48">
        <v>600</v>
      </c>
      <c r="G303" s="46" t="s">
        <v>1193</v>
      </c>
      <c r="H303" s="46" t="s">
        <v>1194</v>
      </c>
      <c r="I303" s="45" t="s">
        <v>125</v>
      </c>
      <c r="J303" s="46" t="s">
        <v>1195</v>
      </c>
      <c r="K303" s="46" t="s">
        <v>145</v>
      </c>
      <c r="L303" s="46" t="s">
        <v>15</v>
      </c>
      <c r="M303" s="46" t="s">
        <v>10</v>
      </c>
      <c r="N303" s="46" t="s">
        <v>11</v>
      </c>
      <c r="O303" s="49" t="s">
        <v>815</v>
      </c>
      <c r="P303" s="46" t="s">
        <v>507</v>
      </c>
      <c r="Q303" s="35" t="str">
        <f>MID(Tabla1[[#This Row],[Aplicación]],14,1)</f>
        <v>2</v>
      </c>
      <c r="R303" s="35" t="s">
        <v>495</v>
      </c>
      <c r="S303" s="35" t="str">
        <f>MID(Tabla1[[#This Row],[Aplicación]],6,2)</f>
        <v>11</v>
      </c>
      <c r="T303" s="35" t="str">
        <f>VLOOKUP(Tabla1[[#This Row],[AREA]],Hoja1!A:B,2,FALSE)</f>
        <v>11. Salud pública y seguridad ciudadana</v>
      </c>
      <c r="U303" s="35" t="str">
        <f>MID(Tabla1[[#This Row],[Aplicación]],9,4)</f>
        <v>1631</v>
      </c>
      <c r="V303" s="35" t="str">
        <f>VLOOKUP(Tabla1[[#This Row],[PROGRAMA]],Hoja1!A:B,2,FALSE)</f>
        <v>1631. Limpieza viaria</v>
      </c>
      <c r="W303" s="35" t="str">
        <f>MID(Tabla1[[#This Row],[Aplicación]],14,2)</f>
        <v>22</v>
      </c>
      <c r="X303" s="35" t="str">
        <f>MID(Tabla1[[#This Row],[Aplicación]],14,6)</f>
        <v>22110</v>
      </c>
    </row>
    <row r="304" spans="1:24" x14ac:dyDescent="0.25">
      <c r="A304" s="45">
        <v>220199000361</v>
      </c>
      <c r="B304" s="46" t="s">
        <v>9</v>
      </c>
      <c r="C304" s="47">
        <v>44198</v>
      </c>
      <c r="D304" s="45">
        <v>22021000724</v>
      </c>
      <c r="E304" s="46" t="s">
        <v>1196</v>
      </c>
      <c r="F304" s="48">
        <v>320833.32</v>
      </c>
      <c r="G304" s="46" t="s">
        <v>222</v>
      </c>
      <c r="H304" s="46" t="s">
        <v>571</v>
      </c>
      <c r="I304" s="45" t="s">
        <v>125</v>
      </c>
      <c r="J304" s="46" t="s">
        <v>127</v>
      </c>
      <c r="K304" s="46" t="s">
        <v>127</v>
      </c>
      <c r="L304" s="46" t="s">
        <v>31</v>
      </c>
      <c r="M304" s="46" t="s">
        <v>13</v>
      </c>
      <c r="N304" s="46" t="s">
        <v>14</v>
      </c>
      <c r="O304" s="49" t="s">
        <v>803</v>
      </c>
      <c r="P304" s="46" t="s">
        <v>507</v>
      </c>
      <c r="Q304" s="35" t="str">
        <f>MID(Tabla1[[#This Row],[Aplicación]],14,1)</f>
        <v>6</v>
      </c>
      <c r="R304" s="35" t="s">
        <v>496</v>
      </c>
      <c r="S304" s="35" t="str">
        <f>MID(Tabla1[[#This Row],[Aplicación]],6,2)</f>
        <v>08</v>
      </c>
      <c r="T304" s="35" t="str">
        <f>VLOOKUP(Tabla1[[#This Row],[AREA]],Hoja1!A:B,2,FALSE)</f>
        <v>08. Movilidad y espacio urbano</v>
      </c>
      <c r="U304" s="35" t="str">
        <f>MID(Tabla1[[#This Row],[Aplicación]],9,4)</f>
        <v>1341</v>
      </c>
      <c r="V304" s="35" t="str">
        <f>VLOOKUP(Tabla1[[#This Row],[PROGRAMA]],Hoja1!A:B,2,FALSE)</f>
        <v>1341. Movilidad</v>
      </c>
      <c r="W304" s="35" t="str">
        <f>MID(Tabla1[[#This Row],[Aplicación]],14,2)</f>
        <v>61</v>
      </c>
      <c r="X304" s="35" t="str">
        <f>MID(Tabla1[[#This Row],[Aplicación]],14,6)</f>
        <v>619</v>
      </c>
    </row>
    <row r="305" spans="1:24" x14ac:dyDescent="0.25">
      <c r="A305" s="45">
        <v>220209000465</v>
      </c>
      <c r="B305" s="46" t="s">
        <v>9</v>
      </c>
      <c r="C305" s="47">
        <v>44198</v>
      </c>
      <c r="D305" s="45">
        <v>22021000316</v>
      </c>
      <c r="E305" s="46" t="s">
        <v>1197</v>
      </c>
      <c r="F305" s="48">
        <v>226299.09</v>
      </c>
      <c r="G305" s="46" t="s">
        <v>1198</v>
      </c>
      <c r="H305" s="46" t="s">
        <v>1199</v>
      </c>
      <c r="I305" s="45" t="s">
        <v>125</v>
      </c>
      <c r="J305" s="46" t="s">
        <v>180</v>
      </c>
      <c r="K305" s="46" t="s">
        <v>180</v>
      </c>
      <c r="L305" s="46" t="s">
        <v>12</v>
      </c>
      <c r="M305" s="46" t="s">
        <v>13</v>
      </c>
      <c r="N305" s="46" t="s">
        <v>14</v>
      </c>
      <c r="O305" s="49" t="s">
        <v>803</v>
      </c>
      <c r="P305" s="46" t="s">
        <v>507</v>
      </c>
      <c r="Q305" s="35" t="str">
        <f>MID(Tabla1[[#This Row],[Aplicación]],14,1)</f>
        <v>2</v>
      </c>
      <c r="R305" s="35" t="s">
        <v>495</v>
      </c>
      <c r="S305" s="35" t="str">
        <f>MID(Tabla1[[#This Row],[Aplicación]],6,2)</f>
        <v>06</v>
      </c>
      <c r="T305" s="35" t="str">
        <f>VLOOKUP(Tabla1[[#This Row],[AREA]],Hoja1!A:B,2,FALSE)</f>
        <v>06. Educación, infancia, juventud e igualdad</v>
      </c>
      <c r="U305" s="35" t="str">
        <f>MID(Tabla1[[#This Row],[Aplicación]],9,4)</f>
        <v>3231</v>
      </c>
      <c r="V305" s="35" t="str">
        <f>VLOOKUP(Tabla1[[#This Row],[PROGRAMA]],Hoja1!A:B,2,FALSE)</f>
        <v>3231. Escuelas infantiles</v>
      </c>
      <c r="W305" s="35" t="str">
        <f>MID(Tabla1[[#This Row],[Aplicación]],14,2)</f>
        <v>22</v>
      </c>
      <c r="X305" s="35" t="str">
        <f>MID(Tabla1[[#This Row],[Aplicación]],14,6)</f>
        <v>22799</v>
      </c>
    </row>
    <row r="306" spans="1:24" x14ac:dyDescent="0.25">
      <c r="A306" s="45">
        <v>220200039609</v>
      </c>
      <c r="B306" s="46" t="s">
        <v>9</v>
      </c>
      <c r="C306" s="47">
        <v>44284</v>
      </c>
      <c r="D306" s="45">
        <v>22020001122</v>
      </c>
      <c r="E306" s="46" t="s">
        <v>1172</v>
      </c>
      <c r="F306" s="48">
        <v>23050.5</v>
      </c>
      <c r="G306" s="46" t="s">
        <v>1173</v>
      </c>
      <c r="H306" s="46" t="s">
        <v>1200</v>
      </c>
      <c r="I306" s="45" t="s">
        <v>125</v>
      </c>
      <c r="J306" s="46" t="s">
        <v>127</v>
      </c>
      <c r="K306" s="46" t="s">
        <v>127</v>
      </c>
      <c r="L306" s="46" t="s">
        <v>12</v>
      </c>
      <c r="M306" s="46" t="s">
        <v>13</v>
      </c>
      <c r="N306" s="46" t="s">
        <v>14</v>
      </c>
      <c r="O306" s="49" t="s">
        <v>803</v>
      </c>
      <c r="P306" s="46" t="s">
        <v>507</v>
      </c>
      <c r="Q306" s="35" t="str">
        <f>MID(Tabla1[[#This Row],[Aplicación]],14,1)</f>
        <v>6</v>
      </c>
      <c r="R306" s="35" t="s">
        <v>496</v>
      </c>
      <c r="S306" s="35" t="str">
        <f>MID(Tabla1[[#This Row],[Aplicación]],6,2)</f>
        <v>02</v>
      </c>
      <c r="T306" s="35" t="str">
        <f>VLOOKUP(Tabla1[[#This Row],[AREA]],Hoja1!A:B,2,FALSE)</f>
        <v>02. Planeamiento urbanístico y vivienda</v>
      </c>
      <c r="U306" s="35" t="str">
        <f>MID(Tabla1[[#This Row],[Aplicación]],9,4)</f>
        <v>9332</v>
      </c>
      <c r="V306" s="35" t="str">
        <f>VLOOKUP(Tabla1[[#This Row],[PROGRAMA]],Hoja1!A:B,2,FALSE)</f>
        <v>9332. Mantenimiento de edificios e instalaciones municipales</v>
      </c>
      <c r="W306" s="35" t="str">
        <f>MID(Tabla1[[#This Row],[Aplicación]],14,2)</f>
        <v>63</v>
      </c>
      <c r="X306" s="35" t="str">
        <f>MID(Tabla1[[#This Row],[Aplicación]],14,6)</f>
        <v>632</v>
      </c>
    </row>
    <row r="307" spans="1:24" x14ac:dyDescent="0.25">
      <c r="A307" s="45">
        <v>220209000470</v>
      </c>
      <c r="B307" s="46" t="s">
        <v>9</v>
      </c>
      <c r="C307" s="47">
        <v>44198</v>
      </c>
      <c r="D307" s="45">
        <v>22021000320</v>
      </c>
      <c r="E307" s="46" t="s">
        <v>1201</v>
      </c>
      <c r="F307" s="48">
        <v>17830.89</v>
      </c>
      <c r="G307" s="46" t="s">
        <v>534</v>
      </c>
      <c r="H307" s="46" t="s">
        <v>1202</v>
      </c>
      <c r="I307" s="45" t="s">
        <v>125</v>
      </c>
      <c r="J307" s="46" t="s">
        <v>127</v>
      </c>
      <c r="K307" s="46" t="s">
        <v>127</v>
      </c>
      <c r="L307" s="46" t="s">
        <v>15</v>
      </c>
      <c r="M307" s="46" t="s">
        <v>13</v>
      </c>
      <c r="N307" s="46" t="s">
        <v>14</v>
      </c>
      <c r="O307" s="49" t="s">
        <v>803</v>
      </c>
      <c r="P307" s="46" t="s">
        <v>507</v>
      </c>
      <c r="Q307" s="35" t="str">
        <f>MID(Tabla1[[#This Row],[Aplicación]],14,1)</f>
        <v>2</v>
      </c>
      <c r="R307" s="35" t="s">
        <v>495</v>
      </c>
      <c r="S307" s="35" t="str">
        <f>MID(Tabla1[[#This Row],[Aplicación]],6,2)</f>
        <v>11</v>
      </c>
      <c r="T307" s="35" t="str">
        <f>VLOOKUP(Tabla1[[#This Row],[AREA]],Hoja1!A:B,2,FALSE)</f>
        <v>11. Salud pública y seguridad ciudadana</v>
      </c>
      <c r="U307" s="35" t="str">
        <f>MID(Tabla1[[#This Row],[Aplicación]],9,4)</f>
        <v>3111</v>
      </c>
      <c r="V307" s="35" t="str">
        <f>VLOOKUP(Tabla1[[#This Row],[PROGRAMA]],Hoja1!A:B,2,FALSE)</f>
        <v>3111. Protección de la salubridad pública</v>
      </c>
      <c r="W307" s="35" t="str">
        <f>MID(Tabla1[[#This Row],[Aplicación]],14,2)</f>
        <v>22</v>
      </c>
      <c r="X307" s="35" t="str">
        <f>MID(Tabla1[[#This Row],[Aplicación]],14,6)</f>
        <v>22106</v>
      </c>
    </row>
    <row r="308" spans="1:24" x14ac:dyDescent="0.25">
      <c r="A308" s="45">
        <v>220209000413</v>
      </c>
      <c r="B308" s="46" t="s">
        <v>9</v>
      </c>
      <c r="C308" s="47">
        <v>44198</v>
      </c>
      <c r="D308" s="45">
        <v>22021000299</v>
      </c>
      <c r="E308" s="46" t="s">
        <v>1203</v>
      </c>
      <c r="F308" s="48">
        <v>6709.61</v>
      </c>
      <c r="G308" s="46" t="s">
        <v>1204</v>
      </c>
      <c r="H308" s="46" t="s">
        <v>1205</v>
      </c>
      <c r="I308" s="45" t="s">
        <v>125</v>
      </c>
      <c r="J308" s="46" t="s">
        <v>127</v>
      </c>
      <c r="K308" s="46" t="s">
        <v>127</v>
      </c>
      <c r="L308" s="46" t="s">
        <v>15</v>
      </c>
      <c r="M308" s="46" t="s">
        <v>13</v>
      </c>
      <c r="N308" s="46" t="s">
        <v>11</v>
      </c>
      <c r="O308" s="49" t="s">
        <v>803</v>
      </c>
      <c r="P308" s="46" t="s">
        <v>507</v>
      </c>
      <c r="Q308" s="35" t="str">
        <f>MID(Tabla1[[#This Row],[Aplicación]],14,1)</f>
        <v>2</v>
      </c>
      <c r="R308" s="35" t="s">
        <v>495</v>
      </c>
      <c r="S308" s="35" t="str">
        <f>MID(Tabla1[[#This Row],[Aplicación]],6,2)</f>
        <v>01</v>
      </c>
      <c r="T308" s="35" t="str">
        <f>VLOOKUP(Tabla1[[#This Row],[AREA]],Hoja1!A:B,2,FALSE)</f>
        <v>01. Alcaldía</v>
      </c>
      <c r="U308" s="35" t="str">
        <f>MID(Tabla1[[#This Row],[Aplicación]],9,4)</f>
        <v>9203</v>
      </c>
      <c r="V308" s="35" t="str">
        <f>VLOOKUP(Tabla1[[#This Row],[PROGRAMA]],Hoja1!A:B,2,FALSE)</f>
        <v>9203. Unidad de régimen interior</v>
      </c>
      <c r="W308" s="35" t="str">
        <f>MID(Tabla1[[#This Row],[Aplicación]],14,2)</f>
        <v>22</v>
      </c>
      <c r="X308" s="35" t="str">
        <f>MID(Tabla1[[#This Row],[Aplicación]],14,6)</f>
        <v>22000</v>
      </c>
    </row>
    <row r="309" spans="1:24" x14ac:dyDescent="0.25">
      <c r="A309" s="45">
        <v>220209000459</v>
      </c>
      <c r="B309" s="46" t="s">
        <v>9</v>
      </c>
      <c r="C309" s="47">
        <v>44198</v>
      </c>
      <c r="D309" s="45">
        <v>22021000310</v>
      </c>
      <c r="E309" s="46" t="s">
        <v>1197</v>
      </c>
      <c r="F309" s="48">
        <v>385000</v>
      </c>
      <c r="G309" s="46" t="s">
        <v>139</v>
      </c>
      <c r="H309" s="46" t="s">
        <v>1206</v>
      </c>
      <c r="I309" s="45" t="s">
        <v>125</v>
      </c>
      <c r="J309" s="46" t="s">
        <v>127</v>
      </c>
      <c r="K309" s="46" t="s">
        <v>127</v>
      </c>
      <c r="L309" s="46" t="s">
        <v>12</v>
      </c>
      <c r="M309" s="46" t="s">
        <v>13</v>
      </c>
      <c r="N309" s="46" t="s">
        <v>14</v>
      </c>
      <c r="O309" s="49" t="s">
        <v>803</v>
      </c>
      <c r="P309" s="46" t="s">
        <v>507</v>
      </c>
      <c r="Q309" s="35" t="str">
        <f>MID(Tabla1[[#This Row],[Aplicación]],14,1)</f>
        <v>2</v>
      </c>
      <c r="R309" s="35" t="s">
        <v>495</v>
      </c>
      <c r="S309" s="35" t="str">
        <f>MID(Tabla1[[#This Row],[Aplicación]],6,2)</f>
        <v>06</v>
      </c>
      <c r="T309" s="35" t="str">
        <f>VLOOKUP(Tabla1[[#This Row],[AREA]],Hoja1!A:B,2,FALSE)</f>
        <v>06. Educación, infancia, juventud e igualdad</v>
      </c>
      <c r="U309" s="35" t="str">
        <f>MID(Tabla1[[#This Row],[Aplicación]],9,4)</f>
        <v>3231</v>
      </c>
      <c r="V309" s="35" t="str">
        <f>VLOOKUP(Tabla1[[#This Row],[PROGRAMA]],Hoja1!A:B,2,FALSE)</f>
        <v>3231. Escuelas infantiles</v>
      </c>
      <c r="W309" s="35" t="str">
        <f>MID(Tabla1[[#This Row],[Aplicación]],14,2)</f>
        <v>22</v>
      </c>
      <c r="X309" s="35" t="str">
        <f>MID(Tabla1[[#This Row],[Aplicación]],14,6)</f>
        <v>22799</v>
      </c>
    </row>
    <row r="310" spans="1:24" x14ac:dyDescent="0.25">
      <c r="A310" s="45">
        <v>220209000460</v>
      </c>
      <c r="B310" s="46" t="s">
        <v>9</v>
      </c>
      <c r="C310" s="47">
        <v>44198</v>
      </c>
      <c r="D310" s="45">
        <v>22021000311</v>
      </c>
      <c r="E310" s="46" t="s">
        <v>1197</v>
      </c>
      <c r="F310" s="48">
        <v>538340</v>
      </c>
      <c r="G310" s="46" t="s">
        <v>139</v>
      </c>
      <c r="H310" s="46" t="s">
        <v>1207</v>
      </c>
      <c r="I310" s="45" t="s">
        <v>125</v>
      </c>
      <c r="J310" s="46" t="s">
        <v>127</v>
      </c>
      <c r="K310" s="46" t="s">
        <v>127</v>
      </c>
      <c r="L310" s="46" t="s">
        <v>12</v>
      </c>
      <c r="M310" s="46" t="s">
        <v>13</v>
      </c>
      <c r="N310" s="46" t="s">
        <v>14</v>
      </c>
      <c r="O310" s="49" t="s">
        <v>803</v>
      </c>
      <c r="P310" s="46" t="s">
        <v>507</v>
      </c>
      <c r="Q310" s="35" t="str">
        <f>MID(Tabla1[[#This Row],[Aplicación]],14,1)</f>
        <v>2</v>
      </c>
      <c r="R310" s="35" t="s">
        <v>495</v>
      </c>
      <c r="S310" s="35" t="str">
        <f>MID(Tabla1[[#This Row],[Aplicación]],6,2)</f>
        <v>06</v>
      </c>
      <c r="T310" s="35" t="str">
        <f>VLOOKUP(Tabla1[[#This Row],[AREA]],Hoja1!A:B,2,FALSE)</f>
        <v>06. Educación, infancia, juventud e igualdad</v>
      </c>
      <c r="U310" s="35" t="str">
        <f>MID(Tabla1[[#This Row],[Aplicación]],9,4)</f>
        <v>3231</v>
      </c>
      <c r="V310" s="35" t="str">
        <f>VLOOKUP(Tabla1[[#This Row],[PROGRAMA]],Hoja1!A:B,2,FALSE)</f>
        <v>3231. Escuelas infantiles</v>
      </c>
      <c r="W310" s="35" t="str">
        <f>MID(Tabla1[[#This Row],[Aplicación]],14,2)</f>
        <v>22</v>
      </c>
      <c r="X310" s="35" t="str">
        <f>MID(Tabla1[[#This Row],[Aplicación]],14,6)</f>
        <v>22799</v>
      </c>
    </row>
    <row r="311" spans="1:24" x14ac:dyDescent="0.25">
      <c r="A311" s="45">
        <v>220210006023</v>
      </c>
      <c r="B311" s="46" t="s">
        <v>9</v>
      </c>
      <c r="C311" s="47">
        <v>44251</v>
      </c>
      <c r="D311" s="45">
        <v>22021002959</v>
      </c>
      <c r="E311" s="46" t="s">
        <v>1167</v>
      </c>
      <c r="F311" s="48">
        <v>228.97</v>
      </c>
      <c r="G311" s="46" t="s">
        <v>243</v>
      </c>
      <c r="H311" s="46" t="s">
        <v>1208</v>
      </c>
      <c r="I311" s="45" t="s">
        <v>125</v>
      </c>
      <c r="J311" s="46" t="s">
        <v>650</v>
      </c>
      <c r="K311" s="46" t="s">
        <v>127</v>
      </c>
      <c r="L311" s="46" t="s">
        <v>12</v>
      </c>
      <c r="M311" s="46" t="s">
        <v>10</v>
      </c>
      <c r="N311" s="46" t="s">
        <v>11</v>
      </c>
      <c r="O311" s="49" t="s">
        <v>815</v>
      </c>
      <c r="P311" s="46" t="s">
        <v>507</v>
      </c>
      <c r="Q311" s="35" t="str">
        <f>MID(Tabla1[[#This Row],[Aplicación]],14,1)</f>
        <v>2</v>
      </c>
      <c r="R311" s="35" t="s">
        <v>495</v>
      </c>
      <c r="S311" s="35" t="str">
        <f>MID(Tabla1[[#This Row],[Aplicación]],6,2)</f>
        <v>11</v>
      </c>
      <c r="T311" s="35" t="str">
        <f>VLOOKUP(Tabla1[[#This Row],[AREA]],Hoja1!A:B,2,FALSE)</f>
        <v>11. Salud pública y seguridad ciudadana</v>
      </c>
      <c r="U311" s="35" t="str">
        <f>MID(Tabla1[[#This Row],[Aplicación]],9,4)</f>
        <v>1321</v>
      </c>
      <c r="V311" s="35" t="str">
        <f>VLOOKUP(Tabla1[[#This Row],[PROGRAMA]],Hoja1!A:B,2,FALSE)</f>
        <v>1321. Policía municipal</v>
      </c>
      <c r="W311" s="35" t="str">
        <f>MID(Tabla1[[#This Row],[Aplicación]],14,2)</f>
        <v>21</v>
      </c>
      <c r="X311" s="35" t="str">
        <f>MID(Tabla1[[#This Row],[Aplicación]],14,6)</f>
        <v>214</v>
      </c>
    </row>
    <row r="312" spans="1:24" x14ac:dyDescent="0.25">
      <c r="A312" s="45">
        <v>220210006021</v>
      </c>
      <c r="B312" s="46" t="s">
        <v>9</v>
      </c>
      <c r="C312" s="47">
        <v>44251</v>
      </c>
      <c r="D312" s="45">
        <v>22021002928</v>
      </c>
      <c r="E312" s="46" t="s">
        <v>1167</v>
      </c>
      <c r="F312" s="48">
        <v>290.39999999999998</v>
      </c>
      <c r="G312" s="46" t="s">
        <v>1209</v>
      </c>
      <c r="H312" s="46" t="s">
        <v>1210</v>
      </c>
      <c r="I312" s="45" t="s">
        <v>125</v>
      </c>
      <c r="J312" s="46" t="s">
        <v>1211</v>
      </c>
      <c r="K312" s="50" t="s">
        <v>127</v>
      </c>
      <c r="L312" s="46" t="s">
        <v>12</v>
      </c>
      <c r="M312" s="46" t="s">
        <v>10</v>
      </c>
      <c r="N312" s="46" t="s">
        <v>11</v>
      </c>
      <c r="O312" s="49" t="s">
        <v>815</v>
      </c>
      <c r="P312" s="46" t="s">
        <v>507</v>
      </c>
      <c r="Q312" s="35" t="str">
        <f>MID(Tabla1[[#This Row],[Aplicación]],14,1)</f>
        <v>2</v>
      </c>
      <c r="R312" s="35" t="s">
        <v>495</v>
      </c>
      <c r="S312" s="35" t="str">
        <f>MID(Tabla1[[#This Row],[Aplicación]],6,2)</f>
        <v>11</v>
      </c>
      <c r="T312" s="35" t="str">
        <f>VLOOKUP(Tabla1[[#This Row],[AREA]],Hoja1!A:B,2,FALSE)</f>
        <v>11. Salud pública y seguridad ciudadana</v>
      </c>
      <c r="U312" s="35" t="str">
        <f>MID(Tabla1[[#This Row],[Aplicación]],9,4)</f>
        <v>1321</v>
      </c>
      <c r="V312" s="35" t="str">
        <f>VLOOKUP(Tabla1[[#This Row],[PROGRAMA]],Hoja1!A:B,2,FALSE)</f>
        <v>1321. Policía municipal</v>
      </c>
      <c r="W312" s="35" t="str">
        <f>MID(Tabla1[[#This Row],[Aplicación]],14,2)</f>
        <v>21</v>
      </c>
      <c r="X312" s="35" t="str">
        <f>MID(Tabla1[[#This Row],[Aplicación]],14,6)</f>
        <v>214</v>
      </c>
    </row>
    <row r="313" spans="1:24" x14ac:dyDescent="0.25">
      <c r="A313" s="45">
        <v>220209000745</v>
      </c>
      <c r="B313" s="46" t="s">
        <v>9</v>
      </c>
      <c r="C313" s="47">
        <v>44198</v>
      </c>
      <c r="D313" s="45">
        <v>22021000470</v>
      </c>
      <c r="E313" s="46" t="s">
        <v>941</v>
      </c>
      <c r="F313" s="48">
        <v>6403.32</v>
      </c>
      <c r="G313" s="46" t="s">
        <v>78</v>
      </c>
      <c r="H313" s="46" t="s">
        <v>1212</v>
      </c>
      <c r="I313" s="45" t="s">
        <v>125</v>
      </c>
      <c r="J313" s="46" t="s">
        <v>694</v>
      </c>
      <c r="K313" s="46" t="s">
        <v>187</v>
      </c>
      <c r="L313" s="46" t="s">
        <v>12</v>
      </c>
      <c r="M313" s="46" t="s">
        <v>13</v>
      </c>
      <c r="N313" s="46" t="s">
        <v>16</v>
      </c>
      <c r="O313" s="49" t="s">
        <v>803</v>
      </c>
      <c r="P313" s="46" t="s">
        <v>507</v>
      </c>
      <c r="Q313" s="35" t="str">
        <f>MID(Tabla1[[#This Row],[Aplicación]],14,1)</f>
        <v>2</v>
      </c>
      <c r="R313" s="35" t="s">
        <v>495</v>
      </c>
      <c r="S313" s="35" t="str">
        <f>MID(Tabla1[[#This Row],[Aplicación]],6,2)</f>
        <v>06</v>
      </c>
      <c r="T313" s="35" t="str">
        <f>VLOOKUP(Tabla1[[#This Row],[AREA]],Hoja1!A:B,2,FALSE)</f>
        <v>06. Educación, infancia, juventud e igualdad</v>
      </c>
      <c r="U313" s="35" t="str">
        <f>MID(Tabla1[[#This Row],[Aplicación]],9,4)</f>
        <v>3232</v>
      </c>
      <c r="V313" s="35" t="str">
        <f>VLOOKUP(Tabla1[[#This Row],[PROGRAMA]],Hoja1!A:B,2,FALSE)</f>
        <v>3232. Conservación y mantenimiento centros educación infantil y primaria</v>
      </c>
      <c r="W313" s="35" t="str">
        <f>MID(Tabla1[[#This Row],[Aplicación]],14,2)</f>
        <v>21</v>
      </c>
      <c r="X313" s="35" t="str">
        <f>MID(Tabla1[[#This Row],[Aplicación]],14,6)</f>
        <v>213</v>
      </c>
    </row>
    <row r="314" spans="1:24" x14ac:dyDescent="0.25">
      <c r="A314" s="45">
        <v>220209000748</v>
      </c>
      <c r="B314" s="46" t="s">
        <v>9</v>
      </c>
      <c r="C314" s="47">
        <v>44198</v>
      </c>
      <c r="D314" s="45">
        <v>22021000473</v>
      </c>
      <c r="E314" s="46" t="s">
        <v>1213</v>
      </c>
      <c r="F314" s="48">
        <v>457.38</v>
      </c>
      <c r="G314" s="46" t="s">
        <v>78</v>
      </c>
      <c r="H314" s="46" t="s">
        <v>1214</v>
      </c>
      <c r="I314" s="45" t="s">
        <v>125</v>
      </c>
      <c r="J314" s="46" t="s">
        <v>694</v>
      </c>
      <c r="K314" s="46" t="s">
        <v>187</v>
      </c>
      <c r="L314" s="46" t="s">
        <v>12</v>
      </c>
      <c r="M314" s="46" t="s">
        <v>13</v>
      </c>
      <c r="N314" s="46" t="s">
        <v>16</v>
      </c>
      <c r="O314" s="49" t="s">
        <v>803</v>
      </c>
      <c r="P314" s="46" t="s">
        <v>507</v>
      </c>
      <c r="Q314" s="35" t="str">
        <f>MID(Tabla1[[#This Row],[Aplicación]],14,1)</f>
        <v>2</v>
      </c>
      <c r="R314" s="35" t="s">
        <v>495</v>
      </c>
      <c r="S314" s="35" t="str">
        <f>MID(Tabla1[[#This Row],[Aplicación]],6,2)</f>
        <v>06</v>
      </c>
      <c r="T314" s="35" t="str">
        <f>VLOOKUP(Tabla1[[#This Row],[AREA]],Hoja1!A:B,2,FALSE)</f>
        <v>06. Educación, infancia, juventud e igualdad</v>
      </c>
      <c r="U314" s="35" t="str">
        <f>MID(Tabla1[[#This Row],[Aplicación]],9,4)</f>
        <v>3261</v>
      </c>
      <c r="V314" s="35" t="str">
        <f>VLOOKUP(Tabla1[[#This Row],[PROGRAMA]],Hoja1!A:B,2,FALSE)</f>
        <v>3261. Servicios complementarios de educación</v>
      </c>
      <c r="W314" s="35" t="str">
        <f>MID(Tabla1[[#This Row],[Aplicación]],14,2)</f>
        <v>21</v>
      </c>
      <c r="X314" s="35" t="str">
        <f>MID(Tabla1[[#This Row],[Aplicación]],14,6)</f>
        <v>213</v>
      </c>
    </row>
    <row r="315" spans="1:24" x14ac:dyDescent="0.25">
      <c r="A315" s="45">
        <v>220209000752</v>
      </c>
      <c r="B315" s="46" t="s">
        <v>9</v>
      </c>
      <c r="C315" s="47">
        <v>44198</v>
      </c>
      <c r="D315" s="45">
        <v>22021000477</v>
      </c>
      <c r="E315" s="46" t="s">
        <v>1215</v>
      </c>
      <c r="F315" s="48">
        <v>457.38</v>
      </c>
      <c r="G315" s="46" t="s">
        <v>78</v>
      </c>
      <c r="H315" s="46" t="s">
        <v>1216</v>
      </c>
      <c r="I315" s="45" t="s">
        <v>125</v>
      </c>
      <c r="J315" s="46" t="s">
        <v>694</v>
      </c>
      <c r="K315" s="46" t="s">
        <v>187</v>
      </c>
      <c r="L315" s="46" t="s">
        <v>12</v>
      </c>
      <c r="M315" s="46" t="s">
        <v>13</v>
      </c>
      <c r="N315" s="46" t="s">
        <v>16</v>
      </c>
      <c r="O315" s="49" t="s">
        <v>803</v>
      </c>
      <c r="P315" s="46" t="s">
        <v>507</v>
      </c>
      <c r="Q315" s="35" t="str">
        <f>MID(Tabla1[[#This Row],[Aplicación]],14,1)</f>
        <v>2</v>
      </c>
      <c r="R315" s="35" t="s">
        <v>495</v>
      </c>
      <c r="S315" s="35" t="str">
        <f>MID(Tabla1[[#This Row],[Aplicación]],6,2)</f>
        <v>06</v>
      </c>
      <c r="T315" s="35" t="str">
        <f>VLOOKUP(Tabla1[[#This Row],[AREA]],Hoja1!A:B,2,FALSE)</f>
        <v>06. Educación, infancia, juventud e igualdad</v>
      </c>
      <c r="U315" s="35" t="str">
        <f>MID(Tabla1[[#This Row],[Aplicación]],9,4)</f>
        <v>2314</v>
      </c>
      <c r="V315" s="35" t="str">
        <f>VLOOKUP(Tabla1[[#This Row],[PROGRAMA]],Hoja1!A:B,2,FALSE)</f>
        <v>2314. Centro de programas juveniles</v>
      </c>
      <c r="W315" s="35" t="str">
        <f>MID(Tabla1[[#This Row],[Aplicación]],14,2)</f>
        <v>21</v>
      </c>
      <c r="X315" s="35" t="str">
        <f>MID(Tabla1[[#This Row],[Aplicación]],14,6)</f>
        <v>213</v>
      </c>
    </row>
    <row r="316" spans="1:24" x14ac:dyDescent="0.25">
      <c r="A316" s="45">
        <v>220210001371</v>
      </c>
      <c r="B316" s="46" t="s">
        <v>9</v>
      </c>
      <c r="C316" s="47">
        <v>44228</v>
      </c>
      <c r="D316" s="45">
        <v>22021002072</v>
      </c>
      <c r="E316" s="46" t="s">
        <v>950</v>
      </c>
      <c r="F316" s="48">
        <v>3518.64</v>
      </c>
      <c r="G316" s="46" t="s">
        <v>78</v>
      </c>
      <c r="H316" s="46" t="s">
        <v>1217</v>
      </c>
      <c r="I316" s="45" t="s">
        <v>125</v>
      </c>
      <c r="J316" s="46" t="s">
        <v>694</v>
      </c>
      <c r="K316" s="46" t="s">
        <v>187</v>
      </c>
      <c r="L316" s="46" t="s">
        <v>12</v>
      </c>
      <c r="M316" s="46" t="s">
        <v>10</v>
      </c>
      <c r="N316" s="46" t="s">
        <v>11</v>
      </c>
      <c r="O316" s="49" t="s">
        <v>815</v>
      </c>
      <c r="P316" s="46" t="s">
        <v>507</v>
      </c>
      <c r="Q316" s="35" t="str">
        <f>MID(Tabla1[[#This Row],[Aplicación]],14,1)</f>
        <v>2</v>
      </c>
      <c r="R316" s="35" t="s">
        <v>495</v>
      </c>
      <c r="S316" s="35" t="str">
        <f>MID(Tabla1[[#This Row],[Aplicación]],6,2)</f>
        <v>11</v>
      </c>
      <c r="T316" s="35" t="str">
        <f>VLOOKUP(Tabla1[[#This Row],[AREA]],Hoja1!A:B,2,FALSE)</f>
        <v>11. Salud pública y seguridad ciudadana</v>
      </c>
      <c r="U316" s="35" t="str">
        <f>MID(Tabla1[[#This Row],[Aplicación]],9,4)</f>
        <v>1321</v>
      </c>
      <c r="V316" s="35" t="str">
        <f>VLOOKUP(Tabla1[[#This Row],[PROGRAMA]],Hoja1!A:B,2,FALSE)</f>
        <v>1321. Policía municipal</v>
      </c>
      <c r="W316" s="35" t="str">
        <f>MID(Tabla1[[#This Row],[Aplicación]],14,2)</f>
        <v>21</v>
      </c>
      <c r="X316" s="35" t="str">
        <f>MID(Tabla1[[#This Row],[Aplicación]],14,6)</f>
        <v>213</v>
      </c>
    </row>
    <row r="317" spans="1:24" x14ac:dyDescent="0.25">
      <c r="A317" s="45">
        <v>220210002888</v>
      </c>
      <c r="B317" s="46" t="s">
        <v>9</v>
      </c>
      <c r="C317" s="47">
        <v>44238</v>
      </c>
      <c r="D317" s="45">
        <v>22021002337</v>
      </c>
      <c r="E317" s="46" t="s">
        <v>1218</v>
      </c>
      <c r="F317" s="48">
        <v>2583.36</v>
      </c>
      <c r="G317" s="46" t="s">
        <v>78</v>
      </c>
      <c r="H317" s="46" t="s">
        <v>1219</v>
      </c>
      <c r="I317" s="45" t="s">
        <v>125</v>
      </c>
      <c r="J317" s="46" t="s">
        <v>694</v>
      </c>
      <c r="K317" s="46" t="s">
        <v>187</v>
      </c>
      <c r="L317" s="46" t="s">
        <v>12</v>
      </c>
      <c r="M317" s="46" t="s">
        <v>10</v>
      </c>
      <c r="N317" s="46" t="s">
        <v>11</v>
      </c>
      <c r="O317" s="49" t="s">
        <v>815</v>
      </c>
      <c r="P317" s="46" t="s">
        <v>507</v>
      </c>
      <c r="Q317" s="35" t="str">
        <f>MID(Tabla1[[#This Row],[Aplicación]],14,1)</f>
        <v>2</v>
      </c>
      <c r="R317" s="35" t="s">
        <v>495</v>
      </c>
      <c r="S317" s="35" t="str">
        <f>MID(Tabla1[[#This Row],[Aplicación]],6,2)</f>
        <v>07</v>
      </c>
      <c r="T317" s="35" t="str">
        <f>VLOOKUP(Tabla1[[#This Row],[AREA]],Hoja1!A:B,2,FALSE)</f>
        <v>07. Medio ambiente y desarrollo sostenible</v>
      </c>
      <c r="U317" s="35" t="str">
        <f>MID(Tabla1[[#This Row],[Aplicación]],9,4)</f>
        <v>1701</v>
      </c>
      <c r="V317" s="35" t="str">
        <f>VLOOKUP(Tabla1[[#This Row],[PROGRAMA]],Hoja1!A:B,2,FALSE)</f>
        <v>1701. Dirección del área de medio ambiente</v>
      </c>
      <c r="W317" s="35" t="str">
        <f>MID(Tabla1[[#This Row],[Aplicación]],14,2)</f>
        <v>21</v>
      </c>
      <c r="X317" s="35" t="str">
        <f>MID(Tabla1[[#This Row],[Aplicación]],14,6)</f>
        <v>213</v>
      </c>
    </row>
    <row r="318" spans="1:24" x14ac:dyDescent="0.25">
      <c r="A318" s="45">
        <v>220210001918</v>
      </c>
      <c r="B318" s="46" t="s">
        <v>9</v>
      </c>
      <c r="C318" s="47">
        <v>44231</v>
      </c>
      <c r="D318" s="45">
        <v>22021002147</v>
      </c>
      <c r="E318" s="46" t="s">
        <v>1220</v>
      </c>
      <c r="F318" s="48">
        <v>462.64</v>
      </c>
      <c r="G318" s="46" t="s">
        <v>1221</v>
      </c>
      <c r="H318" s="46" t="s">
        <v>1222</v>
      </c>
      <c r="I318" s="45" t="s">
        <v>125</v>
      </c>
      <c r="J318" s="46" t="s">
        <v>1223</v>
      </c>
      <c r="K318" s="46" t="s">
        <v>127</v>
      </c>
      <c r="L318" s="46" t="s">
        <v>12</v>
      </c>
      <c r="M318" s="46" t="s">
        <v>10</v>
      </c>
      <c r="N318" s="46" t="s">
        <v>11</v>
      </c>
      <c r="O318" s="49" t="s">
        <v>815</v>
      </c>
      <c r="P318" s="46" t="s">
        <v>507</v>
      </c>
      <c r="Q318" s="35" t="str">
        <f>MID(Tabla1[[#This Row],[Aplicación]],14,1)</f>
        <v>2</v>
      </c>
      <c r="R318" s="35" t="s">
        <v>495</v>
      </c>
      <c r="S318" s="35" t="str">
        <f>MID(Tabla1[[#This Row],[Aplicación]],6,2)</f>
        <v>03</v>
      </c>
      <c r="T318" s="35" t="str">
        <f>VLOOKUP(Tabla1[[#This Row],[AREA]],Hoja1!A:B,2,FALSE)</f>
        <v>03. Participación ciudadana y deportes</v>
      </c>
      <c r="U318" s="35" t="str">
        <f>MID(Tabla1[[#This Row],[Aplicación]],9,4)</f>
        <v>9241</v>
      </c>
      <c r="V318" s="35" t="str">
        <f>VLOOKUP(Tabla1[[#This Row],[PROGRAMA]],Hoja1!A:B,2,FALSE)</f>
        <v>9241. Participación ciudadana</v>
      </c>
      <c r="W318" s="35" t="str">
        <f>MID(Tabla1[[#This Row],[Aplicación]],14,2)</f>
        <v>21</v>
      </c>
      <c r="X318" s="35" t="str">
        <f>MID(Tabla1[[#This Row],[Aplicación]],14,6)</f>
        <v>213</v>
      </c>
    </row>
    <row r="319" spans="1:24" x14ac:dyDescent="0.25">
      <c r="A319" s="45">
        <v>220199000588</v>
      </c>
      <c r="B319" s="46" t="s">
        <v>9</v>
      </c>
      <c r="C319" s="47">
        <v>44198</v>
      </c>
      <c r="D319" s="45">
        <v>22021000162</v>
      </c>
      <c r="E319" s="46" t="s">
        <v>1220</v>
      </c>
      <c r="F319" s="48">
        <v>219.76</v>
      </c>
      <c r="G319" s="46" t="s">
        <v>43</v>
      </c>
      <c r="H319" s="46" t="s">
        <v>708</v>
      </c>
      <c r="I319" s="45" t="s">
        <v>125</v>
      </c>
      <c r="J319" s="46" t="s">
        <v>127</v>
      </c>
      <c r="K319" s="46" t="s">
        <v>127</v>
      </c>
      <c r="L319" s="46" t="s">
        <v>12</v>
      </c>
      <c r="M319" s="46" t="s">
        <v>13</v>
      </c>
      <c r="N319" s="46" t="s">
        <v>14</v>
      </c>
      <c r="O319" s="49" t="s">
        <v>803</v>
      </c>
      <c r="P319" s="46" t="s">
        <v>507</v>
      </c>
      <c r="Q319" s="35" t="str">
        <f>MID(Tabla1[[#This Row],[Aplicación]],14,1)</f>
        <v>2</v>
      </c>
      <c r="R319" s="35" t="s">
        <v>495</v>
      </c>
      <c r="S319" s="35" t="str">
        <f>MID(Tabla1[[#This Row],[Aplicación]],6,2)</f>
        <v>03</v>
      </c>
      <c r="T319" s="35" t="str">
        <f>VLOOKUP(Tabla1[[#This Row],[AREA]],Hoja1!A:B,2,FALSE)</f>
        <v>03. Participación ciudadana y deportes</v>
      </c>
      <c r="U319" s="35" t="str">
        <f>MID(Tabla1[[#This Row],[Aplicación]],9,4)</f>
        <v>9241</v>
      </c>
      <c r="V319" s="35" t="str">
        <f>VLOOKUP(Tabla1[[#This Row],[PROGRAMA]],Hoja1!A:B,2,FALSE)</f>
        <v>9241. Participación ciudadana</v>
      </c>
      <c r="W319" s="35" t="str">
        <f>MID(Tabla1[[#This Row],[Aplicación]],14,2)</f>
        <v>21</v>
      </c>
      <c r="X319" s="35" t="str">
        <f>MID(Tabla1[[#This Row],[Aplicación]],14,6)</f>
        <v>213</v>
      </c>
    </row>
    <row r="320" spans="1:24" x14ac:dyDescent="0.25">
      <c r="A320" s="45">
        <v>220209000141</v>
      </c>
      <c r="B320" s="46" t="s">
        <v>9</v>
      </c>
      <c r="C320" s="47">
        <v>44198</v>
      </c>
      <c r="D320" s="45">
        <v>22021000710</v>
      </c>
      <c r="E320" s="46" t="s">
        <v>1224</v>
      </c>
      <c r="F320" s="48">
        <v>28807.279999999999</v>
      </c>
      <c r="G320" s="46" t="s">
        <v>228</v>
      </c>
      <c r="H320" s="46" t="s">
        <v>1225</v>
      </c>
      <c r="I320" s="45" t="s">
        <v>125</v>
      </c>
      <c r="J320" s="46" t="s">
        <v>127</v>
      </c>
      <c r="K320" s="46" t="s">
        <v>127</v>
      </c>
      <c r="L320" s="46" t="s">
        <v>12</v>
      </c>
      <c r="M320" s="46" t="s">
        <v>13</v>
      </c>
      <c r="N320" s="46" t="s">
        <v>14</v>
      </c>
      <c r="O320" s="49" t="s">
        <v>803</v>
      </c>
      <c r="P320" s="46" t="s">
        <v>507</v>
      </c>
      <c r="Q320" s="35" t="str">
        <f>MID(Tabla1[[#This Row],[Aplicación]],14,1)</f>
        <v>6</v>
      </c>
      <c r="R320" s="35" t="s">
        <v>496</v>
      </c>
      <c r="S320" s="35" t="str">
        <f>MID(Tabla1[[#This Row],[Aplicación]],6,2)</f>
        <v>04</v>
      </c>
      <c r="T320" s="35" t="str">
        <f>VLOOKUP(Tabla1[[#This Row],[AREA]],Hoja1!A:B,2,FALSE)</f>
        <v>04. Planificación y recursos</v>
      </c>
      <c r="U320" s="35" t="str">
        <f>MID(Tabla1[[#This Row],[Aplicación]],9,4)</f>
        <v>9204</v>
      </c>
      <c r="V320" s="35" t="str">
        <f>VLOOKUP(Tabla1[[#This Row],[PROGRAMA]],Hoja1!A:B,2,FALSE)</f>
        <v>9204. Tecnologías de la información y comunicación</v>
      </c>
      <c r="W320" s="35" t="str">
        <f>MID(Tabla1[[#This Row],[Aplicación]],14,2)</f>
        <v>63</v>
      </c>
      <c r="X320" s="35" t="str">
        <f>MID(Tabla1[[#This Row],[Aplicación]],14,6)</f>
        <v>636</v>
      </c>
    </row>
    <row r="321" spans="1:24" x14ac:dyDescent="0.25">
      <c r="A321" s="45">
        <v>220209000814</v>
      </c>
      <c r="B321" s="46" t="s">
        <v>9</v>
      </c>
      <c r="C321" s="47">
        <v>44198</v>
      </c>
      <c r="D321" s="45">
        <v>22021000752</v>
      </c>
      <c r="E321" s="46" t="s">
        <v>1226</v>
      </c>
      <c r="F321" s="48">
        <v>30250</v>
      </c>
      <c r="G321" s="46" t="s">
        <v>49</v>
      </c>
      <c r="H321" s="46" t="s">
        <v>1227</v>
      </c>
      <c r="I321" s="45" t="s">
        <v>125</v>
      </c>
      <c r="J321" s="46" t="s">
        <v>127</v>
      </c>
      <c r="K321" s="46" t="s">
        <v>127</v>
      </c>
      <c r="L321" s="46" t="s">
        <v>12</v>
      </c>
      <c r="M321" s="46" t="s">
        <v>13</v>
      </c>
      <c r="N321" s="46" t="s">
        <v>11</v>
      </c>
      <c r="O321" s="49" t="s">
        <v>803</v>
      </c>
      <c r="P321" s="46" t="s">
        <v>507</v>
      </c>
      <c r="Q321" s="35" t="str">
        <f>MID(Tabla1[[#This Row],[Aplicación]],14,1)</f>
        <v>2</v>
      </c>
      <c r="R321" s="35" t="s">
        <v>495</v>
      </c>
      <c r="S321" s="35" t="str">
        <f>MID(Tabla1[[#This Row],[Aplicación]],6,2)</f>
        <v>01</v>
      </c>
      <c r="T321" s="35" t="str">
        <f>VLOOKUP(Tabla1[[#This Row],[AREA]],Hoja1!A:B,2,FALSE)</f>
        <v>01. Alcaldía</v>
      </c>
      <c r="U321" s="35" t="str">
        <f>MID(Tabla1[[#This Row],[Aplicación]],9,4)</f>
        <v>9206</v>
      </c>
      <c r="V321" s="35" t="str">
        <f>VLOOKUP(Tabla1[[#This Row],[PROGRAMA]],Hoja1!A:B,2,FALSE)</f>
        <v>9206. Archivo municipal</v>
      </c>
      <c r="W321" s="35" t="str">
        <f>MID(Tabla1[[#This Row],[Aplicación]],14,2)</f>
        <v>22</v>
      </c>
      <c r="X321" s="35" t="str">
        <f>MID(Tabla1[[#This Row],[Aplicación]],14,6)</f>
        <v>22706</v>
      </c>
    </row>
    <row r="322" spans="1:24" x14ac:dyDescent="0.25">
      <c r="A322" s="45">
        <v>220210013059</v>
      </c>
      <c r="B322" s="46" t="s">
        <v>204</v>
      </c>
      <c r="C322" s="47">
        <v>44285</v>
      </c>
      <c r="D322" s="45">
        <v>22021002378</v>
      </c>
      <c r="E322" s="46" t="s">
        <v>1228</v>
      </c>
      <c r="F322" s="48">
        <v>52.27</v>
      </c>
      <c r="G322" s="46" t="s">
        <v>243</v>
      </c>
      <c r="H322" s="46" t="s">
        <v>1229</v>
      </c>
      <c r="I322" s="45" t="s">
        <v>205</v>
      </c>
      <c r="J322" s="46" t="s">
        <v>650</v>
      </c>
      <c r="K322" s="46" t="s">
        <v>127</v>
      </c>
      <c r="L322" s="46" t="s">
        <v>12</v>
      </c>
      <c r="M322" s="46" t="s">
        <v>13</v>
      </c>
      <c r="N322" s="46" t="s">
        <v>14</v>
      </c>
      <c r="O322" s="49" t="s">
        <v>814</v>
      </c>
      <c r="P322" s="46" t="s">
        <v>507</v>
      </c>
      <c r="Q322" s="35" t="str">
        <f>MID(Tabla1[[#This Row],[Aplicación]],14,1)</f>
        <v>2</v>
      </c>
      <c r="R322" s="35" t="s">
        <v>495</v>
      </c>
      <c r="S322" s="35" t="str">
        <f>MID(Tabla1[[#This Row],[Aplicación]],6,2)</f>
        <v>02</v>
      </c>
      <c r="T322" s="35" t="str">
        <f>VLOOKUP(Tabla1[[#This Row],[AREA]],Hoja1!A:B,2,FALSE)</f>
        <v>02. Planeamiento urbanístico y vivienda</v>
      </c>
      <c r="U322" s="35" t="str">
        <f>MID(Tabla1[[#This Row],[Aplicación]],9,4)</f>
        <v>9332</v>
      </c>
      <c r="V322" s="35" t="str">
        <f>VLOOKUP(Tabla1[[#This Row],[PROGRAMA]],Hoja1!A:B,2,FALSE)</f>
        <v>9332. Mantenimiento de edificios e instalaciones municipales</v>
      </c>
      <c r="W322" s="35" t="str">
        <f>MID(Tabla1[[#This Row],[Aplicación]],14,2)</f>
        <v>21</v>
      </c>
      <c r="X322" s="35" t="str">
        <f>MID(Tabla1[[#This Row],[Aplicación]],14,6)</f>
        <v>214</v>
      </c>
    </row>
    <row r="323" spans="1:24" x14ac:dyDescent="0.25">
      <c r="A323" s="45">
        <v>220210013061</v>
      </c>
      <c r="B323" s="46" t="s">
        <v>204</v>
      </c>
      <c r="C323" s="47">
        <v>44285</v>
      </c>
      <c r="D323" s="45">
        <v>22021002378</v>
      </c>
      <c r="E323" s="46" t="s">
        <v>1228</v>
      </c>
      <c r="F323" s="48">
        <v>47.71</v>
      </c>
      <c r="G323" s="46" t="s">
        <v>243</v>
      </c>
      <c r="H323" s="46" t="s">
        <v>1230</v>
      </c>
      <c r="I323" s="45" t="s">
        <v>205</v>
      </c>
      <c r="J323" s="46" t="s">
        <v>650</v>
      </c>
      <c r="K323" s="46" t="s">
        <v>127</v>
      </c>
      <c r="L323" s="46" t="s">
        <v>12</v>
      </c>
      <c r="M323" s="46" t="s">
        <v>13</v>
      </c>
      <c r="N323" s="46" t="s">
        <v>14</v>
      </c>
      <c r="O323" s="49" t="s">
        <v>814</v>
      </c>
      <c r="P323" s="46" t="s">
        <v>507</v>
      </c>
      <c r="Q323" s="35" t="str">
        <f>MID(Tabla1[[#This Row],[Aplicación]],14,1)</f>
        <v>2</v>
      </c>
      <c r="R323" s="35" t="s">
        <v>495</v>
      </c>
      <c r="S323" s="35" t="str">
        <f>MID(Tabla1[[#This Row],[Aplicación]],6,2)</f>
        <v>02</v>
      </c>
      <c r="T323" s="35" t="str">
        <f>VLOOKUP(Tabla1[[#This Row],[AREA]],Hoja1!A:B,2,FALSE)</f>
        <v>02. Planeamiento urbanístico y vivienda</v>
      </c>
      <c r="U323" s="35" t="str">
        <f>MID(Tabla1[[#This Row],[Aplicación]],9,4)</f>
        <v>9332</v>
      </c>
      <c r="V323" s="35" t="str">
        <f>VLOOKUP(Tabla1[[#This Row],[PROGRAMA]],Hoja1!A:B,2,FALSE)</f>
        <v>9332. Mantenimiento de edificios e instalaciones municipales</v>
      </c>
      <c r="W323" s="35" t="str">
        <f>MID(Tabla1[[#This Row],[Aplicación]],14,2)</f>
        <v>21</v>
      </c>
      <c r="X323" s="35" t="str">
        <f>MID(Tabla1[[#This Row],[Aplicación]],14,6)</f>
        <v>214</v>
      </c>
    </row>
    <row r="324" spans="1:24" x14ac:dyDescent="0.25">
      <c r="A324" s="45">
        <v>220209000765</v>
      </c>
      <c r="B324" s="46" t="s">
        <v>9</v>
      </c>
      <c r="C324" s="47">
        <v>44198</v>
      </c>
      <c r="D324" s="45">
        <v>22021000489</v>
      </c>
      <c r="E324" s="46" t="s">
        <v>886</v>
      </c>
      <c r="F324" s="48">
        <v>911.86</v>
      </c>
      <c r="G324" s="46" t="s">
        <v>43</v>
      </c>
      <c r="H324" s="46" t="s">
        <v>1231</v>
      </c>
      <c r="I324" s="45" t="s">
        <v>125</v>
      </c>
      <c r="J324" s="46" t="s">
        <v>127</v>
      </c>
      <c r="K324" s="46" t="s">
        <v>127</v>
      </c>
      <c r="L324" s="46" t="s">
        <v>12</v>
      </c>
      <c r="M324" s="46" t="s">
        <v>10</v>
      </c>
      <c r="N324" s="46" t="s">
        <v>11</v>
      </c>
      <c r="O324" s="49" t="s">
        <v>815</v>
      </c>
      <c r="P324" s="46" t="s">
        <v>507</v>
      </c>
      <c r="Q324" s="35" t="str">
        <f>MID(Tabla1[[#This Row],[Aplicación]],14,1)</f>
        <v>2</v>
      </c>
      <c r="R324" s="35" t="s">
        <v>495</v>
      </c>
      <c r="S324" s="35" t="str">
        <f>MID(Tabla1[[#This Row],[Aplicación]],6,2)</f>
        <v>10</v>
      </c>
      <c r="T324" s="35" t="str">
        <f>VLOOKUP(Tabla1[[#This Row],[AREA]],Hoja1!A:B,2,FALSE)</f>
        <v>10. Servicios sociales y mediación comunitaria</v>
      </c>
      <c r="U324" s="35" t="str">
        <f>MID(Tabla1[[#This Row],[Aplicación]],9,4)</f>
        <v>2311</v>
      </c>
      <c r="V324" s="35" t="str">
        <f>VLOOKUP(Tabla1[[#This Row],[PROGRAMA]],Hoja1!A:B,2,FALSE)</f>
        <v>2311. Intervención social</v>
      </c>
      <c r="W324" s="35" t="str">
        <f>MID(Tabla1[[#This Row],[Aplicación]],14,2)</f>
        <v>21</v>
      </c>
      <c r="X324" s="35" t="str">
        <f>MID(Tabla1[[#This Row],[Aplicación]],14,6)</f>
        <v>213</v>
      </c>
    </row>
    <row r="325" spans="1:24" x14ac:dyDescent="0.25">
      <c r="A325" s="45">
        <v>220209000766</v>
      </c>
      <c r="B325" s="46" t="s">
        <v>9</v>
      </c>
      <c r="C325" s="47">
        <v>44198</v>
      </c>
      <c r="D325" s="45">
        <v>22021000490</v>
      </c>
      <c r="E325" s="46" t="s">
        <v>886</v>
      </c>
      <c r="F325" s="48">
        <v>455.93</v>
      </c>
      <c r="G325" s="46" t="s">
        <v>43</v>
      </c>
      <c r="H325" s="46" t="s">
        <v>1232</v>
      </c>
      <c r="I325" s="45" t="s">
        <v>125</v>
      </c>
      <c r="J325" s="46" t="s">
        <v>127</v>
      </c>
      <c r="K325" s="46" t="s">
        <v>127</v>
      </c>
      <c r="L325" s="46" t="s">
        <v>12</v>
      </c>
      <c r="M325" s="46" t="s">
        <v>10</v>
      </c>
      <c r="N325" s="46" t="s">
        <v>11</v>
      </c>
      <c r="O325" s="49" t="s">
        <v>815</v>
      </c>
      <c r="P325" s="46" t="s">
        <v>507</v>
      </c>
      <c r="Q325" s="35" t="str">
        <f>MID(Tabla1[[#This Row],[Aplicación]],14,1)</f>
        <v>2</v>
      </c>
      <c r="R325" s="35" t="s">
        <v>495</v>
      </c>
      <c r="S325" s="35" t="str">
        <f>MID(Tabla1[[#This Row],[Aplicación]],6,2)</f>
        <v>10</v>
      </c>
      <c r="T325" s="35" t="str">
        <f>VLOOKUP(Tabla1[[#This Row],[AREA]],Hoja1!A:B,2,FALSE)</f>
        <v>10. Servicios sociales y mediación comunitaria</v>
      </c>
      <c r="U325" s="35" t="str">
        <f>MID(Tabla1[[#This Row],[Aplicación]],9,4)</f>
        <v>2311</v>
      </c>
      <c r="V325" s="35" t="str">
        <f>VLOOKUP(Tabla1[[#This Row],[PROGRAMA]],Hoja1!A:B,2,FALSE)</f>
        <v>2311. Intervención social</v>
      </c>
      <c r="W325" s="35" t="str">
        <f>MID(Tabla1[[#This Row],[Aplicación]],14,2)</f>
        <v>21</v>
      </c>
      <c r="X325" s="35" t="str">
        <f>MID(Tabla1[[#This Row],[Aplicación]],14,6)</f>
        <v>213</v>
      </c>
    </row>
    <row r="326" spans="1:24" x14ac:dyDescent="0.25">
      <c r="A326" s="45">
        <v>220209000767</v>
      </c>
      <c r="B326" s="46" t="s">
        <v>9</v>
      </c>
      <c r="C326" s="47">
        <v>44198</v>
      </c>
      <c r="D326" s="45">
        <v>22021000491</v>
      </c>
      <c r="E326" s="46" t="s">
        <v>983</v>
      </c>
      <c r="F326" s="48">
        <v>88.64</v>
      </c>
      <c r="G326" s="46" t="s">
        <v>43</v>
      </c>
      <c r="H326" s="46" t="s">
        <v>1233</v>
      </c>
      <c r="I326" s="45" t="s">
        <v>125</v>
      </c>
      <c r="J326" s="46" t="s">
        <v>127</v>
      </c>
      <c r="K326" s="46" t="s">
        <v>127</v>
      </c>
      <c r="L326" s="46" t="s">
        <v>12</v>
      </c>
      <c r="M326" s="46" t="s">
        <v>10</v>
      </c>
      <c r="N326" s="46" t="s">
        <v>11</v>
      </c>
      <c r="O326" s="49" t="s">
        <v>815</v>
      </c>
      <c r="P326" s="46" t="s">
        <v>507</v>
      </c>
      <c r="Q326" s="35" t="str">
        <f>MID(Tabla1[[#This Row],[Aplicación]],14,1)</f>
        <v>2</v>
      </c>
      <c r="R326" s="35" t="s">
        <v>495</v>
      </c>
      <c r="S326" s="35" t="str">
        <f>MID(Tabla1[[#This Row],[Aplicación]],6,2)</f>
        <v>10</v>
      </c>
      <c r="T326" s="35" t="str">
        <f>VLOOKUP(Tabla1[[#This Row],[AREA]],Hoja1!A:B,2,FALSE)</f>
        <v>10. Servicios sociales y mediación comunitaria</v>
      </c>
      <c r="U326" s="35" t="str">
        <f>MID(Tabla1[[#This Row],[Aplicación]],9,4)</f>
        <v>2412</v>
      </c>
      <c r="V326" s="35" t="str">
        <f>VLOOKUP(Tabla1[[#This Row],[PROGRAMA]],Hoja1!A:B,2,FALSE)</f>
        <v>2412. Formación para el empleo</v>
      </c>
      <c r="W326" s="35" t="str">
        <f>MID(Tabla1[[#This Row],[Aplicación]],14,2)</f>
        <v>21</v>
      </c>
      <c r="X326" s="35" t="str">
        <f>MID(Tabla1[[#This Row],[Aplicación]],14,6)</f>
        <v>213</v>
      </c>
    </row>
    <row r="327" spans="1:24" x14ac:dyDescent="0.25">
      <c r="A327" s="45">
        <v>220209000768</v>
      </c>
      <c r="B327" s="46" t="s">
        <v>9</v>
      </c>
      <c r="C327" s="47">
        <v>44198</v>
      </c>
      <c r="D327" s="45">
        <v>22021000492</v>
      </c>
      <c r="E327" s="46" t="s">
        <v>983</v>
      </c>
      <c r="F327" s="48">
        <v>88.65</v>
      </c>
      <c r="G327" s="46" t="s">
        <v>43</v>
      </c>
      <c r="H327" s="46" t="s">
        <v>1234</v>
      </c>
      <c r="I327" s="45" t="s">
        <v>125</v>
      </c>
      <c r="J327" s="46" t="s">
        <v>127</v>
      </c>
      <c r="K327" s="46" t="s">
        <v>127</v>
      </c>
      <c r="L327" s="46" t="s">
        <v>12</v>
      </c>
      <c r="M327" s="46" t="s">
        <v>10</v>
      </c>
      <c r="N327" s="46" t="s">
        <v>11</v>
      </c>
      <c r="O327" s="49" t="s">
        <v>815</v>
      </c>
      <c r="P327" s="46" t="s">
        <v>507</v>
      </c>
      <c r="Q327" s="35" t="str">
        <f>MID(Tabla1[[#This Row],[Aplicación]],14,1)</f>
        <v>2</v>
      </c>
      <c r="R327" s="35" t="s">
        <v>495</v>
      </c>
      <c r="S327" s="35" t="str">
        <f>MID(Tabla1[[#This Row],[Aplicación]],6,2)</f>
        <v>10</v>
      </c>
      <c r="T327" s="35" t="str">
        <f>VLOOKUP(Tabla1[[#This Row],[AREA]],Hoja1!A:B,2,FALSE)</f>
        <v>10. Servicios sociales y mediación comunitaria</v>
      </c>
      <c r="U327" s="35" t="str">
        <f>MID(Tabla1[[#This Row],[Aplicación]],9,4)</f>
        <v>2412</v>
      </c>
      <c r="V327" s="35" t="str">
        <f>VLOOKUP(Tabla1[[#This Row],[PROGRAMA]],Hoja1!A:B,2,FALSE)</f>
        <v>2412. Formación para el empleo</v>
      </c>
      <c r="W327" s="35" t="str">
        <f>MID(Tabla1[[#This Row],[Aplicación]],14,2)</f>
        <v>21</v>
      </c>
      <c r="X327" s="35" t="str">
        <f>MID(Tabla1[[#This Row],[Aplicación]],14,6)</f>
        <v>213</v>
      </c>
    </row>
    <row r="328" spans="1:24" x14ac:dyDescent="0.25">
      <c r="A328" s="45">
        <v>220209000769</v>
      </c>
      <c r="B328" s="46" t="s">
        <v>9</v>
      </c>
      <c r="C328" s="47">
        <v>44198</v>
      </c>
      <c r="D328" s="45">
        <v>22021000493</v>
      </c>
      <c r="E328" s="46" t="s">
        <v>983</v>
      </c>
      <c r="F328" s="48">
        <v>202.65</v>
      </c>
      <c r="G328" s="46" t="s">
        <v>43</v>
      </c>
      <c r="H328" s="46" t="s">
        <v>1235</v>
      </c>
      <c r="I328" s="45" t="s">
        <v>125</v>
      </c>
      <c r="J328" s="46" t="s">
        <v>127</v>
      </c>
      <c r="K328" s="46" t="s">
        <v>127</v>
      </c>
      <c r="L328" s="46" t="s">
        <v>12</v>
      </c>
      <c r="M328" s="46" t="s">
        <v>10</v>
      </c>
      <c r="N328" s="46" t="s">
        <v>11</v>
      </c>
      <c r="O328" s="49" t="s">
        <v>815</v>
      </c>
      <c r="P328" s="46" t="s">
        <v>507</v>
      </c>
      <c r="Q328" s="35" t="str">
        <f>MID(Tabla1[[#This Row],[Aplicación]],14,1)</f>
        <v>2</v>
      </c>
      <c r="R328" s="35" t="s">
        <v>495</v>
      </c>
      <c r="S328" s="35" t="str">
        <f>MID(Tabla1[[#This Row],[Aplicación]],6,2)</f>
        <v>10</v>
      </c>
      <c r="T328" s="35" t="str">
        <f>VLOOKUP(Tabla1[[#This Row],[AREA]],Hoja1!A:B,2,FALSE)</f>
        <v>10. Servicios sociales y mediación comunitaria</v>
      </c>
      <c r="U328" s="35" t="str">
        <f>MID(Tabla1[[#This Row],[Aplicación]],9,4)</f>
        <v>2412</v>
      </c>
      <c r="V328" s="35" t="str">
        <f>VLOOKUP(Tabla1[[#This Row],[PROGRAMA]],Hoja1!A:B,2,FALSE)</f>
        <v>2412. Formación para el empleo</v>
      </c>
      <c r="W328" s="35" t="str">
        <f>MID(Tabla1[[#This Row],[Aplicación]],14,2)</f>
        <v>21</v>
      </c>
      <c r="X328" s="35" t="str">
        <f>MID(Tabla1[[#This Row],[Aplicación]],14,6)</f>
        <v>213</v>
      </c>
    </row>
    <row r="329" spans="1:24" x14ac:dyDescent="0.25">
      <c r="A329" s="45">
        <v>220209000770</v>
      </c>
      <c r="B329" s="46" t="s">
        <v>9</v>
      </c>
      <c r="C329" s="47">
        <v>44198</v>
      </c>
      <c r="D329" s="45">
        <v>22021000494</v>
      </c>
      <c r="E329" s="46" t="s">
        <v>983</v>
      </c>
      <c r="F329" s="48">
        <v>75.989999999999995</v>
      </c>
      <c r="G329" s="46" t="s">
        <v>43</v>
      </c>
      <c r="H329" s="46" t="s">
        <v>1236</v>
      </c>
      <c r="I329" s="45" t="s">
        <v>125</v>
      </c>
      <c r="J329" s="46" t="s">
        <v>127</v>
      </c>
      <c r="K329" s="46" t="s">
        <v>127</v>
      </c>
      <c r="L329" s="46" t="s">
        <v>12</v>
      </c>
      <c r="M329" s="46" t="s">
        <v>10</v>
      </c>
      <c r="N329" s="46" t="s">
        <v>11</v>
      </c>
      <c r="O329" s="49" t="s">
        <v>815</v>
      </c>
      <c r="P329" s="46" t="s">
        <v>507</v>
      </c>
      <c r="Q329" s="35" t="str">
        <f>MID(Tabla1[[#This Row],[Aplicación]],14,1)</f>
        <v>2</v>
      </c>
      <c r="R329" s="35" t="s">
        <v>495</v>
      </c>
      <c r="S329" s="35" t="str">
        <f>MID(Tabla1[[#This Row],[Aplicación]],6,2)</f>
        <v>10</v>
      </c>
      <c r="T329" s="35" t="str">
        <f>VLOOKUP(Tabla1[[#This Row],[AREA]],Hoja1!A:B,2,FALSE)</f>
        <v>10. Servicios sociales y mediación comunitaria</v>
      </c>
      <c r="U329" s="35" t="str">
        <f>MID(Tabla1[[#This Row],[Aplicación]],9,4)</f>
        <v>2412</v>
      </c>
      <c r="V329" s="35" t="str">
        <f>VLOOKUP(Tabla1[[#This Row],[PROGRAMA]],Hoja1!A:B,2,FALSE)</f>
        <v>2412. Formación para el empleo</v>
      </c>
      <c r="W329" s="35" t="str">
        <f>MID(Tabla1[[#This Row],[Aplicación]],14,2)</f>
        <v>21</v>
      </c>
      <c r="X329" s="35" t="str">
        <f>MID(Tabla1[[#This Row],[Aplicación]],14,6)</f>
        <v>213</v>
      </c>
    </row>
    <row r="330" spans="1:24" x14ac:dyDescent="0.25">
      <c r="A330" s="45">
        <v>220210000031</v>
      </c>
      <c r="B330" s="46" t="s">
        <v>32</v>
      </c>
      <c r="C330" s="47">
        <v>44215</v>
      </c>
      <c r="D330" s="45">
        <v>22021000684</v>
      </c>
      <c r="E330" s="46" t="s">
        <v>982</v>
      </c>
      <c r="F330" s="48">
        <v>390.83</v>
      </c>
      <c r="G330" s="46" t="s">
        <v>43</v>
      </c>
      <c r="H330" s="46" t="s">
        <v>1237</v>
      </c>
      <c r="I330" s="45" t="s">
        <v>234</v>
      </c>
      <c r="J330" s="46" t="s">
        <v>127</v>
      </c>
      <c r="K330" s="46" t="s">
        <v>127</v>
      </c>
      <c r="L330" s="46" t="s">
        <v>15</v>
      </c>
      <c r="M330" s="46" t="s">
        <v>10</v>
      </c>
      <c r="N330" s="46" t="s">
        <v>11</v>
      </c>
      <c r="O330" s="49" t="s">
        <v>815</v>
      </c>
      <c r="P330" s="46" t="s">
        <v>507</v>
      </c>
      <c r="Q330" s="35" t="str">
        <f>MID(Tabla1[[#This Row],[Aplicación]],14,1)</f>
        <v>2</v>
      </c>
      <c r="R330" s="35" t="s">
        <v>495</v>
      </c>
      <c r="S330" s="35" t="str">
        <f>MID(Tabla1[[#This Row],[Aplicación]],6,2)</f>
        <v>10</v>
      </c>
      <c r="T330" s="35" t="str">
        <f>VLOOKUP(Tabla1[[#This Row],[AREA]],Hoja1!A:B,2,FALSE)</f>
        <v>10. Servicios sociales y mediación comunitaria</v>
      </c>
      <c r="U330" s="35" t="str">
        <f>MID(Tabla1[[#This Row],[Aplicación]],9,4)</f>
        <v>2312</v>
      </c>
      <c r="V330" s="35" t="str">
        <f>VLOOKUP(Tabla1[[#This Row],[PROGRAMA]],Hoja1!A:B,2,FALSE)</f>
        <v>2312. Iniciativas sociales</v>
      </c>
      <c r="W330" s="35" t="str">
        <f>MID(Tabla1[[#This Row],[Aplicación]],14,2)</f>
        <v>21</v>
      </c>
      <c r="X330" s="35" t="str">
        <f>MID(Tabla1[[#This Row],[Aplicación]],14,6)</f>
        <v>213</v>
      </c>
    </row>
    <row r="331" spans="1:24" x14ac:dyDescent="0.25">
      <c r="A331" s="45">
        <v>220210000382</v>
      </c>
      <c r="B331" s="46" t="s">
        <v>32</v>
      </c>
      <c r="C331" s="47">
        <v>44217</v>
      </c>
      <c r="D331" s="45">
        <v>22021001168</v>
      </c>
      <c r="E331" s="46" t="s">
        <v>941</v>
      </c>
      <c r="F331" s="48">
        <v>189.53</v>
      </c>
      <c r="G331" s="46" t="s">
        <v>43</v>
      </c>
      <c r="H331" s="46" t="s">
        <v>1238</v>
      </c>
      <c r="I331" s="45" t="s">
        <v>234</v>
      </c>
      <c r="J331" s="46" t="s">
        <v>127</v>
      </c>
      <c r="K331" s="46" t="s">
        <v>127</v>
      </c>
      <c r="L331" s="46" t="s">
        <v>15</v>
      </c>
      <c r="M331" s="46" t="s">
        <v>10</v>
      </c>
      <c r="N331" s="46" t="s">
        <v>11</v>
      </c>
      <c r="O331" s="49" t="s">
        <v>815</v>
      </c>
      <c r="P331" s="46" t="s">
        <v>507</v>
      </c>
      <c r="Q331" s="35" t="str">
        <f>MID(Tabla1[[#This Row],[Aplicación]],14,1)</f>
        <v>2</v>
      </c>
      <c r="R331" s="35" t="s">
        <v>495</v>
      </c>
      <c r="S331" s="35" t="str">
        <f>MID(Tabla1[[#This Row],[Aplicación]],6,2)</f>
        <v>06</v>
      </c>
      <c r="T331" s="35" t="str">
        <f>VLOOKUP(Tabla1[[#This Row],[AREA]],Hoja1!A:B,2,FALSE)</f>
        <v>06. Educación, infancia, juventud e igualdad</v>
      </c>
      <c r="U331" s="35" t="str">
        <f>MID(Tabla1[[#This Row],[Aplicación]],9,4)</f>
        <v>3232</v>
      </c>
      <c r="V331" s="35" t="str">
        <f>VLOOKUP(Tabla1[[#This Row],[PROGRAMA]],Hoja1!A:B,2,FALSE)</f>
        <v>3232. Conservación y mantenimiento centros educación infantil y primaria</v>
      </c>
      <c r="W331" s="35" t="str">
        <f>MID(Tabla1[[#This Row],[Aplicación]],14,2)</f>
        <v>21</v>
      </c>
      <c r="X331" s="35" t="str">
        <f>MID(Tabla1[[#This Row],[Aplicación]],14,6)</f>
        <v>213</v>
      </c>
    </row>
    <row r="332" spans="1:24" x14ac:dyDescent="0.25">
      <c r="A332" s="45">
        <v>220210000508</v>
      </c>
      <c r="B332" s="46" t="s">
        <v>9</v>
      </c>
      <c r="C332" s="47">
        <v>44221</v>
      </c>
      <c r="D332" s="45">
        <v>22021001682</v>
      </c>
      <c r="E332" s="46" t="s">
        <v>1220</v>
      </c>
      <c r="F332" s="48">
        <v>350.9</v>
      </c>
      <c r="G332" s="46" t="s">
        <v>43</v>
      </c>
      <c r="H332" s="46" t="s">
        <v>1239</v>
      </c>
      <c r="I332" s="45" t="s">
        <v>125</v>
      </c>
      <c r="J332" s="46" t="s">
        <v>127</v>
      </c>
      <c r="K332" s="46" t="s">
        <v>127</v>
      </c>
      <c r="L332" s="46" t="s">
        <v>12</v>
      </c>
      <c r="M332" s="46" t="s">
        <v>10</v>
      </c>
      <c r="N332" s="46" t="s">
        <v>11</v>
      </c>
      <c r="O332" s="49" t="s">
        <v>815</v>
      </c>
      <c r="P332" s="46" t="s">
        <v>507</v>
      </c>
      <c r="Q332" s="35" t="str">
        <f>MID(Tabla1[[#This Row],[Aplicación]],14,1)</f>
        <v>2</v>
      </c>
      <c r="R332" s="35" t="s">
        <v>495</v>
      </c>
      <c r="S332" s="35" t="str">
        <f>MID(Tabla1[[#This Row],[Aplicación]],6,2)</f>
        <v>03</v>
      </c>
      <c r="T332" s="35" t="str">
        <f>VLOOKUP(Tabla1[[#This Row],[AREA]],Hoja1!A:B,2,FALSE)</f>
        <v>03. Participación ciudadana y deportes</v>
      </c>
      <c r="U332" s="35" t="str">
        <f>MID(Tabla1[[#This Row],[Aplicación]],9,4)</f>
        <v>9241</v>
      </c>
      <c r="V332" s="35" t="str">
        <f>VLOOKUP(Tabla1[[#This Row],[PROGRAMA]],Hoja1!A:B,2,FALSE)</f>
        <v>9241. Participación ciudadana</v>
      </c>
      <c r="W332" s="35" t="str">
        <f>MID(Tabla1[[#This Row],[Aplicación]],14,2)</f>
        <v>21</v>
      </c>
      <c r="X332" s="35" t="str">
        <f>MID(Tabla1[[#This Row],[Aplicación]],14,6)</f>
        <v>213</v>
      </c>
    </row>
    <row r="333" spans="1:24" x14ac:dyDescent="0.25">
      <c r="A333" s="45">
        <v>220210001247</v>
      </c>
      <c r="B333" s="46" t="s">
        <v>9</v>
      </c>
      <c r="C333" s="47">
        <v>44225</v>
      </c>
      <c r="D333" s="45">
        <v>22021001931</v>
      </c>
      <c r="E333" s="46" t="s">
        <v>1220</v>
      </c>
      <c r="F333" s="48">
        <v>272.25</v>
      </c>
      <c r="G333" s="46" t="s">
        <v>43</v>
      </c>
      <c r="H333" s="46" t="s">
        <v>1240</v>
      </c>
      <c r="I333" s="45" t="s">
        <v>125</v>
      </c>
      <c r="J333" s="46" t="s">
        <v>127</v>
      </c>
      <c r="K333" s="46" t="s">
        <v>127</v>
      </c>
      <c r="L333" s="46" t="s">
        <v>12</v>
      </c>
      <c r="M333" s="46" t="s">
        <v>10</v>
      </c>
      <c r="N333" s="46" t="s">
        <v>11</v>
      </c>
      <c r="O333" s="49" t="s">
        <v>815</v>
      </c>
      <c r="P333" s="46" t="s">
        <v>507</v>
      </c>
      <c r="Q333" s="35" t="str">
        <f>MID(Tabla1[[#This Row],[Aplicación]],14,1)</f>
        <v>2</v>
      </c>
      <c r="R333" s="35" t="s">
        <v>495</v>
      </c>
      <c r="S333" s="35" t="str">
        <f>MID(Tabla1[[#This Row],[Aplicación]],6,2)</f>
        <v>03</v>
      </c>
      <c r="T333" s="35" t="str">
        <f>VLOOKUP(Tabla1[[#This Row],[AREA]],Hoja1!A:B,2,FALSE)</f>
        <v>03. Participación ciudadana y deportes</v>
      </c>
      <c r="U333" s="35" t="str">
        <f>MID(Tabla1[[#This Row],[Aplicación]],9,4)</f>
        <v>9241</v>
      </c>
      <c r="V333" s="35" t="str">
        <f>VLOOKUP(Tabla1[[#This Row],[PROGRAMA]],Hoja1!A:B,2,FALSE)</f>
        <v>9241. Participación ciudadana</v>
      </c>
      <c r="W333" s="35" t="str">
        <f>MID(Tabla1[[#This Row],[Aplicación]],14,2)</f>
        <v>21</v>
      </c>
      <c r="X333" s="35" t="str">
        <f>MID(Tabla1[[#This Row],[Aplicación]],14,6)</f>
        <v>213</v>
      </c>
    </row>
    <row r="334" spans="1:24" x14ac:dyDescent="0.25">
      <c r="A334" s="45">
        <v>220209000794</v>
      </c>
      <c r="B334" s="46" t="s">
        <v>9</v>
      </c>
      <c r="C334" s="47">
        <v>44198</v>
      </c>
      <c r="D334" s="45">
        <v>22021000509</v>
      </c>
      <c r="E334" s="46" t="s">
        <v>982</v>
      </c>
      <c r="F334" s="48">
        <v>1823.72</v>
      </c>
      <c r="G334" s="46" t="s">
        <v>43</v>
      </c>
      <c r="H334" s="46" t="s">
        <v>1241</v>
      </c>
      <c r="I334" s="45" t="s">
        <v>125</v>
      </c>
      <c r="J334" s="46" t="s">
        <v>127</v>
      </c>
      <c r="K334" s="46" t="s">
        <v>127</v>
      </c>
      <c r="L334" s="46" t="s">
        <v>12</v>
      </c>
      <c r="M334" s="46" t="s">
        <v>10</v>
      </c>
      <c r="N334" s="46" t="s">
        <v>11</v>
      </c>
      <c r="O334" s="49" t="s">
        <v>815</v>
      </c>
      <c r="P334" s="46" t="s">
        <v>507</v>
      </c>
      <c r="Q334" s="35" t="str">
        <f>MID(Tabla1[[#This Row],[Aplicación]],14,1)</f>
        <v>2</v>
      </c>
      <c r="R334" s="35" t="s">
        <v>495</v>
      </c>
      <c r="S334" s="35" t="str">
        <f>MID(Tabla1[[#This Row],[Aplicación]],6,2)</f>
        <v>10</v>
      </c>
      <c r="T334" s="35" t="str">
        <f>VLOOKUP(Tabla1[[#This Row],[AREA]],Hoja1!A:B,2,FALSE)</f>
        <v>10. Servicios sociales y mediación comunitaria</v>
      </c>
      <c r="U334" s="35" t="str">
        <f>MID(Tabla1[[#This Row],[Aplicación]],9,4)</f>
        <v>2312</v>
      </c>
      <c r="V334" s="35" t="str">
        <f>VLOOKUP(Tabla1[[#This Row],[PROGRAMA]],Hoja1!A:B,2,FALSE)</f>
        <v>2312. Iniciativas sociales</v>
      </c>
      <c r="W334" s="35" t="str">
        <f>MID(Tabla1[[#This Row],[Aplicación]],14,2)</f>
        <v>21</v>
      </c>
      <c r="X334" s="35" t="str">
        <f>MID(Tabla1[[#This Row],[Aplicación]],14,6)</f>
        <v>213</v>
      </c>
    </row>
    <row r="335" spans="1:24" x14ac:dyDescent="0.25">
      <c r="A335" s="45">
        <v>220209000795</v>
      </c>
      <c r="B335" s="46" t="s">
        <v>9</v>
      </c>
      <c r="C335" s="47">
        <v>44198</v>
      </c>
      <c r="D335" s="45">
        <v>22021000510</v>
      </c>
      <c r="E335" s="46" t="s">
        <v>982</v>
      </c>
      <c r="F335" s="48">
        <v>2279.65</v>
      </c>
      <c r="G335" s="46" t="s">
        <v>43</v>
      </c>
      <c r="H335" s="46" t="s">
        <v>1242</v>
      </c>
      <c r="I335" s="45" t="s">
        <v>125</v>
      </c>
      <c r="J335" s="46" t="s">
        <v>127</v>
      </c>
      <c r="K335" s="46" t="s">
        <v>127</v>
      </c>
      <c r="L335" s="46" t="s">
        <v>12</v>
      </c>
      <c r="M335" s="46" t="s">
        <v>10</v>
      </c>
      <c r="N335" s="46" t="s">
        <v>11</v>
      </c>
      <c r="O335" s="49" t="s">
        <v>815</v>
      </c>
      <c r="P335" s="46" t="s">
        <v>507</v>
      </c>
      <c r="Q335" s="35" t="str">
        <f>MID(Tabla1[[#This Row],[Aplicación]],14,1)</f>
        <v>2</v>
      </c>
      <c r="R335" s="35" t="s">
        <v>495</v>
      </c>
      <c r="S335" s="35" t="str">
        <f>MID(Tabla1[[#This Row],[Aplicación]],6,2)</f>
        <v>10</v>
      </c>
      <c r="T335" s="35" t="str">
        <f>VLOOKUP(Tabla1[[#This Row],[AREA]],Hoja1!A:B,2,FALSE)</f>
        <v>10. Servicios sociales y mediación comunitaria</v>
      </c>
      <c r="U335" s="35" t="str">
        <f>MID(Tabla1[[#This Row],[Aplicación]],9,4)</f>
        <v>2312</v>
      </c>
      <c r="V335" s="35" t="str">
        <f>VLOOKUP(Tabla1[[#This Row],[PROGRAMA]],Hoja1!A:B,2,FALSE)</f>
        <v>2312. Iniciativas sociales</v>
      </c>
      <c r="W335" s="35" t="str">
        <f>MID(Tabla1[[#This Row],[Aplicación]],14,2)</f>
        <v>21</v>
      </c>
      <c r="X335" s="35" t="str">
        <f>MID(Tabla1[[#This Row],[Aplicación]],14,6)</f>
        <v>213</v>
      </c>
    </row>
    <row r="336" spans="1:24" x14ac:dyDescent="0.25">
      <c r="A336" s="45">
        <v>220210000010</v>
      </c>
      <c r="B336" s="46" t="s">
        <v>32</v>
      </c>
      <c r="C336" s="47">
        <v>44215</v>
      </c>
      <c r="D336" s="45">
        <v>22021000643</v>
      </c>
      <c r="E336" s="46" t="s">
        <v>983</v>
      </c>
      <c r="F336" s="48">
        <v>125.04</v>
      </c>
      <c r="G336" s="46" t="s">
        <v>43</v>
      </c>
      <c r="H336" s="46" t="s">
        <v>1243</v>
      </c>
      <c r="I336" s="45" t="s">
        <v>234</v>
      </c>
      <c r="J336" s="46" t="s">
        <v>127</v>
      </c>
      <c r="K336" s="46" t="s">
        <v>127</v>
      </c>
      <c r="L336" s="46" t="s">
        <v>12</v>
      </c>
      <c r="M336" s="46" t="s">
        <v>10</v>
      </c>
      <c r="N336" s="46" t="s">
        <v>11</v>
      </c>
      <c r="O336" s="49" t="s">
        <v>815</v>
      </c>
      <c r="P336" s="46" t="s">
        <v>507</v>
      </c>
      <c r="Q336" s="35" t="str">
        <f>MID(Tabla1[[#This Row],[Aplicación]],14,1)</f>
        <v>2</v>
      </c>
      <c r="R336" s="35" t="s">
        <v>495</v>
      </c>
      <c r="S336" s="35" t="str">
        <f>MID(Tabla1[[#This Row],[Aplicación]],6,2)</f>
        <v>10</v>
      </c>
      <c r="T336" s="35" t="str">
        <f>VLOOKUP(Tabla1[[#This Row],[AREA]],Hoja1!A:B,2,FALSE)</f>
        <v>10. Servicios sociales y mediación comunitaria</v>
      </c>
      <c r="U336" s="35" t="str">
        <f>MID(Tabla1[[#This Row],[Aplicación]],9,4)</f>
        <v>2412</v>
      </c>
      <c r="V336" s="35" t="str">
        <f>VLOOKUP(Tabla1[[#This Row],[PROGRAMA]],Hoja1!A:B,2,FALSE)</f>
        <v>2412. Formación para el empleo</v>
      </c>
      <c r="W336" s="35" t="str">
        <f>MID(Tabla1[[#This Row],[Aplicación]],14,2)</f>
        <v>21</v>
      </c>
      <c r="X336" s="35" t="str">
        <f>MID(Tabla1[[#This Row],[Aplicación]],14,6)</f>
        <v>213</v>
      </c>
    </row>
    <row r="337" spans="1:24" x14ac:dyDescent="0.25">
      <c r="A337" s="45">
        <v>220210000016</v>
      </c>
      <c r="B337" s="46" t="s">
        <v>32</v>
      </c>
      <c r="C337" s="47">
        <v>44215</v>
      </c>
      <c r="D337" s="45">
        <v>22021000651</v>
      </c>
      <c r="E337" s="46" t="s">
        <v>982</v>
      </c>
      <c r="F337" s="48">
        <v>1314.06</v>
      </c>
      <c r="G337" s="46" t="s">
        <v>43</v>
      </c>
      <c r="H337" s="46" t="s">
        <v>1244</v>
      </c>
      <c r="I337" s="45" t="s">
        <v>234</v>
      </c>
      <c r="J337" s="46" t="s">
        <v>127</v>
      </c>
      <c r="K337" s="46" t="s">
        <v>127</v>
      </c>
      <c r="L337" s="46" t="s">
        <v>12</v>
      </c>
      <c r="M337" s="46" t="s">
        <v>10</v>
      </c>
      <c r="N337" s="46" t="s">
        <v>11</v>
      </c>
      <c r="O337" s="49" t="s">
        <v>815</v>
      </c>
      <c r="P337" s="46" t="s">
        <v>507</v>
      </c>
      <c r="Q337" s="35" t="str">
        <f>MID(Tabla1[[#This Row],[Aplicación]],14,1)</f>
        <v>2</v>
      </c>
      <c r="R337" s="35" t="s">
        <v>495</v>
      </c>
      <c r="S337" s="35" t="str">
        <f>MID(Tabla1[[#This Row],[Aplicación]],6,2)</f>
        <v>10</v>
      </c>
      <c r="T337" s="35" t="str">
        <f>VLOOKUP(Tabla1[[#This Row],[AREA]],Hoja1!A:B,2,FALSE)</f>
        <v>10. Servicios sociales y mediación comunitaria</v>
      </c>
      <c r="U337" s="35" t="str">
        <f>MID(Tabla1[[#This Row],[Aplicación]],9,4)</f>
        <v>2312</v>
      </c>
      <c r="V337" s="35" t="str">
        <f>VLOOKUP(Tabla1[[#This Row],[PROGRAMA]],Hoja1!A:B,2,FALSE)</f>
        <v>2312. Iniciativas sociales</v>
      </c>
      <c r="W337" s="35" t="str">
        <f>MID(Tabla1[[#This Row],[Aplicación]],14,2)</f>
        <v>21</v>
      </c>
      <c r="X337" s="35" t="str">
        <f>MID(Tabla1[[#This Row],[Aplicación]],14,6)</f>
        <v>213</v>
      </c>
    </row>
    <row r="338" spans="1:24" x14ac:dyDescent="0.25">
      <c r="A338" s="45">
        <v>220210002434</v>
      </c>
      <c r="B338" s="46" t="s">
        <v>32</v>
      </c>
      <c r="C338" s="47">
        <v>44235</v>
      </c>
      <c r="D338" s="45">
        <v>22021001903</v>
      </c>
      <c r="E338" s="46" t="s">
        <v>886</v>
      </c>
      <c r="F338" s="48">
        <v>237.52</v>
      </c>
      <c r="G338" s="46" t="s">
        <v>43</v>
      </c>
      <c r="H338" s="46" t="s">
        <v>1245</v>
      </c>
      <c r="I338" s="45" t="s">
        <v>234</v>
      </c>
      <c r="J338" s="46" t="s">
        <v>127</v>
      </c>
      <c r="K338" s="46" t="s">
        <v>127</v>
      </c>
      <c r="L338" s="46" t="s">
        <v>12</v>
      </c>
      <c r="M338" s="46" t="s">
        <v>10</v>
      </c>
      <c r="N338" s="46" t="s">
        <v>11</v>
      </c>
      <c r="O338" s="49" t="s">
        <v>815</v>
      </c>
      <c r="P338" s="46" t="s">
        <v>507</v>
      </c>
      <c r="Q338" s="35" t="str">
        <f>MID(Tabla1[[#This Row],[Aplicación]],14,1)</f>
        <v>2</v>
      </c>
      <c r="R338" s="35" t="s">
        <v>495</v>
      </c>
      <c r="S338" s="35" t="str">
        <f>MID(Tabla1[[#This Row],[Aplicación]],6,2)</f>
        <v>10</v>
      </c>
      <c r="T338" s="35" t="str">
        <f>VLOOKUP(Tabla1[[#This Row],[AREA]],Hoja1!A:B,2,FALSE)</f>
        <v>10. Servicios sociales y mediación comunitaria</v>
      </c>
      <c r="U338" s="35" t="str">
        <f>MID(Tabla1[[#This Row],[Aplicación]],9,4)</f>
        <v>2311</v>
      </c>
      <c r="V338" s="35" t="str">
        <f>VLOOKUP(Tabla1[[#This Row],[PROGRAMA]],Hoja1!A:B,2,FALSE)</f>
        <v>2311. Intervención social</v>
      </c>
      <c r="W338" s="35" t="str">
        <f>MID(Tabla1[[#This Row],[Aplicación]],14,2)</f>
        <v>21</v>
      </c>
      <c r="X338" s="35" t="str">
        <f>MID(Tabla1[[#This Row],[Aplicación]],14,6)</f>
        <v>213</v>
      </c>
    </row>
    <row r="339" spans="1:24" x14ac:dyDescent="0.25">
      <c r="A339" s="45">
        <v>220210002849</v>
      </c>
      <c r="B339" s="46" t="s">
        <v>9</v>
      </c>
      <c r="C339" s="47">
        <v>44238</v>
      </c>
      <c r="D339" s="45">
        <v>22021002249</v>
      </c>
      <c r="E339" s="46" t="s">
        <v>1220</v>
      </c>
      <c r="F339" s="48">
        <v>2217.16</v>
      </c>
      <c r="G339" s="46" t="s">
        <v>43</v>
      </c>
      <c r="H339" s="46" t="s">
        <v>1246</v>
      </c>
      <c r="I339" s="45" t="s">
        <v>125</v>
      </c>
      <c r="J339" s="46" t="s">
        <v>127</v>
      </c>
      <c r="K339" s="46" t="s">
        <v>127</v>
      </c>
      <c r="L339" s="46" t="s">
        <v>12</v>
      </c>
      <c r="M339" s="46" t="s">
        <v>13</v>
      </c>
      <c r="N339" s="46" t="s">
        <v>14</v>
      </c>
      <c r="O339" s="49" t="s">
        <v>803</v>
      </c>
      <c r="P339" s="46" t="s">
        <v>507</v>
      </c>
      <c r="Q339" s="35" t="str">
        <f>MID(Tabla1[[#This Row],[Aplicación]],14,1)</f>
        <v>2</v>
      </c>
      <c r="R339" s="35" t="s">
        <v>495</v>
      </c>
      <c r="S339" s="35" t="str">
        <f>MID(Tabla1[[#This Row],[Aplicación]],6,2)</f>
        <v>03</v>
      </c>
      <c r="T339" s="35" t="str">
        <f>VLOOKUP(Tabla1[[#This Row],[AREA]],Hoja1!A:B,2,FALSE)</f>
        <v>03. Participación ciudadana y deportes</v>
      </c>
      <c r="U339" s="35" t="str">
        <f>MID(Tabla1[[#This Row],[Aplicación]],9,4)</f>
        <v>9241</v>
      </c>
      <c r="V339" s="35" t="str">
        <f>VLOOKUP(Tabla1[[#This Row],[PROGRAMA]],Hoja1!A:B,2,FALSE)</f>
        <v>9241. Participación ciudadana</v>
      </c>
      <c r="W339" s="35" t="str">
        <f>MID(Tabla1[[#This Row],[Aplicación]],14,2)</f>
        <v>21</v>
      </c>
      <c r="X339" s="35" t="str">
        <f>MID(Tabla1[[#This Row],[Aplicación]],14,6)</f>
        <v>213</v>
      </c>
    </row>
    <row r="340" spans="1:24" x14ac:dyDescent="0.25">
      <c r="A340" s="45">
        <v>220209000809</v>
      </c>
      <c r="B340" s="46" t="s">
        <v>9</v>
      </c>
      <c r="C340" s="47">
        <v>44198</v>
      </c>
      <c r="D340" s="45">
        <v>22021002463</v>
      </c>
      <c r="E340" s="46" t="s">
        <v>1247</v>
      </c>
      <c r="F340" s="48">
        <v>127575</v>
      </c>
      <c r="G340" s="46" t="s">
        <v>1248</v>
      </c>
      <c r="H340" s="46" t="s">
        <v>1249</v>
      </c>
      <c r="I340" s="45" t="s">
        <v>125</v>
      </c>
      <c r="J340" s="46" t="s">
        <v>126</v>
      </c>
      <c r="K340" s="46" t="s">
        <v>126</v>
      </c>
      <c r="L340" s="46" t="s">
        <v>12</v>
      </c>
      <c r="M340" s="46" t="s">
        <v>10</v>
      </c>
      <c r="N340" s="46" t="s">
        <v>11</v>
      </c>
      <c r="O340" s="49" t="s">
        <v>3307</v>
      </c>
      <c r="P340" s="46" t="s">
        <v>507</v>
      </c>
      <c r="Q340" s="35" t="str">
        <f>MID(Tabla1[[#This Row],[Aplicación]],14,1)</f>
        <v>2</v>
      </c>
      <c r="R340" s="35" t="s">
        <v>495</v>
      </c>
      <c r="S340" s="35" t="str">
        <f>MID(Tabla1[[#This Row],[Aplicación]],6,2)</f>
        <v>10</v>
      </c>
      <c r="T340" s="35" t="str">
        <f>VLOOKUP(Tabla1[[#This Row],[AREA]],Hoja1!A:B,2,FALSE)</f>
        <v>10. Servicios sociales y mediación comunitaria</v>
      </c>
      <c r="U340" s="35" t="str">
        <f>MID(Tabla1[[#This Row],[Aplicación]],9,4)</f>
        <v>2311</v>
      </c>
      <c r="V340" s="35" t="str">
        <f>VLOOKUP(Tabla1[[#This Row],[PROGRAMA]],Hoja1!A:B,2,FALSE)</f>
        <v>2311. Intervención social</v>
      </c>
      <c r="W340" s="35" t="str">
        <f>MID(Tabla1[[#This Row],[Aplicación]],14,2)</f>
        <v>22</v>
      </c>
      <c r="X340" s="35" t="str">
        <f>MID(Tabla1[[#This Row],[Aplicación]],14,6)</f>
        <v>22799</v>
      </c>
    </row>
    <row r="341" spans="1:24" x14ac:dyDescent="0.25">
      <c r="A341" s="45">
        <v>220210002417</v>
      </c>
      <c r="B341" s="46" t="s">
        <v>9</v>
      </c>
      <c r="C341" s="47">
        <v>44235</v>
      </c>
      <c r="D341" s="45">
        <v>22021002194</v>
      </c>
      <c r="E341" s="46" t="s">
        <v>1163</v>
      </c>
      <c r="F341" s="48">
        <v>135.97</v>
      </c>
      <c r="G341" s="46" t="s">
        <v>293</v>
      </c>
      <c r="H341" s="46" t="s">
        <v>1250</v>
      </c>
      <c r="I341" s="45" t="s">
        <v>125</v>
      </c>
      <c r="J341" s="46" t="s">
        <v>197</v>
      </c>
      <c r="K341" s="46" t="s">
        <v>197</v>
      </c>
      <c r="L341" s="46" t="s">
        <v>15</v>
      </c>
      <c r="M341" s="46" t="s">
        <v>10</v>
      </c>
      <c r="N341" s="46" t="s">
        <v>11</v>
      </c>
      <c r="O341" s="49" t="s">
        <v>815</v>
      </c>
      <c r="P341" s="46" t="s">
        <v>507</v>
      </c>
      <c r="Q341" s="35" t="str">
        <f>MID(Tabla1[[#This Row],[Aplicación]],14,1)</f>
        <v>2</v>
      </c>
      <c r="R341" s="35" t="s">
        <v>495</v>
      </c>
      <c r="S341" s="35" t="str">
        <f>MID(Tabla1[[#This Row],[Aplicación]],6,2)</f>
        <v>06</v>
      </c>
      <c r="T341" s="35" t="str">
        <f>VLOOKUP(Tabla1[[#This Row],[AREA]],Hoja1!A:B,2,FALSE)</f>
        <v>06. Educación, infancia, juventud e igualdad</v>
      </c>
      <c r="U341" s="35" t="str">
        <f>MID(Tabla1[[#This Row],[Aplicación]],9,4)</f>
        <v>3321</v>
      </c>
      <c r="V341" s="35" t="str">
        <f>VLOOKUP(Tabla1[[#This Row],[PROGRAMA]],Hoja1!A:B,2,FALSE)</f>
        <v>3321. Bibliotecas públicas</v>
      </c>
      <c r="W341" s="35" t="str">
        <f>MID(Tabla1[[#This Row],[Aplicación]],14,2)</f>
        <v>22</v>
      </c>
      <c r="X341" s="35" t="str">
        <f>MID(Tabla1[[#This Row],[Aplicación]],14,6)</f>
        <v>22001</v>
      </c>
    </row>
    <row r="342" spans="1:24" x14ac:dyDescent="0.25">
      <c r="A342" s="45">
        <v>220210000328</v>
      </c>
      <c r="B342" s="46" t="s">
        <v>9</v>
      </c>
      <c r="C342" s="47">
        <v>44217</v>
      </c>
      <c r="D342" s="45">
        <v>22021001201</v>
      </c>
      <c r="E342" s="46" t="s">
        <v>1251</v>
      </c>
      <c r="F342" s="48">
        <v>4000</v>
      </c>
      <c r="G342" s="46" t="s">
        <v>1252</v>
      </c>
      <c r="H342" s="46" t="s">
        <v>1253</v>
      </c>
      <c r="I342" s="45" t="s">
        <v>125</v>
      </c>
      <c r="J342" s="46" t="s">
        <v>127</v>
      </c>
      <c r="K342" s="46" t="s">
        <v>127</v>
      </c>
      <c r="L342" s="46" t="s">
        <v>12</v>
      </c>
      <c r="M342" s="46" t="s">
        <v>10</v>
      </c>
      <c r="N342" s="46" t="s">
        <v>11</v>
      </c>
      <c r="O342" s="49" t="s">
        <v>815</v>
      </c>
      <c r="P342" s="46" t="s">
        <v>507</v>
      </c>
      <c r="Q342" s="35" t="str">
        <f>MID(Tabla1[[#This Row],[Aplicación]],14,1)</f>
        <v>2</v>
      </c>
      <c r="R342" s="35" t="s">
        <v>495</v>
      </c>
      <c r="S342" s="35" t="str">
        <f>MID(Tabla1[[#This Row],[Aplicación]],6,2)</f>
        <v>09</v>
      </c>
      <c r="T342" s="35" t="str">
        <f>VLOOKUP(Tabla1[[#This Row],[AREA]],Hoja1!A:B,2,FALSE)</f>
        <v>09. Cultura y turismo</v>
      </c>
      <c r="U342" s="35" t="str">
        <f>MID(Tabla1[[#This Row],[Aplicación]],9,4)</f>
        <v>3301</v>
      </c>
      <c r="V342" s="35" t="str">
        <f>VLOOKUP(Tabla1[[#This Row],[PROGRAMA]],Hoja1!A:B,2,FALSE)</f>
        <v>3301. Dirección del área de cultura</v>
      </c>
      <c r="W342" s="35" t="str">
        <f>MID(Tabla1[[#This Row],[Aplicación]],14,2)</f>
        <v>22</v>
      </c>
      <c r="X342" s="35" t="str">
        <f>MID(Tabla1[[#This Row],[Aplicación]],14,6)</f>
        <v>22799</v>
      </c>
    </row>
    <row r="343" spans="1:24" x14ac:dyDescent="0.25">
      <c r="A343" s="45">
        <v>220209000146</v>
      </c>
      <c r="B343" s="46" t="s">
        <v>9</v>
      </c>
      <c r="C343" s="47">
        <v>44198</v>
      </c>
      <c r="D343" s="45">
        <v>22021000216</v>
      </c>
      <c r="E343" s="46" t="s">
        <v>881</v>
      </c>
      <c r="F343" s="48">
        <v>1800</v>
      </c>
      <c r="G343" s="46" t="s">
        <v>1254</v>
      </c>
      <c r="H343" s="46" t="s">
        <v>1255</v>
      </c>
      <c r="I343" s="45" t="s">
        <v>125</v>
      </c>
      <c r="J343" s="46" t="s">
        <v>127</v>
      </c>
      <c r="K343" s="46" t="s">
        <v>127</v>
      </c>
      <c r="L343" s="46" t="s">
        <v>12</v>
      </c>
      <c r="M343" s="46" t="s">
        <v>13</v>
      </c>
      <c r="N343" s="46" t="s">
        <v>14</v>
      </c>
      <c r="O343" s="49" t="s">
        <v>814</v>
      </c>
      <c r="P343" s="46" t="s">
        <v>507</v>
      </c>
      <c r="Q343" s="35" t="str">
        <f>MID(Tabla1[[#This Row],[Aplicación]],14,1)</f>
        <v>2</v>
      </c>
      <c r="R343" s="35" t="s">
        <v>495</v>
      </c>
      <c r="S343" s="35" t="str">
        <f>MID(Tabla1[[#This Row],[Aplicación]],6,2)</f>
        <v>05</v>
      </c>
      <c r="T343" s="35" t="str">
        <f>VLOOKUP(Tabla1[[#This Row],[AREA]],Hoja1!A:B,2,FALSE)</f>
        <v>05. Innovación, desarrollo económico, empleo y comercio</v>
      </c>
      <c r="U343" s="35" t="str">
        <f>MID(Tabla1[[#This Row],[Aplicación]],9,4)</f>
        <v>4331</v>
      </c>
      <c r="V343" s="35" t="str">
        <f>VLOOKUP(Tabla1[[#This Row],[PROGRAMA]],Hoja1!A:B,2,FALSE)</f>
        <v>4331. Desarrollo empresarial</v>
      </c>
      <c r="W343" s="35" t="str">
        <f>MID(Tabla1[[#This Row],[Aplicación]],14,2)</f>
        <v>22</v>
      </c>
      <c r="X343" s="35" t="str">
        <f>MID(Tabla1[[#This Row],[Aplicación]],14,6)</f>
        <v>22799</v>
      </c>
    </row>
    <row r="344" spans="1:24" x14ac:dyDescent="0.25">
      <c r="A344" s="45">
        <v>220210002415</v>
      </c>
      <c r="B344" s="46" t="s">
        <v>9</v>
      </c>
      <c r="C344" s="47">
        <v>44235</v>
      </c>
      <c r="D344" s="45">
        <v>22021002349</v>
      </c>
      <c r="E344" s="46" t="s">
        <v>823</v>
      </c>
      <c r="F344" s="48">
        <v>350</v>
      </c>
      <c r="G344" s="46" t="s">
        <v>1256</v>
      </c>
      <c r="H344" s="46" t="s">
        <v>1257</v>
      </c>
      <c r="I344" s="45" t="s">
        <v>125</v>
      </c>
      <c r="J344" s="46" t="s">
        <v>1258</v>
      </c>
      <c r="K344" s="46" t="s">
        <v>184</v>
      </c>
      <c r="L344" s="46" t="s">
        <v>12</v>
      </c>
      <c r="M344" s="46" t="s">
        <v>10</v>
      </c>
      <c r="N344" s="46" t="s">
        <v>11</v>
      </c>
      <c r="O344" s="49" t="s">
        <v>815</v>
      </c>
      <c r="P344" s="46" t="s">
        <v>507</v>
      </c>
      <c r="Q344" s="35" t="str">
        <f>MID(Tabla1[[#This Row],[Aplicación]],14,1)</f>
        <v>2</v>
      </c>
      <c r="R344" s="35" t="s">
        <v>495</v>
      </c>
      <c r="S344" s="35" t="str">
        <f>MID(Tabla1[[#This Row],[Aplicación]],6,2)</f>
        <v>03</v>
      </c>
      <c r="T344" s="35" t="str">
        <f>VLOOKUP(Tabla1[[#This Row],[AREA]],Hoja1!A:B,2,FALSE)</f>
        <v>03. Participación ciudadana y deportes</v>
      </c>
      <c r="U344" s="35" t="str">
        <f>MID(Tabla1[[#This Row],[Aplicación]],9,4)</f>
        <v>9241</v>
      </c>
      <c r="V344" s="35" t="str">
        <f>VLOOKUP(Tabla1[[#This Row],[PROGRAMA]],Hoja1!A:B,2,FALSE)</f>
        <v>9241. Participación ciudadana</v>
      </c>
      <c r="W344" s="35" t="str">
        <f>MID(Tabla1[[#This Row],[Aplicación]],14,2)</f>
        <v>22</v>
      </c>
      <c r="X344" s="35" t="str">
        <f>MID(Tabla1[[#This Row],[Aplicación]],14,6)</f>
        <v>22609</v>
      </c>
    </row>
    <row r="345" spans="1:24" x14ac:dyDescent="0.25">
      <c r="A345" s="45">
        <v>220210001248</v>
      </c>
      <c r="B345" s="46" t="s">
        <v>9</v>
      </c>
      <c r="C345" s="47">
        <v>44225</v>
      </c>
      <c r="D345" s="45">
        <v>22021001932</v>
      </c>
      <c r="E345" s="46" t="s">
        <v>823</v>
      </c>
      <c r="F345" s="48">
        <v>400</v>
      </c>
      <c r="G345" s="46" t="s">
        <v>523</v>
      </c>
      <c r="H345" s="46" t="s">
        <v>1259</v>
      </c>
      <c r="I345" s="45" t="s">
        <v>125</v>
      </c>
      <c r="J345" s="46" t="s">
        <v>127</v>
      </c>
      <c r="K345" s="46" t="s">
        <v>127</v>
      </c>
      <c r="L345" s="46" t="s">
        <v>12</v>
      </c>
      <c r="M345" s="46" t="s">
        <v>10</v>
      </c>
      <c r="N345" s="46" t="s">
        <v>11</v>
      </c>
      <c r="O345" s="49" t="s">
        <v>815</v>
      </c>
      <c r="P345" s="46" t="s">
        <v>507</v>
      </c>
      <c r="Q345" s="35" t="str">
        <f>MID(Tabla1[[#This Row],[Aplicación]],14,1)</f>
        <v>2</v>
      </c>
      <c r="R345" s="35" t="s">
        <v>495</v>
      </c>
      <c r="S345" s="35" t="str">
        <f>MID(Tabla1[[#This Row],[Aplicación]],6,2)</f>
        <v>03</v>
      </c>
      <c r="T345" s="35" t="str">
        <f>VLOOKUP(Tabla1[[#This Row],[AREA]],Hoja1!A:B,2,FALSE)</f>
        <v>03. Participación ciudadana y deportes</v>
      </c>
      <c r="U345" s="35" t="str">
        <f>MID(Tabla1[[#This Row],[Aplicación]],9,4)</f>
        <v>9241</v>
      </c>
      <c r="V345" s="35" t="str">
        <f>VLOOKUP(Tabla1[[#This Row],[PROGRAMA]],Hoja1!A:B,2,FALSE)</f>
        <v>9241. Participación ciudadana</v>
      </c>
      <c r="W345" s="35" t="str">
        <f>MID(Tabla1[[#This Row],[Aplicación]],14,2)</f>
        <v>22</v>
      </c>
      <c r="X345" s="35" t="str">
        <f>MID(Tabla1[[#This Row],[Aplicación]],14,6)</f>
        <v>22609</v>
      </c>
    </row>
    <row r="346" spans="1:24" x14ac:dyDescent="0.25">
      <c r="A346" s="45">
        <v>220210004221</v>
      </c>
      <c r="B346" s="46" t="s">
        <v>9</v>
      </c>
      <c r="C346" s="47">
        <v>44245</v>
      </c>
      <c r="D346" s="45">
        <v>22021002280</v>
      </c>
      <c r="E346" s="46" t="s">
        <v>881</v>
      </c>
      <c r="F346" s="48">
        <v>427.61</v>
      </c>
      <c r="G346" s="46" t="s">
        <v>522</v>
      </c>
      <c r="H346" s="46" t="s">
        <v>1260</v>
      </c>
      <c r="I346" s="45" t="s">
        <v>125</v>
      </c>
      <c r="J346" s="46" t="s">
        <v>127</v>
      </c>
      <c r="K346" s="46" t="s">
        <v>127</v>
      </c>
      <c r="L346" s="46" t="s">
        <v>12</v>
      </c>
      <c r="M346" s="46" t="s">
        <v>10</v>
      </c>
      <c r="N346" s="46" t="s">
        <v>11</v>
      </c>
      <c r="O346" s="49" t="s">
        <v>815</v>
      </c>
      <c r="P346" s="46" t="s">
        <v>507</v>
      </c>
      <c r="Q346" s="35" t="str">
        <f>MID(Tabla1[[#This Row],[Aplicación]],14,1)</f>
        <v>2</v>
      </c>
      <c r="R346" s="35" t="s">
        <v>495</v>
      </c>
      <c r="S346" s="35" t="str">
        <f>MID(Tabla1[[#This Row],[Aplicación]],6,2)</f>
        <v>05</v>
      </c>
      <c r="T346" s="35" t="str">
        <f>VLOOKUP(Tabla1[[#This Row],[AREA]],Hoja1!A:B,2,FALSE)</f>
        <v>05. Innovación, desarrollo económico, empleo y comercio</v>
      </c>
      <c r="U346" s="35" t="str">
        <f>MID(Tabla1[[#This Row],[Aplicación]],9,4)</f>
        <v>4331</v>
      </c>
      <c r="V346" s="35" t="str">
        <f>VLOOKUP(Tabla1[[#This Row],[PROGRAMA]],Hoja1!A:B,2,FALSE)</f>
        <v>4331. Desarrollo empresarial</v>
      </c>
      <c r="W346" s="35" t="str">
        <f>MID(Tabla1[[#This Row],[Aplicación]],14,2)</f>
        <v>22</v>
      </c>
      <c r="X346" s="35" t="str">
        <f>MID(Tabla1[[#This Row],[Aplicación]],14,6)</f>
        <v>22799</v>
      </c>
    </row>
    <row r="347" spans="1:24" x14ac:dyDescent="0.25">
      <c r="A347" s="45">
        <v>220199000590</v>
      </c>
      <c r="B347" s="46" t="s">
        <v>9</v>
      </c>
      <c r="C347" s="47">
        <v>44198</v>
      </c>
      <c r="D347" s="45">
        <v>22021000164</v>
      </c>
      <c r="E347" s="46" t="s">
        <v>1261</v>
      </c>
      <c r="F347" s="48">
        <v>101.65</v>
      </c>
      <c r="G347" s="46" t="s">
        <v>207</v>
      </c>
      <c r="H347" s="46" t="s">
        <v>727</v>
      </c>
      <c r="I347" s="45" t="s">
        <v>125</v>
      </c>
      <c r="J347" s="46" t="s">
        <v>127</v>
      </c>
      <c r="K347" s="46" t="s">
        <v>127</v>
      </c>
      <c r="L347" s="46" t="s">
        <v>12</v>
      </c>
      <c r="M347" s="46" t="s">
        <v>13</v>
      </c>
      <c r="N347" s="46" t="s">
        <v>16</v>
      </c>
      <c r="O347" s="49" t="s">
        <v>803</v>
      </c>
      <c r="P347" s="46" t="s">
        <v>507</v>
      </c>
      <c r="Q347" s="35" t="str">
        <f>MID(Tabla1[[#This Row],[Aplicación]],14,1)</f>
        <v>2</v>
      </c>
      <c r="R347" s="35" t="s">
        <v>495</v>
      </c>
      <c r="S347" s="35" t="str">
        <f>MID(Tabla1[[#This Row],[Aplicación]],6,2)</f>
        <v>03</v>
      </c>
      <c r="T347" s="35" t="str">
        <f>VLOOKUP(Tabla1[[#This Row],[AREA]],Hoja1!A:B,2,FALSE)</f>
        <v>03. Participación ciudadana y deportes</v>
      </c>
      <c r="U347" s="35" t="str">
        <f>MID(Tabla1[[#This Row],[Aplicación]],9,4)</f>
        <v>9241</v>
      </c>
      <c r="V347" s="35" t="str">
        <f>VLOOKUP(Tabla1[[#This Row],[PROGRAMA]],Hoja1!A:B,2,FALSE)</f>
        <v>9241. Participación ciudadana</v>
      </c>
      <c r="W347" s="35" t="str">
        <f>MID(Tabla1[[#This Row],[Aplicación]],14,2)</f>
        <v>22</v>
      </c>
      <c r="X347" s="35" t="str">
        <f>MID(Tabla1[[#This Row],[Aplicación]],14,6)</f>
        <v>22700</v>
      </c>
    </row>
    <row r="348" spans="1:24" x14ac:dyDescent="0.25">
      <c r="A348" s="45">
        <v>220210002853</v>
      </c>
      <c r="B348" s="46" t="s">
        <v>9</v>
      </c>
      <c r="C348" s="47">
        <v>44238</v>
      </c>
      <c r="D348" s="45">
        <v>22021002253</v>
      </c>
      <c r="E348" s="46" t="s">
        <v>1261</v>
      </c>
      <c r="F348" s="48">
        <v>1025.71</v>
      </c>
      <c r="G348" s="46" t="s">
        <v>207</v>
      </c>
      <c r="H348" s="46" t="s">
        <v>1262</v>
      </c>
      <c r="I348" s="45" t="s">
        <v>125</v>
      </c>
      <c r="J348" s="46" t="s">
        <v>127</v>
      </c>
      <c r="K348" s="46" t="s">
        <v>127</v>
      </c>
      <c r="L348" s="46" t="s">
        <v>12</v>
      </c>
      <c r="M348" s="46" t="s">
        <v>13</v>
      </c>
      <c r="N348" s="46" t="s">
        <v>16</v>
      </c>
      <c r="O348" s="49" t="s">
        <v>803</v>
      </c>
      <c r="P348" s="46" t="s">
        <v>507</v>
      </c>
      <c r="Q348" s="35" t="str">
        <f>MID(Tabla1[[#This Row],[Aplicación]],14,1)</f>
        <v>2</v>
      </c>
      <c r="R348" s="35" t="s">
        <v>495</v>
      </c>
      <c r="S348" s="35" t="str">
        <f>MID(Tabla1[[#This Row],[Aplicación]],6,2)</f>
        <v>03</v>
      </c>
      <c r="T348" s="35" t="str">
        <f>VLOOKUP(Tabla1[[#This Row],[AREA]],Hoja1!A:B,2,FALSE)</f>
        <v>03. Participación ciudadana y deportes</v>
      </c>
      <c r="U348" s="35" t="str">
        <f>MID(Tabla1[[#This Row],[Aplicación]],9,4)</f>
        <v>9241</v>
      </c>
      <c r="V348" s="35" t="str">
        <f>VLOOKUP(Tabla1[[#This Row],[PROGRAMA]],Hoja1!A:B,2,FALSE)</f>
        <v>9241. Participación ciudadana</v>
      </c>
      <c r="W348" s="35" t="str">
        <f>MID(Tabla1[[#This Row],[Aplicación]],14,2)</f>
        <v>22</v>
      </c>
      <c r="X348" s="35" t="str">
        <f>MID(Tabla1[[#This Row],[Aplicación]],14,6)</f>
        <v>22700</v>
      </c>
    </row>
    <row r="349" spans="1:24" x14ac:dyDescent="0.25">
      <c r="A349" s="45">
        <v>220210002798</v>
      </c>
      <c r="B349" s="46" t="s">
        <v>32</v>
      </c>
      <c r="C349" s="47">
        <v>44237</v>
      </c>
      <c r="D349" s="45">
        <v>22021002365</v>
      </c>
      <c r="E349" s="46" t="s">
        <v>1263</v>
      </c>
      <c r="F349" s="48">
        <v>90.75</v>
      </c>
      <c r="G349" s="46" t="s">
        <v>43</v>
      </c>
      <c r="H349" s="46" t="s">
        <v>1264</v>
      </c>
      <c r="I349" s="45" t="s">
        <v>234</v>
      </c>
      <c r="J349" s="46" t="s">
        <v>127</v>
      </c>
      <c r="K349" s="46" t="s">
        <v>127</v>
      </c>
      <c r="L349" s="46" t="s">
        <v>12</v>
      </c>
      <c r="M349" s="46" t="s">
        <v>10</v>
      </c>
      <c r="N349" s="46" t="s">
        <v>11</v>
      </c>
      <c r="O349" s="49" t="s">
        <v>815</v>
      </c>
      <c r="P349" s="46" t="s">
        <v>507</v>
      </c>
      <c r="Q349" s="35" t="str">
        <f>MID(Tabla1[[#This Row],[Aplicación]],14,1)</f>
        <v>2</v>
      </c>
      <c r="R349" s="35" t="s">
        <v>495</v>
      </c>
      <c r="S349" s="35" t="str">
        <f>MID(Tabla1[[#This Row],[Aplicación]],6,2)</f>
        <v>02</v>
      </c>
      <c r="T349" s="35" t="str">
        <f>VLOOKUP(Tabla1[[#This Row],[AREA]],Hoja1!A:B,2,FALSE)</f>
        <v>02. Planeamiento urbanístico y vivienda</v>
      </c>
      <c r="U349" s="35" t="str">
        <f>MID(Tabla1[[#This Row],[Aplicación]],9,4)</f>
        <v>9332</v>
      </c>
      <c r="V349" s="35" t="str">
        <f>VLOOKUP(Tabla1[[#This Row],[PROGRAMA]],Hoja1!A:B,2,FALSE)</f>
        <v>9332. Mantenimiento de edificios e instalaciones municipales</v>
      </c>
      <c r="W349" s="35" t="str">
        <f>MID(Tabla1[[#This Row],[Aplicación]],14,2)</f>
        <v>21</v>
      </c>
      <c r="X349" s="35" t="str">
        <f>MID(Tabla1[[#This Row],[Aplicación]],14,6)</f>
        <v>213</v>
      </c>
    </row>
    <row r="350" spans="1:24" x14ac:dyDescent="0.25">
      <c r="A350" s="45">
        <v>220209000319</v>
      </c>
      <c r="B350" s="46" t="s">
        <v>9</v>
      </c>
      <c r="C350" s="47">
        <v>44198</v>
      </c>
      <c r="D350" s="45">
        <v>22021000265</v>
      </c>
      <c r="E350" s="46" t="s">
        <v>827</v>
      </c>
      <c r="F350" s="48">
        <v>227475.7</v>
      </c>
      <c r="G350" s="46" t="s">
        <v>191</v>
      </c>
      <c r="H350" s="46" t="s">
        <v>1265</v>
      </c>
      <c r="I350" s="45" t="s">
        <v>125</v>
      </c>
      <c r="J350" s="46" t="s">
        <v>126</v>
      </c>
      <c r="K350" s="46" t="s">
        <v>126</v>
      </c>
      <c r="L350" s="46" t="s">
        <v>12</v>
      </c>
      <c r="M350" s="46" t="s">
        <v>13</v>
      </c>
      <c r="N350" s="46" t="s">
        <v>14</v>
      </c>
      <c r="O350" s="49" t="s">
        <v>803</v>
      </c>
      <c r="P350" s="46" t="s">
        <v>507</v>
      </c>
      <c r="Q350" s="35" t="str">
        <f>MID(Tabla1[[#This Row],[Aplicación]],14,1)</f>
        <v>2</v>
      </c>
      <c r="R350" s="35" t="s">
        <v>495</v>
      </c>
      <c r="S350" s="35" t="str">
        <f>MID(Tabla1[[#This Row],[Aplicación]],6,2)</f>
        <v>04</v>
      </c>
      <c r="T350" s="35" t="str">
        <f>VLOOKUP(Tabla1[[#This Row],[AREA]],Hoja1!A:B,2,FALSE)</f>
        <v>04. Planificación y recursos</v>
      </c>
      <c r="U350" s="35" t="str">
        <f>MID(Tabla1[[#This Row],[Aplicación]],9,4)</f>
        <v>9204</v>
      </c>
      <c r="V350" s="35" t="str">
        <f>VLOOKUP(Tabla1[[#This Row],[PROGRAMA]],Hoja1!A:B,2,FALSE)</f>
        <v>9204. Tecnologías de la información y comunicación</v>
      </c>
      <c r="W350" s="35" t="str">
        <f>MID(Tabla1[[#This Row],[Aplicación]],14,2)</f>
        <v>21</v>
      </c>
      <c r="X350" s="35" t="str">
        <f>MID(Tabla1[[#This Row],[Aplicación]],14,6)</f>
        <v>216</v>
      </c>
    </row>
    <row r="351" spans="1:24" x14ac:dyDescent="0.25">
      <c r="A351" s="45">
        <v>220210000322</v>
      </c>
      <c r="B351" s="46" t="s">
        <v>9</v>
      </c>
      <c r="C351" s="47">
        <v>44217</v>
      </c>
      <c r="D351" s="45">
        <v>22021000401</v>
      </c>
      <c r="E351" s="46" t="s">
        <v>1224</v>
      </c>
      <c r="F351" s="48">
        <v>513183.75</v>
      </c>
      <c r="G351" s="46" t="s">
        <v>191</v>
      </c>
      <c r="H351" s="46" t="s">
        <v>1266</v>
      </c>
      <c r="I351" s="45" t="s">
        <v>125</v>
      </c>
      <c r="J351" s="46" t="s">
        <v>126</v>
      </c>
      <c r="K351" s="46" t="s">
        <v>126</v>
      </c>
      <c r="L351" s="46" t="s">
        <v>12</v>
      </c>
      <c r="M351" s="46" t="s">
        <v>13</v>
      </c>
      <c r="N351" s="46" t="s">
        <v>14</v>
      </c>
      <c r="O351" s="49" t="s">
        <v>803</v>
      </c>
      <c r="P351" s="46" t="s">
        <v>507</v>
      </c>
      <c r="Q351" s="35" t="str">
        <f>MID(Tabla1[[#This Row],[Aplicación]],14,1)</f>
        <v>6</v>
      </c>
      <c r="R351" s="35" t="s">
        <v>496</v>
      </c>
      <c r="S351" s="35" t="str">
        <f>MID(Tabla1[[#This Row],[Aplicación]],6,2)</f>
        <v>04</v>
      </c>
      <c r="T351" s="35" t="str">
        <f>VLOOKUP(Tabla1[[#This Row],[AREA]],Hoja1!A:B,2,FALSE)</f>
        <v>04. Planificación y recursos</v>
      </c>
      <c r="U351" s="35" t="str">
        <f>MID(Tabla1[[#This Row],[Aplicación]],9,4)</f>
        <v>9204</v>
      </c>
      <c r="V351" s="35" t="str">
        <f>VLOOKUP(Tabla1[[#This Row],[PROGRAMA]],Hoja1!A:B,2,FALSE)</f>
        <v>9204. Tecnologías de la información y comunicación</v>
      </c>
      <c r="W351" s="35" t="str">
        <f>MID(Tabla1[[#This Row],[Aplicación]],14,2)</f>
        <v>63</v>
      </c>
      <c r="X351" s="35" t="str">
        <f>MID(Tabla1[[#This Row],[Aplicación]],14,6)</f>
        <v>636</v>
      </c>
    </row>
    <row r="352" spans="1:24" x14ac:dyDescent="0.25">
      <c r="A352" s="45">
        <v>220210000506</v>
      </c>
      <c r="B352" s="46" t="s">
        <v>9</v>
      </c>
      <c r="C352" s="47">
        <v>44221</v>
      </c>
      <c r="D352" s="45">
        <v>22021001680</v>
      </c>
      <c r="E352" s="46" t="s">
        <v>1267</v>
      </c>
      <c r="F352" s="48">
        <v>4792.5</v>
      </c>
      <c r="G352" s="46" t="s">
        <v>1268</v>
      </c>
      <c r="H352" s="46" t="s">
        <v>1269</v>
      </c>
      <c r="I352" s="45" t="s">
        <v>125</v>
      </c>
      <c r="J352" s="46" t="s">
        <v>127</v>
      </c>
      <c r="K352" s="46" t="s">
        <v>127</v>
      </c>
      <c r="L352" s="46" t="s">
        <v>15</v>
      </c>
      <c r="M352" s="46" t="s">
        <v>10</v>
      </c>
      <c r="N352" s="46" t="s">
        <v>11</v>
      </c>
      <c r="O352" s="49" t="s">
        <v>815</v>
      </c>
      <c r="P352" s="46" t="s">
        <v>507</v>
      </c>
      <c r="Q352" s="35" t="str">
        <f>MID(Tabla1[[#This Row],[Aplicación]],14,1)</f>
        <v>2</v>
      </c>
      <c r="R352" s="35" t="s">
        <v>495</v>
      </c>
      <c r="S352" s="35" t="str">
        <f>MID(Tabla1[[#This Row],[Aplicación]],6,2)</f>
        <v>03</v>
      </c>
      <c r="T352" s="35" t="str">
        <f>VLOOKUP(Tabla1[[#This Row],[AREA]],Hoja1!A:B,2,FALSE)</f>
        <v>03. Participación ciudadana y deportes</v>
      </c>
      <c r="U352" s="35" t="str">
        <f>MID(Tabla1[[#This Row],[Aplicación]],9,4)</f>
        <v>9241</v>
      </c>
      <c r="V352" s="35" t="str">
        <f>VLOOKUP(Tabla1[[#This Row],[PROGRAMA]],Hoja1!A:B,2,FALSE)</f>
        <v>9241. Participación ciudadana</v>
      </c>
      <c r="W352" s="35" t="str">
        <f>MID(Tabla1[[#This Row],[Aplicación]],14,2)</f>
        <v>22</v>
      </c>
      <c r="X352" s="35" t="str">
        <f>MID(Tabla1[[#This Row],[Aplicación]],14,6)</f>
        <v>22602</v>
      </c>
    </row>
    <row r="353" spans="1:24" x14ac:dyDescent="0.25">
      <c r="A353" s="45">
        <v>220210004229</v>
      </c>
      <c r="B353" s="46" t="s">
        <v>9</v>
      </c>
      <c r="C353" s="47">
        <v>44245</v>
      </c>
      <c r="D353" s="45">
        <v>22021002800</v>
      </c>
      <c r="E353" s="46" t="s">
        <v>1270</v>
      </c>
      <c r="F353" s="48">
        <v>7260</v>
      </c>
      <c r="G353" s="46" t="s">
        <v>315</v>
      </c>
      <c r="H353" s="46" t="s">
        <v>1271</v>
      </c>
      <c r="I353" s="45" t="s">
        <v>125</v>
      </c>
      <c r="J353" s="46" t="s">
        <v>127</v>
      </c>
      <c r="K353" s="46" t="s">
        <v>127</v>
      </c>
      <c r="L353" s="46" t="s">
        <v>12</v>
      </c>
      <c r="M353" s="46" t="s">
        <v>10</v>
      </c>
      <c r="N353" s="46" t="s">
        <v>11</v>
      </c>
      <c r="O353" s="49" t="s">
        <v>815</v>
      </c>
      <c r="P353" s="46" t="s">
        <v>507</v>
      </c>
      <c r="Q353" s="35" t="str">
        <f>MID(Tabla1[[#This Row],[Aplicación]],14,1)</f>
        <v>6</v>
      </c>
      <c r="R353" s="35" t="s">
        <v>496</v>
      </c>
      <c r="S353" s="35" t="str">
        <f>MID(Tabla1[[#This Row],[Aplicación]],6,2)</f>
        <v>11</v>
      </c>
      <c r="T353" s="35" t="str">
        <f>VLOOKUP(Tabla1[[#This Row],[AREA]],Hoja1!A:B,2,FALSE)</f>
        <v>11. Salud pública y seguridad ciudadana</v>
      </c>
      <c r="U353" s="35" t="str">
        <f>MID(Tabla1[[#This Row],[Aplicación]],9,4)</f>
        <v>1621</v>
      </c>
      <c r="V353" s="35" t="str">
        <f>VLOOKUP(Tabla1[[#This Row],[PROGRAMA]],Hoja1!A:B,2,FALSE)</f>
        <v>1621. Servicio de limpieza</v>
      </c>
      <c r="W353" s="35" t="str">
        <f>MID(Tabla1[[#This Row],[Aplicación]],14,2)</f>
        <v>63</v>
      </c>
      <c r="X353" s="35" t="str">
        <f>MID(Tabla1[[#This Row],[Aplicación]],14,6)</f>
        <v>634</v>
      </c>
    </row>
    <row r="354" spans="1:24" x14ac:dyDescent="0.25">
      <c r="A354" s="45">
        <v>220210006019</v>
      </c>
      <c r="B354" s="46" t="s">
        <v>9</v>
      </c>
      <c r="C354" s="47">
        <v>44251</v>
      </c>
      <c r="D354" s="45">
        <v>22021002977</v>
      </c>
      <c r="E354" s="46" t="s">
        <v>1167</v>
      </c>
      <c r="F354" s="48">
        <v>220.22</v>
      </c>
      <c r="G354" s="46" t="s">
        <v>315</v>
      </c>
      <c r="H354" s="46" t="s">
        <v>1272</v>
      </c>
      <c r="I354" s="45" t="s">
        <v>125</v>
      </c>
      <c r="J354" s="46" t="s">
        <v>127</v>
      </c>
      <c r="K354" s="46" t="s">
        <v>127</v>
      </c>
      <c r="L354" s="46" t="s">
        <v>12</v>
      </c>
      <c r="M354" s="46" t="s">
        <v>10</v>
      </c>
      <c r="N354" s="46" t="s">
        <v>11</v>
      </c>
      <c r="O354" s="49" t="s">
        <v>815</v>
      </c>
      <c r="P354" s="46" t="s">
        <v>507</v>
      </c>
      <c r="Q354" s="35" t="str">
        <f>MID(Tabla1[[#This Row],[Aplicación]],14,1)</f>
        <v>2</v>
      </c>
      <c r="R354" s="35" t="s">
        <v>495</v>
      </c>
      <c r="S354" s="35" t="str">
        <f>MID(Tabla1[[#This Row],[Aplicación]],6,2)</f>
        <v>11</v>
      </c>
      <c r="T354" s="35" t="str">
        <f>VLOOKUP(Tabla1[[#This Row],[AREA]],Hoja1!A:B,2,FALSE)</f>
        <v>11. Salud pública y seguridad ciudadana</v>
      </c>
      <c r="U354" s="35" t="str">
        <f>MID(Tabla1[[#This Row],[Aplicación]],9,4)</f>
        <v>1321</v>
      </c>
      <c r="V354" s="35" t="str">
        <f>VLOOKUP(Tabla1[[#This Row],[PROGRAMA]],Hoja1!A:B,2,FALSE)</f>
        <v>1321. Policía municipal</v>
      </c>
      <c r="W354" s="35" t="str">
        <f>MID(Tabla1[[#This Row],[Aplicación]],14,2)</f>
        <v>21</v>
      </c>
      <c r="X354" s="35" t="str">
        <f>MID(Tabla1[[#This Row],[Aplicación]],14,6)</f>
        <v>214</v>
      </c>
    </row>
    <row r="355" spans="1:24" x14ac:dyDescent="0.25">
      <c r="A355" s="45">
        <v>220209000148</v>
      </c>
      <c r="B355" s="46" t="s">
        <v>9</v>
      </c>
      <c r="C355" s="47">
        <v>44198</v>
      </c>
      <c r="D355" s="45">
        <v>22021000218</v>
      </c>
      <c r="E355" s="46" t="s">
        <v>881</v>
      </c>
      <c r="F355" s="48">
        <v>1800</v>
      </c>
      <c r="G355" s="46" t="s">
        <v>1273</v>
      </c>
      <c r="H355" s="46" t="s">
        <v>1255</v>
      </c>
      <c r="I355" s="45" t="s">
        <v>125</v>
      </c>
      <c r="J355" s="46" t="s">
        <v>127</v>
      </c>
      <c r="K355" s="46" t="s">
        <v>127</v>
      </c>
      <c r="L355" s="46" t="s">
        <v>12</v>
      </c>
      <c r="M355" s="46" t="s">
        <v>13</v>
      </c>
      <c r="N355" s="46" t="s">
        <v>14</v>
      </c>
      <c r="O355" s="49" t="s">
        <v>814</v>
      </c>
      <c r="P355" s="46" t="s">
        <v>507</v>
      </c>
      <c r="Q355" s="35" t="str">
        <f>MID(Tabla1[[#This Row],[Aplicación]],14,1)</f>
        <v>2</v>
      </c>
      <c r="R355" s="35" t="s">
        <v>495</v>
      </c>
      <c r="S355" s="35" t="str">
        <f>MID(Tabla1[[#This Row],[Aplicación]],6,2)</f>
        <v>05</v>
      </c>
      <c r="T355" s="35" t="str">
        <f>VLOOKUP(Tabla1[[#This Row],[AREA]],Hoja1!A:B,2,FALSE)</f>
        <v>05. Innovación, desarrollo económico, empleo y comercio</v>
      </c>
      <c r="U355" s="35" t="str">
        <f>MID(Tabla1[[#This Row],[Aplicación]],9,4)</f>
        <v>4331</v>
      </c>
      <c r="V355" s="35" t="str">
        <f>VLOOKUP(Tabla1[[#This Row],[PROGRAMA]],Hoja1!A:B,2,FALSE)</f>
        <v>4331. Desarrollo empresarial</v>
      </c>
      <c r="W355" s="35" t="str">
        <f>MID(Tabla1[[#This Row],[Aplicación]],14,2)</f>
        <v>22</v>
      </c>
      <c r="X355" s="35" t="str">
        <f>MID(Tabla1[[#This Row],[Aplicación]],14,6)</f>
        <v>22799</v>
      </c>
    </row>
    <row r="356" spans="1:24" x14ac:dyDescent="0.25">
      <c r="A356" s="45">
        <v>220210001351</v>
      </c>
      <c r="B356" s="46" t="s">
        <v>9</v>
      </c>
      <c r="C356" s="47">
        <v>44228</v>
      </c>
      <c r="D356" s="45">
        <v>22021000782</v>
      </c>
      <c r="E356" s="46" t="s">
        <v>1274</v>
      </c>
      <c r="F356" s="48">
        <v>2500</v>
      </c>
      <c r="G356" s="46" t="s">
        <v>310</v>
      </c>
      <c r="H356" s="46" t="s">
        <v>1275</v>
      </c>
      <c r="I356" s="45" t="s">
        <v>125</v>
      </c>
      <c r="J356" s="46" t="s">
        <v>127</v>
      </c>
      <c r="K356" s="46" t="s">
        <v>127</v>
      </c>
      <c r="L356" s="46" t="s">
        <v>12</v>
      </c>
      <c r="M356" s="46" t="s">
        <v>10</v>
      </c>
      <c r="N356" s="46" t="s">
        <v>11</v>
      </c>
      <c r="O356" s="49" t="s">
        <v>815</v>
      </c>
      <c r="P356" s="46" t="s">
        <v>507</v>
      </c>
      <c r="Q356" s="35" t="str">
        <f>MID(Tabla1[[#This Row],[Aplicación]],14,1)</f>
        <v>2</v>
      </c>
      <c r="R356" s="35" t="s">
        <v>495</v>
      </c>
      <c r="S356" s="35" t="str">
        <f>MID(Tabla1[[#This Row],[Aplicación]],6,2)</f>
        <v>11</v>
      </c>
      <c r="T356" s="35" t="str">
        <f>VLOOKUP(Tabla1[[#This Row],[AREA]],Hoja1!A:B,2,FALSE)</f>
        <v>11. Salud pública y seguridad ciudadana</v>
      </c>
      <c r="U356" s="35" t="str">
        <f>MID(Tabla1[[#This Row],[Aplicación]],9,4)</f>
        <v>1621</v>
      </c>
      <c r="V356" s="35" t="str">
        <f>VLOOKUP(Tabla1[[#This Row],[PROGRAMA]],Hoja1!A:B,2,FALSE)</f>
        <v>1621. Servicio de limpieza</v>
      </c>
      <c r="W356" s="35" t="str">
        <f>MID(Tabla1[[#This Row],[Aplicación]],14,2)</f>
        <v>20</v>
      </c>
      <c r="X356" s="35" t="str">
        <f>MID(Tabla1[[#This Row],[Aplicación]],14,6)</f>
        <v>204</v>
      </c>
    </row>
    <row r="357" spans="1:24" x14ac:dyDescent="0.25">
      <c r="A357" s="45">
        <v>220210002799</v>
      </c>
      <c r="B357" s="46" t="s">
        <v>32</v>
      </c>
      <c r="C357" s="47">
        <v>44237</v>
      </c>
      <c r="D357" s="45">
        <v>22021002366</v>
      </c>
      <c r="E357" s="46" t="s">
        <v>1263</v>
      </c>
      <c r="F357" s="48">
        <v>168.19</v>
      </c>
      <c r="G357" s="46" t="s">
        <v>43</v>
      </c>
      <c r="H357" s="46" t="s">
        <v>1276</v>
      </c>
      <c r="I357" s="45" t="s">
        <v>234</v>
      </c>
      <c r="J357" s="46" t="s">
        <v>127</v>
      </c>
      <c r="K357" s="46" t="s">
        <v>127</v>
      </c>
      <c r="L357" s="46" t="s">
        <v>12</v>
      </c>
      <c r="M357" s="46" t="s">
        <v>10</v>
      </c>
      <c r="N357" s="46" t="s">
        <v>11</v>
      </c>
      <c r="O357" s="49" t="s">
        <v>815</v>
      </c>
      <c r="P357" s="46" t="s">
        <v>507</v>
      </c>
      <c r="Q357" s="35" t="str">
        <f>MID(Tabla1[[#This Row],[Aplicación]],14,1)</f>
        <v>2</v>
      </c>
      <c r="R357" s="35" t="s">
        <v>495</v>
      </c>
      <c r="S357" s="35" t="str">
        <f>MID(Tabla1[[#This Row],[Aplicación]],6,2)</f>
        <v>02</v>
      </c>
      <c r="T357" s="35" t="str">
        <f>VLOOKUP(Tabla1[[#This Row],[AREA]],Hoja1!A:B,2,FALSE)</f>
        <v>02. Planeamiento urbanístico y vivienda</v>
      </c>
      <c r="U357" s="35" t="str">
        <f>MID(Tabla1[[#This Row],[Aplicación]],9,4)</f>
        <v>9332</v>
      </c>
      <c r="V357" s="35" t="str">
        <f>VLOOKUP(Tabla1[[#This Row],[PROGRAMA]],Hoja1!A:B,2,FALSE)</f>
        <v>9332. Mantenimiento de edificios e instalaciones municipales</v>
      </c>
      <c r="W357" s="35" t="str">
        <f>MID(Tabla1[[#This Row],[Aplicación]],14,2)</f>
        <v>21</v>
      </c>
      <c r="X357" s="35" t="str">
        <f>MID(Tabla1[[#This Row],[Aplicación]],14,6)</f>
        <v>213</v>
      </c>
    </row>
    <row r="358" spans="1:24" x14ac:dyDescent="0.25">
      <c r="A358" s="45">
        <v>220210002800</v>
      </c>
      <c r="B358" s="46" t="s">
        <v>32</v>
      </c>
      <c r="C358" s="47">
        <v>44237</v>
      </c>
      <c r="D358" s="45">
        <v>22021002367</v>
      </c>
      <c r="E358" s="46" t="s">
        <v>1263</v>
      </c>
      <c r="F358" s="48">
        <v>156.09</v>
      </c>
      <c r="G358" s="46" t="s">
        <v>43</v>
      </c>
      <c r="H358" s="46" t="s">
        <v>1277</v>
      </c>
      <c r="I358" s="45" t="s">
        <v>234</v>
      </c>
      <c r="J358" s="46" t="s">
        <v>127</v>
      </c>
      <c r="K358" s="46" t="s">
        <v>127</v>
      </c>
      <c r="L358" s="46" t="s">
        <v>12</v>
      </c>
      <c r="M358" s="46" t="s">
        <v>10</v>
      </c>
      <c r="N358" s="46" t="s">
        <v>11</v>
      </c>
      <c r="O358" s="49" t="s">
        <v>815</v>
      </c>
      <c r="P358" s="46" t="s">
        <v>507</v>
      </c>
      <c r="Q358" s="35" t="str">
        <f>MID(Tabla1[[#This Row],[Aplicación]],14,1)</f>
        <v>2</v>
      </c>
      <c r="R358" s="35" t="s">
        <v>495</v>
      </c>
      <c r="S358" s="35" t="str">
        <f>MID(Tabla1[[#This Row],[Aplicación]],6,2)</f>
        <v>02</v>
      </c>
      <c r="T358" s="35" t="str">
        <f>VLOOKUP(Tabla1[[#This Row],[AREA]],Hoja1!A:B,2,FALSE)</f>
        <v>02. Planeamiento urbanístico y vivienda</v>
      </c>
      <c r="U358" s="35" t="str">
        <f>MID(Tabla1[[#This Row],[Aplicación]],9,4)</f>
        <v>9332</v>
      </c>
      <c r="V358" s="35" t="str">
        <f>VLOOKUP(Tabla1[[#This Row],[PROGRAMA]],Hoja1!A:B,2,FALSE)</f>
        <v>9332. Mantenimiento de edificios e instalaciones municipales</v>
      </c>
      <c r="W358" s="35" t="str">
        <f>MID(Tabla1[[#This Row],[Aplicación]],14,2)</f>
        <v>21</v>
      </c>
      <c r="X358" s="35" t="str">
        <f>MID(Tabla1[[#This Row],[Aplicación]],14,6)</f>
        <v>213</v>
      </c>
    </row>
    <row r="359" spans="1:24" x14ac:dyDescent="0.25">
      <c r="A359" s="45">
        <v>220210002801</v>
      </c>
      <c r="B359" s="46" t="s">
        <v>32</v>
      </c>
      <c r="C359" s="47">
        <v>44237</v>
      </c>
      <c r="D359" s="45">
        <v>22021002368</v>
      </c>
      <c r="E359" s="46" t="s">
        <v>1263</v>
      </c>
      <c r="F359" s="48">
        <v>108.9</v>
      </c>
      <c r="G359" s="46" t="s">
        <v>43</v>
      </c>
      <c r="H359" s="46" t="s">
        <v>1278</v>
      </c>
      <c r="I359" s="45" t="s">
        <v>234</v>
      </c>
      <c r="J359" s="46" t="s">
        <v>127</v>
      </c>
      <c r="K359" s="46" t="s">
        <v>127</v>
      </c>
      <c r="L359" s="46" t="s">
        <v>12</v>
      </c>
      <c r="M359" s="46" t="s">
        <v>10</v>
      </c>
      <c r="N359" s="46" t="s">
        <v>11</v>
      </c>
      <c r="O359" s="49" t="s">
        <v>815</v>
      </c>
      <c r="P359" s="46" t="s">
        <v>507</v>
      </c>
      <c r="Q359" s="35" t="str">
        <f>MID(Tabla1[[#This Row],[Aplicación]],14,1)</f>
        <v>2</v>
      </c>
      <c r="R359" s="35" t="s">
        <v>495</v>
      </c>
      <c r="S359" s="35" t="str">
        <f>MID(Tabla1[[#This Row],[Aplicación]],6,2)</f>
        <v>02</v>
      </c>
      <c r="T359" s="35" t="str">
        <f>VLOOKUP(Tabla1[[#This Row],[AREA]],Hoja1!A:B,2,FALSE)</f>
        <v>02. Planeamiento urbanístico y vivienda</v>
      </c>
      <c r="U359" s="35" t="str">
        <f>MID(Tabla1[[#This Row],[Aplicación]],9,4)</f>
        <v>9332</v>
      </c>
      <c r="V359" s="35" t="str">
        <f>VLOOKUP(Tabla1[[#This Row],[PROGRAMA]],Hoja1!A:B,2,FALSE)</f>
        <v>9332. Mantenimiento de edificios e instalaciones municipales</v>
      </c>
      <c r="W359" s="35" t="str">
        <f>MID(Tabla1[[#This Row],[Aplicación]],14,2)</f>
        <v>21</v>
      </c>
      <c r="X359" s="35" t="str">
        <f>MID(Tabla1[[#This Row],[Aplicación]],14,6)</f>
        <v>213</v>
      </c>
    </row>
    <row r="360" spans="1:24" x14ac:dyDescent="0.25">
      <c r="A360" s="45">
        <v>220210000003</v>
      </c>
      <c r="B360" s="46" t="s">
        <v>32</v>
      </c>
      <c r="C360" s="47">
        <v>44215</v>
      </c>
      <c r="D360" s="45">
        <v>22021000441</v>
      </c>
      <c r="E360" s="46" t="s">
        <v>1279</v>
      </c>
      <c r="F360" s="48">
        <v>1628.45</v>
      </c>
      <c r="G360" s="46" t="s">
        <v>193</v>
      </c>
      <c r="H360" s="46" t="s">
        <v>1280</v>
      </c>
      <c r="I360" s="45" t="s">
        <v>234</v>
      </c>
      <c r="J360" s="46" t="s">
        <v>127</v>
      </c>
      <c r="K360" s="46" t="s">
        <v>127</v>
      </c>
      <c r="L360" s="46" t="s">
        <v>12</v>
      </c>
      <c r="M360" s="46" t="s">
        <v>13</v>
      </c>
      <c r="N360" s="46" t="s">
        <v>14</v>
      </c>
      <c r="O360" s="49" t="s">
        <v>803</v>
      </c>
      <c r="P360" s="46" t="s">
        <v>507</v>
      </c>
      <c r="Q360" s="35" t="str">
        <f>MID(Tabla1[[#This Row],[Aplicación]],14,1)</f>
        <v>2</v>
      </c>
      <c r="R360" s="35" t="s">
        <v>495</v>
      </c>
      <c r="S360" s="35" t="str">
        <f>MID(Tabla1[[#This Row],[Aplicación]],6,2)</f>
        <v>04</v>
      </c>
      <c r="T360" s="35" t="str">
        <f>VLOOKUP(Tabla1[[#This Row],[AREA]],Hoja1!A:B,2,FALSE)</f>
        <v>04. Planificación y recursos</v>
      </c>
      <c r="U360" s="35" t="str">
        <f>MID(Tabla1[[#This Row],[Aplicación]],9,4)</f>
        <v>9231</v>
      </c>
      <c r="V360" s="35" t="str">
        <f>VLOOKUP(Tabla1[[#This Row],[PROGRAMA]],Hoja1!A:B,2,FALSE)</f>
        <v>9231. Información, registro y gestión del padrón</v>
      </c>
      <c r="W360" s="35" t="str">
        <f>MID(Tabla1[[#This Row],[Aplicación]],14,2)</f>
        <v>22</v>
      </c>
      <c r="X360" s="35" t="str">
        <f>MID(Tabla1[[#This Row],[Aplicación]],14,6)</f>
        <v>22799</v>
      </c>
    </row>
    <row r="361" spans="1:24" x14ac:dyDescent="0.25">
      <c r="A361" s="45">
        <v>220210003644</v>
      </c>
      <c r="B361" s="46" t="s">
        <v>9</v>
      </c>
      <c r="C361" s="47">
        <v>44243</v>
      </c>
      <c r="D361" s="45">
        <v>22021002396</v>
      </c>
      <c r="E361" s="46" t="s">
        <v>1281</v>
      </c>
      <c r="F361" s="48">
        <v>5082</v>
      </c>
      <c r="G361" s="46" t="s">
        <v>1282</v>
      </c>
      <c r="H361" s="46" t="s">
        <v>1283</v>
      </c>
      <c r="I361" s="45" t="s">
        <v>216</v>
      </c>
      <c r="J361" s="46" t="s">
        <v>127</v>
      </c>
      <c r="K361" s="46" t="s">
        <v>127</v>
      </c>
      <c r="L361" s="46" t="s">
        <v>12</v>
      </c>
      <c r="M361" s="46" t="s">
        <v>13</v>
      </c>
      <c r="N361" s="46" t="s">
        <v>14</v>
      </c>
      <c r="O361" s="49" t="s">
        <v>803</v>
      </c>
      <c r="P361" s="46" t="s">
        <v>507</v>
      </c>
      <c r="Q361" s="35" t="str">
        <f>MID(Tabla1[[#This Row],[Aplicación]],14,1)</f>
        <v>2</v>
      </c>
      <c r="R361" s="35" t="s">
        <v>495</v>
      </c>
      <c r="S361" s="35" t="str">
        <f>MID(Tabla1[[#This Row],[Aplicación]],6,2)</f>
        <v>04</v>
      </c>
      <c r="T361" s="35" t="str">
        <f>VLOOKUP(Tabla1[[#This Row],[AREA]],Hoja1!A:B,2,FALSE)</f>
        <v>04. Planificación y recursos</v>
      </c>
      <c r="U361" s="35" t="str">
        <f>MID(Tabla1[[#This Row],[Aplicación]],9,4)</f>
        <v>9311</v>
      </c>
      <c r="V361" s="35" t="str">
        <f>VLOOKUP(Tabla1[[#This Row],[PROGRAMA]],Hoja1!A:B,2,FALSE)</f>
        <v>9311. Planificación económico financiera</v>
      </c>
      <c r="W361" s="35" t="str">
        <f>MID(Tabla1[[#This Row],[Aplicación]],14,2)</f>
        <v>22</v>
      </c>
      <c r="X361" s="35" t="str">
        <f>MID(Tabla1[[#This Row],[Aplicación]],14,6)</f>
        <v>22799</v>
      </c>
    </row>
    <row r="362" spans="1:24" x14ac:dyDescent="0.25">
      <c r="A362" s="45">
        <v>220210004513</v>
      </c>
      <c r="B362" s="46" t="s">
        <v>32</v>
      </c>
      <c r="C362" s="47">
        <v>44246</v>
      </c>
      <c r="D362" s="45">
        <v>22021002753</v>
      </c>
      <c r="E362" s="46" t="s">
        <v>881</v>
      </c>
      <c r="F362" s="48">
        <v>755.86</v>
      </c>
      <c r="G362" s="46" t="s">
        <v>193</v>
      </c>
      <c r="H362" s="46" t="s">
        <v>1284</v>
      </c>
      <c r="I362" s="45" t="s">
        <v>234</v>
      </c>
      <c r="J362" s="46" t="s">
        <v>127</v>
      </c>
      <c r="K362" s="46" t="s">
        <v>127</v>
      </c>
      <c r="L362" s="46" t="s">
        <v>12</v>
      </c>
      <c r="M362" s="46" t="s">
        <v>10</v>
      </c>
      <c r="N362" s="46" t="s">
        <v>11</v>
      </c>
      <c r="O362" s="49" t="s">
        <v>815</v>
      </c>
      <c r="P362" s="46" t="s">
        <v>507</v>
      </c>
      <c r="Q362" s="35" t="str">
        <f>MID(Tabla1[[#This Row],[Aplicación]],14,1)</f>
        <v>2</v>
      </c>
      <c r="R362" s="35" t="s">
        <v>495</v>
      </c>
      <c r="S362" s="35" t="str">
        <f>MID(Tabla1[[#This Row],[Aplicación]],6,2)</f>
        <v>05</v>
      </c>
      <c r="T362" s="35" t="str">
        <f>VLOOKUP(Tabla1[[#This Row],[AREA]],Hoja1!A:B,2,FALSE)</f>
        <v>05. Innovación, desarrollo económico, empleo y comercio</v>
      </c>
      <c r="U362" s="35" t="str">
        <f>MID(Tabla1[[#This Row],[Aplicación]],9,4)</f>
        <v>4331</v>
      </c>
      <c r="V362" s="35" t="str">
        <f>VLOOKUP(Tabla1[[#This Row],[PROGRAMA]],Hoja1!A:B,2,FALSE)</f>
        <v>4331. Desarrollo empresarial</v>
      </c>
      <c r="W362" s="35" t="str">
        <f>MID(Tabla1[[#This Row],[Aplicación]],14,2)</f>
        <v>22</v>
      </c>
      <c r="X362" s="35" t="str">
        <f>MID(Tabla1[[#This Row],[Aplicación]],14,6)</f>
        <v>22799</v>
      </c>
    </row>
    <row r="363" spans="1:24" x14ac:dyDescent="0.25">
      <c r="A363" s="45">
        <v>220209000279</v>
      </c>
      <c r="B363" s="46" t="s">
        <v>9</v>
      </c>
      <c r="C363" s="47">
        <v>44198</v>
      </c>
      <c r="D363" s="45">
        <v>22021000256</v>
      </c>
      <c r="E363" s="46" t="s">
        <v>1251</v>
      </c>
      <c r="F363" s="48">
        <v>1674.83</v>
      </c>
      <c r="G363" s="46" t="s">
        <v>193</v>
      </c>
      <c r="H363" s="46" t="s">
        <v>1285</v>
      </c>
      <c r="I363" s="45" t="s">
        <v>125</v>
      </c>
      <c r="J363" s="46" t="s">
        <v>127</v>
      </c>
      <c r="K363" s="46" t="s">
        <v>127</v>
      </c>
      <c r="L363" s="46" t="s">
        <v>12</v>
      </c>
      <c r="M363" s="46" t="s">
        <v>13</v>
      </c>
      <c r="N363" s="46" t="s">
        <v>14</v>
      </c>
      <c r="O363" s="49" t="s">
        <v>803</v>
      </c>
      <c r="P363" s="46" t="s">
        <v>507</v>
      </c>
      <c r="Q363" s="35" t="str">
        <f>MID(Tabla1[[#This Row],[Aplicación]],14,1)</f>
        <v>2</v>
      </c>
      <c r="R363" s="35" t="s">
        <v>495</v>
      </c>
      <c r="S363" s="35" t="str">
        <f>MID(Tabla1[[#This Row],[Aplicación]],6,2)</f>
        <v>09</v>
      </c>
      <c r="T363" s="35" t="str">
        <f>VLOOKUP(Tabla1[[#This Row],[AREA]],Hoja1!A:B,2,FALSE)</f>
        <v>09. Cultura y turismo</v>
      </c>
      <c r="U363" s="35" t="str">
        <f>MID(Tabla1[[#This Row],[Aplicación]],9,4)</f>
        <v>3301</v>
      </c>
      <c r="V363" s="35" t="str">
        <f>VLOOKUP(Tabla1[[#This Row],[PROGRAMA]],Hoja1!A:B,2,FALSE)</f>
        <v>3301. Dirección del área de cultura</v>
      </c>
      <c r="W363" s="35" t="str">
        <f>MID(Tabla1[[#This Row],[Aplicación]],14,2)</f>
        <v>22</v>
      </c>
      <c r="X363" s="35" t="str">
        <f>MID(Tabla1[[#This Row],[Aplicación]],14,6)</f>
        <v>22799</v>
      </c>
    </row>
    <row r="364" spans="1:24" x14ac:dyDescent="0.25">
      <c r="A364" s="45">
        <v>220199000245</v>
      </c>
      <c r="B364" s="46" t="s">
        <v>9</v>
      </c>
      <c r="C364" s="47">
        <v>44198</v>
      </c>
      <c r="D364" s="45">
        <v>22021000697</v>
      </c>
      <c r="E364" s="46" t="s">
        <v>1286</v>
      </c>
      <c r="F364" s="48">
        <v>29407.11</v>
      </c>
      <c r="G364" s="46" t="s">
        <v>227</v>
      </c>
      <c r="H364" s="46" t="s">
        <v>530</v>
      </c>
      <c r="I364" s="45" t="s">
        <v>125</v>
      </c>
      <c r="J364" s="46" t="s">
        <v>669</v>
      </c>
      <c r="K364" s="46" t="s">
        <v>136</v>
      </c>
      <c r="L364" s="46" t="s">
        <v>12</v>
      </c>
      <c r="M364" s="46" t="s">
        <v>25</v>
      </c>
      <c r="N364" s="46" t="s">
        <v>11</v>
      </c>
      <c r="O364" s="49" t="s">
        <v>805</v>
      </c>
      <c r="P364" s="46" t="s">
        <v>507</v>
      </c>
      <c r="Q364" s="35" t="str">
        <f>MID(Tabla1[[#This Row],[Aplicación]],14,1)</f>
        <v>6</v>
      </c>
      <c r="R364" s="35" t="s">
        <v>496</v>
      </c>
      <c r="S364" s="35" t="str">
        <f>MID(Tabla1[[#This Row],[Aplicación]],6,2)</f>
        <v>04</v>
      </c>
      <c r="T364" s="35" t="str">
        <f>VLOOKUP(Tabla1[[#This Row],[AREA]],Hoja1!A:B,2,FALSE)</f>
        <v>04. Planificación y recursos</v>
      </c>
      <c r="U364" s="35" t="str">
        <f>MID(Tabla1[[#This Row],[Aplicación]],9,4)</f>
        <v>9204</v>
      </c>
      <c r="V364" s="35" t="str">
        <f>VLOOKUP(Tabla1[[#This Row],[PROGRAMA]],Hoja1!A:B,2,FALSE)</f>
        <v>9204. Tecnologías de la información y comunicación</v>
      </c>
      <c r="W364" s="35" t="str">
        <f>MID(Tabla1[[#This Row],[Aplicación]],14,2)</f>
        <v>64</v>
      </c>
      <c r="X364" s="35" t="str">
        <f>MID(Tabla1[[#This Row],[Aplicación]],14,6)</f>
        <v>641</v>
      </c>
    </row>
    <row r="365" spans="1:24" x14ac:dyDescent="0.25">
      <c r="A365" s="45">
        <v>220209000280</v>
      </c>
      <c r="B365" s="46" t="s">
        <v>9</v>
      </c>
      <c r="C365" s="47">
        <v>44198</v>
      </c>
      <c r="D365" s="45">
        <v>22021000257</v>
      </c>
      <c r="E365" s="46" t="s">
        <v>881</v>
      </c>
      <c r="F365" s="48">
        <v>7385.2</v>
      </c>
      <c r="G365" s="46" t="s">
        <v>193</v>
      </c>
      <c r="H365" s="46" t="s">
        <v>1287</v>
      </c>
      <c r="I365" s="45" t="s">
        <v>125</v>
      </c>
      <c r="J365" s="46" t="s">
        <v>127</v>
      </c>
      <c r="K365" s="46" t="s">
        <v>127</v>
      </c>
      <c r="L365" s="46" t="s">
        <v>12</v>
      </c>
      <c r="M365" s="46" t="s">
        <v>13</v>
      </c>
      <c r="N365" s="46" t="s">
        <v>14</v>
      </c>
      <c r="O365" s="49" t="s">
        <v>803</v>
      </c>
      <c r="P365" s="46" t="s">
        <v>507</v>
      </c>
      <c r="Q365" s="35" t="str">
        <f>MID(Tabla1[[#This Row],[Aplicación]],14,1)</f>
        <v>2</v>
      </c>
      <c r="R365" s="35" t="s">
        <v>495</v>
      </c>
      <c r="S365" s="35" t="str">
        <f>MID(Tabla1[[#This Row],[Aplicación]],6,2)</f>
        <v>05</v>
      </c>
      <c r="T365" s="35" t="str">
        <f>VLOOKUP(Tabla1[[#This Row],[AREA]],Hoja1!A:B,2,FALSE)</f>
        <v>05. Innovación, desarrollo económico, empleo y comercio</v>
      </c>
      <c r="U365" s="35" t="str">
        <f>MID(Tabla1[[#This Row],[Aplicación]],9,4)</f>
        <v>4331</v>
      </c>
      <c r="V365" s="35" t="str">
        <f>VLOOKUP(Tabla1[[#This Row],[PROGRAMA]],Hoja1!A:B,2,FALSE)</f>
        <v>4331. Desarrollo empresarial</v>
      </c>
      <c r="W365" s="35" t="str">
        <f>MID(Tabla1[[#This Row],[Aplicación]],14,2)</f>
        <v>22</v>
      </c>
      <c r="X365" s="35" t="str">
        <f>MID(Tabla1[[#This Row],[Aplicación]],14,6)</f>
        <v>22799</v>
      </c>
    </row>
    <row r="366" spans="1:24" x14ac:dyDescent="0.25">
      <c r="A366" s="45">
        <v>220199000877</v>
      </c>
      <c r="B366" s="46" t="s">
        <v>9</v>
      </c>
      <c r="C366" s="47">
        <v>44198</v>
      </c>
      <c r="D366" s="45">
        <v>22021000708</v>
      </c>
      <c r="E366" s="46" t="s">
        <v>1286</v>
      </c>
      <c r="F366" s="48">
        <v>2113</v>
      </c>
      <c r="G366" s="46" t="s">
        <v>227</v>
      </c>
      <c r="H366" s="46" t="s">
        <v>589</v>
      </c>
      <c r="I366" s="45" t="s">
        <v>125</v>
      </c>
      <c r="J366" s="46" t="s">
        <v>669</v>
      </c>
      <c r="K366" s="46" t="s">
        <v>136</v>
      </c>
      <c r="L366" s="46" t="s">
        <v>12</v>
      </c>
      <c r="M366" s="46" t="s">
        <v>25</v>
      </c>
      <c r="N366" s="46" t="s">
        <v>11</v>
      </c>
      <c r="O366" s="49" t="s">
        <v>805</v>
      </c>
      <c r="P366" s="46" t="s">
        <v>507</v>
      </c>
      <c r="Q366" s="35" t="str">
        <f>MID(Tabla1[[#This Row],[Aplicación]],14,1)</f>
        <v>6</v>
      </c>
      <c r="R366" s="35" t="s">
        <v>496</v>
      </c>
      <c r="S366" s="35" t="str">
        <f>MID(Tabla1[[#This Row],[Aplicación]],6,2)</f>
        <v>04</v>
      </c>
      <c r="T366" s="35" t="str">
        <f>VLOOKUP(Tabla1[[#This Row],[AREA]],Hoja1!A:B,2,FALSE)</f>
        <v>04. Planificación y recursos</v>
      </c>
      <c r="U366" s="35" t="str">
        <f>MID(Tabla1[[#This Row],[Aplicación]],9,4)</f>
        <v>9204</v>
      </c>
      <c r="V366" s="35" t="str">
        <f>VLOOKUP(Tabla1[[#This Row],[PROGRAMA]],Hoja1!A:B,2,FALSE)</f>
        <v>9204. Tecnologías de la información y comunicación</v>
      </c>
      <c r="W366" s="35" t="str">
        <f>MID(Tabla1[[#This Row],[Aplicación]],14,2)</f>
        <v>64</v>
      </c>
      <c r="X366" s="35" t="str">
        <f>MID(Tabla1[[#This Row],[Aplicación]],14,6)</f>
        <v>641</v>
      </c>
    </row>
    <row r="367" spans="1:24" x14ac:dyDescent="0.25">
      <c r="A367" s="45">
        <v>220210005452</v>
      </c>
      <c r="B367" s="46" t="s">
        <v>9</v>
      </c>
      <c r="C367" s="47">
        <v>44250</v>
      </c>
      <c r="D367" s="45">
        <v>22021002193</v>
      </c>
      <c r="E367" s="46" t="s">
        <v>1288</v>
      </c>
      <c r="F367" s="48">
        <v>17000</v>
      </c>
      <c r="G367" s="46" t="s">
        <v>1289</v>
      </c>
      <c r="H367" s="46" t="s">
        <v>1290</v>
      </c>
      <c r="I367" s="45" t="s">
        <v>125</v>
      </c>
      <c r="J367" s="46" t="s">
        <v>127</v>
      </c>
      <c r="K367" s="46" t="s">
        <v>127</v>
      </c>
      <c r="L367" s="46" t="s">
        <v>15</v>
      </c>
      <c r="M367" s="46" t="s">
        <v>10</v>
      </c>
      <c r="N367" s="46" t="s">
        <v>11</v>
      </c>
      <c r="O367" s="49" t="s">
        <v>815</v>
      </c>
      <c r="P367" s="46" t="s">
        <v>507</v>
      </c>
      <c r="Q367" s="35" t="str">
        <f>MID(Tabla1[[#This Row],[Aplicación]],14,1)</f>
        <v>2</v>
      </c>
      <c r="R367" s="35" t="s">
        <v>495</v>
      </c>
      <c r="S367" s="35" t="str">
        <f>MID(Tabla1[[#This Row],[Aplicación]],6,2)</f>
        <v>04</v>
      </c>
      <c r="T367" s="35" t="str">
        <f>VLOOKUP(Tabla1[[#This Row],[AREA]],Hoja1!A:B,2,FALSE)</f>
        <v>04. Planificación y recursos</v>
      </c>
      <c r="U367" s="35" t="str">
        <f>MID(Tabla1[[#This Row],[Aplicación]],9,4)</f>
        <v>3121</v>
      </c>
      <c r="V367" s="35" t="str">
        <f>VLOOKUP(Tabla1[[#This Row],[PROGRAMA]],Hoja1!A:B,2,FALSE)</f>
        <v>3121. Prevención y salud laboral</v>
      </c>
      <c r="W367" s="35" t="str">
        <f>MID(Tabla1[[#This Row],[Aplicación]],14,2)</f>
        <v>22</v>
      </c>
      <c r="X367" s="35" t="str">
        <f>MID(Tabla1[[#This Row],[Aplicación]],14,6)</f>
        <v>22106</v>
      </c>
    </row>
    <row r="368" spans="1:24" x14ac:dyDescent="0.25">
      <c r="A368" s="45">
        <v>220210004230</v>
      </c>
      <c r="B368" s="46" t="s">
        <v>9</v>
      </c>
      <c r="C368" s="47">
        <v>44245</v>
      </c>
      <c r="D368" s="45">
        <v>22021002801</v>
      </c>
      <c r="E368" s="46" t="s">
        <v>1270</v>
      </c>
      <c r="F368" s="48">
        <v>7260</v>
      </c>
      <c r="G368" s="46" t="s">
        <v>317</v>
      </c>
      <c r="H368" s="46" t="s">
        <v>1291</v>
      </c>
      <c r="I368" s="45" t="s">
        <v>125</v>
      </c>
      <c r="J368" s="46" t="s">
        <v>127</v>
      </c>
      <c r="K368" s="46" t="s">
        <v>127</v>
      </c>
      <c r="L368" s="46" t="s">
        <v>12</v>
      </c>
      <c r="M368" s="46" t="s">
        <v>10</v>
      </c>
      <c r="N368" s="46" t="s">
        <v>11</v>
      </c>
      <c r="O368" s="49" t="s">
        <v>815</v>
      </c>
      <c r="P368" s="46" t="s">
        <v>507</v>
      </c>
      <c r="Q368" s="35" t="str">
        <f>MID(Tabla1[[#This Row],[Aplicación]],14,1)</f>
        <v>6</v>
      </c>
      <c r="R368" s="35" t="s">
        <v>496</v>
      </c>
      <c r="S368" s="35" t="str">
        <f>MID(Tabla1[[#This Row],[Aplicación]],6,2)</f>
        <v>11</v>
      </c>
      <c r="T368" s="35" t="str">
        <f>VLOOKUP(Tabla1[[#This Row],[AREA]],Hoja1!A:B,2,FALSE)</f>
        <v>11. Salud pública y seguridad ciudadana</v>
      </c>
      <c r="U368" s="35" t="str">
        <f>MID(Tabla1[[#This Row],[Aplicación]],9,4)</f>
        <v>1621</v>
      </c>
      <c r="V368" s="35" t="str">
        <f>VLOOKUP(Tabla1[[#This Row],[PROGRAMA]],Hoja1!A:B,2,FALSE)</f>
        <v>1621. Servicio de limpieza</v>
      </c>
      <c r="W368" s="35" t="str">
        <f>MID(Tabla1[[#This Row],[Aplicación]],14,2)</f>
        <v>63</v>
      </c>
      <c r="X368" s="35" t="str">
        <f>MID(Tabla1[[#This Row],[Aplicación]],14,6)</f>
        <v>634</v>
      </c>
    </row>
    <row r="369" spans="1:24" x14ac:dyDescent="0.25">
      <c r="A369" s="45">
        <v>220210002418</v>
      </c>
      <c r="B369" s="46" t="s">
        <v>9</v>
      </c>
      <c r="C369" s="47">
        <v>44235</v>
      </c>
      <c r="D369" s="45">
        <v>22021002195</v>
      </c>
      <c r="E369" s="46" t="s">
        <v>1163</v>
      </c>
      <c r="F369" s="48">
        <v>4112.18</v>
      </c>
      <c r="G369" s="46" t="s">
        <v>89</v>
      </c>
      <c r="H369" s="46" t="s">
        <v>1292</v>
      </c>
      <c r="I369" s="45" t="s">
        <v>125</v>
      </c>
      <c r="J369" s="46" t="s">
        <v>126</v>
      </c>
      <c r="K369" s="46" t="s">
        <v>126</v>
      </c>
      <c r="L369" s="46" t="s">
        <v>15</v>
      </c>
      <c r="M369" s="46" t="s">
        <v>10</v>
      </c>
      <c r="N369" s="46" t="s">
        <v>11</v>
      </c>
      <c r="O369" s="49" t="s">
        <v>815</v>
      </c>
      <c r="P369" s="46" t="s">
        <v>507</v>
      </c>
      <c r="Q369" s="35" t="str">
        <f>MID(Tabla1[[#This Row],[Aplicación]],14,1)</f>
        <v>2</v>
      </c>
      <c r="R369" s="35" t="s">
        <v>495</v>
      </c>
      <c r="S369" s="35" t="str">
        <f>MID(Tabla1[[#This Row],[Aplicación]],6,2)</f>
        <v>06</v>
      </c>
      <c r="T369" s="35" t="str">
        <f>VLOOKUP(Tabla1[[#This Row],[AREA]],Hoja1!A:B,2,FALSE)</f>
        <v>06. Educación, infancia, juventud e igualdad</v>
      </c>
      <c r="U369" s="35" t="str">
        <f>MID(Tabla1[[#This Row],[Aplicación]],9,4)</f>
        <v>3321</v>
      </c>
      <c r="V369" s="35" t="str">
        <f>VLOOKUP(Tabla1[[#This Row],[PROGRAMA]],Hoja1!A:B,2,FALSE)</f>
        <v>3321. Bibliotecas públicas</v>
      </c>
      <c r="W369" s="35" t="str">
        <f>MID(Tabla1[[#This Row],[Aplicación]],14,2)</f>
        <v>22</v>
      </c>
      <c r="X369" s="35" t="str">
        <f>MID(Tabla1[[#This Row],[Aplicación]],14,6)</f>
        <v>22001</v>
      </c>
    </row>
    <row r="370" spans="1:24" x14ac:dyDescent="0.25">
      <c r="A370" s="45">
        <v>220210004000</v>
      </c>
      <c r="B370" s="46" t="s">
        <v>9</v>
      </c>
      <c r="C370" s="47">
        <v>44244</v>
      </c>
      <c r="D370" s="45">
        <v>22021002730</v>
      </c>
      <c r="E370" s="46" t="s">
        <v>1293</v>
      </c>
      <c r="F370" s="48">
        <v>171.82</v>
      </c>
      <c r="G370" s="46" t="s">
        <v>298</v>
      </c>
      <c r="H370" s="46" t="s">
        <v>1294</v>
      </c>
      <c r="I370" s="45" t="s">
        <v>125</v>
      </c>
      <c r="J370" s="46" t="s">
        <v>127</v>
      </c>
      <c r="K370" s="46" t="s">
        <v>127</v>
      </c>
      <c r="L370" s="46" t="s">
        <v>12</v>
      </c>
      <c r="M370" s="46" t="s">
        <v>10</v>
      </c>
      <c r="N370" s="46" t="s">
        <v>11</v>
      </c>
      <c r="O370" s="49" t="s">
        <v>815</v>
      </c>
      <c r="P370" s="46" t="s">
        <v>507</v>
      </c>
      <c r="Q370" s="35" t="str">
        <f>MID(Tabla1[[#This Row],[Aplicación]],14,1)</f>
        <v>2</v>
      </c>
      <c r="R370" s="35" t="s">
        <v>495</v>
      </c>
      <c r="S370" s="35" t="str">
        <f>MID(Tabla1[[#This Row],[Aplicación]],6,2)</f>
        <v>06</v>
      </c>
      <c r="T370" s="35" t="str">
        <f>VLOOKUP(Tabla1[[#This Row],[AREA]],Hoja1!A:B,2,FALSE)</f>
        <v>06. Educación, infancia, juventud e igualdad</v>
      </c>
      <c r="U370" s="35" t="str">
        <f>MID(Tabla1[[#This Row],[Aplicación]],9,4)</f>
        <v>2314</v>
      </c>
      <c r="V370" s="35" t="str">
        <f>VLOOKUP(Tabla1[[#This Row],[PROGRAMA]],Hoja1!A:B,2,FALSE)</f>
        <v>2314. Centro de programas juveniles</v>
      </c>
      <c r="W370" s="35" t="str">
        <f>MID(Tabla1[[#This Row],[Aplicación]],14,2)</f>
        <v>22</v>
      </c>
      <c r="X370" s="35" t="str">
        <f>MID(Tabla1[[#This Row],[Aplicación]],14,6)</f>
        <v>22699</v>
      </c>
    </row>
    <row r="371" spans="1:24" x14ac:dyDescent="0.25">
      <c r="A371" s="45">
        <v>220210002428</v>
      </c>
      <c r="B371" s="46" t="s">
        <v>9</v>
      </c>
      <c r="C371" s="47">
        <v>44235</v>
      </c>
      <c r="D371" s="45">
        <v>22021002278</v>
      </c>
      <c r="E371" s="46" t="s">
        <v>950</v>
      </c>
      <c r="F371" s="48">
        <v>2500</v>
      </c>
      <c r="G371" s="46" t="s">
        <v>312</v>
      </c>
      <c r="H371" s="46" t="s">
        <v>1295</v>
      </c>
      <c r="I371" s="45" t="s">
        <v>125</v>
      </c>
      <c r="J371" s="46" t="s">
        <v>127</v>
      </c>
      <c r="K371" s="46" t="s">
        <v>127</v>
      </c>
      <c r="L371" s="46" t="s">
        <v>12</v>
      </c>
      <c r="M371" s="46" t="s">
        <v>10</v>
      </c>
      <c r="N371" s="46" t="s">
        <v>11</v>
      </c>
      <c r="O371" s="49" t="s">
        <v>815</v>
      </c>
      <c r="P371" s="46" t="s">
        <v>507</v>
      </c>
      <c r="Q371" s="35" t="str">
        <f>MID(Tabla1[[#This Row],[Aplicación]],14,1)</f>
        <v>2</v>
      </c>
      <c r="R371" s="35" t="s">
        <v>495</v>
      </c>
      <c r="S371" s="35" t="str">
        <f>MID(Tabla1[[#This Row],[Aplicación]],6,2)</f>
        <v>11</v>
      </c>
      <c r="T371" s="35" t="str">
        <f>VLOOKUP(Tabla1[[#This Row],[AREA]],Hoja1!A:B,2,FALSE)</f>
        <v>11. Salud pública y seguridad ciudadana</v>
      </c>
      <c r="U371" s="35" t="str">
        <f>MID(Tabla1[[#This Row],[Aplicación]],9,4)</f>
        <v>1321</v>
      </c>
      <c r="V371" s="35" t="str">
        <f>VLOOKUP(Tabla1[[#This Row],[PROGRAMA]],Hoja1!A:B,2,FALSE)</f>
        <v>1321. Policía municipal</v>
      </c>
      <c r="W371" s="35" t="str">
        <f>MID(Tabla1[[#This Row],[Aplicación]],14,2)</f>
        <v>21</v>
      </c>
      <c r="X371" s="35" t="str">
        <f>MID(Tabla1[[#This Row],[Aplicación]],14,6)</f>
        <v>213</v>
      </c>
    </row>
    <row r="372" spans="1:24" x14ac:dyDescent="0.25">
      <c r="A372" s="45">
        <v>220210006038</v>
      </c>
      <c r="B372" s="46" t="s">
        <v>9</v>
      </c>
      <c r="C372" s="47">
        <v>44251</v>
      </c>
      <c r="D372" s="45">
        <v>22021002871</v>
      </c>
      <c r="E372" s="46" t="s">
        <v>950</v>
      </c>
      <c r="F372" s="48">
        <v>2468.4</v>
      </c>
      <c r="G372" s="46" t="s">
        <v>312</v>
      </c>
      <c r="H372" s="46" t="s">
        <v>1296</v>
      </c>
      <c r="I372" s="45" t="s">
        <v>125</v>
      </c>
      <c r="J372" s="46" t="s">
        <v>127</v>
      </c>
      <c r="K372" s="46" t="s">
        <v>127</v>
      </c>
      <c r="L372" s="46" t="s">
        <v>12</v>
      </c>
      <c r="M372" s="46" t="s">
        <v>10</v>
      </c>
      <c r="N372" s="46" t="s">
        <v>11</v>
      </c>
      <c r="O372" s="49" t="s">
        <v>815</v>
      </c>
      <c r="P372" s="46" t="s">
        <v>507</v>
      </c>
      <c r="Q372" s="35" t="str">
        <f>MID(Tabla1[[#This Row],[Aplicación]],14,1)</f>
        <v>2</v>
      </c>
      <c r="R372" s="35" t="s">
        <v>495</v>
      </c>
      <c r="S372" s="35" t="str">
        <f>MID(Tabla1[[#This Row],[Aplicación]],6,2)</f>
        <v>11</v>
      </c>
      <c r="T372" s="35" t="str">
        <f>VLOOKUP(Tabla1[[#This Row],[AREA]],Hoja1!A:B,2,FALSE)</f>
        <v>11. Salud pública y seguridad ciudadana</v>
      </c>
      <c r="U372" s="35" t="str">
        <f>MID(Tabla1[[#This Row],[Aplicación]],9,4)</f>
        <v>1321</v>
      </c>
      <c r="V372" s="35" t="str">
        <f>VLOOKUP(Tabla1[[#This Row],[PROGRAMA]],Hoja1!A:B,2,FALSE)</f>
        <v>1321. Policía municipal</v>
      </c>
      <c r="W372" s="35" t="str">
        <f>MID(Tabla1[[#This Row],[Aplicación]],14,2)</f>
        <v>21</v>
      </c>
      <c r="X372" s="35" t="str">
        <f>MID(Tabla1[[#This Row],[Aplicación]],14,6)</f>
        <v>213</v>
      </c>
    </row>
    <row r="373" spans="1:24" x14ac:dyDescent="0.25">
      <c r="A373" s="45">
        <v>220210002871</v>
      </c>
      <c r="B373" s="46" t="s">
        <v>9</v>
      </c>
      <c r="C373" s="47">
        <v>44238</v>
      </c>
      <c r="D373" s="45">
        <v>22021002577</v>
      </c>
      <c r="E373" s="46" t="s">
        <v>1180</v>
      </c>
      <c r="F373" s="48">
        <v>4840</v>
      </c>
      <c r="G373" s="46" t="s">
        <v>1297</v>
      </c>
      <c r="H373" s="46" t="s">
        <v>1298</v>
      </c>
      <c r="I373" s="45" t="s">
        <v>125</v>
      </c>
      <c r="J373" s="46" t="s">
        <v>146</v>
      </c>
      <c r="K373" s="46" t="s">
        <v>146</v>
      </c>
      <c r="L373" s="46" t="s">
        <v>15</v>
      </c>
      <c r="M373" s="46" t="s">
        <v>10</v>
      </c>
      <c r="N373" s="46" t="s">
        <v>11</v>
      </c>
      <c r="O373" s="49" t="s">
        <v>815</v>
      </c>
      <c r="P373" s="46" t="s">
        <v>507</v>
      </c>
      <c r="Q373" s="35" t="str">
        <f>MID(Tabla1[[#This Row],[Aplicación]],14,1)</f>
        <v>2</v>
      </c>
      <c r="R373" s="35" t="s">
        <v>495</v>
      </c>
      <c r="S373" s="35" t="str">
        <f>MID(Tabla1[[#This Row],[Aplicación]],6,2)</f>
        <v>08</v>
      </c>
      <c r="T373" s="35" t="str">
        <f>VLOOKUP(Tabla1[[#This Row],[AREA]],Hoja1!A:B,2,FALSE)</f>
        <v>08. Movilidad y espacio urbano</v>
      </c>
      <c r="U373" s="35" t="str">
        <f>MID(Tabla1[[#This Row],[Aplicación]],9,4)</f>
        <v>1532</v>
      </c>
      <c r="V373" s="35" t="str">
        <f>VLOOKUP(Tabla1[[#This Row],[PROGRAMA]],Hoja1!A:B,2,FALSE)</f>
        <v>1532. Pavimentación vias públicas y otros servicios urbanísticos</v>
      </c>
      <c r="W373" s="35" t="str">
        <f>MID(Tabla1[[#This Row],[Aplicación]],14,2)</f>
        <v>21</v>
      </c>
      <c r="X373" s="35" t="str">
        <f>MID(Tabla1[[#This Row],[Aplicación]],14,6)</f>
        <v>210</v>
      </c>
    </row>
    <row r="374" spans="1:24" x14ac:dyDescent="0.25">
      <c r="A374" s="45">
        <v>220210000503</v>
      </c>
      <c r="B374" s="46" t="s">
        <v>9</v>
      </c>
      <c r="C374" s="47">
        <v>44221</v>
      </c>
      <c r="D374" s="45">
        <v>22021001676</v>
      </c>
      <c r="E374" s="46" t="s">
        <v>1267</v>
      </c>
      <c r="F374" s="48">
        <v>907.5</v>
      </c>
      <c r="G374" s="46" t="s">
        <v>307</v>
      </c>
      <c r="H374" s="46" t="s">
        <v>1299</v>
      </c>
      <c r="I374" s="45" t="s">
        <v>125</v>
      </c>
      <c r="J374" s="46" t="s">
        <v>127</v>
      </c>
      <c r="K374" s="46" t="s">
        <v>127</v>
      </c>
      <c r="L374" s="46" t="s">
        <v>12</v>
      </c>
      <c r="M374" s="46" t="s">
        <v>10</v>
      </c>
      <c r="N374" s="46" t="s">
        <v>11</v>
      </c>
      <c r="O374" s="49" t="s">
        <v>815</v>
      </c>
      <c r="P374" s="46" t="s">
        <v>507</v>
      </c>
      <c r="Q374" s="35" t="str">
        <f>MID(Tabla1[[#This Row],[Aplicación]],14,1)</f>
        <v>2</v>
      </c>
      <c r="R374" s="35" t="s">
        <v>495</v>
      </c>
      <c r="S374" s="35" t="str">
        <f>MID(Tabla1[[#This Row],[Aplicación]],6,2)</f>
        <v>03</v>
      </c>
      <c r="T374" s="35" t="str">
        <f>VLOOKUP(Tabla1[[#This Row],[AREA]],Hoja1!A:B,2,FALSE)</f>
        <v>03. Participación ciudadana y deportes</v>
      </c>
      <c r="U374" s="35" t="str">
        <f>MID(Tabla1[[#This Row],[Aplicación]],9,4)</f>
        <v>9241</v>
      </c>
      <c r="V374" s="35" t="str">
        <f>VLOOKUP(Tabla1[[#This Row],[PROGRAMA]],Hoja1!A:B,2,FALSE)</f>
        <v>9241. Participación ciudadana</v>
      </c>
      <c r="W374" s="35" t="str">
        <f>MID(Tabla1[[#This Row],[Aplicación]],14,2)</f>
        <v>22</v>
      </c>
      <c r="X374" s="35" t="str">
        <f>MID(Tabla1[[#This Row],[Aplicación]],14,6)</f>
        <v>22602</v>
      </c>
    </row>
    <row r="375" spans="1:24" x14ac:dyDescent="0.25">
      <c r="A375" s="45">
        <v>220209000758</v>
      </c>
      <c r="B375" s="46" t="s">
        <v>9</v>
      </c>
      <c r="C375" s="47">
        <v>44198</v>
      </c>
      <c r="D375" s="45">
        <v>22021000483</v>
      </c>
      <c r="E375" s="46" t="s">
        <v>1300</v>
      </c>
      <c r="F375" s="48">
        <v>41903.46</v>
      </c>
      <c r="G375" s="46" t="s">
        <v>576</v>
      </c>
      <c r="H375" s="46" t="s">
        <v>1301</v>
      </c>
      <c r="I375" s="45" t="s">
        <v>125</v>
      </c>
      <c r="J375" s="46" t="s">
        <v>623</v>
      </c>
      <c r="K375" s="46" t="s">
        <v>201</v>
      </c>
      <c r="L375" s="46" t="s">
        <v>12</v>
      </c>
      <c r="M375" s="46" t="s">
        <v>13</v>
      </c>
      <c r="N375" s="46" t="s">
        <v>14</v>
      </c>
      <c r="O375" s="49" t="s">
        <v>803</v>
      </c>
      <c r="P375" s="46" t="s">
        <v>507</v>
      </c>
      <c r="Q375" s="35" t="str">
        <f>MID(Tabla1[[#This Row],[Aplicación]],14,1)</f>
        <v>2</v>
      </c>
      <c r="R375" s="35" t="s">
        <v>495</v>
      </c>
      <c r="S375" s="35" t="str">
        <f>MID(Tabla1[[#This Row],[Aplicación]],6,2)</f>
        <v>04</v>
      </c>
      <c r="T375" s="35" t="str">
        <f>VLOOKUP(Tabla1[[#This Row],[AREA]],Hoja1!A:B,2,FALSE)</f>
        <v>04. Planificación y recursos</v>
      </c>
      <c r="U375" s="35" t="str">
        <f>MID(Tabla1[[#This Row],[Aplicación]],9,4)</f>
        <v>9331</v>
      </c>
      <c r="V375" s="35" t="str">
        <f>VLOOKUP(Tabla1[[#This Row],[PROGRAMA]],Hoja1!A:B,2,FALSE)</f>
        <v>9331. Gestión del patrimonio</v>
      </c>
      <c r="W375" s="35" t="str">
        <f>MID(Tabla1[[#This Row],[Aplicación]],14,2)</f>
        <v>22</v>
      </c>
      <c r="X375" s="35" t="str">
        <f>MID(Tabla1[[#This Row],[Aplicación]],14,6)</f>
        <v>224</v>
      </c>
    </row>
    <row r="376" spans="1:24" x14ac:dyDescent="0.25">
      <c r="A376" s="45">
        <v>220209000759</v>
      </c>
      <c r="B376" s="46" t="s">
        <v>9</v>
      </c>
      <c r="C376" s="47">
        <v>44198</v>
      </c>
      <c r="D376" s="45">
        <v>22021000484</v>
      </c>
      <c r="E376" s="46" t="s">
        <v>1300</v>
      </c>
      <c r="F376" s="48">
        <v>170526.49</v>
      </c>
      <c r="G376" s="46" t="s">
        <v>576</v>
      </c>
      <c r="H376" s="46" t="s">
        <v>1302</v>
      </c>
      <c r="I376" s="45" t="s">
        <v>125</v>
      </c>
      <c r="J376" s="46" t="s">
        <v>623</v>
      </c>
      <c r="K376" s="46" t="s">
        <v>201</v>
      </c>
      <c r="L376" s="46" t="s">
        <v>12</v>
      </c>
      <c r="M376" s="46" t="s">
        <v>13</v>
      </c>
      <c r="N376" s="46" t="s">
        <v>14</v>
      </c>
      <c r="O376" s="49" t="s">
        <v>803</v>
      </c>
      <c r="P376" s="46" t="s">
        <v>507</v>
      </c>
      <c r="Q376" s="35" t="str">
        <f>MID(Tabla1[[#This Row],[Aplicación]],14,1)</f>
        <v>2</v>
      </c>
      <c r="R376" s="35" t="s">
        <v>495</v>
      </c>
      <c r="S376" s="35" t="str">
        <f>MID(Tabla1[[#This Row],[Aplicación]],6,2)</f>
        <v>04</v>
      </c>
      <c r="T376" s="35" t="str">
        <f>VLOOKUP(Tabla1[[#This Row],[AREA]],Hoja1!A:B,2,FALSE)</f>
        <v>04. Planificación y recursos</v>
      </c>
      <c r="U376" s="35" t="str">
        <f>MID(Tabla1[[#This Row],[Aplicación]],9,4)</f>
        <v>9331</v>
      </c>
      <c r="V376" s="35" t="str">
        <f>VLOOKUP(Tabla1[[#This Row],[PROGRAMA]],Hoja1!A:B,2,FALSE)</f>
        <v>9331. Gestión del patrimonio</v>
      </c>
      <c r="W376" s="35" t="str">
        <f>MID(Tabla1[[#This Row],[Aplicación]],14,2)</f>
        <v>22</v>
      </c>
      <c r="X376" s="35" t="str">
        <f>MID(Tabla1[[#This Row],[Aplicación]],14,6)</f>
        <v>224</v>
      </c>
    </row>
    <row r="377" spans="1:24" x14ac:dyDescent="0.25">
      <c r="A377" s="45">
        <v>220209000281</v>
      </c>
      <c r="B377" s="46" t="s">
        <v>9</v>
      </c>
      <c r="C377" s="47">
        <v>44198</v>
      </c>
      <c r="D377" s="45">
        <v>22021000258</v>
      </c>
      <c r="E377" s="46" t="s">
        <v>1279</v>
      </c>
      <c r="F377" s="48">
        <v>15910.84</v>
      </c>
      <c r="G377" s="46" t="s">
        <v>193</v>
      </c>
      <c r="H377" s="46" t="s">
        <v>1303</v>
      </c>
      <c r="I377" s="45" t="s">
        <v>125</v>
      </c>
      <c r="J377" s="46" t="s">
        <v>127</v>
      </c>
      <c r="K377" s="46" t="s">
        <v>127</v>
      </c>
      <c r="L377" s="46" t="s">
        <v>12</v>
      </c>
      <c r="M377" s="46" t="s">
        <v>13</v>
      </c>
      <c r="N377" s="46" t="s">
        <v>14</v>
      </c>
      <c r="O377" s="49" t="s">
        <v>803</v>
      </c>
      <c r="P377" s="46" t="s">
        <v>507</v>
      </c>
      <c r="Q377" s="35" t="str">
        <f>MID(Tabla1[[#This Row],[Aplicación]],14,1)</f>
        <v>2</v>
      </c>
      <c r="R377" s="35" t="s">
        <v>495</v>
      </c>
      <c r="S377" s="35" t="str">
        <f>MID(Tabla1[[#This Row],[Aplicación]],6,2)</f>
        <v>04</v>
      </c>
      <c r="T377" s="35" t="str">
        <f>VLOOKUP(Tabla1[[#This Row],[AREA]],Hoja1!A:B,2,FALSE)</f>
        <v>04. Planificación y recursos</v>
      </c>
      <c r="U377" s="35" t="str">
        <f>MID(Tabla1[[#This Row],[Aplicación]],9,4)</f>
        <v>9231</v>
      </c>
      <c r="V377" s="35" t="str">
        <f>VLOOKUP(Tabla1[[#This Row],[PROGRAMA]],Hoja1!A:B,2,FALSE)</f>
        <v>9231. Información, registro y gestión del padrón</v>
      </c>
      <c r="W377" s="35" t="str">
        <f>MID(Tabla1[[#This Row],[Aplicación]],14,2)</f>
        <v>22</v>
      </c>
      <c r="X377" s="35" t="str">
        <f>MID(Tabla1[[#This Row],[Aplicación]],14,6)</f>
        <v>22799</v>
      </c>
    </row>
    <row r="378" spans="1:24" x14ac:dyDescent="0.25">
      <c r="A378" s="45">
        <v>220210003994</v>
      </c>
      <c r="B378" s="46" t="s">
        <v>9</v>
      </c>
      <c r="C378" s="47">
        <v>44244</v>
      </c>
      <c r="D378" s="45">
        <v>22021002567</v>
      </c>
      <c r="E378" s="46" t="s">
        <v>1304</v>
      </c>
      <c r="F378" s="48">
        <v>2012.21</v>
      </c>
      <c r="G378" s="46" t="s">
        <v>767</v>
      </c>
      <c r="H378" s="46" t="s">
        <v>1305</v>
      </c>
      <c r="I378" s="45" t="s">
        <v>125</v>
      </c>
      <c r="J378" s="46" t="s">
        <v>760</v>
      </c>
      <c r="K378" s="46" t="s">
        <v>127</v>
      </c>
      <c r="L378" s="46" t="s">
        <v>12</v>
      </c>
      <c r="M378" s="46" t="s">
        <v>10</v>
      </c>
      <c r="N378" s="46" t="s">
        <v>11</v>
      </c>
      <c r="O378" s="49" t="s">
        <v>815</v>
      </c>
      <c r="P378" s="46" t="s">
        <v>507</v>
      </c>
      <c r="Q378" s="35" t="str">
        <f>MID(Tabla1[[#This Row],[Aplicación]],14,1)</f>
        <v>2</v>
      </c>
      <c r="R378" s="35" t="s">
        <v>495</v>
      </c>
      <c r="S378" s="35" t="str">
        <f>MID(Tabla1[[#This Row],[Aplicación]],6,2)</f>
        <v>07</v>
      </c>
      <c r="T378" s="35" t="str">
        <f>VLOOKUP(Tabla1[[#This Row],[AREA]],Hoja1!A:B,2,FALSE)</f>
        <v>07. Medio ambiente y desarrollo sostenible</v>
      </c>
      <c r="U378" s="35" t="str">
        <f>MID(Tabla1[[#This Row],[Aplicación]],9,4)</f>
        <v>1721</v>
      </c>
      <c r="V378" s="35" t="str">
        <f>VLOOKUP(Tabla1[[#This Row],[PROGRAMA]],Hoja1!A:B,2,FALSE)</f>
        <v>1721. Protección del medio ambiente</v>
      </c>
      <c r="W378" s="35" t="str">
        <f>MID(Tabla1[[#This Row],[Aplicación]],14,2)</f>
        <v>22</v>
      </c>
      <c r="X378" s="35" t="str">
        <f>MID(Tabla1[[#This Row],[Aplicación]],14,6)</f>
        <v>22799</v>
      </c>
    </row>
    <row r="379" spans="1:24" x14ac:dyDescent="0.25">
      <c r="A379" s="45">
        <v>220209000797</v>
      </c>
      <c r="B379" s="46" t="s">
        <v>9</v>
      </c>
      <c r="C379" s="47">
        <v>44198</v>
      </c>
      <c r="D379" s="45">
        <v>22021000512</v>
      </c>
      <c r="E379" s="46" t="s">
        <v>982</v>
      </c>
      <c r="F379" s="48">
        <v>3902.25</v>
      </c>
      <c r="G379" s="46" t="s">
        <v>1306</v>
      </c>
      <c r="H379" s="46" t="s">
        <v>1307</v>
      </c>
      <c r="I379" s="45" t="s">
        <v>125</v>
      </c>
      <c r="J379" s="46" t="s">
        <v>686</v>
      </c>
      <c r="K379" s="46" t="s">
        <v>127</v>
      </c>
      <c r="L379" s="46" t="s">
        <v>12</v>
      </c>
      <c r="M379" s="46" t="s">
        <v>10</v>
      </c>
      <c r="N379" s="46" t="s">
        <v>11</v>
      </c>
      <c r="O379" s="49" t="s">
        <v>815</v>
      </c>
      <c r="P379" s="46" t="s">
        <v>507</v>
      </c>
      <c r="Q379" s="35" t="str">
        <f>MID(Tabla1[[#This Row],[Aplicación]],14,1)</f>
        <v>2</v>
      </c>
      <c r="R379" s="35" t="s">
        <v>495</v>
      </c>
      <c r="S379" s="35" t="str">
        <f>MID(Tabla1[[#This Row],[Aplicación]],6,2)</f>
        <v>10</v>
      </c>
      <c r="T379" s="35" t="str">
        <f>VLOOKUP(Tabla1[[#This Row],[AREA]],Hoja1!A:B,2,FALSE)</f>
        <v>10. Servicios sociales y mediación comunitaria</v>
      </c>
      <c r="U379" s="35" t="str">
        <f>MID(Tabla1[[#This Row],[Aplicación]],9,4)</f>
        <v>2312</v>
      </c>
      <c r="V379" s="35" t="str">
        <f>VLOOKUP(Tabla1[[#This Row],[PROGRAMA]],Hoja1!A:B,2,FALSE)</f>
        <v>2312. Iniciativas sociales</v>
      </c>
      <c r="W379" s="35" t="str">
        <f>MID(Tabla1[[#This Row],[Aplicación]],14,2)</f>
        <v>21</v>
      </c>
      <c r="X379" s="35" t="str">
        <f>MID(Tabla1[[#This Row],[Aplicación]],14,6)</f>
        <v>213</v>
      </c>
    </row>
    <row r="380" spans="1:24" x14ac:dyDescent="0.25">
      <c r="A380" s="45">
        <v>220209000798</v>
      </c>
      <c r="B380" s="46" t="s">
        <v>9</v>
      </c>
      <c r="C380" s="47">
        <v>44198</v>
      </c>
      <c r="D380" s="45">
        <v>22021000513</v>
      </c>
      <c r="E380" s="46" t="s">
        <v>982</v>
      </c>
      <c r="F380" s="48">
        <v>1542.75</v>
      </c>
      <c r="G380" s="46" t="s">
        <v>1306</v>
      </c>
      <c r="H380" s="46" t="s">
        <v>1308</v>
      </c>
      <c r="I380" s="45" t="s">
        <v>125</v>
      </c>
      <c r="J380" s="46" t="s">
        <v>686</v>
      </c>
      <c r="K380" s="46" t="s">
        <v>127</v>
      </c>
      <c r="L380" s="46" t="s">
        <v>12</v>
      </c>
      <c r="M380" s="46" t="s">
        <v>10</v>
      </c>
      <c r="N380" s="46" t="s">
        <v>11</v>
      </c>
      <c r="O380" s="49" t="s">
        <v>815</v>
      </c>
      <c r="P380" s="46" t="s">
        <v>507</v>
      </c>
      <c r="Q380" s="35" t="str">
        <f>MID(Tabla1[[#This Row],[Aplicación]],14,1)</f>
        <v>2</v>
      </c>
      <c r="R380" s="35" t="s">
        <v>495</v>
      </c>
      <c r="S380" s="35" t="str">
        <f>MID(Tabla1[[#This Row],[Aplicación]],6,2)</f>
        <v>10</v>
      </c>
      <c r="T380" s="35" t="str">
        <f>VLOOKUP(Tabla1[[#This Row],[AREA]],Hoja1!A:B,2,FALSE)</f>
        <v>10. Servicios sociales y mediación comunitaria</v>
      </c>
      <c r="U380" s="35" t="str">
        <f>MID(Tabla1[[#This Row],[Aplicación]],9,4)</f>
        <v>2312</v>
      </c>
      <c r="V380" s="35" t="str">
        <f>VLOOKUP(Tabla1[[#This Row],[PROGRAMA]],Hoja1!A:B,2,FALSE)</f>
        <v>2312. Iniciativas sociales</v>
      </c>
      <c r="W380" s="35" t="str">
        <f>MID(Tabla1[[#This Row],[Aplicación]],14,2)</f>
        <v>21</v>
      </c>
      <c r="X380" s="35" t="str">
        <f>MID(Tabla1[[#This Row],[Aplicación]],14,6)</f>
        <v>213</v>
      </c>
    </row>
    <row r="381" spans="1:24" x14ac:dyDescent="0.25">
      <c r="A381" s="45">
        <v>220210002378</v>
      </c>
      <c r="B381" s="46" t="s">
        <v>9</v>
      </c>
      <c r="C381" s="47">
        <v>44235</v>
      </c>
      <c r="D381" s="45">
        <v>22021002273</v>
      </c>
      <c r="E381" s="46" t="s">
        <v>895</v>
      </c>
      <c r="F381" s="48">
        <v>2420</v>
      </c>
      <c r="G381" s="46" t="s">
        <v>301</v>
      </c>
      <c r="H381" s="46" t="s">
        <v>1309</v>
      </c>
      <c r="I381" s="45" t="s">
        <v>125</v>
      </c>
      <c r="J381" s="46" t="s">
        <v>127</v>
      </c>
      <c r="K381" s="46" t="s">
        <v>127</v>
      </c>
      <c r="L381" s="46" t="s">
        <v>15</v>
      </c>
      <c r="M381" s="46" t="s">
        <v>10</v>
      </c>
      <c r="N381" s="46" t="s">
        <v>11</v>
      </c>
      <c r="O381" s="49" t="s">
        <v>815</v>
      </c>
      <c r="P381" s="46" t="s">
        <v>507</v>
      </c>
      <c r="Q381" s="35" t="str">
        <f>MID(Tabla1[[#This Row],[Aplicación]],14,1)</f>
        <v>2</v>
      </c>
      <c r="R381" s="35" t="s">
        <v>495</v>
      </c>
      <c r="S381" s="35" t="str">
        <f>MID(Tabla1[[#This Row],[Aplicación]],6,2)</f>
        <v>08</v>
      </c>
      <c r="T381" s="35" t="str">
        <f>VLOOKUP(Tabla1[[#This Row],[AREA]],Hoja1!A:B,2,FALSE)</f>
        <v>08. Movilidad y espacio urbano</v>
      </c>
      <c r="U381" s="35" t="str">
        <f>MID(Tabla1[[#This Row],[Aplicación]],9,4)</f>
        <v>1532</v>
      </c>
      <c r="V381" s="35" t="str">
        <f>VLOOKUP(Tabla1[[#This Row],[PROGRAMA]],Hoja1!A:B,2,FALSE)</f>
        <v>1532. Pavimentación vias públicas y otros servicios urbanísticos</v>
      </c>
      <c r="W381" s="35" t="str">
        <f>MID(Tabla1[[#This Row],[Aplicación]],14,2)</f>
        <v>22</v>
      </c>
      <c r="X381" s="35" t="str">
        <f>MID(Tabla1[[#This Row],[Aplicación]],14,6)</f>
        <v>22199</v>
      </c>
    </row>
    <row r="382" spans="1:24" x14ac:dyDescent="0.25">
      <c r="A382" s="45">
        <v>220210002405</v>
      </c>
      <c r="B382" s="46" t="s">
        <v>9</v>
      </c>
      <c r="C382" s="47">
        <v>44235</v>
      </c>
      <c r="D382" s="45">
        <v>22021002302</v>
      </c>
      <c r="E382" s="46" t="s">
        <v>1310</v>
      </c>
      <c r="F382" s="48">
        <v>198.2</v>
      </c>
      <c r="G382" s="46" t="s">
        <v>1311</v>
      </c>
      <c r="H382" s="46" t="s">
        <v>1312</v>
      </c>
      <c r="I382" s="45" t="s">
        <v>125</v>
      </c>
      <c r="J382" s="46" t="s">
        <v>127</v>
      </c>
      <c r="K382" s="46" t="s">
        <v>127</v>
      </c>
      <c r="L382" s="46" t="s">
        <v>15</v>
      </c>
      <c r="M382" s="46" t="s">
        <v>10</v>
      </c>
      <c r="N382" s="46" t="s">
        <v>11</v>
      </c>
      <c r="O382" s="49" t="s">
        <v>815</v>
      </c>
      <c r="P382" s="46" t="s">
        <v>507</v>
      </c>
      <c r="Q382" s="35" t="str">
        <f>MID(Tabla1[[#This Row],[Aplicación]],14,1)</f>
        <v>2</v>
      </c>
      <c r="R382" s="35" t="s">
        <v>495</v>
      </c>
      <c r="S382" s="35" t="str">
        <f>MID(Tabla1[[#This Row],[Aplicación]],6,2)</f>
        <v>11</v>
      </c>
      <c r="T382" s="35" t="str">
        <f>VLOOKUP(Tabla1[[#This Row],[AREA]],Hoja1!A:B,2,FALSE)</f>
        <v>11. Salud pública y seguridad ciudadana</v>
      </c>
      <c r="U382" s="35" t="str">
        <f>MID(Tabla1[[#This Row],[Aplicación]],9,4)</f>
        <v>3111</v>
      </c>
      <c r="V382" s="35" t="str">
        <f>VLOOKUP(Tabla1[[#This Row],[PROGRAMA]],Hoja1!A:B,2,FALSE)</f>
        <v>3111. Protección de la salubridad pública</v>
      </c>
      <c r="W382" s="35" t="str">
        <f>MID(Tabla1[[#This Row],[Aplicación]],14,2)</f>
        <v>22</v>
      </c>
      <c r="X382" s="35" t="str">
        <f>MID(Tabla1[[#This Row],[Aplicación]],14,6)</f>
        <v>22199</v>
      </c>
    </row>
    <row r="383" spans="1:24" x14ac:dyDescent="0.25">
      <c r="A383" s="45">
        <v>220210001032</v>
      </c>
      <c r="B383" s="46" t="s">
        <v>9</v>
      </c>
      <c r="C383" s="47">
        <v>44223</v>
      </c>
      <c r="D383" s="45">
        <v>22021000007</v>
      </c>
      <c r="E383" s="46" t="s">
        <v>871</v>
      </c>
      <c r="F383" s="48">
        <v>2158.64</v>
      </c>
      <c r="G383" s="46" t="s">
        <v>193</v>
      </c>
      <c r="H383" s="46" t="s">
        <v>1313</v>
      </c>
      <c r="I383" s="45" t="s">
        <v>125</v>
      </c>
      <c r="J383" s="46" t="s">
        <v>127</v>
      </c>
      <c r="K383" s="46" t="s">
        <v>127</v>
      </c>
      <c r="L383" s="46" t="s">
        <v>12</v>
      </c>
      <c r="M383" s="46" t="s">
        <v>13</v>
      </c>
      <c r="N383" s="46" t="s">
        <v>11</v>
      </c>
      <c r="O383" s="49" t="s">
        <v>803</v>
      </c>
      <c r="P383" s="46" t="s">
        <v>507</v>
      </c>
      <c r="Q383" s="35" t="str">
        <f>MID(Tabla1[[#This Row],[Aplicación]],14,1)</f>
        <v>2</v>
      </c>
      <c r="R383" s="35" t="s">
        <v>495</v>
      </c>
      <c r="S383" s="35" t="str">
        <f>MID(Tabla1[[#This Row],[Aplicación]],6,2)</f>
        <v>09</v>
      </c>
      <c r="T383" s="35" t="str">
        <f>VLOOKUP(Tabla1[[#This Row],[AREA]],Hoja1!A:B,2,FALSE)</f>
        <v>09. Cultura y turismo</v>
      </c>
      <c r="U383" s="35" t="str">
        <f>MID(Tabla1[[#This Row],[Aplicación]],9,4)</f>
        <v>3301</v>
      </c>
      <c r="V383" s="35" t="str">
        <f>VLOOKUP(Tabla1[[#This Row],[PROGRAMA]],Hoja1!A:B,2,FALSE)</f>
        <v>3301. Dirección del área de cultura</v>
      </c>
      <c r="W383" s="35" t="str">
        <f>MID(Tabla1[[#This Row],[Aplicación]],14,2)</f>
        <v>22</v>
      </c>
      <c r="X383" s="35" t="str">
        <f>MID(Tabla1[[#This Row],[Aplicación]],14,6)</f>
        <v>22706</v>
      </c>
    </row>
    <row r="384" spans="1:24" x14ac:dyDescent="0.25">
      <c r="A384" s="45">
        <v>220210009048</v>
      </c>
      <c r="B384" s="46" t="s">
        <v>9</v>
      </c>
      <c r="C384" s="47">
        <v>44267</v>
      </c>
      <c r="D384" s="45">
        <v>22021003426</v>
      </c>
      <c r="E384" s="46" t="s">
        <v>1314</v>
      </c>
      <c r="F384" s="48">
        <v>502.45</v>
      </c>
      <c r="G384" s="46" t="s">
        <v>102</v>
      </c>
      <c r="H384" s="46" t="s">
        <v>1315</v>
      </c>
      <c r="I384" s="45" t="s">
        <v>125</v>
      </c>
      <c r="J384" s="46" t="s">
        <v>127</v>
      </c>
      <c r="K384" s="46" t="s">
        <v>127</v>
      </c>
      <c r="L384" s="46" t="s">
        <v>15</v>
      </c>
      <c r="M384" s="46" t="s">
        <v>10</v>
      </c>
      <c r="N384" s="46" t="s">
        <v>11</v>
      </c>
      <c r="O384" s="49" t="s">
        <v>815</v>
      </c>
      <c r="P384" s="46" t="s">
        <v>507</v>
      </c>
      <c r="Q384" s="35" t="str">
        <f>MID(Tabla1[[#This Row],[Aplicación]],14,1)</f>
        <v>2</v>
      </c>
      <c r="R384" s="35" t="s">
        <v>495</v>
      </c>
      <c r="S384" s="35" t="str">
        <f>MID(Tabla1[[#This Row],[Aplicación]],6,2)</f>
        <v>01</v>
      </c>
      <c r="T384" s="35" t="str">
        <f>VLOOKUP(Tabla1[[#This Row],[AREA]],Hoja1!A:B,2,FALSE)</f>
        <v>01. Alcaldía</v>
      </c>
      <c r="U384" s="35" t="str">
        <f>MID(Tabla1[[#This Row],[Aplicación]],9,4)</f>
        <v>9206</v>
      </c>
      <c r="V384" s="35" t="str">
        <f>VLOOKUP(Tabla1[[#This Row],[PROGRAMA]],Hoja1!A:B,2,FALSE)</f>
        <v>9206. Archivo municipal</v>
      </c>
      <c r="W384" s="35" t="str">
        <f>MID(Tabla1[[#This Row],[Aplicación]],14,2)</f>
        <v>22</v>
      </c>
      <c r="X384" s="35" t="str">
        <f>MID(Tabla1[[#This Row],[Aplicación]],14,6)</f>
        <v>22199</v>
      </c>
    </row>
    <row r="385" spans="1:24" x14ac:dyDescent="0.25">
      <c r="A385" s="45">
        <v>220210010239</v>
      </c>
      <c r="B385" s="46" t="s">
        <v>9</v>
      </c>
      <c r="C385" s="47">
        <v>44273</v>
      </c>
      <c r="D385" s="45">
        <v>22021003294</v>
      </c>
      <c r="E385" s="46" t="s">
        <v>969</v>
      </c>
      <c r="F385" s="48">
        <v>15.97</v>
      </c>
      <c r="G385" s="46" t="s">
        <v>102</v>
      </c>
      <c r="H385" s="46" t="s">
        <v>1316</v>
      </c>
      <c r="I385" s="45" t="s">
        <v>125</v>
      </c>
      <c r="J385" s="46" t="s">
        <v>127</v>
      </c>
      <c r="K385" s="46" t="s">
        <v>127</v>
      </c>
      <c r="L385" s="46" t="s">
        <v>12</v>
      </c>
      <c r="M385" s="46" t="s">
        <v>10</v>
      </c>
      <c r="N385" s="46" t="s">
        <v>11</v>
      </c>
      <c r="O385" s="49" t="s">
        <v>815</v>
      </c>
      <c r="P385" s="46" t="s">
        <v>507</v>
      </c>
      <c r="Q385" s="35" t="str">
        <f>MID(Tabla1[[#This Row],[Aplicación]],14,1)</f>
        <v>2</v>
      </c>
      <c r="R385" s="35" t="s">
        <v>495</v>
      </c>
      <c r="S385" s="35" t="str">
        <f>MID(Tabla1[[#This Row],[Aplicación]],6,2)</f>
        <v>06</v>
      </c>
      <c r="T385" s="35" t="str">
        <f>VLOOKUP(Tabla1[[#This Row],[AREA]],Hoja1!A:B,2,FALSE)</f>
        <v>06. Educación, infancia, juventud e igualdad</v>
      </c>
      <c r="U385" s="35" t="str">
        <f>MID(Tabla1[[#This Row],[Aplicación]],9,4)</f>
        <v>2315</v>
      </c>
      <c r="V385" s="35" t="str">
        <f>VLOOKUP(Tabla1[[#This Row],[PROGRAMA]],Hoja1!A:B,2,FALSE)</f>
        <v>2315. Políticas de Igualdad e infancia</v>
      </c>
      <c r="W385" s="35" t="str">
        <f>MID(Tabla1[[#This Row],[Aplicación]],14,2)</f>
        <v>21</v>
      </c>
      <c r="X385" s="35" t="str">
        <f>MID(Tabla1[[#This Row],[Aplicación]],14,6)</f>
        <v>213</v>
      </c>
    </row>
    <row r="386" spans="1:24" x14ac:dyDescent="0.25">
      <c r="A386" s="45">
        <v>220210002995</v>
      </c>
      <c r="B386" s="46" t="s">
        <v>204</v>
      </c>
      <c r="C386" s="47">
        <v>44238</v>
      </c>
      <c r="D386" s="45">
        <v>22021002089</v>
      </c>
      <c r="E386" s="46" t="s">
        <v>1220</v>
      </c>
      <c r="F386" s="48">
        <v>426.5</v>
      </c>
      <c r="G386" s="46" t="s">
        <v>102</v>
      </c>
      <c r="H386" s="46" t="s">
        <v>1317</v>
      </c>
      <c r="I386" s="45" t="s">
        <v>205</v>
      </c>
      <c r="J386" s="46" t="s">
        <v>127</v>
      </c>
      <c r="K386" s="46" t="s">
        <v>127</v>
      </c>
      <c r="L386" s="46" t="s">
        <v>15</v>
      </c>
      <c r="M386" s="46" t="s">
        <v>13</v>
      </c>
      <c r="N386" s="46" t="s">
        <v>14</v>
      </c>
      <c r="O386" s="49" t="s">
        <v>814</v>
      </c>
      <c r="P386" s="46" t="s">
        <v>507</v>
      </c>
      <c r="Q386" s="35" t="str">
        <f>MID(Tabla1[[#This Row],[Aplicación]],14,1)</f>
        <v>2</v>
      </c>
      <c r="R386" s="35" t="s">
        <v>495</v>
      </c>
      <c r="S386" s="35" t="str">
        <f>MID(Tabla1[[#This Row],[Aplicación]],6,2)</f>
        <v>03</v>
      </c>
      <c r="T386" s="35" t="str">
        <f>VLOOKUP(Tabla1[[#This Row],[AREA]],Hoja1!A:B,2,FALSE)</f>
        <v>03. Participación ciudadana y deportes</v>
      </c>
      <c r="U386" s="35" t="str">
        <f>MID(Tabla1[[#This Row],[Aplicación]],9,4)</f>
        <v>9241</v>
      </c>
      <c r="V386" s="35" t="str">
        <f>VLOOKUP(Tabla1[[#This Row],[PROGRAMA]],Hoja1!A:B,2,FALSE)</f>
        <v>9241. Participación ciudadana</v>
      </c>
      <c r="W386" s="35" t="str">
        <f>MID(Tabla1[[#This Row],[Aplicación]],14,2)</f>
        <v>21</v>
      </c>
      <c r="X386" s="35" t="str">
        <f>MID(Tabla1[[#This Row],[Aplicación]],14,6)</f>
        <v>213</v>
      </c>
    </row>
    <row r="387" spans="1:24" x14ac:dyDescent="0.25">
      <c r="A387" s="45">
        <v>220210002997</v>
      </c>
      <c r="B387" s="46" t="s">
        <v>204</v>
      </c>
      <c r="C387" s="47">
        <v>44238</v>
      </c>
      <c r="D387" s="45">
        <v>22021002089</v>
      </c>
      <c r="E387" s="46" t="s">
        <v>1220</v>
      </c>
      <c r="F387" s="48">
        <v>9.08</v>
      </c>
      <c r="G387" s="46" t="s">
        <v>102</v>
      </c>
      <c r="H387" s="46" t="s">
        <v>1318</v>
      </c>
      <c r="I387" s="45" t="s">
        <v>205</v>
      </c>
      <c r="J387" s="46" t="s">
        <v>127</v>
      </c>
      <c r="K387" s="46" t="s">
        <v>127</v>
      </c>
      <c r="L387" s="46" t="s">
        <v>15</v>
      </c>
      <c r="M387" s="46" t="s">
        <v>13</v>
      </c>
      <c r="N387" s="46" t="s">
        <v>14</v>
      </c>
      <c r="O387" s="49" t="s">
        <v>814</v>
      </c>
      <c r="P387" s="46" t="s">
        <v>507</v>
      </c>
      <c r="Q387" s="35" t="str">
        <f>MID(Tabla1[[#This Row],[Aplicación]],14,1)</f>
        <v>2</v>
      </c>
      <c r="R387" s="35" t="s">
        <v>495</v>
      </c>
      <c r="S387" s="35" t="str">
        <f>MID(Tabla1[[#This Row],[Aplicación]],6,2)</f>
        <v>03</v>
      </c>
      <c r="T387" s="35" t="str">
        <f>VLOOKUP(Tabla1[[#This Row],[AREA]],Hoja1!A:B,2,FALSE)</f>
        <v>03. Participación ciudadana y deportes</v>
      </c>
      <c r="U387" s="35" t="str">
        <f>MID(Tabla1[[#This Row],[Aplicación]],9,4)</f>
        <v>9241</v>
      </c>
      <c r="V387" s="35" t="str">
        <f>VLOOKUP(Tabla1[[#This Row],[PROGRAMA]],Hoja1!A:B,2,FALSE)</f>
        <v>9241. Participación ciudadana</v>
      </c>
      <c r="W387" s="35" t="str">
        <f>MID(Tabla1[[#This Row],[Aplicación]],14,2)</f>
        <v>21</v>
      </c>
      <c r="X387" s="35" t="str">
        <f>MID(Tabla1[[#This Row],[Aplicación]],14,6)</f>
        <v>213</v>
      </c>
    </row>
    <row r="388" spans="1:24" x14ac:dyDescent="0.25">
      <c r="A388" s="45">
        <v>220210003198</v>
      </c>
      <c r="B388" s="46" t="s">
        <v>204</v>
      </c>
      <c r="C388" s="47">
        <v>44239</v>
      </c>
      <c r="D388" s="45">
        <v>22021001169</v>
      </c>
      <c r="E388" s="46" t="s">
        <v>1319</v>
      </c>
      <c r="F388" s="48">
        <v>18.760000000000002</v>
      </c>
      <c r="G388" s="46" t="s">
        <v>102</v>
      </c>
      <c r="H388" s="46" t="s">
        <v>1320</v>
      </c>
      <c r="I388" s="45" t="s">
        <v>205</v>
      </c>
      <c r="J388" s="46" t="s">
        <v>127</v>
      </c>
      <c r="K388" s="46" t="s">
        <v>127</v>
      </c>
      <c r="L388" s="46" t="s">
        <v>15</v>
      </c>
      <c r="M388" s="46" t="s">
        <v>13</v>
      </c>
      <c r="N388" s="46" t="s">
        <v>14</v>
      </c>
      <c r="O388" s="49" t="s">
        <v>814</v>
      </c>
      <c r="P388" s="46" t="s">
        <v>507</v>
      </c>
      <c r="Q388" s="35" t="str">
        <f>MID(Tabla1[[#This Row],[Aplicación]],14,1)</f>
        <v>2</v>
      </c>
      <c r="R388" s="35" t="s">
        <v>495</v>
      </c>
      <c r="S388" s="35" t="str">
        <f>MID(Tabla1[[#This Row],[Aplicación]],6,2)</f>
        <v>10</v>
      </c>
      <c r="T388" s="35" t="str">
        <f>VLOOKUP(Tabla1[[#This Row],[AREA]],Hoja1!A:B,2,FALSE)</f>
        <v>10. Servicios sociales y mediación comunitaria</v>
      </c>
      <c r="U388" s="35" t="str">
        <f>MID(Tabla1[[#This Row],[Aplicación]],9,4)</f>
        <v>2412</v>
      </c>
      <c r="V388" s="35" t="str">
        <f>VLOOKUP(Tabla1[[#This Row],[PROGRAMA]],Hoja1!A:B,2,FALSE)</f>
        <v>2412. Formación para el empleo</v>
      </c>
      <c r="W388" s="35" t="str">
        <f>MID(Tabla1[[#This Row],[Aplicación]],14,2)</f>
        <v>21</v>
      </c>
      <c r="X388" s="35" t="str">
        <f>MID(Tabla1[[#This Row],[Aplicación]],14,6)</f>
        <v>212</v>
      </c>
    </row>
    <row r="389" spans="1:24" x14ac:dyDescent="0.25">
      <c r="A389" s="45">
        <v>220210003207</v>
      </c>
      <c r="B389" s="46" t="s">
        <v>204</v>
      </c>
      <c r="C389" s="47">
        <v>44239</v>
      </c>
      <c r="D389" s="45">
        <v>22021001038</v>
      </c>
      <c r="E389" s="46" t="s">
        <v>844</v>
      </c>
      <c r="F389" s="48">
        <v>20.190000000000001</v>
      </c>
      <c r="G389" s="46" t="s">
        <v>102</v>
      </c>
      <c r="H389" s="46" t="s">
        <v>1321</v>
      </c>
      <c r="I389" s="45" t="s">
        <v>205</v>
      </c>
      <c r="J389" s="46" t="s">
        <v>127</v>
      </c>
      <c r="K389" s="46" t="s">
        <v>127</v>
      </c>
      <c r="L389" s="46" t="s">
        <v>15</v>
      </c>
      <c r="M389" s="46" t="s">
        <v>13</v>
      </c>
      <c r="N389" s="46" t="s">
        <v>14</v>
      </c>
      <c r="O389" s="49" t="s">
        <v>814</v>
      </c>
      <c r="P389" s="46" t="s">
        <v>507</v>
      </c>
      <c r="Q389" s="35" t="str">
        <f>MID(Tabla1[[#This Row],[Aplicación]],14,1)</f>
        <v>2</v>
      </c>
      <c r="R389" s="35" t="s">
        <v>495</v>
      </c>
      <c r="S389" s="35" t="str">
        <f>MID(Tabla1[[#This Row],[Aplicación]],6,2)</f>
        <v>10</v>
      </c>
      <c r="T389" s="35" t="str">
        <f>VLOOKUP(Tabla1[[#This Row],[AREA]],Hoja1!A:B,2,FALSE)</f>
        <v>10. Servicios sociales y mediación comunitaria</v>
      </c>
      <c r="U389" s="35" t="str">
        <f>MID(Tabla1[[#This Row],[Aplicación]],9,4)</f>
        <v>2312</v>
      </c>
      <c r="V389" s="35" t="str">
        <f>VLOOKUP(Tabla1[[#This Row],[PROGRAMA]],Hoja1!A:B,2,FALSE)</f>
        <v>2312. Iniciativas sociales</v>
      </c>
      <c r="W389" s="35" t="str">
        <f>MID(Tabla1[[#This Row],[Aplicación]],14,2)</f>
        <v>21</v>
      </c>
      <c r="X389" s="35" t="str">
        <f>MID(Tabla1[[#This Row],[Aplicación]],14,6)</f>
        <v>212</v>
      </c>
    </row>
    <row r="390" spans="1:24" x14ac:dyDescent="0.25">
      <c r="A390" s="45">
        <v>220210003223</v>
      </c>
      <c r="B390" s="46" t="s">
        <v>204</v>
      </c>
      <c r="C390" s="47">
        <v>44239</v>
      </c>
      <c r="D390" s="45">
        <v>22021002089</v>
      </c>
      <c r="E390" s="46" t="s">
        <v>1220</v>
      </c>
      <c r="F390" s="48">
        <v>55.9</v>
      </c>
      <c r="G390" s="46" t="s">
        <v>102</v>
      </c>
      <c r="H390" s="46" t="s">
        <v>1322</v>
      </c>
      <c r="I390" s="45" t="s">
        <v>205</v>
      </c>
      <c r="J390" s="46" t="s">
        <v>127</v>
      </c>
      <c r="K390" s="46" t="s">
        <v>127</v>
      </c>
      <c r="L390" s="46" t="s">
        <v>15</v>
      </c>
      <c r="M390" s="46" t="s">
        <v>13</v>
      </c>
      <c r="N390" s="46" t="s">
        <v>14</v>
      </c>
      <c r="O390" s="49" t="s">
        <v>814</v>
      </c>
      <c r="P390" s="46" t="s">
        <v>507</v>
      </c>
      <c r="Q390" s="35" t="str">
        <f>MID(Tabla1[[#This Row],[Aplicación]],14,1)</f>
        <v>2</v>
      </c>
      <c r="R390" s="35" t="s">
        <v>495</v>
      </c>
      <c r="S390" s="35" t="str">
        <f>MID(Tabla1[[#This Row],[Aplicación]],6,2)</f>
        <v>03</v>
      </c>
      <c r="T390" s="35" t="str">
        <f>VLOOKUP(Tabla1[[#This Row],[AREA]],Hoja1!A:B,2,FALSE)</f>
        <v>03. Participación ciudadana y deportes</v>
      </c>
      <c r="U390" s="35" t="str">
        <f>MID(Tabla1[[#This Row],[Aplicación]],9,4)</f>
        <v>9241</v>
      </c>
      <c r="V390" s="35" t="str">
        <f>VLOOKUP(Tabla1[[#This Row],[PROGRAMA]],Hoja1!A:B,2,FALSE)</f>
        <v>9241. Participación ciudadana</v>
      </c>
      <c r="W390" s="35" t="str">
        <f>MID(Tabla1[[#This Row],[Aplicación]],14,2)</f>
        <v>21</v>
      </c>
      <c r="X390" s="35" t="str">
        <f>MID(Tabla1[[#This Row],[Aplicación]],14,6)</f>
        <v>213</v>
      </c>
    </row>
    <row r="391" spans="1:24" x14ac:dyDescent="0.25">
      <c r="A391" s="45">
        <v>220210003225</v>
      </c>
      <c r="B391" s="46" t="s">
        <v>204</v>
      </c>
      <c r="C391" s="47">
        <v>44239</v>
      </c>
      <c r="D391" s="45">
        <v>22021002089</v>
      </c>
      <c r="E391" s="46" t="s">
        <v>1220</v>
      </c>
      <c r="F391" s="48">
        <v>1401.42</v>
      </c>
      <c r="G391" s="46" t="s">
        <v>102</v>
      </c>
      <c r="H391" s="46" t="s">
        <v>1323</v>
      </c>
      <c r="I391" s="45" t="s">
        <v>205</v>
      </c>
      <c r="J391" s="46" t="s">
        <v>127</v>
      </c>
      <c r="K391" s="46" t="s">
        <v>127</v>
      </c>
      <c r="L391" s="46" t="s">
        <v>15</v>
      </c>
      <c r="M391" s="46" t="s">
        <v>13</v>
      </c>
      <c r="N391" s="46" t="s">
        <v>14</v>
      </c>
      <c r="O391" s="49" t="s">
        <v>814</v>
      </c>
      <c r="P391" s="46" t="s">
        <v>507</v>
      </c>
      <c r="Q391" s="35" t="str">
        <f>MID(Tabla1[[#This Row],[Aplicación]],14,1)</f>
        <v>2</v>
      </c>
      <c r="R391" s="35" t="s">
        <v>495</v>
      </c>
      <c r="S391" s="35" t="str">
        <f>MID(Tabla1[[#This Row],[Aplicación]],6,2)</f>
        <v>03</v>
      </c>
      <c r="T391" s="35" t="str">
        <f>VLOOKUP(Tabla1[[#This Row],[AREA]],Hoja1!A:B,2,FALSE)</f>
        <v>03. Participación ciudadana y deportes</v>
      </c>
      <c r="U391" s="35" t="str">
        <f>MID(Tabla1[[#This Row],[Aplicación]],9,4)</f>
        <v>9241</v>
      </c>
      <c r="V391" s="35" t="str">
        <f>VLOOKUP(Tabla1[[#This Row],[PROGRAMA]],Hoja1!A:B,2,FALSE)</f>
        <v>9241. Participación ciudadana</v>
      </c>
      <c r="W391" s="35" t="str">
        <f>MID(Tabla1[[#This Row],[Aplicación]],14,2)</f>
        <v>21</v>
      </c>
      <c r="X391" s="35" t="str">
        <f>MID(Tabla1[[#This Row],[Aplicación]],14,6)</f>
        <v>213</v>
      </c>
    </row>
    <row r="392" spans="1:24" x14ac:dyDescent="0.25">
      <c r="A392" s="45">
        <v>220210003269</v>
      </c>
      <c r="B392" s="46" t="s">
        <v>204</v>
      </c>
      <c r="C392" s="47">
        <v>44239</v>
      </c>
      <c r="D392" s="45">
        <v>22021002227</v>
      </c>
      <c r="E392" s="46" t="s">
        <v>1324</v>
      </c>
      <c r="F392" s="48">
        <v>18.899999999999999</v>
      </c>
      <c r="G392" s="46" t="s">
        <v>102</v>
      </c>
      <c r="H392" s="46" t="s">
        <v>1325</v>
      </c>
      <c r="I392" s="45" t="s">
        <v>205</v>
      </c>
      <c r="J392" s="46" t="s">
        <v>127</v>
      </c>
      <c r="K392" s="46" t="s">
        <v>127</v>
      </c>
      <c r="L392" s="46" t="s">
        <v>15</v>
      </c>
      <c r="M392" s="46" t="s">
        <v>13</v>
      </c>
      <c r="N392" s="46" t="s">
        <v>14</v>
      </c>
      <c r="O392" s="49" t="s">
        <v>814</v>
      </c>
      <c r="P392" s="46" t="s">
        <v>507</v>
      </c>
      <c r="Q392" s="35" t="str">
        <f>MID(Tabla1[[#This Row],[Aplicación]],14,1)</f>
        <v>2</v>
      </c>
      <c r="R392" s="35" t="s">
        <v>495</v>
      </c>
      <c r="S392" s="35" t="str">
        <f>MID(Tabla1[[#This Row],[Aplicación]],6,2)</f>
        <v>06</v>
      </c>
      <c r="T392" s="35" t="str">
        <f>VLOOKUP(Tabla1[[#This Row],[AREA]],Hoja1!A:B,2,FALSE)</f>
        <v>06. Educación, infancia, juventud e igualdad</v>
      </c>
      <c r="U392" s="35" t="str">
        <f>MID(Tabla1[[#This Row],[Aplicación]],9,4)</f>
        <v>3321</v>
      </c>
      <c r="V392" s="35" t="str">
        <f>VLOOKUP(Tabla1[[#This Row],[PROGRAMA]],Hoja1!A:B,2,FALSE)</f>
        <v>3321. Bibliotecas públicas</v>
      </c>
      <c r="W392" s="35" t="str">
        <f>MID(Tabla1[[#This Row],[Aplicación]],14,2)</f>
        <v>21</v>
      </c>
      <c r="X392" s="35" t="str">
        <f>MID(Tabla1[[#This Row],[Aplicación]],14,6)</f>
        <v>212</v>
      </c>
    </row>
    <row r="393" spans="1:24" x14ac:dyDescent="0.25">
      <c r="A393" s="45">
        <v>220210003937</v>
      </c>
      <c r="B393" s="46" t="s">
        <v>204</v>
      </c>
      <c r="C393" s="47">
        <v>44243</v>
      </c>
      <c r="D393" s="45">
        <v>22021002133</v>
      </c>
      <c r="E393" s="46" t="s">
        <v>1326</v>
      </c>
      <c r="F393" s="48">
        <v>275.64</v>
      </c>
      <c r="G393" s="46" t="s">
        <v>102</v>
      </c>
      <c r="H393" s="46" t="s">
        <v>1327</v>
      </c>
      <c r="I393" s="45" t="s">
        <v>205</v>
      </c>
      <c r="J393" s="46" t="s">
        <v>127</v>
      </c>
      <c r="K393" s="46" t="s">
        <v>127</v>
      </c>
      <c r="L393" s="46" t="s">
        <v>15</v>
      </c>
      <c r="M393" s="46" t="s">
        <v>13</v>
      </c>
      <c r="N393" s="46" t="s">
        <v>14</v>
      </c>
      <c r="O393" s="49" t="s">
        <v>814</v>
      </c>
      <c r="P393" s="46" t="s">
        <v>507</v>
      </c>
      <c r="Q393" s="35" t="str">
        <f>MID(Tabla1[[#This Row],[Aplicación]],14,1)</f>
        <v>2</v>
      </c>
      <c r="R393" s="35" t="s">
        <v>495</v>
      </c>
      <c r="S393" s="35" t="str">
        <f>MID(Tabla1[[#This Row],[Aplicación]],6,2)</f>
        <v>08</v>
      </c>
      <c r="T393" s="35" t="str">
        <f>VLOOKUP(Tabla1[[#This Row],[AREA]],Hoja1!A:B,2,FALSE)</f>
        <v>08. Movilidad y espacio urbano</v>
      </c>
      <c r="U393" s="35" t="str">
        <f>MID(Tabla1[[#This Row],[Aplicación]],9,4)</f>
        <v>1651</v>
      </c>
      <c r="V393" s="35" t="str">
        <f>VLOOKUP(Tabla1[[#This Row],[PROGRAMA]],Hoja1!A:B,2,FALSE)</f>
        <v>1651. Alumbrado público</v>
      </c>
      <c r="W393" s="35" t="str">
        <f>MID(Tabla1[[#This Row],[Aplicación]],14,2)</f>
        <v>22</v>
      </c>
      <c r="X393" s="35" t="str">
        <f>MID(Tabla1[[#This Row],[Aplicación]],14,6)</f>
        <v>22199</v>
      </c>
    </row>
    <row r="394" spans="1:24" x14ac:dyDescent="0.25">
      <c r="A394" s="45">
        <v>220210004043</v>
      </c>
      <c r="B394" s="46" t="s">
        <v>204</v>
      </c>
      <c r="C394" s="47">
        <v>44244</v>
      </c>
      <c r="D394" s="45">
        <v>22021002144</v>
      </c>
      <c r="E394" s="46" t="s">
        <v>1328</v>
      </c>
      <c r="F394" s="48">
        <v>9.08</v>
      </c>
      <c r="G394" s="46" t="s">
        <v>102</v>
      </c>
      <c r="H394" s="46" t="s">
        <v>1329</v>
      </c>
      <c r="I394" s="45" t="s">
        <v>205</v>
      </c>
      <c r="J394" s="46" t="s">
        <v>127</v>
      </c>
      <c r="K394" s="46" t="s">
        <v>127</v>
      </c>
      <c r="L394" s="46" t="s">
        <v>15</v>
      </c>
      <c r="M394" s="46" t="s">
        <v>13</v>
      </c>
      <c r="N394" s="46" t="s">
        <v>14</v>
      </c>
      <c r="O394" s="49" t="s">
        <v>814</v>
      </c>
      <c r="P394" s="46" t="s">
        <v>507</v>
      </c>
      <c r="Q394" s="35" t="str">
        <f>MID(Tabla1[[#This Row],[Aplicación]],14,1)</f>
        <v>2</v>
      </c>
      <c r="R394" s="35" t="s">
        <v>495</v>
      </c>
      <c r="S394" s="35" t="str">
        <f>MID(Tabla1[[#This Row],[Aplicación]],6,2)</f>
        <v>10</v>
      </c>
      <c r="T394" s="35" t="str">
        <f>VLOOKUP(Tabla1[[#This Row],[AREA]],Hoja1!A:B,2,FALSE)</f>
        <v>10. Servicios sociales y mediación comunitaria</v>
      </c>
      <c r="U394" s="35" t="str">
        <f>MID(Tabla1[[#This Row],[Aplicación]],9,4)</f>
        <v>2311</v>
      </c>
      <c r="V394" s="35" t="str">
        <f>VLOOKUP(Tabla1[[#This Row],[PROGRAMA]],Hoja1!A:B,2,FALSE)</f>
        <v>2311. Intervención social</v>
      </c>
      <c r="W394" s="35" t="str">
        <f>MID(Tabla1[[#This Row],[Aplicación]],14,2)</f>
        <v>21</v>
      </c>
      <c r="X394" s="35" t="str">
        <f>MID(Tabla1[[#This Row],[Aplicación]],14,6)</f>
        <v>212</v>
      </c>
    </row>
    <row r="395" spans="1:24" x14ac:dyDescent="0.25">
      <c r="A395" s="45">
        <v>220210004043</v>
      </c>
      <c r="B395" s="46" t="s">
        <v>204</v>
      </c>
      <c r="C395" s="47">
        <v>44244</v>
      </c>
      <c r="D395" s="45">
        <v>22021002143</v>
      </c>
      <c r="E395" s="46" t="s">
        <v>1328</v>
      </c>
      <c r="F395" s="48">
        <v>9.4499999999999993</v>
      </c>
      <c r="G395" s="46" t="s">
        <v>102</v>
      </c>
      <c r="H395" s="46" t="s">
        <v>1329</v>
      </c>
      <c r="I395" s="45" t="s">
        <v>205</v>
      </c>
      <c r="J395" s="46" t="s">
        <v>127</v>
      </c>
      <c r="K395" s="46" t="s">
        <v>127</v>
      </c>
      <c r="L395" s="46" t="s">
        <v>15</v>
      </c>
      <c r="M395" s="46" t="s">
        <v>13</v>
      </c>
      <c r="N395" s="46" t="s">
        <v>14</v>
      </c>
      <c r="O395" s="49" t="s">
        <v>814</v>
      </c>
      <c r="P395" s="46" t="s">
        <v>507</v>
      </c>
      <c r="Q395" s="35" t="str">
        <f>MID(Tabla1[[#This Row],[Aplicación]],14,1)</f>
        <v>2</v>
      </c>
      <c r="R395" s="35" t="s">
        <v>495</v>
      </c>
      <c r="S395" s="35" t="str">
        <f>MID(Tabla1[[#This Row],[Aplicación]],6,2)</f>
        <v>10</v>
      </c>
      <c r="T395" s="35" t="str">
        <f>VLOOKUP(Tabla1[[#This Row],[AREA]],Hoja1!A:B,2,FALSE)</f>
        <v>10. Servicios sociales y mediación comunitaria</v>
      </c>
      <c r="U395" s="35" t="str">
        <f>MID(Tabla1[[#This Row],[Aplicación]],9,4)</f>
        <v>2311</v>
      </c>
      <c r="V395" s="35" t="str">
        <f>VLOOKUP(Tabla1[[#This Row],[PROGRAMA]],Hoja1!A:B,2,FALSE)</f>
        <v>2311. Intervención social</v>
      </c>
      <c r="W395" s="35" t="str">
        <f>MID(Tabla1[[#This Row],[Aplicación]],14,2)</f>
        <v>21</v>
      </c>
      <c r="X395" s="35" t="str">
        <f>MID(Tabla1[[#This Row],[Aplicación]],14,6)</f>
        <v>212</v>
      </c>
    </row>
    <row r="396" spans="1:24" x14ac:dyDescent="0.25">
      <c r="A396" s="45">
        <v>220210004045</v>
      </c>
      <c r="B396" s="46" t="s">
        <v>204</v>
      </c>
      <c r="C396" s="47">
        <v>44244</v>
      </c>
      <c r="D396" s="45">
        <v>22021002143</v>
      </c>
      <c r="E396" s="46" t="s">
        <v>1328</v>
      </c>
      <c r="F396" s="48">
        <v>5.17</v>
      </c>
      <c r="G396" s="46" t="s">
        <v>102</v>
      </c>
      <c r="H396" s="46" t="s">
        <v>1330</v>
      </c>
      <c r="I396" s="45" t="s">
        <v>205</v>
      </c>
      <c r="J396" s="46" t="s">
        <v>127</v>
      </c>
      <c r="K396" s="46" t="s">
        <v>127</v>
      </c>
      <c r="L396" s="46" t="s">
        <v>15</v>
      </c>
      <c r="M396" s="46" t="s">
        <v>13</v>
      </c>
      <c r="N396" s="46" t="s">
        <v>14</v>
      </c>
      <c r="O396" s="49" t="s">
        <v>814</v>
      </c>
      <c r="P396" s="46" t="s">
        <v>507</v>
      </c>
      <c r="Q396" s="35" t="str">
        <f>MID(Tabla1[[#This Row],[Aplicación]],14,1)</f>
        <v>2</v>
      </c>
      <c r="R396" s="35" t="s">
        <v>495</v>
      </c>
      <c r="S396" s="35" t="str">
        <f>MID(Tabla1[[#This Row],[Aplicación]],6,2)</f>
        <v>10</v>
      </c>
      <c r="T396" s="35" t="str">
        <f>VLOOKUP(Tabla1[[#This Row],[AREA]],Hoja1!A:B,2,FALSE)</f>
        <v>10. Servicios sociales y mediación comunitaria</v>
      </c>
      <c r="U396" s="35" t="str">
        <f>MID(Tabla1[[#This Row],[Aplicación]],9,4)</f>
        <v>2311</v>
      </c>
      <c r="V396" s="35" t="str">
        <f>VLOOKUP(Tabla1[[#This Row],[PROGRAMA]],Hoja1!A:B,2,FALSE)</f>
        <v>2311. Intervención social</v>
      </c>
      <c r="W396" s="35" t="str">
        <f>MID(Tabla1[[#This Row],[Aplicación]],14,2)</f>
        <v>21</v>
      </c>
      <c r="X396" s="35" t="str">
        <f>MID(Tabla1[[#This Row],[Aplicación]],14,6)</f>
        <v>212</v>
      </c>
    </row>
    <row r="397" spans="1:24" x14ac:dyDescent="0.25">
      <c r="A397" s="45">
        <v>220210004179</v>
      </c>
      <c r="B397" s="46" t="s">
        <v>204</v>
      </c>
      <c r="C397" s="47">
        <v>44244</v>
      </c>
      <c r="D397" s="45">
        <v>22021002132</v>
      </c>
      <c r="E397" s="46" t="s">
        <v>1180</v>
      </c>
      <c r="F397" s="48">
        <v>689.46</v>
      </c>
      <c r="G397" s="46" t="s">
        <v>102</v>
      </c>
      <c r="H397" s="46" t="s">
        <v>1331</v>
      </c>
      <c r="I397" s="45" t="s">
        <v>205</v>
      </c>
      <c r="J397" s="46" t="s">
        <v>127</v>
      </c>
      <c r="K397" s="46" t="s">
        <v>127</v>
      </c>
      <c r="L397" s="46" t="s">
        <v>15</v>
      </c>
      <c r="M397" s="46" t="s">
        <v>13</v>
      </c>
      <c r="N397" s="46" t="s">
        <v>14</v>
      </c>
      <c r="O397" s="49" t="s">
        <v>814</v>
      </c>
      <c r="P397" s="46" t="s">
        <v>507</v>
      </c>
      <c r="Q397" s="35" t="str">
        <f>MID(Tabla1[[#This Row],[Aplicación]],14,1)</f>
        <v>2</v>
      </c>
      <c r="R397" s="35" t="s">
        <v>495</v>
      </c>
      <c r="S397" s="35" t="str">
        <f>MID(Tabla1[[#This Row],[Aplicación]],6,2)</f>
        <v>08</v>
      </c>
      <c r="T397" s="35" t="str">
        <f>VLOOKUP(Tabla1[[#This Row],[AREA]],Hoja1!A:B,2,FALSE)</f>
        <v>08. Movilidad y espacio urbano</v>
      </c>
      <c r="U397" s="35" t="str">
        <f>MID(Tabla1[[#This Row],[Aplicación]],9,4)</f>
        <v>1532</v>
      </c>
      <c r="V397" s="35" t="str">
        <f>VLOOKUP(Tabla1[[#This Row],[PROGRAMA]],Hoja1!A:B,2,FALSE)</f>
        <v>1532. Pavimentación vias públicas y otros servicios urbanísticos</v>
      </c>
      <c r="W397" s="35" t="str">
        <f>MID(Tabla1[[#This Row],[Aplicación]],14,2)</f>
        <v>21</v>
      </c>
      <c r="X397" s="35" t="str">
        <f>MID(Tabla1[[#This Row],[Aplicación]],14,6)</f>
        <v>210</v>
      </c>
    </row>
    <row r="398" spans="1:24" x14ac:dyDescent="0.25">
      <c r="A398" s="45">
        <v>220210004453</v>
      </c>
      <c r="B398" s="46" t="s">
        <v>204</v>
      </c>
      <c r="C398" s="47">
        <v>44246</v>
      </c>
      <c r="D398" s="45">
        <v>22021002142</v>
      </c>
      <c r="E398" s="46" t="s">
        <v>1328</v>
      </c>
      <c r="F398" s="48">
        <v>32.090000000000003</v>
      </c>
      <c r="G398" s="46" t="s">
        <v>102</v>
      </c>
      <c r="H398" s="46" t="s">
        <v>1332</v>
      </c>
      <c r="I398" s="45" t="s">
        <v>205</v>
      </c>
      <c r="J398" s="46" t="s">
        <v>127</v>
      </c>
      <c r="K398" s="46" t="s">
        <v>127</v>
      </c>
      <c r="L398" s="46" t="s">
        <v>15</v>
      </c>
      <c r="M398" s="46" t="s">
        <v>13</v>
      </c>
      <c r="N398" s="46" t="s">
        <v>14</v>
      </c>
      <c r="O398" s="49" t="s">
        <v>814</v>
      </c>
      <c r="P398" s="46" t="s">
        <v>507</v>
      </c>
      <c r="Q398" s="35" t="str">
        <f>MID(Tabla1[[#This Row],[Aplicación]],14,1)</f>
        <v>2</v>
      </c>
      <c r="R398" s="35" t="s">
        <v>495</v>
      </c>
      <c r="S398" s="35" t="str">
        <f>MID(Tabla1[[#This Row],[Aplicación]],6,2)</f>
        <v>10</v>
      </c>
      <c r="T398" s="35" t="str">
        <f>VLOOKUP(Tabla1[[#This Row],[AREA]],Hoja1!A:B,2,FALSE)</f>
        <v>10. Servicios sociales y mediación comunitaria</v>
      </c>
      <c r="U398" s="35" t="str">
        <f>MID(Tabla1[[#This Row],[Aplicación]],9,4)</f>
        <v>2311</v>
      </c>
      <c r="V398" s="35" t="str">
        <f>VLOOKUP(Tabla1[[#This Row],[PROGRAMA]],Hoja1!A:B,2,FALSE)</f>
        <v>2311. Intervención social</v>
      </c>
      <c r="W398" s="35" t="str">
        <f>MID(Tabla1[[#This Row],[Aplicación]],14,2)</f>
        <v>21</v>
      </c>
      <c r="X398" s="35" t="str">
        <f>MID(Tabla1[[#This Row],[Aplicación]],14,6)</f>
        <v>212</v>
      </c>
    </row>
    <row r="399" spans="1:24" x14ac:dyDescent="0.25">
      <c r="A399" s="45">
        <v>220210004498</v>
      </c>
      <c r="B399" s="46" t="s">
        <v>204</v>
      </c>
      <c r="C399" s="47">
        <v>44246</v>
      </c>
      <c r="D399" s="45">
        <v>22021001038</v>
      </c>
      <c r="E399" s="46" t="s">
        <v>844</v>
      </c>
      <c r="F399" s="48">
        <v>50.34</v>
      </c>
      <c r="G399" s="46" t="s">
        <v>102</v>
      </c>
      <c r="H399" s="46" t="s">
        <v>1333</v>
      </c>
      <c r="I399" s="45" t="s">
        <v>205</v>
      </c>
      <c r="J399" s="46" t="s">
        <v>127</v>
      </c>
      <c r="K399" s="46" t="s">
        <v>127</v>
      </c>
      <c r="L399" s="46" t="s">
        <v>15</v>
      </c>
      <c r="M399" s="46" t="s">
        <v>13</v>
      </c>
      <c r="N399" s="46" t="s">
        <v>14</v>
      </c>
      <c r="O399" s="49" t="s">
        <v>814</v>
      </c>
      <c r="P399" s="46" t="s">
        <v>507</v>
      </c>
      <c r="Q399" s="35" t="str">
        <f>MID(Tabla1[[#This Row],[Aplicación]],14,1)</f>
        <v>2</v>
      </c>
      <c r="R399" s="35" t="s">
        <v>495</v>
      </c>
      <c r="S399" s="35" t="str">
        <f>MID(Tabla1[[#This Row],[Aplicación]],6,2)</f>
        <v>10</v>
      </c>
      <c r="T399" s="35" t="str">
        <f>VLOOKUP(Tabla1[[#This Row],[AREA]],Hoja1!A:B,2,FALSE)</f>
        <v>10. Servicios sociales y mediación comunitaria</v>
      </c>
      <c r="U399" s="35" t="str">
        <f>MID(Tabla1[[#This Row],[Aplicación]],9,4)</f>
        <v>2312</v>
      </c>
      <c r="V399" s="35" t="str">
        <f>VLOOKUP(Tabla1[[#This Row],[PROGRAMA]],Hoja1!A:B,2,FALSE)</f>
        <v>2312. Iniciativas sociales</v>
      </c>
      <c r="W399" s="35" t="str">
        <f>MID(Tabla1[[#This Row],[Aplicación]],14,2)</f>
        <v>21</v>
      </c>
      <c r="X399" s="35" t="str">
        <f>MID(Tabla1[[#This Row],[Aplicación]],14,6)</f>
        <v>212</v>
      </c>
    </row>
    <row r="400" spans="1:24" x14ac:dyDescent="0.25">
      <c r="A400" s="45">
        <v>220210004534</v>
      </c>
      <c r="B400" s="46" t="s">
        <v>204</v>
      </c>
      <c r="C400" s="47">
        <v>44246</v>
      </c>
      <c r="D400" s="45">
        <v>22021001275</v>
      </c>
      <c r="E400" s="46" t="s">
        <v>1334</v>
      </c>
      <c r="F400" s="48">
        <v>94.45</v>
      </c>
      <c r="G400" s="46" t="s">
        <v>102</v>
      </c>
      <c r="H400" s="46" t="s">
        <v>1335</v>
      </c>
      <c r="I400" s="45" t="s">
        <v>205</v>
      </c>
      <c r="J400" s="46" t="s">
        <v>127</v>
      </c>
      <c r="K400" s="46" t="s">
        <v>127</v>
      </c>
      <c r="L400" s="46" t="s">
        <v>15</v>
      </c>
      <c r="M400" s="46" t="s">
        <v>13</v>
      </c>
      <c r="N400" s="46" t="s">
        <v>14</v>
      </c>
      <c r="O400" s="49" t="s">
        <v>814</v>
      </c>
      <c r="P400" s="46" t="s">
        <v>507</v>
      </c>
      <c r="Q400" s="35" t="str">
        <f>MID(Tabla1[[#This Row],[Aplicación]],14,1)</f>
        <v>2</v>
      </c>
      <c r="R400" s="35" t="s">
        <v>495</v>
      </c>
      <c r="S400" s="35" t="str">
        <f>MID(Tabla1[[#This Row],[Aplicación]],6,2)</f>
        <v>07</v>
      </c>
      <c r="T400" s="35" t="str">
        <f>VLOOKUP(Tabla1[[#This Row],[AREA]],Hoja1!A:B,2,FALSE)</f>
        <v>07. Medio ambiente y desarrollo sostenible</v>
      </c>
      <c r="U400" s="35" t="str">
        <f>MID(Tabla1[[#This Row],[Aplicación]],9,4)</f>
        <v>1711</v>
      </c>
      <c r="V400" s="35" t="str">
        <f>VLOOKUP(Tabla1[[#This Row],[PROGRAMA]],Hoja1!A:B,2,FALSE)</f>
        <v>1711. Parques y jardines</v>
      </c>
      <c r="W400" s="35" t="str">
        <f>MID(Tabla1[[#This Row],[Aplicación]],14,2)</f>
        <v>22</v>
      </c>
      <c r="X400" s="35" t="str">
        <f>MID(Tabla1[[#This Row],[Aplicación]],14,6)</f>
        <v>22199</v>
      </c>
    </row>
    <row r="401" spans="1:24" x14ac:dyDescent="0.25">
      <c r="A401" s="45">
        <v>220210004542</v>
      </c>
      <c r="B401" s="46" t="s">
        <v>204</v>
      </c>
      <c r="C401" s="47">
        <v>44246</v>
      </c>
      <c r="D401" s="45">
        <v>22021001275</v>
      </c>
      <c r="E401" s="46" t="s">
        <v>1334</v>
      </c>
      <c r="F401" s="48">
        <v>56.52</v>
      </c>
      <c r="G401" s="46" t="s">
        <v>102</v>
      </c>
      <c r="H401" s="46" t="s">
        <v>1335</v>
      </c>
      <c r="I401" s="45" t="s">
        <v>205</v>
      </c>
      <c r="J401" s="46" t="s">
        <v>127</v>
      </c>
      <c r="K401" s="46" t="s">
        <v>127</v>
      </c>
      <c r="L401" s="46" t="s">
        <v>15</v>
      </c>
      <c r="M401" s="46" t="s">
        <v>13</v>
      </c>
      <c r="N401" s="46" t="s">
        <v>14</v>
      </c>
      <c r="O401" s="49" t="s">
        <v>814</v>
      </c>
      <c r="P401" s="46" t="s">
        <v>507</v>
      </c>
      <c r="Q401" s="35" t="str">
        <f>MID(Tabla1[[#This Row],[Aplicación]],14,1)</f>
        <v>2</v>
      </c>
      <c r="R401" s="35" t="s">
        <v>495</v>
      </c>
      <c r="S401" s="35" t="str">
        <f>MID(Tabla1[[#This Row],[Aplicación]],6,2)</f>
        <v>07</v>
      </c>
      <c r="T401" s="35" t="str">
        <f>VLOOKUP(Tabla1[[#This Row],[AREA]],Hoja1!A:B,2,FALSE)</f>
        <v>07. Medio ambiente y desarrollo sostenible</v>
      </c>
      <c r="U401" s="35" t="str">
        <f>MID(Tabla1[[#This Row],[Aplicación]],9,4)</f>
        <v>1711</v>
      </c>
      <c r="V401" s="35" t="str">
        <f>VLOOKUP(Tabla1[[#This Row],[PROGRAMA]],Hoja1!A:B,2,FALSE)</f>
        <v>1711. Parques y jardines</v>
      </c>
      <c r="W401" s="35" t="str">
        <f>MID(Tabla1[[#This Row],[Aplicación]],14,2)</f>
        <v>22</v>
      </c>
      <c r="X401" s="35" t="str">
        <f>MID(Tabla1[[#This Row],[Aplicación]],14,6)</f>
        <v>22199</v>
      </c>
    </row>
    <row r="402" spans="1:24" x14ac:dyDescent="0.25">
      <c r="A402" s="45">
        <v>220210005223</v>
      </c>
      <c r="B402" s="46" t="s">
        <v>204</v>
      </c>
      <c r="C402" s="47">
        <v>44249</v>
      </c>
      <c r="D402" s="45">
        <v>22021002371</v>
      </c>
      <c r="E402" s="46" t="s">
        <v>1336</v>
      </c>
      <c r="F402" s="48">
        <v>14.9</v>
      </c>
      <c r="G402" s="46" t="s">
        <v>102</v>
      </c>
      <c r="H402" s="46" t="s">
        <v>1337</v>
      </c>
      <c r="I402" s="45" t="s">
        <v>205</v>
      </c>
      <c r="J402" s="46" t="s">
        <v>127</v>
      </c>
      <c r="K402" s="46" t="s">
        <v>127</v>
      </c>
      <c r="L402" s="46" t="s">
        <v>15</v>
      </c>
      <c r="M402" s="46" t="s">
        <v>13</v>
      </c>
      <c r="N402" s="46" t="s">
        <v>14</v>
      </c>
      <c r="O402" s="49" t="s">
        <v>814</v>
      </c>
      <c r="P402" s="46" t="s">
        <v>507</v>
      </c>
      <c r="Q402" s="35" t="str">
        <f>MID(Tabla1[[#This Row],[Aplicación]],14,1)</f>
        <v>2</v>
      </c>
      <c r="R402" s="35" t="s">
        <v>495</v>
      </c>
      <c r="S402" s="35" t="str">
        <f>MID(Tabla1[[#This Row],[Aplicación]],6,2)</f>
        <v>02</v>
      </c>
      <c r="T402" s="35" t="str">
        <f>VLOOKUP(Tabla1[[#This Row],[AREA]],Hoja1!A:B,2,FALSE)</f>
        <v>02. Planeamiento urbanístico y vivienda</v>
      </c>
      <c r="U402" s="35" t="str">
        <f>MID(Tabla1[[#This Row],[Aplicación]],9,4)</f>
        <v>9332</v>
      </c>
      <c r="V402" s="35" t="str">
        <f>VLOOKUP(Tabla1[[#This Row],[PROGRAMA]],Hoja1!A:B,2,FALSE)</f>
        <v>9332. Mantenimiento de edificios e instalaciones municipales</v>
      </c>
      <c r="W402" s="35" t="str">
        <f>MID(Tabla1[[#This Row],[Aplicación]],14,2)</f>
        <v>21</v>
      </c>
      <c r="X402" s="35" t="str">
        <f>MID(Tabla1[[#This Row],[Aplicación]],14,6)</f>
        <v>212</v>
      </c>
    </row>
    <row r="403" spans="1:24" x14ac:dyDescent="0.25">
      <c r="A403" s="45">
        <v>220210005478</v>
      </c>
      <c r="B403" s="46" t="s">
        <v>204</v>
      </c>
      <c r="C403" s="47">
        <v>44250</v>
      </c>
      <c r="D403" s="45">
        <v>22021001966</v>
      </c>
      <c r="E403" s="46" t="s">
        <v>950</v>
      </c>
      <c r="F403" s="48">
        <v>146.6</v>
      </c>
      <c r="G403" s="46" t="s">
        <v>102</v>
      </c>
      <c r="H403" s="46" t="s">
        <v>1338</v>
      </c>
      <c r="I403" s="45" t="s">
        <v>205</v>
      </c>
      <c r="J403" s="46" t="s">
        <v>127</v>
      </c>
      <c r="K403" s="46" t="s">
        <v>127</v>
      </c>
      <c r="L403" s="46" t="s">
        <v>15</v>
      </c>
      <c r="M403" s="46" t="s">
        <v>13</v>
      </c>
      <c r="N403" s="46" t="s">
        <v>14</v>
      </c>
      <c r="O403" s="49" t="s">
        <v>814</v>
      </c>
      <c r="P403" s="46" t="s">
        <v>507</v>
      </c>
      <c r="Q403" s="35" t="str">
        <f>MID(Tabla1[[#This Row],[Aplicación]],14,1)</f>
        <v>2</v>
      </c>
      <c r="R403" s="35" t="s">
        <v>495</v>
      </c>
      <c r="S403" s="35" t="str">
        <f>MID(Tabla1[[#This Row],[Aplicación]],6,2)</f>
        <v>11</v>
      </c>
      <c r="T403" s="35" t="str">
        <f>VLOOKUP(Tabla1[[#This Row],[AREA]],Hoja1!A:B,2,FALSE)</f>
        <v>11. Salud pública y seguridad ciudadana</v>
      </c>
      <c r="U403" s="35" t="str">
        <f>MID(Tabla1[[#This Row],[Aplicación]],9,4)</f>
        <v>1321</v>
      </c>
      <c r="V403" s="35" t="str">
        <f>VLOOKUP(Tabla1[[#This Row],[PROGRAMA]],Hoja1!A:B,2,FALSE)</f>
        <v>1321. Policía municipal</v>
      </c>
      <c r="W403" s="35" t="str">
        <f>MID(Tabla1[[#This Row],[Aplicación]],14,2)</f>
        <v>21</v>
      </c>
      <c r="X403" s="35" t="str">
        <f>MID(Tabla1[[#This Row],[Aplicación]],14,6)</f>
        <v>213</v>
      </c>
    </row>
    <row r="404" spans="1:24" x14ac:dyDescent="0.25">
      <c r="A404" s="45">
        <v>220210005509</v>
      </c>
      <c r="B404" s="46" t="s">
        <v>204</v>
      </c>
      <c r="C404" s="47">
        <v>44250</v>
      </c>
      <c r="D404" s="45">
        <v>22021002006</v>
      </c>
      <c r="E404" s="46" t="s">
        <v>1310</v>
      </c>
      <c r="F404" s="48">
        <v>42.74</v>
      </c>
      <c r="G404" s="46" t="s">
        <v>102</v>
      </c>
      <c r="H404" s="46" t="s">
        <v>1339</v>
      </c>
      <c r="I404" s="45" t="s">
        <v>205</v>
      </c>
      <c r="J404" s="46" t="s">
        <v>127</v>
      </c>
      <c r="K404" s="46" t="s">
        <v>127</v>
      </c>
      <c r="L404" s="46" t="s">
        <v>15</v>
      </c>
      <c r="M404" s="46" t="s">
        <v>13</v>
      </c>
      <c r="N404" s="46" t="s">
        <v>14</v>
      </c>
      <c r="O404" s="49" t="s">
        <v>814</v>
      </c>
      <c r="P404" s="46" t="s">
        <v>507</v>
      </c>
      <c r="Q404" s="35" t="str">
        <f>MID(Tabla1[[#This Row],[Aplicación]],14,1)</f>
        <v>2</v>
      </c>
      <c r="R404" s="35" t="s">
        <v>495</v>
      </c>
      <c r="S404" s="35" t="str">
        <f>MID(Tabla1[[#This Row],[Aplicación]],6,2)</f>
        <v>11</v>
      </c>
      <c r="T404" s="35" t="str">
        <f>VLOOKUP(Tabla1[[#This Row],[AREA]],Hoja1!A:B,2,FALSE)</f>
        <v>11. Salud pública y seguridad ciudadana</v>
      </c>
      <c r="U404" s="35" t="str">
        <f>MID(Tabla1[[#This Row],[Aplicación]],9,4)</f>
        <v>3111</v>
      </c>
      <c r="V404" s="35" t="str">
        <f>VLOOKUP(Tabla1[[#This Row],[PROGRAMA]],Hoja1!A:B,2,FALSE)</f>
        <v>3111. Protección de la salubridad pública</v>
      </c>
      <c r="W404" s="35" t="str">
        <f>MID(Tabla1[[#This Row],[Aplicación]],14,2)</f>
        <v>22</v>
      </c>
      <c r="X404" s="35" t="str">
        <f>MID(Tabla1[[#This Row],[Aplicación]],14,6)</f>
        <v>22199</v>
      </c>
    </row>
    <row r="405" spans="1:24" x14ac:dyDescent="0.25">
      <c r="A405" s="45">
        <v>220210005536</v>
      </c>
      <c r="B405" s="46" t="s">
        <v>204</v>
      </c>
      <c r="C405" s="47">
        <v>44250</v>
      </c>
      <c r="D405" s="45">
        <v>22021002052</v>
      </c>
      <c r="E405" s="46" t="s">
        <v>1340</v>
      </c>
      <c r="F405" s="48">
        <v>16.350000000000001</v>
      </c>
      <c r="G405" s="46" t="s">
        <v>102</v>
      </c>
      <c r="H405" s="46" t="s">
        <v>1341</v>
      </c>
      <c r="I405" s="45" t="s">
        <v>205</v>
      </c>
      <c r="J405" s="46" t="s">
        <v>127</v>
      </c>
      <c r="K405" s="46" t="s">
        <v>127</v>
      </c>
      <c r="L405" s="46" t="s">
        <v>15</v>
      </c>
      <c r="M405" s="46" t="s">
        <v>13</v>
      </c>
      <c r="N405" s="46" t="s">
        <v>14</v>
      </c>
      <c r="O405" s="49" t="s">
        <v>814</v>
      </c>
      <c r="P405" s="46" t="s">
        <v>507</v>
      </c>
      <c r="Q405" s="35" t="str">
        <f>MID(Tabla1[[#This Row],[Aplicación]],14,1)</f>
        <v>2</v>
      </c>
      <c r="R405" s="35" t="s">
        <v>495</v>
      </c>
      <c r="S405" s="35" t="str">
        <f>MID(Tabla1[[#This Row],[Aplicación]],6,2)</f>
        <v>11</v>
      </c>
      <c r="T405" s="35" t="str">
        <f>VLOOKUP(Tabla1[[#This Row],[AREA]],Hoja1!A:B,2,FALSE)</f>
        <v>11. Salud pública y seguridad ciudadana</v>
      </c>
      <c r="U405" s="35" t="str">
        <f>MID(Tabla1[[#This Row],[Aplicación]],9,4)</f>
        <v>1621</v>
      </c>
      <c r="V405" s="35" t="str">
        <f>VLOOKUP(Tabla1[[#This Row],[PROGRAMA]],Hoja1!A:B,2,FALSE)</f>
        <v>1621. Servicio de limpieza</v>
      </c>
      <c r="W405" s="35" t="str">
        <f>MID(Tabla1[[#This Row],[Aplicación]],14,2)</f>
        <v>22</v>
      </c>
      <c r="X405" s="35" t="str">
        <f>MID(Tabla1[[#This Row],[Aplicación]],14,6)</f>
        <v>22199</v>
      </c>
    </row>
    <row r="406" spans="1:24" x14ac:dyDescent="0.25">
      <c r="A406" s="45">
        <v>220210005538</v>
      </c>
      <c r="B406" s="46" t="s">
        <v>204</v>
      </c>
      <c r="C406" s="47">
        <v>44250</v>
      </c>
      <c r="D406" s="45">
        <v>22021002052</v>
      </c>
      <c r="E406" s="46" t="s">
        <v>1340</v>
      </c>
      <c r="F406" s="48">
        <v>84.02</v>
      </c>
      <c r="G406" s="46" t="s">
        <v>102</v>
      </c>
      <c r="H406" s="46" t="s">
        <v>1342</v>
      </c>
      <c r="I406" s="45" t="s">
        <v>205</v>
      </c>
      <c r="J406" s="46" t="s">
        <v>127</v>
      </c>
      <c r="K406" s="46" t="s">
        <v>127</v>
      </c>
      <c r="L406" s="46" t="s">
        <v>15</v>
      </c>
      <c r="M406" s="46" t="s">
        <v>13</v>
      </c>
      <c r="N406" s="46" t="s">
        <v>14</v>
      </c>
      <c r="O406" s="49" t="s">
        <v>814</v>
      </c>
      <c r="P406" s="46" t="s">
        <v>507</v>
      </c>
      <c r="Q406" s="35" t="str">
        <f>MID(Tabla1[[#This Row],[Aplicación]],14,1)</f>
        <v>2</v>
      </c>
      <c r="R406" s="35" t="s">
        <v>495</v>
      </c>
      <c r="S406" s="35" t="str">
        <f>MID(Tabla1[[#This Row],[Aplicación]],6,2)</f>
        <v>11</v>
      </c>
      <c r="T406" s="35" t="str">
        <f>VLOOKUP(Tabla1[[#This Row],[AREA]],Hoja1!A:B,2,FALSE)</f>
        <v>11. Salud pública y seguridad ciudadana</v>
      </c>
      <c r="U406" s="35" t="str">
        <f>MID(Tabla1[[#This Row],[Aplicación]],9,4)</f>
        <v>1621</v>
      </c>
      <c r="V406" s="35" t="str">
        <f>VLOOKUP(Tabla1[[#This Row],[PROGRAMA]],Hoja1!A:B,2,FALSE)</f>
        <v>1621. Servicio de limpieza</v>
      </c>
      <c r="W406" s="35" t="str">
        <f>MID(Tabla1[[#This Row],[Aplicación]],14,2)</f>
        <v>22</v>
      </c>
      <c r="X406" s="35" t="str">
        <f>MID(Tabla1[[#This Row],[Aplicación]],14,6)</f>
        <v>22199</v>
      </c>
    </row>
    <row r="407" spans="1:24" x14ac:dyDescent="0.25">
      <c r="A407" s="45">
        <v>220210005551</v>
      </c>
      <c r="B407" s="46" t="s">
        <v>204</v>
      </c>
      <c r="C407" s="47">
        <v>44250</v>
      </c>
      <c r="D407" s="45">
        <v>22021002048</v>
      </c>
      <c r="E407" s="46" t="s">
        <v>890</v>
      </c>
      <c r="F407" s="48">
        <v>38.08</v>
      </c>
      <c r="G407" s="46" t="s">
        <v>102</v>
      </c>
      <c r="H407" s="46" t="s">
        <v>1343</v>
      </c>
      <c r="I407" s="45" t="s">
        <v>205</v>
      </c>
      <c r="J407" s="46" t="s">
        <v>127</v>
      </c>
      <c r="K407" s="46" t="s">
        <v>127</v>
      </c>
      <c r="L407" s="46" t="s">
        <v>15</v>
      </c>
      <c r="M407" s="46" t="s">
        <v>13</v>
      </c>
      <c r="N407" s="46" t="s">
        <v>14</v>
      </c>
      <c r="O407" s="49" t="s">
        <v>814</v>
      </c>
      <c r="P407" s="46" t="s">
        <v>507</v>
      </c>
      <c r="Q407" s="35" t="str">
        <f>MID(Tabla1[[#This Row],[Aplicación]],14,1)</f>
        <v>2</v>
      </c>
      <c r="R407" s="35" t="s">
        <v>495</v>
      </c>
      <c r="S407" s="35" t="str">
        <f>MID(Tabla1[[#This Row],[Aplicación]],6,2)</f>
        <v>11</v>
      </c>
      <c r="T407" s="35" t="str">
        <f>VLOOKUP(Tabla1[[#This Row],[AREA]],Hoja1!A:B,2,FALSE)</f>
        <v>11. Salud pública y seguridad ciudadana</v>
      </c>
      <c r="U407" s="35" t="str">
        <f>MID(Tabla1[[#This Row],[Aplicación]],9,4)</f>
        <v>1621</v>
      </c>
      <c r="V407" s="35" t="str">
        <f>VLOOKUP(Tabla1[[#This Row],[PROGRAMA]],Hoja1!A:B,2,FALSE)</f>
        <v>1621. Servicio de limpieza</v>
      </c>
      <c r="W407" s="35" t="str">
        <f>MID(Tabla1[[#This Row],[Aplicación]],14,2)</f>
        <v>21</v>
      </c>
      <c r="X407" s="35" t="str">
        <f>MID(Tabla1[[#This Row],[Aplicación]],14,6)</f>
        <v>214</v>
      </c>
    </row>
    <row r="408" spans="1:24" x14ac:dyDescent="0.25">
      <c r="A408" s="45">
        <v>220210003942</v>
      </c>
      <c r="B408" s="46" t="s">
        <v>32</v>
      </c>
      <c r="C408" s="47">
        <v>44243</v>
      </c>
      <c r="D408" s="45">
        <v>22021002689</v>
      </c>
      <c r="E408" s="46" t="s">
        <v>1344</v>
      </c>
      <c r="F408" s="48">
        <v>771.13</v>
      </c>
      <c r="G408" s="46" t="s">
        <v>287</v>
      </c>
      <c r="H408" s="46" t="s">
        <v>1345</v>
      </c>
      <c r="I408" s="45" t="s">
        <v>234</v>
      </c>
      <c r="J408" s="46" t="s">
        <v>565</v>
      </c>
      <c r="K408" s="46" t="s">
        <v>126</v>
      </c>
      <c r="L408" s="46" t="s">
        <v>15</v>
      </c>
      <c r="M408" s="46" t="s">
        <v>10</v>
      </c>
      <c r="N408" s="46" t="s">
        <v>11</v>
      </c>
      <c r="O408" s="49" t="s">
        <v>815</v>
      </c>
      <c r="P408" s="46" t="s">
        <v>507</v>
      </c>
      <c r="Q408" s="35" t="str">
        <f>MID(Tabla1[[#This Row],[Aplicación]],14,1)</f>
        <v>2</v>
      </c>
      <c r="R408" s="35" t="s">
        <v>495</v>
      </c>
      <c r="S408" s="35" t="str">
        <f>MID(Tabla1[[#This Row],[Aplicación]],6,2)</f>
        <v>04</v>
      </c>
      <c r="T408" s="35" t="str">
        <f>VLOOKUP(Tabla1[[#This Row],[AREA]],Hoja1!A:B,2,FALSE)</f>
        <v>04. Planificación y recursos</v>
      </c>
      <c r="U408" s="35" t="str">
        <f>MID(Tabla1[[#This Row],[Aplicación]],9,4)</f>
        <v>9341</v>
      </c>
      <c r="V408" s="35" t="str">
        <f>VLOOKUP(Tabla1[[#This Row],[PROGRAMA]],Hoja1!A:B,2,FALSE)</f>
        <v>9341. Tesorería y recaudación</v>
      </c>
      <c r="W408" s="35" t="str">
        <f>MID(Tabla1[[#This Row],[Aplicación]],14,2)</f>
        <v>22</v>
      </c>
      <c r="X408" s="35" t="str">
        <f>MID(Tabla1[[#This Row],[Aplicación]],14,6)</f>
        <v>22000</v>
      </c>
    </row>
    <row r="409" spans="1:24" x14ac:dyDescent="0.25">
      <c r="A409" s="45">
        <v>220209000667</v>
      </c>
      <c r="B409" s="46" t="s">
        <v>9</v>
      </c>
      <c r="C409" s="47">
        <v>44198</v>
      </c>
      <c r="D409" s="45">
        <v>22021000419</v>
      </c>
      <c r="E409" s="46" t="s">
        <v>941</v>
      </c>
      <c r="F409" s="48">
        <v>102835.32</v>
      </c>
      <c r="G409" s="46" t="s">
        <v>85</v>
      </c>
      <c r="H409" s="46" t="s">
        <v>1346</v>
      </c>
      <c r="I409" s="45" t="s">
        <v>125</v>
      </c>
      <c r="J409" s="46" t="s">
        <v>127</v>
      </c>
      <c r="K409" s="46" t="s">
        <v>127</v>
      </c>
      <c r="L409" s="46" t="s">
        <v>12</v>
      </c>
      <c r="M409" s="46" t="s">
        <v>13</v>
      </c>
      <c r="N409" s="46" t="s">
        <v>14</v>
      </c>
      <c r="O409" s="49" t="s">
        <v>803</v>
      </c>
      <c r="P409" s="46" t="s">
        <v>507</v>
      </c>
      <c r="Q409" s="35" t="str">
        <f>MID(Tabla1[[#This Row],[Aplicación]],14,1)</f>
        <v>2</v>
      </c>
      <c r="R409" s="35" t="s">
        <v>495</v>
      </c>
      <c r="S409" s="35" t="str">
        <f>MID(Tabla1[[#This Row],[Aplicación]],6,2)</f>
        <v>06</v>
      </c>
      <c r="T409" s="35" t="str">
        <f>VLOOKUP(Tabla1[[#This Row],[AREA]],Hoja1!A:B,2,FALSE)</f>
        <v>06. Educación, infancia, juventud e igualdad</v>
      </c>
      <c r="U409" s="35" t="str">
        <f>MID(Tabla1[[#This Row],[Aplicación]],9,4)</f>
        <v>3232</v>
      </c>
      <c r="V409" s="35" t="str">
        <f>VLOOKUP(Tabla1[[#This Row],[PROGRAMA]],Hoja1!A:B,2,FALSE)</f>
        <v>3232. Conservación y mantenimiento centros educación infantil y primaria</v>
      </c>
      <c r="W409" s="35" t="str">
        <f>MID(Tabla1[[#This Row],[Aplicación]],14,2)</f>
        <v>21</v>
      </c>
      <c r="X409" s="35" t="str">
        <f>MID(Tabla1[[#This Row],[Aplicación]],14,6)</f>
        <v>213</v>
      </c>
    </row>
    <row r="410" spans="1:24" x14ac:dyDescent="0.25">
      <c r="A410" s="45">
        <v>220209000679</v>
      </c>
      <c r="B410" s="46" t="s">
        <v>9</v>
      </c>
      <c r="C410" s="47">
        <v>44198</v>
      </c>
      <c r="D410" s="45">
        <v>22021000423</v>
      </c>
      <c r="E410" s="46" t="s">
        <v>1213</v>
      </c>
      <c r="F410" s="48">
        <v>711.16</v>
      </c>
      <c r="G410" s="46" t="s">
        <v>85</v>
      </c>
      <c r="H410" s="46" t="s">
        <v>1347</v>
      </c>
      <c r="I410" s="45" t="s">
        <v>125</v>
      </c>
      <c r="J410" s="46" t="s">
        <v>127</v>
      </c>
      <c r="K410" s="46" t="s">
        <v>127</v>
      </c>
      <c r="L410" s="46" t="s">
        <v>12</v>
      </c>
      <c r="M410" s="46" t="s">
        <v>13</v>
      </c>
      <c r="N410" s="46" t="s">
        <v>14</v>
      </c>
      <c r="O410" s="49" t="s">
        <v>803</v>
      </c>
      <c r="P410" s="46" t="s">
        <v>507</v>
      </c>
      <c r="Q410" s="35" t="str">
        <f>MID(Tabla1[[#This Row],[Aplicación]],14,1)</f>
        <v>2</v>
      </c>
      <c r="R410" s="35" t="s">
        <v>495</v>
      </c>
      <c r="S410" s="35" t="str">
        <f>MID(Tabla1[[#This Row],[Aplicación]],6,2)</f>
        <v>06</v>
      </c>
      <c r="T410" s="35" t="str">
        <f>VLOOKUP(Tabla1[[#This Row],[AREA]],Hoja1!A:B,2,FALSE)</f>
        <v>06. Educación, infancia, juventud e igualdad</v>
      </c>
      <c r="U410" s="35" t="str">
        <f>MID(Tabla1[[#This Row],[Aplicación]],9,4)</f>
        <v>3261</v>
      </c>
      <c r="V410" s="35" t="str">
        <f>VLOOKUP(Tabla1[[#This Row],[PROGRAMA]],Hoja1!A:B,2,FALSE)</f>
        <v>3261. Servicios complementarios de educación</v>
      </c>
      <c r="W410" s="35" t="str">
        <f>MID(Tabla1[[#This Row],[Aplicación]],14,2)</f>
        <v>21</v>
      </c>
      <c r="X410" s="35" t="str">
        <f>MID(Tabla1[[#This Row],[Aplicación]],14,6)</f>
        <v>213</v>
      </c>
    </row>
    <row r="411" spans="1:24" x14ac:dyDescent="0.25">
      <c r="A411" s="45">
        <v>220209000681</v>
      </c>
      <c r="B411" s="46" t="s">
        <v>9</v>
      </c>
      <c r="C411" s="47">
        <v>44198</v>
      </c>
      <c r="D411" s="45">
        <v>22021000425</v>
      </c>
      <c r="E411" s="46" t="s">
        <v>1348</v>
      </c>
      <c r="F411" s="48">
        <v>1422.32</v>
      </c>
      <c r="G411" s="46" t="s">
        <v>85</v>
      </c>
      <c r="H411" s="46" t="s">
        <v>1349</v>
      </c>
      <c r="I411" s="45" t="s">
        <v>125</v>
      </c>
      <c r="J411" s="46" t="s">
        <v>127</v>
      </c>
      <c r="K411" s="46" t="s">
        <v>127</v>
      </c>
      <c r="L411" s="46" t="s">
        <v>12</v>
      </c>
      <c r="M411" s="46" t="s">
        <v>13</v>
      </c>
      <c r="N411" s="46" t="s">
        <v>14</v>
      </c>
      <c r="O411" s="49" t="s">
        <v>803</v>
      </c>
      <c r="P411" s="46" t="s">
        <v>507</v>
      </c>
      <c r="Q411" s="35" t="str">
        <f>MID(Tabla1[[#This Row],[Aplicación]],14,1)</f>
        <v>2</v>
      </c>
      <c r="R411" s="35" t="s">
        <v>495</v>
      </c>
      <c r="S411" s="35" t="str">
        <f>MID(Tabla1[[#This Row],[Aplicación]],6,2)</f>
        <v>06</v>
      </c>
      <c r="T411" s="35" t="str">
        <f>VLOOKUP(Tabla1[[#This Row],[AREA]],Hoja1!A:B,2,FALSE)</f>
        <v>06. Educación, infancia, juventud e igualdad</v>
      </c>
      <c r="U411" s="35" t="str">
        <f>MID(Tabla1[[#This Row],[Aplicación]],9,4)</f>
        <v>3321</v>
      </c>
      <c r="V411" s="35" t="str">
        <f>VLOOKUP(Tabla1[[#This Row],[PROGRAMA]],Hoja1!A:B,2,FALSE)</f>
        <v>3321. Bibliotecas públicas</v>
      </c>
      <c r="W411" s="35" t="str">
        <f>MID(Tabla1[[#This Row],[Aplicación]],14,2)</f>
        <v>21</v>
      </c>
      <c r="X411" s="35" t="str">
        <f>MID(Tabla1[[#This Row],[Aplicación]],14,6)</f>
        <v>213</v>
      </c>
    </row>
    <row r="412" spans="1:24" x14ac:dyDescent="0.25">
      <c r="A412" s="45">
        <v>220209000830</v>
      </c>
      <c r="B412" s="46" t="s">
        <v>9</v>
      </c>
      <c r="C412" s="47">
        <v>44198</v>
      </c>
      <c r="D412" s="45">
        <v>22021001162</v>
      </c>
      <c r="E412" s="46" t="s">
        <v>886</v>
      </c>
      <c r="F412" s="48">
        <v>1210</v>
      </c>
      <c r="G412" s="46" t="s">
        <v>85</v>
      </c>
      <c r="H412" s="46" t="s">
        <v>1350</v>
      </c>
      <c r="I412" s="45" t="s">
        <v>125</v>
      </c>
      <c r="J412" s="46" t="s">
        <v>127</v>
      </c>
      <c r="K412" s="46" t="s">
        <v>127</v>
      </c>
      <c r="L412" s="46" t="s">
        <v>12</v>
      </c>
      <c r="M412" s="46" t="s">
        <v>10</v>
      </c>
      <c r="N412" s="46" t="s">
        <v>11</v>
      </c>
      <c r="O412" s="49" t="s">
        <v>815</v>
      </c>
      <c r="P412" s="46" t="s">
        <v>507</v>
      </c>
      <c r="Q412" s="35" t="str">
        <f>MID(Tabla1[[#This Row],[Aplicación]],14,1)</f>
        <v>2</v>
      </c>
      <c r="R412" s="35" t="s">
        <v>495</v>
      </c>
      <c r="S412" s="35" t="str">
        <f>MID(Tabla1[[#This Row],[Aplicación]],6,2)</f>
        <v>10</v>
      </c>
      <c r="T412" s="35" t="str">
        <f>VLOOKUP(Tabla1[[#This Row],[AREA]],Hoja1!A:B,2,FALSE)</f>
        <v>10. Servicios sociales y mediación comunitaria</v>
      </c>
      <c r="U412" s="35" t="str">
        <f>MID(Tabla1[[#This Row],[Aplicación]],9,4)</f>
        <v>2311</v>
      </c>
      <c r="V412" s="35" t="str">
        <f>VLOOKUP(Tabla1[[#This Row],[PROGRAMA]],Hoja1!A:B,2,FALSE)</f>
        <v>2311. Intervención social</v>
      </c>
      <c r="W412" s="35" t="str">
        <f>MID(Tabla1[[#This Row],[Aplicación]],14,2)</f>
        <v>21</v>
      </c>
      <c r="X412" s="35" t="str">
        <f>MID(Tabla1[[#This Row],[Aplicación]],14,6)</f>
        <v>213</v>
      </c>
    </row>
    <row r="413" spans="1:24" x14ac:dyDescent="0.25">
      <c r="A413" s="45">
        <v>220210000529</v>
      </c>
      <c r="B413" s="46" t="s">
        <v>9</v>
      </c>
      <c r="C413" s="47">
        <v>44221</v>
      </c>
      <c r="D413" s="45">
        <v>22021000548</v>
      </c>
      <c r="E413" s="46" t="s">
        <v>983</v>
      </c>
      <c r="F413" s="48">
        <v>291.67</v>
      </c>
      <c r="G413" s="46" t="s">
        <v>85</v>
      </c>
      <c r="H413" s="46" t="s">
        <v>1351</v>
      </c>
      <c r="I413" s="45" t="s">
        <v>125</v>
      </c>
      <c r="J413" s="46" t="s">
        <v>127</v>
      </c>
      <c r="K413" s="46" t="s">
        <v>127</v>
      </c>
      <c r="L413" s="46" t="s">
        <v>12</v>
      </c>
      <c r="M413" s="46" t="s">
        <v>10</v>
      </c>
      <c r="N413" s="46" t="s">
        <v>11</v>
      </c>
      <c r="O413" s="49" t="s">
        <v>815</v>
      </c>
      <c r="P413" s="46" t="s">
        <v>507</v>
      </c>
      <c r="Q413" s="35" t="str">
        <f>MID(Tabla1[[#This Row],[Aplicación]],14,1)</f>
        <v>2</v>
      </c>
      <c r="R413" s="35" t="s">
        <v>495</v>
      </c>
      <c r="S413" s="35" t="str">
        <f>MID(Tabla1[[#This Row],[Aplicación]],6,2)</f>
        <v>10</v>
      </c>
      <c r="T413" s="35" t="str">
        <f>VLOOKUP(Tabla1[[#This Row],[AREA]],Hoja1!A:B,2,FALSE)</f>
        <v>10. Servicios sociales y mediación comunitaria</v>
      </c>
      <c r="U413" s="35" t="str">
        <f>MID(Tabla1[[#This Row],[Aplicación]],9,4)</f>
        <v>2412</v>
      </c>
      <c r="V413" s="35" t="str">
        <f>VLOOKUP(Tabla1[[#This Row],[PROGRAMA]],Hoja1!A:B,2,FALSE)</f>
        <v>2412. Formación para el empleo</v>
      </c>
      <c r="W413" s="35" t="str">
        <f>MID(Tabla1[[#This Row],[Aplicación]],14,2)</f>
        <v>21</v>
      </c>
      <c r="X413" s="35" t="str">
        <f>MID(Tabla1[[#This Row],[Aplicación]],14,6)</f>
        <v>213</v>
      </c>
    </row>
    <row r="414" spans="1:24" x14ac:dyDescent="0.25">
      <c r="A414" s="45">
        <v>220210000529</v>
      </c>
      <c r="B414" s="46" t="s">
        <v>9</v>
      </c>
      <c r="C414" s="47">
        <v>44221</v>
      </c>
      <c r="D414" s="45">
        <v>22021000549</v>
      </c>
      <c r="E414" s="46" t="s">
        <v>983</v>
      </c>
      <c r="F414" s="48">
        <v>291.67</v>
      </c>
      <c r="G414" s="46" t="s">
        <v>85</v>
      </c>
      <c r="H414" s="46" t="s">
        <v>1351</v>
      </c>
      <c r="I414" s="45" t="s">
        <v>125</v>
      </c>
      <c r="J414" s="46" t="s">
        <v>127</v>
      </c>
      <c r="K414" s="46" t="s">
        <v>127</v>
      </c>
      <c r="L414" s="46" t="s">
        <v>12</v>
      </c>
      <c r="M414" s="46" t="s">
        <v>10</v>
      </c>
      <c r="N414" s="46" t="s">
        <v>11</v>
      </c>
      <c r="O414" s="49" t="s">
        <v>815</v>
      </c>
      <c r="P414" s="46" t="s">
        <v>507</v>
      </c>
      <c r="Q414" s="35" t="str">
        <f>MID(Tabla1[[#This Row],[Aplicación]],14,1)</f>
        <v>2</v>
      </c>
      <c r="R414" s="35" t="s">
        <v>495</v>
      </c>
      <c r="S414" s="35" t="str">
        <f>MID(Tabla1[[#This Row],[Aplicación]],6,2)</f>
        <v>10</v>
      </c>
      <c r="T414" s="35" t="str">
        <f>VLOOKUP(Tabla1[[#This Row],[AREA]],Hoja1!A:B,2,FALSE)</f>
        <v>10. Servicios sociales y mediación comunitaria</v>
      </c>
      <c r="U414" s="35" t="str">
        <f>MID(Tabla1[[#This Row],[Aplicación]],9,4)</f>
        <v>2412</v>
      </c>
      <c r="V414" s="35" t="str">
        <f>VLOOKUP(Tabla1[[#This Row],[PROGRAMA]],Hoja1!A:B,2,FALSE)</f>
        <v>2412. Formación para el empleo</v>
      </c>
      <c r="W414" s="35" t="str">
        <f>MID(Tabla1[[#This Row],[Aplicación]],14,2)</f>
        <v>21</v>
      </c>
      <c r="X414" s="35" t="str">
        <f>MID(Tabla1[[#This Row],[Aplicación]],14,6)</f>
        <v>213</v>
      </c>
    </row>
    <row r="415" spans="1:24" x14ac:dyDescent="0.25">
      <c r="A415" s="45">
        <v>220210000529</v>
      </c>
      <c r="B415" s="46" t="s">
        <v>9</v>
      </c>
      <c r="C415" s="47">
        <v>44221</v>
      </c>
      <c r="D415" s="45">
        <v>22021000550</v>
      </c>
      <c r="E415" s="46" t="s">
        <v>983</v>
      </c>
      <c r="F415" s="48">
        <v>666.66</v>
      </c>
      <c r="G415" s="46" t="s">
        <v>85</v>
      </c>
      <c r="H415" s="46" t="s">
        <v>1351</v>
      </c>
      <c r="I415" s="45" t="s">
        <v>125</v>
      </c>
      <c r="J415" s="46" t="s">
        <v>127</v>
      </c>
      <c r="K415" s="46" t="s">
        <v>127</v>
      </c>
      <c r="L415" s="46" t="s">
        <v>12</v>
      </c>
      <c r="M415" s="46" t="s">
        <v>10</v>
      </c>
      <c r="N415" s="46" t="s">
        <v>11</v>
      </c>
      <c r="O415" s="49" t="s">
        <v>815</v>
      </c>
      <c r="P415" s="46" t="s">
        <v>507</v>
      </c>
      <c r="Q415" s="35" t="str">
        <f>MID(Tabla1[[#This Row],[Aplicación]],14,1)</f>
        <v>2</v>
      </c>
      <c r="R415" s="35" t="s">
        <v>495</v>
      </c>
      <c r="S415" s="35" t="str">
        <f>MID(Tabla1[[#This Row],[Aplicación]],6,2)</f>
        <v>10</v>
      </c>
      <c r="T415" s="35" t="str">
        <f>VLOOKUP(Tabla1[[#This Row],[AREA]],Hoja1!A:B,2,FALSE)</f>
        <v>10. Servicios sociales y mediación comunitaria</v>
      </c>
      <c r="U415" s="35" t="str">
        <f>MID(Tabla1[[#This Row],[Aplicación]],9,4)</f>
        <v>2412</v>
      </c>
      <c r="V415" s="35" t="str">
        <f>VLOOKUP(Tabla1[[#This Row],[PROGRAMA]],Hoja1!A:B,2,FALSE)</f>
        <v>2412. Formación para el empleo</v>
      </c>
      <c r="W415" s="35" t="str">
        <f>MID(Tabla1[[#This Row],[Aplicación]],14,2)</f>
        <v>21</v>
      </c>
      <c r="X415" s="35" t="str">
        <f>MID(Tabla1[[#This Row],[Aplicación]],14,6)</f>
        <v>213</v>
      </c>
    </row>
    <row r="416" spans="1:24" x14ac:dyDescent="0.25">
      <c r="A416" s="45">
        <v>220210000529</v>
      </c>
      <c r="B416" s="46" t="s">
        <v>9</v>
      </c>
      <c r="C416" s="47">
        <v>44221</v>
      </c>
      <c r="D416" s="45">
        <v>22021000551</v>
      </c>
      <c r="E416" s="46" t="s">
        <v>983</v>
      </c>
      <c r="F416" s="48">
        <v>250</v>
      </c>
      <c r="G416" s="46" t="s">
        <v>85</v>
      </c>
      <c r="H416" s="46" t="s">
        <v>1351</v>
      </c>
      <c r="I416" s="45" t="s">
        <v>125</v>
      </c>
      <c r="J416" s="46" t="s">
        <v>127</v>
      </c>
      <c r="K416" s="46" t="s">
        <v>127</v>
      </c>
      <c r="L416" s="46" t="s">
        <v>12</v>
      </c>
      <c r="M416" s="46" t="s">
        <v>10</v>
      </c>
      <c r="N416" s="46" t="s">
        <v>11</v>
      </c>
      <c r="O416" s="49" t="s">
        <v>815</v>
      </c>
      <c r="P416" s="46" t="s">
        <v>507</v>
      </c>
      <c r="Q416" s="35" t="str">
        <f>MID(Tabla1[[#This Row],[Aplicación]],14,1)</f>
        <v>2</v>
      </c>
      <c r="R416" s="35" t="s">
        <v>495</v>
      </c>
      <c r="S416" s="35" t="str">
        <f>MID(Tabla1[[#This Row],[Aplicación]],6,2)</f>
        <v>10</v>
      </c>
      <c r="T416" s="35" t="str">
        <f>VLOOKUP(Tabla1[[#This Row],[AREA]],Hoja1!A:B,2,FALSE)</f>
        <v>10. Servicios sociales y mediación comunitaria</v>
      </c>
      <c r="U416" s="35" t="str">
        <f>MID(Tabla1[[#This Row],[Aplicación]],9,4)</f>
        <v>2412</v>
      </c>
      <c r="V416" s="35" t="str">
        <f>VLOOKUP(Tabla1[[#This Row],[PROGRAMA]],Hoja1!A:B,2,FALSE)</f>
        <v>2412. Formación para el empleo</v>
      </c>
      <c r="W416" s="35" t="str">
        <f>MID(Tabla1[[#This Row],[Aplicación]],14,2)</f>
        <v>21</v>
      </c>
      <c r="X416" s="35" t="str">
        <f>MID(Tabla1[[#This Row],[Aplicación]],14,6)</f>
        <v>213</v>
      </c>
    </row>
    <row r="417" spans="1:24" x14ac:dyDescent="0.25">
      <c r="A417" s="45">
        <v>220210003975</v>
      </c>
      <c r="B417" s="46" t="s">
        <v>9</v>
      </c>
      <c r="C417" s="47">
        <v>44244</v>
      </c>
      <c r="D417" s="45">
        <v>22021002748</v>
      </c>
      <c r="E417" s="46" t="s">
        <v>1270</v>
      </c>
      <c r="F417" s="48">
        <v>18150</v>
      </c>
      <c r="G417" s="46" t="s">
        <v>232</v>
      </c>
      <c r="H417" s="46" t="s">
        <v>1352</v>
      </c>
      <c r="I417" s="45" t="s">
        <v>125</v>
      </c>
      <c r="J417" s="46" t="s">
        <v>127</v>
      </c>
      <c r="K417" s="46" t="s">
        <v>127</v>
      </c>
      <c r="L417" s="46" t="s">
        <v>12</v>
      </c>
      <c r="M417" s="46" t="s">
        <v>10</v>
      </c>
      <c r="N417" s="46" t="s">
        <v>11</v>
      </c>
      <c r="O417" s="49" t="s">
        <v>815</v>
      </c>
      <c r="P417" s="46" t="s">
        <v>507</v>
      </c>
      <c r="Q417" s="35" t="str">
        <f>MID(Tabla1[[#This Row],[Aplicación]],14,1)</f>
        <v>6</v>
      </c>
      <c r="R417" s="35" t="s">
        <v>496</v>
      </c>
      <c r="S417" s="35" t="str">
        <f>MID(Tabla1[[#This Row],[Aplicación]],6,2)</f>
        <v>11</v>
      </c>
      <c r="T417" s="35" t="str">
        <f>VLOOKUP(Tabla1[[#This Row],[AREA]],Hoja1!A:B,2,FALSE)</f>
        <v>11. Salud pública y seguridad ciudadana</v>
      </c>
      <c r="U417" s="35" t="str">
        <f>MID(Tabla1[[#This Row],[Aplicación]],9,4)</f>
        <v>1621</v>
      </c>
      <c r="V417" s="35" t="str">
        <f>VLOOKUP(Tabla1[[#This Row],[PROGRAMA]],Hoja1!A:B,2,FALSE)</f>
        <v>1621. Servicio de limpieza</v>
      </c>
      <c r="W417" s="35" t="str">
        <f>MID(Tabla1[[#This Row],[Aplicación]],14,2)</f>
        <v>63</v>
      </c>
      <c r="X417" s="35" t="str">
        <f>MID(Tabla1[[#This Row],[Aplicación]],14,6)</f>
        <v>634</v>
      </c>
    </row>
    <row r="418" spans="1:24" x14ac:dyDescent="0.25">
      <c r="A418" s="45">
        <v>220209000471</v>
      </c>
      <c r="B418" s="46" t="s">
        <v>9</v>
      </c>
      <c r="C418" s="47">
        <v>44198</v>
      </c>
      <c r="D418" s="45">
        <v>22021000321</v>
      </c>
      <c r="E418" s="46" t="s">
        <v>1353</v>
      </c>
      <c r="F418" s="48">
        <v>16152.82</v>
      </c>
      <c r="G418" s="46" t="s">
        <v>92</v>
      </c>
      <c r="H418" s="46" t="s">
        <v>1354</v>
      </c>
      <c r="I418" s="45" t="s">
        <v>125</v>
      </c>
      <c r="J418" s="46" t="s">
        <v>127</v>
      </c>
      <c r="K418" s="46" t="s">
        <v>127</v>
      </c>
      <c r="L418" s="46" t="s">
        <v>15</v>
      </c>
      <c r="M418" s="46" t="s">
        <v>13</v>
      </c>
      <c r="N418" s="46" t="s">
        <v>14</v>
      </c>
      <c r="O418" s="49" t="s">
        <v>803</v>
      </c>
      <c r="P418" s="46" t="s">
        <v>507</v>
      </c>
      <c r="Q418" s="35" t="str">
        <f>MID(Tabla1[[#This Row],[Aplicación]],14,1)</f>
        <v>2</v>
      </c>
      <c r="R418" s="35" t="s">
        <v>495</v>
      </c>
      <c r="S418" s="35" t="str">
        <f>MID(Tabla1[[#This Row],[Aplicación]],6,2)</f>
        <v>11</v>
      </c>
      <c r="T418" s="35" t="str">
        <f>VLOOKUP(Tabla1[[#This Row],[AREA]],Hoja1!A:B,2,FALSE)</f>
        <v>11. Salud pública y seguridad ciudadana</v>
      </c>
      <c r="U418" s="35" t="str">
        <f>MID(Tabla1[[#This Row],[Aplicación]],9,4)</f>
        <v>3111</v>
      </c>
      <c r="V418" s="35" t="str">
        <f>VLOOKUP(Tabla1[[#This Row],[PROGRAMA]],Hoja1!A:B,2,FALSE)</f>
        <v>3111. Protección de la salubridad pública</v>
      </c>
      <c r="W418" s="35" t="str">
        <f>MID(Tabla1[[#This Row],[Aplicación]],14,2)</f>
        <v>22</v>
      </c>
      <c r="X418" s="35" t="str">
        <f>MID(Tabla1[[#This Row],[Aplicación]],14,6)</f>
        <v>22113</v>
      </c>
    </row>
    <row r="419" spans="1:24" x14ac:dyDescent="0.25">
      <c r="A419" s="45">
        <v>220210003879</v>
      </c>
      <c r="B419" s="46" t="s">
        <v>32</v>
      </c>
      <c r="C419" s="47">
        <v>44243</v>
      </c>
      <c r="D419" s="45">
        <v>22021002376</v>
      </c>
      <c r="E419" s="46" t="s">
        <v>1251</v>
      </c>
      <c r="F419" s="48">
        <v>171.42</v>
      </c>
      <c r="G419" s="46" t="s">
        <v>193</v>
      </c>
      <c r="H419" s="46" t="s">
        <v>1355</v>
      </c>
      <c r="I419" s="45" t="s">
        <v>234</v>
      </c>
      <c r="J419" s="46" t="s">
        <v>127</v>
      </c>
      <c r="K419" s="46" t="s">
        <v>127</v>
      </c>
      <c r="L419" s="46" t="s">
        <v>12</v>
      </c>
      <c r="M419" s="46" t="s">
        <v>13</v>
      </c>
      <c r="N419" s="46" t="s">
        <v>14</v>
      </c>
      <c r="O419" s="49" t="s">
        <v>803</v>
      </c>
      <c r="P419" s="46" t="s">
        <v>507</v>
      </c>
      <c r="Q419" s="35" t="str">
        <f>MID(Tabla1[[#This Row],[Aplicación]],14,1)</f>
        <v>2</v>
      </c>
      <c r="R419" s="35" t="s">
        <v>495</v>
      </c>
      <c r="S419" s="35" t="str">
        <f>MID(Tabla1[[#This Row],[Aplicación]],6,2)</f>
        <v>09</v>
      </c>
      <c r="T419" s="35" t="str">
        <f>VLOOKUP(Tabla1[[#This Row],[AREA]],Hoja1!A:B,2,FALSE)</f>
        <v>09. Cultura y turismo</v>
      </c>
      <c r="U419" s="35" t="str">
        <f>MID(Tabla1[[#This Row],[Aplicación]],9,4)</f>
        <v>3301</v>
      </c>
      <c r="V419" s="35" t="str">
        <f>VLOOKUP(Tabla1[[#This Row],[PROGRAMA]],Hoja1!A:B,2,FALSE)</f>
        <v>3301. Dirección del área de cultura</v>
      </c>
      <c r="W419" s="35" t="str">
        <f>MID(Tabla1[[#This Row],[Aplicación]],14,2)</f>
        <v>22</v>
      </c>
      <c r="X419" s="35" t="str">
        <f>MID(Tabla1[[#This Row],[Aplicación]],14,6)</f>
        <v>22799</v>
      </c>
    </row>
    <row r="420" spans="1:24" x14ac:dyDescent="0.25">
      <c r="A420" s="45">
        <v>220209000813</v>
      </c>
      <c r="B420" s="46" t="s">
        <v>9</v>
      </c>
      <c r="C420" s="47">
        <v>44198</v>
      </c>
      <c r="D420" s="45">
        <v>22021000751</v>
      </c>
      <c r="E420" s="46" t="s">
        <v>1356</v>
      </c>
      <c r="F420" s="48">
        <v>5179.2</v>
      </c>
      <c r="G420" s="46" t="s">
        <v>1357</v>
      </c>
      <c r="H420" s="46" t="s">
        <v>1358</v>
      </c>
      <c r="I420" s="45" t="s">
        <v>125</v>
      </c>
      <c r="J420" s="46" t="s">
        <v>127</v>
      </c>
      <c r="K420" s="46" t="s">
        <v>127</v>
      </c>
      <c r="L420" s="46" t="s">
        <v>12</v>
      </c>
      <c r="M420" s="46" t="s">
        <v>10</v>
      </c>
      <c r="N420" s="46" t="s">
        <v>11</v>
      </c>
      <c r="O420" s="49" t="s">
        <v>815</v>
      </c>
      <c r="P420" s="46" t="s">
        <v>507</v>
      </c>
      <c r="Q420" s="35" t="str">
        <f>MID(Tabla1[[#This Row],[Aplicación]],14,1)</f>
        <v>2</v>
      </c>
      <c r="R420" s="35" t="s">
        <v>495</v>
      </c>
      <c r="S420" s="35" t="str">
        <f>MID(Tabla1[[#This Row],[Aplicación]],6,2)</f>
        <v>01</v>
      </c>
      <c r="T420" s="35" t="str">
        <f>VLOOKUP(Tabla1[[#This Row],[AREA]],Hoja1!A:B,2,FALSE)</f>
        <v>01. Alcaldía</v>
      </c>
      <c r="U420" s="35" t="str">
        <f>MID(Tabla1[[#This Row],[Aplicación]],9,4)</f>
        <v>9206</v>
      </c>
      <c r="V420" s="35" t="str">
        <f>VLOOKUP(Tabla1[[#This Row],[PROGRAMA]],Hoja1!A:B,2,FALSE)</f>
        <v>9206. Archivo municipal</v>
      </c>
      <c r="W420" s="35" t="str">
        <f>MID(Tabla1[[#This Row],[Aplicación]],14,2)</f>
        <v>22</v>
      </c>
      <c r="X420" s="35" t="str">
        <f>MID(Tabla1[[#This Row],[Aplicación]],14,6)</f>
        <v>22602</v>
      </c>
    </row>
    <row r="421" spans="1:24" x14ac:dyDescent="0.25">
      <c r="A421" s="45">
        <v>220209000408</v>
      </c>
      <c r="B421" s="46" t="s">
        <v>9</v>
      </c>
      <c r="C421" s="47">
        <v>44198</v>
      </c>
      <c r="D421" s="45">
        <v>22021000294</v>
      </c>
      <c r="E421" s="46" t="s">
        <v>1203</v>
      </c>
      <c r="F421" s="48">
        <v>695.06</v>
      </c>
      <c r="G421" s="46" t="s">
        <v>1359</v>
      </c>
      <c r="H421" s="46" t="s">
        <v>1360</v>
      </c>
      <c r="I421" s="45" t="s">
        <v>125</v>
      </c>
      <c r="J421" s="46" t="s">
        <v>180</v>
      </c>
      <c r="K421" s="46" t="s">
        <v>180</v>
      </c>
      <c r="L421" s="46" t="s">
        <v>15</v>
      </c>
      <c r="M421" s="46" t="s">
        <v>13</v>
      </c>
      <c r="N421" s="46" t="s">
        <v>14</v>
      </c>
      <c r="O421" s="49" t="s">
        <v>803</v>
      </c>
      <c r="P421" s="46" t="s">
        <v>507</v>
      </c>
      <c r="Q421" s="35" t="str">
        <f>MID(Tabla1[[#This Row],[Aplicación]],14,1)</f>
        <v>2</v>
      </c>
      <c r="R421" s="35" t="s">
        <v>495</v>
      </c>
      <c r="S421" s="35" t="str">
        <f>MID(Tabla1[[#This Row],[Aplicación]],6,2)</f>
        <v>01</v>
      </c>
      <c r="T421" s="35" t="str">
        <f>VLOOKUP(Tabla1[[#This Row],[AREA]],Hoja1!A:B,2,FALSE)</f>
        <v>01. Alcaldía</v>
      </c>
      <c r="U421" s="35" t="str">
        <f>MID(Tabla1[[#This Row],[Aplicación]],9,4)</f>
        <v>9203</v>
      </c>
      <c r="V421" s="35" t="str">
        <f>VLOOKUP(Tabla1[[#This Row],[PROGRAMA]],Hoja1!A:B,2,FALSE)</f>
        <v>9203. Unidad de régimen interior</v>
      </c>
      <c r="W421" s="35" t="str">
        <f>MID(Tabla1[[#This Row],[Aplicación]],14,2)</f>
        <v>22</v>
      </c>
      <c r="X421" s="35" t="str">
        <f>MID(Tabla1[[#This Row],[Aplicación]],14,6)</f>
        <v>22000</v>
      </c>
    </row>
    <row r="422" spans="1:24" x14ac:dyDescent="0.25">
      <c r="A422" s="45">
        <v>220209000411</v>
      </c>
      <c r="B422" s="46" t="s">
        <v>9</v>
      </c>
      <c r="C422" s="47">
        <v>44198</v>
      </c>
      <c r="D422" s="45">
        <v>22021000297</v>
      </c>
      <c r="E422" s="46" t="s">
        <v>1203</v>
      </c>
      <c r="F422" s="48">
        <v>2388.17</v>
      </c>
      <c r="G422" s="46" t="s">
        <v>1359</v>
      </c>
      <c r="H422" s="46" t="s">
        <v>1361</v>
      </c>
      <c r="I422" s="45" t="s">
        <v>125</v>
      </c>
      <c r="J422" s="46" t="s">
        <v>180</v>
      </c>
      <c r="K422" s="46" t="s">
        <v>180</v>
      </c>
      <c r="L422" s="46" t="s">
        <v>15</v>
      </c>
      <c r="M422" s="46" t="s">
        <v>13</v>
      </c>
      <c r="N422" s="46" t="s">
        <v>14</v>
      </c>
      <c r="O422" s="49" t="s">
        <v>803</v>
      </c>
      <c r="P422" s="46" t="s">
        <v>507</v>
      </c>
      <c r="Q422" s="35" t="str">
        <f>MID(Tabla1[[#This Row],[Aplicación]],14,1)</f>
        <v>2</v>
      </c>
      <c r="R422" s="35" t="s">
        <v>495</v>
      </c>
      <c r="S422" s="35" t="str">
        <f>MID(Tabla1[[#This Row],[Aplicación]],6,2)</f>
        <v>01</v>
      </c>
      <c r="T422" s="35" t="str">
        <f>VLOOKUP(Tabla1[[#This Row],[AREA]],Hoja1!A:B,2,FALSE)</f>
        <v>01. Alcaldía</v>
      </c>
      <c r="U422" s="35" t="str">
        <f>MID(Tabla1[[#This Row],[Aplicación]],9,4)</f>
        <v>9203</v>
      </c>
      <c r="V422" s="35" t="str">
        <f>VLOOKUP(Tabla1[[#This Row],[PROGRAMA]],Hoja1!A:B,2,FALSE)</f>
        <v>9203. Unidad de régimen interior</v>
      </c>
      <c r="W422" s="35" t="str">
        <f>MID(Tabla1[[#This Row],[Aplicación]],14,2)</f>
        <v>22</v>
      </c>
      <c r="X422" s="35" t="str">
        <f>MID(Tabla1[[#This Row],[Aplicación]],14,6)</f>
        <v>22000</v>
      </c>
    </row>
    <row r="423" spans="1:24" x14ac:dyDescent="0.25">
      <c r="A423" s="45">
        <v>220199000467</v>
      </c>
      <c r="B423" s="46" t="s">
        <v>9</v>
      </c>
      <c r="C423" s="47">
        <v>44198</v>
      </c>
      <c r="D423" s="45">
        <v>22021000706</v>
      </c>
      <c r="E423" s="46" t="s">
        <v>1286</v>
      </c>
      <c r="F423" s="48">
        <v>18750</v>
      </c>
      <c r="G423" s="46" t="s">
        <v>227</v>
      </c>
      <c r="H423" s="46" t="s">
        <v>27</v>
      </c>
      <c r="I423" s="45" t="s">
        <v>125</v>
      </c>
      <c r="J423" s="46" t="s">
        <v>669</v>
      </c>
      <c r="K423" s="46" t="s">
        <v>136</v>
      </c>
      <c r="L423" s="46" t="s">
        <v>12</v>
      </c>
      <c r="M423" s="46" t="s">
        <v>13</v>
      </c>
      <c r="N423" s="46" t="s">
        <v>14</v>
      </c>
      <c r="O423" s="49" t="s">
        <v>803</v>
      </c>
      <c r="P423" s="46" t="s">
        <v>507</v>
      </c>
      <c r="Q423" s="35" t="str">
        <f>MID(Tabla1[[#This Row],[Aplicación]],14,1)</f>
        <v>6</v>
      </c>
      <c r="R423" s="35" t="s">
        <v>496</v>
      </c>
      <c r="S423" s="35" t="str">
        <f>MID(Tabla1[[#This Row],[Aplicación]],6,2)</f>
        <v>04</v>
      </c>
      <c r="T423" s="35" t="str">
        <f>VLOOKUP(Tabla1[[#This Row],[AREA]],Hoja1!A:B,2,FALSE)</f>
        <v>04. Planificación y recursos</v>
      </c>
      <c r="U423" s="35" t="str">
        <f>MID(Tabla1[[#This Row],[Aplicación]],9,4)</f>
        <v>9204</v>
      </c>
      <c r="V423" s="35" t="str">
        <f>VLOOKUP(Tabla1[[#This Row],[PROGRAMA]],Hoja1!A:B,2,FALSE)</f>
        <v>9204. Tecnologías de la información y comunicación</v>
      </c>
      <c r="W423" s="35" t="str">
        <f>MID(Tabla1[[#This Row],[Aplicación]],14,2)</f>
        <v>64</v>
      </c>
      <c r="X423" s="35" t="str">
        <f>MID(Tabla1[[#This Row],[Aplicación]],14,6)</f>
        <v>641</v>
      </c>
    </row>
    <row r="424" spans="1:24" x14ac:dyDescent="0.25">
      <c r="A424" s="45">
        <v>220209000551</v>
      </c>
      <c r="B424" s="46" t="s">
        <v>9</v>
      </c>
      <c r="C424" s="47">
        <v>44198</v>
      </c>
      <c r="D424" s="45">
        <v>22021000582</v>
      </c>
      <c r="E424" s="46" t="s">
        <v>1362</v>
      </c>
      <c r="F424" s="48">
        <v>8473.64</v>
      </c>
      <c r="G424" s="46" t="s">
        <v>48</v>
      </c>
      <c r="H424" s="46" t="s">
        <v>1363</v>
      </c>
      <c r="I424" s="45" t="s">
        <v>125</v>
      </c>
      <c r="J424" s="46" t="s">
        <v>127</v>
      </c>
      <c r="K424" s="46" t="s">
        <v>127</v>
      </c>
      <c r="L424" s="46" t="s">
        <v>15</v>
      </c>
      <c r="M424" s="46" t="s">
        <v>13</v>
      </c>
      <c r="N424" s="46" t="s">
        <v>14</v>
      </c>
      <c r="O424" s="49" t="s">
        <v>803</v>
      </c>
      <c r="P424" s="46" t="s">
        <v>507</v>
      </c>
      <c r="Q424" s="35" t="str">
        <f>MID(Tabla1[[#This Row],[Aplicación]],14,1)</f>
        <v>2</v>
      </c>
      <c r="R424" s="35" t="s">
        <v>495</v>
      </c>
      <c r="S424" s="35" t="str">
        <f>MID(Tabla1[[#This Row],[Aplicación]],6,2)</f>
        <v>03</v>
      </c>
      <c r="T424" s="35" t="str">
        <f>VLOOKUP(Tabla1[[#This Row],[AREA]],Hoja1!A:B,2,FALSE)</f>
        <v>03. Participación ciudadana y deportes</v>
      </c>
      <c r="U424" s="35" t="str">
        <f>MID(Tabla1[[#This Row],[Aplicación]],9,4)</f>
        <v>9241</v>
      </c>
      <c r="V424" s="35" t="str">
        <f>VLOOKUP(Tabla1[[#This Row],[PROGRAMA]],Hoja1!A:B,2,FALSE)</f>
        <v>9241. Participación ciudadana</v>
      </c>
      <c r="W424" s="35" t="str">
        <f>MID(Tabla1[[#This Row],[Aplicación]],14,2)</f>
        <v>22</v>
      </c>
      <c r="X424" s="35" t="str">
        <f>MID(Tabla1[[#This Row],[Aplicación]],14,6)</f>
        <v>22104</v>
      </c>
    </row>
    <row r="425" spans="1:24" x14ac:dyDescent="0.25">
      <c r="A425" s="45">
        <v>220209000615</v>
      </c>
      <c r="B425" s="46" t="s">
        <v>9</v>
      </c>
      <c r="C425" s="47">
        <v>44198</v>
      </c>
      <c r="D425" s="45">
        <v>22021000633</v>
      </c>
      <c r="E425" s="46" t="s">
        <v>1364</v>
      </c>
      <c r="F425" s="48">
        <v>909.32</v>
      </c>
      <c r="G425" s="46" t="s">
        <v>48</v>
      </c>
      <c r="H425" s="46" t="s">
        <v>1365</v>
      </c>
      <c r="I425" s="45" t="s">
        <v>125</v>
      </c>
      <c r="J425" s="46" t="s">
        <v>127</v>
      </c>
      <c r="K425" s="46" t="s">
        <v>127</v>
      </c>
      <c r="L425" s="46" t="s">
        <v>15</v>
      </c>
      <c r="M425" s="46" t="s">
        <v>13</v>
      </c>
      <c r="N425" s="46" t="s">
        <v>14</v>
      </c>
      <c r="O425" s="49" t="s">
        <v>803</v>
      </c>
      <c r="P425" s="46" t="s">
        <v>507</v>
      </c>
      <c r="Q425" s="35" t="str">
        <f>MID(Tabla1[[#This Row],[Aplicación]],14,1)</f>
        <v>2</v>
      </c>
      <c r="R425" s="35" t="s">
        <v>495</v>
      </c>
      <c r="S425" s="35" t="str">
        <f>MID(Tabla1[[#This Row],[Aplicación]],6,2)</f>
        <v>05</v>
      </c>
      <c r="T425" s="35" t="str">
        <f>VLOOKUP(Tabla1[[#This Row],[AREA]],Hoja1!A:B,2,FALSE)</f>
        <v>05. Innovación, desarrollo económico, empleo y comercio</v>
      </c>
      <c r="U425" s="35" t="str">
        <f>MID(Tabla1[[#This Row],[Aplicación]],9,4)</f>
        <v>4315</v>
      </c>
      <c r="V425" s="35" t="str">
        <f>VLOOKUP(Tabla1[[#This Row],[PROGRAMA]],Hoja1!A:B,2,FALSE)</f>
        <v>4315. Actuaciones en materia de consumo</v>
      </c>
      <c r="W425" s="35" t="str">
        <f>MID(Tabla1[[#This Row],[Aplicación]],14,2)</f>
        <v>22</v>
      </c>
      <c r="X425" s="35" t="str">
        <f>MID(Tabla1[[#This Row],[Aplicación]],14,6)</f>
        <v>22100</v>
      </c>
    </row>
    <row r="426" spans="1:24" x14ac:dyDescent="0.25">
      <c r="A426" s="45">
        <v>220209000617</v>
      </c>
      <c r="B426" s="46" t="s">
        <v>9</v>
      </c>
      <c r="C426" s="47">
        <v>44198</v>
      </c>
      <c r="D426" s="45">
        <v>22021000635</v>
      </c>
      <c r="E426" s="46" t="s">
        <v>1366</v>
      </c>
      <c r="F426" s="48">
        <v>1609.3</v>
      </c>
      <c r="G426" s="46" t="s">
        <v>48</v>
      </c>
      <c r="H426" s="46" t="s">
        <v>1367</v>
      </c>
      <c r="I426" s="45" t="s">
        <v>125</v>
      </c>
      <c r="J426" s="46" t="s">
        <v>127</v>
      </c>
      <c r="K426" s="46" t="s">
        <v>127</v>
      </c>
      <c r="L426" s="46" t="s">
        <v>15</v>
      </c>
      <c r="M426" s="46" t="s">
        <v>13</v>
      </c>
      <c r="N426" s="46" t="s">
        <v>14</v>
      </c>
      <c r="O426" s="49" t="s">
        <v>803</v>
      </c>
      <c r="P426" s="46" t="s">
        <v>507</v>
      </c>
      <c r="Q426" s="35" t="str">
        <f>MID(Tabla1[[#This Row],[Aplicación]],14,1)</f>
        <v>2</v>
      </c>
      <c r="R426" s="35" t="s">
        <v>495</v>
      </c>
      <c r="S426" s="35" t="str">
        <f>MID(Tabla1[[#This Row],[Aplicación]],6,2)</f>
        <v>10</v>
      </c>
      <c r="T426" s="35" t="str">
        <f>VLOOKUP(Tabla1[[#This Row],[AREA]],Hoja1!A:B,2,FALSE)</f>
        <v>10. Servicios sociales y mediación comunitaria</v>
      </c>
      <c r="U426" s="35" t="str">
        <f>MID(Tabla1[[#This Row],[Aplicación]],9,4)</f>
        <v>2311</v>
      </c>
      <c r="V426" s="35" t="str">
        <f>VLOOKUP(Tabla1[[#This Row],[PROGRAMA]],Hoja1!A:B,2,FALSE)</f>
        <v>2311. Intervención social</v>
      </c>
      <c r="W426" s="35" t="str">
        <f>MID(Tabla1[[#This Row],[Aplicación]],14,2)</f>
        <v>22</v>
      </c>
      <c r="X426" s="35" t="str">
        <f>MID(Tabla1[[#This Row],[Aplicación]],14,6)</f>
        <v>22104</v>
      </c>
    </row>
    <row r="427" spans="1:24" x14ac:dyDescent="0.25">
      <c r="A427" s="45">
        <v>220209000642</v>
      </c>
      <c r="B427" s="46" t="s">
        <v>9</v>
      </c>
      <c r="C427" s="47">
        <v>44198</v>
      </c>
      <c r="D427" s="45">
        <v>22021000406</v>
      </c>
      <c r="E427" s="46" t="s">
        <v>1368</v>
      </c>
      <c r="F427" s="48">
        <v>3017.74</v>
      </c>
      <c r="G427" s="46" t="s">
        <v>48</v>
      </c>
      <c r="H427" s="46" t="s">
        <v>1369</v>
      </c>
      <c r="I427" s="45" t="s">
        <v>125</v>
      </c>
      <c r="J427" s="46" t="s">
        <v>127</v>
      </c>
      <c r="K427" s="46" t="s">
        <v>127</v>
      </c>
      <c r="L427" s="46" t="s">
        <v>15</v>
      </c>
      <c r="M427" s="46" t="s">
        <v>13</v>
      </c>
      <c r="N427" s="46" t="s">
        <v>14</v>
      </c>
      <c r="O427" s="49" t="s">
        <v>803</v>
      </c>
      <c r="P427" s="46" t="s">
        <v>507</v>
      </c>
      <c r="Q427" s="35" t="str">
        <f>MID(Tabla1[[#This Row],[Aplicación]],14,1)</f>
        <v>2</v>
      </c>
      <c r="R427" s="35" t="s">
        <v>495</v>
      </c>
      <c r="S427" s="35" t="str">
        <f>MID(Tabla1[[#This Row],[Aplicación]],6,2)</f>
        <v>10</v>
      </c>
      <c r="T427" s="35" t="str">
        <f>VLOOKUP(Tabla1[[#This Row],[AREA]],Hoja1!A:B,2,FALSE)</f>
        <v>10. Servicios sociales y mediación comunitaria</v>
      </c>
      <c r="U427" s="35" t="str">
        <f>MID(Tabla1[[#This Row],[Aplicación]],9,4)</f>
        <v>2312</v>
      </c>
      <c r="V427" s="35" t="str">
        <f>VLOOKUP(Tabla1[[#This Row],[PROGRAMA]],Hoja1!A:B,2,FALSE)</f>
        <v>2312. Iniciativas sociales</v>
      </c>
      <c r="W427" s="35" t="str">
        <f>MID(Tabla1[[#This Row],[Aplicación]],14,2)</f>
        <v>22</v>
      </c>
      <c r="X427" s="35" t="str">
        <f>MID(Tabla1[[#This Row],[Aplicación]],14,6)</f>
        <v>22104</v>
      </c>
    </row>
    <row r="428" spans="1:24" x14ac:dyDescent="0.25">
      <c r="A428" s="45">
        <v>220210000020</v>
      </c>
      <c r="B428" s="46" t="s">
        <v>32</v>
      </c>
      <c r="C428" s="47">
        <v>44215</v>
      </c>
      <c r="D428" s="45">
        <v>22021000664</v>
      </c>
      <c r="E428" s="46" t="s">
        <v>1300</v>
      </c>
      <c r="F428" s="48">
        <v>4910.7299999999996</v>
      </c>
      <c r="G428" s="46" t="s">
        <v>576</v>
      </c>
      <c r="H428" s="46" t="s">
        <v>1370</v>
      </c>
      <c r="I428" s="45" t="s">
        <v>234</v>
      </c>
      <c r="J428" s="46" t="s">
        <v>623</v>
      </c>
      <c r="K428" s="46" t="s">
        <v>201</v>
      </c>
      <c r="L428" s="46" t="s">
        <v>12</v>
      </c>
      <c r="M428" s="46" t="s">
        <v>13</v>
      </c>
      <c r="N428" s="46" t="s">
        <v>14</v>
      </c>
      <c r="O428" s="49" t="s">
        <v>803</v>
      </c>
      <c r="P428" s="46" t="s">
        <v>507</v>
      </c>
      <c r="Q428" s="35" t="str">
        <f>MID(Tabla1[[#This Row],[Aplicación]],14,1)</f>
        <v>2</v>
      </c>
      <c r="R428" s="35" t="s">
        <v>495</v>
      </c>
      <c r="S428" s="35" t="str">
        <f>MID(Tabla1[[#This Row],[Aplicación]],6,2)</f>
        <v>04</v>
      </c>
      <c r="T428" s="35" t="str">
        <f>VLOOKUP(Tabla1[[#This Row],[AREA]],Hoja1!A:B,2,FALSE)</f>
        <v>04. Planificación y recursos</v>
      </c>
      <c r="U428" s="35" t="str">
        <f>MID(Tabla1[[#This Row],[Aplicación]],9,4)</f>
        <v>9331</v>
      </c>
      <c r="V428" s="35" t="str">
        <f>VLOOKUP(Tabla1[[#This Row],[PROGRAMA]],Hoja1!A:B,2,FALSE)</f>
        <v>9331. Gestión del patrimonio</v>
      </c>
      <c r="W428" s="35" t="str">
        <f>MID(Tabla1[[#This Row],[Aplicación]],14,2)</f>
        <v>22</v>
      </c>
      <c r="X428" s="35" t="str">
        <f>MID(Tabla1[[#This Row],[Aplicación]],14,6)</f>
        <v>224</v>
      </c>
    </row>
    <row r="429" spans="1:24" x14ac:dyDescent="0.25">
      <c r="A429" s="45">
        <v>220200009642</v>
      </c>
      <c r="B429" s="46" t="s">
        <v>9</v>
      </c>
      <c r="C429" s="47">
        <v>44284</v>
      </c>
      <c r="D429" s="45">
        <v>22020002273</v>
      </c>
      <c r="E429" s="46" t="s">
        <v>1371</v>
      </c>
      <c r="F429" s="48">
        <v>45012</v>
      </c>
      <c r="G429" s="46" t="s">
        <v>520</v>
      </c>
      <c r="H429" s="46" t="s">
        <v>647</v>
      </c>
      <c r="I429" s="45" t="s">
        <v>125</v>
      </c>
      <c r="J429" s="46" t="s">
        <v>127</v>
      </c>
      <c r="K429" s="46" t="s">
        <v>127</v>
      </c>
      <c r="L429" s="46" t="s">
        <v>12</v>
      </c>
      <c r="M429" s="46" t="s">
        <v>13</v>
      </c>
      <c r="N429" s="46" t="s">
        <v>14</v>
      </c>
      <c r="O429" s="49" t="s">
        <v>803</v>
      </c>
      <c r="P429" s="46" t="s">
        <v>507</v>
      </c>
      <c r="Q429" s="35" t="str">
        <f>MID(Tabla1[[#This Row],[Aplicación]],14,1)</f>
        <v>6</v>
      </c>
      <c r="R429" s="35" t="s">
        <v>496</v>
      </c>
      <c r="S429" s="35" t="str">
        <f>MID(Tabla1[[#This Row],[Aplicación]],6,2)</f>
        <v>10</v>
      </c>
      <c r="T429" s="35" t="str">
        <f>VLOOKUP(Tabla1[[#This Row],[AREA]],Hoja1!A:B,2,FALSE)</f>
        <v>10. Servicios sociales y mediación comunitaria</v>
      </c>
      <c r="U429" s="35" t="str">
        <f>MID(Tabla1[[#This Row],[Aplicación]],9,4)</f>
        <v>2312</v>
      </c>
      <c r="V429" s="35" t="str">
        <f>VLOOKUP(Tabla1[[#This Row],[PROGRAMA]],Hoja1!A:B,2,FALSE)</f>
        <v>2312. Iniciativas sociales</v>
      </c>
      <c r="W429" s="35" t="str">
        <f>MID(Tabla1[[#This Row],[Aplicación]],14,2)</f>
        <v>62</v>
      </c>
      <c r="X429" s="35" t="str">
        <f>MID(Tabla1[[#This Row],[Aplicación]],14,6)</f>
        <v>622</v>
      </c>
    </row>
    <row r="430" spans="1:24" x14ac:dyDescent="0.25">
      <c r="A430" s="45">
        <v>220210001029</v>
      </c>
      <c r="B430" s="46" t="s">
        <v>9</v>
      </c>
      <c r="C430" s="47">
        <v>44223</v>
      </c>
      <c r="D430" s="45">
        <v>22021001516</v>
      </c>
      <c r="E430" s="46" t="s">
        <v>1372</v>
      </c>
      <c r="F430" s="48">
        <v>1000</v>
      </c>
      <c r="G430" s="46" t="s">
        <v>267</v>
      </c>
      <c r="H430" s="46" t="s">
        <v>1373</v>
      </c>
      <c r="I430" s="45" t="s">
        <v>125</v>
      </c>
      <c r="J430" s="46" t="s">
        <v>633</v>
      </c>
      <c r="K430" s="46" t="s">
        <v>127</v>
      </c>
      <c r="L430" s="46" t="s">
        <v>12</v>
      </c>
      <c r="M430" s="46" t="s">
        <v>10</v>
      </c>
      <c r="N430" s="46" t="s">
        <v>11</v>
      </c>
      <c r="O430" s="49" t="s">
        <v>815</v>
      </c>
      <c r="P430" s="46" t="s">
        <v>507</v>
      </c>
      <c r="Q430" s="35" t="str">
        <f>MID(Tabla1[[#This Row],[Aplicación]],14,1)</f>
        <v>2</v>
      </c>
      <c r="R430" s="35" t="s">
        <v>495</v>
      </c>
      <c r="S430" s="35" t="str">
        <f>MID(Tabla1[[#This Row],[Aplicación]],6,2)</f>
        <v>07</v>
      </c>
      <c r="T430" s="35" t="str">
        <f>VLOOKUP(Tabla1[[#This Row],[AREA]],Hoja1!A:B,2,FALSE)</f>
        <v>07. Medio ambiente y desarrollo sostenible</v>
      </c>
      <c r="U430" s="35" t="str">
        <f>MID(Tabla1[[#This Row],[Aplicación]],9,4)</f>
        <v>1711</v>
      </c>
      <c r="V430" s="35" t="str">
        <f>VLOOKUP(Tabla1[[#This Row],[PROGRAMA]],Hoja1!A:B,2,FALSE)</f>
        <v>1711. Parques y jardines</v>
      </c>
      <c r="W430" s="35" t="str">
        <f>MID(Tabla1[[#This Row],[Aplicación]],14,2)</f>
        <v>21</v>
      </c>
      <c r="X430" s="35" t="str">
        <f>MID(Tabla1[[#This Row],[Aplicación]],14,6)</f>
        <v>213</v>
      </c>
    </row>
    <row r="431" spans="1:24" x14ac:dyDescent="0.25">
      <c r="A431" s="45">
        <v>220210003977</v>
      </c>
      <c r="B431" s="46" t="s">
        <v>9</v>
      </c>
      <c r="C431" s="47">
        <v>44244</v>
      </c>
      <c r="D431" s="45">
        <v>22021002751</v>
      </c>
      <c r="E431" s="46" t="s">
        <v>1270</v>
      </c>
      <c r="F431" s="48">
        <v>18150</v>
      </c>
      <c r="G431" s="46" t="s">
        <v>316</v>
      </c>
      <c r="H431" s="46" t="s">
        <v>1374</v>
      </c>
      <c r="I431" s="45" t="s">
        <v>125</v>
      </c>
      <c r="J431" s="46" t="s">
        <v>127</v>
      </c>
      <c r="K431" s="46" t="s">
        <v>127</v>
      </c>
      <c r="L431" s="46" t="s">
        <v>12</v>
      </c>
      <c r="M431" s="46" t="s">
        <v>10</v>
      </c>
      <c r="N431" s="46" t="s">
        <v>11</v>
      </c>
      <c r="O431" s="49" t="s">
        <v>815</v>
      </c>
      <c r="P431" s="46" t="s">
        <v>507</v>
      </c>
      <c r="Q431" s="35" t="str">
        <f>MID(Tabla1[[#This Row],[Aplicación]],14,1)</f>
        <v>6</v>
      </c>
      <c r="R431" s="35" t="s">
        <v>496</v>
      </c>
      <c r="S431" s="35" t="str">
        <f>MID(Tabla1[[#This Row],[Aplicación]],6,2)</f>
        <v>11</v>
      </c>
      <c r="T431" s="35" t="str">
        <f>VLOOKUP(Tabla1[[#This Row],[AREA]],Hoja1!A:B,2,FALSE)</f>
        <v>11. Salud pública y seguridad ciudadana</v>
      </c>
      <c r="U431" s="35" t="str">
        <f>MID(Tabla1[[#This Row],[Aplicación]],9,4)</f>
        <v>1621</v>
      </c>
      <c r="V431" s="35" t="str">
        <f>VLOOKUP(Tabla1[[#This Row],[PROGRAMA]],Hoja1!A:B,2,FALSE)</f>
        <v>1621. Servicio de limpieza</v>
      </c>
      <c r="W431" s="35" t="str">
        <f>MID(Tabla1[[#This Row],[Aplicación]],14,2)</f>
        <v>63</v>
      </c>
      <c r="X431" s="35" t="str">
        <f>MID(Tabla1[[#This Row],[Aplicación]],14,6)</f>
        <v>634</v>
      </c>
    </row>
    <row r="432" spans="1:24" x14ac:dyDescent="0.25">
      <c r="A432" s="45">
        <v>220209000409</v>
      </c>
      <c r="B432" s="46" t="s">
        <v>9</v>
      </c>
      <c r="C432" s="47">
        <v>44198</v>
      </c>
      <c r="D432" s="45">
        <v>22021000295</v>
      </c>
      <c r="E432" s="46" t="s">
        <v>1203</v>
      </c>
      <c r="F432" s="48">
        <v>1720.64</v>
      </c>
      <c r="G432" s="46" t="s">
        <v>214</v>
      </c>
      <c r="H432" s="46" t="s">
        <v>1375</v>
      </c>
      <c r="I432" s="45" t="s">
        <v>125</v>
      </c>
      <c r="J432" s="46" t="s">
        <v>127</v>
      </c>
      <c r="K432" s="46" t="s">
        <v>127</v>
      </c>
      <c r="L432" s="46" t="s">
        <v>15</v>
      </c>
      <c r="M432" s="46" t="s">
        <v>13</v>
      </c>
      <c r="N432" s="46" t="s">
        <v>11</v>
      </c>
      <c r="O432" s="49" t="s">
        <v>803</v>
      </c>
      <c r="P432" s="46" t="s">
        <v>507</v>
      </c>
      <c r="Q432" s="35" t="str">
        <f>MID(Tabla1[[#This Row],[Aplicación]],14,1)</f>
        <v>2</v>
      </c>
      <c r="R432" s="35" t="s">
        <v>495</v>
      </c>
      <c r="S432" s="35" t="str">
        <f>MID(Tabla1[[#This Row],[Aplicación]],6,2)</f>
        <v>01</v>
      </c>
      <c r="T432" s="35" t="str">
        <f>VLOOKUP(Tabla1[[#This Row],[AREA]],Hoja1!A:B,2,FALSE)</f>
        <v>01. Alcaldía</v>
      </c>
      <c r="U432" s="35" t="str">
        <f>MID(Tabla1[[#This Row],[Aplicación]],9,4)</f>
        <v>9203</v>
      </c>
      <c r="V432" s="35" t="str">
        <f>VLOOKUP(Tabla1[[#This Row],[PROGRAMA]],Hoja1!A:B,2,FALSE)</f>
        <v>9203. Unidad de régimen interior</v>
      </c>
      <c r="W432" s="35" t="str">
        <f>MID(Tabla1[[#This Row],[Aplicación]],14,2)</f>
        <v>22</v>
      </c>
      <c r="X432" s="35" t="str">
        <f>MID(Tabla1[[#This Row],[Aplicación]],14,6)</f>
        <v>22000</v>
      </c>
    </row>
    <row r="433" spans="1:24" x14ac:dyDescent="0.25">
      <c r="A433" s="45">
        <v>220209000410</v>
      </c>
      <c r="B433" s="46" t="s">
        <v>9</v>
      </c>
      <c r="C433" s="47">
        <v>44198</v>
      </c>
      <c r="D433" s="45">
        <v>22021000296</v>
      </c>
      <c r="E433" s="46" t="s">
        <v>1203</v>
      </c>
      <c r="F433" s="48">
        <v>2823.07</v>
      </c>
      <c r="G433" s="46" t="s">
        <v>214</v>
      </c>
      <c r="H433" s="46" t="s">
        <v>1376</v>
      </c>
      <c r="I433" s="45" t="s">
        <v>125</v>
      </c>
      <c r="J433" s="46" t="s">
        <v>127</v>
      </c>
      <c r="K433" s="46" t="s">
        <v>127</v>
      </c>
      <c r="L433" s="46" t="s">
        <v>15</v>
      </c>
      <c r="M433" s="46" t="s">
        <v>13</v>
      </c>
      <c r="N433" s="46" t="s">
        <v>11</v>
      </c>
      <c r="O433" s="49" t="s">
        <v>803</v>
      </c>
      <c r="P433" s="46" t="s">
        <v>507</v>
      </c>
      <c r="Q433" s="35" t="str">
        <f>MID(Tabla1[[#This Row],[Aplicación]],14,1)</f>
        <v>2</v>
      </c>
      <c r="R433" s="35" t="s">
        <v>495</v>
      </c>
      <c r="S433" s="35" t="str">
        <f>MID(Tabla1[[#This Row],[Aplicación]],6,2)</f>
        <v>01</v>
      </c>
      <c r="T433" s="35" t="str">
        <f>VLOOKUP(Tabla1[[#This Row],[AREA]],Hoja1!A:B,2,FALSE)</f>
        <v>01. Alcaldía</v>
      </c>
      <c r="U433" s="35" t="str">
        <f>MID(Tabla1[[#This Row],[Aplicación]],9,4)</f>
        <v>9203</v>
      </c>
      <c r="V433" s="35" t="str">
        <f>VLOOKUP(Tabla1[[#This Row],[PROGRAMA]],Hoja1!A:B,2,FALSE)</f>
        <v>9203. Unidad de régimen interior</v>
      </c>
      <c r="W433" s="35" t="str">
        <f>MID(Tabla1[[#This Row],[Aplicación]],14,2)</f>
        <v>22</v>
      </c>
      <c r="X433" s="35" t="str">
        <f>MID(Tabla1[[#This Row],[Aplicación]],14,6)</f>
        <v>22000</v>
      </c>
    </row>
    <row r="434" spans="1:24" x14ac:dyDescent="0.25">
      <c r="A434" s="45">
        <v>220209000412</v>
      </c>
      <c r="B434" s="46" t="s">
        <v>9</v>
      </c>
      <c r="C434" s="47">
        <v>44198</v>
      </c>
      <c r="D434" s="45">
        <v>22021000298</v>
      </c>
      <c r="E434" s="46" t="s">
        <v>1203</v>
      </c>
      <c r="F434" s="48">
        <v>3905.44</v>
      </c>
      <c r="G434" s="46" t="s">
        <v>214</v>
      </c>
      <c r="H434" s="46" t="s">
        <v>1377</v>
      </c>
      <c r="I434" s="45" t="s">
        <v>125</v>
      </c>
      <c r="J434" s="46" t="s">
        <v>127</v>
      </c>
      <c r="K434" s="46" t="s">
        <v>127</v>
      </c>
      <c r="L434" s="46" t="s">
        <v>15</v>
      </c>
      <c r="M434" s="46" t="s">
        <v>13</v>
      </c>
      <c r="N434" s="46" t="s">
        <v>11</v>
      </c>
      <c r="O434" s="49" t="s">
        <v>803</v>
      </c>
      <c r="P434" s="46" t="s">
        <v>507</v>
      </c>
      <c r="Q434" s="35" t="str">
        <f>MID(Tabla1[[#This Row],[Aplicación]],14,1)</f>
        <v>2</v>
      </c>
      <c r="R434" s="35" t="s">
        <v>495</v>
      </c>
      <c r="S434" s="35" t="str">
        <f>MID(Tabla1[[#This Row],[Aplicación]],6,2)</f>
        <v>01</v>
      </c>
      <c r="T434" s="35" t="str">
        <f>VLOOKUP(Tabla1[[#This Row],[AREA]],Hoja1!A:B,2,FALSE)</f>
        <v>01. Alcaldía</v>
      </c>
      <c r="U434" s="35" t="str">
        <f>MID(Tabla1[[#This Row],[Aplicación]],9,4)</f>
        <v>9203</v>
      </c>
      <c r="V434" s="35" t="str">
        <f>VLOOKUP(Tabla1[[#This Row],[PROGRAMA]],Hoja1!A:B,2,FALSE)</f>
        <v>9203. Unidad de régimen interior</v>
      </c>
      <c r="W434" s="35" t="str">
        <f>MID(Tabla1[[#This Row],[Aplicación]],14,2)</f>
        <v>22</v>
      </c>
      <c r="X434" s="35" t="str">
        <f>MID(Tabla1[[#This Row],[Aplicación]],14,6)</f>
        <v>22000</v>
      </c>
    </row>
    <row r="435" spans="1:24" x14ac:dyDescent="0.25">
      <c r="A435" s="45">
        <v>220210001027</v>
      </c>
      <c r="B435" s="46" t="s">
        <v>9</v>
      </c>
      <c r="C435" s="47">
        <v>44223</v>
      </c>
      <c r="D435" s="45">
        <v>22021002035</v>
      </c>
      <c r="E435" s="46" t="s">
        <v>1378</v>
      </c>
      <c r="F435" s="48">
        <v>1353.46</v>
      </c>
      <c r="G435" s="46" t="s">
        <v>214</v>
      </c>
      <c r="H435" s="46" t="s">
        <v>1379</v>
      </c>
      <c r="I435" s="45" t="s">
        <v>125</v>
      </c>
      <c r="J435" s="46" t="s">
        <v>127</v>
      </c>
      <c r="K435" s="46" t="s">
        <v>127</v>
      </c>
      <c r="L435" s="46" t="s">
        <v>15</v>
      </c>
      <c r="M435" s="46" t="s">
        <v>10</v>
      </c>
      <c r="N435" s="46" t="s">
        <v>11</v>
      </c>
      <c r="O435" s="49" t="s">
        <v>815</v>
      </c>
      <c r="P435" s="46" t="s">
        <v>507</v>
      </c>
      <c r="Q435" s="35" t="str">
        <f>MID(Tabla1[[#This Row],[Aplicación]],14,1)</f>
        <v>2</v>
      </c>
      <c r="R435" s="35" t="s">
        <v>495</v>
      </c>
      <c r="S435" s="35" t="str">
        <f>MID(Tabla1[[#This Row],[Aplicación]],6,2)</f>
        <v>01</v>
      </c>
      <c r="T435" s="35" t="str">
        <f>VLOOKUP(Tabla1[[#This Row],[AREA]],Hoja1!A:B,2,FALSE)</f>
        <v>01. Alcaldía</v>
      </c>
      <c r="U435" s="35" t="str">
        <f>MID(Tabla1[[#This Row],[Aplicación]],9,4)</f>
        <v>9205</v>
      </c>
      <c r="V435" s="35" t="str">
        <f>VLOOKUP(Tabla1[[#This Row],[PROGRAMA]],Hoja1!A:B,2,FALSE)</f>
        <v>9205. Imprenta municipal</v>
      </c>
      <c r="W435" s="35" t="str">
        <f>MID(Tabla1[[#This Row],[Aplicación]],14,2)</f>
        <v>22</v>
      </c>
      <c r="X435" s="35" t="str">
        <f>MID(Tabla1[[#This Row],[Aplicación]],14,6)</f>
        <v>22199</v>
      </c>
    </row>
    <row r="436" spans="1:24" x14ac:dyDescent="0.25">
      <c r="A436" s="45">
        <v>220210003657</v>
      </c>
      <c r="B436" s="46" t="s">
        <v>9</v>
      </c>
      <c r="C436" s="47">
        <v>44243</v>
      </c>
      <c r="D436" s="45">
        <v>22021002695</v>
      </c>
      <c r="E436" s="46" t="s">
        <v>1380</v>
      </c>
      <c r="F436" s="48">
        <v>14.75</v>
      </c>
      <c r="G436" s="46" t="s">
        <v>214</v>
      </c>
      <c r="H436" s="46" t="s">
        <v>1381</v>
      </c>
      <c r="I436" s="45" t="s">
        <v>125</v>
      </c>
      <c r="J436" s="46" t="s">
        <v>127</v>
      </c>
      <c r="K436" s="46" t="s">
        <v>127</v>
      </c>
      <c r="L436" s="46" t="s">
        <v>15</v>
      </c>
      <c r="M436" s="46" t="s">
        <v>10</v>
      </c>
      <c r="N436" s="46" t="s">
        <v>11</v>
      </c>
      <c r="O436" s="49" t="s">
        <v>815</v>
      </c>
      <c r="P436" s="46" t="s">
        <v>507</v>
      </c>
      <c r="Q436" s="35" t="str">
        <f>MID(Tabla1[[#This Row],[Aplicación]],14,1)</f>
        <v>2</v>
      </c>
      <c r="R436" s="35" t="s">
        <v>495</v>
      </c>
      <c r="S436" s="35" t="str">
        <f>MID(Tabla1[[#This Row],[Aplicación]],6,2)</f>
        <v>03</v>
      </c>
      <c r="T436" s="35" t="str">
        <f>VLOOKUP(Tabla1[[#This Row],[AREA]],Hoja1!A:B,2,FALSE)</f>
        <v>03. Participación ciudadana y deportes</v>
      </c>
      <c r="U436" s="35" t="str">
        <f>MID(Tabla1[[#This Row],[Aplicación]],9,4)</f>
        <v>9241</v>
      </c>
      <c r="V436" s="35" t="str">
        <f>VLOOKUP(Tabla1[[#This Row],[PROGRAMA]],Hoja1!A:B,2,FALSE)</f>
        <v>9241. Participación ciudadana</v>
      </c>
      <c r="W436" s="35" t="str">
        <f>MID(Tabla1[[#This Row],[Aplicación]],14,2)</f>
        <v>22</v>
      </c>
      <c r="X436" s="35" t="str">
        <f>MID(Tabla1[[#This Row],[Aplicación]],14,6)</f>
        <v>22699</v>
      </c>
    </row>
    <row r="437" spans="1:24" x14ac:dyDescent="0.25">
      <c r="A437" s="45">
        <v>220210006014</v>
      </c>
      <c r="B437" s="46" t="s">
        <v>9</v>
      </c>
      <c r="C437" s="47">
        <v>44251</v>
      </c>
      <c r="D437" s="45">
        <v>22021002969</v>
      </c>
      <c r="E437" s="46" t="s">
        <v>1382</v>
      </c>
      <c r="F437" s="48">
        <v>2434.25</v>
      </c>
      <c r="G437" s="46" t="s">
        <v>1383</v>
      </c>
      <c r="H437" s="46" t="s">
        <v>1384</v>
      </c>
      <c r="I437" s="45" t="s">
        <v>125</v>
      </c>
      <c r="J437" s="46" t="s">
        <v>126</v>
      </c>
      <c r="K437" s="46" t="s">
        <v>126</v>
      </c>
      <c r="L437" s="46" t="s">
        <v>15</v>
      </c>
      <c r="M437" s="46" t="s">
        <v>10</v>
      </c>
      <c r="N437" s="46" t="s">
        <v>11</v>
      </c>
      <c r="O437" s="49" t="s">
        <v>815</v>
      </c>
      <c r="P437" s="46" t="s">
        <v>507</v>
      </c>
      <c r="Q437" s="35" t="str">
        <f>MID(Tabla1[[#This Row],[Aplicación]],14,1)</f>
        <v>2</v>
      </c>
      <c r="R437" s="35" t="s">
        <v>495</v>
      </c>
      <c r="S437" s="35" t="str">
        <f>MID(Tabla1[[#This Row],[Aplicación]],6,2)</f>
        <v>11</v>
      </c>
      <c r="T437" s="35" t="str">
        <f>VLOOKUP(Tabla1[[#This Row],[AREA]],Hoja1!A:B,2,FALSE)</f>
        <v>11. Salud pública y seguridad ciudadana</v>
      </c>
      <c r="U437" s="35" t="str">
        <f>MID(Tabla1[[#This Row],[Aplicación]],9,4)</f>
        <v>1631</v>
      </c>
      <c r="V437" s="35" t="str">
        <f>VLOOKUP(Tabla1[[#This Row],[PROGRAMA]],Hoja1!A:B,2,FALSE)</f>
        <v>1631. Limpieza viaria</v>
      </c>
      <c r="W437" s="35" t="str">
        <f>MID(Tabla1[[#This Row],[Aplicación]],14,2)</f>
        <v>21</v>
      </c>
      <c r="X437" s="35" t="str">
        <f>MID(Tabla1[[#This Row],[Aplicación]],14,6)</f>
        <v>214</v>
      </c>
    </row>
    <row r="438" spans="1:24" x14ac:dyDescent="0.25">
      <c r="A438" s="45">
        <v>220210001354</v>
      </c>
      <c r="B438" s="46" t="s">
        <v>9</v>
      </c>
      <c r="C438" s="47">
        <v>44228</v>
      </c>
      <c r="D438" s="45">
        <v>22021000841</v>
      </c>
      <c r="E438" s="46" t="s">
        <v>890</v>
      </c>
      <c r="F438" s="48">
        <v>4000</v>
      </c>
      <c r="G438" s="46" t="s">
        <v>75</v>
      </c>
      <c r="H438" s="46" t="s">
        <v>1385</v>
      </c>
      <c r="I438" s="45" t="s">
        <v>125</v>
      </c>
      <c r="J438" s="46" t="s">
        <v>127</v>
      </c>
      <c r="K438" s="46" t="s">
        <v>127</v>
      </c>
      <c r="L438" s="46" t="s">
        <v>12</v>
      </c>
      <c r="M438" s="46" t="s">
        <v>10</v>
      </c>
      <c r="N438" s="46" t="s">
        <v>11</v>
      </c>
      <c r="O438" s="49" t="s">
        <v>815</v>
      </c>
      <c r="P438" s="46" t="s">
        <v>507</v>
      </c>
      <c r="Q438" s="35" t="str">
        <f>MID(Tabla1[[#This Row],[Aplicación]],14,1)</f>
        <v>2</v>
      </c>
      <c r="R438" s="35" t="s">
        <v>495</v>
      </c>
      <c r="S438" s="35" t="str">
        <f>MID(Tabla1[[#This Row],[Aplicación]],6,2)</f>
        <v>11</v>
      </c>
      <c r="T438" s="35" t="str">
        <f>VLOOKUP(Tabla1[[#This Row],[AREA]],Hoja1!A:B,2,FALSE)</f>
        <v>11. Salud pública y seguridad ciudadana</v>
      </c>
      <c r="U438" s="35" t="str">
        <f>MID(Tabla1[[#This Row],[Aplicación]],9,4)</f>
        <v>1621</v>
      </c>
      <c r="V438" s="35" t="str">
        <f>VLOOKUP(Tabla1[[#This Row],[PROGRAMA]],Hoja1!A:B,2,FALSE)</f>
        <v>1621. Servicio de limpieza</v>
      </c>
      <c r="W438" s="35" t="str">
        <f>MID(Tabla1[[#This Row],[Aplicación]],14,2)</f>
        <v>21</v>
      </c>
      <c r="X438" s="35" t="str">
        <f>MID(Tabla1[[#This Row],[Aplicación]],14,6)</f>
        <v>214</v>
      </c>
    </row>
    <row r="439" spans="1:24" x14ac:dyDescent="0.25">
      <c r="A439" s="45">
        <v>220210001360</v>
      </c>
      <c r="B439" s="46" t="s">
        <v>9</v>
      </c>
      <c r="C439" s="47">
        <v>44228</v>
      </c>
      <c r="D439" s="45">
        <v>22021001297</v>
      </c>
      <c r="E439" s="46" t="s">
        <v>1386</v>
      </c>
      <c r="F439" s="48">
        <v>1886</v>
      </c>
      <c r="G439" s="46" t="s">
        <v>75</v>
      </c>
      <c r="H439" s="46" t="s">
        <v>1387</v>
      </c>
      <c r="I439" s="45" t="s">
        <v>125</v>
      </c>
      <c r="J439" s="46" t="s">
        <v>127</v>
      </c>
      <c r="K439" s="46" t="s">
        <v>127</v>
      </c>
      <c r="L439" s="46" t="s">
        <v>12</v>
      </c>
      <c r="M439" s="46" t="s">
        <v>10</v>
      </c>
      <c r="N439" s="46" t="s">
        <v>11</v>
      </c>
      <c r="O439" s="49" t="s">
        <v>815</v>
      </c>
      <c r="P439" s="46" t="s">
        <v>507</v>
      </c>
      <c r="Q439" s="35" t="str">
        <f>MID(Tabla1[[#This Row],[Aplicación]],14,1)</f>
        <v>2</v>
      </c>
      <c r="R439" s="35" t="s">
        <v>495</v>
      </c>
      <c r="S439" s="35" t="str">
        <f>MID(Tabla1[[#This Row],[Aplicación]],6,2)</f>
        <v>11</v>
      </c>
      <c r="T439" s="35" t="str">
        <f>VLOOKUP(Tabla1[[#This Row],[AREA]],Hoja1!A:B,2,FALSE)</f>
        <v>11. Salud pública y seguridad ciudadana</v>
      </c>
      <c r="U439" s="35" t="str">
        <f>MID(Tabla1[[#This Row],[Aplicación]],9,4)</f>
        <v>1631</v>
      </c>
      <c r="V439" s="35" t="str">
        <f>VLOOKUP(Tabla1[[#This Row],[PROGRAMA]],Hoja1!A:B,2,FALSE)</f>
        <v>1631. Limpieza viaria</v>
      </c>
      <c r="W439" s="35" t="str">
        <f>MID(Tabla1[[#This Row],[Aplicación]],14,2)</f>
        <v>21</v>
      </c>
      <c r="X439" s="35" t="str">
        <f>MID(Tabla1[[#This Row],[Aplicación]],14,6)</f>
        <v>213</v>
      </c>
    </row>
    <row r="440" spans="1:24" x14ac:dyDescent="0.25">
      <c r="A440" s="45">
        <v>220210002414</v>
      </c>
      <c r="B440" s="46" t="s">
        <v>9</v>
      </c>
      <c r="C440" s="47">
        <v>44235</v>
      </c>
      <c r="D440" s="45">
        <v>22021002348</v>
      </c>
      <c r="E440" s="46" t="s">
        <v>1388</v>
      </c>
      <c r="F440" s="48">
        <v>500</v>
      </c>
      <c r="G440" s="46" t="s">
        <v>75</v>
      </c>
      <c r="H440" s="46" t="s">
        <v>1389</v>
      </c>
      <c r="I440" s="45" t="s">
        <v>125</v>
      </c>
      <c r="J440" s="46" t="s">
        <v>127</v>
      </c>
      <c r="K440" s="46" t="s">
        <v>127</v>
      </c>
      <c r="L440" s="46" t="s">
        <v>15</v>
      </c>
      <c r="M440" s="46" t="s">
        <v>10</v>
      </c>
      <c r="N440" s="46" t="s">
        <v>11</v>
      </c>
      <c r="O440" s="49" t="s">
        <v>815</v>
      </c>
      <c r="P440" s="46" t="s">
        <v>507</v>
      </c>
      <c r="Q440" s="35" t="str">
        <f>MID(Tabla1[[#This Row],[Aplicación]],14,1)</f>
        <v>2</v>
      </c>
      <c r="R440" s="35" t="s">
        <v>495</v>
      </c>
      <c r="S440" s="35" t="str">
        <f>MID(Tabla1[[#This Row],[Aplicación]],6,2)</f>
        <v>11</v>
      </c>
      <c r="T440" s="35" t="str">
        <f>VLOOKUP(Tabla1[[#This Row],[AREA]],Hoja1!A:B,2,FALSE)</f>
        <v>11. Salud pública y seguridad ciudadana</v>
      </c>
      <c r="U440" s="35" t="str">
        <f>MID(Tabla1[[#This Row],[Aplicación]],9,4)</f>
        <v>1321</v>
      </c>
      <c r="V440" s="35" t="str">
        <f>VLOOKUP(Tabla1[[#This Row],[PROGRAMA]],Hoja1!A:B,2,FALSE)</f>
        <v>1321. Policía municipal</v>
      </c>
      <c r="W440" s="35" t="str">
        <f>MID(Tabla1[[#This Row],[Aplicación]],14,2)</f>
        <v>22</v>
      </c>
      <c r="X440" s="35" t="str">
        <f>MID(Tabla1[[#This Row],[Aplicación]],14,6)</f>
        <v>22199</v>
      </c>
    </row>
    <row r="441" spans="1:24" x14ac:dyDescent="0.25">
      <c r="A441" s="45">
        <v>220210000323</v>
      </c>
      <c r="B441" s="46" t="s">
        <v>9</v>
      </c>
      <c r="C441" s="47">
        <v>44217</v>
      </c>
      <c r="D441" s="45">
        <v>22021000638</v>
      </c>
      <c r="E441" s="46" t="s">
        <v>980</v>
      </c>
      <c r="F441" s="48">
        <v>1297.02</v>
      </c>
      <c r="G441" s="46" t="s">
        <v>239</v>
      </c>
      <c r="H441" s="46" t="s">
        <v>1390</v>
      </c>
      <c r="I441" s="45" t="s">
        <v>125</v>
      </c>
      <c r="J441" s="46" t="s">
        <v>127</v>
      </c>
      <c r="K441" s="46" t="s">
        <v>127</v>
      </c>
      <c r="L441" s="46" t="s">
        <v>12</v>
      </c>
      <c r="M441" s="46" t="s">
        <v>10</v>
      </c>
      <c r="N441" s="46" t="s">
        <v>11</v>
      </c>
      <c r="O441" s="49" t="s">
        <v>815</v>
      </c>
      <c r="P441" s="46" t="s">
        <v>507</v>
      </c>
      <c r="Q441" s="35" t="str">
        <f>MID(Tabla1[[#This Row],[Aplicación]],14,1)</f>
        <v>2</v>
      </c>
      <c r="R441" s="35" t="s">
        <v>495</v>
      </c>
      <c r="S441" s="35" t="str">
        <f>MID(Tabla1[[#This Row],[Aplicación]],6,2)</f>
        <v>11</v>
      </c>
      <c r="T441" s="35" t="str">
        <f>VLOOKUP(Tabla1[[#This Row],[AREA]],Hoja1!A:B,2,FALSE)</f>
        <v>11. Salud pública y seguridad ciudadana</v>
      </c>
      <c r="U441" s="35" t="str">
        <f>MID(Tabla1[[#This Row],[Aplicación]],9,4)</f>
        <v>1361</v>
      </c>
      <c r="V441" s="35" t="str">
        <f>VLOOKUP(Tabla1[[#This Row],[PROGRAMA]],Hoja1!A:B,2,FALSE)</f>
        <v>1361. Prevención y extinción de incencios</v>
      </c>
      <c r="W441" s="35" t="str">
        <f>MID(Tabla1[[#This Row],[Aplicación]],14,2)</f>
        <v>21</v>
      </c>
      <c r="X441" s="35" t="str">
        <f>MID(Tabla1[[#This Row],[Aplicación]],14,6)</f>
        <v>213</v>
      </c>
    </row>
    <row r="442" spans="1:24" x14ac:dyDescent="0.25">
      <c r="A442" s="45">
        <v>220210000483</v>
      </c>
      <c r="B442" s="46" t="s">
        <v>9</v>
      </c>
      <c r="C442" s="47">
        <v>44221</v>
      </c>
      <c r="D442" s="45">
        <v>22021001166</v>
      </c>
      <c r="E442" s="46" t="s">
        <v>980</v>
      </c>
      <c r="F442" s="48">
        <v>58.35</v>
      </c>
      <c r="G442" s="46" t="s">
        <v>239</v>
      </c>
      <c r="H442" s="46" t="s">
        <v>1391</v>
      </c>
      <c r="I442" s="45" t="s">
        <v>125</v>
      </c>
      <c r="J442" s="46" t="s">
        <v>127</v>
      </c>
      <c r="K442" s="46" t="s">
        <v>127</v>
      </c>
      <c r="L442" s="46" t="s">
        <v>12</v>
      </c>
      <c r="M442" s="46" t="s">
        <v>10</v>
      </c>
      <c r="N442" s="46" t="s">
        <v>11</v>
      </c>
      <c r="O442" s="49" t="s">
        <v>815</v>
      </c>
      <c r="P442" s="46" t="s">
        <v>507</v>
      </c>
      <c r="Q442" s="35" t="str">
        <f>MID(Tabla1[[#This Row],[Aplicación]],14,1)</f>
        <v>2</v>
      </c>
      <c r="R442" s="35" t="s">
        <v>495</v>
      </c>
      <c r="S442" s="35" t="str">
        <f>MID(Tabla1[[#This Row],[Aplicación]],6,2)</f>
        <v>11</v>
      </c>
      <c r="T442" s="35" t="str">
        <f>VLOOKUP(Tabla1[[#This Row],[AREA]],Hoja1!A:B,2,FALSE)</f>
        <v>11. Salud pública y seguridad ciudadana</v>
      </c>
      <c r="U442" s="35" t="str">
        <f>MID(Tabla1[[#This Row],[Aplicación]],9,4)</f>
        <v>1361</v>
      </c>
      <c r="V442" s="35" t="str">
        <f>VLOOKUP(Tabla1[[#This Row],[PROGRAMA]],Hoja1!A:B,2,FALSE)</f>
        <v>1361. Prevención y extinción de incencios</v>
      </c>
      <c r="W442" s="35" t="str">
        <f>MID(Tabla1[[#This Row],[Aplicación]],14,2)</f>
        <v>21</v>
      </c>
      <c r="X442" s="35" t="str">
        <f>MID(Tabla1[[#This Row],[Aplicación]],14,6)</f>
        <v>213</v>
      </c>
    </row>
    <row r="443" spans="1:24" x14ac:dyDescent="0.25">
      <c r="A443" s="45">
        <v>220210002393</v>
      </c>
      <c r="B443" s="46" t="s">
        <v>9</v>
      </c>
      <c r="C443" s="47">
        <v>44235</v>
      </c>
      <c r="D443" s="45">
        <v>22021002354</v>
      </c>
      <c r="E443" s="46" t="s">
        <v>1392</v>
      </c>
      <c r="F443" s="48">
        <v>549.91999999999996</v>
      </c>
      <c r="G443" s="46" t="s">
        <v>239</v>
      </c>
      <c r="H443" s="46" t="s">
        <v>1393</v>
      </c>
      <c r="I443" s="45" t="s">
        <v>125</v>
      </c>
      <c r="J443" s="46" t="s">
        <v>127</v>
      </c>
      <c r="K443" s="46" t="s">
        <v>127</v>
      </c>
      <c r="L443" s="46" t="s">
        <v>12</v>
      </c>
      <c r="M443" s="46" t="s">
        <v>10</v>
      </c>
      <c r="N443" s="46" t="s">
        <v>11</v>
      </c>
      <c r="O443" s="49" t="s">
        <v>815</v>
      </c>
      <c r="P443" s="46" t="s">
        <v>507</v>
      </c>
      <c r="Q443" s="35" t="str">
        <f>MID(Tabla1[[#This Row],[Aplicación]],14,1)</f>
        <v>2</v>
      </c>
      <c r="R443" s="35" t="s">
        <v>495</v>
      </c>
      <c r="S443" s="35" t="str">
        <f>MID(Tabla1[[#This Row],[Aplicación]],6,2)</f>
        <v>08</v>
      </c>
      <c r="T443" s="35" t="str">
        <f>VLOOKUP(Tabla1[[#This Row],[AREA]],Hoja1!A:B,2,FALSE)</f>
        <v>08. Movilidad y espacio urbano</v>
      </c>
      <c r="U443" s="35" t="str">
        <f>MID(Tabla1[[#This Row],[Aplicación]],9,4)</f>
        <v>1532</v>
      </c>
      <c r="V443" s="35" t="str">
        <f>VLOOKUP(Tabla1[[#This Row],[PROGRAMA]],Hoja1!A:B,2,FALSE)</f>
        <v>1532. Pavimentación vias públicas y otros servicios urbanísticos</v>
      </c>
      <c r="W443" s="35" t="str">
        <f>MID(Tabla1[[#This Row],[Aplicación]],14,2)</f>
        <v>21</v>
      </c>
      <c r="X443" s="35" t="str">
        <f>MID(Tabla1[[#This Row],[Aplicación]],14,6)</f>
        <v>214</v>
      </c>
    </row>
    <row r="444" spans="1:24" x14ac:dyDescent="0.25">
      <c r="A444" s="45">
        <v>220210002394</v>
      </c>
      <c r="B444" s="46" t="s">
        <v>9</v>
      </c>
      <c r="C444" s="47">
        <v>44235</v>
      </c>
      <c r="D444" s="45">
        <v>22021002355</v>
      </c>
      <c r="E444" s="46" t="s">
        <v>1392</v>
      </c>
      <c r="F444" s="48">
        <v>134.83000000000001</v>
      </c>
      <c r="G444" s="46" t="s">
        <v>239</v>
      </c>
      <c r="H444" s="46" t="s">
        <v>1394</v>
      </c>
      <c r="I444" s="45" t="s">
        <v>125</v>
      </c>
      <c r="J444" s="46" t="s">
        <v>127</v>
      </c>
      <c r="K444" s="46" t="s">
        <v>127</v>
      </c>
      <c r="L444" s="46" t="s">
        <v>12</v>
      </c>
      <c r="M444" s="46" t="s">
        <v>10</v>
      </c>
      <c r="N444" s="46" t="s">
        <v>11</v>
      </c>
      <c r="O444" s="49" t="s">
        <v>815</v>
      </c>
      <c r="P444" s="46" t="s">
        <v>507</v>
      </c>
      <c r="Q444" s="35" t="str">
        <f>MID(Tabla1[[#This Row],[Aplicación]],14,1)</f>
        <v>2</v>
      </c>
      <c r="R444" s="35" t="s">
        <v>495</v>
      </c>
      <c r="S444" s="35" t="str">
        <f>MID(Tabla1[[#This Row],[Aplicación]],6,2)</f>
        <v>08</v>
      </c>
      <c r="T444" s="35" t="str">
        <f>VLOOKUP(Tabla1[[#This Row],[AREA]],Hoja1!A:B,2,FALSE)</f>
        <v>08. Movilidad y espacio urbano</v>
      </c>
      <c r="U444" s="35" t="str">
        <f>MID(Tabla1[[#This Row],[Aplicación]],9,4)</f>
        <v>1532</v>
      </c>
      <c r="V444" s="35" t="str">
        <f>VLOOKUP(Tabla1[[#This Row],[PROGRAMA]],Hoja1!A:B,2,FALSE)</f>
        <v>1532. Pavimentación vias públicas y otros servicios urbanísticos</v>
      </c>
      <c r="W444" s="35" t="str">
        <f>MID(Tabla1[[#This Row],[Aplicación]],14,2)</f>
        <v>21</v>
      </c>
      <c r="X444" s="35" t="str">
        <f>MID(Tabla1[[#This Row],[Aplicación]],14,6)</f>
        <v>214</v>
      </c>
    </row>
    <row r="445" spans="1:24" x14ac:dyDescent="0.25">
      <c r="A445" s="45">
        <v>220210002425</v>
      </c>
      <c r="B445" s="46" t="s">
        <v>9</v>
      </c>
      <c r="C445" s="47">
        <v>44235</v>
      </c>
      <c r="D445" s="45">
        <v>22021002233</v>
      </c>
      <c r="E445" s="46" t="s">
        <v>980</v>
      </c>
      <c r="F445" s="48">
        <v>428.05</v>
      </c>
      <c r="G445" s="46" t="s">
        <v>239</v>
      </c>
      <c r="H445" s="46" t="s">
        <v>1395</v>
      </c>
      <c r="I445" s="45" t="s">
        <v>125</v>
      </c>
      <c r="J445" s="46" t="s">
        <v>127</v>
      </c>
      <c r="K445" s="46" t="s">
        <v>127</v>
      </c>
      <c r="L445" s="46" t="s">
        <v>15</v>
      </c>
      <c r="M445" s="46" t="s">
        <v>10</v>
      </c>
      <c r="N445" s="46" t="s">
        <v>11</v>
      </c>
      <c r="O445" s="49" t="s">
        <v>815</v>
      </c>
      <c r="P445" s="46" t="s">
        <v>507</v>
      </c>
      <c r="Q445" s="35" t="str">
        <f>MID(Tabla1[[#This Row],[Aplicación]],14,1)</f>
        <v>2</v>
      </c>
      <c r="R445" s="35" t="s">
        <v>495</v>
      </c>
      <c r="S445" s="35" t="str">
        <f>MID(Tabla1[[#This Row],[Aplicación]],6,2)</f>
        <v>11</v>
      </c>
      <c r="T445" s="35" t="str">
        <f>VLOOKUP(Tabla1[[#This Row],[AREA]],Hoja1!A:B,2,FALSE)</f>
        <v>11. Salud pública y seguridad ciudadana</v>
      </c>
      <c r="U445" s="35" t="str">
        <f>MID(Tabla1[[#This Row],[Aplicación]],9,4)</f>
        <v>1361</v>
      </c>
      <c r="V445" s="35" t="str">
        <f>VLOOKUP(Tabla1[[#This Row],[PROGRAMA]],Hoja1!A:B,2,FALSE)</f>
        <v>1361. Prevención y extinción de incencios</v>
      </c>
      <c r="W445" s="35" t="str">
        <f>MID(Tabla1[[#This Row],[Aplicación]],14,2)</f>
        <v>21</v>
      </c>
      <c r="X445" s="35" t="str">
        <f>MID(Tabla1[[#This Row],[Aplicación]],14,6)</f>
        <v>213</v>
      </c>
    </row>
    <row r="446" spans="1:24" x14ac:dyDescent="0.25">
      <c r="A446" s="45">
        <v>220210003976</v>
      </c>
      <c r="B446" s="46" t="s">
        <v>9</v>
      </c>
      <c r="C446" s="47">
        <v>44244</v>
      </c>
      <c r="D446" s="45">
        <v>22021002749</v>
      </c>
      <c r="E446" s="46" t="s">
        <v>1270</v>
      </c>
      <c r="F446" s="48">
        <v>18150</v>
      </c>
      <c r="G446" s="46" t="s">
        <v>239</v>
      </c>
      <c r="H446" s="46" t="s">
        <v>1396</v>
      </c>
      <c r="I446" s="45" t="s">
        <v>125</v>
      </c>
      <c r="J446" s="46" t="s">
        <v>127</v>
      </c>
      <c r="K446" s="46" t="s">
        <v>127</v>
      </c>
      <c r="L446" s="46" t="s">
        <v>12</v>
      </c>
      <c r="M446" s="46" t="s">
        <v>10</v>
      </c>
      <c r="N446" s="46" t="s">
        <v>11</v>
      </c>
      <c r="O446" s="49" t="s">
        <v>815</v>
      </c>
      <c r="P446" s="46" t="s">
        <v>507</v>
      </c>
      <c r="Q446" s="35" t="str">
        <f>MID(Tabla1[[#This Row],[Aplicación]],14,1)</f>
        <v>6</v>
      </c>
      <c r="R446" s="35" t="s">
        <v>496</v>
      </c>
      <c r="S446" s="35" t="str">
        <f>MID(Tabla1[[#This Row],[Aplicación]],6,2)</f>
        <v>11</v>
      </c>
      <c r="T446" s="35" t="str">
        <f>VLOOKUP(Tabla1[[#This Row],[AREA]],Hoja1!A:B,2,FALSE)</f>
        <v>11. Salud pública y seguridad ciudadana</v>
      </c>
      <c r="U446" s="35" t="str">
        <f>MID(Tabla1[[#This Row],[Aplicación]],9,4)</f>
        <v>1621</v>
      </c>
      <c r="V446" s="35" t="str">
        <f>VLOOKUP(Tabla1[[#This Row],[PROGRAMA]],Hoja1!A:B,2,FALSE)</f>
        <v>1621. Servicio de limpieza</v>
      </c>
      <c r="W446" s="35" t="str">
        <f>MID(Tabla1[[#This Row],[Aplicación]],14,2)</f>
        <v>63</v>
      </c>
      <c r="X446" s="35" t="str">
        <f>MID(Tabla1[[#This Row],[Aplicación]],14,6)</f>
        <v>634</v>
      </c>
    </row>
    <row r="447" spans="1:24" x14ac:dyDescent="0.25">
      <c r="A447" s="45">
        <v>220210006063</v>
      </c>
      <c r="B447" s="46" t="s">
        <v>9</v>
      </c>
      <c r="C447" s="47">
        <v>44251</v>
      </c>
      <c r="D447" s="45">
        <v>22021002855</v>
      </c>
      <c r="E447" s="46" t="s">
        <v>1397</v>
      </c>
      <c r="F447" s="48">
        <v>7024.66</v>
      </c>
      <c r="G447" s="46" t="s">
        <v>239</v>
      </c>
      <c r="H447" s="46" t="s">
        <v>1398</v>
      </c>
      <c r="I447" s="45" t="s">
        <v>125</v>
      </c>
      <c r="J447" s="46" t="s">
        <v>127</v>
      </c>
      <c r="K447" s="46" t="s">
        <v>127</v>
      </c>
      <c r="L447" s="46" t="s">
        <v>12</v>
      </c>
      <c r="M447" s="46" t="s">
        <v>10</v>
      </c>
      <c r="N447" s="46" t="s">
        <v>11</v>
      </c>
      <c r="O447" s="49" t="s">
        <v>815</v>
      </c>
      <c r="P447" s="46" t="s">
        <v>507</v>
      </c>
      <c r="Q447" s="35" t="str">
        <f>MID(Tabla1[[#This Row],[Aplicación]],14,1)</f>
        <v>2</v>
      </c>
      <c r="R447" s="35" t="s">
        <v>495</v>
      </c>
      <c r="S447" s="35" t="str">
        <f>MID(Tabla1[[#This Row],[Aplicación]],6,2)</f>
        <v>11</v>
      </c>
      <c r="T447" s="35" t="str">
        <f>VLOOKUP(Tabla1[[#This Row],[AREA]],Hoja1!A:B,2,FALSE)</f>
        <v>11. Salud pública y seguridad ciudadana</v>
      </c>
      <c r="U447" s="35" t="str">
        <f>MID(Tabla1[[#This Row],[Aplicación]],9,4)</f>
        <v>1361</v>
      </c>
      <c r="V447" s="35" t="str">
        <f>VLOOKUP(Tabla1[[#This Row],[PROGRAMA]],Hoja1!A:B,2,FALSE)</f>
        <v>1361. Prevención y extinción de incencios</v>
      </c>
      <c r="W447" s="35" t="str">
        <f>MID(Tabla1[[#This Row],[Aplicación]],14,2)</f>
        <v>21</v>
      </c>
      <c r="X447" s="35" t="str">
        <f>MID(Tabla1[[#This Row],[Aplicación]],14,6)</f>
        <v>214</v>
      </c>
    </row>
    <row r="448" spans="1:24" x14ac:dyDescent="0.25">
      <c r="A448" s="45">
        <v>220209000643</v>
      </c>
      <c r="B448" s="46" t="s">
        <v>9</v>
      </c>
      <c r="C448" s="47">
        <v>44198</v>
      </c>
      <c r="D448" s="45">
        <v>22021000407</v>
      </c>
      <c r="E448" s="46" t="s">
        <v>1368</v>
      </c>
      <c r="F448" s="48">
        <v>1943.26</v>
      </c>
      <c r="G448" s="46" t="s">
        <v>48</v>
      </c>
      <c r="H448" s="46" t="s">
        <v>1399</v>
      </c>
      <c r="I448" s="45" t="s">
        <v>125</v>
      </c>
      <c r="J448" s="46" t="s">
        <v>127</v>
      </c>
      <c r="K448" s="46" t="s">
        <v>127</v>
      </c>
      <c r="L448" s="46" t="s">
        <v>15</v>
      </c>
      <c r="M448" s="46" t="s">
        <v>13</v>
      </c>
      <c r="N448" s="46" t="s">
        <v>14</v>
      </c>
      <c r="O448" s="49" t="s">
        <v>803</v>
      </c>
      <c r="P448" s="46" t="s">
        <v>507</v>
      </c>
      <c r="Q448" s="35" t="str">
        <f>MID(Tabla1[[#This Row],[Aplicación]],14,1)</f>
        <v>2</v>
      </c>
      <c r="R448" s="35" t="s">
        <v>495</v>
      </c>
      <c r="S448" s="35" t="str">
        <f>MID(Tabla1[[#This Row],[Aplicación]],6,2)</f>
        <v>10</v>
      </c>
      <c r="T448" s="35" t="str">
        <f>VLOOKUP(Tabla1[[#This Row],[AREA]],Hoja1!A:B,2,FALSE)</f>
        <v>10. Servicios sociales y mediación comunitaria</v>
      </c>
      <c r="U448" s="35" t="str">
        <f>MID(Tabla1[[#This Row],[Aplicación]],9,4)</f>
        <v>2312</v>
      </c>
      <c r="V448" s="35" t="str">
        <f>VLOOKUP(Tabla1[[#This Row],[PROGRAMA]],Hoja1!A:B,2,FALSE)</f>
        <v>2312. Iniciativas sociales</v>
      </c>
      <c r="W448" s="35" t="str">
        <f>MID(Tabla1[[#This Row],[Aplicación]],14,2)</f>
        <v>22</v>
      </c>
      <c r="X448" s="35" t="str">
        <f>MID(Tabla1[[#This Row],[Aplicación]],14,6)</f>
        <v>22104</v>
      </c>
    </row>
    <row r="449" spans="1:24" x14ac:dyDescent="0.25">
      <c r="A449" s="45">
        <v>220199000117</v>
      </c>
      <c r="B449" s="46" t="s">
        <v>9</v>
      </c>
      <c r="C449" s="47">
        <v>44198</v>
      </c>
      <c r="D449" s="45">
        <v>22021000125</v>
      </c>
      <c r="E449" s="46" t="s">
        <v>827</v>
      </c>
      <c r="F449" s="48">
        <v>13227</v>
      </c>
      <c r="G449" s="46" t="s">
        <v>196</v>
      </c>
      <c r="H449" s="46" t="s">
        <v>1402</v>
      </c>
      <c r="I449" s="45" t="s">
        <v>125</v>
      </c>
      <c r="J449" s="46" t="s">
        <v>197</v>
      </c>
      <c r="K449" s="46" t="s">
        <v>197</v>
      </c>
      <c r="L449" s="46" t="s">
        <v>12</v>
      </c>
      <c r="M449" s="46" t="s">
        <v>13</v>
      </c>
      <c r="N449" s="46" t="s">
        <v>14</v>
      </c>
      <c r="O449" s="49" t="s">
        <v>803</v>
      </c>
      <c r="P449" s="46" t="s">
        <v>507</v>
      </c>
      <c r="Q449" s="35" t="str">
        <f>MID(Tabla1[[#This Row],[Aplicación]],14,1)</f>
        <v>2</v>
      </c>
      <c r="R449" s="35" t="s">
        <v>495</v>
      </c>
      <c r="S449" s="35" t="str">
        <f>MID(Tabla1[[#This Row],[Aplicación]],6,2)</f>
        <v>04</v>
      </c>
      <c r="T449" s="35" t="str">
        <f>VLOOKUP(Tabla1[[#This Row],[AREA]],Hoja1!A:B,2,FALSE)</f>
        <v>04. Planificación y recursos</v>
      </c>
      <c r="U449" s="35" t="str">
        <f>MID(Tabla1[[#This Row],[Aplicación]],9,4)</f>
        <v>9204</v>
      </c>
      <c r="V449" s="35" t="str">
        <f>VLOOKUP(Tabla1[[#This Row],[PROGRAMA]],Hoja1!A:B,2,FALSE)</f>
        <v>9204. Tecnologías de la información y comunicación</v>
      </c>
      <c r="W449" s="35" t="str">
        <f>MID(Tabla1[[#This Row],[Aplicación]],14,2)</f>
        <v>21</v>
      </c>
      <c r="X449" s="35" t="str">
        <f>MID(Tabla1[[#This Row],[Aplicación]],14,6)</f>
        <v>216</v>
      </c>
    </row>
    <row r="450" spans="1:24" x14ac:dyDescent="0.25">
      <c r="A450" s="45">
        <v>220209000777</v>
      </c>
      <c r="B450" s="46" t="s">
        <v>9</v>
      </c>
      <c r="C450" s="47">
        <v>44198</v>
      </c>
      <c r="D450" s="45">
        <v>22021000498</v>
      </c>
      <c r="E450" s="46" t="s">
        <v>827</v>
      </c>
      <c r="F450" s="48">
        <v>113821.79</v>
      </c>
      <c r="G450" s="46" t="s">
        <v>196</v>
      </c>
      <c r="H450" s="46" t="s">
        <v>1403</v>
      </c>
      <c r="I450" s="45" t="s">
        <v>125</v>
      </c>
      <c r="J450" s="46" t="s">
        <v>197</v>
      </c>
      <c r="K450" s="46" t="s">
        <v>197</v>
      </c>
      <c r="L450" s="46" t="s">
        <v>12</v>
      </c>
      <c r="M450" s="46" t="s">
        <v>13</v>
      </c>
      <c r="N450" s="46" t="s">
        <v>14</v>
      </c>
      <c r="O450" s="49" t="s">
        <v>803</v>
      </c>
      <c r="P450" s="46" t="s">
        <v>507</v>
      </c>
      <c r="Q450" s="35" t="str">
        <f>MID(Tabla1[[#This Row],[Aplicación]],14,1)</f>
        <v>2</v>
      </c>
      <c r="R450" s="35" t="s">
        <v>495</v>
      </c>
      <c r="S450" s="35" t="str">
        <f>MID(Tabla1[[#This Row],[Aplicación]],6,2)</f>
        <v>04</v>
      </c>
      <c r="T450" s="35" t="str">
        <f>VLOOKUP(Tabla1[[#This Row],[AREA]],Hoja1!A:B,2,FALSE)</f>
        <v>04. Planificación y recursos</v>
      </c>
      <c r="U450" s="35" t="str">
        <f>MID(Tabla1[[#This Row],[Aplicación]],9,4)</f>
        <v>9204</v>
      </c>
      <c r="V450" s="35" t="str">
        <f>VLOOKUP(Tabla1[[#This Row],[PROGRAMA]],Hoja1!A:B,2,FALSE)</f>
        <v>9204. Tecnologías de la información y comunicación</v>
      </c>
      <c r="W450" s="35" t="str">
        <f>MID(Tabla1[[#This Row],[Aplicación]],14,2)</f>
        <v>21</v>
      </c>
      <c r="X450" s="35" t="str">
        <f>MID(Tabla1[[#This Row],[Aplicación]],14,6)</f>
        <v>216</v>
      </c>
    </row>
    <row r="451" spans="1:24" x14ac:dyDescent="0.25">
      <c r="A451" s="45">
        <v>220200033658</v>
      </c>
      <c r="B451" s="46" t="s">
        <v>9</v>
      </c>
      <c r="C451" s="47">
        <v>44284</v>
      </c>
      <c r="D451" s="45">
        <v>22019007497</v>
      </c>
      <c r="E451" s="46" t="s">
        <v>1404</v>
      </c>
      <c r="F451" s="48">
        <v>8886.24</v>
      </c>
      <c r="G451" s="46" t="s">
        <v>520</v>
      </c>
      <c r="H451" s="46" t="s">
        <v>1405</v>
      </c>
      <c r="I451" s="45" t="s">
        <v>125</v>
      </c>
      <c r="J451" s="46" t="s">
        <v>127</v>
      </c>
      <c r="K451" s="46" t="s">
        <v>127</v>
      </c>
      <c r="L451" s="46" t="s">
        <v>12</v>
      </c>
      <c r="M451" s="46" t="s">
        <v>13</v>
      </c>
      <c r="N451" s="46" t="s">
        <v>14</v>
      </c>
      <c r="O451" s="49" t="s">
        <v>803</v>
      </c>
      <c r="P451" s="46" t="s">
        <v>507</v>
      </c>
      <c r="Q451" s="35" t="str">
        <f>MID(Tabla1[[#This Row],[Aplicación]],14,1)</f>
        <v>6</v>
      </c>
      <c r="R451" s="35" t="s">
        <v>496</v>
      </c>
      <c r="S451" s="35" t="str">
        <f>MID(Tabla1[[#This Row],[Aplicación]],6,2)</f>
        <v>05</v>
      </c>
      <c r="T451" s="35" t="str">
        <f>VLOOKUP(Tabla1[[#This Row],[AREA]],Hoja1!A:B,2,FALSE)</f>
        <v>05. Innovación, desarrollo económico, empleo y comercio</v>
      </c>
      <c r="U451" s="35" t="str">
        <f>MID(Tabla1[[#This Row],[Aplicación]],9,4)</f>
        <v>9339</v>
      </c>
      <c r="V451" s="35" t="str">
        <f>VLOOKUP(Tabla1[[#This Row],[PROGRAMA]],Hoja1!A:B,2,FALSE)</f>
        <v>9339. Patrimonio I.F.S. área 05</v>
      </c>
      <c r="W451" s="35" t="str">
        <f>MID(Tabla1[[#This Row],[Aplicación]],14,2)</f>
        <v>63</v>
      </c>
      <c r="X451" s="35" t="str">
        <f>MID(Tabla1[[#This Row],[Aplicación]],14,6)</f>
        <v>632</v>
      </c>
    </row>
    <row r="452" spans="1:24" x14ac:dyDescent="0.25">
      <c r="A452" s="45">
        <v>220210003981</v>
      </c>
      <c r="B452" s="46" t="s">
        <v>9</v>
      </c>
      <c r="C452" s="47">
        <v>44244</v>
      </c>
      <c r="D452" s="45">
        <v>22021002505</v>
      </c>
      <c r="E452" s="46" t="s">
        <v>924</v>
      </c>
      <c r="F452" s="48">
        <v>226.62</v>
      </c>
      <c r="G452" s="46" t="s">
        <v>102</v>
      </c>
      <c r="H452" s="46" t="s">
        <v>1406</v>
      </c>
      <c r="I452" s="45" t="s">
        <v>125</v>
      </c>
      <c r="J452" s="46" t="s">
        <v>127</v>
      </c>
      <c r="K452" s="46" t="s">
        <v>127</v>
      </c>
      <c r="L452" s="46" t="s">
        <v>15</v>
      </c>
      <c r="M452" s="46" t="s">
        <v>13</v>
      </c>
      <c r="N452" s="46" t="s">
        <v>14</v>
      </c>
      <c r="O452" s="49" t="s">
        <v>814</v>
      </c>
      <c r="P452" s="46" t="s">
        <v>507</v>
      </c>
      <c r="Q452" s="35" t="str">
        <f>MID(Tabla1[[#This Row],[Aplicación]],14,1)</f>
        <v>2</v>
      </c>
      <c r="R452" s="35" t="s">
        <v>495</v>
      </c>
      <c r="S452" s="35" t="str">
        <f>MID(Tabla1[[#This Row],[Aplicación]],6,2)</f>
        <v>04</v>
      </c>
      <c r="T452" s="35" t="str">
        <f>VLOOKUP(Tabla1[[#This Row],[AREA]],Hoja1!A:B,2,FALSE)</f>
        <v>04. Planificación y recursos</v>
      </c>
      <c r="U452" s="35" t="str">
        <f>MID(Tabla1[[#This Row],[Aplicación]],9,4)</f>
        <v>3121</v>
      </c>
      <c r="V452" s="35" t="str">
        <f>VLOOKUP(Tabla1[[#This Row],[PROGRAMA]],Hoja1!A:B,2,FALSE)</f>
        <v>3121. Prevención y salud laboral</v>
      </c>
      <c r="W452" s="35" t="str">
        <f>MID(Tabla1[[#This Row],[Aplicación]],14,2)</f>
        <v>21</v>
      </c>
      <c r="X452" s="35" t="str">
        <f>MID(Tabla1[[#This Row],[Aplicación]],14,6)</f>
        <v>213</v>
      </c>
    </row>
    <row r="453" spans="1:24" x14ac:dyDescent="0.25">
      <c r="A453" s="45">
        <v>220210006031</v>
      </c>
      <c r="B453" s="46" t="s">
        <v>9</v>
      </c>
      <c r="C453" s="47">
        <v>44251</v>
      </c>
      <c r="D453" s="45">
        <v>22021002949</v>
      </c>
      <c r="E453" s="46" t="s">
        <v>873</v>
      </c>
      <c r="F453" s="48">
        <v>600.01</v>
      </c>
      <c r="G453" s="46" t="s">
        <v>1407</v>
      </c>
      <c r="H453" s="46" t="s">
        <v>1408</v>
      </c>
      <c r="I453" s="45" t="s">
        <v>125</v>
      </c>
      <c r="J453" s="46" t="s">
        <v>127</v>
      </c>
      <c r="K453" s="46" t="s">
        <v>127</v>
      </c>
      <c r="L453" s="46" t="s">
        <v>15</v>
      </c>
      <c r="M453" s="46" t="s">
        <v>10</v>
      </c>
      <c r="N453" s="46" t="s">
        <v>11</v>
      </c>
      <c r="O453" s="49" t="s">
        <v>815</v>
      </c>
      <c r="P453" s="46" t="s">
        <v>507</v>
      </c>
      <c r="Q453" s="35" t="str">
        <f>MID(Tabla1[[#This Row],[Aplicación]],14,1)</f>
        <v>2</v>
      </c>
      <c r="R453" s="35" t="s">
        <v>495</v>
      </c>
      <c r="S453" s="35" t="str">
        <f>MID(Tabla1[[#This Row],[Aplicación]],6,2)</f>
        <v>10</v>
      </c>
      <c r="T453" s="35" t="str">
        <f>VLOOKUP(Tabla1[[#This Row],[AREA]],Hoja1!A:B,2,FALSE)</f>
        <v>10. Servicios sociales y mediación comunitaria</v>
      </c>
      <c r="U453" s="35" t="str">
        <f>MID(Tabla1[[#This Row],[Aplicación]],9,4)</f>
        <v>2412</v>
      </c>
      <c r="V453" s="35" t="str">
        <f>VLOOKUP(Tabla1[[#This Row],[PROGRAMA]],Hoja1!A:B,2,FALSE)</f>
        <v>2412. Formación para el empleo</v>
      </c>
      <c r="W453" s="35" t="str">
        <f>MID(Tabla1[[#This Row],[Aplicación]],14,2)</f>
        <v>22</v>
      </c>
      <c r="X453" s="35" t="str">
        <f>MID(Tabla1[[#This Row],[Aplicación]],14,6)</f>
        <v>22199</v>
      </c>
    </row>
    <row r="454" spans="1:24" x14ac:dyDescent="0.25">
      <c r="A454" s="45">
        <v>220209000050</v>
      </c>
      <c r="B454" s="46" t="s">
        <v>9</v>
      </c>
      <c r="C454" s="47">
        <v>44198</v>
      </c>
      <c r="D454" s="45">
        <v>22021000193</v>
      </c>
      <c r="E454" s="46" t="s">
        <v>871</v>
      </c>
      <c r="F454" s="48">
        <v>13915</v>
      </c>
      <c r="G454" s="46" t="s">
        <v>580</v>
      </c>
      <c r="H454" s="46" t="s">
        <v>1409</v>
      </c>
      <c r="I454" s="45" t="s">
        <v>125</v>
      </c>
      <c r="J454" s="46" t="s">
        <v>661</v>
      </c>
      <c r="K454" s="46" t="s">
        <v>127</v>
      </c>
      <c r="L454" s="46" t="s">
        <v>12</v>
      </c>
      <c r="M454" s="46" t="s">
        <v>13</v>
      </c>
      <c r="N454" s="46" t="s">
        <v>14</v>
      </c>
      <c r="O454" s="49" t="s">
        <v>803</v>
      </c>
      <c r="P454" s="46" t="s">
        <v>507</v>
      </c>
      <c r="Q454" s="35" t="str">
        <f>MID(Tabla1[[#This Row],[Aplicación]],14,1)</f>
        <v>2</v>
      </c>
      <c r="R454" s="35" t="s">
        <v>495</v>
      </c>
      <c r="S454" s="35" t="str">
        <f>MID(Tabla1[[#This Row],[Aplicación]],6,2)</f>
        <v>09</v>
      </c>
      <c r="T454" s="35" t="str">
        <f>VLOOKUP(Tabla1[[#This Row],[AREA]],Hoja1!A:B,2,FALSE)</f>
        <v>09. Cultura y turismo</v>
      </c>
      <c r="U454" s="35" t="str">
        <f>MID(Tabla1[[#This Row],[Aplicación]],9,4)</f>
        <v>3301</v>
      </c>
      <c r="V454" s="35" t="str">
        <f>VLOOKUP(Tabla1[[#This Row],[PROGRAMA]],Hoja1!A:B,2,FALSE)</f>
        <v>3301. Dirección del área de cultura</v>
      </c>
      <c r="W454" s="35" t="str">
        <f>MID(Tabla1[[#This Row],[Aplicación]],14,2)</f>
        <v>22</v>
      </c>
      <c r="X454" s="35" t="str">
        <f>MID(Tabla1[[#This Row],[Aplicación]],14,6)</f>
        <v>22706</v>
      </c>
    </row>
    <row r="455" spans="1:24" x14ac:dyDescent="0.25">
      <c r="A455" s="45">
        <v>220210006954</v>
      </c>
      <c r="B455" s="46" t="s">
        <v>9</v>
      </c>
      <c r="C455" s="47">
        <v>44259</v>
      </c>
      <c r="D455" s="45">
        <v>22021003068</v>
      </c>
      <c r="E455" s="46" t="s">
        <v>1410</v>
      </c>
      <c r="F455" s="48">
        <v>1000</v>
      </c>
      <c r="G455" s="46" t="s">
        <v>232</v>
      </c>
      <c r="H455" s="46" t="s">
        <v>1411</v>
      </c>
      <c r="I455" s="45" t="s">
        <v>125</v>
      </c>
      <c r="J455" s="46" t="s">
        <v>127</v>
      </c>
      <c r="K455" s="46" t="s">
        <v>127</v>
      </c>
      <c r="L455" s="46" t="s">
        <v>12</v>
      </c>
      <c r="M455" s="46" t="s">
        <v>10</v>
      </c>
      <c r="N455" s="46" t="s">
        <v>11</v>
      </c>
      <c r="O455" s="49" t="s">
        <v>815</v>
      </c>
      <c r="P455" s="46" t="s">
        <v>507</v>
      </c>
      <c r="Q455" s="35" t="str">
        <f>MID(Tabla1[[#This Row],[Aplicación]],14,1)</f>
        <v>2</v>
      </c>
      <c r="R455" s="35" t="s">
        <v>495</v>
      </c>
      <c r="S455" s="35" t="str">
        <f>MID(Tabla1[[#This Row],[Aplicación]],6,2)</f>
        <v>07</v>
      </c>
      <c r="T455" s="35" t="str">
        <f>VLOOKUP(Tabla1[[#This Row],[AREA]],Hoja1!A:B,2,FALSE)</f>
        <v>07. Medio ambiente y desarrollo sostenible</v>
      </c>
      <c r="U455" s="35" t="str">
        <f>MID(Tabla1[[#This Row],[Aplicación]],9,4)</f>
        <v>1711</v>
      </c>
      <c r="V455" s="35" t="str">
        <f>VLOOKUP(Tabla1[[#This Row],[PROGRAMA]],Hoja1!A:B,2,FALSE)</f>
        <v>1711. Parques y jardines</v>
      </c>
      <c r="W455" s="35" t="str">
        <f>MID(Tabla1[[#This Row],[Aplicación]],14,2)</f>
        <v>21</v>
      </c>
      <c r="X455" s="35" t="str">
        <f>MID(Tabla1[[#This Row],[Aplicación]],14,6)</f>
        <v>214</v>
      </c>
    </row>
    <row r="456" spans="1:24" x14ac:dyDescent="0.25">
      <c r="A456" s="45">
        <v>220210003955</v>
      </c>
      <c r="B456" s="46" t="s">
        <v>32</v>
      </c>
      <c r="C456" s="47">
        <v>44243</v>
      </c>
      <c r="D456" s="45">
        <v>22021002690</v>
      </c>
      <c r="E456" s="46" t="s">
        <v>871</v>
      </c>
      <c r="F456" s="48">
        <v>6025.76</v>
      </c>
      <c r="G456" s="46" t="s">
        <v>580</v>
      </c>
      <c r="H456" s="46" t="s">
        <v>1412</v>
      </c>
      <c r="I456" s="45" t="s">
        <v>234</v>
      </c>
      <c r="J456" s="46" t="s">
        <v>661</v>
      </c>
      <c r="K456" s="46" t="s">
        <v>127</v>
      </c>
      <c r="L456" s="46" t="s">
        <v>12</v>
      </c>
      <c r="M456" s="46" t="s">
        <v>13</v>
      </c>
      <c r="N456" s="46" t="s">
        <v>14</v>
      </c>
      <c r="O456" s="49" t="s">
        <v>803</v>
      </c>
      <c r="P456" s="46" t="s">
        <v>507</v>
      </c>
      <c r="Q456" s="35" t="str">
        <f>MID(Tabla1[[#This Row],[Aplicación]],14,1)</f>
        <v>2</v>
      </c>
      <c r="R456" s="35" t="s">
        <v>495</v>
      </c>
      <c r="S456" s="35" t="str">
        <f>MID(Tabla1[[#This Row],[Aplicación]],6,2)</f>
        <v>09</v>
      </c>
      <c r="T456" s="35" t="str">
        <f>VLOOKUP(Tabla1[[#This Row],[AREA]],Hoja1!A:B,2,FALSE)</f>
        <v>09. Cultura y turismo</v>
      </c>
      <c r="U456" s="35" t="str">
        <f>MID(Tabla1[[#This Row],[Aplicación]],9,4)</f>
        <v>3301</v>
      </c>
      <c r="V456" s="35" t="str">
        <f>VLOOKUP(Tabla1[[#This Row],[PROGRAMA]],Hoja1!A:B,2,FALSE)</f>
        <v>3301. Dirección del área de cultura</v>
      </c>
      <c r="W456" s="35" t="str">
        <f>MID(Tabla1[[#This Row],[Aplicación]],14,2)</f>
        <v>22</v>
      </c>
      <c r="X456" s="35" t="str">
        <f>MID(Tabla1[[#This Row],[Aplicación]],14,6)</f>
        <v>22706</v>
      </c>
    </row>
    <row r="457" spans="1:24" x14ac:dyDescent="0.25">
      <c r="A457" s="45">
        <v>220210006171</v>
      </c>
      <c r="B457" s="46" t="s">
        <v>501</v>
      </c>
      <c r="C457" s="47">
        <v>44252</v>
      </c>
      <c r="D457" s="45">
        <v>22021000193</v>
      </c>
      <c r="E457" s="46" t="s">
        <v>871</v>
      </c>
      <c r="F457" s="48">
        <v>-13915</v>
      </c>
      <c r="G457" s="46" t="s">
        <v>580</v>
      </c>
      <c r="H457" s="46" t="s">
        <v>1413</v>
      </c>
      <c r="I457" s="45" t="s">
        <v>125</v>
      </c>
      <c r="J457" s="46" t="s">
        <v>661</v>
      </c>
      <c r="K457" s="46" t="s">
        <v>127</v>
      </c>
      <c r="L457" s="46" t="s">
        <v>12</v>
      </c>
      <c r="M457" s="46" t="s">
        <v>13</v>
      </c>
      <c r="N457" s="46" t="s">
        <v>14</v>
      </c>
      <c r="O457" s="49" t="s">
        <v>803</v>
      </c>
      <c r="P457" s="46" t="s">
        <v>507</v>
      </c>
      <c r="Q457" s="35" t="str">
        <f>MID(Tabla1[[#This Row],[Aplicación]],14,1)</f>
        <v>2</v>
      </c>
      <c r="R457" s="35" t="s">
        <v>495</v>
      </c>
      <c r="S457" s="35" t="str">
        <f>MID(Tabla1[[#This Row],[Aplicación]],6,2)</f>
        <v>09</v>
      </c>
      <c r="T457" s="35" t="str">
        <f>VLOOKUP(Tabla1[[#This Row],[AREA]],Hoja1!A:B,2,FALSE)</f>
        <v>09. Cultura y turismo</v>
      </c>
      <c r="U457" s="35" t="str">
        <f>MID(Tabla1[[#This Row],[Aplicación]],9,4)</f>
        <v>3301</v>
      </c>
      <c r="V457" s="35" t="str">
        <f>VLOOKUP(Tabla1[[#This Row],[PROGRAMA]],Hoja1!A:B,2,FALSE)</f>
        <v>3301. Dirección del área de cultura</v>
      </c>
      <c r="W457" s="35" t="str">
        <f>MID(Tabla1[[#This Row],[Aplicación]],14,2)</f>
        <v>22</v>
      </c>
      <c r="X457" s="35" t="str">
        <f>MID(Tabla1[[#This Row],[Aplicación]],14,6)</f>
        <v>22706</v>
      </c>
    </row>
    <row r="458" spans="1:24" x14ac:dyDescent="0.25">
      <c r="A458" s="45">
        <v>220209000624</v>
      </c>
      <c r="B458" s="46" t="s">
        <v>9</v>
      </c>
      <c r="C458" s="47">
        <v>44198</v>
      </c>
      <c r="D458" s="45">
        <v>22021000746</v>
      </c>
      <c r="E458" s="46" t="s">
        <v>1286</v>
      </c>
      <c r="F458" s="48">
        <v>8324.7999999999993</v>
      </c>
      <c r="G458" s="46" t="s">
        <v>171</v>
      </c>
      <c r="H458" s="46" t="s">
        <v>1414</v>
      </c>
      <c r="I458" s="45" t="s">
        <v>125</v>
      </c>
      <c r="J458" s="46" t="s">
        <v>629</v>
      </c>
      <c r="K458" s="46" t="s">
        <v>127</v>
      </c>
      <c r="L458" s="46" t="s">
        <v>12</v>
      </c>
      <c r="M458" s="46" t="s">
        <v>10</v>
      </c>
      <c r="N458" s="46" t="s">
        <v>11</v>
      </c>
      <c r="O458" s="49" t="s">
        <v>815</v>
      </c>
      <c r="P458" s="46" t="s">
        <v>507</v>
      </c>
      <c r="Q458" s="35" t="str">
        <f>MID(Tabla1[[#This Row],[Aplicación]],14,1)</f>
        <v>6</v>
      </c>
      <c r="R458" s="35" t="s">
        <v>496</v>
      </c>
      <c r="S458" s="35" t="str">
        <f>MID(Tabla1[[#This Row],[Aplicación]],6,2)</f>
        <v>04</v>
      </c>
      <c r="T458" s="35" t="str">
        <f>VLOOKUP(Tabla1[[#This Row],[AREA]],Hoja1!A:B,2,FALSE)</f>
        <v>04. Planificación y recursos</v>
      </c>
      <c r="U458" s="35" t="str">
        <f>MID(Tabla1[[#This Row],[Aplicación]],9,4)</f>
        <v>9204</v>
      </c>
      <c r="V458" s="35" t="str">
        <f>VLOOKUP(Tabla1[[#This Row],[PROGRAMA]],Hoja1!A:B,2,FALSE)</f>
        <v>9204. Tecnologías de la información y comunicación</v>
      </c>
      <c r="W458" s="35" t="str">
        <f>MID(Tabla1[[#This Row],[Aplicación]],14,2)</f>
        <v>64</v>
      </c>
      <c r="X458" s="35" t="str">
        <f>MID(Tabla1[[#This Row],[Aplicación]],14,6)</f>
        <v>641</v>
      </c>
    </row>
    <row r="459" spans="1:24" x14ac:dyDescent="0.25">
      <c r="A459" s="45">
        <v>220210002353</v>
      </c>
      <c r="B459" s="46" t="s">
        <v>9</v>
      </c>
      <c r="C459" s="47">
        <v>44231</v>
      </c>
      <c r="D459" s="45">
        <v>22021002030</v>
      </c>
      <c r="E459" s="46" t="s">
        <v>1415</v>
      </c>
      <c r="F459" s="48">
        <v>195.23</v>
      </c>
      <c r="G459" s="46" t="s">
        <v>171</v>
      </c>
      <c r="H459" s="46" t="s">
        <v>1416</v>
      </c>
      <c r="I459" s="45" t="s">
        <v>125</v>
      </c>
      <c r="J459" s="46" t="s">
        <v>629</v>
      </c>
      <c r="K459" s="46" t="s">
        <v>127</v>
      </c>
      <c r="L459" s="46" t="s">
        <v>12</v>
      </c>
      <c r="M459" s="46" t="s">
        <v>10</v>
      </c>
      <c r="N459" s="46" t="s">
        <v>11</v>
      </c>
      <c r="O459" s="49" t="s">
        <v>815</v>
      </c>
      <c r="P459" s="46" t="s">
        <v>507</v>
      </c>
      <c r="Q459" s="35" t="str">
        <f>MID(Tabla1[[#This Row],[Aplicación]],14,1)</f>
        <v>2</v>
      </c>
      <c r="R459" s="35" t="s">
        <v>495</v>
      </c>
      <c r="S459" s="35" t="str">
        <f>MID(Tabla1[[#This Row],[Aplicación]],6,2)</f>
        <v>10</v>
      </c>
      <c r="T459" s="35" t="str">
        <f>VLOOKUP(Tabla1[[#This Row],[AREA]],Hoja1!A:B,2,FALSE)</f>
        <v>10. Servicios sociales y mediación comunitaria</v>
      </c>
      <c r="U459" s="35" t="str">
        <f>MID(Tabla1[[#This Row],[Aplicación]],9,4)</f>
        <v>2312</v>
      </c>
      <c r="V459" s="35" t="str">
        <f>VLOOKUP(Tabla1[[#This Row],[PROGRAMA]],Hoja1!A:B,2,FALSE)</f>
        <v>2312. Iniciativas sociales</v>
      </c>
      <c r="W459" s="35" t="str">
        <f>MID(Tabla1[[#This Row],[Aplicación]],14,2)</f>
        <v>22</v>
      </c>
      <c r="X459" s="35" t="str">
        <f>MID(Tabla1[[#This Row],[Aplicación]],14,6)</f>
        <v>22799</v>
      </c>
    </row>
    <row r="460" spans="1:24" x14ac:dyDescent="0.25">
      <c r="A460" s="45">
        <v>220210002353</v>
      </c>
      <c r="B460" s="46" t="s">
        <v>9</v>
      </c>
      <c r="C460" s="47">
        <v>44231</v>
      </c>
      <c r="D460" s="45">
        <v>22021002029</v>
      </c>
      <c r="E460" s="46" t="s">
        <v>1415</v>
      </c>
      <c r="F460" s="48">
        <v>207.85</v>
      </c>
      <c r="G460" s="46" t="s">
        <v>171</v>
      </c>
      <c r="H460" s="46" t="s">
        <v>1416</v>
      </c>
      <c r="I460" s="45" t="s">
        <v>125</v>
      </c>
      <c r="J460" s="46" t="s">
        <v>629</v>
      </c>
      <c r="K460" s="46" t="s">
        <v>127</v>
      </c>
      <c r="L460" s="46" t="s">
        <v>12</v>
      </c>
      <c r="M460" s="46" t="s">
        <v>10</v>
      </c>
      <c r="N460" s="46" t="s">
        <v>11</v>
      </c>
      <c r="O460" s="49" t="s">
        <v>815</v>
      </c>
      <c r="P460" s="46" t="s">
        <v>507</v>
      </c>
      <c r="Q460" s="35" t="str">
        <f>MID(Tabla1[[#This Row],[Aplicación]],14,1)</f>
        <v>2</v>
      </c>
      <c r="R460" s="35" t="s">
        <v>495</v>
      </c>
      <c r="S460" s="35" t="str">
        <f>MID(Tabla1[[#This Row],[Aplicación]],6,2)</f>
        <v>10</v>
      </c>
      <c r="T460" s="35" t="str">
        <f>VLOOKUP(Tabla1[[#This Row],[AREA]],Hoja1!A:B,2,FALSE)</f>
        <v>10. Servicios sociales y mediación comunitaria</v>
      </c>
      <c r="U460" s="35" t="str">
        <f>MID(Tabla1[[#This Row],[Aplicación]],9,4)</f>
        <v>2312</v>
      </c>
      <c r="V460" s="35" t="str">
        <f>VLOOKUP(Tabla1[[#This Row],[PROGRAMA]],Hoja1!A:B,2,FALSE)</f>
        <v>2312. Iniciativas sociales</v>
      </c>
      <c r="W460" s="35" t="str">
        <f>MID(Tabla1[[#This Row],[Aplicación]],14,2)</f>
        <v>22</v>
      </c>
      <c r="X460" s="35" t="str">
        <f>MID(Tabla1[[#This Row],[Aplicación]],14,6)</f>
        <v>22799</v>
      </c>
    </row>
    <row r="461" spans="1:24" x14ac:dyDescent="0.25">
      <c r="A461" s="45">
        <v>220210004544</v>
      </c>
      <c r="B461" s="46" t="s">
        <v>204</v>
      </c>
      <c r="C461" s="47">
        <v>44246</v>
      </c>
      <c r="D461" s="45">
        <v>22021001275</v>
      </c>
      <c r="E461" s="46" t="s">
        <v>1334</v>
      </c>
      <c r="F461" s="48">
        <v>445.44</v>
      </c>
      <c r="G461" s="46" t="s">
        <v>1407</v>
      </c>
      <c r="H461" s="46" t="s">
        <v>1417</v>
      </c>
      <c r="I461" s="45" t="s">
        <v>205</v>
      </c>
      <c r="J461" s="46" t="s">
        <v>127</v>
      </c>
      <c r="K461" s="46" t="s">
        <v>127</v>
      </c>
      <c r="L461" s="46" t="s">
        <v>15</v>
      </c>
      <c r="M461" s="46" t="s">
        <v>13</v>
      </c>
      <c r="N461" s="46" t="s">
        <v>14</v>
      </c>
      <c r="O461" s="49" t="s">
        <v>814</v>
      </c>
      <c r="P461" s="46" t="s">
        <v>507</v>
      </c>
      <c r="Q461" s="35" t="str">
        <f>MID(Tabla1[[#This Row],[Aplicación]],14,1)</f>
        <v>2</v>
      </c>
      <c r="R461" s="35" t="s">
        <v>495</v>
      </c>
      <c r="S461" s="35" t="str">
        <f>MID(Tabla1[[#This Row],[Aplicación]],6,2)</f>
        <v>07</v>
      </c>
      <c r="T461" s="35" t="str">
        <f>VLOOKUP(Tabla1[[#This Row],[AREA]],Hoja1!A:B,2,FALSE)</f>
        <v>07. Medio ambiente y desarrollo sostenible</v>
      </c>
      <c r="U461" s="35" t="str">
        <f>MID(Tabla1[[#This Row],[Aplicación]],9,4)</f>
        <v>1711</v>
      </c>
      <c r="V461" s="35" t="str">
        <f>VLOOKUP(Tabla1[[#This Row],[PROGRAMA]],Hoja1!A:B,2,FALSE)</f>
        <v>1711. Parques y jardines</v>
      </c>
      <c r="W461" s="35" t="str">
        <f>MID(Tabla1[[#This Row],[Aplicación]],14,2)</f>
        <v>22</v>
      </c>
      <c r="X461" s="35" t="str">
        <f>MID(Tabla1[[#This Row],[Aplicación]],14,6)</f>
        <v>22199</v>
      </c>
    </row>
    <row r="462" spans="1:24" x14ac:dyDescent="0.25">
      <c r="A462" s="45">
        <v>220210004567</v>
      </c>
      <c r="B462" s="46" t="s">
        <v>204</v>
      </c>
      <c r="C462" s="47">
        <v>44246</v>
      </c>
      <c r="D462" s="45">
        <v>22021001275</v>
      </c>
      <c r="E462" s="46" t="s">
        <v>1334</v>
      </c>
      <c r="F462" s="48">
        <v>134.19999999999999</v>
      </c>
      <c r="G462" s="46" t="s">
        <v>1407</v>
      </c>
      <c r="H462" s="46" t="s">
        <v>1418</v>
      </c>
      <c r="I462" s="45" t="s">
        <v>205</v>
      </c>
      <c r="J462" s="46" t="s">
        <v>127</v>
      </c>
      <c r="K462" s="46" t="s">
        <v>127</v>
      </c>
      <c r="L462" s="46" t="s">
        <v>15</v>
      </c>
      <c r="M462" s="46" t="s">
        <v>13</v>
      </c>
      <c r="N462" s="46" t="s">
        <v>14</v>
      </c>
      <c r="O462" s="49" t="s">
        <v>814</v>
      </c>
      <c r="P462" s="46" t="s">
        <v>507</v>
      </c>
      <c r="Q462" s="35" t="str">
        <f>MID(Tabla1[[#This Row],[Aplicación]],14,1)</f>
        <v>2</v>
      </c>
      <c r="R462" s="35" t="s">
        <v>495</v>
      </c>
      <c r="S462" s="35" t="str">
        <f>MID(Tabla1[[#This Row],[Aplicación]],6,2)</f>
        <v>07</v>
      </c>
      <c r="T462" s="35" t="str">
        <f>VLOOKUP(Tabla1[[#This Row],[AREA]],Hoja1!A:B,2,FALSE)</f>
        <v>07. Medio ambiente y desarrollo sostenible</v>
      </c>
      <c r="U462" s="35" t="str">
        <f>MID(Tabla1[[#This Row],[Aplicación]],9,4)</f>
        <v>1711</v>
      </c>
      <c r="V462" s="35" t="str">
        <f>VLOOKUP(Tabla1[[#This Row],[PROGRAMA]],Hoja1!A:B,2,FALSE)</f>
        <v>1711. Parques y jardines</v>
      </c>
      <c r="W462" s="35" t="str">
        <f>MID(Tabla1[[#This Row],[Aplicación]],14,2)</f>
        <v>22</v>
      </c>
      <c r="X462" s="35" t="str">
        <f>MID(Tabla1[[#This Row],[Aplicación]],14,6)</f>
        <v>22199</v>
      </c>
    </row>
    <row r="463" spans="1:24" x14ac:dyDescent="0.25">
      <c r="A463" s="45">
        <v>220209000450</v>
      </c>
      <c r="B463" s="46" t="s">
        <v>9</v>
      </c>
      <c r="C463" s="47">
        <v>44198</v>
      </c>
      <c r="D463" s="45">
        <v>22021000309</v>
      </c>
      <c r="E463" s="46" t="s">
        <v>980</v>
      </c>
      <c r="F463" s="48">
        <v>4422.37</v>
      </c>
      <c r="G463" s="46" t="s">
        <v>1419</v>
      </c>
      <c r="H463" s="46" t="s">
        <v>1420</v>
      </c>
      <c r="I463" s="45" t="s">
        <v>125</v>
      </c>
      <c r="J463" s="46" t="s">
        <v>127</v>
      </c>
      <c r="K463" s="46" t="s">
        <v>127</v>
      </c>
      <c r="L463" s="46" t="s">
        <v>12</v>
      </c>
      <c r="M463" s="46" t="s">
        <v>13</v>
      </c>
      <c r="N463" s="46" t="s">
        <v>14</v>
      </c>
      <c r="O463" s="49" t="s">
        <v>803</v>
      </c>
      <c r="P463" s="46" t="s">
        <v>507</v>
      </c>
      <c r="Q463" s="35" t="str">
        <f>MID(Tabla1[[#This Row],[Aplicación]],14,1)</f>
        <v>2</v>
      </c>
      <c r="R463" s="35" t="s">
        <v>495</v>
      </c>
      <c r="S463" s="35" t="str">
        <f>MID(Tabla1[[#This Row],[Aplicación]],6,2)</f>
        <v>11</v>
      </c>
      <c r="T463" s="35" t="str">
        <f>VLOOKUP(Tabla1[[#This Row],[AREA]],Hoja1!A:B,2,FALSE)</f>
        <v>11. Salud pública y seguridad ciudadana</v>
      </c>
      <c r="U463" s="35" t="str">
        <f>MID(Tabla1[[#This Row],[Aplicación]],9,4)</f>
        <v>1361</v>
      </c>
      <c r="V463" s="35" t="str">
        <f>VLOOKUP(Tabla1[[#This Row],[PROGRAMA]],Hoja1!A:B,2,FALSE)</f>
        <v>1361. Prevención y extinción de incencios</v>
      </c>
      <c r="W463" s="35" t="str">
        <f>MID(Tabla1[[#This Row],[Aplicación]],14,2)</f>
        <v>21</v>
      </c>
      <c r="X463" s="35" t="str">
        <f>MID(Tabla1[[#This Row],[Aplicación]],14,6)</f>
        <v>213</v>
      </c>
    </row>
    <row r="464" spans="1:24" x14ac:dyDescent="0.25">
      <c r="A464" s="45">
        <v>220209000734</v>
      </c>
      <c r="B464" s="46" t="s">
        <v>9</v>
      </c>
      <c r="C464" s="47">
        <v>44198</v>
      </c>
      <c r="D464" s="45">
        <v>22021000466</v>
      </c>
      <c r="E464" s="46" t="s">
        <v>1421</v>
      </c>
      <c r="F464" s="48">
        <v>13289.7</v>
      </c>
      <c r="G464" s="46" t="s">
        <v>48</v>
      </c>
      <c r="H464" s="46" t="s">
        <v>1422</v>
      </c>
      <c r="I464" s="45" t="s">
        <v>125</v>
      </c>
      <c r="J464" s="46" t="s">
        <v>127</v>
      </c>
      <c r="K464" s="46" t="s">
        <v>127</v>
      </c>
      <c r="L464" s="46" t="s">
        <v>15</v>
      </c>
      <c r="M464" s="46" t="s">
        <v>13</v>
      </c>
      <c r="N464" s="46" t="s">
        <v>11</v>
      </c>
      <c r="O464" s="49" t="s">
        <v>803</v>
      </c>
      <c r="P464" s="46" t="s">
        <v>507</v>
      </c>
      <c r="Q464" s="35" t="str">
        <f>MID(Tabla1[[#This Row],[Aplicación]],14,1)</f>
        <v>2</v>
      </c>
      <c r="R464" s="35" t="s">
        <v>495</v>
      </c>
      <c r="S464" s="35" t="str">
        <f>MID(Tabla1[[#This Row],[Aplicación]],6,2)</f>
        <v>01</v>
      </c>
      <c r="T464" s="35" t="str">
        <f>VLOOKUP(Tabla1[[#This Row],[AREA]],Hoja1!A:B,2,FALSE)</f>
        <v>01. Alcaldía</v>
      </c>
      <c r="U464" s="35" t="str">
        <f>MID(Tabla1[[#This Row],[Aplicación]],9,4)</f>
        <v>9203</v>
      </c>
      <c r="V464" s="35" t="str">
        <f>VLOOKUP(Tabla1[[#This Row],[PROGRAMA]],Hoja1!A:B,2,FALSE)</f>
        <v>9203. Unidad de régimen interior</v>
      </c>
      <c r="W464" s="35" t="str">
        <f>MID(Tabla1[[#This Row],[Aplicación]],14,2)</f>
        <v>22</v>
      </c>
      <c r="X464" s="35" t="str">
        <f>MID(Tabla1[[#This Row],[Aplicación]],14,6)</f>
        <v>22104</v>
      </c>
    </row>
    <row r="465" spans="1:24" x14ac:dyDescent="0.25">
      <c r="A465" s="45">
        <v>220210006047</v>
      </c>
      <c r="B465" s="46" t="s">
        <v>9</v>
      </c>
      <c r="C465" s="47">
        <v>44251</v>
      </c>
      <c r="D465" s="45">
        <v>22021002868</v>
      </c>
      <c r="E465" s="46" t="s">
        <v>840</v>
      </c>
      <c r="F465" s="48">
        <v>3500</v>
      </c>
      <c r="G465" s="46" t="s">
        <v>536</v>
      </c>
      <c r="H465" s="46" t="s">
        <v>1423</v>
      </c>
      <c r="I465" s="45" t="s">
        <v>125</v>
      </c>
      <c r="J465" s="46" t="s">
        <v>741</v>
      </c>
      <c r="K465" s="46" t="s">
        <v>127</v>
      </c>
      <c r="L465" s="46" t="s">
        <v>12</v>
      </c>
      <c r="M465" s="46" t="s">
        <v>10</v>
      </c>
      <c r="N465" s="46" t="s">
        <v>11</v>
      </c>
      <c r="O465" s="49" t="s">
        <v>815</v>
      </c>
      <c r="P465" s="46" t="s">
        <v>507</v>
      </c>
      <c r="Q465" s="35" t="str">
        <f>MID(Tabla1[[#This Row],[Aplicación]],14,1)</f>
        <v>2</v>
      </c>
      <c r="R465" s="35" t="s">
        <v>495</v>
      </c>
      <c r="S465" s="35" t="str">
        <f>MID(Tabla1[[#This Row],[Aplicación]],6,2)</f>
        <v>07</v>
      </c>
      <c r="T465" s="35" t="str">
        <f>VLOOKUP(Tabla1[[#This Row],[AREA]],Hoja1!A:B,2,FALSE)</f>
        <v>07. Medio ambiente y desarrollo sostenible</v>
      </c>
      <c r="U465" s="35" t="str">
        <f>MID(Tabla1[[#This Row],[Aplicación]],9,4)</f>
        <v>1711</v>
      </c>
      <c r="V465" s="35" t="str">
        <f>VLOOKUP(Tabla1[[#This Row],[PROGRAMA]],Hoja1!A:B,2,FALSE)</f>
        <v>1711. Parques y jardines</v>
      </c>
      <c r="W465" s="35" t="str">
        <f>MID(Tabla1[[#This Row],[Aplicación]],14,2)</f>
        <v>22</v>
      </c>
      <c r="X465" s="35" t="str">
        <f>MID(Tabla1[[#This Row],[Aplicación]],14,6)</f>
        <v>22799</v>
      </c>
    </row>
    <row r="466" spans="1:24" x14ac:dyDescent="0.25">
      <c r="A466" s="45">
        <v>220209000560</v>
      </c>
      <c r="B466" s="46" t="s">
        <v>9</v>
      </c>
      <c r="C466" s="47">
        <v>44198</v>
      </c>
      <c r="D466" s="45">
        <v>22021000739</v>
      </c>
      <c r="E466" s="46" t="s">
        <v>1286</v>
      </c>
      <c r="F466" s="48">
        <v>10278.950000000001</v>
      </c>
      <c r="G466" s="46" t="s">
        <v>1424</v>
      </c>
      <c r="H466" s="46" t="s">
        <v>1425</v>
      </c>
      <c r="I466" s="45" t="s">
        <v>125</v>
      </c>
      <c r="J466" s="46" t="s">
        <v>610</v>
      </c>
      <c r="K466" s="46" t="s">
        <v>195</v>
      </c>
      <c r="L466" s="46" t="s">
        <v>12</v>
      </c>
      <c r="M466" s="46" t="s">
        <v>10</v>
      </c>
      <c r="N466" s="46" t="s">
        <v>11</v>
      </c>
      <c r="O466" s="49" t="s">
        <v>815</v>
      </c>
      <c r="P466" s="46" t="s">
        <v>507</v>
      </c>
      <c r="Q466" s="35" t="str">
        <f>MID(Tabla1[[#This Row],[Aplicación]],14,1)</f>
        <v>6</v>
      </c>
      <c r="R466" s="35" t="s">
        <v>496</v>
      </c>
      <c r="S466" s="35" t="str">
        <f>MID(Tabla1[[#This Row],[Aplicación]],6,2)</f>
        <v>04</v>
      </c>
      <c r="T466" s="35" t="str">
        <f>VLOOKUP(Tabla1[[#This Row],[AREA]],Hoja1!A:B,2,FALSE)</f>
        <v>04. Planificación y recursos</v>
      </c>
      <c r="U466" s="35" t="str">
        <f>MID(Tabla1[[#This Row],[Aplicación]],9,4)</f>
        <v>9204</v>
      </c>
      <c r="V466" s="35" t="str">
        <f>VLOOKUP(Tabla1[[#This Row],[PROGRAMA]],Hoja1!A:B,2,FALSE)</f>
        <v>9204. Tecnologías de la información y comunicación</v>
      </c>
      <c r="W466" s="35" t="str">
        <f>MID(Tabla1[[#This Row],[Aplicación]],14,2)</f>
        <v>64</v>
      </c>
      <c r="X466" s="35" t="str">
        <f>MID(Tabla1[[#This Row],[Aplicación]],14,6)</f>
        <v>641</v>
      </c>
    </row>
    <row r="467" spans="1:24" x14ac:dyDescent="0.25">
      <c r="A467" s="45">
        <v>220210006174</v>
      </c>
      <c r="B467" s="46" t="s">
        <v>9</v>
      </c>
      <c r="C467" s="47">
        <v>44252</v>
      </c>
      <c r="D467" s="45">
        <v>22021002150</v>
      </c>
      <c r="E467" s="46" t="s">
        <v>859</v>
      </c>
      <c r="F467" s="48">
        <v>11394.2</v>
      </c>
      <c r="G467" s="46" t="s">
        <v>1424</v>
      </c>
      <c r="H467" s="46" t="s">
        <v>1426</v>
      </c>
      <c r="I467" s="45" t="s">
        <v>125</v>
      </c>
      <c r="J467" s="46" t="s">
        <v>610</v>
      </c>
      <c r="K467" s="46" t="s">
        <v>195</v>
      </c>
      <c r="L467" s="46" t="s">
        <v>12</v>
      </c>
      <c r="M467" s="46" t="s">
        <v>10</v>
      </c>
      <c r="N467" s="46" t="s">
        <v>11</v>
      </c>
      <c r="O467" s="49" t="s">
        <v>815</v>
      </c>
      <c r="P467" s="46" t="s">
        <v>507</v>
      </c>
      <c r="Q467" s="35" t="str">
        <f>MID(Tabla1[[#This Row],[Aplicación]],14,1)</f>
        <v>2</v>
      </c>
      <c r="R467" s="35" t="s">
        <v>495</v>
      </c>
      <c r="S467" s="35" t="str">
        <f>MID(Tabla1[[#This Row],[Aplicación]],6,2)</f>
        <v>05</v>
      </c>
      <c r="T467" s="35" t="str">
        <f>VLOOKUP(Tabla1[[#This Row],[AREA]],Hoja1!A:B,2,FALSE)</f>
        <v>05. Innovación, desarrollo económico, empleo y comercio</v>
      </c>
      <c r="U467" s="35" t="str">
        <f>MID(Tabla1[[#This Row],[Aplicación]],9,4)</f>
        <v>4331</v>
      </c>
      <c r="V467" s="35" t="str">
        <f>VLOOKUP(Tabla1[[#This Row],[PROGRAMA]],Hoja1!A:B,2,FALSE)</f>
        <v>4331. Desarrollo empresarial</v>
      </c>
      <c r="W467" s="35" t="str">
        <f>MID(Tabla1[[#This Row],[Aplicación]],14,2)</f>
        <v>22</v>
      </c>
      <c r="X467" s="35" t="str">
        <f>MID(Tabla1[[#This Row],[Aplicación]],14,6)</f>
        <v>22706</v>
      </c>
    </row>
    <row r="468" spans="1:24" x14ac:dyDescent="0.25">
      <c r="A468" s="45">
        <v>220210000504</v>
      </c>
      <c r="B468" s="46" t="s">
        <v>9</v>
      </c>
      <c r="C468" s="47">
        <v>44221</v>
      </c>
      <c r="D468" s="45">
        <v>22021001677</v>
      </c>
      <c r="E468" s="46" t="s">
        <v>823</v>
      </c>
      <c r="F468" s="48">
        <v>484</v>
      </c>
      <c r="G468" s="46" t="s">
        <v>1427</v>
      </c>
      <c r="H468" s="46" t="s">
        <v>1428</v>
      </c>
      <c r="I468" s="45" t="s">
        <v>125</v>
      </c>
      <c r="J468" s="46" t="s">
        <v>127</v>
      </c>
      <c r="K468" s="46" t="s">
        <v>127</v>
      </c>
      <c r="L468" s="46" t="s">
        <v>12</v>
      </c>
      <c r="M468" s="46" t="s">
        <v>10</v>
      </c>
      <c r="N468" s="46" t="s">
        <v>11</v>
      </c>
      <c r="O468" s="49" t="s">
        <v>815</v>
      </c>
      <c r="P468" s="46" t="s">
        <v>507</v>
      </c>
      <c r="Q468" s="35" t="str">
        <f>MID(Tabla1[[#This Row],[Aplicación]],14,1)</f>
        <v>2</v>
      </c>
      <c r="R468" s="35" t="s">
        <v>495</v>
      </c>
      <c r="S468" s="35" t="str">
        <f>MID(Tabla1[[#This Row],[Aplicación]],6,2)</f>
        <v>03</v>
      </c>
      <c r="T468" s="35" t="str">
        <f>VLOOKUP(Tabla1[[#This Row],[AREA]],Hoja1!A:B,2,FALSE)</f>
        <v>03. Participación ciudadana y deportes</v>
      </c>
      <c r="U468" s="35" t="str">
        <f>MID(Tabla1[[#This Row],[Aplicación]],9,4)</f>
        <v>9241</v>
      </c>
      <c r="V468" s="35" t="str">
        <f>VLOOKUP(Tabla1[[#This Row],[PROGRAMA]],Hoja1!A:B,2,FALSE)</f>
        <v>9241. Participación ciudadana</v>
      </c>
      <c r="W468" s="35" t="str">
        <f>MID(Tabla1[[#This Row],[Aplicación]],14,2)</f>
        <v>22</v>
      </c>
      <c r="X468" s="35" t="str">
        <f>MID(Tabla1[[#This Row],[Aplicación]],14,6)</f>
        <v>22609</v>
      </c>
    </row>
    <row r="469" spans="1:24" x14ac:dyDescent="0.25">
      <c r="A469" s="45">
        <v>220209000369</v>
      </c>
      <c r="B469" s="46" t="s">
        <v>9</v>
      </c>
      <c r="C469" s="47">
        <v>44198</v>
      </c>
      <c r="D469" s="45">
        <v>22021000273</v>
      </c>
      <c r="E469" s="46" t="s">
        <v>1247</v>
      </c>
      <c r="F469" s="48">
        <v>10862800</v>
      </c>
      <c r="G469" s="46" t="s">
        <v>1429</v>
      </c>
      <c r="H469" s="46" t="s">
        <v>1430</v>
      </c>
      <c r="I469" s="45" t="s">
        <v>125</v>
      </c>
      <c r="J469" s="46" t="s">
        <v>127</v>
      </c>
      <c r="K469" s="46" t="s">
        <v>127</v>
      </c>
      <c r="L469" s="46" t="s">
        <v>12</v>
      </c>
      <c r="M469" s="46" t="s">
        <v>13</v>
      </c>
      <c r="N469" s="46" t="s">
        <v>14</v>
      </c>
      <c r="O469" s="49" t="s">
        <v>803</v>
      </c>
      <c r="P469" s="46" t="s">
        <v>507</v>
      </c>
      <c r="Q469" s="35" t="str">
        <f>MID(Tabla1[[#This Row],[Aplicación]],14,1)</f>
        <v>2</v>
      </c>
      <c r="R469" s="35" t="s">
        <v>495</v>
      </c>
      <c r="S469" s="35" t="str">
        <f>MID(Tabla1[[#This Row],[Aplicación]],6,2)</f>
        <v>10</v>
      </c>
      <c r="T469" s="35" t="str">
        <f>VLOOKUP(Tabla1[[#This Row],[AREA]],Hoja1!A:B,2,FALSE)</f>
        <v>10. Servicios sociales y mediación comunitaria</v>
      </c>
      <c r="U469" s="35" t="str">
        <f>MID(Tabla1[[#This Row],[Aplicación]],9,4)</f>
        <v>2311</v>
      </c>
      <c r="V469" s="35" t="str">
        <f>VLOOKUP(Tabla1[[#This Row],[PROGRAMA]],Hoja1!A:B,2,FALSE)</f>
        <v>2311. Intervención social</v>
      </c>
      <c r="W469" s="35" t="str">
        <f>MID(Tabla1[[#This Row],[Aplicación]],14,2)</f>
        <v>22</v>
      </c>
      <c r="X469" s="35" t="str">
        <f>MID(Tabla1[[#This Row],[Aplicación]],14,6)</f>
        <v>22799</v>
      </c>
    </row>
    <row r="470" spans="1:24" x14ac:dyDescent="0.25">
      <c r="A470" s="45">
        <v>220209000630</v>
      </c>
      <c r="B470" s="46" t="s">
        <v>9</v>
      </c>
      <c r="C470" s="47">
        <v>44198</v>
      </c>
      <c r="D470" s="45">
        <v>22021000405</v>
      </c>
      <c r="E470" s="46" t="s">
        <v>1247</v>
      </c>
      <c r="F470" s="48">
        <v>724000</v>
      </c>
      <c r="G470" s="46" t="s">
        <v>1429</v>
      </c>
      <c r="H470" s="46" t="s">
        <v>1431</v>
      </c>
      <c r="I470" s="45" t="s">
        <v>125</v>
      </c>
      <c r="J470" s="46" t="s">
        <v>127</v>
      </c>
      <c r="K470" s="46" t="s">
        <v>127</v>
      </c>
      <c r="L470" s="46" t="s">
        <v>12</v>
      </c>
      <c r="M470" s="46" t="s">
        <v>13</v>
      </c>
      <c r="N470" s="46" t="s">
        <v>14</v>
      </c>
      <c r="O470" s="49" t="s">
        <v>803</v>
      </c>
      <c r="P470" s="46" t="s">
        <v>507</v>
      </c>
      <c r="Q470" s="35" t="str">
        <f>MID(Tabla1[[#This Row],[Aplicación]],14,1)</f>
        <v>2</v>
      </c>
      <c r="R470" s="35" t="s">
        <v>495</v>
      </c>
      <c r="S470" s="35" t="str">
        <f>MID(Tabla1[[#This Row],[Aplicación]],6,2)</f>
        <v>10</v>
      </c>
      <c r="T470" s="35" t="str">
        <f>VLOOKUP(Tabla1[[#This Row],[AREA]],Hoja1!A:B,2,FALSE)</f>
        <v>10. Servicios sociales y mediación comunitaria</v>
      </c>
      <c r="U470" s="35" t="str">
        <f>MID(Tabla1[[#This Row],[Aplicación]],9,4)</f>
        <v>2311</v>
      </c>
      <c r="V470" s="35" t="str">
        <f>VLOOKUP(Tabla1[[#This Row],[PROGRAMA]],Hoja1!A:B,2,FALSE)</f>
        <v>2311. Intervención social</v>
      </c>
      <c r="W470" s="35" t="str">
        <f>MID(Tabla1[[#This Row],[Aplicación]],14,2)</f>
        <v>22</v>
      </c>
      <c r="X470" s="35" t="str">
        <f>MID(Tabla1[[#This Row],[Aplicación]],14,6)</f>
        <v>22799</v>
      </c>
    </row>
    <row r="471" spans="1:24" x14ac:dyDescent="0.25">
      <c r="A471" s="45">
        <v>220210006039</v>
      </c>
      <c r="B471" s="46" t="s">
        <v>9</v>
      </c>
      <c r="C471" s="47">
        <v>44251</v>
      </c>
      <c r="D471" s="45">
        <v>22021002835</v>
      </c>
      <c r="E471" s="46" t="s">
        <v>1432</v>
      </c>
      <c r="F471" s="48">
        <v>1024.8699999999999</v>
      </c>
      <c r="G471" s="46" t="s">
        <v>48</v>
      </c>
      <c r="H471" s="46" t="s">
        <v>1433</v>
      </c>
      <c r="I471" s="45" t="s">
        <v>125</v>
      </c>
      <c r="J471" s="46" t="s">
        <v>127</v>
      </c>
      <c r="K471" s="46" t="s">
        <v>127</v>
      </c>
      <c r="L471" s="46" t="s">
        <v>15</v>
      </c>
      <c r="M471" s="46" t="s">
        <v>10</v>
      </c>
      <c r="N471" s="46" t="s">
        <v>11</v>
      </c>
      <c r="O471" s="49" t="s">
        <v>815</v>
      </c>
      <c r="P471" s="46" t="s">
        <v>507</v>
      </c>
      <c r="Q471" s="35" t="str">
        <f>MID(Tabla1[[#This Row],[Aplicación]],14,1)</f>
        <v>2</v>
      </c>
      <c r="R471" s="35" t="s">
        <v>495</v>
      </c>
      <c r="S471" s="35" t="str">
        <f>MID(Tabla1[[#This Row],[Aplicación]],6,2)</f>
        <v>10</v>
      </c>
      <c r="T471" s="35" t="str">
        <f>VLOOKUP(Tabla1[[#This Row],[AREA]],Hoja1!A:B,2,FALSE)</f>
        <v>10. Servicios sociales y mediación comunitaria</v>
      </c>
      <c r="U471" s="35" t="str">
        <f>MID(Tabla1[[#This Row],[Aplicación]],9,4)</f>
        <v>2412</v>
      </c>
      <c r="V471" s="35" t="str">
        <f>VLOOKUP(Tabla1[[#This Row],[PROGRAMA]],Hoja1!A:B,2,FALSE)</f>
        <v>2412. Formación para el empleo</v>
      </c>
      <c r="W471" s="35" t="str">
        <f>MID(Tabla1[[#This Row],[Aplicación]],14,2)</f>
        <v>22</v>
      </c>
      <c r="X471" s="35" t="str">
        <f>MID(Tabla1[[#This Row],[Aplicación]],14,6)</f>
        <v>22104</v>
      </c>
    </row>
    <row r="472" spans="1:24" x14ac:dyDescent="0.25">
      <c r="A472" s="45">
        <v>220210006950</v>
      </c>
      <c r="B472" s="46" t="s">
        <v>9</v>
      </c>
      <c r="C472" s="47">
        <v>44259</v>
      </c>
      <c r="D472" s="45">
        <v>22021003056</v>
      </c>
      <c r="E472" s="46" t="s">
        <v>1410</v>
      </c>
      <c r="F472" s="48">
        <v>4000</v>
      </c>
      <c r="G472" s="46" t="s">
        <v>239</v>
      </c>
      <c r="H472" s="46" t="s">
        <v>1434</v>
      </c>
      <c r="I472" s="45" t="s">
        <v>125</v>
      </c>
      <c r="J472" s="46" t="s">
        <v>127</v>
      </c>
      <c r="K472" s="46" t="s">
        <v>127</v>
      </c>
      <c r="L472" s="46" t="s">
        <v>12</v>
      </c>
      <c r="M472" s="46" t="s">
        <v>10</v>
      </c>
      <c r="N472" s="46" t="s">
        <v>11</v>
      </c>
      <c r="O472" s="49" t="s">
        <v>815</v>
      </c>
      <c r="P472" s="46" t="s">
        <v>507</v>
      </c>
      <c r="Q472" s="35" t="str">
        <f>MID(Tabla1[[#This Row],[Aplicación]],14,1)</f>
        <v>2</v>
      </c>
      <c r="R472" s="35" t="s">
        <v>495</v>
      </c>
      <c r="S472" s="35" t="str">
        <f>MID(Tabla1[[#This Row],[Aplicación]],6,2)</f>
        <v>07</v>
      </c>
      <c r="T472" s="35" t="str">
        <f>VLOOKUP(Tabla1[[#This Row],[AREA]],Hoja1!A:B,2,FALSE)</f>
        <v>07. Medio ambiente y desarrollo sostenible</v>
      </c>
      <c r="U472" s="35" t="str">
        <f>MID(Tabla1[[#This Row],[Aplicación]],9,4)</f>
        <v>1711</v>
      </c>
      <c r="V472" s="35" t="str">
        <f>VLOOKUP(Tabla1[[#This Row],[PROGRAMA]],Hoja1!A:B,2,FALSE)</f>
        <v>1711. Parques y jardines</v>
      </c>
      <c r="W472" s="35" t="str">
        <f>MID(Tabla1[[#This Row],[Aplicación]],14,2)</f>
        <v>21</v>
      </c>
      <c r="X472" s="35" t="str">
        <f>MID(Tabla1[[#This Row],[Aplicación]],14,6)</f>
        <v>214</v>
      </c>
    </row>
    <row r="473" spans="1:24" x14ac:dyDescent="0.25">
      <c r="A473" s="45">
        <v>220210010216</v>
      </c>
      <c r="B473" s="46" t="s">
        <v>204</v>
      </c>
      <c r="C473" s="47">
        <v>44273</v>
      </c>
      <c r="D473" s="45">
        <v>22021002378</v>
      </c>
      <c r="E473" s="46" t="s">
        <v>1228</v>
      </c>
      <c r="F473" s="48">
        <v>604.87</v>
      </c>
      <c r="G473" s="46" t="s">
        <v>239</v>
      </c>
      <c r="H473" s="46" t="s">
        <v>1435</v>
      </c>
      <c r="I473" s="45" t="s">
        <v>205</v>
      </c>
      <c r="J473" s="46" t="s">
        <v>127</v>
      </c>
      <c r="K473" s="46" t="s">
        <v>127</v>
      </c>
      <c r="L473" s="46" t="s">
        <v>15</v>
      </c>
      <c r="M473" s="46" t="s">
        <v>13</v>
      </c>
      <c r="N473" s="46" t="s">
        <v>14</v>
      </c>
      <c r="O473" s="49" t="s">
        <v>814</v>
      </c>
      <c r="P473" s="46" t="s">
        <v>507</v>
      </c>
      <c r="Q473" s="35" t="str">
        <f>MID(Tabla1[[#This Row],[Aplicación]],14,1)</f>
        <v>2</v>
      </c>
      <c r="R473" s="35" t="s">
        <v>495</v>
      </c>
      <c r="S473" s="35" t="str">
        <f>MID(Tabla1[[#This Row],[Aplicación]],6,2)</f>
        <v>02</v>
      </c>
      <c r="T473" s="35" t="str">
        <f>VLOOKUP(Tabla1[[#This Row],[AREA]],Hoja1!A:B,2,FALSE)</f>
        <v>02. Planeamiento urbanístico y vivienda</v>
      </c>
      <c r="U473" s="35" t="str">
        <f>MID(Tabla1[[#This Row],[Aplicación]],9,4)</f>
        <v>9332</v>
      </c>
      <c r="V473" s="35" t="str">
        <f>VLOOKUP(Tabla1[[#This Row],[PROGRAMA]],Hoja1!A:B,2,FALSE)</f>
        <v>9332. Mantenimiento de edificios e instalaciones municipales</v>
      </c>
      <c r="W473" s="35" t="str">
        <f>MID(Tabla1[[#This Row],[Aplicación]],14,2)</f>
        <v>21</v>
      </c>
      <c r="X473" s="35" t="str">
        <f>MID(Tabla1[[#This Row],[Aplicación]],14,6)</f>
        <v>214</v>
      </c>
    </row>
    <row r="474" spans="1:24" x14ac:dyDescent="0.25">
      <c r="A474" s="45">
        <v>220210000205</v>
      </c>
      <c r="B474" s="46" t="s">
        <v>9</v>
      </c>
      <c r="C474" s="47">
        <v>44216</v>
      </c>
      <c r="D474" s="45">
        <v>22021000950</v>
      </c>
      <c r="E474" s="46" t="s">
        <v>1267</v>
      </c>
      <c r="F474" s="48">
        <v>1210</v>
      </c>
      <c r="G474" s="46" t="s">
        <v>1436</v>
      </c>
      <c r="H474" s="46" t="s">
        <v>1437</v>
      </c>
      <c r="I474" s="45" t="s">
        <v>125</v>
      </c>
      <c r="J474" s="46" t="s">
        <v>127</v>
      </c>
      <c r="K474" s="46" t="s">
        <v>127</v>
      </c>
      <c r="L474" s="46" t="s">
        <v>12</v>
      </c>
      <c r="M474" s="46" t="s">
        <v>13</v>
      </c>
      <c r="N474" s="46" t="s">
        <v>14</v>
      </c>
      <c r="O474" s="49" t="s">
        <v>814</v>
      </c>
      <c r="P474" s="46" t="s">
        <v>507</v>
      </c>
      <c r="Q474" s="35" t="str">
        <f>MID(Tabla1[[#This Row],[Aplicación]],14,1)</f>
        <v>2</v>
      </c>
      <c r="R474" s="35" t="s">
        <v>495</v>
      </c>
      <c r="S474" s="35" t="str">
        <f>MID(Tabla1[[#This Row],[Aplicación]],6,2)</f>
        <v>03</v>
      </c>
      <c r="T474" s="35" t="str">
        <f>VLOOKUP(Tabla1[[#This Row],[AREA]],Hoja1!A:B,2,FALSE)</f>
        <v>03. Participación ciudadana y deportes</v>
      </c>
      <c r="U474" s="35" t="str">
        <f>MID(Tabla1[[#This Row],[Aplicación]],9,4)</f>
        <v>9241</v>
      </c>
      <c r="V474" s="35" t="str">
        <f>VLOOKUP(Tabla1[[#This Row],[PROGRAMA]],Hoja1!A:B,2,FALSE)</f>
        <v>9241. Participación ciudadana</v>
      </c>
      <c r="W474" s="35" t="str">
        <f>MID(Tabla1[[#This Row],[Aplicación]],14,2)</f>
        <v>22</v>
      </c>
      <c r="X474" s="35" t="str">
        <f>MID(Tabla1[[#This Row],[Aplicación]],14,6)</f>
        <v>22602</v>
      </c>
    </row>
    <row r="475" spans="1:24" x14ac:dyDescent="0.25">
      <c r="A475" s="45">
        <v>220209000074</v>
      </c>
      <c r="B475" s="46" t="s">
        <v>9</v>
      </c>
      <c r="C475" s="47">
        <v>44198</v>
      </c>
      <c r="D475" s="45">
        <v>22021000204</v>
      </c>
      <c r="E475" s="46" t="s">
        <v>881</v>
      </c>
      <c r="F475" s="48">
        <v>13390.67</v>
      </c>
      <c r="G475" s="46" t="s">
        <v>580</v>
      </c>
      <c r="H475" s="46" t="s">
        <v>668</v>
      </c>
      <c r="I475" s="45" t="s">
        <v>125</v>
      </c>
      <c r="J475" s="46" t="s">
        <v>661</v>
      </c>
      <c r="K475" s="46" t="s">
        <v>127</v>
      </c>
      <c r="L475" s="46" t="s">
        <v>12</v>
      </c>
      <c r="M475" s="46" t="s">
        <v>13</v>
      </c>
      <c r="N475" s="46" t="s">
        <v>14</v>
      </c>
      <c r="O475" s="49" t="s">
        <v>803</v>
      </c>
      <c r="P475" s="46" t="s">
        <v>507</v>
      </c>
      <c r="Q475" s="35" t="str">
        <f>MID(Tabla1[[#This Row],[Aplicación]],14,1)</f>
        <v>2</v>
      </c>
      <c r="R475" s="35" t="s">
        <v>495</v>
      </c>
      <c r="S475" s="35" t="str">
        <f>MID(Tabla1[[#This Row],[Aplicación]],6,2)</f>
        <v>05</v>
      </c>
      <c r="T475" s="35" t="str">
        <f>VLOOKUP(Tabla1[[#This Row],[AREA]],Hoja1!A:B,2,FALSE)</f>
        <v>05. Innovación, desarrollo económico, empleo y comercio</v>
      </c>
      <c r="U475" s="35" t="str">
        <f>MID(Tabla1[[#This Row],[Aplicación]],9,4)</f>
        <v>4331</v>
      </c>
      <c r="V475" s="35" t="str">
        <f>VLOOKUP(Tabla1[[#This Row],[PROGRAMA]],Hoja1!A:B,2,FALSE)</f>
        <v>4331. Desarrollo empresarial</v>
      </c>
      <c r="W475" s="35" t="str">
        <f>MID(Tabla1[[#This Row],[Aplicación]],14,2)</f>
        <v>22</v>
      </c>
      <c r="X475" s="35" t="str">
        <f>MID(Tabla1[[#This Row],[Aplicación]],14,6)</f>
        <v>22799</v>
      </c>
    </row>
    <row r="476" spans="1:24" x14ac:dyDescent="0.25">
      <c r="A476" s="45">
        <v>220210006444</v>
      </c>
      <c r="B476" s="46" t="s">
        <v>9</v>
      </c>
      <c r="C476" s="47">
        <v>44252</v>
      </c>
      <c r="D476" s="45">
        <v>22021002683</v>
      </c>
      <c r="E476" s="46" t="s">
        <v>1438</v>
      </c>
      <c r="F476" s="48">
        <v>626.78</v>
      </c>
      <c r="G476" s="46" t="s">
        <v>1439</v>
      </c>
      <c r="H476" s="46" t="s">
        <v>1440</v>
      </c>
      <c r="I476" s="45" t="s">
        <v>125</v>
      </c>
      <c r="J476" s="46" t="s">
        <v>126</v>
      </c>
      <c r="K476" s="46" t="s">
        <v>126</v>
      </c>
      <c r="L476" s="46" t="s">
        <v>15</v>
      </c>
      <c r="M476" s="46" t="s">
        <v>10</v>
      </c>
      <c r="N476" s="46" t="s">
        <v>11</v>
      </c>
      <c r="O476" s="49" t="s">
        <v>815</v>
      </c>
      <c r="P476" s="46" t="s">
        <v>507</v>
      </c>
      <c r="Q476" s="35" t="str">
        <f>MID(Tabla1[[#This Row],[Aplicación]],14,1)</f>
        <v>2</v>
      </c>
      <c r="R476" s="35" t="s">
        <v>495</v>
      </c>
      <c r="S476" s="35" t="str">
        <f>MID(Tabla1[[#This Row],[Aplicación]],6,2)</f>
        <v>01</v>
      </c>
      <c r="T476" s="35" t="str">
        <f>VLOOKUP(Tabla1[[#This Row],[AREA]],Hoja1!A:B,2,FALSE)</f>
        <v>01. Alcaldía</v>
      </c>
      <c r="U476" s="35" t="str">
        <f>MID(Tabla1[[#This Row],[Aplicación]],9,4)</f>
        <v>9206</v>
      </c>
      <c r="V476" s="35" t="str">
        <f>VLOOKUP(Tabla1[[#This Row],[PROGRAMA]],Hoja1!A:B,2,FALSE)</f>
        <v>9206. Archivo municipal</v>
      </c>
      <c r="W476" s="35" t="str">
        <f>MID(Tabla1[[#This Row],[Aplicación]],14,2)</f>
        <v>22</v>
      </c>
      <c r="X476" s="35" t="str">
        <f>MID(Tabla1[[#This Row],[Aplicación]],14,6)</f>
        <v>22001</v>
      </c>
    </row>
    <row r="477" spans="1:24" x14ac:dyDescent="0.25">
      <c r="A477" s="45">
        <v>220210003620</v>
      </c>
      <c r="B477" s="46" t="s">
        <v>9</v>
      </c>
      <c r="C477" s="47">
        <v>44243</v>
      </c>
      <c r="D477" s="45">
        <v>22021002040</v>
      </c>
      <c r="E477" s="46" t="s">
        <v>1310</v>
      </c>
      <c r="F477" s="48">
        <v>3000</v>
      </c>
      <c r="G477" s="46" t="s">
        <v>83</v>
      </c>
      <c r="H477" s="46" t="s">
        <v>1441</v>
      </c>
      <c r="I477" s="45" t="s">
        <v>125</v>
      </c>
      <c r="J477" s="46" t="s">
        <v>127</v>
      </c>
      <c r="K477" s="46" t="s">
        <v>127</v>
      </c>
      <c r="L477" s="46" t="s">
        <v>15</v>
      </c>
      <c r="M477" s="46" t="s">
        <v>10</v>
      </c>
      <c r="N477" s="46" t="s">
        <v>11</v>
      </c>
      <c r="O477" s="49" t="s">
        <v>815</v>
      </c>
      <c r="P477" s="46" t="s">
        <v>507</v>
      </c>
      <c r="Q477" s="35" t="str">
        <f>MID(Tabla1[[#This Row],[Aplicación]],14,1)</f>
        <v>2</v>
      </c>
      <c r="R477" s="35" t="s">
        <v>495</v>
      </c>
      <c r="S477" s="35" t="str">
        <f>MID(Tabla1[[#This Row],[Aplicación]],6,2)</f>
        <v>11</v>
      </c>
      <c r="T477" s="35" t="str">
        <f>VLOOKUP(Tabla1[[#This Row],[AREA]],Hoja1!A:B,2,FALSE)</f>
        <v>11. Salud pública y seguridad ciudadana</v>
      </c>
      <c r="U477" s="35" t="str">
        <f>MID(Tabla1[[#This Row],[Aplicación]],9,4)</f>
        <v>3111</v>
      </c>
      <c r="V477" s="35" t="str">
        <f>VLOOKUP(Tabla1[[#This Row],[PROGRAMA]],Hoja1!A:B,2,FALSE)</f>
        <v>3111. Protección de la salubridad pública</v>
      </c>
      <c r="W477" s="35" t="str">
        <f>MID(Tabla1[[#This Row],[Aplicación]],14,2)</f>
        <v>22</v>
      </c>
      <c r="X477" s="35" t="str">
        <f>MID(Tabla1[[#This Row],[Aplicación]],14,6)</f>
        <v>22199</v>
      </c>
    </row>
    <row r="478" spans="1:24" x14ac:dyDescent="0.25">
      <c r="A478" s="45">
        <v>220210005491</v>
      </c>
      <c r="B478" s="46" t="s">
        <v>204</v>
      </c>
      <c r="C478" s="47">
        <v>44250</v>
      </c>
      <c r="D478" s="45">
        <v>22021001968</v>
      </c>
      <c r="E478" s="46" t="s">
        <v>1388</v>
      </c>
      <c r="F478" s="48">
        <v>18.420000000000002</v>
      </c>
      <c r="G478" s="46" t="s">
        <v>237</v>
      </c>
      <c r="H478" s="46" t="s">
        <v>1442</v>
      </c>
      <c r="I478" s="45" t="s">
        <v>205</v>
      </c>
      <c r="J478" s="46" t="s">
        <v>127</v>
      </c>
      <c r="K478" s="46" t="s">
        <v>127</v>
      </c>
      <c r="L478" s="46" t="s">
        <v>15</v>
      </c>
      <c r="M478" s="46" t="s">
        <v>13</v>
      </c>
      <c r="N478" s="46" t="s">
        <v>14</v>
      </c>
      <c r="O478" s="49" t="s">
        <v>814</v>
      </c>
      <c r="P478" s="46" t="s">
        <v>507</v>
      </c>
      <c r="Q478" s="35" t="str">
        <f>MID(Tabla1[[#This Row],[Aplicación]],14,1)</f>
        <v>2</v>
      </c>
      <c r="R478" s="35" t="s">
        <v>495</v>
      </c>
      <c r="S478" s="35" t="str">
        <f>MID(Tabla1[[#This Row],[Aplicación]],6,2)</f>
        <v>11</v>
      </c>
      <c r="T478" s="35" t="str">
        <f>VLOOKUP(Tabla1[[#This Row],[AREA]],Hoja1!A:B,2,FALSE)</f>
        <v>11. Salud pública y seguridad ciudadana</v>
      </c>
      <c r="U478" s="35" t="str">
        <f>MID(Tabla1[[#This Row],[Aplicación]],9,4)</f>
        <v>1321</v>
      </c>
      <c r="V478" s="35" t="str">
        <f>VLOOKUP(Tabla1[[#This Row],[PROGRAMA]],Hoja1!A:B,2,FALSE)</f>
        <v>1321. Policía municipal</v>
      </c>
      <c r="W478" s="35" t="str">
        <f>MID(Tabla1[[#This Row],[Aplicación]],14,2)</f>
        <v>22</v>
      </c>
      <c r="X478" s="35" t="str">
        <f>MID(Tabla1[[#This Row],[Aplicación]],14,6)</f>
        <v>22199</v>
      </c>
    </row>
    <row r="479" spans="1:24" x14ac:dyDescent="0.25">
      <c r="A479" s="45">
        <v>220210005592</v>
      </c>
      <c r="B479" s="46" t="s">
        <v>204</v>
      </c>
      <c r="C479" s="47">
        <v>44250</v>
      </c>
      <c r="D479" s="45">
        <v>22021002053</v>
      </c>
      <c r="E479" s="46" t="s">
        <v>1443</v>
      </c>
      <c r="F479" s="48">
        <v>8.31</v>
      </c>
      <c r="G479" s="46" t="s">
        <v>237</v>
      </c>
      <c r="H479" s="46" t="s">
        <v>1444</v>
      </c>
      <c r="I479" s="45" t="s">
        <v>205</v>
      </c>
      <c r="J479" s="46" t="s">
        <v>127</v>
      </c>
      <c r="K479" s="46" t="s">
        <v>127</v>
      </c>
      <c r="L479" s="46" t="s">
        <v>15</v>
      </c>
      <c r="M479" s="46" t="s">
        <v>13</v>
      </c>
      <c r="N479" s="46" t="s">
        <v>14</v>
      </c>
      <c r="O479" s="49" t="s">
        <v>814</v>
      </c>
      <c r="P479" s="46" t="s">
        <v>507</v>
      </c>
      <c r="Q479" s="35" t="str">
        <f>MID(Tabla1[[#This Row],[Aplicación]],14,1)</f>
        <v>2</v>
      </c>
      <c r="R479" s="35" t="s">
        <v>495</v>
      </c>
      <c r="S479" s="35" t="str">
        <f>MID(Tabla1[[#This Row],[Aplicación]],6,2)</f>
        <v>11</v>
      </c>
      <c r="T479" s="35" t="str">
        <f>VLOOKUP(Tabla1[[#This Row],[AREA]],Hoja1!A:B,2,FALSE)</f>
        <v>11. Salud pública y seguridad ciudadana</v>
      </c>
      <c r="U479" s="35" t="str">
        <f>MID(Tabla1[[#This Row],[Aplicación]],9,4)</f>
        <v>1631</v>
      </c>
      <c r="V479" s="35" t="str">
        <f>VLOOKUP(Tabla1[[#This Row],[PROGRAMA]],Hoja1!A:B,2,FALSE)</f>
        <v>1631. Limpieza viaria</v>
      </c>
      <c r="W479" s="35" t="str">
        <f>MID(Tabla1[[#This Row],[Aplicación]],14,2)</f>
        <v>21</v>
      </c>
      <c r="X479" s="35" t="str">
        <f>MID(Tabla1[[#This Row],[Aplicación]],14,6)</f>
        <v>212</v>
      </c>
    </row>
    <row r="480" spans="1:24" x14ac:dyDescent="0.25">
      <c r="A480" s="45">
        <v>220210005515</v>
      </c>
      <c r="B480" s="46" t="s">
        <v>204</v>
      </c>
      <c r="C480" s="47">
        <v>44250</v>
      </c>
      <c r="D480" s="45">
        <v>22021002048</v>
      </c>
      <c r="E480" s="46" t="s">
        <v>890</v>
      </c>
      <c r="F480" s="48">
        <v>1233.56</v>
      </c>
      <c r="G480" s="46" t="s">
        <v>269</v>
      </c>
      <c r="H480" s="46" t="s">
        <v>666</v>
      </c>
      <c r="I480" s="45" t="s">
        <v>205</v>
      </c>
      <c r="J480" s="46" t="s">
        <v>127</v>
      </c>
      <c r="K480" s="46" t="s">
        <v>127</v>
      </c>
      <c r="L480" s="46" t="s">
        <v>15</v>
      </c>
      <c r="M480" s="46" t="s">
        <v>13</v>
      </c>
      <c r="N480" s="46" t="s">
        <v>14</v>
      </c>
      <c r="O480" s="49" t="s">
        <v>814</v>
      </c>
      <c r="P480" s="46" t="s">
        <v>507</v>
      </c>
      <c r="Q480" s="35" t="str">
        <f>MID(Tabla1[[#This Row],[Aplicación]],14,1)</f>
        <v>2</v>
      </c>
      <c r="R480" s="35" t="s">
        <v>495</v>
      </c>
      <c r="S480" s="35" t="str">
        <f>MID(Tabla1[[#This Row],[Aplicación]],6,2)</f>
        <v>11</v>
      </c>
      <c r="T480" s="35" t="str">
        <f>VLOOKUP(Tabla1[[#This Row],[AREA]],Hoja1!A:B,2,FALSE)</f>
        <v>11. Salud pública y seguridad ciudadana</v>
      </c>
      <c r="U480" s="35" t="str">
        <f>MID(Tabla1[[#This Row],[Aplicación]],9,4)</f>
        <v>1621</v>
      </c>
      <c r="V480" s="35" t="str">
        <f>VLOOKUP(Tabla1[[#This Row],[PROGRAMA]],Hoja1!A:B,2,FALSE)</f>
        <v>1621. Servicio de limpieza</v>
      </c>
      <c r="W480" s="35" t="str">
        <f>MID(Tabla1[[#This Row],[Aplicación]],14,2)</f>
        <v>21</v>
      </c>
      <c r="X480" s="35" t="str">
        <f>MID(Tabla1[[#This Row],[Aplicación]],14,6)</f>
        <v>214</v>
      </c>
    </row>
    <row r="481" spans="1:24" x14ac:dyDescent="0.25">
      <c r="A481" s="45">
        <v>220210005517</v>
      </c>
      <c r="B481" s="46" t="s">
        <v>204</v>
      </c>
      <c r="C481" s="47">
        <v>44250</v>
      </c>
      <c r="D481" s="45">
        <v>22021002048</v>
      </c>
      <c r="E481" s="46" t="s">
        <v>890</v>
      </c>
      <c r="F481" s="48">
        <v>443.66</v>
      </c>
      <c r="G481" s="46" t="s">
        <v>269</v>
      </c>
      <c r="H481" s="46" t="s">
        <v>1445</v>
      </c>
      <c r="I481" s="45" t="s">
        <v>205</v>
      </c>
      <c r="J481" s="46" t="s">
        <v>127</v>
      </c>
      <c r="K481" s="46" t="s">
        <v>127</v>
      </c>
      <c r="L481" s="46" t="s">
        <v>15</v>
      </c>
      <c r="M481" s="46" t="s">
        <v>13</v>
      </c>
      <c r="N481" s="46" t="s">
        <v>14</v>
      </c>
      <c r="O481" s="49" t="s">
        <v>814</v>
      </c>
      <c r="P481" s="46" t="s">
        <v>507</v>
      </c>
      <c r="Q481" s="35" t="str">
        <f>MID(Tabla1[[#This Row],[Aplicación]],14,1)</f>
        <v>2</v>
      </c>
      <c r="R481" s="35" t="s">
        <v>495</v>
      </c>
      <c r="S481" s="35" t="str">
        <f>MID(Tabla1[[#This Row],[Aplicación]],6,2)</f>
        <v>11</v>
      </c>
      <c r="T481" s="35" t="str">
        <f>VLOOKUP(Tabla1[[#This Row],[AREA]],Hoja1!A:B,2,FALSE)</f>
        <v>11. Salud pública y seguridad ciudadana</v>
      </c>
      <c r="U481" s="35" t="str">
        <f>MID(Tabla1[[#This Row],[Aplicación]],9,4)</f>
        <v>1621</v>
      </c>
      <c r="V481" s="35" t="str">
        <f>VLOOKUP(Tabla1[[#This Row],[PROGRAMA]],Hoja1!A:B,2,FALSE)</f>
        <v>1621. Servicio de limpieza</v>
      </c>
      <c r="W481" s="35" t="str">
        <f>MID(Tabla1[[#This Row],[Aplicación]],14,2)</f>
        <v>21</v>
      </c>
      <c r="X481" s="35" t="str">
        <f>MID(Tabla1[[#This Row],[Aplicación]],14,6)</f>
        <v>214</v>
      </c>
    </row>
    <row r="482" spans="1:24" x14ac:dyDescent="0.25">
      <c r="A482" s="45">
        <v>220210005521</v>
      </c>
      <c r="B482" s="46" t="s">
        <v>204</v>
      </c>
      <c r="C482" s="47">
        <v>44250</v>
      </c>
      <c r="D482" s="45">
        <v>22021002048</v>
      </c>
      <c r="E482" s="46" t="s">
        <v>890</v>
      </c>
      <c r="F482" s="48">
        <v>847.23</v>
      </c>
      <c r="G482" s="46" t="s">
        <v>269</v>
      </c>
      <c r="H482" s="46" t="s">
        <v>1446</v>
      </c>
      <c r="I482" s="45" t="s">
        <v>205</v>
      </c>
      <c r="J482" s="46" t="s">
        <v>127</v>
      </c>
      <c r="K482" s="46" t="s">
        <v>127</v>
      </c>
      <c r="L482" s="46" t="s">
        <v>15</v>
      </c>
      <c r="M482" s="46" t="s">
        <v>13</v>
      </c>
      <c r="N482" s="46" t="s">
        <v>14</v>
      </c>
      <c r="O482" s="49" t="s">
        <v>814</v>
      </c>
      <c r="P482" s="46" t="s">
        <v>507</v>
      </c>
      <c r="Q482" s="35" t="str">
        <f>MID(Tabla1[[#This Row],[Aplicación]],14,1)</f>
        <v>2</v>
      </c>
      <c r="R482" s="35" t="s">
        <v>495</v>
      </c>
      <c r="S482" s="35" t="str">
        <f>MID(Tabla1[[#This Row],[Aplicación]],6,2)</f>
        <v>11</v>
      </c>
      <c r="T482" s="35" t="str">
        <f>VLOOKUP(Tabla1[[#This Row],[AREA]],Hoja1!A:B,2,FALSE)</f>
        <v>11. Salud pública y seguridad ciudadana</v>
      </c>
      <c r="U482" s="35" t="str">
        <f>MID(Tabla1[[#This Row],[Aplicación]],9,4)</f>
        <v>1621</v>
      </c>
      <c r="V482" s="35" t="str">
        <f>VLOOKUP(Tabla1[[#This Row],[PROGRAMA]],Hoja1!A:B,2,FALSE)</f>
        <v>1621. Servicio de limpieza</v>
      </c>
      <c r="W482" s="35" t="str">
        <f>MID(Tabla1[[#This Row],[Aplicación]],14,2)</f>
        <v>21</v>
      </c>
      <c r="X482" s="35" t="str">
        <f>MID(Tabla1[[#This Row],[Aplicación]],14,6)</f>
        <v>214</v>
      </c>
    </row>
    <row r="483" spans="1:24" x14ac:dyDescent="0.25">
      <c r="A483" s="45">
        <v>220210005525</v>
      </c>
      <c r="B483" s="46" t="s">
        <v>204</v>
      </c>
      <c r="C483" s="47">
        <v>44250</v>
      </c>
      <c r="D483" s="45">
        <v>22021002048</v>
      </c>
      <c r="E483" s="46" t="s">
        <v>890</v>
      </c>
      <c r="F483" s="48">
        <v>1146.02</v>
      </c>
      <c r="G483" s="46" t="s">
        <v>269</v>
      </c>
      <c r="H483" s="46" t="s">
        <v>1447</v>
      </c>
      <c r="I483" s="45" t="s">
        <v>205</v>
      </c>
      <c r="J483" s="46" t="s">
        <v>127</v>
      </c>
      <c r="K483" s="46" t="s">
        <v>127</v>
      </c>
      <c r="L483" s="46" t="s">
        <v>15</v>
      </c>
      <c r="M483" s="46" t="s">
        <v>13</v>
      </c>
      <c r="N483" s="46" t="s">
        <v>14</v>
      </c>
      <c r="O483" s="49" t="s">
        <v>814</v>
      </c>
      <c r="P483" s="46" t="s">
        <v>507</v>
      </c>
      <c r="Q483" s="35" t="str">
        <f>MID(Tabla1[[#This Row],[Aplicación]],14,1)</f>
        <v>2</v>
      </c>
      <c r="R483" s="35" t="s">
        <v>495</v>
      </c>
      <c r="S483" s="35" t="str">
        <f>MID(Tabla1[[#This Row],[Aplicación]],6,2)</f>
        <v>11</v>
      </c>
      <c r="T483" s="35" t="str">
        <f>VLOOKUP(Tabla1[[#This Row],[AREA]],Hoja1!A:B,2,FALSE)</f>
        <v>11. Salud pública y seguridad ciudadana</v>
      </c>
      <c r="U483" s="35" t="str">
        <f>MID(Tabla1[[#This Row],[Aplicación]],9,4)</f>
        <v>1621</v>
      </c>
      <c r="V483" s="35" t="str">
        <f>VLOOKUP(Tabla1[[#This Row],[PROGRAMA]],Hoja1!A:B,2,FALSE)</f>
        <v>1621. Servicio de limpieza</v>
      </c>
      <c r="W483" s="35" t="str">
        <f>MID(Tabla1[[#This Row],[Aplicación]],14,2)</f>
        <v>21</v>
      </c>
      <c r="X483" s="35" t="str">
        <f>MID(Tabla1[[#This Row],[Aplicación]],14,6)</f>
        <v>214</v>
      </c>
    </row>
    <row r="484" spans="1:24" x14ac:dyDescent="0.25">
      <c r="A484" s="45">
        <v>220210005527</v>
      </c>
      <c r="B484" s="46" t="s">
        <v>204</v>
      </c>
      <c r="C484" s="47">
        <v>44250</v>
      </c>
      <c r="D484" s="45">
        <v>22021002048</v>
      </c>
      <c r="E484" s="46" t="s">
        <v>890</v>
      </c>
      <c r="F484" s="48">
        <v>2128.52</v>
      </c>
      <c r="G484" s="46" t="s">
        <v>269</v>
      </c>
      <c r="H484" s="46" t="s">
        <v>1448</v>
      </c>
      <c r="I484" s="45" t="s">
        <v>205</v>
      </c>
      <c r="J484" s="46" t="s">
        <v>127</v>
      </c>
      <c r="K484" s="46" t="s">
        <v>127</v>
      </c>
      <c r="L484" s="46" t="s">
        <v>15</v>
      </c>
      <c r="M484" s="46" t="s">
        <v>13</v>
      </c>
      <c r="N484" s="46" t="s">
        <v>14</v>
      </c>
      <c r="O484" s="49" t="s">
        <v>814</v>
      </c>
      <c r="P484" s="46" t="s">
        <v>507</v>
      </c>
      <c r="Q484" s="35" t="str">
        <f>MID(Tabla1[[#This Row],[Aplicación]],14,1)</f>
        <v>2</v>
      </c>
      <c r="R484" s="35" t="s">
        <v>495</v>
      </c>
      <c r="S484" s="35" t="str">
        <f>MID(Tabla1[[#This Row],[Aplicación]],6,2)</f>
        <v>11</v>
      </c>
      <c r="T484" s="35" t="str">
        <f>VLOOKUP(Tabla1[[#This Row],[AREA]],Hoja1!A:B,2,FALSE)</f>
        <v>11. Salud pública y seguridad ciudadana</v>
      </c>
      <c r="U484" s="35" t="str">
        <f>MID(Tabla1[[#This Row],[Aplicación]],9,4)</f>
        <v>1621</v>
      </c>
      <c r="V484" s="35" t="str">
        <f>VLOOKUP(Tabla1[[#This Row],[PROGRAMA]],Hoja1!A:B,2,FALSE)</f>
        <v>1621. Servicio de limpieza</v>
      </c>
      <c r="W484" s="35" t="str">
        <f>MID(Tabla1[[#This Row],[Aplicación]],14,2)</f>
        <v>21</v>
      </c>
      <c r="X484" s="35" t="str">
        <f>MID(Tabla1[[#This Row],[Aplicación]],14,6)</f>
        <v>214</v>
      </c>
    </row>
    <row r="485" spans="1:24" x14ac:dyDescent="0.25">
      <c r="A485" s="45">
        <v>220210005533</v>
      </c>
      <c r="B485" s="46" t="s">
        <v>204</v>
      </c>
      <c r="C485" s="47">
        <v>44250</v>
      </c>
      <c r="D485" s="45">
        <v>22021002048</v>
      </c>
      <c r="E485" s="46" t="s">
        <v>890</v>
      </c>
      <c r="F485" s="48">
        <v>1340.27</v>
      </c>
      <c r="G485" s="46" t="s">
        <v>269</v>
      </c>
      <c r="H485" s="46" t="s">
        <v>1449</v>
      </c>
      <c r="I485" s="45" t="s">
        <v>205</v>
      </c>
      <c r="J485" s="46" t="s">
        <v>127</v>
      </c>
      <c r="K485" s="46" t="s">
        <v>127</v>
      </c>
      <c r="L485" s="46" t="s">
        <v>15</v>
      </c>
      <c r="M485" s="46" t="s">
        <v>13</v>
      </c>
      <c r="N485" s="46" t="s">
        <v>14</v>
      </c>
      <c r="O485" s="49" t="s">
        <v>814</v>
      </c>
      <c r="P485" s="46" t="s">
        <v>507</v>
      </c>
      <c r="Q485" s="35" t="str">
        <f>MID(Tabla1[[#This Row],[Aplicación]],14,1)</f>
        <v>2</v>
      </c>
      <c r="R485" s="35" t="s">
        <v>495</v>
      </c>
      <c r="S485" s="35" t="str">
        <f>MID(Tabla1[[#This Row],[Aplicación]],6,2)</f>
        <v>11</v>
      </c>
      <c r="T485" s="35" t="str">
        <f>VLOOKUP(Tabla1[[#This Row],[AREA]],Hoja1!A:B,2,FALSE)</f>
        <v>11. Salud pública y seguridad ciudadana</v>
      </c>
      <c r="U485" s="35" t="str">
        <f>MID(Tabla1[[#This Row],[Aplicación]],9,4)</f>
        <v>1621</v>
      </c>
      <c r="V485" s="35" t="str">
        <f>VLOOKUP(Tabla1[[#This Row],[PROGRAMA]],Hoja1!A:B,2,FALSE)</f>
        <v>1621. Servicio de limpieza</v>
      </c>
      <c r="W485" s="35" t="str">
        <f>MID(Tabla1[[#This Row],[Aplicación]],14,2)</f>
        <v>21</v>
      </c>
      <c r="X485" s="35" t="str">
        <f>MID(Tabla1[[#This Row],[Aplicación]],14,6)</f>
        <v>214</v>
      </c>
    </row>
    <row r="486" spans="1:24" x14ac:dyDescent="0.25">
      <c r="A486" s="45">
        <v>220210002430</v>
      </c>
      <c r="B486" s="46" t="s">
        <v>9</v>
      </c>
      <c r="C486" s="47">
        <v>44235</v>
      </c>
      <c r="D486" s="45">
        <v>22021002309</v>
      </c>
      <c r="E486" s="46" t="s">
        <v>950</v>
      </c>
      <c r="F486" s="48">
        <v>1540.38</v>
      </c>
      <c r="G486" s="46" t="s">
        <v>1450</v>
      </c>
      <c r="H486" s="46" t="s">
        <v>1451</v>
      </c>
      <c r="I486" s="45" t="s">
        <v>125</v>
      </c>
      <c r="J486" s="46" t="s">
        <v>127</v>
      </c>
      <c r="K486" s="46" t="s">
        <v>127</v>
      </c>
      <c r="L486" s="46" t="s">
        <v>15</v>
      </c>
      <c r="M486" s="46" t="s">
        <v>10</v>
      </c>
      <c r="N486" s="46" t="s">
        <v>11</v>
      </c>
      <c r="O486" s="49" t="s">
        <v>815</v>
      </c>
      <c r="P486" s="46" t="s">
        <v>507</v>
      </c>
      <c r="Q486" s="35" t="str">
        <f>MID(Tabla1[[#This Row],[Aplicación]],14,1)</f>
        <v>2</v>
      </c>
      <c r="R486" s="35" t="s">
        <v>495</v>
      </c>
      <c r="S486" s="35" t="str">
        <f>MID(Tabla1[[#This Row],[Aplicación]],6,2)</f>
        <v>11</v>
      </c>
      <c r="T486" s="35" t="str">
        <f>VLOOKUP(Tabla1[[#This Row],[AREA]],Hoja1!A:B,2,FALSE)</f>
        <v>11. Salud pública y seguridad ciudadana</v>
      </c>
      <c r="U486" s="35" t="str">
        <f>MID(Tabla1[[#This Row],[Aplicación]],9,4)</f>
        <v>1321</v>
      </c>
      <c r="V486" s="35" t="str">
        <f>VLOOKUP(Tabla1[[#This Row],[PROGRAMA]],Hoja1!A:B,2,FALSE)</f>
        <v>1321. Policía municipal</v>
      </c>
      <c r="W486" s="35" t="str">
        <f>MID(Tabla1[[#This Row],[Aplicación]],14,2)</f>
        <v>21</v>
      </c>
      <c r="X486" s="35" t="str">
        <f>MID(Tabla1[[#This Row],[Aplicación]],14,6)</f>
        <v>213</v>
      </c>
    </row>
    <row r="487" spans="1:24" x14ac:dyDescent="0.25">
      <c r="A487" s="45">
        <v>220209000195</v>
      </c>
      <c r="B487" s="46" t="s">
        <v>9</v>
      </c>
      <c r="C487" s="47">
        <v>44198</v>
      </c>
      <c r="D487" s="45">
        <v>22021000239</v>
      </c>
      <c r="E487" s="46" t="s">
        <v>1452</v>
      </c>
      <c r="F487" s="48">
        <v>28239.81</v>
      </c>
      <c r="G487" s="46" t="s">
        <v>151</v>
      </c>
      <c r="H487" s="46" t="s">
        <v>1453</v>
      </c>
      <c r="I487" s="45" t="s">
        <v>125</v>
      </c>
      <c r="J487" s="46" t="s">
        <v>127</v>
      </c>
      <c r="K487" s="46" t="s">
        <v>127</v>
      </c>
      <c r="L487" s="46" t="s">
        <v>15</v>
      </c>
      <c r="M487" s="46" t="s">
        <v>13</v>
      </c>
      <c r="N487" s="46" t="s">
        <v>14</v>
      </c>
      <c r="O487" s="49" t="s">
        <v>803</v>
      </c>
      <c r="P487" s="46" t="s">
        <v>507</v>
      </c>
      <c r="Q487" s="35" t="str">
        <f>MID(Tabla1[[#This Row],[Aplicación]],14,1)</f>
        <v>2</v>
      </c>
      <c r="R487" s="35" t="s">
        <v>495</v>
      </c>
      <c r="S487" s="35" t="str">
        <f>MID(Tabla1[[#This Row],[Aplicación]],6,2)</f>
        <v>08</v>
      </c>
      <c r="T487" s="35" t="str">
        <f>VLOOKUP(Tabla1[[#This Row],[AREA]],Hoja1!A:B,2,FALSE)</f>
        <v>08. Movilidad y espacio urbano</v>
      </c>
      <c r="U487" s="35" t="str">
        <f>MID(Tabla1[[#This Row],[Aplicación]],9,4)</f>
        <v>1651</v>
      </c>
      <c r="V487" s="35" t="str">
        <f>VLOOKUP(Tabla1[[#This Row],[PROGRAMA]],Hoja1!A:B,2,FALSE)</f>
        <v>1651. Alumbrado público</v>
      </c>
      <c r="W487" s="35" t="str">
        <f>MID(Tabla1[[#This Row],[Aplicación]],14,2)</f>
        <v>21</v>
      </c>
      <c r="X487" s="35" t="str">
        <f>MID(Tabla1[[#This Row],[Aplicación]],14,6)</f>
        <v>213</v>
      </c>
    </row>
    <row r="488" spans="1:24" x14ac:dyDescent="0.25">
      <c r="A488" s="45">
        <v>220209000474</v>
      </c>
      <c r="B488" s="46" t="s">
        <v>9</v>
      </c>
      <c r="C488" s="47">
        <v>44198</v>
      </c>
      <c r="D488" s="45">
        <v>22021000074</v>
      </c>
      <c r="E488" s="46" t="s">
        <v>1454</v>
      </c>
      <c r="F488" s="48">
        <v>9453.9699999999993</v>
      </c>
      <c r="G488" s="46" t="s">
        <v>1455</v>
      </c>
      <c r="H488" s="46" t="s">
        <v>1456</v>
      </c>
      <c r="I488" s="45" t="s">
        <v>125</v>
      </c>
      <c r="J488" s="46" t="s">
        <v>127</v>
      </c>
      <c r="K488" s="46" t="s">
        <v>127</v>
      </c>
      <c r="L488" s="46" t="s">
        <v>15</v>
      </c>
      <c r="M488" s="46" t="s">
        <v>13</v>
      </c>
      <c r="N488" s="46" t="s">
        <v>14</v>
      </c>
      <c r="O488" s="49" t="s">
        <v>803</v>
      </c>
      <c r="P488" s="46" t="s">
        <v>507</v>
      </c>
      <c r="Q488" s="35" t="str">
        <f>MID(Tabla1[[#This Row],[Aplicación]],14,1)</f>
        <v>2</v>
      </c>
      <c r="R488" s="35" t="s">
        <v>495</v>
      </c>
      <c r="S488" s="35" t="str">
        <f>MID(Tabla1[[#This Row],[Aplicación]],6,2)</f>
        <v>07</v>
      </c>
      <c r="T488" s="35" t="str">
        <f>VLOOKUP(Tabla1[[#This Row],[AREA]],Hoja1!A:B,2,FALSE)</f>
        <v>07. Medio ambiente y desarrollo sostenible</v>
      </c>
      <c r="U488" s="35" t="str">
        <f>MID(Tabla1[[#This Row],[Aplicación]],9,4)</f>
        <v>1711</v>
      </c>
      <c r="V488" s="35" t="str">
        <f>VLOOKUP(Tabla1[[#This Row],[PROGRAMA]],Hoja1!A:B,2,FALSE)</f>
        <v>1711. Parques y jardines</v>
      </c>
      <c r="W488" s="35" t="str">
        <f>MID(Tabla1[[#This Row],[Aplicación]],14,2)</f>
        <v>22</v>
      </c>
      <c r="X488" s="35" t="str">
        <f>MID(Tabla1[[#This Row],[Aplicación]],14,6)</f>
        <v>22104</v>
      </c>
    </row>
    <row r="489" spans="1:24" x14ac:dyDescent="0.25">
      <c r="A489" s="45">
        <v>220210002602</v>
      </c>
      <c r="B489" s="46" t="s">
        <v>9</v>
      </c>
      <c r="C489" s="47">
        <v>44236</v>
      </c>
      <c r="D489" s="45">
        <v>22021002301</v>
      </c>
      <c r="E489" s="46" t="s">
        <v>1457</v>
      </c>
      <c r="F489" s="48">
        <v>2032.8</v>
      </c>
      <c r="G489" s="46" t="s">
        <v>135</v>
      </c>
      <c r="H489" s="46" t="s">
        <v>1458</v>
      </c>
      <c r="I489" s="45" t="s">
        <v>125</v>
      </c>
      <c r="J489" s="46" t="s">
        <v>127</v>
      </c>
      <c r="K489" s="46" t="s">
        <v>127</v>
      </c>
      <c r="L489" s="46" t="s">
        <v>15</v>
      </c>
      <c r="M489" s="46" t="s">
        <v>10</v>
      </c>
      <c r="N489" s="46" t="s">
        <v>11</v>
      </c>
      <c r="O489" s="49" t="s">
        <v>815</v>
      </c>
      <c r="P489" s="46" t="s">
        <v>507</v>
      </c>
      <c r="Q489" s="35" t="str">
        <f>MID(Tabla1[[#This Row],[Aplicación]],14,1)</f>
        <v>2</v>
      </c>
      <c r="R489" s="35" t="s">
        <v>495</v>
      </c>
      <c r="S489" s="35" t="str">
        <f>MID(Tabla1[[#This Row],[Aplicación]],6,2)</f>
        <v>04</v>
      </c>
      <c r="T489" s="35" t="str">
        <f>VLOOKUP(Tabla1[[#This Row],[AREA]],Hoja1!A:B,2,FALSE)</f>
        <v>04. Planificación y recursos</v>
      </c>
      <c r="U489" s="35" t="str">
        <f>MID(Tabla1[[#This Row],[Aplicación]],9,4)</f>
        <v>9321</v>
      </c>
      <c r="V489" s="35" t="str">
        <f>VLOOKUP(Tabla1[[#This Row],[PROGRAMA]],Hoja1!A:B,2,FALSE)</f>
        <v>9321. Gestión de ingresos e inspección</v>
      </c>
      <c r="W489" s="35" t="str">
        <f>MID(Tabla1[[#This Row],[Aplicación]],14,2)</f>
        <v>22</v>
      </c>
      <c r="X489" s="35" t="str">
        <f>MID(Tabla1[[#This Row],[Aplicación]],14,6)</f>
        <v>22799</v>
      </c>
    </row>
    <row r="490" spans="1:24" x14ac:dyDescent="0.25">
      <c r="A490" s="45">
        <v>220210005596</v>
      </c>
      <c r="B490" s="46" t="s">
        <v>204</v>
      </c>
      <c r="C490" s="47">
        <v>44250</v>
      </c>
      <c r="D490" s="45">
        <v>22021002054</v>
      </c>
      <c r="E490" s="46" t="s">
        <v>1382</v>
      </c>
      <c r="F490" s="48">
        <v>3083.36</v>
      </c>
      <c r="G490" s="46" t="s">
        <v>269</v>
      </c>
      <c r="H490" s="46" t="s">
        <v>1459</v>
      </c>
      <c r="I490" s="45" t="s">
        <v>205</v>
      </c>
      <c r="J490" s="46" t="s">
        <v>127</v>
      </c>
      <c r="K490" s="46" t="s">
        <v>127</v>
      </c>
      <c r="L490" s="46" t="s">
        <v>15</v>
      </c>
      <c r="M490" s="46" t="s">
        <v>13</v>
      </c>
      <c r="N490" s="46" t="s">
        <v>14</v>
      </c>
      <c r="O490" s="49" t="s">
        <v>814</v>
      </c>
      <c r="P490" s="46" t="s">
        <v>507</v>
      </c>
      <c r="Q490" s="35" t="str">
        <f>MID(Tabla1[[#This Row],[Aplicación]],14,1)</f>
        <v>2</v>
      </c>
      <c r="R490" s="35" t="s">
        <v>495</v>
      </c>
      <c r="S490" s="35" t="str">
        <f>MID(Tabla1[[#This Row],[Aplicación]],6,2)</f>
        <v>11</v>
      </c>
      <c r="T490" s="35" t="str">
        <f>VLOOKUP(Tabla1[[#This Row],[AREA]],Hoja1!A:B,2,FALSE)</f>
        <v>11. Salud pública y seguridad ciudadana</v>
      </c>
      <c r="U490" s="35" t="str">
        <f>MID(Tabla1[[#This Row],[Aplicación]],9,4)</f>
        <v>1631</v>
      </c>
      <c r="V490" s="35" t="str">
        <f>VLOOKUP(Tabla1[[#This Row],[PROGRAMA]],Hoja1!A:B,2,FALSE)</f>
        <v>1631. Limpieza viaria</v>
      </c>
      <c r="W490" s="35" t="str">
        <f>MID(Tabla1[[#This Row],[Aplicación]],14,2)</f>
        <v>21</v>
      </c>
      <c r="X490" s="35" t="str">
        <f>MID(Tabla1[[#This Row],[Aplicación]],14,6)</f>
        <v>214</v>
      </c>
    </row>
    <row r="491" spans="1:24" x14ac:dyDescent="0.25">
      <c r="A491" s="45">
        <v>220210005598</v>
      </c>
      <c r="B491" s="46" t="s">
        <v>204</v>
      </c>
      <c r="C491" s="47">
        <v>44250</v>
      </c>
      <c r="D491" s="45">
        <v>22021002054</v>
      </c>
      <c r="E491" s="46" t="s">
        <v>1382</v>
      </c>
      <c r="F491" s="48">
        <v>1407.21</v>
      </c>
      <c r="G491" s="46" t="s">
        <v>269</v>
      </c>
      <c r="H491" s="46" t="s">
        <v>1460</v>
      </c>
      <c r="I491" s="45" t="s">
        <v>205</v>
      </c>
      <c r="J491" s="46" t="s">
        <v>127</v>
      </c>
      <c r="K491" s="46" t="s">
        <v>127</v>
      </c>
      <c r="L491" s="46" t="s">
        <v>15</v>
      </c>
      <c r="M491" s="46" t="s">
        <v>13</v>
      </c>
      <c r="N491" s="46" t="s">
        <v>14</v>
      </c>
      <c r="O491" s="49" t="s">
        <v>814</v>
      </c>
      <c r="P491" s="46" t="s">
        <v>507</v>
      </c>
      <c r="Q491" s="35" t="str">
        <f>MID(Tabla1[[#This Row],[Aplicación]],14,1)</f>
        <v>2</v>
      </c>
      <c r="R491" s="35" t="s">
        <v>495</v>
      </c>
      <c r="S491" s="35" t="str">
        <f>MID(Tabla1[[#This Row],[Aplicación]],6,2)</f>
        <v>11</v>
      </c>
      <c r="T491" s="35" t="str">
        <f>VLOOKUP(Tabla1[[#This Row],[AREA]],Hoja1!A:B,2,FALSE)</f>
        <v>11. Salud pública y seguridad ciudadana</v>
      </c>
      <c r="U491" s="35" t="str">
        <f>MID(Tabla1[[#This Row],[Aplicación]],9,4)</f>
        <v>1631</v>
      </c>
      <c r="V491" s="35" t="str">
        <f>VLOOKUP(Tabla1[[#This Row],[PROGRAMA]],Hoja1!A:B,2,FALSE)</f>
        <v>1631. Limpieza viaria</v>
      </c>
      <c r="W491" s="35" t="str">
        <f>MID(Tabla1[[#This Row],[Aplicación]],14,2)</f>
        <v>21</v>
      </c>
      <c r="X491" s="35" t="str">
        <f>MID(Tabla1[[#This Row],[Aplicación]],14,6)</f>
        <v>214</v>
      </c>
    </row>
    <row r="492" spans="1:24" x14ac:dyDescent="0.25">
      <c r="A492" s="45">
        <v>220210004532</v>
      </c>
      <c r="B492" s="46" t="s">
        <v>204</v>
      </c>
      <c r="C492" s="47">
        <v>44246</v>
      </c>
      <c r="D492" s="45">
        <v>22021001275</v>
      </c>
      <c r="E492" s="46" t="s">
        <v>1334</v>
      </c>
      <c r="F492" s="48">
        <v>355.03</v>
      </c>
      <c r="G492" s="46" t="s">
        <v>135</v>
      </c>
      <c r="H492" s="46" t="s">
        <v>1461</v>
      </c>
      <c r="I492" s="45" t="s">
        <v>205</v>
      </c>
      <c r="J492" s="46" t="s">
        <v>127</v>
      </c>
      <c r="K492" s="46" t="s">
        <v>127</v>
      </c>
      <c r="L492" s="46" t="s">
        <v>15</v>
      </c>
      <c r="M492" s="46" t="s">
        <v>13</v>
      </c>
      <c r="N492" s="46" t="s">
        <v>14</v>
      </c>
      <c r="O492" s="49" t="s">
        <v>814</v>
      </c>
      <c r="P492" s="46" t="s">
        <v>507</v>
      </c>
      <c r="Q492" s="35" t="str">
        <f>MID(Tabla1[[#This Row],[Aplicación]],14,1)</f>
        <v>2</v>
      </c>
      <c r="R492" s="35" t="s">
        <v>495</v>
      </c>
      <c r="S492" s="35" t="str">
        <f>MID(Tabla1[[#This Row],[Aplicación]],6,2)</f>
        <v>07</v>
      </c>
      <c r="T492" s="35" t="str">
        <f>VLOOKUP(Tabla1[[#This Row],[AREA]],Hoja1!A:B,2,FALSE)</f>
        <v>07. Medio ambiente y desarrollo sostenible</v>
      </c>
      <c r="U492" s="35" t="str">
        <f>MID(Tabla1[[#This Row],[Aplicación]],9,4)</f>
        <v>1711</v>
      </c>
      <c r="V492" s="35" t="str">
        <f>VLOOKUP(Tabla1[[#This Row],[PROGRAMA]],Hoja1!A:B,2,FALSE)</f>
        <v>1711. Parques y jardines</v>
      </c>
      <c r="W492" s="35" t="str">
        <f>MID(Tabla1[[#This Row],[Aplicación]],14,2)</f>
        <v>22</v>
      </c>
      <c r="X492" s="35" t="str">
        <f>MID(Tabla1[[#This Row],[Aplicación]],14,6)</f>
        <v>22199</v>
      </c>
    </row>
    <row r="493" spans="1:24" x14ac:dyDescent="0.25">
      <c r="A493" s="45">
        <v>220210005482</v>
      </c>
      <c r="B493" s="46" t="s">
        <v>204</v>
      </c>
      <c r="C493" s="47">
        <v>44250</v>
      </c>
      <c r="D493" s="45">
        <v>22021001968</v>
      </c>
      <c r="E493" s="46" t="s">
        <v>1388</v>
      </c>
      <c r="F493" s="48">
        <v>284.05</v>
      </c>
      <c r="G493" s="46" t="s">
        <v>135</v>
      </c>
      <c r="H493" s="46" t="s">
        <v>1462</v>
      </c>
      <c r="I493" s="45" t="s">
        <v>205</v>
      </c>
      <c r="J493" s="46" t="s">
        <v>127</v>
      </c>
      <c r="K493" s="46" t="s">
        <v>127</v>
      </c>
      <c r="L493" s="46" t="s">
        <v>15</v>
      </c>
      <c r="M493" s="46" t="s">
        <v>13</v>
      </c>
      <c r="N493" s="46" t="s">
        <v>14</v>
      </c>
      <c r="O493" s="49" t="s">
        <v>814</v>
      </c>
      <c r="P493" s="46" t="s">
        <v>507</v>
      </c>
      <c r="Q493" s="35" t="str">
        <f>MID(Tabla1[[#This Row],[Aplicación]],14,1)</f>
        <v>2</v>
      </c>
      <c r="R493" s="35" t="s">
        <v>495</v>
      </c>
      <c r="S493" s="35" t="str">
        <f>MID(Tabla1[[#This Row],[Aplicación]],6,2)</f>
        <v>11</v>
      </c>
      <c r="T493" s="35" t="str">
        <f>VLOOKUP(Tabla1[[#This Row],[AREA]],Hoja1!A:B,2,FALSE)</f>
        <v>11. Salud pública y seguridad ciudadana</v>
      </c>
      <c r="U493" s="35" t="str">
        <f>MID(Tabla1[[#This Row],[Aplicación]],9,4)</f>
        <v>1321</v>
      </c>
      <c r="V493" s="35" t="str">
        <f>VLOOKUP(Tabla1[[#This Row],[PROGRAMA]],Hoja1!A:B,2,FALSE)</f>
        <v>1321. Policía municipal</v>
      </c>
      <c r="W493" s="35" t="str">
        <f>MID(Tabla1[[#This Row],[Aplicación]],14,2)</f>
        <v>22</v>
      </c>
      <c r="X493" s="35" t="str">
        <f>MID(Tabla1[[#This Row],[Aplicación]],14,6)</f>
        <v>22199</v>
      </c>
    </row>
    <row r="494" spans="1:24" x14ac:dyDescent="0.25">
      <c r="A494" s="45">
        <v>220209000017</v>
      </c>
      <c r="B494" s="46" t="s">
        <v>9</v>
      </c>
      <c r="C494" s="47">
        <v>44198</v>
      </c>
      <c r="D494" s="45">
        <v>22021000184</v>
      </c>
      <c r="E494" s="46" t="s">
        <v>1463</v>
      </c>
      <c r="F494" s="48">
        <v>725.32</v>
      </c>
      <c r="G494" s="46" t="s">
        <v>57</v>
      </c>
      <c r="H494" s="46" t="s">
        <v>1464</v>
      </c>
      <c r="I494" s="45" t="s">
        <v>125</v>
      </c>
      <c r="J494" s="46" t="s">
        <v>127</v>
      </c>
      <c r="K494" s="46" t="s">
        <v>127</v>
      </c>
      <c r="L494" s="46" t="s">
        <v>15</v>
      </c>
      <c r="M494" s="46" t="s">
        <v>10</v>
      </c>
      <c r="N494" s="46" t="s">
        <v>11</v>
      </c>
      <c r="O494" s="49" t="s">
        <v>815</v>
      </c>
      <c r="P494" s="46" t="s">
        <v>507</v>
      </c>
      <c r="Q494" s="35" t="str">
        <f>MID(Tabla1[[#This Row],[Aplicación]],14,1)</f>
        <v>2</v>
      </c>
      <c r="R494" s="35" t="s">
        <v>495</v>
      </c>
      <c r="S494" s="35" t="str">
        <f>MID(Tabla1[[#This Row],[Aplicación]],6,2)</f>
        <v>01</v>
      </c>
      <c r="T494" s="35" t="str">
        <f>VLOOKUP(Tabla1[[#This Row],[AREA]],Hoja1!A:B,2,FALSE)</f>
        <v>01. Alcaldía</v>
      </c>
      <c r="U494" s="35" t="str">
        <f>MID(Tabla1[[#This Row],[Aplicación]],9,4)</f>
        <v>9205</v>
      </c>
      <c r="V494" s="35" t="str">
        <f>VLOOKUP(Tabla1[[#This Row],[PROGRAMA]],Hoja1!A:B,2,FALSE)</f>
        <v>9205. Imprenta municipal</v>
      </c>
      <c r="W494" s="35" t="str">
        <f>MID(Tabla1[[#This Row],[Aplicación]],14,2)</f>
        <v>20</v>
      </c>
      <c r="X494" s="35" t="str">
        <f>MID(Tabla1[[#This Row],[Aplicación]],14,6)</f>
        <v>203</v>
      </c>
    </row>
    <row r="495" spans="1:24" x14ac:dyDescent="0.25">
      <c r="A495" s="45">
        <v>220210000509</v>
      </c>
      <c r="B495" s="46" t="s">
        <v>9</v>
      </c>
      <c r="C495" s="47">
        <v>44221</v>
      </c>
      <c r="D495" s="45">
        <v>22021001683</v>
      </c>
      <c r="E495" s="46" t="s">
        <v>1267</v>
      </c>
      <c r="F495" s="48">
        <v>536.15</v>
      </c>
      <c r="G495" s="46" t="s">
        <v>57</v>
      </c>
      <c r="H495" s="46" t="s">
        <v>1465</v>
      </c>
      <c r="I495" s="45" t="s">
        <v>125</v>
      </c>
      <c r="J495" s="46" t="s">
        <v>127</v>
      </c>
      <c r="K495" s="46" t="s">
        <v>127</v>
      </c>
      <c r="L495" s="46" t="s">
        <v>15</v>
      </c>
      <c r="M495" s="46" t="s">
        <v>10</v>
      </c>
      <c r="N495" s="46" t="s">
        <v>11</v>
      </c>
      <c r="O495" s="49" t="s">
        <v>815</v>
      </c>
      <c r="P495" s="46" t="s">
        <v>507</v>
      </c>
      <c r="Q495" s="35" t="str">
        <f>MID(Tabla1[[#This Row],[Aplicación]],14,1)</f>
        <v>2</v>
      </c>
      <c r="R495" s="35" t="s">
        <v>495</v>
      </c>
      <c r="S495" s="35" t="str">
        <f>MID(Tabla1[[#This Row],[Aplicación]],6,2)</f>
        <v>03</v>
      </c>
      <c r="T495" s="35" t="str">
        <f>VLOOKUP(Tabla1[[#This Row],[AREA]],Hoja1!A:B,2,FALSE)</f>
        <v>03. Participación ciudadana y deportes</v>
      </c>
      <c r="U495" s="35" t="str">
        <f>MID(Tabla1[[#This Row],[Aplicación]],9,4)</f>
        <v>9241</v>
      </c>
      <c r="V495" s="35" t="str">
        <f>VLOOKUP(Tabla1[[#This Row],[PROGRAMA]],Hoja1!A:B,2,FALSE)</f>
        <v>9241. Participación ciudadana</v>
      </c>
      <c r="W495" s="35" t="str">
        <f>MID(Tabla1[[#This Row],[Aplicación]],14,2)</f>
        <v>22</v>
      </c>
      <c r="X495" s="35" t="str">
        <f>MID(Tabla1[[#This Row],[Aplicación]],14,6)</f>
        <v>22602</v>
      </c>
    </row>
    <row r="496" spans="1:24" x14ac:dyDescent="0.25">
      <c r="A496" s="45">
        <v>220210000546</v>
      </c>
      <c r="B496" s="46" t="s">
        <v>9</v>
      </c>
      <c r="C496" s="47">
        <v>44221</v>
      </c>
      <c r="D496" s="45">
        <v>22021001282</v>
      </c>
      <c r="E496" s="46" t="s">
        <v>1463</v>
      </c>
      <c r="F496" s="48">
        <v>3626.62</v>
      </c>
      <c r="G496" s="46" t="s">
        <v>57</v>
      </c>
      <c r="H496" s="46" t="s">
        <v>1466</v>
      </c>
      <c r="I496" s="45" t="s">
        <v>125</v>
      </c>
      <c r="J496" s="46" t="s">
        <v>127</v>
      </c>
      <c r="K496" s="46" t="s">
        <v>127</v>
      </c>
      <c r="L496" s="46" t="s">
        <v>15</v>
      </c>
      <c r="M496" s="46" t="s">
        <v>10</v>
      </c>
      <c r="N496" s="46" t="s">
        <v>11</v>
      </c>
      <c r="O496" s="49" t="s">
        <v>815</v>
      </c>
      <c r="P496" s="46" t="s">
        <v>507</v>
      </c>
      <c r="Q496" s="35" t="str">
        <f>MID(Tabla1[[#This Row],[Aplicación]],14,1)</f>
        <v>2</v>
      </c>
      <c r="R496" s="35" t="s">
        <v>495</v>
      </c>
      <c r="S496" s="35" t="str">
        <f>MID(Tabla1[[#This Row],[Aplicación]],6,2)</f>
        <v>01</v>
      </c>
      <c r="T496" s="35" t="str">
        <f>VLOOKUP(Tabla1[[#This Row],[AREA]],Hoja1!A:B,2,FALSE)</f>
        <v>01. Alcaldía</v>
      </c>
      <c r="U496" s="35" t="str">
        <f>MID(Tabla1[[#This Row],[Aplicación]],9,4)</f>
        <v>9205</v>
      </c>
      <c r="V496" s="35" t="str">
        <f>VLOOKUP(Tabla1[[#This Row],[PROGRAMA]],Hoja1!A:B,2,FALSE)</f>
        <v>9205. Imprenta municipal</v>
      </c>
      <c r="W496" s="35" t="str">
        <f>MID(Tabla1[[#This Row],[Aplicación]],14,2)</f>
        <v>20</v>
      </c>
      <c r="X496" s="35" t="str">
        <f>MID(Tabla1[[#This Row],[Aplicación]],14,6)</f>
        <v>203</v>
      </c>
    </row>
    <row r="497" spans="1:24" x14ac:dyDescent="0.25">
      <c r="A497" s="45">
        <v>220210001244</v>
      </c>
      <c r="B497" s="46" t="s">
        <v>9</v>
      </c>
      <c r="C497" s="47">
        <v>44225</v>
      </c>
      <c r="D497" s="45">
        <v>22021002111</v>
      </c>
      <c r="E497" s="46" t="s">
        <v>926</v>
      </c>
      <c r="F497" s="48">
        <v>400</v>
      </c>
      <c r="G497" s="46" t="s">
        <v>57</v>
      </c>
      <c r="H497" s="46" t="s">
        <v>1467</v>
      </c>
      <c r="I497" s="45" t="s">
        <v>125</v>
      </c>
      <c r="J497" s="46" t="s">
        <v>127</v>
      </c>
      <c r="K497" s="46" t="s">
        <v>127</v>
      </c>
      <c r="L497" s="46" t="s">
        <v>15</v>
      </c>
      <c r="M497" s="46" t="s">
        <v>10</v>
      </c>
      <c r="N497" s="46" t="s">
        <v>11</v>
      </c>
      <c r="O497" s="49" t="s">
        <v>815</v>
      </c>
      <c r="P497" s="46" t="s">
        <v>507</v>
      </c>
      <c r="Q497" s="35" t="str">
        <f>MID(Tabla1[[#This Row],[Aplicación]],14,1)</f>
        <v>2</v>
      </c>
      <c r="R497" s="35" t="s">
        <v>495</v>
      </c>
      <c r="S497" s="35" t="str">
        <f>MID(Tabla1[[#This Row],[Aplicación]],6,2)</f>
        <v>08</v>
      </c>
      <c r="T497" s="35" t="str">
        <f>VLOOKUP(Tabla1[[#This Row],[AREA]],Hoja1!A:B,2,FALSE)</f>
        <v>08. Movilidad y espacio urbano</v>
      </c>
      <c r="U497" s="35" t="str">
        <f>MID(Tabla1[[#This Row],[Aplicación]],9,4)</f>
        <v>1532</v>
      </c>
      <c r="V497" s="35" t="str">
        <f>VLOOKUP(Tabla1[[#This Row],[PROGRAMA]],Hoja1!A:B,2,FALSE)</f>
        <v>1532. Pavimentación vias públicas y otros servicios urbanísticos</v>
      </c>
      <c r="W497" s="35" t="str">
        <f>MID(Tabla1[[#This Row],[Aplicación]],14,2)</f>
        <v>21</v>
      </c>
      <c r="X497" s="35" t="str">
        <f>MID(Tabla1[[#This Row],[Aplicación]],14,6)</f>
        <v>213</v>
      </c>
    </row>
    <row r="498" spans="1:24" x14ac:dyDescent="0.25">
      <c r="A498" s="45">
        <v>220210001245</v>
      </c>
      <c r="B498" s="46" t="s">
        <v>9</v>
      </c>
      <c r="C498" s="47">
        <v>44225</v>
      </c>
      <c r="D498" s="45">
        <v>22021002117</v>
      </c>
      <c r="E498" s="46" t="s">
        <v>930</v>
      </c>
      <c r="F498" s="48">
        <v>250</v>
      </c>
      <c r="G498" s="46" t="s">
        <v>57</v>
      </c>
      <c r="H498" s="46" t="s">
        <v>1468</v>
      </c>
      <c r="I498" s="45" t="s">
        <v>125</v>
      </c>
      <c r="J498" s="46" t="s">
        <v>127</v>
      </c>
      <c r="K498" s="46" t="s">
        <v>127</v>
      </c>
      <c r="L498" s="46" t="s">
        <v>15</v>
      </c>
      <c r="M498" s="46" t="s">
        <v>10</v>
      </c>
      <c r="N498" s="46" t="s">
        <v>11</v>
      </c>
      <c r="O498" s="49" t="s">
        <v>815</v>
      </c>
      <c r="P498" s="46" t="s">
        <v>507</v>
      </c>
      <c r="Q498" s="35" t="str">
        <f>MID(Tabla1[[#This Row],[Aplicación]],14,1)</f>
        <v>2</v>
      </c>
      <c r="R498" s="35" t="s">
        <v>495</v>
      </c>
      <c r="S498" s="35" t="str">
        <f>MID(Tabla1[[#This Row],[Aplicación]],6,2)</f>
        <v>08</v>
      </c>
      <c r="T498" s="35" t="str">
        <f>VLOOKUP(Tabla1[[#This Row],[AREA]],Hoja1!A:B,2,FALSE)</f>
        <v>08. Movilidad y espacio urbano</v>
      </c>
      <c r="U498" s="35" t="str">
        <f>MID(Tabla1[[#This Row],[Aplicación]],9,4)</f>
        <v>1532</v>
      </c>
      <c r="V498" s="35" t="str">
        <f>VLOOKUP(Tabla1[[#This Row],[PROGRAMA]],Hoja1!A:B,2,FALSE)</f>
        <v>1532. Pavimentación vias públicas y otros servicios urbanísticos</v>
      </c>
      <c r="W498" s="35" t="str">
        <f>MID(Tabla1[[#This Row],[Aplicación]],14,2)</f>
        <v>20</v>
      </c>
      <c r="X498" s="35" t="str">
        <f>MID(Tabla1[[#This Row],[Aplicación]],14,6)</f>
        <v>203</v>
      </c>
    </row>
    <row r="499" spans="1:24" x14ac:dyDescent="0.25">
      <c r="A499" s="45">
        <v>220210004003</v>
      </c>
      <c r="B499" s="46" t="s">
        <v>9</v>
      </c>
      <c r="C499" s="47">
        <v>44244</v>
      </c>
      <c r="D499" s="45">
        <v>22021002586</v>
      </c>
      <c r="E499" s="46" t="s">
        <v>1469</v>
      </c>
      <c r="F499" s="48">
        <v>160</v>
      </c>
      <c r="G499" s="46" t="s">
        <v>57</v>
      </c>
      <c r="H499" s="46" t="s">
        <v>1470</v>
      </c>
      <c r="I499" s="45" t="s">
        <v>125</v>
      </c>
      <c r="J499" s="46" t="s">
        <v>127</v>
      </c>
      <c r="K499" s="46" t="s">
        <v>127</v>
      </c>
      <c r="L499" s="46" t="s">
        <v>15</v>
      </c>
      <c r="M499" s="46" t="s">
        <v>10</v>
      </c>
      <c r="N499" s="46" t="s">
        <v>11</v>
      </c>
      <c r="O499" s="49" t="s">
        <v>815</v>
      </c>
      <c r="P499" s="46" t="s">
        <v>507</v>
      </c>
      <c r="Q499" s="35" t="str">
        <f>MID(Tabla1[[#This Row],[Aplicación]],14,1)</f>
        <v>2</v>
      </c>
      <c r="R499" s="35" t="s">
        <v>495</v>
      </c>
      <c r="S499" s="35" t="str">
        <f>MID(Tabla1[[#This Row],[Aplicación]],6,2)</f>
        <v>02</v>
      </c>
      <c r="T499" s="35" t="str">
        <f>VLOOKUP(Tabla1[[#This Row],[AREA]],Hoja1!A:B,2,FALSE)</f>
        <v>02. Planeamiento urbanístico y vivienda</v>
      </c>
      <c r="U499" s="35" t="str">
        <f>MID(Tabla1[[#This Row],[Aplicación]],9,4)</f>
        <v>1511</v>
      </c>
      <c r="V499" s="35" t="str">
        <f>VLOOKUP(Tabla1[[#This Row],[PROGRAMA]],Hoja1!A:B,2,FALSE)</f>
        <v>1511. Planficación y gestión del urbanismo</v>
      </c>
      <c r="W499" s="35" t="str">
        <f>MID(Tabla1[[#This Row],[Aplicación]],14,2)</f>
        <v>22</v>
      </c>
      <c r="X499" s="35" t="str">
        <f>MID(Tabla1[[#This Row],[Aplicación]],14,6)</f>
        <v>22699</v>
      </c>
    </row>
    <row r="500" spans="1:24" x14ac:dyDescent="0.25">
      <c r="A500" s="45">
        <v>220210002487</v>
      </c>
      <c r="B500" s="46" t="s">
        <v>204</v>
      </c>
      <c r="C500" s="47">
        <v>44235</v>
      </c>
      <c r="D500" s="45">
        <v>22021002228</v>
      </c>
      <c r="E500" s="46" t="s">
        <v>1471</v>
      </c>
      <c r="F500" s="48">
        <v>93.28</v>
      </c>
      <c r="G500" s="46" t="s">
        <v>237</v>
      </c>
      <c r="H500" s="46" t="s">
        <v>1472</v>
      </c>
      <c r="I500" s="45" t="s">
        <v>205</v>
      </c>
      <c r="J500" s="46" t="s">
        <v>127</v>
      </c>
      <c r="K500" s="46" t="s">
        <v>127</v>
      </c>
      <c r="L500" s="46" t="s">
        <v>15</v>
      </c>
      <c r="M500" s="46" t="s">
        <v>13</v>
      </c>
      <c r="N500" s="46" t="s">
        <v>16</v>
      </c>
      <c r="O500" s="49" t="s">
        <v>814</v>
      </c>
      <c r="P500" s="46" t="s">
        <v>507</v>
      </c>
      <c r="Q500" s="35" t="str">
        <f>MID(Tabla1[[#This Row],[Aplicación]],14,1)</f>
        <v>2</v>
      </c>
      <c r="R500" s="35" t="s">
        <v>495</v>
      </c>
      <c r="S500" s="35" t="str">
        <f>MID(Tabla1[[#This Row],[Aplicación]],6,2)</f>
        <v>06</v>
      </c>
      <c r="T500" s="35" t="str">
        <f>VLOOKUP(Tabla1[[#This Row],[AREA]],Hoja1!A:B,2,FALSE)</f>
        <v>06. Educación, infancia, juventud e igualdad</v>
      </c>
      <c r="U500" s="35" t="str">
        <f>MID(Tabla1[[#This Row],[Aplicación]],9,4)</f>
        <v>3232</v>
      </c>
      <c r="V500" s="35" t="str">
        <f>VLOOKUP(Tabla1[[#This Row],[PROGRAMA]],Hoja1!A:B,2,FALSE)</f>
        <v>3232. Conservación y mantenimiento centros educación infantil y primaria</v>
      </c>
      <c r="W500" s="35" t="str">
        <f>MID(Tabla1[[#This Row],[Aplicación]],14,2)</f>
        <v>21</v>
      </c>
      <c r="X500" s="35" t="str">
        <f>MID(Tabla1[[#This Row],[Aplicación]],14,6)</f>
        <v>212</v>
      </c>
    </row>
    <row r="501" spans="1:24" x14ac:dyDescent="0.25">
      <c r="A501" s="45">
        <v>220210003302</v>
      </c>
      <c r="B501" s="46" t="s">
        <v>204</v>
      </c>
      <c r="C501" s="47">
        <v>44239</v>
      </c>
      <c r="D501" s="45">
        <v>22021002228</v>
      </c>
      <c r="E501" s="46" t="s">
        <v>1471</v>
      </c>
      <c r="F501" s="48">
        <v>165.59</v>
      </c>
      <c r="G501" s="46" t="s">
        <v>237</v>
      </c>
      <c r="H501" s="46" t="s">
        <v>1473</v>
      </c>
      <c r="I501" s="45" t="s">
        <v>205</v>
      </c>
      <c r="J501" s="46" t="s">
        <v>127</v>
      </c>
      <c r="K501" s="46" t="s">
        <v>127</v>
      </c>
      <c r="L501" s="46" t="s">
        <v>15</v>
      </c>
      <c r="M501" s="46" t="s">
        <v>13</v>
      </c>
      <c r="N501" s="46" t="s">
        <v>14</v>
      </c>
      <c r="O501" s="49" t="s">
        <v>814</v>
      </c>
      <c r="P501" s="46" t="s">
        <v>507</v>
      </c>
      <c r="Q501" s="35" t="str">
        <f>MID(Tabla1[[#This Row],[Aplicación]],14,1)</f>
        <v>2</v>
      </c>
      <c r="R501" s="35" t="s">
        <v>495</v>
      </c>
      <c r="S501" s="35" t="str">
        <f>MID(Tabla1[[#This Row],[Aplicación]],6,2)</f>
        <v>06</v>
      </c>
      <c r="T501" s="35" t="str">
        <f>VLOOKUP(Tabla1[[#This Row],[AREA]],Hoja1!A:B,2,FALSE)</f>
        <v>06. Educación, infancia, juventud e igualdad</v>
      </c>
      <c r="U501" s="35" t="str">
        <f>MID(Tabla1[[#This Row],[Aplicación]],9,4)</f>
        <v>3232</v>
      </c>
      <c r="V501" s="35" t="str">
        <f>VLOOKUP(Tabla1[[#This Row],[PROGRAMA]],Hoja1!A:B,2,FALSE)</f>
        <v>3232. Conservación y mantenimiento centros educación infantil y primaria</v>
      </c>
      <c r="W501" s="35" t="str">
        <f>MID(Tabla1[[#This Row],[Aplicación]],14,2)</f>
        <v>21</v>
      </c>
      <c r="X501" s="35" t="str">
        <f>MID(Tabla1[[#This Row],[Aplicación]],14,6)</f>
        <v>212</v>
      </c>
    </row>
    <row r="502" spans="1:24" x14ac:dyDescent="0.25">
      <c r="A502" s="45">
        <v>220210008535</v>
      </c>
      <c r="B502" s="46" t="s">
        <v>204</v>
      </c>
      <c r="C502" s="47">
        <v>44266</v>
      </c>
      <c r="D502" s="45">
        <v>22021002228</v>
      </c>
      <c r="E502" s="46" t="s">
        <v>1471</v>
      </c>
      <c r="F502" s="48">
        <v>64.89</v>
      </c>
      <c r="G502" s="46" t="s">
        <v>1475</v>
      </c>
      <c r="H502" s="46" t="s">
        <v>1476</v>
      </c>
      <c r="I502" s="45" t="s">
        <v>205</v>
      </c>
      <c r="J502" s="46" t="s">
        <v>127</v>
      </c>
      <c r="K502" s="46" t="s">
        <v>127</v>
      </c>
      <c r="L502" s="46" t="s">
        <v>15</v>
      </c>
      <c r="M502" s="46" t="s">
        <v>13</v>
      </c>
      <c r="N502" s="46" t="s">
        <v>14</v>
      </c>
      <c r="O502" s="49" t="s">
        <v>814</v>
      </c>
      <c r="P502" s="46" t="s">
        <v>507</v>
      </c>
      <c r="Q502" s="35" t="str">
        <f>MID(Tabla1[[#This Row],[Aplicación]],14,1)</f>
        <v>2</v>
      </c>
      <c r="R502" s="35" t="s">
        <v>495</v>
      </c>
      <c r="S502" s="35" t="str">
        <f>MID(Tabla1[[#This Row],[Aplicación]],6,2)</f>
        <v>06</v>
      </c>
      <c r="T502" s="35" t="str">
        <f>VLOOKUP(Tabla1[[#This Row],[AREA]],Hoja1!A:B,2,FALSE)</f>
        <v>06. Educación, infancia, juventud e igualdad</v>
      </c>
      <c r="U502" s="35" t="str">
        <f>MID(Tabla1[[#This Row],[Aplicación]],9,4)</f>
        <v>3232</v>
      </c>
      <c r="V502" s="35" t="str">
        <f>VLOOKUP(Tabla1[[#This Row],[PROGRAMA]],Hoja1!A:B,2,FALSE)</f>
        <v>3232. Conservación y mantenimiento centros educación infantil y primaria</v>
      </c>
      <c r="W502" s="35" t="str">
        <f>MID(Tabla1[[#This Row],[Aplicación]],14,2)</f>
        <v>21</v>
      </c>
      <c r="X502" s="35" t="str">
        <f>MID(Tabla1[[#This Row],[Aplicación]],14,6)</f>
        <v>212</v>
      </c>
    </row>
    <row r="503" spans="1:24" x14ac:dyDescent="0.25">
      <c r="A503" s="45">
        <v>220209000618</v>
      </c>
      <c r="B503" s="46" t="s">
        <v>9</v>
      </c>
      <c r="C503" s="47">
        <v>44198</v>
      </c>
      <c r="D503" s="45">
        <v>22021000743</v>
      </c>
      <c r="E503" s="46" t="s">
        <v>1286</v>
      </c>
      <c r="F503" s="48">
        <v>279560.46000000002</v>
      </c>
      <c r="G503" s="46" t="s">
        <v>199</v>
      </c>
      <c r="H503" s="46" t="s">
        <v>1477</v>
      </c>
      <c r="I503" s="45" t="s">
        <v>125</v>
      </c>
      <c r="J503" s="46" t="s">
        <v>661</v>
      </c>
      <c r="K503" s="46" t="s">
        <v>127</v>
      </c>
      <c r="L503" s="46" t="s">
        <v>12</v>
      </c>
      <c r="M503" s="46" t="s">
        <v>13</v>
      </c>
      <c r="N503" s="46" t="s">
        <v>14</v>
      </c>
      <c r="O503" s="49" t="s">
        <v>803</v>
      </c>
      <c r="P503" s="46" t="s">
        <v>507</v>
      </c>
      <c r="Q503" s="35" t="str">
        <f>MID(Tabla1[[#This Row],[Aplicación]],14,1)</f>
        <v>6</v>
      </c>
      <c r="R503" s="35" t="s">
        <v>496</v>
      </c>
      <c r="S503" s="35" t="str">
        <f>MID(Tabla1[[#This Row],[Aplicación]],6,2)</f>
        <v>04</v>
      </c>
      <c r="T503" s="35" t="str">
        <f>VLOOKUP(Tabla1[[#This Row],[AREA]],Hoja1!A:B,2,FALSE)</f>
        <v>04. Planificación y recursos</v>
      </c>
      <c r="U503" s="35" t="str">
        <f>MID(Tabla1[[#This Row],[Aplicación]],9,4)</f>
        <v>9204</v>
      </c>
      <c r="V503" s="35" t="str">
        <f>VLOOKUP(Tabla1[[#This Row],[PROGRAMA]],Hoja1!A:B,2,FALSE)</f>
        <v>9204. Tecnologías de la información y comunicación</v>
      </c>
      <c r="W503" s="35" t="str">
        <f>MID(Tabla1[[#This Row],[Aplicación]],14,2)</f>
        <v>64</v>
      </c>
      <c r="X503" s="35" t="str">
        <f>MID(Tabla1[[#This Row],[Aplicación]],14,6)</f>
        <v>641</v>
      </c>
    </row>
    <row r="504" spans="1:24" x14ac:dyDescent="0.25">
      <c r="A504" s="45">
        <v>220209000826</v>
      </c>
      <c r="B504" s="46" t="s">
        <v>9</v>
      </c>
      <c r="C504" s="47">
        <v>44198</v>
      </c>
      <c r="D504" s="45">
        <v>22021001164</v>
      </c>
      <c r="E504" s="46" t="s">
        <v>1286</v>
      </c>
      <c r="F504" s="48">
        <v>37472.26</v>
      </c>
      <c r="G504" s="46" t="s">
        <v>199</v>
      </c>
      <c r="H504" s="46" t="s">
        <v>1477</v>
      </c>
      <c r="I504" s="45" t="s">
        <v>125</v>
      </c>
      <c r="J504" s="46" t="s">
        <v>661</v>
      </c>
      <c r="K504" s="46" t="s">
        <v>127</v>
      </c>
      <c r="L504" s="46" t="s">
        <v>12</v>
      </c>
      <c r="M504" s="46" t="s">
        <v>13</v>
      </c>
      <c r="N504" s="46" t="s">
        <v>14</v>
      </c>
      <c r="O504" s="49" t="s">
        <v>803</v>
      </c>
      <c r="P504" s="46" t="s">
        <v>507</v>
      </c>
      <c r="Q504" s="35" t="str">
        <f>MID(Tabla1[[#This Row],[Aplicación]],14,1)</f>
        <v>6</v>
      </c>
      <c r="R504" s="35" t="s">
        <v>496</v>
      </c>
      <c r="S504" s="35" t="str">
        <f>MID(Tabla1[[#This Row],[Aplicación]],6,2)</f>
        <v>04</v>
      </c>
      <c r="T504" s="35" t="str">
        <f>VLOOKUP(Tabla1[[#This Row],[AREA]],Hoja1!A:B,2,FALSE)</f>
        <v>04. Planificación y recursos</v>
      </c>
      <c r="U504" s="35" t="str">
        <f>MID(Tabla1[[#This Row],[Aplicación]],9,4)</f>
        <v>9204</v>
      </c>
      <c r="V504" s="35" t="str">
        <f>VLOOKUP(Tabla1[[#This Row],[PROGRAMA]],Hoja1!A:B,2,FALSE)</f>
        <v>9204. Tecnologías de la información y comunicación</v>
      </c>
      <c r="W504" s="35" t="str">
        <f>MID(Tabla1[[#This Row],[Aplicación]],14,2)</f>
        <v>64</v>
      </c>
      <c r="X504" s="35" t="str">
        <f>MID(Tabla1[[#This Row],[Aplicación]],14,6)</f>
        <v>641</v>
      </c>
    </row>
    <row r="505" spans="1:24" x14ac:dyDescent="0.25">
      <c r="A505" s="45">
        <v>220210008725</v>
      </c>
      <c r="B505" s="46" t="s">
        <v>204</v>
      </c>
      <c r="C505" s="47">
        <v>44266</v>
      </c>
      <c r="D505" s="45">
        <v>22021002088</v>
      </c>
      <c r="E505" s="46" t="s">
        <v>1478</v>
      </c>
      <c r="F505" s="48">
        <v>15.13</v>
      </c>
      <c r="G505" s="46" t="s">
        <v>1475</v>
      </c>
      <c r="H505" s="46" t="s">
        <v>1479</v>
      </c>
      <c r="I505" s="45" t="s">
        <v>205</v>
      </c>
      <c r="J505" s="46" t="s">
        <v>127</v>
      </c>
      <c r="K505" s="46" t="s">
        <v>127</v>
      </c>
      <c r="L505" s="46" t="s">
        <v>15</v>
      </c>
      <c r="M505" s="46" t="s">
        <v>13</v>
      </c>
      <c r="N505" s="46" t="s">
        <v>16</v>
      </c>
      <c r="O505" s="49" t="s">
        <v>814</v>
      </c>
      <c r="P505" s="46" t="s">
        <v>507</v>
      </c>
      <c r="Q505" s="35" t="str">
        <f>MID(Tabla1[[#This Row],[Aplicación]],14,1)</f>
        <v>2</v>
      </c>
      <c r="R505" s="35" t="s">
        <v>495</v>
      </c>
      <c r="S505" s="35" t="str">
        <f>MID(Tabla1[[#This Row],[Aplicación]],6,2)</f>
        <v>03</v>
      </c>
      <c r="T505" s="35" t="str">
        <f>VLOOKUP(Tabla1[[#This Row],[AREA]],Hoja1!A:B,2,FALSE)</f>
        <v>03. Participación ciudadana y deportes</v>
      </c>
      <c r="U505" s="35" t="str">
        <f>MID(Tabla1[[#This Row],[Aplicación]],9,4)</f>
        <v>9241</v>
      </c>
      <c r="V505" s="35" t="str">
        <f>VLOOKUP(Tabla1[[#This Row],[PROGRAMA]],Hoja1!A:B,2,FALSE)</f>
        <v>9241. Participación ciudadana</v>
      </c>
      <c r="W505" s="35" t="str">
        <f>MID(Tabla1[[#This Row],[Aplicación]],14,2)</f>
        <v>21</v>
      </c>
      <c r="X505" s="35" t="str">
        <f>MID(Tabla1[[#This Row],[Aplicación]],14,6)</f>
        <v>212</v>
      </c>
    </row>
    <row r="506" spans="1:24" x14ac:dyDescent="0.25">
      <c r="A506" s="45">
        <v>220210001103</v>
      </c>
      <c r="B506" s="46" t="s">
        <v>32</v>
      </c>
      <c r="C506" s="47">
        <v>44225</v>
      </c>
      <c r="D506" s="45">
        <v>22021001937</v>
      </c>
      <c r="E506" s="46" t="s">
        <v>1279</v>
      </c>
      <c r="F506" s="48">
        <v>726.18</v>
      </c>
      <c r="G506" s="46" t="s">
        <v>644</v>
      </c>
      <c r="H506" s="46" t="s">
        <v>1480</v>
      </c>
      <c r="I506" s="45" t="s">
        <v>234</v>
      </c>
      <c r="J506" s="46" t="s">
        <v>203</v>
      </c>
      <c r="K506" s="46" t="s">
        <v>203</v>
      </c>
      <c r="L506" s="46" t="s">
        <v>12</v>
      </c>
      <c r="M506" s="46" t="s">
        <v>13</v>
      </c>
      <c r="N506" s="46" t="s">
        <v>14</v>
      </c>
      <c r="O506" s="49" t="s">
        <v>803</v>
      </c>
      <c r="P506" s="46" t="s">
        <v>507</v>
      </c>
      <c r="Q506" s="35" t="str">
        <f>MID(Tabla1[[#This Row],[Aplicación]],14,1)</f>
        <v>2</v>
      </c>
      <c r="R506" s="35" t="s">
        <v>495</v>
      </c>
      <c r="S506" s="35" t="str">
        <f>MID(Tabla1[[#This Row],[Aplicación]],6,2)</f>
        <v>04</v>
      </c>
      <c r="T506" s="35" t="str">
        <f>VLOOKUP(Tabla1[[#This Row],[AREA]],Hoja1!A:B,2,FALSE)</f>
        <v>04. Planificación y recursos</v>
      </c>
      <c r="U506" s="35" t="str">
        <f>MID(Tabla1[[#This Row],[Aplicación]],9,4)</f>
        <v>9231</v>
      </c>
      <c r="V506" s="35" t="str">
        <f>VLOOKUP(Tabla1[[#This Row],[PROGRAMA]],Hoja1!A:B,2,FALSE)</f>
        <v>9231. Información, registro y gestión del padrón</v>
      </c>
      <c r="W506" s="35" t="str">
        <f>MID(Tabla1[[#This Row],[Aplicación]],14,2)</f>
        <v>22</v>
      </c>
      <c r="X506" s="35" t="str">
        <f>MID(Tabla1[[#This Row],[Aplicación]],14,6)</f>
        <v>22799</v>
      </c>
    </row>
    <row r="507" spans="1:24" x14ac:dyDescent="0.25">
      <c r="A507" s="45">
        <v>220210004239</v>
      </c>
      <c r="B507" s="46" t="s">
        <v>9</v>
      </c>
      <c r="C507" s="47">
        <v>44245</v>
      </c>
      <c r="D507" s="45">
        <v>22021002833</v>
      </c>
      <c r="E507" s="46" t="s">
        <v>1263</v>
      </c>
      <c r="F507" s="48">
        <v>445.28</v>
      </c>
      <c r="G507" s="46" t="s">
        <v>1481</v>
      </c>
      <c r="H507" s="46" t="s">
        <v>1482</v>
      </c>
      <c r="I507" s="45" t="s">
        <v>125</v>
      </c>
      <c r="J507" s="46" t="s">
        <v>127</v>
      </c>
      <c r="K507" s="46" t="s">
        <v>127</v>
      </c>
      <c r="L507" s="46" t="s">
        <v>12</v>
      </c>
      <c r="M507" s="46" t="s">
        <v>10</v>
      </c>
      <c r="N507" s="46" t="s">
        <v>11</v>
      </c>
      <c r="O507" s="49" t="s">
        <v>815</v>
      </c>
      <c r="P507" s="46" t="s">
        <v>507</v>
      </c>
      <c r="Q507" s="35" t="str">
        <f>MID(Tabla1[[#This Row],[Aplicación]],14,1)</f>
        <v>2</v>
      </c>
      <c r="R507" s="35" t="s">
        <v>495</v>
      </c>
      <c r="S507" s="35" t="str">
        <f>MID(Tabla1[[#This Row],[Aplicación]],6,2)</f>
        <v>02</v>
      </c>
      <c r="T507" s="35" t="str">
        <f>VLOOKUP(Tabla1[[#This Row],[AREA]],Hoja1!A:B,2,FALSE)</f>
        <v>02. Planeamiento urbanístico y vivienda</v>
      </c>
      <c r="U507" s="35" t="str">
        <f>MID(Tabla1[[#This Row],[Aplicación]],9,4)</f>
        <v>9332</v>
      </c>
      <c r="V507" s="35" t="str">
        <f>VLOOKUP(Tabla1[[#This Row],[PROGRAMA]],Hoja1!A:B,2,FALSE)</f>
        <v>9332. Mantenimiento de edificios e instalaciones municipales</v>
      </c>
      <c r="W507" s="35" t="str">
        <f>MID(Tabla1[[#This Row],[Aplicación]],14,2)</f>
        <v>21</v>
      </c>
      <c r="X507" s="35" t="str">
        <f>MID(Tabla1[[#This Row],[Aplicación]],14,6)</f>
        <v>213</v>
      </c>
    </row>
    <row r="508" spans="1:24" x14ac:dyDescent="0.25">
      <c r="A508" s="45">
        <v>220209000694</v>
      </c>
      <c r="B508" s="46" t="s">
        <v>9</v>
      </c>
      <c r="C508" s="47">
        <v>44198</v>
      </c>
      <c r="D508" s="45">
        <v>22021000438</v>
      </c>
      <c r="E508" s="46" t="s">
        <v>1483</v>
      </c>
      <c r="F508" s="48">
        <v>3815.59</v>
      </c>
      <c r="G508" s="46" t="s">
        <v>575</v>
      </c>
      <c r="H508" s="46" t="s">
        <v>1484</v>
      </c>
      <c r="I508" s="45" t="s">
        <v>125</v>
      </c>
      <c r="J508" s="46" t="s">
        <v>127</v>
      </c>
      <c r="K508" s="46" t="s">
        <v>127</v>
      </c>
      <c r="L508" s="46" t="s">
        <v>31</v>
      </c>
      <c r="M508" s="46" t="s">
        <v>10</v>
      </c>
      <c r="N508" s="46" t="s">
        <v>11</v>
      </c>
      <c r="O508" s="49" t="s">
        <v>815</v>
      </c>
      <c r="P508" s="46" t="s">
        <v>507</v>
      </c>
      <c r="Q508" s="35" t="str">
        <f>MID(Tabla1[[#This Row],[Aplicación]],14,1)</f>
        <v>6</v>
      </c>
      <c r="R508" s="35" t="s">
        <v>496</v>
      </c>
      <c r="S508" s="35" t="str">
        <f>MID(Tabla1[[#This Row],[Aplicación]],6,2)</f>
        <v>03</v>
      </c>
      <c r="T508" s="35" t="str">
        <f>VLOOKUP(Tabla1[[#This Row],[AREA]],Hoja1!A:B,2,FALSE)</f>
        <v>03. Participación ciudadana y deportes</v>
      </c>
      <c r="U508" s="35" t="str">
        <f>MID(Tabla1[[#This Row],[Aplicación]],9,4)</f>
        <v>9241</v>
      </c>
      <c r="V508" s="35" t="str">
        <f>VLOOKUP(Tabla1[[#This Row],[PROGRAMA]],Hoja1!A:B,2,FALSE)</f>
        <v>9241. Participación ciudadana</v>
      </c>
      <c r="W508" s="35" t="str">
        <f>MID(Tabla1[[#This Row],[Aplicación]],14,2)</f>
        <v>63</v>
      </c>
      <c r="X508" s="35" t="str">
        <f>MID(Tabla1[[#This Row],[Aplicación]],14,6)</f>
        <v>632</v>
      </c>
    </row>
    <row r="509" spans="1:24" x14ac:dyDescent="0.25">
      <c r="A509" s="45">
        <v>220210006053</v>
      </c>
      <c r="B509" s="46" t="s">
        <v>9</v>
      </c>
      <c r="C509" s="47">
        <v>44251</v>
      </c>
      <c r="D509" s="45">
        <v>22021002640</v>
      </c>
      <c r="E509" s="46" t="s">
        <v>840</v>
      </c>
      <c r="F509" s="48">
        <v>18137.900000000001</v>
      </c>
      <c r="G509" s="46" t="s">
        <v>1485</v>
      </c>
      <c r="H509" s="46" t="s">
        <v>1486</v>
      </c>
      <c r="I509" s="45" t="s">
        <v>125</v>
      </c>
      <c r="J509" s="46" t="s">
        <v>127</v>
      </c>
      <c r="K509" s="46" t="s">
        <v>127</v>
      </c>
      <c r="L509" s="46" t="s">
        <v>12</v>
      </c>
      <c r="M509" s="46" t="s">
        <v>10</v>
      </c>
      <c r="N509" s="46" t="s">
        <v>11</v>
      </c>
      <c r="O509" s="49" t="s">
        <v>815</v>
      </c>
      <c r="P509" s="46" t="s">
        <v>507</v>
      </c>
      <c r="Q509" s="35" t="str">
        <f>MID(Tabla1[[#This Row],[Aplicación]],14,1)</f>
        <v>2</v>
      </c>
      <c r="R509" s="35" t="s">
        <v>495</v>
      </c>
      <c r="S509" s="35" t="str">
        <f>MID(Tabla1[[#This Row],[Aplicación]],6,2)</f>
        <v>07</v>
      </c>
      <c r="T509" s="35" t="str">
        <f>VLOOKUP(Tabla1[[#This Row],[AREA]],Hoja1!A:B,2,FALSE)</f>
        <v>07. Medio ambiente y desarrollo sostenible</v>
      </c>
      <c r="U509" s="35" t="str">
        <f>MID(Tabla1[[#This Row],[Aplicación]],9,4)</f>
        <v>1711</v>
      </c>
      <c r="V509" s="35" t="str">
        <f>VLOOKUP(Tabla1[[#This Row],[PROGRAMA]],Hoja1!A:B,2,FALSE)</f>
        <v>1711. Parques y jardines</v>
      </c>
      <c r="W509" s="35" t="str">
        <f>MID(Tabla1[[#This Row],[Aplicación]],14,2)</f>
        <v>22</v>
      </c>
      <c r="X509" s="35" t="str">
        <f>MID(Tabla1[[#This Row],[Aplicación]],14,6)</f>
        <v>22799</v>
      </c>
    </row>
    <row r="510" spans="1:24" x14ac:dyDescent="0.25">
      <c r="A510" s="45">
        <v>220210003647</v>
      </c>
      <c r="B510" s="46" t="s">
        <v>9</v>
      </c>
      <c r="C510" s="47">
        <v>44243</v>
      </c>
      <c r="D510" s="45">
        <v>22021002594</v>
      </c>
      <c r="E510" s="46" t="s">
        <v>1487</v>
      </c>
      <c r="F510" s="48">
        <v>4235</v>
      </c>
      <c r="G510" s="46" t="s">
        <v>586</v>
      </c>
      <c r="H510" s="46" t="s">
        <v>1488</v>
      </c>
      <c r="I510" s="45" t="s">
        <v>125</v>
      </c>
      <c r="J510" s="46" t="s">
        <v>127</v>
      </c>
      <c r="K510" s="46" t="s">
        <v>127</v>
      </c>
      <c r="L510" s="46" t="s">
        <v>12</v>
      </c>
      <c r="M510" s="46" t="s">
        <v>10</v>
      </c>
      <c r="N510" s="46" t="s">
        <v>11</v>
      </c>
      <c r="O510" s="49" t="s">
        <v>815</v>
      </c>
      <c r="P510" s="46" t="s">
        <v>507</v>
      </c>
      <c r="Q510" s="35" t="str">
        <f>MID(Tabla1[[#This Row],[Aplicación]],14,1)</f>
        <v>6</v>
      </c>
      <c r="R510" s="35" t="s">
        <v>496</v>
      </c>
      <c r="S510" s="35" t="str">
        <f>MID(Tabla1[[#This Row],[Aplicación]],6,2)</f>
        <v>08</v>
      </c>
      <c r="T510" s="35" t="str">
        <f>VLOOKUP(Tabla1[[#This Row],[AREA]],Hoja1!A:B,2,FALSE)</f>
        <v>08. Movilidad y espacio urbano</v>
      </c>
      <c r="U510" s="35" t="str">
        <f>MID(Tabla1[[#This Row],[Aplicación]],9,4)</f>
        <v>1532</v>
      </c>
      <c r="V510" s="35" t="str">
        <f>VLOOKUP(Tabla1[[#This Row],[PROGRAMA]],Hoja1!A:B,2,FALSE)</f>
        <v>1532. Pavimentación vias públicas y otros servicios urbanísticos</v>
      </c>
      <c r="W510" s="35" t="str">
        <f>MID(Tabla1[[#This Row],[Aplicación]],14,2)</f>
        <v>61</v>
      </c>
      <c r="X510" s="35" t="str">
        <f>MID(Tabla1[[#This Row],[Aplicación]],14,6)</f>
        <v>619</v>
      </c>
    </row>
    <row r="511" spans="1:24" x14ac:dyDescent="0.25">
      <c r="A511" s="45">
        <v>220199000762</v>
      </c>
      <c r="B511" s="46" t="s">
        <v>9</v>
      </c>
      <c r="C511" s="47">
        <v>44198</v>
      </c>
      <c r="D511" s="45">
        <v>22021000175</v>
      </c>
      <c r="E511" s="46" t="s">
        <v>1247</v>
      </c>
      <c r="F511" s="48">
        <v>12100</v>
      </c>
      <c r="G511" s="46" t="s">
        <v>90</v>
      </c>
      <c r="H511" s="46" t="s">
        <v>670</v>
      </c>
      <c r="I511" s="45" t="s">
        <v>125</v>
      </c>
      <c r="J511" s="46" t="s">
        <v>127</v>
      </c>
      <c r="K511" s="46" t="s">
        <v>127</v>
      </c>
      <c r="L511" s="46" t="s">
        <v>12</v>
      </c>
      <c r="M511" s="46" t="s">
        <v>13</v>
      </c>
      <c r="N511" s="46" t="s">
        <v>14</v>
      </c>
      <c r="O511" s="49" t="s">
        <v>803</v>
      </c>
      <c r="P511" s="46" t="s">
        <v>507</v>
      </c>
      <c r="Q511" s="35" t="str">
        <f>MID(Tabla1[[#This Row],[Aplicación]],14,1)</f>
        <v>2</v>
      </c>
      <c r="R511" s="35" t="s">
        <v>495</v>
      </c>
      <c r="S511" s="35" t="str">
        <f>MID(Tabla1[[#This Row],[Aplicación]],6,2)</f>
        <v>10</v>
      </c>
      <c r="T511" s="35" t="str">
        <f>VLOOKUP(Tabla1[[#This Row],[AREA]],Hoja1!A:B,2,FALSE)</f>
        <v>10. Servicios sociales y mediación comunitaria</v>
      </c>
      <c r="U511" s="35" t="str">
        <f>MID(Tabla1[[#This Row],[Aplicación]],9,4)</f>
        <v>2311</v>
      </c>
      <c r="V511" s="35" t="str">
        <f>VLOOKUP(Tabla1[[#This Row],[PROGRAMA]],Hoja1!A:B,2,FALSE)</f>
        <v>2311. Intervención social</v>
      </c>
      <c r="W511" s="35" t="str">
        <f>MID(Tabla1[[#This Row],[Aplicación]],14,2)</f>
        <v>22</v>
      </c>
      <c r="X511" s="35" t="str">
        <f>MID(Tabla1[[#This Row],[Aplicación]],14,6)</f>
        <v>22799</v>
      </c>
    </row>
    <row r="512" spans="1:24" x14ac:dyDescent="0.25">
      <c r="A512" s="45">
        <v>220210002379</v>
      </c>
      <c r="B512" s="46" t="s">
        <v>9</v>
      </c>
      <c r="C512" s="47">
        <v>44235</v>
      </c>
      <c r="D512" s="45">
        <v>22021002276</v>
      </c>
      <c r="E512" s="46" t="s">
        <v>930</v>
      </c>
      <c r="F512" s="48">
        <v>1815</v>
      </c>
      <c r="G512" s="46" t="s">
        <v>302</v>
      </c>
      <c r="H512" s="46" t="s">
        <v>1489</v>
      </c>
      <c r="I512" s="45" t="s">
        <v>125</v>
      </c>
      <c r="J512" s="46" t="s">
        <v>700</v>
      </c>
      <c r="K512" s="46" t="s">
        <v>127</v>
      </c>
      <c r="L512" s="46" t="s">
        <v>12</v>
      </c>
      <c r="M512" s="46" t="s">
        <v>10</v>
      </c>
      <c r="N512" s="46" t="s">
        <v>11</v>
      </c>
      <c r="O512" s="49" t="s">
        <v>815</v>
      </c>
      <c r="P512" s="46" t="s">
        <v>507</v>
      </c>
      <c r="Q512" s="35" t="str">
        <f>MID(Tabla1[[#This Row],[Aplicación]],14,1)</f>
        <v>2</v>
      </c>
      <c r="R512" s="35" t="s">
        <v>495</v>
      </c>
      <c r="S512" s="35" t="str">
        <f>MID(Tabla1[[#This Row],[Aplicación]],6,2)</f>
        <v>08</v>
      </c>
      <c r="T512" s="35" t="str">
        <f>VLOOKUP(Tabla1[[#This Row],[AREA]],Hoja1!A:B,2,FALSE)</f>
        <v>08. Movilidad y espacio urbano</v>
      </c>
      <c r="U512" s="35" t="str">
        <f>MID(Tabla1[[#This Row],[Aplicación]],9,4)</f>
        <v>1532</v>
      </c>
      <c r="V512" s="35" t="str">
        <f>VLOOKUP(Tabla1[[#This Row],[PROGRAMA]],Hoja1!A:B,2,FALSE)</f>
        <v>1532. Pavimentación vias públicas y otros servicios urbanísticos</v>
      </c>
      <c r="W512" s="35" t="str">
        <f>MID(Tabla1[[#This Row],[Aplicación]],14,2)</f>
        <v>20</v>
      </c>
      <c r="X512" s="35" t="str">
        <f>MID(Tabla1[[#This Row],[Aplicación]],14,6)</f>
        <v>203</v>
      </c>
    </row>
    <row r="513" spans="1:24" x14ac:dyDescent="0.25">
      <c r="A513" s="45">
        <v>220210002387</v>
      </c>
      <c r="B513" s="46" t="s">
        <v>9</v>
      </c>
      <c r="C513" s="47">
        <v>44235</v>
      </c>
      <c r="D513" s="45">
        <v>22021001875</v>
      </c>
      <c r="E513" s="46" t="s">
        <v>1471</v>
      </c>
      <c r="F513" s="48">
        <v>7260</v>
      </c>
      <c r="G513" s="46" t="s">
        <v>302</v>
      </c>
      <c r="H513" s="46" t="s">
        <v>1490</v>
      </c>
      <c r="I513" s="45" t="s">
        <v>125</v>
      </c>
      <c r="J513" s="46" t="s">
        <v>700</v>
      </c>
      <c r="K513" s="46" t="s">
        <v>127</v>
      </c>
      <c r="L513" s="46" t="s">
        <v>15</v>
      </c>
      <c r="M513" s="46" t="s">
        <v>10</v>
      </c>
      <c r="N513" s="46" t="s">
        <v>11</v>
      </c>
      <c r="O513" s="49" t="s">
        <v>815</v>
      </c>
      <c r="P513" s="46" t="s">
        <v>507</v>
      </c>
      <c r="Q513" s="35" t="str">
        <f>MID(Tabla1[[#This Row],[Aplicación]],14,1)</f>
        <v>2</v>
      </c>
      <c r="R513" s="35" t="s">
        <v>495</v>
      </c>
      <c r="S513" s="35" t="str">
        <f>MID(Tabla1[[#This Row],[Aplicación]],6,2)</f>
        <v>06</v>
      </c>
      <c r="T513" s="35" t="str">
        <f>VLOOKUP(Tabla1[[#This Row],[AREA]],Hoja1!A:B,2,FALSE)</f>
        <v>06. Educación, infancia, juventud e igualdad</v>
      </c>
      <c r="U513" s="35" t="str">
        <f>MID(Tabla1[[#This Row],[Aplicación]],9,4)</f>
        <v>3232</v>
      </c>
      <c r="V513" s="35" t="str">
        <f>VLOOKUP(Tabla1[[#This Row],[PROGRAMA]],Hoja1!A:B,2,FALSE)</f>
        <v>3232. Conservación y mantenimiento centros educación infantil y primaria</v>
      </c>
      <c r="W513" s="35" t="str">
        <f>MID(Tabla1[[#This Row],[Aplicación]],14,2)</f>
        <v>21</v>
      </c>
      <c r="X513" s="35" t="str">
        <f>MID(Tabla1[[#This Row],[Aplicación]],14,6)</f>
        <v>212</v>
      </c>
    </row>
    <row r="514" spans="1:24" x14ac:dyDescent="0.25">
      <c r="A514" s="45">
        <v>220210002834</v>
      </c>
      <c r="B514" s="46" t="s">
        <v>9</v>
      </c>
      <c r="C514" s="47">
        <v>44238</v>
      </c>
      <c r="D514" s="45">
        <v>22021002235</v>
      </c>
      <c r="E514" s="46" t="s">
        <v>1491</v>
      </c>
      <c r="F514" s="48">
        <v>4386.8599999999997</v>
      </c>
      <c r="G514" s="46" t="s">
        <v>110</v>
      </c>
      <c r="H514" s="46" t="s">
        <v>1492</v>
      </c>
      <c r="I514" s="45" t="s">
        <v>125</v>
      </c>
      <c r="J514" s="46" t="s">
        <v>729</v>
      </c>
      <c r="K514" s="46" t="s">
        <v>126</v>
      </c>
      <c r="L514" s="46" t="s">
        <v>15</v>
      </c>
      <c r="M514" s="46" t="s">
        <v>10</v>
      </c>
      <c r="N514" s="46" t="s">
        <v>11</v>
      </c>
      <c r="O514" s="49" t="s">
        <v>815</v>
      </c>
      <c r="P514" s="46" t="s">
        <v>507</v>
      </c>
      <c r="Q514" s="35" t="str">
        <f>MID(Tabla1[[#This Row],[Aplicación]],14,1)</f>
        <v>2</v>
      </c>
      <c r="R514" s="35" t="s">
        <v>495</v>
      </c>
      <c r="S514" s="35" t="str">
        <f>MID(Tabla1[[#This Row],[Aplicación]],6,2)</f>
        <v>11</v>
      </c>
      <c r="T514" s="35" t="str">
        <f>VLOOKUP(Tabla1[[#This Row],[AREA]],Hoja1!A:B,2,FALSE)</f>
        <v>11. Salud pública y seguridad ciudadana</v>
      </c>
      <c r="U514" s="35" t="str">
        <f>MID(Tabla1[[#This Row],[Aplicación]],9,4)</f>
        <v>1621</v>
      </c>
      <c r="V514" s="35" t="str">
        <f>VLOOKUP(Tabla1[[#This Row],[PROGRAMA]],Hoja1!A:B,2,FALSE)</f>
        <v>1621. Servicio de limpieza</v>
      </c>
      <c r="W514" s="35" t="str">
        <f>MID(Tabla1[[#This Row],[Aplicación]],14,2)</f>
        <v>21</v>
      </c>
      <c r="X514" s="35" t="str">
        <f>MID(Tabla1[[#This Row],[Aplicación]],14,6)</f>
        <v>219</v>
      </c>
    </row>
    <row r="515" spans="1:24" x14ac:dyDescent="0.25">
      <c r="A515" s="45">
        <v>220210003621</v>
      </c>
      <c r="B515" s="46" t="s">
        <v>9</v>
      </c>
      <c r="C515" s="47">
        <v>44243</v>
      </c>
      <c r="D515" s="45">
        <v>22021002561</v>
      </c>
      <c r="E515" s="46" t="s">
        <v>1493</v>
      </c>
      <c r="F515" s="48">
        <v>3146</v>
      </c>
      <c r="G515" s="46" t="s">
        <v>110</v>
      </c>
      <c r="H515" s="46" t="s">
        <v>1494</v>
      </c>
      <c r="I515" s="45" t="s">
        <v>125</v>
      </c>
      <c r="J515" s="46" t="s">
        <v>729</v>
      </c>
      <c r="K515" s="46" t="s">
        <v>126</v>
      </c>
      <c r="L515" s="46" t="s">
        <v>15</v>
      </c>
      <c r="M515" s="46" t="s">
        <v>10</v>
      </c>
      <c r="N515" s="46" t="s">
        <v>11</v>
      </c>
      <c r="O515" s="49" t="s">
        <v>815</v>
      </c>
      <c r="P515" s="46" t="s">
        <v>507</v>
      </c>
      <c r="Q515" s="35" t="str">
        <f>MID(Tabla1[[#This Row],[Aplicación]],14,1)</f>
        <v>6</v>
      </c>
      <c r="R515" s="35" t="s">
        <v>496</v>
      </c>
      <c r="S515" s="35" t="str">
        <f>MID(Tabla1[[#This Row],[Aplicación]],6,2)</f>
        <v>11</v>
      </c>
      <c r="T515" s="35" t="str">
        <f>VLOOKUP(Tabla1[[#This Row],[AREA]],Hoja1!A:B,2,FALSE)</f>
        <v>11. Salud pública y seguridad ciudadana</v>
      </c>
      <c r="U515" s="35" t="str">
        <f>MID(Tabla1[[#This Row],[Aplicación]],9,4)</f>
        <v>1621</v>
      </c>
      <c r="V515" s="35" t="str">
        <f>VLOOKUP(Tabla1[[#This Row],[PROGRAMA]],Hoja1!A:B,2,FALSE)</f>
        <v>1621. Servicio de limpieza</v>
      </c>
      <c r="W515" s="35" t="str">
        <f>MID(Tabla1[[#This Row],[Aplicación]],14,2)</f>
        <v>62</v>
      </c>
      <c r="X515" s="35" t="str">
        <f>MID(Tabla1[[#This Row],[Aplicación]],14,6)</f>
        <v>623</v>
      </c>
    </row>
    <row r="516" spans="1:24" x14ac:dyDescent="0.25">
      <c r="A516" s="45">
        <v>220209000036</v>
      </c>
      <c r="B516" s="46" t="s">
        <v>9</v>
      </c>
      <c r="C516" s="47">
        <v>44198</v>
      </c>
      <c r="D516" s="45">
        <v>22021000186</v>
      </c>
      <c r="E516" s="46" t="s">
        <v>1247</v>
      </c>
      <c r="F516" s="48">
        <v>74000</v>
      </c>
      <c r="G516" s="46" t="s">
        <v>90</v>
      </c>
      <c r="H516" s="46" t="s">
        <v>1495</v>
      </c>
      <c r="I516" s="45" t="s">
        <v>125</v>
      </c>
      <c r="J516" s="46" t="s">
        <v>127</v>
      </c>
      <c r="K516" s="46" t="s">
        <v>127</v>
      </c>
      <c r="L516" s="46" t="s">
        <v>12</v>
      </c>
      <c r="M516" s="46" t="s">
        <v>13</v>
      </c>
      <c r="N516" s="46" t="s">
        <v>14</v>
      </c>
      <c r="O516" s="49" t="s">
        <v>803</v>
      </c>
      <c r="P516" s="46" t="s">
        <v>507</v>
      </c>
      <c r="Q516" s="35" t="str">
        <f>MID(Tabla1[[#This Row],[Aplicación]],14,1)</f>
        <v>2</v>
      </c>
      <c r="R516" s="35" t="s">
        <v>495</v>
      </c>
      <c r="S516" s="35" t="str">
        <f>MID(Tabla1[[#This Row],[Aplicación]],6,2)</f>
        <v>10</v>
      </c>
      <c r="T516" s="35" t="str">
        <f>VLOOKUP(Tabla1[[#This Row],[AREA]],Hoja1!A:B,2,FALSE)</f>
        <v>10. Servicios sociales y mediación comunitaria</v>
      </c>
      <c r="U516" s="35" t="str">
        <f>MID(Tabla1[[#This Row],[Aplicación]],9,4)</f>
        <v>2311</v>
      </c>
      <c r="V516" s="35" t="str">
        <f>VLOOKUP(Tabla1[[#This Row],[PROGRAMA]],Hoja1!A:B,2,FALSE)</f>
        <v>2311. Intervención social</v>
      </c>
      <c r="W516" s="35" t="str">
        <f>MID(Tabla1[[#This Row],[Aplicación]],14,2)</f>
        <v>22</v>
      </c>
      <c r="X516" s="35" t="str">
        <f>MID(Tabla1[[#This Row],[Aplicación]],14,6)</f>
        <v>22799</v>
      </c>
    </row>
    <row r="517" spans="1:24" x14ac:dyDescent="0.25">
      <c r="A517" s="45">
        <v>220209000646</v>
      </c>
      <c r="B517" s="46" t="s">
        <v>9</v>
      </c>
      <c r="C517" s="47">
        <v>44198</v>
      </c>
      <c r="D517" s="45">
        <v>22021000410</v>
      </c>
      <c r="E517" s="46" t="s">
        <v>1247</v>
      </c>
      <c r="F517" s="48">
        <v>722000</v>
      </c>
      <c r="G517" s="46" t="s">
        <v>90</v>
      </c>
      <c r="H517" s="46" t="s">
        <v>1496</v>
      </c>
      <c r="I517" s="45" t="s">
        <v>125</v>
      </c>
      <c r="J517" s="46" t="s">
        <v>127</v>
      </c>
      <c r="K517" s="46" t="s">
        <v>127</v>
      </c>
      <c r="L517" s="46" t="s">
        <v>12</v>
      </c>
      <c r="M517" s="46" t="s">
        <v>13</v>
      </c>
      <c r="N517" s="46" t="s">
        <v>14</v>
      </c>
      <c r="O517" s="49" t="s">
        <v>803</v>
      </c>
      <c r="P517" s="46" t="s">
        <v>507</v>
      </c>
      <c r="Q517" s="35" t="str">
        <f>MID(Tabla1[[#This Row],[Aplicación]],14,1)</f>
        <v>2</v>
      </c>
      <c r="R517" s="35" t="s">
        <v>495</v>
      </c>
      <c r="S517" s="35" t="str">
        <f>MID(Tabla1[[#This Row],[Aplicación]],6,2)</f>
        <v>10</v>
      </c>
      <c r="T517" s="35" t="str">
        <f>VLOOKUP(Tabla1[[#This Row],[AREA]],Hoja1!A:B,2,FALSE)</f>
        <v>10. Servicios sociales y mediación comunitaria</v>
      </c>
      <c r="U517" s="35" t="str">
        <f>MID(Tabla1[[#This Row],[Aplicación]],9,4)</f>
        <v>2311</v>
      </c>
      <c r="V517" s="35" t="str">
        <f>VLOOKUP(Tabla1[[#This Row],[PROGRAMA]],Hoja1!A:B,2,FALSE)</f>
        <v>2311. Intervención social</v>
      </c>
      <c r="W517" s="35" t="str">
        <f>MID(Tabla1[[#This Row],[Aplicación]],14,2)</f>
        <v>22</v>
      </c>
      <c r="X517" s="35" t="str">
        <f>MID(Tabla1[[#This Row],[Aplicación]],14,6)</f>
        <v>22799</v>
      </c>
    </row>
    <row r="518" spans="1:24" x14ac:dyDescent="0.25">
      <c r="A518" s="45">
        <v>220209000647</v>
      </c>
      <c r="B518" s="46" t="s">
        <v>9</v>
      </c>
      <c r="C518" s="47">
        <v>44198</v>
      </c>
      <c r="D518" s="45">
        <v>22021000411</v>
      </c>
      <c r="E518" s="46" t="s">
        <v>1247</v>
      </c>
      <c r="F518" s="48">
        <v>13000</v>
      </c>
      <c r="G518" s="46" t="s">
        <v>90</v>
      </c>
      <c r="H518" s="46" t="s">
        <v>1497</v>
      </c>
      <c r="I518" s="45" t="s">
        <v>125</v>
      </c>
      <c r="J518" s="46" t="s">
        <v>127</v>
      </c>
      <c r="K518" s="46" t="s">
        <v>127</v>
      </c>
      <c r="L518" s="46" t="s">
        <v>12</v>
      </c>
      <c r="M518" s="46" t="s">
        <v>13</v>
      </c>
      <c r="N518" s="46" t="s">
        <v>14</v>
      </c>
      <c r="O518" s="49" t="s">
        <v>803</v>
      </c>
      <c r="P518" s="46" t="s">
        <v>507</v>
      </c>
      <c r="Q518" s="35" t="str">
        <f>MID(Tabla1[[#This Row],[Aplicación]],14,1)</f>
        <v>2</v>
      </c>
      <c r="R518" s="35" t="s">
        <v>495</v>
      </c>
      <c r="S518" s="35" t="str">
        <f>MID(Tabla1[[#This Row],[Aplicación]],6,2)</f>
        <v>10</v>
      </c>
      <c r="T518" s="35" t="str">
        <f>VLOOKUP(Tabla1[[#This Row],[AREA]],Hoja1!A:B,2,FALSE)</f>
        <v>10. Servicios sociales y mediación comunitaria</v>
      </c>
      <c r="U518" s="35" t="str">
        <f>MID(Tabla1[[#This Row],[Aplicación]],9,4)</f>
        <v>2311</v>
      </c>
      <c r="V518" s="35" t="str">
        <f>VLOOKUP(Tabla1[[#This Row],[PROGRAMA]],Hoja1!A:B,2,FALSE)</f>
        <v>2311. Intervención social</v>
      </c>
      <c r="W518" s="35" t="str">
        <f>MID(Tabla1[[#This Row],[Aplicación]],14,2)</f>
        <v>22</v>
      </c>
      <c r="X518" s="35" t="str">
        <f>MID(Tabla1[[#This Row],[Aplicación]],14,6)</f>
        <v>22799</v>
      </c>
    </row>
    <row r="519" spans="1:24" x14ac:dyDescent="0.25">
      <c r="A519" s="45">
        <v>220210004238</v>
      </c>
      <c r="B519" s="46" t="s">
        <v>9</v>
      </c>
      <c r="C519" s="47">
        <v>44245</v>
      </c>
      <c r="D519" s="45">
        <v>22021002832</v>
      </c>
      <c r="E519" s="46" t="s">
        <v>1172</v>
      </c>
      <c r="F519" s="48">
        <v>1343.71</v>
      </c>
      <c r="G519" s="46" t="s">
        <v>583</v>
      </c>
      <c r="H519" s="46" t="s">
        <v>1498</v>
      </c>
      <c r="I519" s="45" t="s">
        <v>125</v>
      </c>
      <c r="J519" s="46" t="s">
        <v>127</v>
      </c>
      <c r="K519" s="46" t="s">
        <v>127</v>
      </c>
      <c r="L519" s="46" t="s">
        <v>12</v>
      </c>
      <c r="M519" s="46" t="s">
        <v>10</v>
      </c>
      <c r="N519" s="46" t="s">
        <v>11</v>
      </c>
      <c r="O519" s="49" t="s">
        <v>815</v>
      </c>
      <c r="P519" s="46" t="s">
        <v>507</v>
      </c>
      <c r="Q519" s="35" t="str">
        <f>MID(Tabla1[[#This Row],[Aplicación]],14,1)</f>
        <v>6</v>
      </c>
      <c r="R519" s="35" t="s">
        <v>496</v>
      </c>
      <c r="S519" s="35" t="str">
        <f>MID(Tabla1[[#This Row],[Aplicación]],6,2)</f>
        <v>02</v>
      </c>
      <c r="T519" s="35" t="str">
        <f>VLOOKUP(Tabla1[[#This Row],[AREA]],Hoja1!A:B,2,FALSE)</f>
        <v>02. Planeamiento urbanístico y vivienda</v>
      </c>
      <c r="U519" s="35" t="str">
        <f>MID(Tabla1[[#This Row],[Aplicación]],9,4)</f>
        <v>9332</v>
      </c>
      <c r="V519" s="35" t="str">
        <f>VLOOKUP(Tabla1[[#This Row],[PROGRAMA]],Hoja1!A:B,2,FALSE)</f>
        <v>9332. Mantenimiento de edificios e instalaciones municipales</v>
      </c>
      <c r="W519" s="35" t="str">
        <f>MID(Tabla1[[#This Row],[Aplicación]],14,2)</f>
        <v>63</v>
      </c>
      <c r="X519" s="35" t="str">
        <f>MID(Tabla1[[#This Row],[Aplicación]],14,6)</f>
        <v>632</v>
      </c>
    </row>
    <row r="520" spans="1:24" x14ac:dyDescent="0.25">
      <c r="A520" s="45">
        <v>220189000072</v>
      </c>
      <c r="B520" s="46" t="s">
        <v>9</v>
      </c>
      <c r="C520" s="47">
        <v>44198</v>
      </c>
      <c r="D520" s="45">
        <v>22021000120</v>
      </c>
      <c r="E520" s="46" t="s">
        <v>1499</v>
      </c>
      <c r="F520" s="48">
        <v>5082</v>
      </c>
      <c r="G520" s="46" t="s">
        <v>147</v>
      </c>
      <c r="H520" s="46" t="s">
        <v>26</v>
      </c>
      <c r="I520" s="45" t="s">
        <v>125</v>
      </c>
      <c r="J520" s="46" t="s">
        <v>148</v>
      </c>
      <c r="K520" s="46" t="s">
        <v>201</v>
      </c>
      <c r="L520" s="46" t="s">
        <v>12</v>
      </c>
      <c r="M520" s="46" t="s">
        <v>13</v>
      </c>
      <c r="N520" s="46" t="s">
        <v>14</v>
      </c>
      <c r="O520" s="49" t="s">
        <v>803</v>
      </c>
      <c r="P520" s="46" t="s">
        <v>507</v>
      </c>
      <c r="Q520" s="35" t="str">
        <f>MID(Tabla1[[#This Row],[Aplicación]],14,1)</f>
        <v>2</v>
      </c>
      <c r="R520" s="35" t="s">
        <v>495</v>
      </c>
      <c r="S520" s="35" t="str">
        <f>MID(Tabla1[[#This Row],[Aplicación]],6,2)</f>
        <v>09</v>
      </c>
      <c r="T520" s="35" t="str">
        <f>VLOOKUP(Tabla1[[#This Row],[AREA]],Hoja1!A:B,2,FALSE)</f>
        <v>09. Cultura y turismo</v>
      </c>
      <c r="U520" s="35" t="str">
        <f>MID(Tabla1[[#This Row],[Aplicación]],9,4)</f>
        <v>4321</v>
      </c>
      <c r="V520" s="35" t="str">
        <f>VLOOKUP(Tabla1[[#This Row],[PROGRAMA]],Hoja1!A:B,2,FALSE)</f>
        <v>4321. Turismo</v>
      </c>
      <c r="W520" s="35" t="str">
        <f>MID(Tabla1[[#This Row],[Aplicación]],14,2)</f>
        <v>22</v>
      </c>
      <c r="X520" s="35" t="str">
        <f>MID(Tabla1[[#This Row],[Aplicación]],14,6)</f>
        <v>22799</v>
      </c>
    </row>
    <row r="521" spans="1:24" x14ac:dyDescent="0.25">
      <c r="A521" s="45">
        <v>220210000324</v>
      </c>
      <c r="B521" s="46" t="s">
        <v>9</v>
      </c>
      <c r="C521" s="47">
        <v>44217</v>
      </c>
      <c r="D521" s="45">
        <v>22021000644</v>
      </c>
      <c r="E521" s="46" t="s">
        <v>941</v>
      </c>
      <c r="F521" s="48">
        <v>7105.8</v>
      </c>
      <c r="G521" s="46" t="s">
        <v>50</v>
      </c>
      <c r="H521" s="46" t="s">
        <v>1500</v>
      </c>
      <c r="I521" s="45" t="s">
        <v>125</v>
      </c>
      <c r="J521" s="46" t="s">
        <v>127</v>
      </c>
      <c r="K521" s="46" t="s">
        <v>127</v>
      </c>
      <c r="L521" s="46" t="s">
        <v>12</v>
      </c>
      <c r="M521" s="46" t="s">
        <v>10</v>
      </c>
      <c r="N521" s="46" t="s">
        <v>11</v>
      </c>
      <c r="O521" s="49" t="s">
        <v>815</v>
      </c>
      <c r="P521" s="46" t="s">
        <v>507</v>
      </c>
      <c r="Q521" s="35" t="str">
        <f>MID(Tabla1[[#This Row],[Aplicación]],14,1)</f>
        <v>2</v>
      </c>
      <c r="R521" s="35" t="s">
        <v>495</v>
      </c>
      <c r="S521" s="35" t="str">
        <f>MID(Tabla1[[#This Row],[Aplicación]],6,2)</f>
        <v>06</v>
      </c>
      <c r="T521" s="35" t="str">
        <f>VLOOKUP(Tabla1[[#This Row],[AREA]],Hoja1!A:B,2,FALSE)</f>
        <v>06. Educación, infancia, juventud e igualdad</v>
      </c>
      <c r="U521" s="35" t="str">
        <f>MID(Tabla1[[#This Row],[Aplicación]],9,4)</f>
        <v>3232</v>
      </c>
      <c r="V521" s="35" t="str">
        <f>VLOOKUP(Tabla1[[#This Row],[PROGRAMA]],Hoja1!A:B,2,FALSE)</f>
        <v>3232. Conservación y mantenimiento centros educación infantil y primaria</v>
      </c>
      <c r="W521" s="35" t="str">
        <f>MID(Tabla1[[#This Row],[Aplicación]],14,2)</f>
        <v>21</v>
      </c>
      <c r="X521" s="35" t="str">
        <f>MID(Tabla1[[#This Row],[Aplicación]],14,6)</f>
        <v>213</v>
      </c>
    </row>
    <row r="522" spans="1:24" x14ac:dyDescent="0.25">
      <c r="A522" s="45">
        <v>220210000496</v>
      </c>
      <c r="B522" s="46" t="s">
        <v>9</v>
      </c>
      <c r="C522" s="47">
        <v>44221</v>
      </c>
      <c r="D522" s="45">
        <v>22021001279</v>
      </c>
      <c r="E522" s="46" t="s">
        <v>840</v>
      </c>
      <c r="F522" s="48">
        <v>1000</v>
      </c>
      <c r="G522" s="46" t="s">
        <v>50</v>
      </c>
      <c r="H522" s="46" t="s">
        <v>737</v>
      </c>
      <c r="I522" s="45" t="s">
        <v>125</v>
      </c>
      <c r="J522" s="46" t="s">
        <v>127</v>
      </c>
      <c r="K522" s="46" t="s">
        <v>127</v>
      </c>
      <c r="L522" s="46" t="s">
        <v>12</v>
      </c>
      <c r="M522" s="46" t="s">
        <v>10</v>
      </c>
      <c r="N522" s="46" t="s">
        <v>11</v>
      </c>
      <c r="O522" s="49" t="s">
        <v>815</v>
      </c>
      <c r="P522" s="46" t="s">
        <v>507</v>
      </c>
      <c r="Q522" s="35" t="str">
        <f>MID(Tabla1[[#This Row],[Aplicación]],14,1)</f>
        <v>2</v>
      </c>
      <c r="R522" s="35" t="s">
        <v>495</v>
      </c>
      <c r="S522" s="35" t="str">
        <f>MID(Tabla1[[#This Row],[Aplicación]],6,2)</f>
        <v>07</v>
      </c>
      <c r="T522" s="35" t="str">
        <f>VLOOKUP(Tabla1[[#This Row],[AREA]],Hoja1!A:B,2,FALSE)</f>
        <v>07. Medio ambiente y desarrollo sostenible</v>
      </c>
      <c r="U522" s="35" t="str">
        <f>MID(Tabla1[[#This Row],[Aplicación]],9,4)</f>
        <v>1711</v>
      </c>
      <c r="V522" s="35" t="str">
        <f>VLOOKUP(Tabla1[[#This Row],[PROGRAMA]],Hoja1!A:B,2,FALSE)</f>
        <v>1711. Parques y jardines</v>
      </c>
      <c r="W522" s="35" t="str">
        <f>MID(Tabla1[[#This Row],[Aplicación]],14,2)</f>
        <v>22</v>
      </c>
      <c r="X522" s="35" t="str">
        <f>MID(Tabla1[[#This Row],[Aplicación]],14,6)</f>
        <v>22799</v>
      </c>
    </row>
    <row r="523" spans="1:24" x14ac:dyDescent="0.25">
      <c r="A523" s="45">
        <v>220210003978</v>
      </c>
      <c r="B523" s="46" t="s">
        <v>9</v>
      </c>
      <c r="C523" s="47">
        <v>44244</v>
      </c>
      <c r="D523" s="45">
        <v>22021002169</v>
      </c>
      <c r="E523" s="46" t="s">
        <v>1501</v>
      </c>
      <c r="F523" s="48">
        <v>1445.95</v>
      </c>
      <c r="G523" s="46" t="s">
        <v>50</v>
      </c>
      <c r="H523" s="46" t="s">
        <v>1502</v>
      </c>
      <c r="I523" s="45" t="s">
        <v>125</v>
      </c>
      <c r="J523" s="46" t="s">
        <v>127</v>
      </c>
      <c r="K523" s="46" t="s">
        <v>127</v>
      </c>
      <c r="L523" s="46" t="s">
        <v>12</v>
      </c>
      <c r="M523" s="46" t="s">
        <v>10</v>
      </c>
      <c r="N523" s="46" t="s">
        <v>11</v>
      </c>
      <c r="O523" s="49" t="s">
        <v>815</v>
      </c>
      <c r="P523" s="46" t="s">
        <v>507</v>
      </c>
      <c r="Q523" s="35" t="str">
        <f>MID(Tabla1[[#This Row],[Aplicación]],14,1)</f>
        <v>2</v>
      </c>
      <c r="R523" s="35" t="s">
        <v>495</v>
      </c>
      <c r="S523" s="35" t="str">
        <f>MID(Tabla1[[#This Row],[Aplicación]],6,2)</f>
        <v>09</v>
      </c>
      <c r="T523" s="35" t="str">
        <f>VLOOKUP(Tabla1[[#This Row],[AREA]],Hoja1!A:B,2,FALSE)</f>
        <v>09. Cultura y turismo</v>
      </c>
      <c r="U523" s="35" t="str">
        <f>MID(Tabla1[[#This Row],[Aplicación]],9,4)</f>
        <v>3341</v>
      </c>
      <c r="V523" s="35" t="str">
        <f>VLOOKUP(Tabla1[[#This Row],[PROGRAMA]],Hoja1!A:B,2,FALSE)</f>
        <v>3341. Coordinación de políticas culturales</v>
      </c>
      <c r="W523" s="35" t="str">
        <f>MID(Tabla1[[#This Row],[Aplicación]],14,2)</f>
        <v>22</v>
      </c>
      <c r="X523" s="35" t="str">
        <f>MID(Tabla1[[#This Row],[Aplicación]],14,6)</f>
        <v>22701</v>
      </c>
    </row>
    <row r="524" spans="1:24" x14ac:dyDescent="0.25">
      <c r="A524" s="45">
        <v>220210004226</v>
      </c>
      <c r="B524" s="46" t="s">
        <v>9</v>
      </c>
      <c r="C524" s="47">
        <v>44245</v>
      </c>
      <c r="D524" s="45">
        <v>22021002817</v>
      </c>
      <c r="E524" s="46" t="s">
        <v>1503</v>
      </c>
      <c r="F524" s="48">
        <v>112.23</v>
      </c>
      <c r="G524" s="46" t="s">
        <v>50</v>
      </c>
      <c r="H524" s="46" t="s">
        <v>1504</v>
      </c>
      <c r="I524" s="45" t="s">
        <v>125</v>
      </c>
      <c r="J524" s="46" t="s">
        <v>127</v>
      </c>
      <c r="K524" s="46" t="s">
        <v>127</v>
      </c>
      <c r="L524" s="46" t="s">
        <v>12</v>
      </c>
      <c r="M524" s="46" t="s">
        <v>10</v>
      </c>
      <c r="N524" s="46" t="s">
        <v>11</v>
      </c>
      <c r="O524" s="49" t="s">
        <v>815</v>
      </c>
      <c r="P524" s="46" t="s">
        <v>507</v>
      </c>
      <c r="Q524" s="35" t="str">
        <f>MID(Tabla1[[#This Row],[Aplicación]],14,1)</f>
        <v>2</v>
      </c>
      <c r="R524" s="35" t="s">
        <v>495</v>
      </c>
      <c r="S524" s="35" t="str">
        <f>MID(Tabla1[[#This Row],[Aplicación]],6,2)</f>
        <v>05</v>
      </c>
      <c r="T524" s="35" t="str">
        <f>VLOOKUP(Tabla1[[#This Row],[AREA]],Hoja1!A:B,2,FALSE)</f>
        <v>05. Innovación, desarrollo económico, empleo y comercio</v>
      </c>
      <c r="U524" s="35" t="str">
        <f>MID(Tabla1[[#This Row],[Aplicación]],9,4)</f>
        <v>4331</v>
      </c>
      <c r="V524" s="35" t="str">
        <f>VLOOKUP(Tabla1[[#This Row],[PROGRAMA]],Hoja1!A:B,2,FALSE)</f>
        <v>4331. Desarrollo empresarial</v>
      </c>
      <c r="W524" s="35" t="str">
        <f>MID(Tabla1[[#This Row],[Aplicación]],14,2)</f>
        <v>21</v>
      </c>
      <c r="X524" s="35" t="str">
        <f>MID(Tabla1[[#This Row],[Aplicación]],14,6)</f>
        <v>213</v>
      </c>
    </row>
    <row r="525" spans="1:24" x14ac:dyDescent="0.25">
      <c r="A525" s="45">
        <v>220210004241</v>
      </c>
      <c r="B525" s="46" t="s">
        <v>9</v>
      </c>
      <c r="C525" s="47">
        <v>44245</v>
      </c>
      <c r="D525" s="45">
        <v>22021002743</v>
      </c>
      <c r="E525" s="46" t="s">
        <v>1505</v>
      </c>
      <c r="F525" s="48">
        <v>1000</v>
      </c>
      <c r="G525" s="46" t="s">
        <v>50</v>
      </c>
      <c r="H525" s="46" t="s">
        <v>1506</v>
      </c>
      <c r="I525" s="45" t="s">
        <v>125</v>
      </c>
      <c r="J525" s="46" t="s">
        <v>127</v>
      </c>
      <c r="K525" s="46" t="s">
        <v>127</v>
      </c>
      <c r="L525" s="46" t="s">
        <v>12</v>
      </c>
      <c r="M525" s="46" t="s">
        <v>10</v>
      </c>
      <c r="N525" s="46" t="s">
        <v>11</v>
      </c>
      <c r="O525" s="49" t="s">
        <v>815</v>
      </c>
      <c r="P525" s="46" t="s">
        <v>507</v>
      </c>
      <c r="Q525" s="35" t="str">
        <f>MID(Tabla1[[#This Row],[Aplicación]],14,1)</f>
        <v>2</v>
      </c>
      <c r="R525" s="35" t="s">
        <v>495</v>
      </c>
      <c r="S525" s="35" t="str">
        <f>MID(Tabla1[[#This Row],[Aplicación]],6,2)</f>
        <v>06</v>
      </c>
      <c r="T525" s="35" t="str">
        <f>VLOOKUP(Tabla1[[#This Row],[AREA]],Hoja1!A:B,2,FALSE)</f>
        <v>06. Educación, infancia, juventud e igualdad</v>
      </c>
      <c r="U525" s="35" t="str">
        <f>MID(Tabla1[[#This Row],[Aplicación]],9,4)</f>
        <v>3231</v>
      </c>
      <c r="V525" s="35" t="str">
        <f>VLOOKUP(Tabla1[[#This Row],[PROGRAMA]],Hoja1!A:B,2,FALSE)</f>
        <v>3231. Escuelas infantiles</v>
      </c>
      <c r="W525" s="35" t="str">
        <f>MID(Tabla1[[#This Row],[Aplicación]],14,2)</f>
        <v>21</v>
      </c>
      <c r="X525" s="35" t="str">
        <f>MID(Tabla1[[#This Row],[Aplicación]],14,6)</f>
        <v>213</v>
      </c>
    </row>
    <row r="526" spans="1:24" x14ac:dyDescent="0.25">
      <c r="A526" s="45">
        <v>220210001356</v>
      </c>
      <c r="B526" s="46" t="s">
        <v>9</v>
      </c>
      <c r="C526" s="47">
        <v>44228</v>
      </c>
      <c r="D526" s="45">
        <v>22021001245</v>
      </c>
      <c r="E526" s="46" t="s">
        <v>1382</v>
      </c>
      <c r="F526" s="48">
        <v>4500</v>
      </c>
      <c r="G526" s="46" t="s">
        <v>521</v>
      </c>
      <c r="H526" s="46" t="s">
        <v>1507</v>
      </c>
      <c r="I526" s="45" t="s">
        <v>125</v>
      </c>
      <c r="J526" s="46" t="s">
        <v>127</v>
      </c>
      <c r="K526" s="46" t="s">
        <v>127</v>
      </c>
      <c r="L526" s="46" t="s">
        <v>15</v>
      </c>
      <c r="M526" s="46" t="s">
        <v>10</v>
      </c>
      <c r="N526" s="46" t="s">
        <v>11</v>
      </c>
      <c r="O526" s="49" t="s">
        <v>815</v>
      </c>
      <c r="P526" s="46" t="s">
        <v>507</v>
      </c>
      <c r="Q526" s="35" t="str">
        <f>MID(Tabla1[[#This Row],[Aplicación]],14,1)</f>
        <v>2</v>
      </c>
      <c r="R526" s="35" t="s">
        <v>495</v>
      </c>
      <c r="S526" s="35" t="str">
        <f>MID(Tabla1[[#This Row],[Aplicación]],6,2)</f>
        <v>11</v>
      </c>
      <c r="T526" s="35" t="str">
        <f>VLOOKUP(Tabla1[[#This Row],[AREA]],Hoja1!A:B,2,FALSE)</f>
        <v>11. Salud pública y seguridad ciudadana</v>
      </c>
      <c r="U526" s="35" t="str">
        <f>MID(Tabla1[[#This Row],[Aplicación]],9,4)</f>
        <v>1631</v>
      </c>
      <c r="V526" s="35" t="str">
        <f>VLOOKUP(Tabla1[[#This Row],[PROGRAMA]],Hoja1!A:B,2,FALSE)</f>
        <v>1631. Limpieza viaria</v>
      </c>
      <c r="W526" s="35" t="str">
        <f>MID(Tabla1[[#This Row],[Aplicación]],14,2)</f>
        <v>21</v>
      </c>
      <c r="X526" s="35" t="str">
        <f>MID(Tabla1[[#This Row],[Aplicación]],14,6)</f>
        <v>214</v>
      </c>
    </row>
    <row r="527" spans="1:24" x14ac:dyDescent="0.25">
      <c r="A527" s="45">
        <v>220199000397</v>
      </c>
      <c r="B527" s="46" t="s">
        <v>9</v>
      </c>
      <c r="C527" s="47">
        <v>44198</v>
      </c>
      <c r="D527" s="45">
        <v>22021000152</v>
      </c>
      <c r="E527" s="46" t="s">
        <v>1499</v>
      </c>
      <c r="F527" s="48">
        <v>9579.16</v>
      </c>
      <c r="G527" s="46" t="s">
        <v>147</v>
      </c>
      <c r="H527" s="46" t="s">
        <v>689</v>
      </c>
      <c r="I527" s="45" t="s">
        <v>125</v>
      </c>
      <c r="J527" s="46" t="s">
        <v>148</v>
      </c>
      <c r="K527" s="46" t="s">
        <v>201</v>
      </c>
      <c r="L527" s="46" t="s">
        <v>12</v>
      </c>
      <c r="M527" s="46" t="s">
        <v>13</v>
      </c>
      <c r="N527" s="46" t="s">
        <v>14</v>
      </c>
      <c r="O527" s="49" t="s">
        <v>803</v>
      </c>
      <c r="P527" s="46" t="s">
        <v>507</v>
      </c>
      <c r="Q527" s="35" t="str">
        <f>MID(Tabla1[[#This Row],[Aplicación]],14,1)</f>
        <v>2</v>
      </c>
      <c r="R527" s="35" t="s">
        <v>495</v>
      </c>
      <c r="S527" s="35" t="str">
        <f>MID(Tabla1[[#This Row],[Aplicación]],6,2)</f>
        <v>09</v>
      </c>
      <c r="T527" s="35" t="str">
        <f>VLOOKUP(Tabla1[[#This Row],[AREA]],Hoja1!A:B,2,FALSE)</f>
        <v>09. Cultura y turismo</v>
      </c>
      <c r="U527" s="35" t="str">
        <f>MID(Tabla1[[#This Row],[Aplicación]],9,4)</f>
        <v>4321</v>
      </c>
      <c r="V527" s="35" t="str">
        <f>VLOOKUP(Tabla1[[#This Row],[PROGRAMA]],Hoja1!A:B,2,FALSE)</f>
        <v>4321. Turismo</v>
      </c>
      <c r="W527" s="35" t="str">
        <f>MID(Tabla1[[#This Row],[Aplicación]],14,2)</f>
        <v>22</v>
      </c>
      <c r="X527" s="35" t="str">
        <f>MID(Tabla1[[#This Row],[Aplicación]],14,6)</f>
        <v>22799</v>
      </c>
    </row>
    <row r="528" spans="1:24" x14ac:dyDescent="0.25">
      <c r="A528" s="45">
        <v>220209000011</v>
      </c>
      <c r="B528" s="46" t="s">
        <v>9</v>
      </c>
      <c r="C528" s="47">
        <v>44198</v>
      </c>
      <c r="D528" s="45">
        <v>22021000183</v>
      </c>
      <c r="E528" s="46" t="s">
        <v>1508</v>
      </c>
      <c r="F528" s="48">
        <v>30000</v>
      </c>
      <c r="G528" s="46" t="s">
        <v>199</v>
      </c>
      <c r="H528" s="46" t="s">
        <v>1509</v>
      </c>
      <c r="I528" s="45" t="s">
        <v>125</v>
      </c>
      <c r="J528" s="46" t="s">
        <v>661</v>
      </c>
      <c r="K528" s="46" t="s">
        <v>127</v>
      </c>
      <c r="L528" s="46" t="s">
        <v>12</v>
      </c>
      <c r="M528" s="46" t="s">
        <v>13</v>
      </c>
      <c r="N528" s="46" t="s">
        <v>14</v>
      </c>
      <c r="O528" s="49" t="s">
        <v>803</v>
      </c>
      <c r="P528" s="46" t="s">
        <v>507</v>
      </c>
      <c r="Q528" s="35" t="str">
        <f>MID(Tabla1[[#This Row],[Aplicación]],14,1)</f>
        <v>2</v>
      </c>
      <c r="R528" s="35" t="s">
        <v>495</v>
      </c>
      <c r="S528" s="35" t="str">
        <f>MID(Tabla1[[#This Row],[Aplicación]],6,2)</f>
        <v>10</v>
      </c>
      <c r="T528" s="35" t="str">
        <f>VLOOKUP(Tabla1[[#This Row],[AREA]],Hoja1!A:B,2,FALSE)</f>
        <v>10. Servicios sociales y mediación comunitaria</v>
      </c>
      <c r="U528" s="35" t="str">
        <f>MID(Tabla1[[#This Row],[Aplicación]],9,4)</f>
        <v>2313</v>
      </c>
      <c r="V528" s="35" t="str">
        <f>VLOOKUP(Tabla1[[#This Row],[PROGRAMA]],Hoja1!A:B,2,FALSE)</f>
        <v>2313. Dirección del área de servicios sociales</v>
      </c>
      <c r="W528" s="35" t="str">
        <f>MID(Tabla1[[#This Row],[Aplicación]],14,2)</f>
        <v>22</v>
      </c>
      <c r="X528" s="35" t="str">
        <f>MID(Tabla1[[#This Row],[Aplicación]],14,6)</f>
        <v>22799</v>
      </c>
    </row>
    <row r="529" spans="1:24" x14ac:dyDescent="0.25">
      <c r="A529" s="45">
        <v>220209000038</v>
      </c>
      <c r="B529" s="46" t="s">
        <v>9</v>
      </c>
      <c r="C529" s="47">
        <v>44198</v>
      </c>
      <c r="D529" s="45">
        <v>22021000187</v>
      </c>
      <c r="E529" s="46" t="s">
        <v>1279</v>
      </c>
      <c r="F529" s="48">
        <v>60500</v>
      </c>
      <c r="G529" s="46" t="s">
        <v>644</v>
      </c>
      <c r="H529" s="46" t="s">
        <v>1510</v>
      </c>
      <c r="I529" s="45" t="s">
        <v>125</v>
      </c>
      <c r="J529" s="46" t="s">
        <v>203</v>
      </c>
      <c r="K529" s="46" t="s">
        <v>203</v>
      </c>
      <c r="L529" s="46" t="s">
        <v>12</v>
      </c>
      <c r="M529" s="46" t="s">
        <v>13</v>
      </c>
      <c r="N529" s="46" t="s">
        <v>14</v>
      </c>
      <c r="O529" s="49" t="s">
        <v>803</v>
      </c>
      <c r="P529" s="46" t="s">
        <v>507</v>
      </c>
      <c r="Q529" s="35" t="str">
        <f>MID(Tabla1[[#This Row],[Aplicación]],14,1)</f>
        <v>2</v>
      </c>
      <c r="R529" s="35" t="s">
        <v>495</v>
      </c>
      <c r="S529" s="35" t="str">
        <f>MID(Tabla1[[#This Row],[Aplicación]],6,2)</f>
        <v>04</v>
      </c>
      <c r="T529" s="35" t="str">
        <f>VLOOKUP(Tabla1[[#This Row],[AREA]],Hoja1!A:B,2,FALSE)</f>
        <v>04. Planificación y recursos</v>
      </c>
      <c r="U529" s="35" t="str">
        <f>MID(Tabla1[[#This Row],[Aplicación]],9,4)</f>
        <v>9231</v>
      </c>
      <c r="V529" s="35" t="str">
        <f>VLOOKUP(Tabla1[[#This Row],[PROGRAMA]],Hoja1!A:B,2,FALSE)</f>
        <v>9231. Información, registro y gestión del padrón</v>
      </c>
      <c r="W529" s="35" t="str">
        <f>MID(Tabla1[[#This Row],[Aplicación]],14,2)</f>
        <v>22</v>
      </c>
      <c r="X529" s="35" t="str">
        <f>MID(Tabla1[[#This Row],[Aplicación]],14,6)</f>
        <v>22799</v>
      </c>
    </row>
    <row r="530" spans="1:24" x14ac:dyDescent="0.25">
      <c r="A530" s="45">
        <v>220209000285</v>
      </c>
      <c r="B530" s="46" t="s">
        <v>9</v>
      </c>
      <c r="C530" s="47">
        <v>44198</v>
      </c>
      <c r="D530" s="45">
        <v>22021000260</v>
      </c>
      <c r="E530" s="46" t="s">
        <v>1511</v>
      </c>
      <c r="F530" s="48">
        <v>49351.5</v>
      </c>
      <c r="G530" s="46" t="s">
        <v>190</v>
      </c>
      <c r="H530" s="46" t="s">
        <v>1512</v>
      </c>
      <c r="I530" s="45" t="s">
        <v>125</v>
      </c>
      <c r="J530" s="46" t="s">
        <v>157</v>
      </c>
      <c r="K530" s="46" t="s">
        <v>157</v>
      </c>
      <c r="L530" s="46" t="s">
        <v>12</v>
      </c>
      <c r="M530" s="46" t="s">
        <v>13</v>
      </c>
      <c r="N530" s="46" t="s">
        <v>14</v>
      </c>
      <c r="O530" s="49" t="s">
        <v>803</v>
      </c>
      <c r="P530" s="46" t="s">
        <v>507</v>
      </c>
      <c r="Q530" s="35" t="str">
        <f>MID(Tabla1[[#This Row],[Aplicación]],14,1)</f>
        <v>2</v>
      </c>
      <c r="R530" s="35" t="s">
        <v>495</v>
      </c>
      <c r="S530" s="35" t="str">
        <f>MID(Tabla1[[#This Row],[Aplicación]],6,2)</f>
        <v>11</v>
      </c>
      <c r="T530" s="35" t="str">
        <f>VLOOKUP(Tabla1[[#This Row],[AREA]],Hoja1!A:B,2,FALSE)</f>
        <v>11. Salud pública y seguridad ciudadana</v>
      </c>
      <c r="U530" s="35" t="str">
        <f>MID(Tabla1[[#This Row],[Aplicación]],9,4)</f>
        <v>1631</v>
      </c>
      <c r="V530" s="35" t="str">
        <f>VLOOKUP(Tabla1[[#This Row],[PROGRAMA]],Hoja1!A:B,2,FALSE)</f>
        <v>1631. Limpieza viaria</v>
      </c>
      <c r="W530" s="35" t="str">
        <f>MID(Tabla1[[#This Row],[Aplicación]],14,2)</f>
        <v>22</v>
      </c>
      <c r="X530" s="35" t="str">
        <f>MID(Tabla1[[#This Row],[Aplicación]],14,6)</f>
        <v>22700</v>
      </c>
    </row>
    <row r="531" spans="1:24" x14ac:dyDescent="0.25">
      <c r="A531" s="45">
        <v>220209000331</v>
      </c>
      <c r="B531" s="46" t="s">
        <v>9</v>
      </c>
      <c r="C531" s="47">
        <v>44198</v>
      </c>
      <c r="D531" s="45">
        <v>22021002447</v>
      </c>
      <c r="E531" s="46" t="s">
        <v>1513</v>
      </c>
      <c r="F531" s="48">
        <v>1205456.4099999999</v>
      </c>
      <c r="G531" s="46" t="s">
        <v>1514</v>
      </c>
      <c r="H531" s="46" t="s">
        <v>1515</v>
      </c>
      <c r="I531" s="45" t="s">
        <v>125</v>
      </c>
      <c r="J531" s="46" t="s">
        <v>519</v>
      </c>
      <c r="K531" s="46" t="s">
        <v>519</v>
      </c>
      <c r="L531" s="46" t="s">
        <v>31</v>
      </c>
      <c r="M531" s="46" t="s">
        <v>13</v>
      </c>
      <c r="N531" s="46" t="s">
        <v>14</v>
      </c>
      <c r="O531" s="49" t="s">
        <v>803</v>
      </c>
      <c r="P531" s="46" t="s">
        <v>507</v>
      </c>
      <c r="Q531" s="35" t="str">
        <f>MID(Tabla1[[#This Row],[Aplicación]],14,1)</f>
        <v>6</v>
      </c>
      <c r="R531" s="35" t="s">
        <v>496</v>
      </c>
      <c r="S531" s="35" t="str">
        <f>MID(Tabla1[[#This Row],[Aplicación]],6,2)</f>
        <v>06</v>
      </c>
      <c r="T531" s="35" t="str">
        <f>VLOOKUP(Tabla1[[#This Row],[AREA]],Hoja1!A:B,2,FALSE)</f>
        <v>06. Educación, infancia, juventud e igualdad</v>
      </c>
      <c r="U531" s="35" t="str">
        <f>MID(Tabla1[[#This Row],[Aplicación]],9,4)</f>
        <v>3321</v>
      </c>
      <c r="V531" s="35" t="str">
        <f>VLOOKUP(Tabla1[[#This Row],[PROGRAMA]],Hoja1!A:B,2,FALSE)</f>
        <v>3321. Bibliotecas públicas</v>
      </c>
      <c r="W531" s="35" t="str">
        <f>MID(Tabla1[[#This Row],[Aplicación]],14,2)</f>
        <v>62</v>
      </c>
      <c r="X531" s="35" t="str">
        <f>MID(Tabla1[[#This Row],[Aplicación]],14,6)</f>
        <v>622</v>
      </c>
    </row>
    <row r="532" spans="1:24" x14ac:dyDescent="0.25">
      <c r="A532" s="45">
        <v>220209000356</v>
      </c>
      <c r="B532" s="46" t="s">
        <v>9</v>
      </c>
      <c r="C532" s="47">
        <v>44198</v>
      </c>
      <c r="D532" s="45">
        <v>22021002448</v>
      </c>
      <c r="E532" s="46" t="s">
        <v>1371</v>
      </c>
      <c r="F532" s="48">
        <v>1578052.03</v>
      </c>
      <c r="G532" s="46" t="s">
        <v>1514</v>
      </c>
      <c r="H532" s="46" t="s">
        <v>1516</v>
      </c>
      <c r="I532" s="45" t="s">
        <v>125</v>
      </c>
      <c r="J532" s="46" t="s">
        <v>519</v>
      </c>
      <c r="K532" s="46" t="s">
        <v>519</v>
      </c>
      <c r="L532" s="46" t="s">
        <v>31</v>
      </c>
      <c r="M532" s="46" t="s">
        <v>13</v>
      </c>
      <c r="N532" s="46" t="s">
        <v>14</v>
      </c>
      <c r="O532" s="49" t="s">
        <v>803</v>
      </c>
      <c r="P532" s="46" t="s">
        <v>507</v>
      </c>
      <c r="Q532" s="35" t="str">
        <f>MID(Tabla1[[#This Row],[Aplicación]],14,1)</f>
        <v>6</v>
      </c>
      <c r="R532" s="35" t="s">
        <v>496</v>
      </c>
      <c r="S532" s="35" t="str">
        <f>MID(Tabla1[[#This Row],[Aplicación]],6,2)</f>
        <v>10</v>
      </c>
      <c r="T532" s="35" t="str">
        <f>VLOOKUP(Tabla1[[#This Row],[AREA]],Hoja1!A:B,2,FALSE)</f>
        <v>10. Servicios sociales y mediación comunitaria</v>
      </c>
      <c r="U532" s="35" t="str">
        <f>MID(Tabla1[[#This Row],[Aplicación]],9,4)</f>
        <v>2312</v>
      </c>
      <c r="V532" s="35" t="str">
        <f>VLOOKUP(Tabla1[[#This Row],[PROGRAMA]],Hoja1!A:B,2,FALSE)</f>
        <v>2312. Iniciativas sociales</v>
      </c>
      <c r="W532" s="35" t="str">
        <f>MID(Tabla1[[#This Row],[Aplicación]],14,2)</f>
        <v>62</v>
      </c>
      <c r="X532" s="35" t="str">
        <f>MID(Tabla1[[#This Row],[Aplicación]],14,6)</f>
        <v>622</v>
      </c>
    </row>
    <row r="533" spans="1:24" x14ac:dyDescent="0.25">
      <c r="A533" s="45">
        <v>220209000360</v>
      </c>
      <c r="B533" s="46" t="s">
        <v>9</v>
      </c>
      <c r="C533" s="47">
        <v>44198</v>
      </c>
      <c r="D533" s="45">
        <v>22021000734</v>
      </c>
      <c r="E533" s="46" t="s">
        <v>1513</v>
      </c>
      <c r="F533" s="48">
        <v>375092.98</v>
      </c>
      <c r="G533" s="46" t="s">
        <v>1514</v>
      </c>
      <c r="H533" s="46" t="s">
        <v>1517</v>
      </c>
      <c r="I533" s="45" t="s">
        <v>125</v>
      </c>
      <c r="J533" s="46" t="s">
        <v>519</v>
      </c>
      <c r="K533" s="46" t="s">
        <v>519</v>
      </c>
      <c r="L533" s="46" t="s">
        <v>31</v>
      </c>
      <c r="M533" s="46" t="s">
        <v>13</v>
      </c>
      <c r="N533" s="46" t="s">
        <v>14</v>
      </c>
      <c r="O533" s="49" t="s">
        <v>803</v>
      </c>
      <c r="P533" s="46" t="s">
        <v>507</v>
      </c>
      <c r="Q533" s="35" t="str">
        <f>MID(Tabla1[[#This Row],[Aplicación]],14,1)</f>
        <v>6</v>
      </c>
      <c r="R533" s="35" t="s">
        <v>496</v>
      </c>
      <c r="S533" s="35" t="str">
        <f>MID(Tabla1[[#This Row],[Aplicación]],6,2)</f>
        <v>06</v>
      </c>
      <c r="T533" s="35" t="str">
        <f>VLOOKUP(Tabla1[[#This Row],[AREA]],Hoja1!A:B,2,FALSE)</f>
        <v>06. Educación, infancia, juventud e igualdad</v>
      </c>
      <c r="U533" s="35" t="str">
        <f>MID(Tabla1[[#This Row],[Aplicación]],9,4)</f>
        <v>3321</v>
      </c>
      <c r="V533" s="35" t="str">
        <f>VLOOKUP(Tabla1[[#This Row],[PROGRAMA]],Hoja1!A:B,2,FALSE)</f>
        <v>3321. Bibliotecas públicas</v>
      </c>
      <c r="W533" s="35" t="str">
        <f>MID(Tabla1[[#This Row],[Aplicación]],14,2)</f>
        <v>62</v>
      </c>
      <c r="X533" s="35" t="str">
        <f>MID(Tabla1[[#This Row],[Aplicación]],14,6)</f>
        <v>622</v>
      </c>
    </row>
    <row r="534" spans="1:24" x14ac:dyDescent="0.25">
      <c r="A534" s="45">
        <v>220209000608</v>
      </c>
      <c r="B534" s="46" t="s">
        <v>9</v>
      </c>
      <c r="C534" s="47">
        <v>44198</v>
      </c>
      <c r="D534" s="45">
        <v>22021000626</v>
      </c>
      <c r="E534" s="46" t="s">
        <v>1518</v>
      </c>
      <c r="F534" s="48">
        <v>2904</v>
      </c>
      <c r="G534" s="46" t="s">
        <v>1519</v>
      </c>
      <c r="H534" s="46" t="s">
        <v>1520</v>
      </c>
      <c r="I534" s="45" t="s">
        <v>125</v>
      </c>
      <c r="J534" s="46" t="s">
        <v>127</v>
      </c>
      <c r="K534" s="50" t="s">
        <v>127</v>
      </c>
      <c r="L534" s="46" t="s">
        <v>12</v>
      </c>
      <c r="M534" s="46" t="s">
        <v>10</v>
      </c>
      <c r="N534" s="46" t="s">
        <v>11</v>
      </c>
      <c r="O534" s="49" t="s">
        <v>815</v>
      </c>
      <c r="P534" s="46" t="s">
        <v>507</v>
      </c>
      <c r="Q534" s="35" t="str">
        <f>MID(Tabla1[[#This Row],[Aplicación]],14,1)</f>
        <v>2</v>
      </c>
      <c r="R534" s="35" t="s">
        <v>495</v>
      </c>
      <c r="S534" s="35" t="str">
        <f>MID(Tabla1[[#This Row],[Aplicación]],6,2)</f>
        <v>04</v>
      </c>
      <c r="T534" s="35" t="str">
        <f>VLOOKUP(Tabla1[[#This Row],[AREA]],Hoja1!A:B,2,FALSE)</f>
        <v>04. Planificación y recursos</v>
      </c>
      <c r="U534" s="35" t="str">
        <f>MID(Tabla1[[#This Row],[Aplicación]],9,4)</f>
        <v>9331</v>
      </c>
      <c r="V534" s="35" t="str">
        <f>VLOOKUP(Tabla1[[#This Row],[PROGRAMA]],Hoja1!A:B,2,FALSE)</f>
        <v>9331. Gestión del patrimonio</v>
      </c>
      <c r="W534" s="35" t="str">
        <f>MID(Tabla1[[#This Row],[Aplicación]],14,2)</f>
        <v>22</v>
      </c>
      <c r="X534" s="35" t="str">
        <f>MID(Tabla1[[#This Row],[Aplicación]],14,6)</f>
        <v>22706</v>
      </c>
    </row>
    <row r="535" spans="1:24" x14ac:dyDescent="0.25">
      <c r="A535" s="45">
        <v>220199000761</v>
      </c>
      <c r="B535" s="46" t="s">
        <v>9</v>
      </c>
      <c r="C535" s="47">
        <v>44198</v>
      </c>
      <c r="D535" s="45">
        <v>22021000174</v>
      </c>
      <c r="E535" s="46" t="s">
        <v>1521</v>
      </c>
      <c r="F535" s="48">
        <v>794.96</v>
      </c>
      <c r="G535" s="46" t="s">
        <v>154</v>
      </c>
      <c r="H535" s="46" t="s">
        <v>639</v>
      </c>
      <c r="I535" s="45" t="s">
        <v>125</v>
      </c>
      <c r="J535" s="46" t="s">
        <v>640</v>
      </c>
      <c r="K535" s="46" t="s">
        <v>201</v>
      </c>
      <c r="L535" s="46" t="s">
        <v>15</v>
      </c>
      <c r="M535" s="46" t="s">
        <v>13</v>
      </c>
      <c r="N535" s="46" t="s">
        <v>14</v>
      </c>
      <c r="O535" s="49" t="s">
        <v>803</v>
      </c>
      <c r="P535" s="46" t="s">
        <v>507</v>
      </c>
      <c r="Q535" s="35" t="str">
        <f>MID(Tabla1[[#This Row],[Aplicación]],14,1)</f>
        <v>2</v>
      </c>
      <c r="R535" s="35" t="s">
        <v>495</v>
      </c>
      <c r="S535" s="35" t="str">
        <f>MID(Tabla1[[#This Row],[Aplicación]],6,2)</f>
        <v>08</v>
      </c>
      <c r="T535" s="35" t="str">
        <f>VLOOKUP(Tabla1[[#This Row],[AREA]],Hoja1!A:B,2,FALSE)</f>
        <v>08. Movilidad y espacio urbano</v>
      </c>
      <c r="U535" s="35" t="str">
        <f>MID(Tabla1[[#This Row],[Aplicación]],9,4)</f>
        <v>1532</v>
      </c>
      <c r="V535" s="35" t="str">
        <f>VLOOKUP(Tabla1[[#This Row],[PROGRAMA]],Hoja1!A:B,2,FALSE)</f>
        <v>1532. Pavimentación vias públicas y otros servicios urbanísticos</v>
      </c>
      <c r="W535" s="35" t="str">
        <f>MID(Tabla1[[#This Row],[Aplicación]],14,2)</f>
        <v>20</v>
      </c>
      <c r="X535" s="35" t="str">
        <f>MID(Tabla1[[#This Row],[Aplicación]],14,6)</f>
        <v>204</v>
      </c>
    </row>
    <row r="536" spans="1:24" x14ac:dyDescent="0.25">
      <c r="A536" s="45">
        <v>220210002855</v>
      </c>
      <c r="B536" s="46" t="s">
        <v>9</v>
      </c>
      <c r="C536" s="47">
        <v>44238</v>
      </c>
      <c r="D536" s="45">
        <v>22021002168</v>
      </c>
      <c r="E536" s="46" t="s">
        <v>1521</v>
      </c>
      <c r="F536" s="48">
        <v>6947.82</v>
      </c>
      <c r="G536" s="46" t="s">
        <v>154</v>
      </c>
      <c r="H536" s="46" t="s">
        <v>1522</v>
      </c>
      <c r="I536" s="45" t="s">
        <v>125</v>
      </c>
      <c r="J536" s="46" t="s">
        <v>640</v>
      </c>
      <c r="K536" s="46" t="s">
        <v>201</v>
      </c>
      <c r="L536" s="46" t="s">
        <v>15</v>
      </c>
      <c r="M536" s="46" t="s">
        <v>10</v>
      </c>
      <c r="N536" s="46" t="s">
        <v>11</v>
      </c>
      <c r="O536" s="49" t="s">
        <v>815</v>
      </c>
      <c r="P536" s="46" t="s">
        <v>507</v>
      </c>
      <c r="Q536" s="35" t="str">
        <f>MID(Tabla1[[#This Row],[Aplicación]],14,1)</f>
        <v>2</v>
      </c>
      <c r="R536" s="35" t="s">
        <v>495</v>
      </c>
      <c r="S536" s="35" t="str">
        <f>MID(Tabla1[[#This Row],[Aplicación]],6,2)</f>
        <v>08</v>
      </c>
      <c r="T536" s="35" t="str">
        <f>VLOOKUP(Tabla1[[#This Row],[AREA]],Hoja1!A:B,2,FALSE)</f>
        <v>08. Movilidad y espacio urbano</v>
      </c>
      <c r="U536" s="35" t="str">
        <f>MID(Tabla1[[#This Row],[Aplicación]],9,4)</f>
        <v>1532</v>
      </c>
      <c r="V536" s="35" t="str">
        <f>VLOOKUP(Tabla1[[#This Row],[PROGRAMA]],Hoja1!A:B,2,FALSE)</f>
        <v>1532. Pavimentación vias públicas y otros servicios urbanísticos</v>
      </c>
      <c r="W536" s="35" t="str">
        <f>MID(Tabla1[[#This Row],[Aplicación]],14,2)</f>
        <v>20</v>
      </c>
      <c r="X536" s="35" t="str">
        <f>MID(Tabla1[[#This Row],[Aplicación]],14,6)</f>
        <v>204</v>
      </c>
    </row>
    <row r="537" spans="1:24" x14ac:dyDescent="0.25">
      <c r="A537" s="45">
        <v>220209000810</v>
      </c>
      <c r="B537" s="46" t="s">
        <v>9</v>
      </c>
      <c r="C537" s="47">
        <v>44198</v>
      </c>
      <c r="D537" s="45">
        <v>22021002464</v>
      </c>
      <c r="E537" s="46" t="s">
        <v>1247</v>
      </c>
      <c r="F537" s="48">
        <v>88443.93</v>
      </c>
      <c r="G537" s="46" t="s">
        <v>1523</v>
      </c>
      <c r="H537" s="46" t="s">
        <v>1524</v>
      </c>
      <c r="I537" s="45" t="s">
        <v>125</v>
      </c>
      <c r="J537" s="46" t="s">
        <v>127</v>
      </c>
      <c r="K537" s="46" t="s">
        <v>127</v>
      </c>
      <c r="L537" s="46" t="s">
        <v>12</v>
      </c>
      <c r="M537" s="46" t="s">
        <v>10</v>
      </c>
      <c r="N537" s="46" t="s">
        <v>11</v>
      </c>
      <c r="O537" s="49" t="s">
        <v>3307</v>
      </c>
      <c r="P537" s="46" t="s">
        <v>507</v>
      </c>
      <c r="Q537" s="35" t="str">
        <f>MID(Tabla1[[#This Row],[Aplicación]],14,1)</f>
        <v>2</v>
      </c>
      <c r="R537" s="35" t="s">
        <v>495</v>
      </c>
      <c r="S537" s="35" t="str">
        <f>MID(Tabla1[[#This Row],[Aplicación]],6,2)</f>
        <v>10</v>
      </c>
      <c r="T537" s="35" t="str">
        <f>VLOOKUP(Tabla1[[#This Row],[AREA]],Hoja1!A:B,2,FALSE)</f>
        <v>10. Servicios sociales y mediación comunitaria</v>
      </c>
      <c r="U537" s="35" t="str">
        <f>MID(Tabla1[[#This Row],[Aplicación]],9,4)</f>
        <v>2311</v>
      </c>
      <c r="V537" s="35" t="str">
        <f>VLOOKUP(Tabla1[[#This Row],[PROGRAMA]],Hoja1!A:B,2,FALSE)</f>
        <v>2311. Intervención social</v>
      </c>
      <c r="W537" s="35" t="str">
        <f>MID(Tabla1[[#This Row],[Aplicación]],14,2)</f>
        <v>22</v>
      </c>
      <c r="X537" s="35" t="str">
        <f>MID(Tabla1[[#This Row],[Aplicación]],14,6)</f>
        <v>22799</v>
      </c>
    </row>
    <row r="538" spans="1:24" x14ac:dyDescent="0.25">
      <c r="A538" s="45">
        <v>220210000381</v>
      </c>
      <c r="B538" s="46" t="s">
        <v>32</v>
      </c>
      <c r="C538" s="47">
        <v>44217</v>
      </c>
      <c r="D538" s="45">
        <v>22021001144</v>
      </c>
      <c r="E538" s="46" t="s">
        <v>1525</v>
      </c>
      <c r="F538" s="48">
        <v>6760</v>
      </c>
      <c r="G538" s="46" t="s">
        <v>1526</v>
      </c>
      <c r="H538" s="46" t="s">
        <v>1527</v>
      </c>
      <c r="I538" s="45" t="s">
        <v>234</v>
      </c>
      <c r="J538" s="46" t="s">
        <v>126</v>
      </c>
      <c r="K538" s="46" t="s">
        <v>126</v>
      </c>
      <c r="L538" s="46" t="s">
        <v>12</v>
      </c>
      <c r="M538" s="46" t="s">
        <v>10</v>
      </c>
      <c r="N538" s="46" t="s">
        <v>11</v>
      </c>
      <c r="O538" s="49" t="s">
        <v>815</v>
      </c>
      <c r="P538" s="46" t="s">
        <v>507</v>
      </c>
      <c r="Q538" s="35" t="str">
        <f>MID(Tabla1[[#This Row],[Aplicación]],14,1)</f>
        <v>2</v>
      </c>
      <c r="R538" s="35" t="s">
        <v>495</v>
      </c>
      <c r="S538" s="35" t="str">
        <f>MID(Tabla1[[#This Row],[Aplicación]],6,2)</f>
        <v>04</v>
      </c>
      <c r="T538" s="35" t="str">
        <f>VLOOKUP(Tabla1[[#This Row],[AREA]],Hoja1!A:B,2,FALSE)</f>
        <v>04. Planificación y recursos</v>
      </c>
      <c r="U538" s="35" t="str">
        <f>MID(Tabla1[[#This Row],[Aplicación]],9,4)</f>
        <v>3121</v>
      </c>
      <c r="V538" s="35" t="str">
        <f>VLOOKUP(Tabla1[[#This Row],[PROGRAMA]],Hoja1!A:B,2,FALSE)</f>
        <v>3121. Prevención y salud laboral</v>
      </c>
      <c r="W538" s="35" t="str">
        <f>MID(Tabla1[[#This Row],[Aplicación]],14,2)</f>
        <v>22</v>
      </c>
      <c r="X538" s="35" t="str">
        <f>MID(Tabla1[[#This Row],[Aplicación]],14,6)</f>
        <v>22706</v>
      </c>
    </row>
    <row r="539" spans="1:24" x14ac:dyDescent="0.25">
      <c r="A539" s="45">
        <v>220210003873</v>
      </c>
      <c r="B539" s="46" t="s">
        <v>32</v>
      </c>
      <c r="C539" s="47">
        <v>44243</v>
      </c>
      <c r="D539" s="45">
        <v>22021002351</v>
      </c>
      <c r="E539" s="46" t="s">
        <v>1525</v>
      </c>
      <c r="F539" s="48">
        <v>6000</v>
      </c>
      <c r="G539" s="46" t="s">
        <v>1526</v>
      </c>
      <c r="H539" s="46" t="s">
        <v>1528</v>
      </c>
      <c r="I539" s="45" t="s">
        <v>234</v>
      </c>
      <c r="J539" s="46" t="s">
        <v>126</v>
      </c>
      <c r="K539" s="46" t="s">
        <v>126</v>
      </c>
      <c r="L539" s="46" t="s">
        <v>12</v>
      </c>
      <c r="M539" s="46" t="s">
        <v>10</v>
      </c>
      <c r="N539" s="46" t="s">
        <v>11</v>
      </c>
      <c r="O539" s="49" t="s">
        <v>815</v>
      </c>
      <c r="P539" s="46" t="s">
        <v>507</v>
      </c>
      <c r="Q539" s="35" t="str">
        <f>MID(Tabla1[[#This Row],[Aplicación]],14,1)</f>
        <v>2</v>
      </c>
      <c r="R539" s="35" t="s">
        <v>495</v>
      </c>
      <c r="S539" s="35" t="str">
        <f>MID(Tabla1[[#This Row],[Aplicación]],6,2)</f>
        <v>04</v>
      </c>
      <c r="T539" s="35" t="str">
        <f>VLOOKUP(Tabla1[[#This Row],[AREA]],Hoja1!A:B,2,FALSE)</f>
        <v>04. Planificación y recursos</v>
      </c>
      <c r="U539" s="35" t="str">
        <f>MID(Tabla1[[#This Row],[Aplicación]],9,4)</f>
        <v>3121</v>
      </c>
      <c r="V539" s="35" t="str">
        <f>VLOOKUP(Tabla1[[#This Row],[PROGRAMA]],Hoja1!A:B,2,FALSE)</f>
        <v>3121. Prevención y salud laboral</v>
      </c>
      <c r="W539" s="35" t="str">
        <f>MID(Tabla1[[#This Row],[Aplicación]],14,2)</f>
        <v>22</v>
      </c>
      <c r="X539" s="35" t="str">
        <f>MID(Tabla1[[#This Row],[Aplicación]],14,6)</f>
        <v>22706</v>
      </c>
    </row>
    <row r="540" spans="1:24" x14ac:dyDescent="0.25">
      <c r="A540" s="45">
        <v>220210000494</v>
      </c>
      <c r="B540" s="46" t="s">
        <v>9</v>
      </c>
      <c r="C540" s="47">
        <v>44221</v>
      </c>
      <c r="D540" s="45">
        <v>22021001277</v>
      </c>
      <c r="E540" s="46" t="s">
        <v>840</v>
      </c>
      <c r="F540" s="48">
        <v>300</v>
      </c>
      <c r="G540" s="46" t="s">
        <v>581</v>
      </c>
      <c r="H540" s="46" t="s">
        <v>1529</v>
      </c>
      <c r="I540" s="45" t="s">
        <v>125</v>
      </c>
      <c r="J540" s="46" t="s">
        <v>736</v>
      </c>
      <c r="K540" s="46" t="s">
        <v>127</v>
      </c>
      <c r="L540" s="46" t="s">
        <v>12</v>
      </c>
      <c r="M540" s="46" t="s">
        <v>10</v>
      </c>
      <c r="N540" s="46" t="s">
        <v>11</v>
      </c>
      <c r="O540" s="49" t="s">
        <v>815</v>
      </c>
      <c r="P540" s="46" t="s">
        <v>507</v>
      </c>
      <c r="Q540" s="35" t="str">
        <f>MID(Tabla1[[#This Row],[Aplicación]],14,1)</f>
        <v>2</v>
      </c>
      <c r="R540" s="35" t="s">
        <v>495</v>
      </c>
      <c r="S540" s="35" t="str">
        <f>MID(Tabla1[[#This Row],[Aplicación]],6,2)</f>
        <v>07</v>
      </c>
      <c r="T540" s="35" t="str">
        <f>VLOOKUP(Tabla1[[#This Row],[AREA]],Hoja1!A:B,2,FALSE)</f>
        <v>07. Medio ambiente y desarrollo sostenible</v>
      </c>
      <c r="U540" s="35" t="str">
        <f>MID(Tabla1[[#This Row],[Aplicación]],9,4)</f>
        <v>1711</v>
      </c>
      <c r="V540" s="35" t="str">
        <f>VLOOKUP(Tabla1[[#This Row],[PROGRAMA]],Hoja1!A:B,2,FALSE)</f>
        <v>1711. Parques y jardines</v>
      </c>
      <c r="W540" s="35" t="str">
        <f>MID(Tabla1[[#This Row],[Aplicación]],14,2)</f>
        <v>22</v>
      </c>
      <c r="X540" s="35" t="str">
        <f>MID(Tabla1[[#This Row],[Aplicación]],14,6)</f>
        <v>22799</v>
      </c>
    </row>
    <row r="541" spans="1:24" x14ac:dyDescent="0.25">
      <c r="A541" s="45">
        <v>220209000418</v>
      </c>
      <c r="B541" s="46" t="s">
        <v>9</v>
      </c>
      <c r="C541" s="47">
        <v>44198</v>
      </c>
      <c r="D541" s="45">
        <v>22021000736</v>
      </c>
      <c r="E541" s="46" t="s">
        <v>1371</v>
      </c>
      <c r="F541" s="48">
        <v>491030.82</v>
      </c>
      <c r="G541" s="46" t="s">
        <v>1514</v>
      </c>
      <c r="H541" s="46" t="s">
        <v>1530</v>
      </c>
      <c r="I541" s="45" t="s">
        <v>125</v>
      </c>
      <c r="J541" s="46" t="s">
        <v>519</v>
      </c>
      <c r="K541" s="46" t="s">
        <v>519</v>
      </c>
      <c r="L541" s="46" t="s">
        <v>31</v>
      </c>
      <c r="M541" s="46" t="s">
        <v>13</v>
      </c>
      <c r="N541" s="46" t="s">
        <v>14</v>
      </c>
      <c r="O541" s="49" t="s">
        <v>803</v>
      </c>
      <c r="P541" s="46" t="s">
        <v>507</v>
      </c>
      <c r="Q541" s="35" t="str">
        <f>MID(Tabla1[[#This Row],[Aplicación]],14,1)</f>
        <v>6</v>
      </c>
      <c r="R541" s="35" t="s">
        <v>496</v>
      </c>
      <c r="S541" s="35" t="str">
        <f>MID(Tabla1[[#This Row],[Aplicación]],6,2)</f>
        <v>10</v>
      </c>
      <c r="T541" s="35" t="str">
        <f>VLOOKUP(Tabla1[[#This Row],[AREA]],Hoja1!A:B,2,FALSE)</f>
        <v>10. Servicios sociales y mediación comunitaria</v>
      </c>
      <c r="U541" s="35" t="str">
        <f>MID(Tabla1[[#This Row],[Aplicación]],9,4)</f>
        <v>2312</v>
      </c>
      <c r="V541" s="35" t="str">
        <f>VLOOKUP(Tabla1[[#This Row],[PROGRAMA]],Hoja1!A:B,2,FALSE)</f>
        <v>2312. Iniciativas sociales</v>
      </c>
      <c r="W541" s="35" t="str">
        <f>MID(Tabla1[[#This Row],[Aplicación]],14,2)</f>
        <v>62</v>
      </c>
      <c r="X541" s="35" t="str">
        <f>MID(Tabla1[[#This Row],[Aplicación]],14,6)</f>
        <v>622</v>
      </c>
    </row>
    <row r="542" spans="1:24" x14ac:dyDescent="0.25">
      <c r="A542" s="45">
        <v>220200035262</v>
      </c>
      <c r="B542" s="46" t="s">
        <v>9</v>
      </c>
      <c r="C542" s="47">
        <v>44284</v>
      </c>
      <c r="D542" s="45">
        <v>22019005624</v>
      </c>
      <c r="E542" s="46" t="s">
        <v>1531</v>
      </c>
      <c r="F542" s="48">
        <v>271311.15999999997</v>
      </c>
      <c r="G542" s="46" t="s">
        <v>1514</v>
      </c>
      <c r="H542" s="46" t="s">
        <v>1532</v>
      </c>
      <c r="I542" s="45" t="s">
        <v>125</v>
      </c>
      <c r="J542" s="46" t="s">
        <v>519</v>
      </c>
      <c r="K542" s="46" t="s">
        <v>519</v>
      </c>
      <c r="L542" s="46" t="s">
        <v>31</v>
      </c>
      <c r="M542" s="46" t="s">
        <v>13</v>
      </c>
      <c r="N542" s="46" t="s">
        <v>14</v>
      </c>
      <c r="O542" s="49" t="s">
        <v>803</v>
      </c>
      <c r="P542" s="46" t="s">
        <v>507</v>
      </c>
      <c r="Q542" s="35" t="str">
        <f>MID(Tabla1[[#This Row],[Aplicación]],14,1)</f>
        <v>6</v>
      </c>
      <c r="R542" s="35" t="s">
        <v>496</v>
      </c>
      <c r="S542" s="35" t="str">
        <f>MID(Tabla1[[#This Row],[Aplicación]],6,2)</f>
        <v>11</v>
      </c>
      <c r="T542" s="35" t="str">
        <f>VLOOKUP(Tabla1[[#This Row],[AREA]],Hoja1!A:B,2,FALSE)</f>
        <v>11. Salud pública y seguridad ciudadana</v>
      </c>
      <c r="U542" s="35" t="str">
        <f>MID(Tabla1[[#This Row],[Aplicación]],9,4)</f>
        <v>1621</v>
      </c>
      <c r="V542" s="35" t="str">
        <f>VLOOKUP(Tabla1[[#This Row],[PROGRAMA]],Hoja1!A:B,2,FALSE)</f>
        <v>1621. Servicio de limpieza</v>
      </c>
      <c r="W542" s="35" t="str">
        <f>MID(Tabla1[[#This Row],[Aplicación]],14,2)</f>
        <v>62</v>
      </c>
      <c r="X542" s="35" t="str">
        <f>MID(Tabla1[[#This Row],[Aplicación]],14,6)</f>
        <v>622</v>
      </c>
    </row>
    <row r="543" spans="1:24" x14ac:dyDescent="0.25">
      <c r="A543" s="45">
        <v>220210000839</v>
      </c>
      <c r="B543" s="46" t="s">
        <v>32</v>
      </c>
      <c r="C543" s="47">
        <v>44222</v>
      </c>
      <c r="D543" s="45">
        <v>22021001221</v>
      </c>
      <c r="E543" s="46" t="s">
        <v>1533</v>
      </c>
      <c r="F543" s="48">
        <v>1034.55</v>
      </c>
      <c r="G543" s="46" t="s">
        <v>1534</v>
      </c>
      <c r="H543" s="46" t="s">
        <v>1535</v>
      </c>
      <c r="I543" s="45" t="s">
        <v>234</v>
      </c>
      <c r="J543" s="46" t="s">
        <v>1536</v>
      </c>
      <c r="K543" s="46" t="s">
        <v>162</v>
      </c>
      <c r="L543" s="46" t="s">
        <v>12</v>
      </c>
      <c r="M543" s="46" t="s">
        <v>10</v>
      </c>
      <c r="N543" s="46" t="s">
        <v>11</v>
      </c>
      <c r="O543" s="49" t="s">
        <v>815</v>
      </c>
      <c r="P543" s="46" t="s">
        <v>507</v>
      </c>
      <c r="Q543" s="35" t="str">
        <f>MID(Tabla1[[#This Row],[Aplicación]],14,1)</f>
        <v>2</v>
      </c>
      <c r="R543" s="35" t="s">
        <v>495</v>
      </c>
      <c r="S543" s="35" t="str">
        <f>MID(Tabla1[[#This Row],[Aplicación]],6,2)</f>
        <v>10</v>
      </c>
      <c r="T543" s="35" t="str">
        <f>VLOOKUP(Tabla1[[#This Row],[AREA]],Hoja1!A:B,2,FALSE)</f>
        <v>10. Servicios sociales y mediación comunitaria</v>
      </c>
      <c r="U543" s="35" t="str">
        <f>MID(Tabla1[[#This Row],[Aplicación]],9,4)</f>
        <v>2312</v>
      </c>
      <c r="V543" s="35" t="str">
        <f>VLOOKUP(Tabla1[[#This Row],[PROGRAMA]],Hoja1!A:B,2,FALSE)</f>
        <v>2312. Iniciativas sociales</v>
      </c>
      <c r="W543" s="35" t="str">
        <f>MID(Tabla1[[#This Row],[Aplicación]],14,2)</f>
        <v>22</v>
      </c>
      <c r="X543" s="35" t="str">
        <f>MID(Tabla1[[#This Row],[Aplicación]],14,6)</f>
        <v>22615</v>
      </c>
    </row>
    <row r="544" spans="1:24" x14ac:dyDescent="0.25">
      <c r="A544" s="45">
        <v>220210000547</v>
      </c>
      <c r="B544" s="46" t="s">
        <v>9</v>
      </c>
      <c r="C544" s="47">
        <v>44221</v>
      </c>
      <c r="D544" s="45">
        <v>22021000652</v>
      </c>
      <c r="E544" s="46" t="s">
        <v>1457</v>
      </c>
      <c r="F544" s="48">
        <v>7320.5</v>
      </c>
      <c r="G544" s="46" t="s">
        <v>553</v>
      </c>
      <c r="H544" s="46" t="s">
        <v>1537</v>
      </c>
      <c r="I544" s="45" t="s">
        <v>125</v>
      </c>
      <c r="J544" s="46" t="s">
        <v>127</v>
      </c>
      <c r="K544" s="46" t="s">
        <v>127</v>
      </c>
      <c r="L544" s="46" t="s">
        <v>12</v>
      </c>
      <c r="M544" s="46" t="s">
        <v>10</v>
      </c>
      <c r="N544" s="46" t="s">
        <v>11</v>
      </c>
      <c r="O544" s="49" t="s">
        <v>815</v>
      </c>
      <c r="P544" s="46" t="s">
        <v>507</v>
      </c>
      <c r="Q544" s="35" t="str">
        <f>MID(Tabla1[[#This Row],[Aplicación]],14,1)</f>
        <v>2</v>
      </c>
      <c r="R544" s="35" t="s">
        <v>495</v>
      </c>
      <c r="S544" s="35" t="str">
        <f>MID(Tabla1[[#This Row],[Aplicación]],6,2)</f>
        <v>04</v>
      </c>
      <c r="T544" s="35" t="str">
        <f>VLOOKUP(Tabla1[[#This Row],[AREA]],Hoja1!A:B,2,FALSE)</f>
        <v>04. Planificación y recursos</v>
      </c>
      <c r="U544" s="35" t="str">
        <f>MID(Tabla1[[#This Row],[Aplicación]],9,4)</f>
        <v>9321</v>
      </c>
      <c r="V544" s="35" t="str">
        <f>VLOOKUP(Tabla1[[#This Row],[PROGRAMA]],Hoja1!A:B,2,FALSE)</f>
        <v>9321. Gestión de ingresos e inspección</v>
      </c>
      <c r="W544" s="35" t="str">
        <f>MID(Tabla1[[#This Row],[Aplicación]],14,2)</f>
        <v>22</v>
      </c>
      <c r="X544" s="35" t="str">
        <f>MID(Tabla1[[#This Row],[Aplicación]],14,6)</f>
        <v>22799</v>
      </c>
    </row>
    <row r="545" spans="1:24" x14ac:dyDescent="0.25">
      <c r="A545" s="45">
        <v>220210002380</v>
      </c>
      <c r="B545" s="46" t="s">
        <v>9</v>
      </c>
      <c r="C545" s="47">
        <v>44235</v>
      </c>
      <c r="D545" s="45">
        <v>22021002277</v>
      </c>
      <c r="E545" s="46" t="s">
        <v>1180</v>
      </c>
      <c r="F545" s="48">
        <v>4235</v>
      </c>
      <c r="G545" s="46" t="s">
        <v>91</v>
      </c>
      <c r="H545" s="46" t="s">
        <v>1538</v>
      </c>
      <c r="I545" s="45" t="s">
        <v>125</v>
      </c>
      <c r="J545" s="46" t="s">
        <v>127</v>
      </c>
      <c r="K545" s="46" t="s">
        <v>127</v>
      </c>
      <c r="L545" s="46" t="s">
        <v>15</v>
      </c>
      <c r="M545" s="46" t="s">
        <v>10</v>
      </c>
      <c r="N545" s="46" t="s">
        <v>11</v>
      </c>
      <c r="O545" s="49" t="s">
        <v>815</v>
      </c>
      <c r="P545" s="46" t="s">
        <v>507</v>
      </c>
      <c r="Q545" s="35" t="str">
        <f>MID(Tabla1[[#This Row],[Aplicación]],14,1)</f>
        <v>2</v>
      </c>
      <c r="R545" s="35" t="s">
        <v>495</v>
      </c>
      <c r="S545" s="35" t="str">
        <f>MID(Tabla1[[#This Row],[Aplicación]],6,2)</f>
        <v>08</v>
      </c>
      <c r="T545" s="35" t="str">
        <f>VLOOKUP(Tabla1[[#This Row],[AREA]],Hoja1!A:B,2,FALSE)</f>
        <v>08. Movilidad y espacio urbano</v>
      </c>
      <c r="U545" s="35" t="str">
        <f>MID(Tabla1[[#This Row],[Aplicación]],9,4)</f>
        <v>1532</v>
      </c>
      <c r="V545" s="35" t="str">
        <f>VLOOKUP(Tabla1[[#This Row],[PROGRAMA]],Hoja1!A:B,2,FALSE)</f>
        <v>1532. Pavimentación vias públicas y otros servicios urbanísticos</v>
      </c>
      <c r="W545" s="35" t="str">
        <f>MID(Tabla1[[#This Row],[Aplicación]],14,2)</f>
        <v>21</v>
      </c>
      <c r="X545" s="35" t="str">
        <f>MID(Tabla1[[#This Row],[Aplicación]],14,6)</f>
        <v>210</v>
      </c>
    </row>
    <row r="546" spans="1:24" x14ac:dyDescent="0.25">
      <c r="A546" s="45">
        <v>220210001028</v>
      </c>
      <c r="B546" s="46" t="s">
        <v>9</v>
      </c>
      <c r="C546" s="47">
        <v>44223</v>
      </c>
      <c r="D546" s="45">
        <v>22021001515</v>
      </c>
      <c r="E546" s="46" t="s">
        <v>1372</v>
      </c>
      <c r="F546" s="48">
        <v>5000</v>
      </c>
      <c r="G546" s="46" t="s">
        <v>541</v>
      </c>
      <c r="H546" s="46" t="s">
        <v>1539</v>
      </c>
      <c r="I546" s="45" t="s">
        <v>125</v>
      </c>
      <c r="J546" s="46" t="s">
        <v>157</v>
      </c>
      <c r="K546" s="46" t="s">
        <v>157</v>
      </c>
      <c r="L546" s="46" t="s">
        <v>12</v>
      </c>
      <c r="M546" s="46" t="s">
        <v>10</v>
      </c>
      <c r="N546" s="46" t="s">
        <v>11</v>
      </c>
      <c r="O546" s="49" t="s">
        <v>815</v>
      </c>
      <c r="P546" s="46" t="s">
        <v>507</v>
      </c>
      <c r="Q546" s="35" t="str">
        <f>MID(Tabla1[[#This Row],[Aplicación]],14,1)</f>
        <v>2</v>
      </c>
      <c r="R546" s="35" t="s">
        <v>495</v>
      </c>
      <c r="S546" s="35" t="str">
        <f>MID(Tabla1[[#This Row],[Aplicación]],6,2)</f>
        <v>07</v>
      </c>
      <c r="T546" s="35" t="str">
        <f>VLOOKUP(Tabla1[[#This Row],[AREA]],Hoja1!A:B,2,FALSE)</f>
        <v>07. Medio ambiente y desarrollo sostenible</v>
      </c>
      <c r="U546" s="35" t="str">
        <f>MID(Tabla1[[#This Row],[Aplicación]],9,4)</f>
        <v>1711</v>
      </c>
      <c r="V546" s="35" t="str">
        <f>VLOOKUP(Tabla1[[#This Row],[PROGRAMA]],Hoja1!A:B,2,FALSE)</f>
        <v>1711. Parques y jardines</v>
      </c>
      <c r="W546" s="35" t="str">
        <f>MID(Tabla1[[#This Row],[Aplicación]],14,2)</f>
        <v>21</v>
      </c>
      <c r="X546" s="35" t="str">
        <f>MID(Tabla1[[#This Row],[Aplicación]],14,6)</f>
        <v>213</v>
      </c>
    </row>
    <row r="547" spans="1:24" x14ac:dyDescent="0.25">
      <c r="A547" s="45">
        <v>220200037414</v>
      </c>
      <c r="B547" s="46" t="s">
        <v>9</v>
      </c>
      <c r="C547" s="47">
        <v>44284</v>
      </c>
      <c r="D547" s="45">
        <v>22020003692</v>
      </c>
      <c r="E547" s="46" t="s">
        <v>1513</v>
      </c>
      <c r="F547" s="48">
        <v>166825.69</v>
      </c>
      <c r="G547" s="46" t="s">
        <v>1514</v>
      </c>
      <c r="H547" s="46" t="s">
        <v>1540</v>
      </c>
      <c r="I547" s="45" t="s">
        <v>125</v>
      </c>
      <c r="J547" s="46" t="s">
        <v>519</v>
      </c>
      <c r="K547" s="46" t="s">
        <v>519</v>
      </c>
      <c r="L547" s="46" t="s">
        <v>31</v>
      </c>
      <c r="M547" s="46" t="s">
        <v>13</v>
      </c>
      <c r="N547" s="46" t="s">
        <v>14</v>
      </c>
      <c r="O547" s="49" t="s">
        <v>803</v>
      </c>
      <c r="P547" s="46" t="s">
        <v>507</v>
      </c>
      <c r="Q547" s="35" t="str">
        <f>MID(Tabla1[[#This Row],[Aplicación]],14,1)</f>
        <v>6</v>
      </c>
      <c r="R547" s="35" t="s">
        <v>496</v>
      </c>
      <c r="S547" s="35" t="str">
        <f>MID(Tabla1[[#This Row],[Aplicación]],6,2)</f>
        <v>06</v>
      </c>
      <c r="T547" s="35" t="str">
        <f>VLOOKUP(Tabla1[[#This Row],[AREA]],Hoja1!A:B,2,FALSE)</f>
        <v>06. Educación, infancia, juventud e igualdad</v>
      </c>
      <c r="U547" s="35" t="str">
        <f>MID(Tabla1[[#This Row],[Aplicación]],9,4)</f>
        <v>3321</v>
      </c>
      <c r="V547" s="35" t="str">
        <f>VLOOKUP(Tabla1[[#This Row],[PROGRAMA]],Hoja1!A:B,2,FALSE)</f>
        <v>3321. Bibliotecas públicas</v>
      </c>
      <c r="W547" s="35" t="str">
        <f>MID(Tabla1[[#This Row],[Aplicación]],14,2)</f>
        <v>62</v>
      </c>
      <c r="X547" s="35" t="str">
        <f>MID(Tabla1[[#This Row],[Aplicación]],14,6)</f>
        <v>622</v>
      </c>
    </row>
    <row r="548" spans="1:24" x14ac:dyDescent="0.25">
      <c r="A548" s="45">
        <v>220200040669</v>
      </c>
      <c r="B548" s="46" t="s">
        <v>9</v>
      </c>
      <c r="C548" s="47">
        <v>44284</v>
      </c>
      <c r="D548" s="45">
        <v>22020003682</v>
      </c>
      <c r="E548" s="46" t="s">
        <v>1371</v>
      </c>
      <c r="F548" s="48">
        <v>256685.62</v>
      </c>
      <c r="G548" s="46" t="s">
        <v>1514</v>
      </c>
      <c r="H548" s="46" t="s">
        <v>1541</v>
      </c>
      <c r="I548" s="45" t="s">
        <v>125</v>
      </c>
      <c r="J548" s="46" t="s">
        <v>519</v>
      </c>
      <c r="K548" s="46" t="s">
        <v>519</v>
      </c>
      <c r="L548" s="46" t="s">
        <v>31</v>
      </c>
      <c r="M548" s="46" t="s">
        <v>13</v>
      </c>
      <c r="N548" s="46" t="s">
        <v>14</v>
      </c>
      <c r="O548" s="49" t="s">
        <v>803</v>
      </c>
      <c r="P548" s="46" t="s">
        <v>507</v>
      </c>
      <c r="Q548" s="35" t="str">
        <f>MID(Tabla1[[#This Row],[Aplicación]],14,1)</f>
        <v>6</v>
      </c>
      <c r="R548" s="35" t="s">
        <v>496</v>
      </c>
      <c r="S548" s="35" t="str">
        <f>MID(Tabla1[[#This Row],[Aplicación]],6,2)</f>
        <v>10</v>
      </c>
      <c r="T548" s="35" t="str">
        <f>VLOOKUP(Tabla1[[#This Row],[AREA]],Hoja1!A:B,2,FALSE)</f>
        <v>10. Servicios sociales y mediación comunitaria</v>
      </c>
      <c r="U548" s="35" t="str">
        <f>MID(Tabla1[[#This Row],[Aplicación]],9,4)</f>
        <v>2312</v>
      </c>
      <c r="V548" s="35" t="str">
        <f>VLOOKUP(Tabla1[[#This Row],[PROGRAMA]],Hoja1!A:B,2,FALSE)</f>
        <v>2312. Iniciativas sociales</v>
      </c>
      <c r="W548" s="35" t="str">
        <f>MID(Tabla1[[#This Row],[Aplicación]],14,2)</f>
        <v>62</v>
      </c>
      <c r="X548" s="35" t="str">
        <f>MID(Tabla1[[#This Row],[Aplicación]],14,6)</f>
        <v>622</v>
      </c>
    </row>
    <row r="549" spans="1:24" x14ac:dyDescent="0.25">
      <c r="A549" s="45">
        <v>220209000838</v>
      </c>
      <c r="B549" s="46" t="s">
        <v>9</v>
      </c>
      <c r="C549" s="47">
        <v>44198</v>
      </c>
      <c r="D549" s="45">
        <v>22021001289</v>
      </c>
      <c r="E549" s="46" t="s">
        <v>1542</v>
      </c>
      <c r="F549" s="48">
        <v>25159.93</v>
      </c>
      <c r="G549" s="46" t="s">
        <v>1543</v>
      </c>
      <c r="H549" s="46" t="s">
        <v>1544</v>
      </c>
      <c r="I549" s="45" t="s">
        <v>125</v>
      </c>
      <c r="J549" s="46" t="s">
        <v>619</v>
      </c>
      <c r="K549" s="46" t="s">
        <v>127</v>
      </c>
      <c r="L549" s="46" t="s">
        <v>31</v>
      </c>
      <c r="M549" s="46" t="s">
        <v>13</v>
      </c>
      <c r="N549" s="46" t="s">
        <v>14</v>
      </c>
      <c r="O549" s="49" t="s">
        <v>803</v>
      </c>
      <c r="P549" s="46" t="s">
        <v>507</v>
      </c>
      <c r="Q549" s="35" t="str">
        <f>MID(Tabla1[[#This Row],[Aplicación]],14,1)</f>
        <v>6</v>
      </c>
      <c r="R549" s="35" t="s">
        <v>496</v>
      </c>
      <c r="S549" s="35" t="str">
        <f>MID(Tabla1[[#This Row],[Aplicación]],6,2)</f>
        <v>05</v>
      </c>
      <c r="T549" s="35" t="str">
        <f>VLOOKUP(Tabla1[[#This Row],[AREA]],Hoja1!A:B,2,FALSE)</f>
        <v>05. Innovación, desarrollo económico, empleo y comercio</v>
      </c>
      <c r="U549" s="35" t="str">
        <f>MID(Tabla1[[#This Row],[Aplicación]],9,4)</f>
        <v>4331</v>
      </c>
      <c r="V549" s="35" t="str">
        <f>VLOOKUP(Tabla1[[#This Row],[PROGRAMA]],Hoja1!A:B,2,FALSE)</f>
        <v>4331. Desarrollo empresarial</v>
      </c>
      <c r="W549" s="35" t="str">
        <f>MID(Tabla1[[#This Row],[Aplicación]],14,2)</f>
        <v>60</v>
      </c>
      <c r="X549" s="35" t="str">
        <f>MID(Tabla1[[#This Row],[Aplicación]],14,6)</f>
        <v>609</v>
      </c>
    </row>
    <row r="550" spans="1:24" x14ac:dyDescent="0.25">
      <c r="A550" s="45">
        <v>220210004228</v>
      </c>
      <c r="B550" s="46" t="s">
        <v>9</v>
      </c>
      <c r="C550" s="47">
        <v>44245</v>
      </c>
      <c r="D550" s="45">
        <v>22021002819</v>
      </c>
      <c r="E550" s="46" t="s">
        <v>1187</v>
      </c>
      <c r="F550" s="48">
        <v>7260</v>
      </c>
      <c r="G550" s="46" t="s">
        <v>1545</v>
      </c>
      <c r="H550" s="46" t="s">
        <v>1546</v>
      </c>
      <c r="I550" s="45" t="s">
        <v>125</v>
      </c>
      <c r="J550" s="46" t="s">
        <v>127</v>
      </c>
      <c r="K550" s="46" t="s">
        <v>127</v>
      </c>
      <c r="L550" s="46" t="s">
        <v>12</v>
      </c>
      <c r="M550" s="46" t="s">
        <v>10</v>
      </c>
      <c r="N550" s="46" t="s">
        <v>11</v>
      </c>
      <c r="O550" s="49" t="s">
        <v>815</v>
      </c>
      <c r="P550" s="46" t="s">
        <v>507</v>
      </c>
      <c r="Q550" s="35" t="str">
        <f>MID(Tabla1[[#This Row],[Aplicación]],14,1)</f>
        <v>2</v>
      </c>
      <c r="R550" s="35" t="s">
        <v>495</v>
      </c>
      <c r="S550" s="35" t="str">
        <f>MID(Tabla1[[#This Row],[Aplicación]],6,2)</f>
        <v>06</v>
      </c>
      <c r="T550" s="35" t="str">
        <f>VLOOKUP(Tabla1[[#This Row],[AREA]],Hoja1!A:B,2,FALSE)</f>
        <v>06. Educación, infancia, juventud e igualdad</v>
      </c>
      <c r="U550" s="35" t="str">
        <f>MID(Tabla1[[#This Row],[Aplicación]],9,4)</f>
        <v>2315</v>
      </c>
      <c r="V550" s="35" t="str">
        <f>VLOOKUP(Tabla1[[#This Row],[PROGRAMA]],Hoja1!A:B,2,FALSE)</f>
        <v>2315. Políticas de Igualdad e infancia</v>
      </c>
      <c r="W550" s="35" t="str">
        <f>MID(Tabla1[[#This Row],[Aplicación]],14,2)</f>
        <v>22</v>
      </c>
      <c r="X550" s="35" t="str">
        <f>MID(Tabla1[[#This Row],[Aplicación]],14,6)</f>
        <v>22611</v>
      </c>
    </row>
    <row r="551" spans="1:24" x14ac:dyDescent="0.25">
      <c r="A551" s="45">
        <v>220210003999</v>
      </c>
      <c r="B551" s="46" t="s">
        <v>9</v>
      </c>
      <c r="C551" s="47">
        <v>44244</v>
      </c>
      <c r="D551" s="45">
        <v>22021002703</v>
      </c>
      <c r="E551" s="46" t="s">
        <v>1187</v>
      </c>
      <c r="F551" s="48">
        <v>2500</v>
      </c>
      <c r="G551" s="46" t="s">
        <v>1547</v>
      </c>
      <c r="H551" s="46" t="s">
        <v>1548</v>
      </c>
      <c r="I551" s="45" t="s">
        <v>125</v>
      </c>
      <c r="J551" s="46" t="s">
        <v>127</v>
      </c>
      <c r="K551" s="46" t="s">
        <v>127</v>
      </c>
      <c r="L551" s="46" t="s">
        <v>12</v>
      </c>
      <c r="M551" s="46" t="s">
        <v>10</v>
      </c>
      <c r="N551" s="46" t="s">
        <v>11</v>
      </c>
      <c r="O551" s="49" t="s">
        <v>815</v>
      </c>
      <c r="P551" s="46" t="s">
        <v>507</v>
      </c>
      <c r="Q551" s="35" t="str">
        <f>MID(Tabla1[[#This Row],[Aplicación]],14,1)</f>
        <v>2</v>
      </c>
      <c r="R551" s="35" t="s">
        <v>495</v>
      </c>
      <c r="S551" s="35" t="str">
        <f>MID(Tabla1[[#This Row],[Aplicación]],6,2)</f>
        <v>06</v>
      </c>
      <c r="T551" s="35" t="str">
        <f>VLOOKUP(Tabla1[[#This Row],[AREA]],Hoja1!A:B,2,FALSE)</f>
        <v>06. Educación, infancia, juventud e igualdad</v>
      </c>
      <c r="U551" s="35" t="str">
        <f>MID(Tabla1[[#This Row],[Aplicación]],9,4)</f>
        <v>2315</v>
      </c>
      <c r="V551" s="35" t="str">
        <f>VLOOKUP(Tabla1[[#This Row],[PROGRAMA]],Hoja1!A:B,2,FALSE)</f>
        <v>2315. Políticas de Igualdad e infancia</v>
      </c>
      <c r="W551" s="35" t="str">
        <f>MID(Tabla1[[#This Row],[Aplicación]],14,2)</f>
        <v>22</v>
      </c>
      <c r="X551" s="35" t="str">
        <f>MID(Tabla1[[#This Row],[Aplicación]],14,6)</f>
        <v>22611</v>
      </c>
    </row>
    <row r="552" spans="1:24" x14ac:dyDescent="0.25">
      <c r="A552" s="45">
        <v>220209000045</v>
      </c>
      <c r="B552" s="46" t="s">
        <v>9</v>
      </c>
      <c r="C552" s="47">
        <v>44198</v>
      </c>
      <c r="D552" s="45">
        <v>22021000190</v>
      </c>
      <c r="E552" s="46" t="s">
        <v>827</v>
      </c>
      <c r="F552" s="48">
        <v>475</v>
      </c>
      <c r="G552" s="46" t="s">
        <v>538</v>
      </c>
      <c r="H552" s="46" t="s">
        <v>690</v>
      </c>
      <c r="I552" s="45" t="s">
        <v>125</v>
      </c>
      <c r="J552" s="46" t="s">
        <v>691</v>
      </c>
      <c r="K552" s="46" t="s">
        <v>539</v>
      </c>
      <c r="L552" s="46" t="s">
        <v>15</v>
      </c>
      <c r="M552" s="46" t="s">
        <v>13</v>
      </c>
      <c r="N552" s="46" t="s">
        <v>16</v>
      </c>
      <c r="O552" s="49" t="s">
        <v>803</v>
      </c>
      <c r="P552" s="46" t="s">
        <v>507</v>
      </c>
      <c r="Q552" s="35" t="str">
        <f>MID(Tabla1[[#This Row],[Aplicación]],14,1)</f>
        <v>2</v>
      </c>
      <c r="R552" s="35" t="s">
        <v>495</v>
      </c>
      <c r="S552" s="35" t="str">
        <f>MID(Tabla1[[#This Row],[Aplicación]],6,2)</f>
        <v>04</v>
      </c>
      <c r="T552" s="35" t="str">
        <f>VLOOKUP(Tabla1[[#This Row],[AREA]],Hoja1!A:B,2,FALSE)</f>
        <v>04. Planificación y recursos</v>
      </c>
      <c r="U552" s="35" t="str">
        <f>MID(Tabla1[[#This Row],[Aplicación]],9,4)</f>
        <v>9204</v>
      </c>
      <c r="V552" s="35" t="str">
        <f>VLOOKUP(Tabla1[[#This Row],[PROGRAMA]],Hoja1!A:B,2,FALSE)</f>
        <v>9204. Tecnologías de la información y comunicación</v>
      </c>
      <c r="W552" s="35" t="str">
        <f>MID(Tabla1[[#This Row],[Aplicación]],14,2)</f>
        <v>21</v>
      </c>
      <c r="X552" s="35" t="str">
        <f>MID(Tabla1[[#This Row],[Aplicación]],14,6)</f>
        <v>216</v>
      </c>
    </row>
    <row r="553" spans="1:24" x14ac:dyDescent="0.25">
      <c r="A553" s="45">
        <v>220210002416</v>
      </c>
      <c r="B553" s="46" t="s">
        <v>9</v>
      </c>
      <c r="C553" s="47">
        <v>44235</v>
      </c>
      <c r="D553" s="45">
        <v>22021002350</v>
      </c>
      <c r="E553" s="46" t="s">
        <v>1380</v>
      </c>
      <c r="F553" s="48">
        <v>115.68</v>
      </c>
      <c r="G553" s="46" t="s">
        <v>60</v>
      </c>
      <c r="H553" s="46" t="s">
        <v>1549</v>
      </c>
      <c r="I553" s="45" t="s">
        <v>125</v>
      </c>
      <c r="J553" s="46" t="s">
        <v>127</v>
      </c>
      <c r="K553" s="46" t="s">
        <v>127</v>
      </c>
      <c r="L553" s="46" t="s">
        <v>15</v>
      </c>
      <c r="M553" s="46" t="s">
        <v>10</v>
      </c>
      <c r="N553" s="46" t="s">
        <v>11</v>
      </c>
      <c r="O553" s="49" t="s">
        <v>815</v>
      </c>
      <c r="P553" s="46" t="s">
        <v>507</v>
      </c>
      <c r="Q553" s="35" t="str">
        <f>MID(Tabla1[[#This Row],[Aplicación]],14,1)</f>
        <v>2</v>
      </c>
      <c r="R553" s="35" t="s">
        <v>495</v>
      </c>
      <c r="S553" s="35" t="str">
        <f>MID(Tabla1[[#This Row],[Aplicación]],6,2)</f>
        <v>03</v>
      </c>
      <c r="T553" s="35" t="str">
        <f>VLOOKUP(Tabla1[[#This Row],[AREA]],Hoja1!A:B,2,FALSE)</f>
        <v>03. Participación ciudadana y deportes</v>
      </c>
      <c r="U553" s="35" t="str">
        <f>MID(Tabla1[[#This Row],[Aplicación]],9,4)</f>
        <v>9241</v>
      </c>
      <c r="V553" s="35" t="str">
        <f>VLOOKUP(Tabla1[[#This Row],[PROGRAMA]],Hoja1!A:B,2,FALSE)</f>
        <v>9241. Participación ciudadana</v>
      </c>
      <c r="W553" s="35" t="str">
        <f>MID(Tabla1[[#This Row],[Aplicación]],14,2)</f>
        <v>22</v>
      </c>
      <c r="X553" s="35" t="str">
        <f>MID(Tabla1[[#This Row],[Aplicación]],14,6)</f>
        <v>22699</v>
      </c>
    </row>
    <row r="554" spans="1:24" x14ac:dyDescent="0.25">
      <c r="A554" s="45">
        <v>220210002860</v>
      </c>
      <c r="B554" s="46" t="s">
        <v>9</v>
      </c>
      <c r="C554" s="47">
        <v>44238</v>
      </c>
      <c r="D554" s="45">
        <v>22021002372</v>
      </c>
      <c r="E554" s="46" t="s">
        <v>1550</v>
      </c>
      <c r="F554" s="48">
        <v>151.19</v>
      </c>
      <c r="G554" s="46" t="s">
        <v>249</v>
      </c>
      <c r="H554" s="46" t="s">
        <v>1551</v>
      </c>
      <c r="I554" s="45" t="s">
        <v>125</v>
      </c>
      <c r="J554" s="46" t="s">
        <v>127</v>
      </c>
      <c r="K554" s="46" t="s">
        <v>127</v>
      </c>
      <c r="L554" s="46" t="s">
        <v>12</v>
      </c>
      <c r="M554" s="46" t="s">
        <v>10</v>
      </c>
      <c r="N554" s="46" t="s">
        <v>11</v>
      </c>
      <c r="O554" s="49" t="s">
        <v>815</v>
      </c>
      <c r="P554" s="46" t="s">
        <v>507</v>
      </c>
      <c r="Q554" s="35" t="str">
        <f>MID(Tabla1[[#This Row],[Aplicación]],14,1)</f>
        <v>2</v>
      </c>
      <c r="R554" s="35" t="s">
        <v>495</v>
      </c>
      <c r="S554" s="35" t="str">
        <f>MID(Tabla1[[#This Row],[Aplicación]],6,2)</f>
        <v>06</v>
      </c>
      <c r="T554" s="35" t="str">
        <f>VLOOKUP(Tabla1[[#This Row],[AREA]],Hoja1!A:B,2,FALSE)</f>
        <v>06. Educación, infancia, juventud e igualdad</v>
      </c>
      <c r="U554" s="35" t="str">
        <f>MID(Tabla1[[#This Row],[Aplicación]],9,4)</f>
        <v>2315</v>
      </c>
      <c r="V554" s="35" t="str">
        <f>VLOOKUP(Tabla1[[#This Row],[PROGRAMA]],Hoja1!A:B,2,FALSE)</f>
        <v>2315. Políticas de Igualdad e infancia</v>
      </c>
      <c r="W554" s="35" t="str">
        <f>MID(Tabla1[[#This Row],[Aplicación]],14,2)</f>
        <v>22</v>
      </c>
      <c r="X554" s="35" t="str">
        <f>MID(Tabla1[[#This Row],[Aplicación]],14,6)</f>
        <v>22799</v>
      </c>
    </row>
    <row r="555" spans="1:24" x14ac:dyDescent="0.25">
      <c r="A555" s="45">
        <v>220200041913</v>
      </c>
      <c r="B555" s="46" t="s">
        <v>9</v>
      </c>
      <c r="C555" s="47">
        <v>44284</v>
      </c>
      <c r="D555" s="45">
        <v>22020000032</v>
      </c>
      <c r="E555" s="46" t="s">
        <v>1172</v>
      </c>
      <c r="F555" s="48">
        <v>243636.19</v>
      </c>
      <c r="G555" s="46" t="s">
        <v>1552</v>
      </c>
      <c r="H555" s="46" t="s">
        <v>1553</v>
      </c>
      <c r="I555" s="45" t="s">
        <v>125</v>
      </c>
      <c r="J555" s="46" t="s">
        <v>1554</v>
      </c>
      <c r="K555" s="46" t="s">
        <v>1554</v>
      </c>
      <c r="L555" s="46" t="s">
        <v>31</v>
      </c>
      <c r="M555" s="46" t="s">
        <v>13</v>
      </c>
      <c r="N555" s="46" t="s">
        <v>14</v>
      </c>
      <c r="O555" s="49" t="s">
        <v>803</v>
      </c>
      <c r="P555" s="46" t="s">
        <v>507</v>
      </c>
      <c r="Q555" s="35" t="str">
        <f>MID(Tabla1[[#This Row],[Aplicación]],14,1)</f>
        <v>6</v>
      </c>
      <c r="R555" s="35" t="s">
        <v>496</v>
      </c>
      <c r="S555" s="35" t="str">
        <f>MID(Tabla1[[#This Row],[Aplicación]],6,2)</f>
        <v>02</v>
      </c>
      <c r="T555" s="35" t="str">
        <f>VLOOKUP(Tabla1[[#This Row],[AREA]],Hoja1!A:B,2,FALSE)</f>
        <v>02. Planeamiento urbanístico y vivienda</v>
      </c>
      <c r="U555" s="35" t="str">
        <f>MID(Tabla1[[#This Row],[Aplicación]],9,4)</f>
        <v>9332</v>
      </c>
      <c r="V555" s="35" t="str">
        <f>VLOOKUP(Tabla1[[#This Row],[PROGRAMA]],Hoja1!A:B,2,FALSE)</f>
        <v>9332. Mantenimiento de edificios e instalaciones municipales</v>
      </c>
      <c r="W555" s="35" t="str">
        <f>MID(Tabla1[[#This Row],[Aplicación]],14,2)</f>
        <v>63</v>
      </c>
      <c r="X555" s="35" t="str">
        <f>MID(Tabla1[[#This Row],[Aplicación]],14,6)</f>
        <v>632</v>
      </c>
    </row>
    <row r="556" spans="1:24" x14ac:dyDescent="0.25">
      <c r="A556" s="45">
        <v>220210003233</v>
      </c>
      <c r="B556" s="46" t="s">
        <v>204</v>
      </c>
      <c r="C556" s="47">
        <v>44239</v>
      </c>
      <c r="D556" s="45">
        <v>22021002088</v>
      </c>
      <c r="E556" s="46" t="s">
        <v>1478</v>
      </c>
      <c r="F556" s="48">
        <v>191.66</v>
      </c>
      <c r="G556" s="46" t="s">
        <v>288</v>
      </c>
      <c r="H556" s="46" t="s">
        <v>1555</v>
      </c>
      <c r="I556" s="45" t="s">
        <v>205</v>
      </c>
      <c r="J556" s="46" t="s">
        <v>664</v>
      </c>
      <c r="K556" s="46" t="s">
        <v>127</v>
      </c>
      <c r="L556" s="46" t="s">
        <v>15</v>
      </c>
      <c r="M556" s="46" t="s">
        <v>13</v>
      </c>
      <c r="N556" s="46" t="s">
        <v>16</v>
      </c>
      <c r="O556" s="49" t="s">
        <v>814</v>
      </c>
      <c r="P556" s="46" t="s">
        <v>507</v>
      </c>
      <c r="Q556" s="35" t="str">
        <f>MID(Tabla1[[#This Row],[Aplicación]],14,1)</f>
        <v>2</v>
      </c>
      <c r="R556" s="35" t="s">
        <v>495</v>
      </c>
      <c r="S556" s="35" t="str">
        <f>MID(Tabla1[[#This Row],[Aplicación]],6,2)</f>
        <v>03</v>
      </c>
      <c r="T556" s="35" t="str">
        <f>VLOOKUP(Tabla1[[#This Row],[AREA]],Hoja1!A:B,2,FALSE)</f>
        <v>03. Participación ciudadana y deportes</v>
      </c>
      <c r="U556" s="35" t="str">
        <f>MID(Tabla1[[#This Row],[Aplicación]],9,4)</f>
        <v>9241</v>
      </c>
      <c r="V556" s="35" t="str">
        <f>VLOOKUP(Tabla1[[#This Row],[PROGRAMA]],Hoja1!A:B,2,FALSE)</f>
        <v>9241. Participación ciudadana</v>
      </c>
      <c r="W556" s="35" t="str">
        <f>MID(Tabla1[[#This Row],[Aplicación]],14,2)</f>
        <v>21</v>
      </c>
      <c r="X556" s="35" t="str">
        <f>MID(Tabla1[[#This Row],[Aplicación]],14,6)</f>
        <v>212</v>
      </c>
    </row>
    <row r="557" spans="1:24" x14ac:dyDescent="0.25">
      <c r="A557" s="45">
        <v>220210003952</v>
      </c>
      <c r="B557" s="46" t="s">
        <v>204</v>
      </c>
      <c r="C557" s="47">
        <v>44243</v>
      </c>
      <c r="D557" s="45">
        <v>22021002088</v>
      </c>
      <c r="E557" s="46" t="s">
        <v>1478</v>
      </c>
      <c r="F557" s="48">
        <v>211.65</v>
      </c>
      <c r="G557" s="46" t="s">
        <v>288</v>
      </c>
      <c r="H557" s="46" t="s">
        <v>1556</v>
      </c>
      <c r="I557" s="45" t="s">
        <v>205</v>
      </c>
      <c r="J557" s="46" t="s">
        <v>664</v>
      </c>
      <c r="K557" s="46" t="s">
        <v>127</v>
      </c>
      <c r="L557" s="46" t="s">
        <v>15</v>
      </c>
      <c r="M557" s="46" t="s">
        <v>13</v>
      </c>
      <c r="N557" s="46" t="s">
        <v>16</v>
      </c>
      <c r="O557" s="49" t="s">
        <v>814</v>
      </c>
      <c r="P557" s="46" t="s">
        <v>507</v>
      </c>
      <c r="Q557" s="35" t="str">
        <f>MID(Tabla1[[#This Row],[Aplicación]],14,1)</f>
        <v>2</v>
      </c>
      <c r="R557" s="35" t="s">
        <v>495</v>
      </c>
      <c r="S557" s="35" t="str">
        <f>MID(Tabla1[[#This Row],[Aplicación]],6,2)</f>
        <v>03</v>
      </c>
      <c r="T557" s="35" t="str">
        <f>VLOOKUP(Tabla1[[#This Row],[AREA]],Hoja1!A:B,2,FALSE)</f>
        <v>03. Participación ciudadana y deportes</v>
      </c>
      <c r="U557" s="35" t="str">
        <f>MID(Tabla1[[#This Row],[Aplicación]],9,4)</f>
        <v>9241</v>
      </c>
      <c r="V557" s="35" t="str">
        <f>VLOOKUP(Tabla1[[#This Row],[PROGRAMA]],Hoja1!A:B,2,FALSE)</f>
        <v>9241. Participación ciudadana</v>
      </c>
      <c r="W557" s="35" t="str">
        <f>MID(Tabla1[[#This Row],[Aplicación]],14,2)</f>
        <v>21</v>
      </c>
      <c r="X557" s="35" t="str">
        <f>MID(Tabla1[[#This Row],[Aplicación]],14,6)</f>
        <v>212</v>
      </c>
    </row>
    <row r="558" spans="1:24" x14ac:dyDescent="0.25">
      <c r="A558" s="45">
        <v>220210004455</v>
      </c>
      <c r="B558" s="46" t="s">
        <v>204</v>
      </c>
      <c r="C558" s="47">
        <v>44246</v>
      </c>
      <c r="D558" s="45">
        <v>22021002144</v>
      </c>
      <c r="E558" s="46" t="s">
        <v>1328</v>
      </c>
      <c r="F558" s="48">
        <v>209.54</v>
      </c>
      <c r="G558" s="46" t="s">
        <v>288</v>
      </c>
      <c r="H558" s="46" t="s">
        <v>1557</v>
      </c>
      <c r="I558" s="45" t="s">
        <v>205</v>
      </c>
      <c r="J558" s="46" t="s">
        <v>664</v>
      </c>
      <c r="K558" s="46" t="s">
        <v>127</v>
      </c>
      <c r="L558" s="46" t="s">
        <v>15</v>
      </c>
      <c r="M558" s="46" t="s">
        <v>13</v>
      </c>
      <c r="N558" s="46" t="s">
        <v>14</v>
      </c>
      <c r="O558" s="49" t="s">
        <v>814</v>
      </c>
      <c r="P558" s="46" t="s">
        <v>507</v>
      </c>
      <c r="Q558" s="35" t="str">
        <f>MID(Tabla1[[#This Row],[Aplicación]],14,1)</f>
        <v>2</v>
      </c>
      <c r="R558" s="35" t="s">
        <v>495</v>
      </c>
      <c r="S558" s="35" t="str">
        <f>MID(Tabla1[[#This Row],[Aplicación]],6,2)</f>
        <v>10</v>
      </c>
      <c r="T558" s="35" t="str">
        <f>VLOOKUP(Tabla1[[#This Row],[AREA]],Hoja1!A:B,2,FALSE)</f>
        <v>10. Servicios sociales y mediación comunitaria</v>
      </c>
      <c r="U558" s="35" t="str">
        <f>MID(Tabla1[[#This Row],[Aplicación]],9,4)</f>
        <v>2311</v>
      </c>
      <c r="V558" s="35" t="str">
        <f>VLOOKUP(Tabla1[[#This Row],[PROGRAMA]],Hoja1!A:B,2,FALSE)</f>
        <v>2311. Intervención social</v>
      </c>
      <c r="W558" s="35" t="str">
        <f>MID(Tabla1[[#This Row],[Aplicación]],14,2)</f>
        <v>21</v>
      </c>
      <c r="X558" s="35" t="str">
        <f>MID(Tabla1[[#This Row],[Aplicación]],14,6)</f>
        <v>212</v>
      </c>
    </row>
    <row r="559" spans="1:24" x14ac:dyDescent="0.25">
      <c r="A559" s="45">
        <v>220210000325</v>
      </c>
      <c r="B559" s="46" t="s">
        <v>9</v>
      </c>
      <c r="C559" s="47">
        <v>44217</v>
      </c>
      <c r="D559" s="45">
        <v>22021000647</v>
      </c>
      <c r="E559" s="46" t="s">
        <v>1558</v>
      </c>
      <c r="F559" s="48">
        <v>7260</v>
      </c>
      <c r="G559" s="46" t="s">
        <v>73</v>
      </c>
      <c r="H559" s="46" t="s">
        <v>1559</v>
      </c>
      <c r="I559" s="45" t="s">
        <v>125</v>
      </c>
      <c r="J559" s="46" t="s">
        <v>127</v>
      </c>
      <c r="K559" s="46" t="s">
        <v>127</v>
      </c>
      <c r="L559" s="46" t="s">
        <v>15</v>
      </c>
      <c r="M559" s="46" t="s">
        <v>10</v>
      </c>
      <c r="N559" s="46" t="s">
        <v>11</v>
      </c>
      <c r="O559" s="49" t="s">
        <v>815</v>
      </c>
      <c r="P559" s="46" t="s">
        <v>507</v>
      </c>
      <c r="Q559" s="35" t="str">
        <f>MID(Tabla1[[#This Row],[Aplicación]],14,1)</f>
        <v>2</v>
      </c>
      <c r="R559" s="35" t="s">
        <v>495</v>
      </c>
      <c r="S559" s="35" t="str">
        <f>MID(Tabla1[[#This Row],[Aplicación]],6,2)</f>
        <v>06</v>
      </c>
      <c r="T559" s="35" t="str">
        <f>VLOOKUP(Tabla1[[#This Row],[AREA]],Hoja1!A:B,2,FALSE)</f>
        <v>06. Educación, infancia, juventud e igualdad</v>
      </c>
      <c r="U559" s="35" t="str">
        <f>MID(Tabla1[[#This Row],[Aplicación]],9,4)</f>
        <v>3232</v>
      </c>
      <c r="V559" s="35" t="str">
        <f>VLOOKUP(Tabla1[[#This Row],[PROGRAMA]],Hoja1!A:B,2,FALSE)</f>
        <v>3232. Conservación y mantenimiento centros educación infantil y primaria</v>
      </c>
      <c r="W559" s="35" t="str">
        <f>MID(Tabla1[[#This Row],[Aplicación]],14,2)</f>
        <v>22</v>
      </c>
      <c r="X559" s="35" t="str">
        <f>MID(Tabla1[[#This Row],[Aplicación]],14,6)</f>
        <v>22103</v>
      </c>
    </row>
    <row r="560" spans="1:24" x14ac:dyDescent="0.25">
      <c r="A560" s="45">
        <v>220210000513</v>
      </c>
      <c r="B560" s="46" t="s">
        <v>9</v>
      </c>
      <c r="C560" s="47">
        <v>44221</v>
      </c>
      <c r="D560" s="45">
        <v>22021001700</v>
      </c>
      <c r="E560" s="46" t="s">
        <v>1560</v>
      </c>
      <c r="F560" s="48">
        <v>4500</v>
      </c>
      <c r="G560" s="46" t="s">
        <v>73</v>
      </c>
      <c r="H560" s="46" t="s">
        <v>1561</v>
      </c>
      <c r="I560" s="45" t="s">
        <v>125</v>
      </c>
      <c r="J560" s="46" t="s">
        <v>127</v>
      </c>
      <c r="K560" s="46" t="s">
        <v>127</v>
      </c>
      <c r="L560" s="46" t="s">
        <v>15</v>
      </c>
      <c r="M560" s="46" t="s">
        <v>10</v>
      </c>
      <c r="N560" s="46" t="s">
        <v>11</v>
      </c>
      <c r="O560" s="49" t="s">
        <v>815</v>
      </c>
      <c r="P560" s="46" t="s">
        <v>507</v>
      </c>
      <c r="Q560" s="35" t="str">
        <f>MID(Tabla1[[#This Row],[Aplicación]],14,1)</f>
        <v>2</v>
      </c>
      <c r="R560" s="35" t="s">
        <v>495</v>
      </c>
      <c r="S560" s="35" t="str">
        <f>MID(Tabla1[[#This Row],[Aplicación]],6,2)</f>
        <v>03</v>
      </c>
      <c r="T560" s="35" t="str">
        <f>VLOOKUP(Tabla1[[#This Row],[AREA]],Hoja1!A:B,2,FALSE)</f>
        <v>03. Participación ciudadana y deportes</v>
      </c>
      <c r="U560" s="35" t="str">
        <f>MID(Tabla1[[#This Row],[Aplicación]],9,4)</f>
        <v>9241</v>
      </c>
      <c r="V560" s="35" t="str">
        <f>VLOOKUP(Tabla1[[#This Row],[PROGRAMA]],Hoja1!A:B,2,FALSE)</f>
        <v>9241. Participación ciudadana</v>
      </c>
      <c r="W560" s="35" t="str">
        <f>MID(Tabla1[[#This Row],[Aplicación]],14,2)</f>
        <v>22</v>
      </c>
      <c r="X560" s="35" t="str">
        <f>MID(Tabla1[[#This Row],[Aplicación]],14,6)</f>
        <v>22103</v>
      </c>
    </row>
    <row r="561" spans="1:24" x14ac:dyDescent="0.25">
      <c r="A561" s="45">
        <v>220210004508</v>
      </c>
      <c r="B561" s="46" t="s">
        <v>204</v>
      </c>
      <c r="C561" s="47">
        <v>44246</v>
      </c>
      <c r="D561" s="45">
        <v>22021002143</v>
      </c>
      <c r="E561" s="46" t="s">
        <v>1328</v>
      </c>
      <c r="F561" s="48">
        <v>53.97</v>
      </c>
      <c r="G561" s="46" t="s">
        <v>288</v>
      </c>
      <c r="H561" s="46" t="s">
        <v>1562</v>
      </c>
      <c r="I561" s="45" t="s">
        <v>205</v>
      </c>
      <c r="J561" s="46" t="s">
        <v>664</v>
      </c>
      <c r="K561" s="46" t="s">
        <v>127</v>
      </c>
      <c r="L561" s="46" t="s">
        <v>15</v>
      </c>
      <c r="M561" s="46" t="s">
        <v>13</v>
      </c>
      <c r="N561" s="46" t="s">
        <v>14</v>
      </c>
      <c r="O561" s="49" t="s">
        <v>814</v>
      </c>
      <c r="P561" s="46" t="s">
        <v>507</v>
      </c>
      <c r="Q561" s="35" t="str">
        <f>MID(Tabla1[[#This Row],[Aplicación]],14,1)</f>
        <v>2</v>
      </c>
      <c r="R561" s="35" t="s">
        <v>495</v>
      </c>
      <c r="S561" s="35" t="str">
        <f>MID(Tabla1[[#This Row],[Aplicación]],6,2)</f>
        <v>10</v>
      </c>
      <c r="T561" s="35" t="str">
        <f>VLOOKUP(Tabla1[[#This Row],[AREA]],Hoja1!A:B,2,FALSE)</f>
        <v>10. Servicios sociales y mediación comunitaria</v>
      </c>
      <c r="U561" s="35" t="str">
        <f>MID(Tabla1[[#This Row],[Aplicación]],9,4)</f>
        <v>2311</v>
      </c>
      <c r="V561" s="35" t="str">
        <f>VLOOKUP(Tabla1[[#This Row],[PROGRAMA]],Hoja1!A:B,2,FALSE)</f>
        <v>2311. Intervención social</v>
      </c>
      <c r="W561" s="35" t="str">
        <f>MID(Tabla1[[#This Row],[Aplicación]],14,2)</f>
        <v>21</v>
      </c>
      <c r="X561" s="35" t="str">
        <f>MID(Tabla1[[#This Row],[Aplicación]],14,6)</f>
        <v>212</v>
      </c>
    </row>
    <row r="562" spans="1:24" x14ac:dyDescent="0.25">
      <c r="A562" s="45">
        <v>220210003754</v>
      </c>
      <c r="B562" s="46" t="s">
        <v>9</v>
      </c>
      <c r="C562" s="47">
        <v>44243</v>
      </c>
      <c r="D562" s="45">
        <v>22021002694</v>
      </c>
      <c r="E562" s="46" t="s">
        <v>1560</v>
      </c>
      <c r="F562" s="48">
        <v>378.28</v>
      </c>
      <c r="G562" s="46" t="s">
        <v>73</v>
      </c>
      <c r="H562" s="46" t="s">
        <v>1563</v>
      </c>
      <c r="I562" s="45" t="s">
        <v>125</v>
      </c>
      <c r="J562" s="46" t="s">
        <v>127</v>
      </c>
      <c r="K562" s="46" t="s">
        <v>127</v>
      </c>
      <c r="L562" s="46" t="s">
        <v>15</v>
      </c>
      <c r="M562" s="46" t="s">
        <v>10</v>
      </c>
      <c r="N562" s="46" t="s">
        <v>11</v>
      </c>
      <c r="O562" s="49" t="s">
        <v>815</v>
      </c>
      <c r="P562" s="46" t="s">
        <v>507</v>
      </c>
      <c r="Q562" s="35" t="str">
        <f>MID(Tabla1[[#This Row],[Aplicación]],14,1)</f>
        <v>2</v>
      </c>
      <c r="R562" s="35" t="s">
        <v>495</v>
      </c>
      <c r="S562" s="35" t="str">
        <f>MID(Tabla1[[#This Row],[Aplicación]],6,2)</f>
        <v>03</v>
      </c>
      <c r="T562" s="35" t="str">
        <f>VLOOKUP(Tabla1[[#This Row],[AREA]],Hoja1!A:B,2,FALSE)</f>
        <v>03. Participación ciudadana y deportes</v>
      </c>
      <c r="U562" s="35" t="str">
        <f>MID(Tabla1[[#This Row],[Aplicación]],9,4)</f>
        <v>9241</v>
      </c>
      <c r="V562" s="35" t="str">
        <f>VLOOKUP(Tabla1[[#This Row],[PROGRAMA]],Hoja1!A:B,2,FALSE)</f>
        <v>9241. Participación ciudadana</v>
      </c>
      <c r="W562" s="35" t="str">
        <f>MID(Tabla1[[#This Row],[Aplicación]],14,2)</f>
        <v>22</v>
      </c>
      <c r="X562" s="35" t="str">
        <f>MID(Tabla1[[#This Row],[Aplicación]],14,6)</f>
        <v>22103</v>
      </c>
    </row>
    <row r="563" spans="1:24" x14ac:dyDescent="0.25">
      <c r="A563" s="45">
        <v>220210006173</v>
      </c>
      <c r="B563" s="46" t="s">
        <v>9</v>
      </c>
      <c r="C563" s="47">
        <v>44252</v>
      </c>
      <c r="D563" s="45">
        <v>22021003080</v>
      </c>
      <c r="E563" s="46" t="s">
        <v>1564</v>
      </c>
      <c r="F563" s="48">
        <v>1481.04</v>
      </c>
      <c r="G563" s="46" t="s">
        <v>73</v>
      </c>
      <c r="H563" s="46" t="s">
        <v>1565</v>
      </c>
      <c r="I563" s="45" t="s">
        <v>125</v>
      </c>
      <c r="J563" s="46" t="s">
        <v>127</v>
      </c>
      <c r="K563" s="46" t="s">
        <v>127</v>
      </c>
      <c r="L563" s="46" t="s">
        <v>15</v>
      </c>
      <c r="M563" s="46" t="s">
        <v>10</v>
      </c>
      <c r="N563" s="46" t="s">
        <v>11</v>
      </c>
      <c r="O563" s="49" t="s">
        <v>815</v>
      </c>
      <c r="P563" s="46" t="s">
        <v>507</v>
      </c>
      <c r="Q563" s="35" t="str">
        <f>MID(Tabla1[[#This Row],[Aplicación]],14,1)</f>
        <v>2</v>
      </c>
      <c r="R563" s="35" t="s">
        <v>495</v>
      </c>
      <c r="S563" s="35" t="str">
        <f>MID(Tabla1[[#This Row],[Aplicación]],6,2)</f>
        <v>08</v>
      </c>
      <c r="T563" s="35" t="str">
        <f>VLOOKUP(Tabla1[[#This Row],[AREA]],Hoja1!A:B,2,FALSE)</f>
        <v>08. Movilidad y espacio urbano</v>
      </c>
      <c r="U563" s="35" t="str">
        <f>MID(Tabla1[[#This Row],[Aplicación]],9,4)</f>
        <v>1532</v>
      </c>
      <c r="V563" s="35" t="str">
        <f>VLOOKUP(Tabla1[[#This Row],[PROGRAMA]],Hoja1!A:B,2,FALSE)</f>
        <v>1532. Pavimentación vias públicas y otros servicios urbanísticos</v>
      </c>
      <c r="W563" s="35" t="str">
        <f>MID(Tabla1[[#This Row],[Aplicación]],14,2)</f>
        <v>22</v>
      </c>
      <c r="X563" s="35" t="str">
        <f>MID(Tabla1[[#This Row],[Aplicación]],14,6)</f>
        <v>22103</v>
      </c>
    </row>
    <row r="564" spans="1:24" x14ac:dyDescent="0.25">
      <c r="A564" s="45">
        <v>220210007139</v>
      </c>
      <c r="B564" s="46" t="s">
        <v>9</v>
      </c>
      <c r="C564" s="47">
        <v>44260</v>
      </c>
      <c r="D564" s="45">
        <v>22021003255</v>
      </c>
      <c r="E564" s="46" t="s">
        <v>1566</v>
      </c>
      <c r="F564" s="48">
        <v>1007.33</v>
      </c>
      <c r="G564" s="46" t="s">
        <v>73</v>
      </c>
      <c r="H564" s="46" t="s">
        <v>1567</v>
      </c>
      <c r="I564" s="45" t="s">
        <v>125</v>
      </c>
      <c r="J564" s="46" t="s">
        <v>127</v>
      </c>
      <c r="K564" s="46" t="s">
        <v>127</v>
      </c>
      <c r="L564" s="46" t="s">
        <v>15</v>
      </c>
      <c r="M564" s="46" t="s">
        <v>10</v>
      </c>
      <c r="N564" s="46" t="s">
        <v>11</v>
      </c>
      <c r="O564" s="49" t="s">
        <v>815</v>
      </c>
      <c r="P564" s="46" t="s">
        <v>507</v>
      </c>
      <c r="Q564" s="35" t="str">
        <f>MID(Tabla1[[#This Row],[Aplicación]],14,1)</f>
        <v>2</v>
      </c>
      <c r="R564" s="35" t="s">
        <v>495</v>
      </c>
      <c r="S564" s="35" t="str">
        <f>MID(Tabla1[[#This Row],[Aplicación]],6,2)</f>
        <v>11</v>
      </c>
      <c r="T564" s="35" t="str">
        <f>VLOOKUP(Tabla1[[#This Row],[AREA]],Hoja1!A:B,2,FALSE)</f>
        <v>11. Salud pública y seguridad ciudadana</v>
      </c>
      <c r="U564" s="35" t="str">
        <f>MID(Tabla1[[#This Row],[Aplicación]],9,4)</f>
        <v>3111</v>
      </c>
      <c r="V564" s="35" t="str">
        <f>VLOOKUP(Tabla1[[#This Row],[PROGRAMA]],Hoja1!A:B,2,FALSE)</f>
        <v>3111. Protección de la salubridad pública</v>
      </c>
      <c r="W564" s="35" t="str">
        <f>MID(Tabla1[[#This Row],[Aplicación]],14,2)</f>
        <v>22</v>
      </c>
      <c r="X564" s="35" t="str">
        <f>MID(Tabla1[[#This Row],[Aplicación]],14,6)</f>
        <v>22102</v>
      </c>
    </row>
    <row r="565" spans="1:24" x14ac:dyDescent="0.25">
      <c r="A565" s="45">
        <v>220210009141</v>
      </c>
      <c r="B565" s="46" t="s">
        <v>9</v>
      </c>
      <c r="C565" s="47">
        <v>44267</v>
      </c>
      <c r="D565" s="45">
        <v>22021003377</v>
      </c>
      <c r="E565" s="46" t="s">
        <v>1560</v>
      </c>
      <c r="F565" s="48">
        <v>319.77</v>
      </c>
      <c r="G565" s="46" t="s">
        <v>73</v>
      </c>
      <c r="H565" s="46" t="s">
        <v>1568</v>
      </c>
      <c r="I565" s="45" t="s">
        <v>125</v>
      </c>
      <c r="J565" s="46" t="s">
        <v>127</v>
      </c>
      <c r="K565" s="46" t="s">
        <v>127</v>
      </c>
      <c r="L565" s="46" t="s">
        <v>15</v>
      </c>
      <c r="M565" s="46" t="s">
        <v>10</v>
      </c>
      <c r="N565" s="46" t="s">
        <v>11</v>
      </c>
      <c r="O565" s="49" t="s">
        <v>815</v>
      </c>
      <c r="P565" s="46" t="s">
        <v>507</v>
      </c>
      <c r="Q565" s="35" t="str">
        <f>MID(Tabla1[[#This Row],[Aplicación]],14,1)</f>
        <v>2</v>
      </c>
      <c r="R565" s="35" t="s">
        <v>495</v>
      </c>
      <c r="S565" s="35" t="str">
        <f>MID(Tabla1[[#This Row],[Aplicación]],6,2)</f>
        <v>03</v>
      </c>
      <c r="T565" s="35" t="str">
        <f>VLOOKUP(Tabla1[[#This Row],[AREA]],Hoja1!A:B,2,FALSE)</f>
        <v>03. Participación ciudadana y deportes</v>
      </c>
      <c r="U565" s="35" t="str">
        <f>MID(Tabla1[[#This Row],[Aplicación]],9,4)</f>
        <v>9241</v>
      </c>
      <c r="V565" s="35" t="str">
        <f>VLOOKUP(Tabla1[[#This Row],[PROGRAMA]],Hoja1!A:B,2,FALSE)</f>
        <v>9241. Participación ciudadana</v>
      </c>
      <c r="W565" s="35" t="str">
        <f>MID(Tabla1[[#This Row],[Aplicación]],14,2)</f>
        <v>22</v>
      </c>
      <c r="X565" s="35" t="str">
        <f>MID(Tabla1[[#This Row],[Aplicación]],14,6)</f>
        <v>22103</v>
      </c>
    </row>
    <row r="566" spans="1:24" x14ac:dyDescent="0.25">
      <c r="A566" s="45">
        <v>220209000048</v>
      </c>
      <c r="B566" s="46" t="s">
        <v>9</v>
      </c>
      <c r="C566" s="47">
        <v>44198</v>
      </c>
      <c r="D566" s="45">
        <v>22021000192</v>
      </c>
      <c r="E566" s="46" t="s">
        <v>1569</v>
      </c>
      <c r="F566" s="48">
        <v>2785.31</v>
      </c>
      <c r="G566" s="46" t="s">
        <v>527</v>
      </c>
      <c r="H566" s="46" t="s">
        <v>697</v>
      </c>
      <c r="I566" s="45" t="s">
        <v>125</v>
      </c>
      <c r="J566" s="46" t="s">
        <v>698</v>
      </c>
      <c r="K566" s="46" t="s">
        <v>126</v>
      </c>
      <c r="L566" s="46" t="s">
        <v>15</v>
      </c>
      <c r="M566" s="46" t="s">
        <v>13</v>
      </c>
      <c r="N566" s="46" t="s">
        <v>16</v>
      </c>
      <c r="O566" s="49" t="s">
        <v>803</v>
      </c>
      <c r="P566" s="46" t="s">
        <v>507</v>
      </c>
      <c r="Q566" s="35" t="str">
        <f>MID(Tabla1[[#This Row],[Aplicación]],14,1)</f>
        <v>2</v>
      </c>
      <c r="R566" s="35" t="s">
        <v>495</v>
      </c>
      <c r="S566" s="35" t="str">
        <f>MID(Tabla1[[#This Row],[Aplicación]],6,2)</f>
        <v>04</v>
      </c>
      <c r="T566" s="35" t="str">
        <f>VLOOKUP(Tabla1[[#This Row],[AREA]],Hoja1!A:B,2,FALSE)</f>
        <v>04. Planificación y recursos</v>
      </c>
      <c r="U566" s="35" t="str">
        <f>MID(Tabla1[[#This Row],[Aplicación]],9,4)</f>
        <v>9204</v>
      </c>
      <c r="V566" s="35" t="str">
        <f>VLOOKUP(Tabla1[[#This Row],[PROGRAMA]],Hoja1!A:B,2,FALSE)</f>
        <v>9204. Tecnologías de la información y comunicación</v>
      </c>
      <c r="W566" s="35" t="str">
        <f>MID(Tabla1[[#This Row],[Aplicación]],14,2)</f>
        <v>22</v>
      </c>
      <c r="X566" s="35" t="str">
        <f>MID(Tabla1[[#This Row],[Aplicación]],14,6)</f>
        <v>22002</v>
      </c>
    </row>
    <row r="567" spans="1:24" x14ac:dyDescent="0.25">
      <c r="A567" s="45">
        <v>220209000743</v>
      </c>
      <c r="B567" s="46" t="s">
        <v>9</v>
      </c>
      <c r="C567" s="47">
        <v>44198</v>
      </c>
      <c r="D567" s="45">
        <v>22021000469</v>
      </c>
      <c r="E567" s="46" t="s">
        <v>1569</v>
      </c>
      <c r="F567" s="48">
        <v>5000</v>
      </c>
      <c r="G567" s="46" t="s">
        <v>527</v>
      </c>
      <c r="H567" s="46" t="s">
        <v>1570</v>
      </c>
      <c r="I567" s="45" t="s">
        <v>125</v>
      </c>
      <c r="J567" s="46" t="s">
        <v>698</v>
      </c>
      <c r="K567" s="46" t="s">
        <v>126</v>
      </c>
      <c r="L567" s="46" t="s">
        <v>15</v>
      </c>
      <c r="M567" s="46" t="s">
        <v>13</v>
      </c>
      <c r="N567" s="46" t="s">
        <v>16</v>
      </c>
      <c r="O567" s="49" t="s">
        <v>803</v>
      </c>
      <c r="P567" s="46" t="s">
        <v>507</v>
      </c>
      <c r="Q567" s="35" t="str">
        <f>MID(Tabla1[[#This Row],[Aplicación]],14,1)</f>
        <v>2</v>
      </c>
      <c r="R567" s="35" t="s">
        <v>495</v>
      </c>
      <c r="S567" s="35" t="str">
        <f>MID(Tabla1[[#This Row],[Aplicación]],6,2)</f>
        <v>04</v>
      </c>
      <c r="T567" s="35" t="str">
        <f>VLOOKUP(Tabla1[[#This Row],[AREA]],Hoja1!A:B,2,FALSE)</f>
        <v>04. Planificación y recursos</v>
      </c>
      <c r="U567" s="35" t="str">
        <f>MID(Tabla1[[#This Row],[Aplicación]],9,4)</f>
        <v>9204</v>
      </c>
      <c r="V567" s="35" t="str">
        <f>VLOOKUP(Tabla1[[#This Row],[PROGRAMA]],Hoja1!A:B,2,FALSE)</f>
        <v>9204. Tecnologías de la información y comunicación</v>
      </c>
      <c r="W567" s="35" t="str">
        <f>MID(Tabla1[[#This Row],[Aplicación]],14,2)</f>
        <v>22</v>
      </c>
      <c r="X567" s="35" t="str">
        <f>MID(Tabla1[[#This Row],[Aplicación]],14,6)</f>
        <v>22002</v>
      </c>
    </row>
    <row r="568" spans="1:24" x14ac:dyDescent="0.25">
      <c r="A568" s="45">
        <v>220199000825</v>
      </c>
      <c r="B568" s="46" t="s">
        <v>9</v>
      </c>
      <c r="C568" s="47">
        <v>44198</v>
      </c>
      <c r="D568" s="45">
        <v>22021000707</v>
      </c>
      <c r="E568" s="46" t="s">
        <v>1286</v>
      </c>
      <c r="F568" s="48">
        <v>6473.98</v>
      </c>
      <c r="G568" s="46" t="s">
        <v>224</v>
      </c>
      <c r="H568" s="46" t="s">
        <v>24</v>
      </c>
      <c r="I568" s="45" t="s">
        <v>125</v>
      </c>
      <c r="J568" s="46" t="s">
        <v>661</v>
      </c>
      <c r="K568" s="46" t="s">
        <v>127</v>
      </c>
      <c r="L568" s="46" t="s">
        <v>12</v>
      </c>
      <c r="M568" s="46" t="s">
        <v>25</v>
      </c>
      <c r="N568" s="46" t="s">
        <v>11</v>
      </c>
      <c r="O568" s="49" t="s">
        <v>805</v>
      </c>
      <c r="P568" s="46" t="s">
        <v>507</v>
      </c>
      <c r="Q568" s="35" t="str">
        <f>MID(Tabla1[[#This Row],[Aplicación]],14,1)</f>
        <v>6</v>
      </c>
      <c r="R568" s="35" t="s">
        <v>496</v>
      </c>
      <c r="S568" s="35" t="str">
        <f>MID(Tabla1[[#This Row],[Aplicación]],6,2)</f>
        <v>04</v>
      </c>
      <c r="T568" s="35" t="str">
        <f>VLOOKUP(Tabla1[[#This Row],[AREA]],Hoja1!A:B,2,FALSE)</f>
        <v>04. Planificación y recursos</v>
      </c>
      <c r="U568" s="35" t="str">
        <f>MID(Tabla1[[#This Row],[Aplicación]],9,4)</f>
        <v>9204</v>
      </c>
      <c r="V568" s="35" t="str">
        <f>VLOOKUP(Tabla1[[#This Row],[PROGRAMA]],Hoja1!A:B,2,FALSE)</f>
        <v>9204. Tecnologías de la información y comunicación</v>
      </c>
      <c r="W568" s="35" t="str">
        <f>MID(Tabla1[[#This Row],[Aplicación]],14,2)</f>
        <v>64</v>
      </c>
      <c r="X568" s="35" t="str">
        <f>MID(Tabla1[[#This Row],[Aplicación]],14,6)</f>
        <v>641</v>
      </c>
    </row>
    <row r="569" spans="1:24" x14ac:dyDescent="0.25">
      <c r="A569" s="45">
        <v>220209000539</v>
      </c>
      <c r="B569" s="46" t="s">
        <v>9</v>
      </c>
      <c r="C569" s="47">
        <v>44198</v>
      </c>
      <c r="D569" s="45">
        <v>22021000738</v>
      </c>
      <c r="E569" s="46" t="s">
        <v>1286</v>
      </c>
      <c r="F569" s="48">
        <v>88305.1</v>
      </c>
      <c r="G569" s="46" t="s">
        <v>224</v>
      </c>
      <c r="H569" s="46" t="s">
        <v>1571</v>
      </c>
      <c r="I569" s="45" t="s">
        <v>125</v>
      </c>
      <c r="J569" s="46" t="s">
        <v>661</v>
      </c>
      <c r="K569" s="46" t="s">
        <v>127</v>
      </c>
      <c r="L569" s="46" t="s">
        <v>12</v>
      </c>
      <c r="M569" s="46" t="s">
        <v>25</v>
      </c>
      <c r="N569" s="46" t="s">
        <v>11</v>
      </c>
      <c r="O569" s="49" t="s">
        <v>805</v>
      </c>
      <c r="P569" s="46" t="s">
        <v>507</v>
      </c>
      <c r="Q569" s="35" t="str">
        <f>MID(Tabla1[[#This Row],[Aplicación]],14,1)</f>
        <v>6</v>
      </c>
      <c r="R569" s="35" t="s">
        <v>496</v>
      </c>
      <c r="S569" s="35" t="str">
        <f>MID(Tabla1[[#This Row],[Aplicación]],6,2)</f>
        <v>04</v>
      </c>
      <c r="T569" s="35" t="str">
        <f>VLOOKUP(Tabla1[[#This Row],[AREA]],Hoja1!A:B,2,FALSE)</f>
        <v>04. Planificación y recursos</v>
      </c>
      <c r="U569" s="35" t="str">
        <f>MID(Tabla1[[#This Row],[Aplicación]],9,4)</f>
        <v>9204</v>
      </c>
      <c r="V569" s="35" t="str">
        <f>VLOOKUP(Tabla1[[#This Row],[PROGRAMA]],Hoja1!A:B,2,FALSE)</f>
        <v>9204. Tecnologías de la información y comunicación</v>
      </c>
      <c r="W569" s="35" t="str">
        <f>MID(Tabla1[[#This Row],[Aplicación]],14,2)</f>
        <v>64</v>
      </c>
      <c r="X569" s="35" t="str">
        <f>MID(Tabla1[[#This Row],[Aplicación]],14,6)</f>
        <v>641</v>
      </c>
    </row>
    <row r="570" spans="1:24" x14ac:dyDescent="0.25">
      <c r="A570" s="45">
        <v>220210004558</v>
      </c>
      <c r="B570" s="46" t="s">
        <v>204</v>
      </c>
      <c r="C570" s="47">
        <v>44246</v>
      </c>
      <c r="D570" s="45">
        <v>22021002228</v>
      </c>
      <c r="E570" s="46" t="s">
        <v>1471</v>
      </c>
      <c r="F570" s="48">
        <v>74.87</v>
      </c>
      <c r="G570" s="46" t="s">
        <v>288</v>
      </c>
      <c r="H570" s="46" t="s">
        <v>1572</v>
      </c>
      <c r="I570" s="45" t="s">
        <v>205</v>
      </c>
      <c r="J570" s="46" t="s">
        <v>664</v>
      </c>
      <c r="K570" s="46" t="s">
        <v>127</v>
      </c>
      <c r="L570" s="46" t="s">
        <v>15</v>
      </c>
      <c r="M570" s="46" t="s">
        <v>13</v>
      </c>
      <c r="N570" s="46" t="s">
        <v>14</v>
      </c>
      <c r="O570" s="49" t="s">
        <v>814</v>
      </c>
      <c r="P570" s="46" t="s">
        <v>507</v>
      </c>
      <c r="Q570" s="35" t="str">
        <f>MID(Tabla1[[#This Row],[Aplicación]],14,1)</f>
        <v>2</v>
      </c>
      <c r="R570" s="35" t="s">
        <v>495</v>
      </c>
      <c r="S570" s="35" t="str">
        <f>MID(Tabla1[[#This Row],[Aplicación]],6,2)</f>
        <v>06</v>
      </c>
      <c r="T570" s="35" t="str">
        <f>VLOOKUP(Tabla1[[#This Row],[AREA]],Hoja1!A:B,2,FALSE)</f>
        <v>06. Educación, infancia, juventud e igualdad</v>
      </c>
      <c r="U570" s="35" t="str">
        <f>MID(Tabla1[[#This Row],[Aplicación]],9,4)</f>
        <v>3232</v>
      </c>
      <c r="V570" s="35" t="str">
        <f>VLOOKUP(Tabla1[[#This Row],[PROGRAMA]],Hoja1!A:B,2,FALSE)</f>
        <v>3232. Conservación y mantenimiento centros educación infantil y primaria</v>
      </c>
      <c r="W570" s="35" t="str">
        <f>MID(Tabla1[[#This Row],[Aplicación]],14,2)</f>
        <v>21</v>
      </c>
      <c r="X570" s="35" t="str">
        <f>MID(Tabla1[[#This Row],[Aplicación]],14,6)</f>
        <v>212</v>
      </c>
    </row>
    <row r="571" spans="1:24" x14ac:dyDescent="0.25">
      <c r="A571" s="45">
        <v>220210004560</v>
      </c>
      <c r="B571" s="46" t="s">
        <v>204</v>
      </c>
      <c r="C571" s="47">
        <v>44246</v>
      </c>
      <c r="D571" s="45">
        <v>22021002228</v>
      </c>
      <c r="E571" s="46" t="s">
        <v>1471</v>
      </c>
      <c r="F571" s="48">
        <v>135.71</v>
      </c>
      <c r="G571" s="46" t="s">
        <v>288</v>
      </c>
      <c r="H571" s="46" t="s">
        <v>1573</v>
      </c>
      <c r="I571" s="45" t="s">
        <v>205</v>
      </c>
      <c r="J571" s="46" t="s">
        <v>664</v>
      </c>
      <c r="K571" s="46" t="s">
        <v>127</v>
      </c>
      <c r="L571" s="46" t="s">
        <v>15</v>
      </c>
      <c r="M571" s="46" t="s">
        <v>13</v>
      </c>
      <c r="N571" s="46" t="s">
        <v>14</v>
      </c>
      <c r="O571" s="49" t="s">
        <v>814</v>
      </c>
      <c r="P571" s="46" t="s">
        <v>507</v>
      </c>
      <c r="Q571" s="35" t="str">
        <f>MID(Tabla1[[#This Row],[Aplicación]],14,1)</f>
        <v>2</v>
      </c>
      <c r="R571" s="35" t="s">
        <v>495</v>
      </c>
      <c r="S571" s="35" t="str">
        <f>MID(Tabla1[[#This Row],[Aplicación]],6,2)</f>
        <v>06</v>
      </c>
      <c r="T571" s="35" t="str">
        <f>VLOOKUP(Tabla1[[#This Row],[AREA]],Hoja1!A:B,2,FALSE)</f>
        <v>06. Educación, infancia, juventud e igualdad</v>
      </c>
      <c r="U571" s="35" t="str">
        <f>MID(Tabla1[[#This Row],[Aplicación]],9,4)</f>
        <v>3232</v>
      </c>
      <c r="V571" s="35" t="str">
        <f>VLOOKUP(Tabla1[[#This Row],[PROGRAMA]],Hoja1!A:B,2,FALSE)</f>
        <v>3232. Conservación y mantenimiento centros educación infantil y primaria</v>
      </c>
      <c r="W571" s="35" t="str">
        <f>MID(Tabla1[[#This Row],[Aplicación]],14,2)</f>
        <v>21</v>
      </c>
      <c r="X571" s="35" t="str">
        <f>MID(Tabla1[[#This Row],[Aplicación]],14,6)</f>
        <v>212</v>
      </c>
    </row>
    <row r="572" spans="1:24" x14ac:dyDescent="0.25">
      <c r="A572" s="45">
        <v>220210006499</v>
      </c>
      <c r="B572" s="46" t="s">
        <v>204</v>
      </c>
      <c r="C572" s="47">
        <v>44253</v>
      </c>
      <c r="D572" s="45">
        <v>22021002225</v>
      </c>
      <c r="E572" s="46" t="s">
        <v>1574</v>
      </c>
      <c r="F572" s="48">
        <v>42.6</v>
      </c>
      <c r="G572" s="46" t="s">
        <v>288</v>
      </c>
      <c r="H572" s="46" t="s">
        <v>1575</v>
      </c>
      <c r="I572" s="45" t="s">
        <v>205</v>
      </c>
      <c r="J572" s="46" t="s">
        <v>664</v>
      </c>
      <c r="K572" s="46" t="s">
        <v>127</v>
      </c>
      <c r="L572" s="46" t="s">
        <v>15</v>
      </c>
      <c r="M572" s="46" t="s">
        <v>13</v>
      </c>
      <c r="N572" s="46" t="s">
        <v>16</v>
      </c>
      <c r="O572" s="49" t="s">
        <v>814</v>
      </c>
      <c r="P572" s="46" t="s">
        <v>507</v>
      </c>
      <c r="Q572" s="35" t="str">
        <f>MID(Tabla1[[#This Row],[Aplicación]],14,1)</f>
        <v>2</v>
      </c>
      <c r="R572" s="35" t="s">
        <v>495</v>
      </c>
      <c r="S572" s="35" t="str">
        <f>MID(Tabla1[[#This Row],[Aplicación]],6,2)</f>
        <v>06</v>
      </c>
      <c r="T572" s="35" t="str">
        <f>VLOOKUP(Tabla1[[#This Row],[AREA]],Hoja1!A:B,2,FALSE)</f>
        <v>06. Educación, infancia, juventud e igualdad</v>
      </c>
      <c r="U572" s="35" t="str">
        <f>MID(Tabla1[[#This Row],[Aplicación]],9,4)</f>
        <v>3231</v>
      </c>
      <c r="V572" s="35" t="str">
        <f>VLOOKUP(Tabla1[[#This Row],[PROGRAMA]],Hoja1!A:B,2,FALSE)</f>
        <v>3231. Escuelas infantiles</v>
      </c>
      <c r="W572" s="35" t="str">
        <f>MID(Tabla1[[#This Row],[Aplicación]],14,2)</f>
        <v>21</v>
      </c>
      <c r="X572" s="35" t="str">
        <f>MID(Tabla1[[#This Row],[Aplicación]],14,6)</f>
        <v>212</v>
      </c>
    </row>
    <row r="573" spans="1:24" x14ac:dyDescent="0.25">
      <c r="A573" s="45">
        <v>220210001026</v>
      </c>
      <c r="B573" s="46" t="s">
        <v>9</v>
      </c>
      <c r="C573" s="47">
        <v>44223</v>
      </c>
      <c r="D573" s="45">
        <v>22021002034</v>
      </c>
      <c r="E573" s="46" t="s">
        <v>1378</v>
      </c>
      <c r="F573" s="48">
        <v>6755.43</v>
      </c>
      <c r="G573" s="46" t="s">
        <v>1576</v>
      </c>
      <c r="H573" s="46" t="s">
        <v>1577</v>
      </c>
      <c r="I573" s="45" t="s">
        <v>125</v>
      </c>
      <c r="J573" s="46" t="s">
        <v>127</v>
      </c>
      <c r="K573" s="46" t="s">
        <v>127</v>
      </c>
      <c r="L573" s="46" t="s">
        <v>15</v>
      </c>
      <c r="M573" s="46" t="s">
        <v>10</v>
      </c>
      <c r="N573" s="46" t="s">
        <v>11</v>
      </c>
      <c r="O573" s="49" t="s">
        <v>815</v>
      </c>
      <c r="P573" s="46" t="s">
        <v>507</v>
      </c>
      <c r="Q573" s="35" t="str">
        <f>MID(Tabla1[[#This Row],[Aplicación]],14,1)</f>
        <v>2</v>
      </c>
      <c r="R573" s="35" t="s">
        <v>495</v>
      </c>
      <c r="S573" s="35" t="str">
        <f>MID(Tabla1[[#This Row],[Aplicación]],6,2)</f>
        <v>01</v>
      </c>
      <c r="T573" s="35" t="str">
        <f>VLOOKUP(Tabla1[[#This Row],[AREA]],Hoja1!A:B,2,FALSE)</f>
        <v>01. Alcaldía</v>
      </c>
      <c r="U573" s="35" t="str">
        <f>MID(Tabla1[[#This Row],[Aplicación]],9,4)</f>
        <v>9205</v>
      </c>
      <c r="V573" s="35" t="str">
        <f>VLOOKUP(Tabla1[[#This Row],[PROGRAMA]],Hoja1!A:B,2,FALSE)</f>
        <v>9205. Imprenta municipal</v>
      </c>
      <c r="W573" s="35" t="str">
        <f>MID(Tabla1[[#This Row],[Aplicación]],14,2)</f>
        <v>22</v>
      </c>
      <c r="X573" s="35" t="str">
        <f>MID(Tabla1[[#This Row],[Aplicación]],14,6)</f>
        <v>22199</v>
      </c>
    </row>
    <row r="574" spans="1:24" x14ac:dyDescent="0.25">
      <c r="A574" s="45">
        <v>220210006571</v>
      </c>
      <c r="B574" s="46" t="s">
        <v>9</v>
      </c>
      <c r="C574" s="47">
        <v>44256</v>
      </c>
      <c r="D574" s="45">
        <v>22021003164</v>
      </c>
      <c r="E574" s="46" t="s">
        <v>1578</v>
      </c>
      <c r="F574" s="48">
        <v>100</v>
      </c>
      <c r="G574" s="46" t="s">
        <v>1576</v>
      </c>
      <c r="H574" s="46" t="s">
        <v>1579</v>
      </c>
      <c r="I574" s="45" t="s">
        <v>125</v>
      </c>
      <c r="J574" s="46" t="s">
        <v>127</v>
      </c>
      <c r="K574" s="46" t="s">
        <v>127</v>
      </c>
      <c r="L574" s="46" t="s">
        <v>15</v>
      </c>
      <c r="M574" s="46" t="s">
        <v>10</v>
      </c>
      <c r="N574" s="46" t="s">
        <v>11</v>
      </c>
      <c r="O574" s="49" t="s">
        <v>815</v>
      </c>
      <c r="P574" s="46" t="s">
        <v>507</v>
      </c>
      <c r="Q574" s="35" t="str">
        <f>MID(Tabla1[[#This Row],[Aplicación]],14,1)</f>
        <v>2</v>
      </c>
      <c r="R574" s="35" t="s">
        <v>495</v>
      </c>
      <c r="S574" s="35" t="str">
        <f>MID(Tabla1[[#This Row],[Aplicación]],6,2)</f>
        <v>06</v>
      </c>
      <c r="T574" s="35" t="str">
        <f>VLOOKUP(Tabla1[[#This Row],[AREA]],Hoja1!A:B,2,FALSE)</f>
        <v>06. Educación, infancia, juventud e igualdad</v>
      </c>
      <c r="U574" s="35" t="str">
        <f>MID(Tabla1[[#This Row],[Aplicación]],9,4)</f>
        <v>3231</v>
      </c>
      <c r="V574" s="35" t="str">
        <f>VLOOKUP(Tabla1[[#This Row],[PROGRAMA]],Hoja1!A:B,2,FALSE)</f>
        <v>3231. Escuelas infantiles</v>
      </c>
      <c r="W574" s="35" t="str">
        <f>MID(Tabla1[[#This Row],[Aplicación]],14,2)</f>
        <v>22</v>
      </c>
      <c r="X574" s="35" t="str">
        <f>MID(Tabla1[[#This Row],[Aplicación]],14,6)</f>
        <v>22602</v>
      </c>
    </row>
    <row r="575" spans="1:24" x14ac:dyDescent="0.25">
      <c r="A575" s="45">
        <v>220210006957</v>
      </c>
      <c r="B575" s="46" t="s">
        <v>9</v>
      </c>
      <c r="C575" s="47">
        <v>44259</v>
      </c>
      <c r="D575" s="45">
        <v>22021003146</v>
      </c>
      <c r="E575" s="46" t="s">
        <v>1401</v>
      </c>
      <c r="F575" s="48">
        <v>41.44</v>
      </c>
      <c r="G575" s="46" t="s">
        <v>1576</v>
      </c>
      <c r="H575" s="46" t="s">
        <v>1580</v>
      </c>
      <c r="I575" s="45" t="s">
        <v>125</v>
      </c>
      <c r="J575" s="46" t="s">
        <v>127</v>
      </c>
      <c r="K575" s="46" t="s">
        <v>127</v>
      </c>
      <c r="L575" s="46" t="s">
        <v>15</v>
      </c>
      <c r="M575" s="46" t="s">
        <v>10</v>
      </c>
      <c r="N575" s="46" t="s">
        <v>11</v>
      </c>
      <c r="O575" s="49" t="s">
        <v>815</v>
      </c>
      <c r="P575" s="46" t="s">
        <v>507</v>
      </c>
      <c r="Q575" s="35" t="str">
        <f>MID(Tabla1[[#This Row],[Aplicación]],14,1)</f>
        <v>2</v>
      </c>
      <c r="R575" s="35" t="s">
        <v>495</v>
      </c>
      <c r="S575" s="35" t="str">
        <f>MID(Tabla1[[#This Row],[Aplicación]],6,2)</f>
        <v>10</v>
      </c>
      <c r="T575" s="35" t="str">
        <f>VLOOKUP(Tabla1[[#This Row],[AREA]],Hoja1!A:B,2,FALSE)</f>
        <v>10. Servicios sociales y mediación comunitaria</v>
      </c>
      <c r="U575" s="35" t="str">
        <f>MID(Tabla1[[#This Row],[Aplicación]],9,4)</f>
        <v>2312</v>
      </c>
      <c r="V575" s="35" t="str">
        <f>VLOOKUP(Tabla1[[#This Row],[PROGRAMA]],Hoja1!A:B,2,FALSE)</f>
        <v>2312. Iniciativas sociales</v>
      </c>
      <c r="W575" s="35" t="str">
        <f>MID(Tabla1[[#This Row],[Aplicación]],14,2)</f>
        <v>22</v>
      </c>
      <c r="X575" s="35" t="str">
        <f>MID(Tabla1[[#This Row],[Aplicación]],14,6)</f>
        <v>22699</v>
      </c>
    </row>
    <row r="576" spans="1:24" x14ac:dyDescent="0.25">
      <c r="A576" s="45">
        <v>220210007177</v>
      </c>
      <c r="B576" s="46" t="s">
        <v>9</v>
      </c>
      <c r="C576" s="47">
        <v>44263</v>
      </c>
      <c r="D576" s="45">
        <v>22021003246</v>
      </c>
      <c r="E576" s="46" t="s">
        <v>1267</v>
      </c>
      <c r="F576" s="48">
        <v>721.38</v>
      </c>
      <c r="G576" s="46" t="s">
        <v>1576</v>
      </c>
      <c r="H576" s="46" t="s">
        <v>1581</v>
      </c>
      <c r="I576" s="45" t="s">
        <v>125</v>
      </c>
      <c r="J576" s="46" t="s">
        <v>127</v>
      </c>
      <c r="K576" s="46" t="s">
        <v>127</v>
      </c>
      <c r="L576" s="46" t="s">
        <v>15</v>
      </c>
      <c r="M576" s="46" t="s">
        <v>10</v>
      </c>
      <c r="N576" s="46" t="s">
        <v>11</v>
      </c>
      <c r="O576" s="49" t="s">
        <v>815</v>
      </c>
      <c r="P576" s="46" t="s">
        <v>507</v>
      </c>
      <c r="Q576" s="35" t="str">
        <f>MID(Tabla1[[#This Row],[Aplicación]],14,1)</f>
        <v>2</v>
      </c>
      <c r="R576" s="35" t="s">
        <v>495</v>
      </c>
      <c r="S576" s="35" t="str">
        <f>MID(Tabla1[[#This Row],[Aplicación]],6,2)</f>
        <v>03</v>
      </c>
      <c r="T576" s="35" t="str">
        <f>VLOOKUP(Tabla1[[#This Row],[AREA]],Hoja1!A:B,2,FALSE)</f>
        <v>03. Participación ciudadana y deportes</v>
      </c>
      <c r="U576" s="35" t="str">
        <f>MID(Tabla1[[#This Row],[Aplicación]],9,4)</f>
        <v>9241</v>
      </c>
      <c r="V576" s="35" t="str">
        <f>VLOOKUP(Tabla1[[#This Row],[PROGRAMA]],Hoja1!A:B,2,FALSE)</f>
        <v>9241. Participación ciudadana</v>
      </c>
      <c r="W576" s="35" t="str">
        <f>MID(Tabla1[[#This Row],[Aplicación]],14,2)</f>
        <v>22</v>
      </c>
      <c r="X576" s="35" t="str">
        <f>MID(Tabla1[[#This Row],[Aplicación]],14,6)</f>
        <v>22602</v>
      </c>
    </row>
    <row r="577" spans="1:24" x14ac:dyDescent="0.25">
      <c r="A577" s="45">
        <v>220210010514</v>
      </c>
      <c r="B577" s="46" t="s">
        <v>9</v>
      </c>
      <c r="C577" s="47">
        <v>44277</v>
      </c>
      <c r="D577" s="45">
        <v>22021003514</v>
      </c>
      <c r="E577" s="46" t="s">
        <v>1267</v>
      </c>
      <c r="F577" s="48">
        <v>592.66</v>
      </c>
      <c r="G577" s="46" t="s">
        <v>1576</v>
      </c>
      <c r="H577" s="46" t="s">
        <v>1582</v>
      </c>
      <c r="I577" s="45" t="s">
        <v>125</v>
      </c>
      <c r="J577" s="46" t="s">
        <v>127</v>
      </c>
      <c r="K577" s="46" t="s">
        <v>127</v>
      </c>
      <c r="L577" s="46" t="s">
        <v>15</v>
      </c>
      <c r="M577" s="46" t="s">
        <v>10</v>
      </c>
      <c r="N577" s="46" t="s">
        <v>11</v>
      </c>
      <c r="O577" s="49" t="s">
        <v>815</v>
      </c>
      <c r="P577" s="46" t="s">
        <v>507</v>
      </c>
      <c r="Q577" s="35" t="str">
        <f>MID(Tabla1[[#This Row],[Aplicación]],14,1)</f>
        <v>2</v>
      </c>
      <c r="R577" s="35" t="s">
        <v>495</v>
      </c>
      <c r="S577" s="35" t="str">
        <f>MID(Tabla1[[#This Row],[Aplicación]],6,2)</f>
        <v>03</v>
      </c>
      <c r="T577" s="35" t="str">
        <f>VLOOKUP(Tabla1[[#This Row],[AREA]],Hoja1!A:B,2,FALSE)</f>
        <v>03. Participación ciudadana y deportes</v>
      </c>
      <c r="U577" s="35" t="str">
        <f>MID(Tabla1[[#This Row],[Aplicación]],9,4)</f>
        <v>9241</v>
      </c>
      <c r="V577" s="35" t="str">
        <f>VLOOKUP(Tabla1[[#This Row],[PROGRAMA]],Hoja1!A:B,2,FALSE)</f>
        <v>9241. Participación ciudadana</v>
      </c>
      <c r="W577" s="35" t="str">
        <f>MID(Tabla1[[#This Row],[Aplicación]],14,2)</f>
        <v>22</v>
      </c>
      <c r="X577" s="35" t="str">
        <f>MID(Tabla1[[#This Row],[Aplicación]],14,6)</f>
        <v>22602</v>
      </c>
    </row>
    <row r="578" spans="1:24" x14ac:dyDescent="0.25">
      <c r="A578" s="45">
        <v>220210012937</v>
      </c>
      <c r="B578" s="46" t="s">
        <v>9</v>
      </c>
      <c r="C578" s="47">
        <v>44284</v>
      </c>
      <c r="D578" s="45">
        <v>22021003604</v>
      </c>
      <c r="E578" s="46" t="s">
        <v>1267</v>
      </c>
      <c r="F578" s="48">
        <v>60.5</v>
      </c>
      <c r="G578" s="46" t="s">
        <v>1576</v>
      </c>
      <c r="H578" s="46" t="s">
        <v>1583</v>
      </c>
      <c r="I578" s="45" t="s">
        <v>125</v>
      </c>
      <c r="J578" s="46" t="s">
        <v>127</v>
      </c>
      <c r="K578" s="46" t="s">
        <v>127</v>
      </c>
      <c r="L578" s="46" t="s">
        <v>15</v>
      </c>
      <c r="M578" s="46" t="s">
        <v>10</v>
      </c>
      <c r="N578" s="46" t="s">
        <v>11</v>
      </c>
      <c r="O578" s="49" t="s">
        <v>815</v>
      </c>
      <c r="P578" s="46" t="s">
        <v>507</v>
      </c>
      <c r="Q578" s="35" t="str">
        <f>MID(Tabla1[[#This Row],[Aplicación]],14,1)</f>
        <v>2</v>
      </c>
      <c r="R578" s="35" t="s">
        <v>495</v>
      </c>
      <c r="S578" s="35" t="str">
        <f>MID(Tabla1[[#This Row],[Aplicación]],6,2)</f>
        <v>03</v>
      </c>
      <c r="T578" s="35" t="str">
        <f>VLOOKUP(Tabla1[[#This Row],[AREA]],Hoja1!A:B,2,FALSE)</f>
        <v>03. Participación ciudadana y deportes</v>
      </c>
      <c r="U578" s="35" t="str">
        <f>MID(Tabla1[[#This Row],[Aplicación]],9,4)</f>
        <v>9241</v>
      </c>
      <c r="V578" s="35" t="str">
        <f>VLOOKUP(Tabla1[[#This Row],[PROGRAMA]],Hoja1!A:B,2,FALSE)</f>
        <v>9241. Participación ciudadana</v>
      </c>
      <c r="W578" s="35" t="str">
        <f>MID(Tabla1[[#This Row],[Aplicación]],14,2)</f>
        <v>22</v>
      </c>
      <c r="X578" s="35" t="str">
        <f>MID(Tabla1[[#This Row],[Aplicación]],14,6)</f>
        <v>22602</v>
      </c>
    </row>
    <row r="579" spans="1:24" x14ac:dyDescent="0.25">
      <c r="A579" s="45">
        <v>220209000477</v>
      </c>
      <c r="B579" s="46" t="s">
        <v>9</v>
      </c>
      <c r="C579" s="47">
        <v>44198</v>
      </c>
      <c r="D579" s="45">
        <v>22021000077</v>
      </c>
      <c r="E579" s="46" t="s">
        <v>1584</v>
      </c>
      <c r="F579" s="48">
        <v>15727.98</v>
      </c>
      <c r="G579" s="46" t="s">
        <v>1585</v>
      </c>
      <c r="H579" s="46" t="s">
        <v>1586</v>
      </c>
      <c r="I579" s="45" t="s">
        <v>125</v>
      </c>
      <c r="J579" s="46" t="s">
        <v>157</v>
      </c>
      <c r="K579" s="46" t="s">
        <v>157</v>
      </c>
      <c r="L579" s="46" t="s">
        <v>12</v>
      </c>
      <c r="M579" s="46" t="s">
        <v>13</v>
      </c>
      <c r="N579" s="46" t="s">
        <v>14</v>
      </c>
      <c r="O579" s="49" t="s">
        <v>803</v>
      </c>
      <c r="P579" s="46" t="s">
        <v>507</v>
      </c>
      <c r="Q579" s="35" t="str">
        <f>MID(Tabla1[[#This Row],[Aplicación]],14,1)</f>
        <v>2</v>
      </c>
      <c r="R579" s="35" t="s">
        <v>495</v>
      </c>
      <c r="S579" s="35" t="str">
        <f>MID(Tabla1[[#This Row],[Aplicación]],6,2)</f>
        <v>07</v>
      </c>
      <c r="T579" s="35" t="str">
        <f>VLOOKUP(Tabla1[[#This Row],[AREA]],Hoja1!A:B,2,FALSE)</f>
        <v>07. Medio ambiente y desarrollo sostenible</v>
      </c>
      <c r="U579" s="35" t="str">
        <f>MID(Tabla1[[#This Row],[Aplicación]],9,4)</f>
        <v>1701</v>
      </c>
      <c r="V579" s="35" t="str">
        <f>VLOOKUP(Tabla1[[#This Row],[PROGRAMA]],Hoja1!A:B,2,FALSE)</f>
        <v>1701. Dirección del área de medio ambiente</v>
      </c>
      <c r="W579" s="35" t="str">
        <f>MID(Tabla1[[#This Row],[Aplicación]],14,2)</f>
        <v>22</v>
      </c>
      <c r="X579" s="35" t="str">
        <f>MID(Tabla1[[#This Row],[Aplicación]],14,6)</f>
        <v>22799</v>
      </c>
    </row>
    <row r="580" spans="1:24" x14ac:dyDescent="0.25">
      <c r="A580" s="45">
        <v>220210004231</v>
      </c>
      <c r="B580" s="46" t="s">
        <v>9</v>
      </c>
      <c r="C580" s="47">
        <v>44245</v>
      </c>
      <c r="D580" s="45">
        <v>22021002802</v>
      </c>
      <c r="E580" s="46" t="s">
        <v>1270</v>
      </c>
      <c r="F580" s="48">
        <v>7260</v>
      </c>
      <c r="G580" s="46" t="s">
        <v>109</v>
      </c>
      <c r="H580" s="46" t="s">
        <v>1587</v>
      </c>
      <c r="I580" s="45" t="s">
        <v>125</v>
      </c>
      <c r="J580" s="46" t="s">
        <v>732</v>
      </c>
      <c r="K580" s="46" t="s">
        <v>127</v>
      </c>
      <c r="L580" s="46" t="s">
        <v>12</v>
      </c>
      <c r="M580" s="46" t="s">
        <v>10</v>
      </c>
      <c r="N580" s="46" t="s">
        <v>11</v>
      </c>
      <c r="O580" s="49" t="s">
        <v>815</v>
      </c>
      <c r="P580" s="46" t="s">
        <v>507</v>
      </c>
      <c r="Q580" s="35" t="str">
        <f>MID(Tabla1[[#This Row],[Aplicación]],14,1)</f>
        <v>6</v>
      </c>
      <c r="R580" s="35" t="s">
        <v>496</v>
      </c>
      <c r="S580" s="35" t="str">
        <f>MID(Tabla1[[#This Row],[Aplicación]],6,2)</f>
        <v>11</v>
      </c>
      <c r="T580" s="35" t="str">
        <f>VLOOKUP(Tabla1[[#This Row],[AREA]],Hoja1!A:B,2,FALSE)</f>
        <v>11. Salud pública y seguridad ciudadana</v>
      </c>
      <c r="U580" s="35" t="str">
        <f>MID(Tabla1[[#This Row],[Aplicación]],9,4)</f>
        <v>1621</v>
      </c>
      <c r="V580" s="35" t="str">
        <f>VLOOKUP(Tabla1[[#This Row],[PROGRAMA]],Hoja1!A:B,2,FALSE)</f>
        <v>1621. Servicio de limpieza</v>
      </c>
      <c r="W580" s="35" t="str">
        <f>MID(Tabla1[[#This Row],[Aplicación]],14,2)</f>
        <v>63</v>
      </c>
      <c r="X580" s="35" t="str">
        <f>MID(Tabla1[[#This Row],[Aplicación]],14,6)</f>
        <v>634</v>
      </c>
    </row>
    <row r="581" spans="1:24" x14ac:dyDescent="0.25">
      <c r="A581" s="45">
        <v>220209000462</v>
      </c>
      <c r="B581" s="46" t="s">
        <v>9</v>
      </c>
      <c r="C581" s="47">
        <v>44198</v>
      </c>
      <c r="D581" s="45">
        <v>22021000313</v>
      </c>
      <c r="E581" s="46" t="s">
        <v>1197</v>
      </c>
      <c r="F581" s="48">
        <v>404960</v>
      </c>
      <c r="G581" s="46" t="s">
        <v>141</v>
      </c>
      <c r="H581" s="46" t="s">
        <v>1588</v>
      </c>
      <c r="I581" s="45" t="s">
        <v>125</v>
      </c>
      <c r="J581" s="46" t="s">
        <v>127</v>
      </c>
      <c r="K581" s="46" t="s">
        <v>127</v>
      </c>
      <c r="L581" s="46" t="s">
        <v>12</v>
      </c>
      <c r="M581" s="46" t="s">
        <v>13</v>
      </c>
      <c r="N581" s="46" t="s">
        <v>14</v>
      </c>
      <c r="O581" s="49" t="s">
        <v>803</v>
      </c>
      <c r="P581" s="46" t="s">
        <v>507</v>
      </c>
      <c r="Q581" s="35" t="str">
        <f>MID(Tabla1[[#This Row],[Aplicación]],14,1)</f>
        <v>2</v>
      </c>
      <c r="R581" s="35" t="s">
        <v>495</v>
      </c>
      <c r="S581" s="35" t="str">
        <f>MID(Tabla1[[#This Row],[Aplicación]],6,2)</f>
        <v>06</v>
      </c>
      <c r="T581" s="35" t="str">
        <f>VLOOKUP(Tabla1[[#This Row],[AREA]],Hoja1!A:B,2,FALSE)</f>
        <v>06. Educación, infancia, juventud e igualdad</v>
      </c>
      <c r="U581" s="35" t="str">
        <f>MID(Tabla1[[#This Row],[Aplicación]],9,4)</f>
        <v>3231</v>
      </c>
      <c r="V581" s="35" t="str">
        <f>VLOOKUP(Tabla1[[#This Row],[PROGRAMA]],Hoja1!A:B,2,FALSE)</f>
        <v>3231. Escuelas infantiles</v>
      </c>
      <c r="W581" s="35" t="str">
        <f>MID(Tabla1[[#This Row],[Aplicación]],14,2)</f>
        <v>22</v>
      </c>
      <c r="X581" s="35" t="str">
        <f>MID(Tabla1[[#This Row],[Aplicación]],14,6)</f>
        <v>22799</v>
      </c>
    </row>
    <row r="582" spans="1:24" x14ac:dyDescent="0.25">
      <c r="A582" s="45">
        <v>220179000024</v>
      </c>
      <c r="B582" s="46" t="s">
        <v>9</v>
      </c>
      <c r="C582" s="47">
        <v>44198</v>
      </c>
      <c r="D582" s="45">
        <v>22021000049</v>
      </c>
      <c r="E582" s="46" t="s">
        <v>1589</v>
      </c>
      <c r="F582" s="48">
        <v>3087691.92</v>
      </c>
      <c r="G582" s="46" t="s">
        <v>129</v>
      </c>
      <c r="H582" s="46" t="s">
        <v>18</v>
      </c>
      <c r="I582" s="45" t="s">
        <v>125</v>
      </c>
      <c r="J582" s="46" t="s">
        <v>126</v>
      </c>
      <c r="K582" s="46" t="s">
        <v>126</v>
      </c>
      <c r="L582" s="46" t="s">
        <v>19</v>
      </c>
      <c r="M582" s="46" t="s">
        <v>13</v>
      </c>
      <c r="N582" s="46" t="s">
        <v>14</v>
      </c>
      <c r="O582" s="49" t="s">
        <v>803</v>
      </c>
      <c r="P582" s="46" t="s">
        <v>507</v>
      </c>
      <c r="Q582" s="35" t="str">
        <f>MID(Tabla1[[#This Row],[Aplicación]],14,1)</f>
        <v>2</v>
      </c>
      <c r="R582" s="35" t="s">
        <v>495</v>
      </c>
      <c r="S582" s="35" t="str">
        <f>MID(Tabla1[[#This Row],[Aplicación]],6,2)</f>
        <v>08</v>
      </c>
      <c r="T582" s="35" t="str">
        <f>VLOOKUP(Tabla1[[#This Row],[AREA]],Hoja1!A:B,2,FALSE)</f>
        <v>08. Movilidad y espacio urbano</v>
      </c>
      <c r="U582" s="35" t="str">
        <f>MID(Tabla1[[#This Row],[Aplicación]],9,4)</f>
        <v>1341</v>
      </c>
      <c r="V582" s="35" t="str">
        <f>VLOOKUP(Tabla1[[#This Row],[PROGRAMA]],Hoja1!A:B,2,FALSE)</f>
        <v>1341. Movilidad</v>
      </c>
      <c r="W582" s="35" t="str">
        <f>MID(Tabla1[[#This Row],[Aplicación]],14,2)</f>
        <v>22</v>
      </c>
      <c r="X582" s="35" t="str">
        <f>MID(Tabla1[[#This Row],[Aplicación]],14,6)</f>
        <v>22799</v>
      </c>
    </row>
    <row r="583" spans="1:24" x14ac:dyDescent="0.25">
      <c r="A583" s="45">
        <v>220199000334</v>
      </c>
      <c r="B583" s="46" t="s">
        <v>9</v>
      </c>
      <c r="C583" s="47">
        <v>44198</v>
      </c>
      <c r="D583" s="45">
        <v>22021000145</v>
      </c>
      <c r="E583" s="46" t="s">
        <v>1589</v>
      </c>
      <c r="F583" s="48">
        <v>406016.97</v>
      </c>
      <c r="G583" s="46" t="s">
        <v>129</v>
      </c>
      <c r="H583" s="46" t="s">
        <v>614</v>
      </c>
      <c r="I583" s="45" t="s">
        <v>125</v>
      </c>
      <c r="J583" s="46" t="s">
        <v>126</v>
      </c>
      <c r="K583" s="46" t="s">
        <v>126</v>
      </c>
      <c r="L583" s="46" t="s">
        <v>19</v>
      </c>
      <c r="M583" s="46" t="s">
        <v>13</v>
      </c>
      <c r="N583" s="46" t="s">
        <v>14</v>
      </c>
      <c r="O583" s="49" t="s">
        <v>803</v>
      </c>
      <c r="P583" s="46" t="s">
        <v>507</v>
      </c>
      <c r="Q583" s="35" t="str">
        <f>MID(Tabla1[[#This Row],[Aplicación]],14,1)</f>
        <v>2</v>
      </c>
      <c r="R583" s="35" t="s">
        <v>495</v>
      </c>
      <c r="S583" s="35" t="str">
        <f>MID(Tabla1[[#This Row],[Aplicación]],6,2)</f>
        <v>08</v>
      </c>
      <c r="T583" s="35" t="str">
        <f>VLOOKUP(Tabla1[[#This Row],[AREA]],Hoja1!A:B,2,FALSE)</f>
        <v>08. Movilidad y espacio urbano</v>
      </c>
      <c r="U583" s="35" t="str">
        <f>MID(Tabla1[[#This Row],[Aplicación]],9,4)</f>
        <v>1341</v>
      </c>
      <c r="V583" s="35" t="str">
        <f>VLOOKUP(Tabla1[[#This Row],[PROGRAMA]],Hoja1!A:B,2,FALSE)</f>
        <v>1341. Movilidad</v>
      </c>
      <c r="W583" s="35" t="str">
        <f>MID(Tabla1[[#This Row],[Aplicación]],14,2)</f>
        <v>22</v>
      </c>
      <c r="X583" s="35" t="str">
        <f>MID(Tabla1[[#This Row],[Aplicación]],14,6)</f>
        <v>22799</v>
      </c>
    </row>
    <row r="584" spans="1:24" x14ac:dyDescent="0.25">
      <c r="A584" s="45">
        <v>220210012923</v>
      </c>
      <c r="B584" s="46" t="s">
        <v>9</v>
      </c>
      <c r="C584" s="47">
        <v>44284</v>
      </c>
      <c r="D584" s="45">
        <v>22020000040</v>
      </c>
      <c r="E584" s="46" t="s">
        <v>1589</v>
      </c>
      <c r="F584" s="48">
        <v>465306.09</v>
      </c>
      <c r="G584" s="46" t="s">
        <v>129</v>
      </c>
      <c r="H584" s="46" t="s">
        <v>18</v>
      </c>
      <c r="I584" s="45" t="s">
        <v>125</v>
      </c>
      <c r="J584" s="46" t="s">
        <v>126</v>
      </c>
      <c r="K584" s="46" t="s">
        <v>126</v>
      </c>
      <c r="L584" s="46" t="s">
        <v>19</v>
      </c>
      <c r="M584" s="46" t="s">
        <v>13</v>
      </c>
      <c r="N584" s="46" t="s">
        <v>14</v>
      </c>
      <c r="O584" s="49" t="s">
        <v>803</v>
      </c>
      <c r="P584" s="46" t="s">
        <v>507</v>
      </c>
      <c r="Q584" s="35" t="str">
        <f>MID(Tabla1[[#This Row],[Aplicación]],14,1)</f>
        <v>2</v>
      </c>
      <c r="R584" s="35" t="s">
        <v>495</v>
      </c>
      <c r="S584" s="35" t="str">
        <f>MID(Tabla1[[#This Row],[Aplicación]],6,2)</f>
        <v>08</v>
      </c>
      <c r="T584" s="35" t="str">
        <f>VLOOKUP(Tabla1[[#This Row],[AREA]],Hoja1!A:B,2,FALSE)</f>
        <v>08. Movilidad y espacio urbano</v>
      </c>
      <c r="U584" s="35" t="str">
        <f>MID(Tabla1[[#This Row],[Aplicación]],9,4)</f>
        <v>1341</v>
      </c>
      <c r="V584" s="35" t="str">
        <f>VLOOKUP(Tabla1[[#This Row],[PROGRAMA]],Hoja1!A:B,2,FALSE)</f>
        <v>1341. Movilidad</v>
      </c>
      <c r="W584" s="35" t="str">
        <f>MID(Tabla1[[#This Row],[Aplicación]],14,2)</f>
        <v>22</v>
      </c>
      <c r="X584" s="35" t="str">
        <f>MID(Tabla1[[#This Row],[Aplicación]],14,6)</f>
        <v>22799</v>
      </c>
    </row>
    <row r="585" spans="1:24" x14ac:dyDescent="0.25">
      <c r="A585" s="45">
        <v>220210010470</v>
      </c>
      <c r="B585" s="46" t="s">
        <v>204</v>
      </c>
      <c r="C585" s="47">
        <v>44277</v>
      </c>
      <c r="D585" s="45">
        <v>22021002088</v>
      </c>
      <c r="E585" s="46" t="s">
        <v>1478</v>
      </c>
      <c r="F585" s="48">
        <v>1451.72</v>
      </c>
      <c r="G585" s="46" t="s">
        <v>288</v>
      </c>
      <c r="H585" s="46" t="s">
        <v>1590</v>
      </c>
      <c r="I585" s="45" t="s">
        <v>205</v>
      </c>
      <c r="J585" s="46" t="s">
        <v>664</v>
      </c>
      <c r="K585" s="46" t="s">
        <v>127</v>
      </c>
      <c r="L585" s="46" t="s">
        <v>15</v>
      </c>
      <c r="M585" s="46" t="s">
        <v>13</v>
      </c>
      <c r="N585" s="46" t="s">
        <v>16</v>
      </c>
      <c r="O585" s="49" t="s">
        <v>814</v>
      </c>
      <c r="P585" s="46" t="s">
        <v>507</v>
      </c>
      <c r="Q585" s="35" t="str">
        <f>MID(Tabla1[[#This Row],[Aplicación]],14,1)</f>
        <v>2</v>
      </c>
      <c r="R585" s="35" t="s">
        <v>495</v>
      </c>
      <c r="S585" s="35" t="str">
        <f>MID(Tabla1[[#This Row],[Aplicación]],6,2)</f>
        <v>03</v>
      </c>
      <c r="T585" s="35" t="str">
        <f>VLOOKUP(Tabla1[[#This Row],[AREA]],Hoja1!A:B,2,FALSE)</f>
        <v>03. Participación ciudadana y deportes</v>
      </c>
      <c r="U585" s="35" t="str">
        <f>MID(Tabla1[[#This Row],[Aplicación]],9,4)</f>
        <v>9241</v>
      </c>
      <c r="V585" s="35" t="str">
        <f>VLOOKUP(Tabla1[[#This Row],[PROGRAMA]],Hoja1!A:B,2,FALSE)</f>
        <v>9241. Participación ciudadana</v>
      </c>
      <c r="W585" s="35" t="str">
        <f>MID(Tabla1[[#This Row],[Aplicación]],14,2)</f>
        <v>21</v>
      </c>
      <c r="X585" s="35" t="str">
        <f>MID(Tabla1[[#This Row],[Aplicación]],14,6)</f>
        <v>212</v>
      </c>
    </row>
    <row r="586" spans="1:24" x14ac:dyDescent="0.25">
      <c r="A586" s="45">
        <v>220210010481</v>
      </c>
      <c r="B586" s="46" t="s">
        <v>204</v>
      </c>
      <c r="C586" s="47">
        <v>44277</v>
      </c>
      <c r="D586" s="45">
        <v>22021002228</v>
      </c>
      <c r="E586" s="46" t="s">
        <v>1471</v>
      </c>
      <c r="F586" s="48">
        <v>666.4</v>
      </c>
      <c r="G586" s="46" t="s">
        <v>288</v>
      </c>
      <c r="H586" s="46" t="s">
        <v>1591</v>
      </c>
      <c r="I586" s="45" t="s">
        <v>205</v>
      </c>
      <c r="J586" s="46" t="s">
        <v>664</v>
      </c>
      <c r="K586" s="46" t="s">
        <v>127</v>
      </c>
      <c r="L586" s="46" t="s">
        <v>15</v>
      </c>
      <c r="M586" s="46" t="s">
        <v>13</v>
      </c>
      <c r="N586" s="46" t="s">
        <v>16</v>
      </c>
      <c r="O586" s="49" t="s">
        <v>814</v>
      </c>
      <c r="P586" s="46" t="s">
        <v>507</v>
      </c>
      <c r="Q586" s="35" t="str">
        <f>MID(Tabla1[[#This Row],[Aplicación]],14,1)</f>
        <v>2</v>
      </c>
      <c r="R586" s="35" t="s">
        <v>495</v>
      </c>
      <c r="S586" s="35" t="str">
        <f>MID(Tabla1[[#This Row],[Aplicación]],6,2)</f>
        <v>06</v>
      </c>
      <c r="T586" s="35" t="str">
        <f>VLOOKUP(Tabla1[[#This Row],[AREA]],Hoja1!A:B,2,FALSE)</f>
        <v>06. Educación, infancia, juventud e igualdad</v>
      </c>
      <c r="U586" s="35" t="str">
        <f>MID(Tabla1[[#This Row],[Aplicación]],9,4)</f>
        <v>3232</v>
      </c>
      <c r="V586" s="35" t="str">
        <f>VLOOKUP(Tabla1[[#This Row],[PROGRAMA]],Hoja1!A:B,2,FALSE)</f>
        <v>3232. Conservación y mantenimiento centros educación infantil y primaria</v>
      </c>
      <c r="W586" s="35" t="str">
        <f>MID(Tabla1[[#This Row],[Aplicación]],14,2)</f>
        <v>21</v>
      </c>
      <c r="X586" s="35" t="str">
        <f>MID(Tabla1[[#This Row],[Aplicación]],14,6)</f>
        <v>212</v>
      </c>
    </row>
    <row r="587" spans="1:24" x14ac:dyDescent="0.25">
      <c r="A587" s="45">
        <v>220209000405</v>
      </c>
      <c r="B587" s="46" t="s">
        <v>9</v>
      </c>
      <c r="C587" s="47">
        <v>44198</v>
      </c>
      <c r="D587" s="45">
        <v>22021000291</v>
      </c>
      <c r="E587" s="46" t="s">
        <v>1592</v>
      </c>
      <c r="F587" s="48">
        <v>5000</v>
      </c>
      <c r="G587" s="46" t="s">
        <v>225</v>
      </c>
      <c r="H587" s="46" t="s">
        <v>1593</v>
      </c>
      <c r="I587" s="45" t="s">
        <v>125</v>
      </c>
      <c r="J587" s="46" t="s">
        <v>126</v>
      </c>
      <c r="K587" s="46" t="s">
        <v>126</v>
      </c>
      <c r="L587" s="46" t="s">
        <v>12</v>
      </c>
      <c r="M587" s="46" t="s">
        <v>13</v>
      </c>
      <c r="N587" s="46" t="s">
        <v>14</v>
      </c>
      <c r="O587" s="49" t="s">
        <v>803</v>
      </c>
      <c r="P587" s="46" t="s">
        <v>507</v>
      </c>
      <c r="Q587" s="35" t="str">
        <f>MID(Tabla1[[#This Row],[Aplicación]],14,1)</f>
        <v>6</v>
      </c>
      <c r="R587" s="35" t="s">
        <v>496</v>
      </c>
      <c r="S587" s="35" t="str">
        <f>MID(Tabla1[[#This Row],[Aplicación]],6,2)</f>
        <v>11</v>
      </c>
      <c r="T587" s="35" t="str">
        <f>VLOOKUP(Tabla1[[#This Row],[AREA]],Hoja1!A:B,2,FALSE)</f>
        <v>11. Salud pública y seguridad ciudadana</v>
      </c>
      <c r="U587" s="35" t="str">
        <f>MID(Tabla1[[#This Row],[Aplicación]],9,4)</f>
        <v>1361</v>
      </c>
      <c r="V587" s="35" t="str">
        <f>VLOOKUP(Tabla1[[#This Row],[PROGRAMA]],Hoja1!A:B,2,FALSE)</f>
        <v>1361. Prevención y extinción de incencios</v>
      </c>
      <c r="W587" s="35" t="str">
        <f>MID(Tabla1[[#This Row],[Aplicación]],14,2)</f>
        <v>63</v>
      </c>
      <c r="X587" s="35" t="str">
        <f>MID(Tabla1[[#This Row],[Aplicación]],14,6)</f>
        <v>633</v>
      </c>
    </row>
    <row r="588" spans="1:24" x14ac:dyDescent="0.25">
      <c r="A588" s="45">
        <v>220210012894</v>
      </c>
      <c r="B588" s="46" t="s">
        <v>9</v>
      </c>
      <c r="C588" s="47">
        <v>44284</v>
      </c>
      <c r="D588" s="45">
        <v>22021003569</v>
      </c>
      <c r="E588" s="46" t="s">
        <v>980</v>
      </c>
      <c r="F588" s="48">
        <v>4600.42</v>
      </c>
      <c r="G588" s="46" t="s">
        <v>225</v>
      </c>
      <c r="H588" s="46" t="s">
        <v>1594</v>
      </c>
      <c r="I588" s="45" t="s">
        <v>125</v>
      </c>
      <c r="J588" s="46" t="s">
        <v>126</v>
      </c>
      <c r="K588" s="46" t="s">
        <v>126</v>
      </c>
      <c r="L588" s="46" t="s">
        <v>12</v>
      </c>
      <c r="M588" s="46" t="s">
        <v>10</v>
      </c>
      <c r="N588" s="46" t="s">
        <v>11</v>
      </c>
      <c r="O588" s="49" t="s">
        <v>815</v>
      </c>
      <c r="P588" s="46" t="s">
        <v>507</v>
      </c>
      <c r="Q588" s="35" t="str">
        <f>MID(Tabla1[[#This Row],[Aplicación]],14,1)</f>
        <v>2</v>
      </c>
      <c r="R588" s="35" t="s">
        <v>495</v>
      </c>
      <c r="S588" s="35" t="str">
        <f>MID(Tabla1[[#This Row],[Aplicación]],6,2)</f>
        <v>11</v>
      </c>
      <c r="T588" s="35" t="str">
        <f>VLOOKUP(Tabla1[[#This Row],[AREA]],Hoja1!A:B,2,FALSE)</f>
        <v>11. Salud pública y seguridad ciudadana</v>
      </c>
      <c r="U588" s="35" t="str">
        <f>MID(Tabla1[[#This Row],[Aplicación]],9,4)</f>
        <v>1361</v>
      </c>
      <c r="V588" s="35" t="str">
        <f>VLOOKUP(Tabla1[[#This Row],[PROGRAMA]],Hoja1!A:B,2,FALSE)</f>
        <v>1361. Prevención y extinción de incencios</v>
      </c>
      <c r="W588" s="35" t="str">
        <f>MID(Tabla1[[#This Row],[Aplicación]],14,2)</f>
        <v>21</v>
      </c>
      <c r="X588" s="35" t="str">
        <f>MID(Tabla1[[#This Row],[Aplicación]],14,6)</f>
        <v>213</v>
      </c>
    </row>
    <row r="589" spans="1:24" x14ac:dyDescent="0.25">
      <c r="A589" s="45">
        <v>220210003993</v>
      </c>
      <c r="B589" s="46" t="s">
        <v>9</v>
      </c>
      <c r="C589" s="47">
        <v>44244</v>
      </c>
      <c r="D589" s="45">
        <v>22021002566</v>
      </c>
      <c r="E589" s="46" t="s">
        <v>866</v>
      </c>
      <c r="F589" s="48">
        <v>2108.91</v>
      </c>
      <c r="G589" s="46" t="s">
        <v>755</v>
      </c>
      <c r="H589" s="46" t="s">
        <v>1595</v>
      </c>
      <c r="I589" s="45" t="s">
        <v>125</v>
      </c>
      <c r="J589" s="46" t="s">
        <v>756</v>
      </c>
      <c r="K589" s="46" t="s">
        <v>215</v>
      </c>
      <c r="L589" s="46" t="s">
        <v>15</v>
      </c>
      <c r="M589" s="46" t="s">
        <v>10</v>
      </c>
      <c r="N589" s="46" t="s">
        <v>11</v>
      </c>
      <c r="O589" s="49" t="s">
        <v>815</v>
      </c>
      <c r="P589" s="46" t="s">
        <v>507</v>
      </c>
      <c r="Q589" s="35" t="str">
        <f>MID(Tabla1[[#This Row],[Aplicación]],14,1)</f>
        <v>2</v>
      </c>
      <c r="R589" s="35" t="s">
        <v>495</v>
      </c>
      <c r="S589" s="35" t="str">
        <f>MID(Tabla1[[#This Row],[Aplicación]],6,2)</f>
        <v>07</v>
      </c>
      <c r="T589" s="35" t="str">
        <f>VLOOKUP(Tabla1[[#This Row],[AREA]],Hoja1!A:B,2,FALSE)</f>
        <v>07. Medio ambiente y desarrollo sostenible</v>
      </c>
      <c r="U589" s="35" t="str">
        <f>MID(Tabla1[[#This Row],[Aplicación]],9,4)</f>
        <v>1721</v>
      </c>
      <c r="V589" s="35" t="str">
        <f>VLOOKUP(Tabla1[[#This Row],[PROGRAMA]],Hoja1!A:B,2,FALSE)</f>
        <v>1721. Protección del medio ambiente</v>
      </c>
      <c r="W589" s="35" t="str">
        <f>MID(Tabla1[[#This Row],[Aplicación]],14,2)</f>
        <v>22</v>
      </c>
      <c r="X589" s="35" t="str">
        <f>MID(Tabla1[[#This Row],[Aplicación]],14,6)</f>
        <v>22199</v>
      </c>
    </row>
    <row r="590" spans="1:24" x14ac:dyDescent="0.25">
      <c r="A590" s="45">
        <v>220210001393</v>
      </c>
      <c r="B590" s="46" t="s">
        <v>9</v>
      </c>
      <c r="C590" s="47">
        <v>44228</v>
      </c>
      <c r="D590" s="45">
        <v>22021002124</v>
      </c>
      <c r="E590" s="46" t="s">
        <v>1596</v>
      </c>
      <c r="F590" s="48">
        <v>1584</v>
      </c>
      <c r="G590" s="46" t="s">
        <v>1597</v>
      </c>
      <c r="H590" s="46" t="s">
        <v>1598</v>
      </c>
      <c r="I590" s="45" t="s">
        <v>125</v>
      </c>
      <c r="J590" s="46" t="s">
        <v>127</v>
      </c>
      <c r="K590" s="46" t="s">
        <v>127</v>
      </c>
      <c r="L590" s="46" t="s">
        <v>12</v>
      </c>
      <c r="M590" s="46" t="s">
        <v>10</v>
      </c>
      <c r="N590" s="46" t="s">
        <v>11</v>
      </c>
      <c r="O590" s="49" t="s">
        <v>815</v>
      </c>
      <c r="P590" s="46" t="s">
        <v>507</v>
      </c>
      <c r="Q590" s="35" t="str">
        <f>MID(Tabla1[[#This Row],[Aplicación]],14,1)</f>
        <v>2</v>
      </c>
      <c r="R590" s="35" t="s">
        <v>495</v>
      </c>
      <c r="S590" s="35" t="str">
        <f>MID(Tabla1[[#This Row],[Aplicación]],6,2)</f>
        <v>11</v>
      </c>
      <c r="T590" s="35" t="str">
        <f>VLOOKUP(Tabla1[[#This Row],[AREA]],Hoja1!A:B,2,FALSE)</f>
        <v>11. Salud pública y seguridad ciudadana</v>
      </c>
      <c r="U590" s="35" t="str">
        <f>MID(Tabla1[[#This Row],[Aplicación]],9,4)</f>
        <v>1321</v>
      </c>
      <c r="V590" s="35" t="str">
        <f>VLOOKUP(Tabla1[[#This Row],[PROGRAMA]],Hoja1!A:B,2,FALSE)</f>
        <v>1321. Policía municipal</v>
      </c>
      <c r="W590" s="35" t="str">
        <f>MID(Tabla1[[#This Row],[Aplicación]],14,2)</f>
        <v>22</v>
      </c>
      <c r="X590" s="35" t="str">
        <f>MID(Tabla1[[#This Row],[Aplicación]],14,6)</f>
        <v>22699</v>
      </c>
    </row>
    <row r="591" spans="1:24" x14ac:dyDescent="0.25">
      <c r="A591" s="45">
        <v>220210002420</v>
      </c>
      <c r="B591" s="46" t="s">
        <v>9</v>
      </c>
      <c r="C591" s="47">
        <v>44235</v>
      </c>
      <c r="D591" s="45">
        <v>22021002230</v>
      </c>
      <c r="E591" s="46" t="s">
        <v>1599</v>
      </c>
      <c r="F591" s="48">
        <v>583.34</v>
      </c>
      <c r="G591" s="46" t="s">
        <v>1597</v>
      </c>
      <c r="H591" s="46" t="s">
        <v>1600</v>
      </c>
      <c r="I591" s="45" t="s">
        <v>125</v>
      </c>
      <c r="J591" s="46" t="s">
        <v>127</v>
      </c>
      <c r="K591" s="46" t="s">
        <v>127</v>
      </c>
      <c r="L591" s="46" t="s">
        <v>12</v>
      </c>
      <c r="M591" s="46" t="s">
        <v>10</v>
      </c>
      <c r="N591" s="46" t="s">
        <v>11</v>
      </c>
      <c r="O591" s="49" t="s">
        <v>815</v>
      </c>
      <c r="P591" s="46" t="s">
        <v>507</v>
      </c>
      <c r="Q591" s="35" t="str">
        <f>MID(Tabla1[[#This Row],[Aplicación]],14,1)</f>
        <v>2</v>
      </c>
      <c r="R591" s="35" t="s">
        <v>495</v>
      </c>
      <c r="S591" s="35" t="str">
        <f>MID(Tabla1[[#This Row],[Aplicación]],6,2)</f>
        <v>10</v>
      </c>
      <c r="T591" s="35" t="str">
        <f>VLOOKUP(Tabla1[[#This Row],[AREA]],Hoja1!A:B,2,FALSE)</f>
        <v>10. Servicios sociales y mediación comunitaria</v>
      </c>
      <c r="U591" s="35" t="str">
        <f>MID(Tabla1[[#This Row],[Aplicación]],9,4)</f>
        <v>2412</v>
      </c>
      <c r="V591" s="35" t="str">
        <f>VLOOKUP(Tabla1[[#This Row],[PROGRAMA]],Hoja1!A:B,2,FALSE)</f>
        <v>2412. Formación para el empleo</v>
      </c>
      <c r="W591" s="35" t="str">
        <f>MID(Tabla1[[#This Row],[Aplicación]],14,2)</f>
        <v>22</v>
      </c>
      <c r="X591" s="35" t="str">
        <f>MID(Tabla1[[#This Row],[Aplicación]],14,6)</f>
        <v>223</v>
      </c>
    </row>
    <row r="592" spans="1:24" x14ac:dyDescent="0.25">
      <c r="A592" s="45">
        <v>220210002420</v>
      </c>
      <c r="B592" s="46" t="s">
        <v>9</v>
      </c>
      <c r="C592" s="47">
        <v>44235</v>
      </c>
      <c r="D592" s="45">
        <v>22021002231</v>
      </c>
      <c r="E592" s="46" t="s">
        <v>1599</v>
      </c>
      <c r="F592" s="48">
        <v>166.68</v>
      </c>
      <c r="G592" s="46" t="s">
        <v>1597</v>
      </c>
      <c r="H592" s="46" t="s">
        <v>1600</v>
      </c>
      <c r="I592" s="45" t="s">
        <v>125</v>
      </c>
      <c r="J592" s="46" t="s">
        <v>127</v>
      </c>
      <c r="K592" s="46" t="s">
        <v>127</v>
      </c>
      <c r="L592" s="46" t="s">
        <v>12</v>
      </c>
      <c r="M592" s="46" t="s">
        <v>10</v>
      </c>
      <c r="N592" s="46" t="s">
        <v>11</v>
      </c>
      <c r="O592" s="49" t="s">
        <v>815</v>
      </c>
      <c r="P592" s="46" t="s">
        <v>507</v>
      </c>
      <c r="Q592" s="35" t="str">
        <f>MID(Tabla1[[#This Row],[Aplicación]],14,1)</f>
        <v>2</v>
      </c>
      <c r="R592" s="35" t="s">
        <v>495</v>
      </c>
      <c r="S592" s="35" t="str">
        <f>MID(Tabla1[[#This Row],[Aplicación]],6,2)</f>
        <v>10</v>
      </c>
      <c r="T592" s="35" t="str">
        <f>VLOOKUP(Tabla1[[#This Row],[AREA]],Hoja1!A:B,2,FALSE)</f>
        <v>10. Servicios sociales y mediación comunitaria</v>
      </c>
      <c r="U592" s="35" t="str">
        <f>MID(Tabla1[[#This Row],[Aplicación]],9,4)</f>
        <v>2412</v>
      </c>
      <c r="V592" s="35" t="str">
        <f>VLOOKUP(Tabla1[[#This Row],[PROGRAMA]],Hoja1!A:B,2,FALSE)</f>
        <v>2412. Formación para el empleo</v>
      </c>
      <c r="W592" s="35" t="str">
        <f>MID(Tabla1[[#This Row],[Aplicación]],14,2)</f>
        <v>22</v>
      </c>
      <c r="X592" s="35" t="str">
        <f>MID(Tabla1[[#This Row],[Aplicación]],14,6)</f>
        <v>223</v>
      </c>
    </row>
    <row r="593" spans="1:24" x14ac:dyDescent="0.25">
      <c r="A593" s="45">
        <v>220210004016</v>
      </c>
      <c r="B593" s="46" t="s">
        <v>9</v>
      </c>
      <c r="C593" s="47">
        <v>44244</v>
      </c>
      <c r="D593" s="45">
        <v>22021002076</v>
      </c>
      <c r="E593" s="46" t="s">
        <v>1263</v>
      </c>
      <c r="F593" s="48">
        <v>4454.76</v>
      </c>
      <c r="G593" s="46" t="s">
        <v>182</v>
      </c>
      <c r="H593" s="46" t="s">
        <v>1601</v>
      </c>
      <c r="I593" s="45" t="s">
        <v>125</v>
      </c>
      <c r="J593" s="46" t="s">
        <v>144</v>
      </c>
      <c r="K593" s="46" t="s">
        <v>144</v>
      </c>
      <c r="L593" s="46" t="s">
        <v>12</v>
      </c>
      <c r="M593" s="46" t="s">
        <v>10</v>
      </c>
      <c r="N593" s="46" t="s">
        <v>11</v>
      </c>
      <c r="O593" s="49" t="s">
        <v>815</v>
      </c>
      <c r="P593" s="46" t="s">
        <v>507</v>
      </c>
      <c r="Q593" s="35" t="str">
        <f>MID(Tabla1[[#This Row],[Aplicación]],14,1)</f>
        <v>2</v>
      </c>
      <c r="R593" s="35" t="s">
        <v>495</v>
      </c>
      <c r="S593" s="35" t="str">
        <f>MID(Tabla1[[#This Row],[Aplicación]],6,2)</f>
        <v>02</v>
      </c>
      <c r="T593" s="35" t="str">
        <f>VLOOKUP(Tabla1[[#This Row],[AREA]],Hoja1!A:B,2,FALSE)</f>
        <v>02. Planeamiento urbanístico y vivienda</v>
      </c>
      <c r="U593" s="35" t="str">
        <f>MID(Tabla1[[#This Row],[Aplicación]],9,4)</f>
        <v>9332</v>
      </c>
      <c r="V593" s="35" t="str">
        <f>VLOOKUP(Tabla1[[#This Row],[PROGRAMA]],Hoja1!A:B,2,FALSE)</f>
        <v>9332. Mantenimiento de edificios e instalaciones municipales</v>
      </c>
      <c r="W593" s="35" t="str">
        <f>MID(Tabla1[[#This Row],[Aplicación]],14,2)</f>
        <v>21</v>
      </c>
      <c r="X593" s="35" t="str">
        <f>MID(Tabla1[[#This Row],[Aplicación]],14,6)</f>
        <v>213</v>
      </c>
    </row>
    <row r="594" spans="1:24" x14ac:dyDescent="0.25">
      <c r="A594" s="45">
        <v>220210004017</v>
      </c>
      <c r="B594" s="46" t="s">
        <v>9</v>
      </c>
      <c r="C594" s="47">
        <v>44244</v>
      </c>
      <c r="D594" s="45">
        <v>22021002079</v>
      </c>
      <c r="E594" s="46" t="s">
        <v>1263</v>
      </c>
      <c r="F594" s="48">
        <v>4080.36</v>
      </c>
      <c r="G594" s="46" t="s">
        <v>182</v>
      </c>
      <c r="H594" s="46" t="s">
        <v>1602</v>
      </c>
      <c r="I594" s="45" t="s">
        <v>125</v>
      </c>
      <c r="J594" s="46" t="s">
        <v>144</v>
      </c>
      <c r="K594" s="46" t="s">
        <v>144</v>
      </c>
      <c r="L594" s="46" t="s">
        <v>12</v>
      </c>
      <c r="M594" s="46" t="s">
        <v>10</v>
      </c>
      <c r="N594" s="46" t="s">
        <v>11</v>
      </c>
      <c r="O594" s="49" t="s">
        <v>815</v>
      </c>
      <c r="P594" s="46" t="s">
        <v>507</v>
      </c>
      <c r="Q594" s="35" t="str">
        <f>MID(Tabla1[[#This Row],[Aplicación]],14,1)</f>
        <v>2</v>
      </c>
      <c r="R594" s="35" t="s">
        <v>495</v>
      </c>
      <c r="S594" s="35" t="str">
        <f>MID(Tabla1[[#This Row],[Aplicación]],6,2)</f>
        <v>02</v>
      </c>
      <c r="T594" s="35" t="str">
        <f>VLOOKUP(Tabla1[[#This Row],[AREA]],Hoja1!A:B,2,FALSE)</f>
        <v>02. Planeamiento urbanístico y vivienda</v>
      </c>
      <c r="U594" s="35" t="str">
        <f>MID(Tabla1[[#This Row],[Aplicación]],9,4)</f>
        <v>9332</v>
      </c>
      <c r="V594" s="35" t="str">
        <f>VLOOKUP(Tabla1[[#This Row],[PROGRAMA]],Hoja1!A:B,2,FALSE)</f>
        <v>9332. Mantenimiento de edificios e instalaciones municipales</v>
      </c>
      <c r="W594" s="35" t="str">
        <f>MID(Tabla1[[#This Row],[Aplicación]],14,2)</f>
        <v>21</v>
      </c>
      <c r="X594" s="35" t="str">
        <f>MID(Tabla1[[#This Row],[Aplicación]],14,6)</f>
        <v>213</v>
      </c>
    </row>
    <row r="595" spans="1:24" x14ac:dyDescent="0.25">
      <c r="A595" s="45">
        <v>220209000475</v>
      </c>
      <c r="B595" s="46" t="s">
        <v>9</v>
      </c>
      <c r="C595" s="47">
        <v>44198</v>
      </c>
      <c r="D595" s="45">
        <v>22021000075</v>
      </c>
      <c r="E595" s="46" t="s">
        <v>1454</v>
      </c>
      <c r="F595" s="48">
        <v>8424.0400000000009</v>
      </c>
      <c r="G595" s="46" t="s">
        <v>257</v>
      </c>
      <c r="H595" s="46" t="s">
        <v>1603</v>
      </c>
      <c r="I595" s="45" t="s">
        <v>125</v>
      </c>
      <c r="J595" s="46" t="s">
        <v>127</v>
      </c>
      <c r="K595" s="46" t="s">
        <v>127</v>
      </c>
      <c r="L595" s="46" t="s">
        <v>15</v>
      </c>
      <c r="M595" s="46" t="s">
        <v>13</v>
      </c>
      <c r="N595" s="46" t="s">
        <v>14</v>
      </c>
      <c r="O595" s="49" t="s">
        <v>803</v>
      </c>
      <c r="P595" s="46" t="s">
        <v>507</v>
      </c>
      <c r="Q595" s="35" t="str">
        <f>MID(Tabla1[[#This Row],[Aplicación]],14,1)</f>
        <v>2</v>
      </c>
      <c r="R595" s="35" t="s">
        <v>495</v>
      </c>
      <c r="S595" s="35" t="str">
        <f>MID(Tabla1[[#This Row],[Aplicación]],6,2)</f>
        <v>07</v>
      </c>
      <c r="T595" s="35" t="str">
        <f>VLOOKUP(Tabla1[[#This Row],[AREA]],Hoja1!A:B,2,FALSE)</f>
        <v>07. Medio ambiente y desarrollo sostenible</v>
      </c>
      <c r="U595" s="35" t="str">
        <f>MID(Tabla1[[#This Row],[Aplicación]],9,4)</f>
        <v>1711</v>
      </c>
      <c r="V595" s="35" t="str">
        <f>VLOOKUP(Tabla1[[#This Row],[PROGRAMA]],Hoja1!A:B,2,FALSE)</f>
        <v>1711. Parques y jardines</v>
      </c>
      <c r="W595" s="35" t="str">
        <f>MID(Tabla1[[#This Row],[Aplicación]],14,2)</f>
        <v>22</v>
      </c>
      <c r="X595" s="35" t="str">
        <f>MID(Tabla1[[#This Row],[Aplicación]],14,6)</f>
        <v>22104</v>
      </c>
    </row>
    <row r="596" spans="1:24" x14ac:dyDescent="0.25">
      <c r="A596" s="45">
        <v>220210002796</v>
      </c>
      <c r="B596" s="46" t="s">
        <v>204</v>
      </c>
      <c r="C596" s="47">
        <v>44237</v>
      </c>
      <c r="D596" s="45">
        <v>22021002228</v>
      </c>
      <c r="E596" s="46" t="s">
        <v>1471</v>
      </c>
      <c r="F596" s="48">
        <v>15.15</v>
      </c>
      <c r="G596" s="46" t="s">
        <v>257</v>
      </c>
      <c r="H596" s="46" t="s">
        <v>1604</v>
      </c>
      <c r="I596" s="45" t="s">
        <v>205</v>
      </c>
      <c r="J596" s="46" t="s">
        <v>127</v>
      </c>
      <c r="K596" s="46" t="s">
        <v>127</v>
      </c>
      <c r="L596" s="46" t="s">
        <v>15</v>
      </c>
      <c r="M596" s="46" t="s">
        <v>13</v>
      </c>
      <c r="N596" s="46" t="s">
        <v>14</v>
      </c>
      <c r="O596" s="49" t="s">
        <v>814</v>
      </c>
      <c r="P596" s="46" t="s">
        <v>507</v>
      </c>
      <c r="Q596" s="35" t="str">
        <f>MID(Tabla1[[#This Row],[Aplicación]],14,1)</f>
        <v>2</v>
      </c>
      <c r="R596" s="35" t="s">
        <v>495</v>
      </c>
      <c r="S596" s="35" t="str">
        <f>MID(Tabla1[[#This Row],[Aplicación]],6,2)</f>
        <v>06</v>
      </c>
      <c r="T596" s="35" t="str">
        <f>VLOOKUP(Tabla1[[#This Row],[AREA]],Hoja1!A:B,2,FALSE)</f>
        <v>06. Educación, infancia, juventud e igualdad</v>
      </c>
      <c r="U596" s="35" t="str">
        <f>MID(Tabla1[[#This Row],[Aplicación]],9,4)</f>
        <v>3232</v>
      </c>
      <c r="V596" s="35" t="str">
        <f>VLOOKUP(Tabla1[[#This Row],[PROGRAMA]],Hoja1!A:B,2,FALSE)</f>
        <v>3232. Conservación y mantenimiento centros educación infantil y primaria</v>
      </c>
      <c r="W596" s="35" t="str">
        <f>MID(Tabla1[[#This Row],[Aplicación]],14,2)</f>
        <v>21</v>
      </c>
      <c r="X596" s="35" t="str">
        <f>MID(Tabla1[[#This Row],[Aplicación]],14,6)</f>
        <v>212</v>
      </c>
    </row>
    <row r="597" spans="1:24" x14ac:dyDescent="0.25">
      <c r="A597" s="45">
        <v>220210003215</v>
      </c>
      <c r="B597" s="46" t="s">
        <v>204</v>
      </c>
      <c r="C597" s="47">
        <v>44239</v>
      </c>
      <c r="D597" s="45">
        <v>22021002089</v>
      </c>
      <c r="E597" s="46" t="s">
        <v>1220</v>
      </c>
      <c r="F597" s="48">
        <v>4.49</v>
      </c>
      <c r="G597" s="46" t="s">
        <v>257</v>
      </c>
      <c r="H597" s="46" t="s">
        <v>1605</v>
      </c>
      <c r="I597" s="45" t="s">
        <v>205</v>
      </c>
      <c r="J597" s="46" t="s">
        <v>127</v>
      </c>
      <c r="K597" s="46" t="s">
        <v>127</v>
      </c>
      <c r="L597" s="46" t="s">
        <v>15</v>
      </c>
      <c r="M597" s="46" t="s">
        <v>13</v>
      </c>
      <c r="N597" s="46" t="s">
        <v>16</v>
      </c>
      <c r="O597" s="49" t="s">
        <v>814</v>
      </c>
      <c r="P597" s="46" t="s">
        <v>507</v>
      </c>
      <c r="Q597" s="35" t="str">
        <f>MID(Tabla1[[#This Row],[Aplicación]],14,1)</f>
        <v>2</v>
      </c>
      <c r="R597" s="35" t="s">
        <v>495</v>
      </c>
      <c r="S597" s="35" t="str">
        <f>MID(Tabla1[[#This Row],[Aplicación]],6,2)</f>
        <v>03</v>
      </c>
      <c r="T597" s="35" t="str">
        <f>VLOOKUP(Tabla1[[#This Row],[AREA]],Hoja1!A:B,2,FALSE)</f>
        <v>03. Participación ciudadana y deportes</v>
      </c>
      <c r="U597" s="35" t="str">
        <f>MID(Tabla1[[#This Row],[Aplicación]],9,4)</f>
        <v>9241</v>
      </c>
      <c r="V597" s="35" t="str">
        <f>VLOOKUP(Tabla1[[#This Row],[PROGRAMA]],Hoja1!A:B,2,FALSE)</f>
        <v>9241. Participación ciudadana</v>
      </c>
      <c r="W597" s="35" t="str">
        <f>MID(Tabla1[[#This Row],[Aplicación]],14,2)</f>
        <v>21</v>
      </c>
      <c r="X597" s="35" t="str">
        <f>MID(Tabla1[[#This Row],[Aplicación]],14,6)</f>
        <v>213</v>
      </c>
    </row>
    <row r="598" spans="1:24" x14ac:dyDescent="0.25">
      <c r="A598" s="45">
        <v>220210003243</v>
      </c>
      <c r="B598" s="46" t="s">
        <v>204</v>
      </c>
      <c r="C598" s="47">
        <v>44239</v>
      </c>
      <c r="D598" s="45">
        <v>22021002132</v>
      </c>
      <c r="E598" s="46" t="s">
        <v>1180</v>
      </c>
      <c r="F598" s="48">
        <v>1765.55</v>
      </c>
      <c r="G598" s="46" t="s">
        <v>257</v>
      </c>
      <c r="H598" s="46" t="s">
        <v>1606</v>
      </c>
      <c r="I598" s="45" t="s">
        <v>205</v>
      </c>
      <c r="J598" s="46" t="s">
        <v>127</v>
      </c>
      <c r="K598" s="46" t="s">
        <v>127</v>
      </c>
      <c r="L598" s="46" t="s">
        <v>15</v>
      </c>
      <c r="M598" s="46" t="s">
        <v>13</v>
      </c>
      <c r="N598" s="46" t="s">
        <v>14</v>
      </c>
      <c r="O598" s="49" t="s">
        <v>814</v>
      </c>
      <c r="P598" s="46" t="s">
        <v>507</v>
      </c>
      <c r="Q598" s="35" t="str">
        <f>MID(Tabla1[[#This Row],[Aplicación]],14,1)</f>
        <v>2</v>
      </c>
      <c r="R598" s="35" t="s">
        <v>495</v>
      </c>
      <c r="S598" s="35" t="str">
        <f>MID(Tabla1[[#This Row],[Aplicación]],6,2)</f>
        <v>08</v>
      </c>
      <c r="T598" s="35" t="str">
        <f>VLOOKUP(Tabla1[[#This Row],[AREA]],Hoja1!A:B,2,FALSE)</f>
        <v>08. Movilidad y espacio urbano</v>
      </c>
      <c r="U598" s="35" t="str">
        <f>MID(Tabla1[[#This Row],[Aplicación]],9,4)</f>
        <v>1532</v>
      </c>
      <c r="V598" s="35" t="str">
        <f>VLOOKUP(Tabla1[[#This Row],[PROGRAMA]],Hoja1!A:B,2,FALSE)</f>
        <v>1532. Pavimentación vias públicas y otros servicios urbanísticos</v>
      </c>
      <c r="W598" s="35" t="str">
        <f>MID(Tabla1[[#This Row],[Aplicación]],14,2)</f>
        <v>21</v>
      </c>
      <c r="X598" s="35" t="str">
        <f>MID(Tabla1[[#This Row],[Aplicación]],14,6)</f>
        <v>210</v>
      </c>
    </row>
    <row r="599" spans="1:24" x14ac:dyDescent="0.25">
      <c r="A599" s="45">
        <v>220210003271</v>
      </c>
      <c r="B599" s="46" t="s">
        <v>204</v>
      </c>
      <c r="C599" s="47">
        <v>44239</v>
      </c>
      <c r="D599" s="45">
        <v>22021002227</v>
      </c>
      <c r="E599" s="46" t="s">
        <v>1324</v>
      </c>
      <c r="F599" s="48">
        <v>8.65</v>
      </c>
      <c r="G599" s="46" t="s">
        <v>257</v>
      </c>
      <c r="H599" s="46" t="s">
        <v>1607</v>
      </c>
      <c r="I599" s="45" t="s">
        <v>205</v>
      </c>
      <c r="J599" s="46" t="s">
        <v>127</v>
      </c>
      <c r="K599" s="46" t="s">
        <v>127</v>
      </c>
      <c r="L599" s="46" t="s">
        <v>15</v>
      </c>
      <c r="M599" s="46" t="s">
        <v>13</v>
      </c>
      <c r="N599" s="46" t="s">
        <v>14</v>
      </c>
      <c r="O599" s="49" t="s">
        <v>814</v>
      </c>
      <c r="P599" s="46" t="s">
        <v>507</v>
      </c>
      <c r="Q599" s="35" t="str">
        <f>MID(Tabla1[[#This Row],[Aplicación]],14,1)</f>
        <v>2</v>
      </c>
      <c r="R599" s="35" t="s">
        <v>495</v>
      </c>
      <c r="S599" s="35" t="str">
        <f>MID(Tabla1[[#This Row],[Aplicación]],6,2)</f>
        <v>06</v>
      </c>
      <c r="T599" s="35" t="str">
        <f>VLOOKUP(Tabla1[[#This Row],[AREA]],Hoja1!A:B,2,FALSE)</f>
        <v>06. Educación, infancia, juventud e igualdad</v>
      </c>
      <c r="U599" s="35" t="str">
        <f>MID(Tabla1[[#This Row],[Aplicación]],9,4)</f>
        <v>3321</v>
      </c>
      <c r="V599" s="35" t="str">
        <f>VLOOKUP(Tabla1[[#This Row],[PROGRAMA]],Hoja1!A:B,2,FALSE)</f>
        <v>3321. Bibliotecas públicas</v>
      </c>
      <c r="W599" s="35" t="str">
        <f>MID(Tabla1[[#This Row],[Aplicación]],14,2)</f>
        <v>21</v>
      </c>
      <c r="X599" s="35" t="str">
        <f>MID(Tabla1[[#This Row],[Aplicación]],14,6)</f>
        <v>212</v>
      </c>
    </row>
    <row r="600" spans="1:24" x14ac:dyDescent="0.25">
      <c r="A600" s="45">
        <v>220210004120</v>
      </c>
      <c r="B600" s="46" t="s">
        <v>204</v>
      </c>
      <c r="C600" s="47">
        <v>44244</v>
      </c>
      <c r="D600" s="45">
        <v>22021001275</v>
      </c>
      <c r="E600" s="46" t="s">
        <v>1334</v>
      </c>
      <c r="F600" s="48">
        <v>452.59</v>
      </c>
      <c r="G600" s="46" t="s">
        <v>257</v>
      </c>
      <c r="H600" s="46" t="s">
        <v>1461</v>
      </c>
      <c r="I600" s="45" t="s">
        <v>205</v>
      </c>
      <c r="J600" s="46" t="s">
        <v>127</v>
      </c>
      <c r="K600" s="46" t="s">
        <v>127</v>
      </c>
      <c r="L600" s="46" t="s">
        <v>15</v>
      </c>
      <c r="M600" s="46" t="s">
        <v>13</v>
      </c>
      <c r="N600" s="46" t="s">
        <v>14</v>
      </c>
      <c r="O600" s="49" t="s">
        <v>814</v>
      </c>
      <c r="P600" s="46" t="s">
        <v>507</v>
      </c>
      <c r="Q600" s="35" t="str">
        <f>MID(Tabla1[[#This Row],[Aplicación]],14,1)</f>
        <v>2</v>
      </c>
      <c r="R600" s="35" t="s">
        <v>495</v>
      </c>
      <c r="S600" s="35" t="str">
        <f>MID(Tabla1[[#This Row],[Aplicación]],6,2)</f>
        <v>07</v>
      </c>
      <c r="T600" s="35" t="str">
        <f>VLOOKUP(Tabla1[[#This Row],[AREA]],Hoja1!A:B,2,FALSE)</f>
        <v>07. Medio ambiente y desarrollo sostenible</v>
      </c>
      <c r="U600" s="35" t="str">
        <f>MID(Tabla1[[#This Row],[Aplicación]],9,4)</f>
        <v>1711</v>
      </c>
      <c r="V600" s="35" t="str">
        <f>VLOOKUP(Tabla1[[#This Row],[PROGRAMA]],Hoja1!A:B,2,FALSE)</f>
        <v>1711. Parques y jardines</v>
      </c>
      <c r="W600" s="35" t="str">
        <f>MID(Tabla1[[#This Row],[Aplicación]],14,2)</f>
        <v>22</v>
      </c>
      <c r="X600" s="35" t="str">
        <f>MID(Tabla1[[#This Row],[Aplicación]],14,6)</f>
        <v>22199</v>
      </c>
    </row>
    <row r="601" spans="1:24" x14ac:dyDescent="0.25">
      <c r="A601" s="45">
        <v>220210004128</v>
      </c>
      <c r="B601" s="46" t="s">
        <v>204</v>
      </c>
      <c r="C601" s="47">
        <v>44244</v>
      </c>
      <c r="D601" s="45">
        <v>22021002369</v>
      </c>
      <c r="E601" s="46" t="s">
        <v>1336</v>
      </c>
      <c r="F601" s="48">
        <v>63.71</v>
      </c>
      <c r="G601" s="46" t="s">
        <v>257</v>
      </c>
      <c r="H601" s="46" t="s">
        <v>1608</v>
      </c>
      <c r="I601" s="45" t="s">
        <v>205</v>
      </c>
      <c r="J601" s="46" t="s">
        <v>127</v>
      </c>
      <c r="K601" s="46" t="s">
        <v>127</v>
      </c>
      <c r="L601" s="46" t="s">
        <v>15</v>
      </c>
      <c r="M601" s="46" t="s">
        <v>13</v>
      </c>
      <c r="N601" s="46" t="s">
        <v>14</v>
      </c>
      <c r="O601" s="49" t="s">
        <v>814</v>
      </c>
      <c r="P601" s="46" t="s">
        <v>507</v>
      </c>
      <c r="Q601" s="35" t="str">
        <f>MID(Tabla1[[#This Row],[Aplicación]],14,1)</f>
        <v>2</v>
      </c>
      <c r="R601" s="35" t="s">
        <v>495</v>
      </c>
      <c r="S601" s="35" t="str">
        <f>MID(Tabla1[[#This Row],[Aplicación]],6,2)</f>
        <v>02</v>
      </c>
      <c r="T601" s="35" t="str">
        <f>VLOOKUP(Tabla1[[#This Row],[AREA]],Hoja1!A:B,2,FALSE)</f>
        <v>02. Planeamiento urbanístico y vivienda</v>
      </c>
      <c r="U601" s="35" t="str">
        <f>MID(Tabla1[[#This Row],[Aplicación]],9,4)</f>
        <v>9332</v>
      </c>
      <c r="V601" s="35" t="str">
        <f>VLOOKUP(Tabla1[[#This Row],[PROGRAMA]],Hoja1!A:B,2,FALSE)</f>
        <v>9332. Mantenimiento de edificios e instalaciones municipales</v>
      </c>
      <c r="W601" s="35" t="str">
        <f>MID(Tabla1[[#This Row],[Aplicación]],14,2)</f>
        <v>21</v>
      </c>
      <c r="X601" s="35" t="str">
        <f>MID(Tabla1[[#This Row],[Aplicación]],14,6)</f>
        <v>212</v>
      </c>
    </row>
    <row r="602" spans="1:24" x14ac:dyDescent="0.25">
      <c r="A602" s="45">
        <v>220210004540</v>
      </c>
      <c r="B602" s="46" t="s">
        <v>204</v>
      </c>
      <c r="C602" s="47">
        <v>44246</v>
      </c>
      <c r="D602" s="45">
        <v>22021001275</v>
      </c>
      <c r="E602" s="46" t="s">
        <v>1334</v>
      </c>
      <c r="F602" s="48">
        <v>488.1</v>
      </c>
      <c r="G602" s="46" t="s">
        <v>257</v>
      </c>
      <c r="H602" s="46" t="s">
        <v>1461</v>
      </c>
      <c r="I602" s="45" t="s">
        <v>205</v>
      </c>
      <c r="J602" s="46" t="s">
        <v>127</v>
      </c>
      <c r="K602" s="46" t="s">
        <v>127</v>
      </c>
      <c r="L602" s="46" t="s">
        <v>15</v>
      </c>
      <c r="M602" s="46" t="s">
        <v>13</v>
      </c>
      <c r="N602" s="46" t="s">
        <v>14</v>
      </c>
      <c r="O602" s="49" t="s">
        <v>814</v>
      </c>
      <c r="P602" s="46" t="s">
        <v>507</v>
      </c>
      <c r="Q602" s="35" t="str">
        <f>MID(Tabla1[[#This Row],[Aplicación]],14,1)</f>
        <v>2</v>
      </c>
      <c r="R602" s="35" t="s">
        <v>495</v>
      </c>
      <c r="S602" s="35" t="str">
        <f>MID(Tabla1[[#This Row],[Aplicación]],6,2)</f>
        <v>07</v>
      </c>
      <c r="T602" s="35" t="str">
        <f>VLOOKUP(Tabla1[[#This Row],[AREA]],Hoja1!A:B,2,FALSE)</f>
        <v>07. Medio ambiente y desarrollo sostenible</v>
      </c>
      <c r="U602" s="35" t="str">
        <f>MID(Tabla1[[#This Row],[Aplicación]],9,4)</f>
        <v>1711</v>
      </c>
      <c r="V602" s="35" t="str">
        <f>VLOOKUP(Tabla1[[#This Row],[PROGRAMA]],Hoja1!A:B,2,FALSE)</f>
        <v>1711. Parques y jardines</v>
      </c>
      <c r="W602" s="35" t="str">
        <f>MID(Tabla1[[#This Row],[Aplicación]],14,2)</f>
        <v>22</v>
      </c>
      <c r="X602" s="35" t="str">
        <f>MID(Tabla1[[#This Row],[Aplicación]],14,6)</f>
        <v>22199</v>
      </c>
    </row>
    <row r="603" spans="1:24" x14ac:dyDescent="0.25">
      <c r="A603" s="45">
        <v>220210004550</v>
      </c>
      <c r="B603" s="46" t="s">
        <v>204</v>
      </c>
      <c r="C603" s="47">
        <v>44246</v>
      </c>
      <c r="D603" s="45">
        <v>22021001169</v>
      </c>
      <c r="E603" s="46" t="s">
        <v>1319</v>
      </c>
      <c r="F603" s="48">
        <v>19.18</v>
      </c>
      <c r="G603" s="46" t="s">
        <v>257</v>
      </c>
      <c r="H603" s="46" t="s">
        <v>1609</v>
      </c>
      <c r="I603" s="45" t="s">
        <v>205</v>
      </c>
      <c r="J603" s="46" t="s">
        <v>127</v>
      </c>
      <c r="K603" s="46" t="s">
        <v>127</v>
      </c>
      <c r="L603" s="46" t="s">
        <v>15</v>
      </c>
      <c r="M603" s="46" t="s">
        <v>13</v>
      </c>
      <c r="N603" s="46" t="s">
        <v>14</v>
      </c>
      <c r="O603" s="49" t="s">
        <v>814</v>
      </c>
      <c r="P603" s="46" t="s">
        <v>507</v>
      </c>
      <c r="Q603" s="35" t="str">
        <f>MID(Tabla1[[#This Row],[Aplicación]],14,1)</f>
        <v>2</v>
      </c>
      <c r="R603" s="35" t="s">
        <v>495</v>
      </c>
      <c r="S603" s="35" t="str">
        <f>MID(Tabla1[[#This Row],[Aplicación]],6,2)</f>
        <v>10</v>
      </c>
      <c r="T603" s="35" t="str">
        <f>VLOOKUP(Tabla1[[#This Row],[AREA]],Hoja1!A:B,2,FALSE)</f>
        <v>10. Servicios sociales y mediación comunitaria</v>
      </c>
      <c r="U603" s="35" t="str">
        <f>MID(Tabla1[[#This Row],[Aplicación]],9,4)</f>
        <v>2412</v>
      </c>
      <c r="V603" s="35" t="str">
        <f>VLOOKUP(Tabla1[[#This Row],[PROGRAMA]],Hoja1!A:B,2,FALSE)</f>
        <v>2412. Formación para el empleo</v>
      </c>
      <c r="W603" s="35" t="str">
        <f>MID(Tabla1[[#This Row],[Aplicación]],14,2)</f>
        <v>21</v>
      </c>
      <c r="X603" s="35" t="str">
        <f>MID(Tabla1[[#This Row],[Aplicación]],14,6)</f>
        <v>212</v>
      </c>
    </row>
    <row r="604" spans="1:24" x14ac:dyDescent="0.25">
      <c r="A604" s="45">
        <v>220210005204</v>
      </c>
      <c r="B604" s="46" t="s">
        <v>204</v>
      </c>
      <c r="C604" s="47">
        <v>44249</v>
      </c>
      <c r="D604" s="45">
        <v>22021001181</v>
      </c>
      <c r="E604" s="46" t="s">
        <v>873</v>
      </c>
      <c r="F604" s="48">
        <v>847.58</v>
      </c>
      <c r="G604" s="46" t="s">
        <v>257</v>
      </c>
      <c r="H604" s="46" t="s">
        <v>1610</v>
      </c>
      <c r="I604" s="45" t="s">
        <v>205</v>
      </c>
      <c r="J604" s="46" t="s">
        <v>127</v>
      </c>
      <c r="K604" s="46" t="s">
        <v>127</v>
      </c>
      <c r="L604" s="46" t="s">
        <v>15</v>
      </c>
      <c r="M604" s="46" t="s">
        <v>13</v>
      </c>
      <c r="N604" s="46" t="s">
        <v>14</v>
      </c>
      <c r="O604" s="49" t="s">
        <v>814</v>
      </c>
      <c r="P604" s="46" t="s">
        <v>507</v>
      </c>
      <c r="Q604" s="35" t="str">
        <f>MID(Tabla1[[#This Row],[Aplicación]],14,1)</f>
        <v>2</v>
      </c>
      <c r="R604" s="35" t="s">
        <v>495</v>
      </c>
      <c r="S604" s="35" t="str">
        <f>MID(Tabla1[[#This Row],[Aplicación]],6,2)</f>
        <v>10</v>
      </c>
      <c r="T604" s="35" t="str">
        <f>VLOOKUP(Tabla1[[#This Row],[AREA]],Hoja1!A:B,2,FALSE)</f>
        <v>10. Servicios sociales y mediación comunitaria</v>
      </c>
      <c r="U604" s="35" t="str">
        <f>MID(Tabla1[[#This Row],[Aplicación]],9,4)</f>
        <v>2412</v>
      </c>
      <c r="V604" s="35" t="str">
        <f>VLOOKUP(Tabla1[[#This Row],[PROGRAMA]],Hoja1!A:B,2,FALSE)</f>
        <v>2412. Formación para el empleo</v>
      </c>
      <c r="W604" s="35" t="str">
        <f>MID(Tabla1[[#This Row],[Aplicación]],14,2)</f>
        <v>22</v>
      </c>
      <c r="X604" s="35" t="str">
        <f>MID(Tabla1[[#This Row],[Aplicación]],14,6)</f>
        <v>22199</v>
      </c>
    </row>
    <row r="605" spans="1:24" x14ac:dyDescent="0.25">
      <c r="A605" s="45">
        <v>220210005206</v>
      </c>
      <c r="B605" s="46" t="s">
        <v>204</v>
      </c>
      <c r="C605" s="47">
        <v>44249</v>
      </c>
      <c r="D605" s="45">
        <v>22021001169</v>
      </c>
      <c r="E605" s="46" t="s">
        <v>1319</v>
      </c>
      <c r="F605" s="48">
        <v>231</v>
      </c>
      <c r="G605" s="46" t="s">
        <v>257</v>
      </c>
      <c r="H605" s="46" t="s">
        <v>1611</v>
      </c>
      <c r="I605" s="45" t="s">
        <v>205</v>
      </c>
      <c r="J605" s="46" t="s">
        <v>127</v>
      </c>
      <c r="K605" s="46" t="s">
        <v>127</v>
      </c>
      <c r="L605" s="46" t="s">
        <v>15</v>
      </c>
      <c r="M605" s="46" t="s">
        <v>13</v>
      </c>
      <c r="N605" s="46" t="s">
        <v>14</v>
      </c>
      <c r="O605" s="49" t="s">
        <v>814</v>
      </c>
      <c r="P605" s="46" t="s">
        <v>507</v>
      </c>
      <c r="Q605" s="35" t="str">
        <f>MID(Tabla1[[#This Row],[Aplicación]],14,1)</f>
        <v>2</v>
      </c>
      <c r="R605" s="35" t="s">
        <v>495</v>
      </c>
      <c r="S605" s="35" t="str">
        <f>MID(Tabla1[[#This Row],[Aplicación]],6,2)</f>
        <v>10</v>
      </c>
      <c r="T605" s="35" t="str">
        <f>VLOOKUP(Tabla1[[#This Row],[AREA]],Hoja1!A:B,2,FALSE)</f>
        <v>10. Servicios sociales y mediación comunitaria</v>
      </c>
      <c r="U605" s="35" t="str">
        <f>MID(Tabla1[[#This Row],[Aplicación]],9,4)</f>
        <v>2412</v>
      </c>
      <c r="V605" s="35" t="str">
        <f>VLOOKUP(Tabla1[[#This Row],[PROGRAMA]],Hoja1!A:B,2,FALSE)</f>
        <v>2412. Formación para el empleo</v>
      </c>
      <c r="W605" s="35" t="str">
        <f>MID(Tabla1[[#This Row],[Aplicación]],14,2)</f>
        <v>21</v>
      </c>
      <c r="X605" s="35" t="str">
        <f>MID(Tabla1[[#This Row],[Aplicación]],14,6)</f>
        <v>212</v>
      </c>
    </row>
    <row r="606" spans="1:24" x14ac:dyDescent="0.25">
      <c r="A606" s="45">
        <v>220210005503</v>
      </c>
      <c r="B606" s="46" t="s">
        <v>204</v>
      </c>
      <c r="C606" s="47">
        <v>44250</v>
      </c>
      <c r="D606" s="45">
        <v>22021002006</v>
      </c>
      <c r="E606" s="46" t="s">
        <v>1310</v>
      </c>
      <c r="F606" s="48">
        <v>9.0500000000000007</v>
      </c>
      <c r="G606" s="46" t="s">
        <v>257</v>
      </c>
      <c r="H606" s="46" t="s">
        <v>1612</v>
      </c>
      <c r="I606" s="45" t="s">
        <v>205</v>
      </c>
      <c r="J606" s="46" t="s">
        <v>127</v>
      </c>
      <c r="K606" s="46" t="s">
        <v>127</v>
      </c>
      <c r="L606" s="46" t="s">
        <v>15</v>
      </c>
      <c r="M606" s="46" t="s">
        <v>13</v>
      </c>
      <c r="N606" s="46" t="s">
        <v>14</v>
      </c>
      <c r="O606" s="49" t="s">
        <v>814</v>
      </c>
      <c r="P606" s="46" t="s">
        <v>507</v>
      </c>
      <c r="Q606" s="35" t="str">
        <f>MID(Tabla1[[#This Row],[Aplicación]],14,1)</f>
        <v>2</v>
      </c>
      <c r="R606" s="35" t="s">
        <v>495</v>
      </c>
      <c r="S606" s="35" t="str">
        <f>MID(Tabla1[[#This Row],[Aplicación]],6,2)</f>
        <v>11</v>
      </c>
      <c r="T606" s="35" t="str">
        <f>VLOOKUP(Tabla1[[#This Row],[AREA]],Hoja1!A:B,2,FALSE)</f>
        <v>11. Salud pública y seguridad ciudadana</v>
      </c>
      <c r="U606" s="35" t="str">
        <f>MID(Tabla1[[#This Row],[Aplicación]],9,4)</f>
        <v>3111</v>
      </c>
      <c r="V606" s="35" t="str">
        <f>VLOOKUP(Tabla1[[#This Row],[PROGRAMA]],Hoja1!A:B,2,FALSE)</f>
        <v>3111. Protección de la salubridad pública</v>
      </c>
      <c r="W606" s="35" t="str">
        <f>MID(Tabla1[[#This Row],[Aplicación]],14,2)</f>
        <v>22</v>
      </c>
      <c r="X606" s="35" t="str">
        <f>MID(Tabla1[[#This Row],[Aplicación]],14,6)</f>
        <v>22199</v>
      </c>
    </row>
    <row r="607" spans="1:24" x14ac:dyDescent="0.25">
      <c r="A607" s="45">
        <v>220210005578</v>
      </c>
      <c r="B607" s="46" t="s">
        <v>204</v>
      </c>
      <c r="C607" s="47">
        <v>44250</v>
      </c>
      <c r="D607" s="45">
        <v>22021002055</v>
      </c>
      <c r="E607" s="46" t="s">
        <v>1613</v>
      </c>
      <c r="F607" s="48">
        <v>35.79</v>
      </c>
      <c r="G607" s="46" t="s">
        <v>257</v>
      </c>
      <c r="H607" s="46" t="s">
        <v>1614</v>
      </c>
      <c r="I607" s="45" t="s">
        <v>205</v>
      </c>
      <c r="J607" s="46" t="s">
        <v>127</v>
      </c>
      <c r="K607" s="46" t="s">
        <v>127</v>
      </c>
      <c r="L607" s="46" t="s">
        <v>15</v>
      </c>
      <c r="M607" s="46" t="s">
        <v>13</v>
      </c>
      <c r="N607" s="46" t="s">
        <v>14</v>
      </c>
      <c r="O607" s="49" t="s">
        <v>814</v>
      </c>
      <c r="P607" s="46" t="s">
        <v>507</v>
      </c>
      <c r="Q607" s="35" t="str">
        <f>MID(Tabla1[[#This Row],[Aplicación]],14,1)</f>
        <v>2</v>
      </c>
      <c r="R607" s="35" t="s">
        <v>495</v>
      </c>
      <c r="S607" s="35" t="str">
        <f>MID(Tabla1[[#This Row],[Aplicación]],6,2)</f>
        <v>11</v>
      </c>
      <c r="T607" s="35" t="str">
        <f>VLOOKUP(Tabla1[[#This Row],[AREA]],Hoja1!A:B,2,FALSE)</f>
        <v>11. Salud pública y seguridad ciudadana</v>
      </c>
      <c r="U607" s="35" t="str">
        <f>MID(Tabla1[[#This Row],[Aplicación]],9,4)</f>
        <v>1631</v>
      </c>
      <c r="V607" s="35" t="str">
        <f>VLOOKUP(Tabla1[[#This Row],[PROGRAMA]],Hoja1!A:B,2,FALSE)</f>
        <v>1631. Limpieza viaria</v>
      </c>
      <c r="W607" s="35" t="str">
        <f>MID(Tabla1[[#This Row],[Aplicación]],14,2)</f>
        <v>22</v>
      </c>
      <c r="X607" s="35" t="str">
        <f>MID(Tabla1[[#This Row],[Aplicación]],14,6)</f>
        <v>22104</v>
      </c>
    </row>
    <row r="608" spans="1:24" x14ac:dyDescent="0.25">
      <c r="A608" s="45">
        <v>220210006539</v>
      </c>
      <c r="B608" s="46" t="s">
        <v>204</v>
      </c>
      <c r="C608" s="47">
        <v>44253</v>
      </c>
      <c r="D608" s="45">
        <v>22021002132</v>
      </c>
      <c r="E608" s="46" t="s">
        <v>1180</v>
      </c>
      <c r="F608" s="48">
        <v>1100</v>
      </c>
      <c r="G608" s="46" t="s">
        <v>257</v>
      </c>
      <c r="H608" s="46" t="s">
        <v>1615</v>
      </c>
      <c r="I608" s="45" t="s">
        <v>205</v>
      </c>
      <c r="J608" s="46" t="s">
        <v>127</v>
      </c>
      <c r="K608" s="46" t="s">
        <v>127</v>
      </c>
      <c r="L608" s="46" t="s">
        <v>15</v>
      </c>
      <c r="M608" s="46" t="s">
        <v>13</v>
      </c>
      <c r="N608" s="46" t="s">
        <v>14</v>
      </c>
      <c r="O608" s="49" t="s">
        <v>814</v>
      </c>
      <c r="P608" s="46" t="s">
        <v>507</v>
      </c>
      <c r="Q608" s="35" t="str">
        <f>MID(Tabla1[[#This Row],[Aplicación]],14,1)</f>
        <v>2</v>
      </c>
      <c r="R608" s="35" t="s">
        <v>495</v>
      </c>
      <c r="S608" s="35" t="str">
        <f>MID(Tabla1[[#This Row],[Aplicación]],6,2)</f>
        <v>08</v>
      </c>
      <c r="T608" s="35" t="str">
        <f>VLOOKUP(Tabla1[[#This Row],[AREA]],Hoja1!A:B,2,FALSE)</f>
        <v>08. Movilidad y espacio urbano</v>
      </c>
      <c r="U608" s="35" t="str">
        <f>MID(Tabla1[[#This Row],[Aplicación]],9,4)</f>
        <v>1532</v>
      </c>
      <c r="V608" s="35" t="str">
        <f>VLOOKUP(Tabla1[[#This Row],[PROGRAMA]],Hoja1!A:B,2,FALSE)</f>
        <v>1532. Pavimentación vias públicas y otros servicios urbanísticos</v>
      </c>
      <c r="W608" s="35" t="str">
        <f>MID(Tabla1[[#This Row],[Aplicación]],14,2)</f>
        <v>21</v>
      </c>
      <c r="X608" s="35" t="str">
        <f>MID(Tabla1[[#This Row],[Aplicación]],14,6)</f>
        <v>210</v>
      </c>
    </row>
    <row r="609" spans="1:24" x14ac:dyDescent="0.25">
      <c r="A609" s="45">
        <v>220210013024</v>
      </c>
      <c r="B609" s="46" t="s">
        <v>204</v>
      </c>
      <c r="C609" s="47">
        <v>44285</v>
      </c>
      <c r="D609" s="45">
        <v>22021002144</v>
      </c>
      <c r="E609" s="46" t="s">
        <v>1328</v>
      </c>
      <c r="F609" s="48">
        <v>52.39</v>
      </c>
      <c r="G609" s="46" t="s">
        <v>288</v>
      </c>
      <c r="H609" s="46" t="s">
        <v>1616</v>
      </c>
      <c r="I609" s="45" t="s">
        <v>205</v>
      </c>
      <c r="J609" s="46" t="s">
        <v>664</v>
      </c>
      <c r="K609" s="46" t="s">
        <v>127</v>
      </c>
      <c r="L609" s="46" t="s">
        <v>15</v>
      </c>
      <c r="M609" s="46" t="s">
        <v>13</v>
      </c>
      <c r="N609" s="46" t="s">
        <v>14</v>
      </c>
      <c r="O609" s="49" t="s">
        <v>814</v>
      </c>
      <c r="P609" s="46" t="s">
        <v>507</v>
      </c>
      <c r="Q609" s="35" t="str">
        <f>MID(Tabla1[[#This Row],[Aplicación]],14,1)</f>
        <v>2</v>
      </c>
      <c r="R609" s="35" t="s">
        <v>495</v>
      </c>
      <c r="S609" s="35" t="str">
        <f>MID(Tabla1[[#This Row],[Aplicación]],6,2)</f>
        <v>10</v>
      </c>
      <c r="T609" s="35" t="str">
        <f>VLOOKUP(Tabla1[[#This Row],[AREA]],Hoja1!A:B,2,FALSE)</f>
        <v>10. Servicios sociales y mediación comunitaria</v>
      </c>
      <c r="U609" s="35" t="str">
        <f>MID(Tabla1[[#This Row],[Aplicación]],9,4)</f>
        <v>2311</v>
      </c>
      <c r="V609" s="35" t="str">
        <f>VLOOKUP(Tabla1[[#This Row],[PROGRAMA]],Hoja1!A:B,2,FALSE)</f>
        <v>2311. Intervención social</v>
      </c>
      <c r="W609" s="35" t="str">
        <f>MID(Tabla1[[#This Row],[Aplicación]],14,2)</f>
        <v>21</v>
      </c>
      <c r="X609" s="35" t="str">
        <f>MID(Tabla1[[#This Row],[Aplicación]],14,6)</f>
        <v>212</v>
      </c>
    </row>
    <row r="610" spans="1:24" x14ac:dyDescent="0.25">
      <c r="A610" s="45">
        <v>220210002420</v>
      </c>
      <c r="B610" s="46" t="s">
        <v>9</v>
      </c>
      <c r="C610" s="47">
        <v>44235</v>
      </c>
      <c r="D610" s="45">
        <v>22021002229</v>
      </c>
      <c r="E610" s="46" t="s">
        <v>1599</v>
      </c>
      <c r="F610" s="48">
        <v>249.98</v>
      </c>
      <c r="G610" s="46" t="s">
        <v>1597</v>
      </c>
      <c r="H610" s="46" t="s">
        <v>1600</v>
      </c>
      <c r="I610" s="45" t="s">
        <v>125</v>
      </c>
      <c r="J610" s="46" t="s">
        <v>127</v>
      </c>
      <c r="K610" s="46" t="s">
        <v>127</v>
      </c>
      <c r="L610" s="46" t="s">
        <v>12</v>
      </c>
      <c r="M610" s="46" t="s">
        <v>10</v>
      </c>
      <c r="N610" s="46" t="s">
        <v>11</v>
      </c>
      <c r="O610" s="49" t="s">
        <v>815</v>
      </c>
      <c r="P610" s="46" t="s">
        <v>507</v>
      </c>
      <c r="Q610" s="35" t="str">
        <f>MID(Tabla1[[#This Row],[Aplicación]],14,1)</f>
        <v>2</v>
      </c>
      <c r="R610" s="35" t="s">
        <v>495</v>
      </c>
      <c r="S610" s="35" t="str">
        <f>MID(Tabla1[[#This Row],[Aplicación]],6,2)</f>
        <v>10</v>
      </c>
      <c r="T610" s="35" t="str">
        <f>VLOOKUP(Tabla1[[#This Row],[AREA]],Hoja1!A:B,2,FALSE)</f>
        <v>10. Servicios sociales y mediación comunitaria</v>
      </c>
      <c r="U610" s="35" t="str">
        <f>MID(Tabla1[[#This Row],[Aplicación]],9,4)</f>
        <v>2412</v>
      </c>
      <c r="V610" s="35" t="str">
        <f>VLOOKUP(Tabla1[[#This Row],[PROGRAMA]],Hoja1!A:B,2,FALSE)</f>
        <v>2412. Formación para el empleo</v>
      </c>
      <c r="W610" s="35" t="str">
        <f>MID(Tabla1[[#This Row],[Aplicación]],14,2)</f>
        <v>22</v>
      </c>
      <c r="X610" s="35" t="str">
        <f>MID(Tabla1[[#This Row],[Aplicación]],14,6)</f>
        <v>223</v>
      </c>
    </row>
    <row r="611" spans="1:24" x14ac:dyDescent="0.25">
      <c r="A611" s="45">
        <v>220209000046</v>
      </c>
      <c r="B611" s="46" t="s">
        <v>9</v>
      </c>
      <c r="C611" s="47">
        <v>44198</v>
      </c>
      <c r="D611" s="45">
        <v>22021000191</v>
      </c>
      <c r="E611" s="46" t="s">
        <v>1617</v>
      </c>
      <c r="F611" s="48">
        <v>1393.92</v>
      </c>
      <c r="G611" s="46" t="s">
        <v>65</v>
      </c>
      <c r="H611" s="46" t="s">
        <v>1618</v>
      </c>
      <c r="I611" s="45" t="s">
        <v>125</v>
      </c>
      <c r="J611" s="46" t="s">
        <v>127</v>
      </c>
      <c r="K611" s="46" t="s">
        <v>127</v>
      </c>
      <c r="L611" s="46" t="s">
        <v>12</v>
      </c>
      <c r="M611" s="46" t="s">
        <v>13</v>
      </c>
      <c r="N611" s="46" t="s">
        <v>14</v>
      </c>
      <c r="O611" s="49" t="s">
        <v>814</v>
      </c>
      <c r="P611" s="46" t="s">
        <v>507</v>
      </c>
      <c r="Q611" s="35" t="str">
        <f>MID(Tabla1[[#This Row],[Aplicación]],14,1)</f>
        <v>2</v>
      </c>
      <c r="R611" s="35" t="s">
        <v>495</v>
      </c>
      <c r="S611" s="35" t="str">
        <f>MID(Tabla1[[#This Row],[Aplicación]],6,2)</f>
        <v>05</v>
      </c>
      <c r="T611" s="35" t="str">
        <f>VLOOKUP(Tabla1[[#This Row],[AREA]],Hoja1!A:B,2,FALSE)</f>
        <v>05. Innovación, desarrollo económico, empleo y comercio</v>
      </c>
      <c r="U611" s="35" t="str">
        <f>MID(Tabla1[[#This Row],[Aplicación]],9,4)</f>
        <v>4331</v>
      </c>
      <c r="V611" s="35" t="str">
        <f>VLOOKUP(Tabla1[[#This Row],[PROGRAMA]],Hoja1!A:B,2,FALSE)</f>
        <v>4331. Desarrollo empresarial</v>
      </c>
      <c r="W611" s="35" t="str">
        <f>MID(Tabla1[[#This Row],[Aplicación]],14,2)</f>
        <v>22</v>
      </c>
      <c r="X611" s="35" t="str">
        <f>MID(Tabla1[[#This Row],[Aplicación]],14,6)</f>
        <v>22602</v>
      </c>
    </row>
    <row r="612" spans="1:24" x14ac:dyDescent="0.25">
      <c r="A612" s="45">
        <v>220210000537</v>
      </c>
      <c r="B612" s="46" t="s">
        <v>9</v>
      </c>
      <c r="C612" s="47">
        <v>44221</v>
      </c>
      <c r="D612" s="45">
        <v>22021001179</v>
      </c>
      <c r="E612" s="46" t="s">
        <v>1617</v>
      </c>
      <c r="F612" s="48">
        <v>1824.68</v>
      </c>
      <c r="G612" s="46" t="s">
        <v>65</v>
      </c>
      <c r="H612" s="46" t="s">
        <v>1619</v>
      </c>
      <c r="I612" s="45" t="s">
        <v>125</v>
      </c>
      <c r="J612" s="46" t="s">
        <v>127</v>
      </c>
      <c r="K612" s="46" t="s">
        <v>127</v>
      </c>
      <c r="L612" s="46" t="s">
        <v>12</v>
      </c>
      <c r="M612" s="46" t="s">
        <v>13</v>
      </c>
      <c r="N612" s="46" t="s">
        <v>14</v>
      </c>
      <c r="O612" s="49" t="s">
        <v>814</v>
      </c>
      <c r="P612" s="46" t="s">
        <v>507</v>
      </c>
      <c r="Q612" s="35" t="str">
        <f>MID(Tabla1[[#This Row],[Aplicación]],14,1)</f>
        <v>2</v>
      </c>
      <c r="R612" s="35" t="s">
        <v>495</v>
      </c>
      <c r="S612" s="35" t="str">
        <f>MID(Tabla1[[#This Row],[Aplicación]],6,2)</f>
        <v>05</v>
      </c>
      <c r="T612" s="35" t="str">
        <f>VLOOKUP(Tabla1[[#This Row],[AREA]],Hoja1!A:B,2,FALSE)</f>
        <v>05. Innovación, desarrollo económico, empleo y comercio</v>
      </c>
      <c r="U612" s="35" t="str">
        <f>MID(Tabla1[[#This Row],[Aplicación]],9,4)</f>
        <v>4331</v>
      </c>
      <c r="V612" s="35" t="str">
        <f>VLOOKUP(Tabla1[[#This Row],[PROGRAMA]],Hoja1!A:B,2,FALSE)</f>
        <v>4331. Desarrollo empresarial</v>
      </c>
      <c r="W612" s="35" t="str">
        <f>MID(Tabla1[[#This Row],[Aplicación]],14,2)</f>
        <v>22</v>
      </c>
      <c r="X612" s="35" t="str">
        <f>MID(Tabla1[[#This Row],[Aplicación]],14,6)</f>
        <v>22602</v>
      </c>
    </row>
    <row r="613" spans="1:24" x14ac:dyDescent="0.25">
      <c r="A613" s="45">
        <v>220210013063</v>
      </c>
      <c r="B613" s="46" t="s">
        <v>204</v>
      </c>
      <c r="C613" s="47">
        <v>44285</v>
      </c>
      <c r="D613" s="45">
        <v>22021002375</v>
      </c>
      <c r="E613" s="46" t="s">
        <v>1336</v>
      </c>
      <c r="F613" s="48">
        <v>24.9</v>
      </c>
      <c r="G613" s="46" t="s">
        <v>288</v>
      </c>
      <c r="H613" s="46" t="s">
        <v>1620</v>
      </c>
      <c r="I613" s="45" t="s">
        <v>205</v>
      </c>
      <c r="J613" s="46" t="s">
        <v>664</v>
      </c>
      <c r="K613" s="46" t="s">
        <v>127</v>
      </c>
      <c r="L613" s="46" t="s">
        <v>15</v>
      </c>
      <c r="M613" s="46" t="s">
        <v>13</v>
      </c>
      <c r="N613" s="46" t="s">
        <v>14</v>
      </c>
      <c r="O613" s="49" t="s">
        <v>814</v>
      </c>
      <c r="P613" s="46" t="s">
        <v>507</v>
      </c>
      <c r="Q613" s="35" t="str">
        <f>MID(Tabla1[[#This Row],[Aplicación]],14,1)</f>
        <v>2</v>
      </c>
      <c r="R613" s="35" t="s">
        <v>495</v>
      </c>
      <c r="S613" s="35" t="str">
        <f>MID(Tabla1[[#This Row],[Aplicación]],6,2)</f>
        <v>02</v>
      </c>
      <c r="T613" s="35" t="str">
        <f>VLOOKUP(Tabla1[[#This Row],[AREA]],Hoja1!A:B,2,FALSE)</f>
        <v>02. Planeamiento urbanístico y vivienda</v>
      </c>
      <c r="U613" s="35" t="str">
        <f>MID(Tabla1[[#This Row],[Aplicación]],9,4)</f>
        <v>9332</v>
      </c>
      <c r="V613" s="35" t="str">
        <f>VLOOKUP(Tabla1[[#This Row],[PROGRAMA]],Hoja1!A:B,2,FALSE)</f>
        <v>9332. Mantenimiento de edificios e instalaciones municipales</v>
      </c>
      <c r="W613" s="35" t="str">
        <f>MID(Tabla1[[#This Row],[Aplicación]],14,2)</f>
        <v>21</v>
      </c>
      <c r="X613" s="35" t="str">
        <f>MID(Tabla1[[#This Row],[Aplicación]],14,6)</f>
        <v>212</v>
      </c>
    </row>
    <row r="614" spans="1:24" x14ac:dyDescent="0.25">
      <c r="A614" s="45">
        <v>220210001558</v>
      </c>
      <c r="B614" s="46" t="s">
        <v>9</v>
      </c>
      <c r="C614" s="47">
        <v>44229</v>
      </c>
      <c r="D614" s="45">
        <v>22021001627</v>
      </c>
      <c r="E614" s="46" t="s">
        <v>1621</v>
      </c>
      <c r="F614" s="48">
        <v>1815</v>
      </c>
      <c r="G614" s="46" t="s">
        <v>65</v>
      </c>
      <c r="H614" s="46" t="s">
        <v>1622</v>
      </c>
      <c r="I614" s="45" t="s">
        <v>125</v>
      </c>
      <c r="J614" s="46" t="s">
        <v>127</v>
      </c>
      <c r="K614" s="46" t="s">
        <v>127</v>
      </c>
      <c r="L614" s="46" t="s">
        <v>12</v>
      </c>
      <c r="M614" s="46" t="s">
        <v>13</v>
      </c>
      <c r="N614" s="46" t="s">
        <v>14</v>
      </c>
      <c r="O614" s="49" t="s">
        <v>814</v>
      </c>
      <c r="P614" s="46" t="s">
        <v>507</v>
      </c>
      <c r="Q614" s="35" t="str">
        <f>MID(Tabla1[[#This Row],[Aplicación]],14,1)</f>
        <v>2</v>
      </c>
      <c r="R614" s="35" t="s">
        <v>495</v>
      </c>
      <c r="S614" s="35" t="str">
        <f>MID(Tabla1[[#This Row],[Aplicación]],6,2)</f>
        <v>01</v>
      </c>
      <c r="T614" s="35" t="str">
        <f>VLOOKUP(Tabla1[[#This Row],[AREA]],Hoja1!A:B,2,FALSE)</f>
        <v>01. Alcaldía</v>
      </c>
      <c r="U614" s="35" t="str">
        <f>MID(Tabla1[[#This Row],[Aplicación]],9,4)</f>
        <v>9207</v>
      </c>
      <c r="V614" s="35" t="str">
        <f>VLOOKUP(Tabla1[[#This Row],[PROGRAMA]],Hoja1!A:B,2,FALSE)</f>
        <v>9207. Gobierno y relaciones</v>
      </c>
      <c r="W614" s="35" t="str">
        <f>MID(Tabla1[[#This Row],[Aplicación]],14,2)</f>
        <v>22</v>
      </c>
      <c r="X614" s="35" t="str">
        <f>MID(Tabla1[[#This Row],[Aplicación]],14,6)</f>
        <v>22602</v>
      </c>
    </row>
    <row r="615" spans="1:24" x14ac:dyDescent="0.25">
      <c r="A615" s="45">
        <v>220210001559</v>
      </c>
      <c r="B615" s="46" t="s">
        <v>9</v>
      </c>
      <c r="C615" s="47">
        <v>44229</v>
      </c>
      <c r="D615" s="45">
        <v>22021001672</v>
      </c>
      <c r="E615" s="46" t="s">
        <v>1623</v>
      </c>
      <c r="F615" s="48">
        <v>1456</v>
      </c>
      <c r="G615" s="46" t="s">
        <v>65</v>
      </c>
      <c r="H615" s="46" t="s">
        <v>1624</v>
      </c>
      <c r="I615" s="45" t="s">
        <v>125</v>
      </c>
      <c r="J615" s="46" t="s">
        <v>127</v>
      </c>
      <c r="K615" s="46" t="s">
        <v>127</v>
      </c>
      <c r="L615" s="46" t="s">
        <v>15</v>
      </c>
      <c r="M615" s="46" t="s">
        <v>10</v>
      </c>
      <c r="N615" s="46" t="s">
        <v>11</v>
      </c>
      <c r="O615" s="49" t="s">
        <v>815</v>
      </c>
      <c r="P615" s="46" t="s">
        <v>507</v>
      </c>
      <c r="Q615" s="35" t="str">
        <f>MID(Tabla1[[#This Row],[Aplicación]],14,1)</f>
        <v>2</v>
      </c>
      <c r="R615" s="35" t="s">
        <v>495</v>
      </c>
      <c r="S615" s="35" t="str">
        <f>MID(Tabla1[[#This Row],[Aplicación]],6,2)</f>
        <v>01</v>
      </c>
      <c r="T615" s="35" t="str">
        <f>VLOOKUP(Tabla1[[#This Row],[AREA]],Hoja1!A:B,2,FALSE)</f>
        <v>01. Alcaldía</v>
      </c>
      <c r="U615" s="35" t="str">
        <f>MID(Tabla1[[#This Row],[Aplicación]],9,4)</f>
        <v>9207</v>
      </c>
      <c r="V615" s="35" t="str">
        <f>VLOOKUP(Tabla1[[#This Row],[PROGRAMA]],Hoja1!A:B,2,FALSE)</f>
        <v>9207. Gobierno y relaciones</v>
      </c>
      <c r="W615" s="35" t="str">
        <f>MID(Tabla1[[#This Row],[Aplicación]],14,2)</f>
        <v>22</v>
      </c>
      <c r="X615" s="35" t="str">
        <f>MID(Tabla1[[#This Row],[Aplicación]],14,6)</f>
        <v>22001</v>
      </c>
    </row>
    <row r="616" spans="1:24" x14ac:dyDescent="0.25">
      <c r="A616" s="45">
        <v>220210004220</v>
      </c>
      <c r="B616" s="46" t="s">
        <v>9</v>
      </c>
      <c r="C616" s="47">
        <v>44245</v>
      </c>
      <c r="D616" s="45">
        <v>22021002544</v>
      </c>
      <c r="E616" s="46" t="s">
        <v>1625</v>
      </c>
      <c r="F616" s="48">
        <v>633</v>
      </c>
      <c r="G616" s="46" t="s">
        <v>65</v>
      </c>
      <c r="H616" s="46" t="s">
        <v>1626</v>
      </c>
      <c r="I616" s="45" t="s">
        <v>125</v>
      </c>
      <c r="J616" s="46" t="s">
        <v>127</v>
      </c>
      <c r="K616" s="46" t="s">
        <v>127</v>
      </c>
      <c r="L616" s="46" t="s">
        <v>15</v>
      </c>
      <c r="M616" s="46" t="s">
        <v>10</v>
      </c>
      <c r="N616" s="46" t="s">
        <v>11</v>
      </c>
      <c r="O616" s="49" t="s">
        <v>815</v>
      </c>
      <c r="P616" s="46" t="s">
        <v>507</v>
      </c>
      <c r="Q616" s="35" t="str">
        <f>MID(Tabla1[[#This Row],[Aplicación]],14,1)</f>
        <v>2</v>
      </c>
      <c r="R616" s="35" t="s">
        <v>495</v>
      </c>
      <c r="S616" s="35" t="str">
        <f>MID(Tabla1[[#This Row],[Aplicación]],6,2)</f>
        <v>05</v>
      </c>
      <c r="T616" s="35" t="str">
        <f>VLOOKUP(Tabla1[[#This Row],[AREA]],Hoja1!A:B,2,FALSE)</f>
        <v>05. Innovación, desarrollo económico, empleo y comercio</v>
      </c>
      <c r="U616" s="35" t="str">
        <f>MID(Tabla1[[#This Row],[Aplicación]],9,4)</f>
        <v>4331</v>
      </c>
      <c r="V616" s="35" t="str">
        <f>VLOOKUP(Tabla1[[#This Row],[PROGRAMA]],Hoja1!A:B,2,FALSE)</f>
        <v>4331. Desarrollo empresarial</v>
      </c>
      <c r="W616" s="35" t="str">
        <f>MID(Tabla1[[#This Row],[Aplicación]],14,2)</f>
        <v>22</v>
      </c>
      <c r="X616" s="35" t="str">
        <f>MID(Tabla1[[#This Row],[Aplicación]],14,6)</f>
        <v>22001</v>
      </c>
    </row>
    <row r="617" spans="1:24" x14ac:dyDescent="0.25">
      <c r="A617" s="45">
        <v>220210005271</v>
      </c>
      <c r="B617" s="46" t="s">
        <v>9</v>
      </c>
      <c r="C617" s="47">
        <v>44249</v>
      </c>
      <c r="D617" s="45">
        <v>22021002455</v>
      </c>
      <c r="E617" s="46" t="s">
        <v>1627</v>
      </c>
      <c r="F617" s="48">
        <v>357.18</v>
      </c>
      <c r="G617" s="46" t="s">
        <v>65</v>
      </c>
      <c r="H617" s="46" t="s">
        <v>1628</v>
      </c>
      <c r="I617" s="45" t="s">
        <v>125</v>
      </c>
      <c r="J617" s="46" t="s">
        <v>127</v>
      </c>
      <c r="K617" s="46" t="s">
        <v>127</v>
      </c>
      <c r="L617" s="46" t="s">
        <v>15</v>
      </c>
      <c r="M617" s="46" t="s">
        <v>10</v>
      </c>
      <c r="N617" s="46" t="s">
        <v>11</v>
      </c>
      <c r="O617" s="49" t="s">
        <v>815</v>
      </c>
      <c r="P617" s="46" t="s">
        <v>507</v>
      </c>
      <c r="Q617" s="35" t="str">
        <f>MID(Tabla1[[#This Row],[Aplicación]],14,1)</f>
        <v>2</v>
      </c>
      <c r="R617" s="35" t="s">
        <v>495</v>
      </c>
      <c r="S617" s="35" t="str">
        <f>MID(Tabla1[[#This Row],[Aplicación]],6,2)</f>
        <v>10</v>
      </c>
      <c r="T617" s="35" t="str">
        <f>VLOOKUP(Tabla1[[#This Row],[AREA]],Hoja1!A:B,2,FALSE)</f>
        <v>10. Servicios sociales y mediación comunitaria</v>
      </c>
      <c r="U617" s="35" t="str">
        <f>MID(Tabla1[[#This Row],[Aplicación]],9,4)</f>
        <v>2311</v>
      </c>
      <c r="V617" s="35" t="str">
        <f>VLOOKUP(Tabla1[[#This Row],[PROGRAMA]],Hoja1!A:B,2,FALSE)</f>
        <v>2311. Intervención social</v>
      </c>
      <c r="W617" s="35" t="str">
        <f>MID(Tabla1[[#This Row],[Aplicación]],14,2)</f>
        <v>22</v>
      </c>
      <c r="X617" s="35" t="str">
        <f>MID(Tabla1[[#This Row],[Aplicación]],14,6)</f>
        <v>22001</v>
      </c>
    </row>
    <row r="618" spans="1:24" x14ac:dyDescent="0.25">
      <c r="A618" s="45">
        <v>220210005271</v>
      </c>
      <c r="B618" s="46" t="s">
        <v>9</v>
      </c>
      <c r="C618" s="47">
        <v>44249</v>
      </c>
      <c r="D618" s="45">
        <v>22021002454</v>
      </c>
      <c r="E618" s="46" t="s">
        <v>1627</v>
      </c>
      <c r="F618" s="48">
        <v>1785.9</v>
      </c>
      <c r="G618" s="46" t="s">
        <v>65</v>
      </c>
      <c r="H618" s="46" t="s">
        <v>1628</v>
      </c>
      <c r="I618" s="45" t="s">
        <v>125</v>
      </c>
      <c r="J618" s="46" t="s">
        <v>127</v>
      </c>
      <c r="K618" s="46" t="s">
        <v>127</v>
      </c>
      <c r="L618" s="46" t="s">
        <v>15</v>
      </c>
      <c r="M618" s="46" t="s">
        <v>10</v>
      </c>
      <c r="N618" s="46" t="s">
        <v>11</v>
      </c>
      <c r="O618" s="49" t="s">
        <v>815</v>
      </c>
      <c r="P618" s="46" t="s">
        <v>507</v>
      </c>
      <c r="Q618" s="35" t="str">
        <f>MID(Tabla1[[#This Row],[Aplicación]],14,1)</f>
        <v>2</v>
      </c>
      <c r="R618" s="35" t="s">
        <v>495</v>
      </c>
      <c r="S618" s="35" t="str">
        <f>MID(Tabla1[[#This Row],[Aplicación]],6,2)</f>
        <v>10</v>
      </c>
      <c r="T618" s="35" t="str">
        <f>VLOOKUP(Tabla1[[#This Row],[AREA]],Hoja1!A:B,2,FALSE)</f>
        <v>10. Servicios sociales y mediación comunitaria</v>
      </c>
      <c r="U618" s="35" t="str">
        <f>MID(Tabla1[[#This Row],[Aplicación]],9,4)</f>
        <v>2311</v>
      </c>
      <c r="V618" s="35" t="str">
        <f>VLOOKUP(Tabla1[[#This Row],[PROGRAMA]],Hoja1!A:B,2,FALSE)</f>
        <v>2311. Intervención social</v>
      </c>
      <c r="W618" s="35" t="str">
        <f>MID(Tabla1[[#This Row],[Aplicación]],14,2)</f>
        <v>22</v>
      </c>
      <c r="X618" s="35" t="str">
        <f>MID(Tabla1[[#This Row],[Aplicación]],14,6)</f>
        <v>22001</v>
      </c>
    </row>
    <row r="619" spans="1:24" x14ac:dyDescent="0.25">
      <c r="A619" s="45">
        <v>220210013077</v>
      </c>
      <c r="B619" s="46" t="s">
        <v>204</v>
      </c>
      <c r="C619" s="47">
        <v>44285</v>
      </c>
      <c r="D619" s="45">
        <v>22021002225</v>
      </c>
      <c r="E619" s="46" t="s">
        <v>1574</v>
      </c>
      <c r="F619" s="48">
        <v>443.08</v>
      </c>
      <c r="G619" s="46" t="s">
        <v>288</v>
      </c>
      <c r="H619" s="46" t="s">
        <v>1629</v>
      </c>
      <c r="I619" s="45" t="s">
        <v>205</v>
      </c>
      <c r="J619" s="46" t="s">
        <v>664</v>
      </c>
      <c r="K619" s="46" t="s">
        <v>127</v>
      </c>
      <c r="L619" s="46" t="s">
        <v>15</v>
      </c>
      <c r="M619" s="46" t="s">
        <v>13</v>
      </c>
      <c r="N619" s="46" t="s">
        <v>16</v>
      </c>
      <c r="O619" s="49" t="s">
        <v>814</v>
      </c>
      <c r="P619" s="46" t="s">
        <v>507</v>
      </c>
      <c r="Q619" s="35" t="str">
        <f>MID(Tabla1[[#This Row],[Aplicación]],14,1)</f>
        <v>2</v>
      </c>
      <c r="R619" s="35" t="s">
        <v>495</v>
      </c>
      <c r="S619" s="35" t="str">
        <f>MID(Tabla1[[#This Row],[Aplicación]],6,2)</f>
        <v>06</v>
      </c>
      <c r="T619" s="35" t="str">
        <f>VLOOKUP(Tabla1[[#This Row],[AREA]],Hoja1!A:B,2,FALSE)</f>
        <v>06. Educación, infancia, juventud e igualdad</v>
      </c>
      <c r="U619" s="35" t="str">
        <f>MID(Tabla1[[#This Row],[Aplicación]],9,4)</f>
        <v>3231</v>
      </c>
      <c r="V619" s="35" t="str">
        <f>VLOOKUP(Tabla1[[#This Row],[PROGRAMA]],Hoja1!A:B,2,FALSE)</f>
        <v>3231. Escuelas infantiles</v>
      </c>
      <c r="W619" s="35" t="str">
        <f>MID(Tabla1[[#This Row],[Aplicación]],14,2)</f>
        <v>21</v>
      </c>
      <c r="X619" s="35" t="str">
        <f>MID(Tabla1[[#This Row],[Aplicación]],14,6)</f>
        <v>212</v>
      </c>
    </row>
    <row r="620" spans="1:24" x14ac:dyDescent="0.25">
      <c r="A620" s="45">
        <v>220199000587</v>
      </c>
      <c r="B620" s="46" t="s">
        <v>9</v>
      </c>
      <c r="C620" s="47">
        <v>44198</v>
      </c>
      <c r="D620" s="45">
        <v>22021000161</v>
      </c>
      <c r="E620" s="46" t="s">
        <v>1220</v>
      </c>
      <c r="F620" s="48">
        <v>83.28</v>
      </c>
      <c r="G620" s="46" t="s">
        <v>46</v>
      </c>
      <c r="H620" s="46" t="s">
        <v>725</v>
      </c>
      <c r="I620" s="45" t="s">
        <v>125</v>
      </c>
      <c r="J620" s="46" t="s">
        <v>126</v>
      </c>
      <c r="K620" s="46" t="s">
        <v>126</v>
      </c>
      <c r="L620" s="46" t="s">
        <v>12</v>
      </c>
      <c r="M620" s="46" t="s">
        <v>13</v>
      </c>
      <c r="N620" s="46" t="s">
        <v>16</v>
      </c>
      <c r="O620" s="49" t="s">
        <v>803</v>
      </c>
      <c r="P620" s="46" t="s">
        <v>507</v>
      </c>
      <c r="Q620" s="35" t="str">
        <f>MID(Tabla1[[#This Row],[Aplicación]],14,1)</f>
        <v>2</v>
      </c>
      <c r="R620" s="35" t="s">
        <v>495</v>
      </c>
      <c r="S620" s="35" t="str">
        <f>MID(Tabla1[[#This Row],[Aplicación]],6,2)</f>
        <v>03</v>
      </c>
      <c r="T620" s="35" t="str">
        <f>VLOOKUP(Tabla1[[#This Row],[AREA]],Hoja1!A:B,2,FALSE)</f>
        <v>03. Participación ciudadana y deportes</v>
      </c>
      <c r="U620" s="35" t="str">
        <f>MID(Tabla1[[#This Row],[Aplicación]],9,4)</f>
        <v>9241</v>
      </c>
      <c r="V620" s="35" t="str">
        <f>VLOOKUP(Tabla1[[#This Row],[PROGRAMA]],Hoja1!A:B,2,FALSE)</f>
        <v>9241. Participación ciudadana</v>
      </c>
      <c r="W620" s="35" t="str">
        <f>MID(Tabla1[[#This Row],[Aplicación]],14,2)</f>
        <v>21</v>
      </c>
      <c r="X620" s="35" t="str">
        <f>MID(Tabla1[[#This Row],[Aplicación]],14,6)</f>
        <v>213</v>
      </c>
    </row>
    <row r="621" spans="1:24" x14ac:dyDescent="0.25">
      <c r="A621" s="45">
        <v>220199000722</v>
      </c>
      <c r="B621" s="46" t="s">
        <v>9</v>
      </c>
      <c r="C621" s="47">
        <v>44198</v>
      </c>
      <c r="D621" s="45">
        <v>22021000170</v>
      </c>
      <c r="E621" s="46" t="s">
        <v>1304</v>
      </c>
      <c r="F621" s="48">
        <v>7643.17</v>
      </c>
      <c r="G621" s="46" t="s">
        <v>46</v>
      </c>
      <c r="H621" s="46" t="s">
        <v>707</v>
      </c>
      <c r="I621" s="45" t="s">
        <v>125</v>
      </c>
      <c r="J621" s="46" t="s">
        <v>126</v>
      </c>
      <c r="K621" s="46" t="s">
        <v>126</v>
      </c>
      <c r="L621" s="46" t="s">
        <v>12</v>
      </c>
      <c r="M621" s="46" t="s">
        <v>13</v>
      </c>
      <c r="N621" s="46" t="s">
        <v>14</v>
      </c>
      <c r="O621" s="49" t="s">
        <v>803</v>
      </c>
      <c r="P621" s="46" t="s">
        <v>507</v>
      </c>
      <c r="Q621" s="35" t="str">
        <f>MID(Tabla1[[#This Row],[Aplicación]],14,1)</f>
        <v>2</v>
      </c>
      <c r="R621" s="35" t="s">
        <v>495</v>
      </c>
      <c r="S621" s="35" t="str">
        <f>MID(Tabla1[[#This Row],[Aplicación]],6,2)</f>
        <v>07</v>
      </c>
      <c r="T621" s="35" t="str">
        <f>VLOOKUP(Tabla1[[#This Row],[AREA]],Hoja1!A:B,2,FALSE)</f>
        <v>07. Medio ambiente y desarrollo sostenible</v>
      </c>
      <c r="U621" s="35" t="str">
        <f>MID(Tabla1[[#This Row],[Aplicación]],9,4)</f>
        <v>1721</v>
      </c>
      <c r="V621" s="35" t="str">
        <f>VLOOKUP(Tabla1[[#This Row],[PROGRAMA]],Hoja1!A:B,2,FALSE)</f>
        <v>1721. Protección del medio ambiente</v>
      </c>
      <c r="W621" s="35" t="str">
        <f>MID(Tabla1[[#This Row],[Aplicación]],14,2)</f>
        <v>22</v>
      </c>
      <c r="X621" s="35" t="str">
        <f>MID(Tabla1[[#This Row],[Aplicación]],14,6)</f>
        <v>22799</v>
      </c>
    </row>
    <row r="622" spans="1:24" x14ac:dyDescent="0.25">
      <c r="A622" s="45">
        <v>220199000723</v>
      </c>
      <c r="B622" s="46" t="s">
        <v>9</v>
      </c>
      <c r="C622" s="47">
        <v>44198</v>
      </c>
      <c r="D622" s="45">
        <v>22021000171</v>
      </c>
      <c r="E622" s="46" t="s">
        <v>1304</v>
      </c>
      <c r="F622" s="48">
        <v>3800.12</v>
      </c>
      <c r="G622" s="46" t="s">
        <v>46</v>
      </c>
      <c r="H622" s="46" t="s">
        <v>710</v>
      </c>
      <c r="I622" s="45" t="s">
        <v>125</v>
      </c>
      <c r="J622" s="46" t="s">
        <v>126</v>
      </c>
      <c r="K622" s="46" t="s">
        <v>126</v>
      </c>
      <c r="L622" s="46" t="s">
        <v>12</v>
      </c>
      <c r="M622" s="46" t="s">
        <v>13</v>
      </c>
      <c r="N622" s="46" t="s">
        <v>14</v>
      </c>
      <c r="O622" s="49" t="s">
        <v>803</v>
      </c>
      <c r="P622" s="46" t="s">
        <v>507</v>
      </c>
      <c r="Q622" s="35" t="str">
        <f>MID(Tabla1[[#This Row],[Aplicación]],14,1)</f>
        <v>2</v>
      </c>
      <c r="R622" s="35" t="s">
        <v>495</v>
      </c>
      <c r="S622" s="35" t="str">
        <f>MID(Tabla1[[#This Row],[Aplicación]],6,2)</f>
        <v>07</v>
      </c>
      <c r="T622" s="35" t="str">
        <f>VLOOKUP(Tabla1[[#This Row],[AREA]],Hoja1!A:B,2,FALSE)</f>
        <v>07. Medio ambiente y desarrollo sostenible</v>
      </c>
      <c r="U622" s="35" t="str">
        <f>MID(Tabla1[[#This Row],[Aplicación]],9,4)</f>
        <v>1721</v>
      </c>
      <c r="V622" s="35" t="str">
        <f>VLOOKUP(Tabla1[[#This Row],[PROGRAMA]],Hoja1!A:B,2,FALSE)</f>
        <v>1721. Protección del medio ambiente</v>
      </c>
      <c r="W622" s="35" t="str">
        <f>MID(Tabla1[[#This Row],[Aplicación]],14,2)</f>
        <v>22</v>
      </c>
      <c r="X622" s="35" t="str">
        <f>MID(Tabla1[[#This Row],[Aplicación]],14,6)</f>
        <v>22799</v>
      </c>
    </row>
    <row r="623" spans="1:24" x14ac:dyDescent="0.25">
      <c r="A623" s="45">
        <v>220210009393</v>
      </c>
      <c r="B623" s="46" t="s">
        <v>9</v>
      </c>
      <c r="C623" s="47">
        <v>44270</v>
      </c>
      <c r="D623" s="45">
        <v>22021003379</v>
      </c>
      <c r="E623" s="46" t="s">
        <v>1630</v>
      </c>
      <c r="F623" s="48">
        <v>300.02</v>
      </c>
      <c r="G623" s="46" t="s">
        <v>154</v>
      </c>
      <c r="H623" s="46" t="s">
        <v>1631</v>
      </c>
      <c r="I623" s="45" t="s">
        <v>125</v>
      </c>
      <c r="J623" s="46" t="s">
        <v>640</v>
      </c>
      <c r="K623" s="46" t="s">
        <v>201</v>
      </c>
      <c r="L623" s="46" t="s">
        <v>12</v>
      </c>
      <c r="M623" s="46" t="s">
        <v>10</v>
      </c>
      <c r="N623" s="46" t="s">
        <v>11</v>
      </c>
      <c r="O623" s="49" t="s">
        <v>815</v>
      </c>
      <c r="P623" s="46" t="s">
        <v>507</v>
      </c>
      <c r="Q623" s="35" t="str">
        <f>MID(Tabla1[[#This Row],[Aplicación]],14,1)</f>
        <v>2</v>
      </c>
      <c r="R623" s="35" t="s">
        <v>495</v>
      </c>
      <c r="S623" s="35" t="str">
        <f>MID(Tabla1[[#This Row],[Aplicación]],6,2)</f>
        <v>02</v>
      </c>
      <c r="T623" s="35" t="str">
        <f>VLOOKUP(Tabla1[[#This Row],[AREA]],Hoja1!A:B,2,FALSE)</f>
        <v>02. Planeamiento urbanístico y vivienda</v>
      </c>
      <c r="U623" s="35" t="str">
        <f>MID(Tabla1[[#This Row],[Aplicación]],9,4)</f>
        <v>9332</v>
      </c>
      <c r="V623" s="35" t="str">
        <f>VLOOKUP(Tabla1[[#This Row],[PROGRAMA]],Hoja1!A:B,2,FALSE)</f>
        <v>9332. Mantenimiento de edificios e instalaciones municipales</v>
      </c>
      <c r="W623" s="35" t="str">
        <f>MID(Tabla1[[#This Row],[Aplicación]],14,2)</f>
        <v>20</v>
      </c>
      <c r="X623" s="35" t="str">
        <f>MID(Tabla1[[#This Row],[Aplicación]],14,6)</f>
        <v>204</v>
      </c>
    </row>
    <row r="624" spans="1:24" x14ac:dyDescent="0.25">
      <c r="A624" s="45">
        <v>220210002880</v>
      </c>
      <c r="B624" s="46" t="s">
        <v>9</v>
      </c>
      <c r="C624" s="47">
        <v>44238</v>
      </c>
      <c r="D624" s="45">
        <v>22021002390</v>
      </c>
      <c r="E624" s="46" t="s">
        <v>1167</v>
      </c>
      <c r="F624" s="48">
        <v>592.71</v>
      </c>
      <c r="G624" s="46" t="s">
        <v>1632</v>
      </c>
      <c r="H624" s="46" t="s">
        <v>1633</v>
      </c>
      <c r="I624" s="45" t="s">
        <v>125</v>
      </c>
      <c r="J624" s="46" t="s">
        <v>127</v>
      </c>
      <c r="K624" s="46" t="s">
        <v>127</v>
      </c>
      <c r="L624" s="46" t="s">
        <v>12</v>
      </c>
      <c r="M624" s="46" t="s">
        <v>10</v>
      </c>
      <c r="N624" s="46" t="s">
        <v>11</v>
      </c>
      <c r="O624" s="49" t="s">
        <v>815</v>
      </c>
      <c r="P624" s="46" t="s">
        <v>507</v>
      </c>
      <c r="Q624" s="35" t="str">
        <f>MID(Tabla1[[#This Row],[Aplicación]],14,1)</f>
        <v>2</v>
      </c>
      <c r="R624" s="35" t="s">
        <v>495</v>
      </c>
      <c r="S624" s="35" t="str">
        <f>MID(Tabla1[[#This Row],[Aplicación]],6,2)</f>
        <v>11</v>
      </c>
      <c r="T624" s="35" t="str">
        <f>VLOOKUP(Tabla1[[#This Row],[AREA]],Hoja1!A:B,2,FALSE)</f>
        <v>11. Salud pública y seguridad ciudadana</v>
      </c>
      <c r="U624" s="35" t="str">
        <f>MID(Tabla1[[#This Row],[Aplicación]],9,4)</f>
        <v>1321</v>
      </c>
      <c r="V624" s="35" t="str">
        <f>VLOOKUP(Tabla1[[#This Row],[PROGRAMA]],Hoja1!A:B,2,FALSE)</f>
        <v>1321. Policía municipal</v>
      </c>
      <c r="W624" s="35" t="str">
        <f>MID(Tabla1[[#This Row],[Aplicación]],14,2)</f>
        <v>21</v>
      </c>
      <c r="X624" s="35" t="str">
        <f>MID(Tabla1[[#This Row],[Aplicación]],14,6)</f>
        <v>214</v>
      </c>
    </row>
    <row r="625" spans="1:24" x14ac:dyDescent="0.25">
      <c r="A625" s="45">
        <v>220200074531</v>
      </c>
      <c r="B625" s="46" t="s">
        <v>9</v>
      </c>
      <c r="C625" s="47">
        <v>44284</v>
      </c>
      <c r="D625" s="45">
        <v>22019006218</v>
      </c>
      <c r="E625" s="46" t="s">
        <v>1634</v>
      </c>
      <c r="F625" s="48">
        <v>400417.52</v>
      </c>
      <c r="G625" s="46" t="s">
        <v>557</v>
      </c>
      <c r="H625" s="46" t="s">
        <v>1635</v>
      </c>
      <c r="I625" s="45" t="s">
        <v>125</v>
      </c>
      <c r="J625" s="46" t="s">
        <v>634</v>
      </c>
      <c r="K625" s="46" t="s">
        <v>127</v>
      </c>
      <c r="L625" s="46" t="s">
        <v>31</v>
      </c>
      <c r="M625" s="46" t="s">
        <v>13</v>
      </c>
      <c r="N625" s="46" t="s">
        <v>14</v>
      </c>
      <c r="O625" s="49" t="s">
        <v>803</v>
      </c>
      <c r="P625" s="46" t="s">
        <v>507</v>
      </c>
      <c r="Q625" s="35" t="str">
        <f>MID(Tabla1[[#This Row],[Aplicación]],14,1)</f>
        <v>6</v>
      </c>
      <c r="R625" s="35" t="s">
        <v>496</v>
      </c>
      <c r="S625" s="35" t="str">
        <f>MID(Tabla1[[#This Row],[Aplicación]],6,2)</f>
        <v>08</v>
      </c>
      <c r="T625" s="35" t="str">
        <f>VLOOKUP(Tabla1[[#This Row],[AREA]],Hoja1!A:B,2,FALSE)</f>
        <v>08. Movilidad y espacio urbano</v>
      </c>
      <c r="U625" s="35" t="str">
        <f>MID(Tabla1[[#This Row],[Aplicación]],9,4)</f>
        <v>1532</v>
      </c>
      <c r="V625" s="35" t="str">
        <f>VLOOKUP(Tabla1[[#This Row],[PROGRAMA]],Hoja1!A:B,2,FALSE)</f>
        <v>1532. Pavimentación vias públicas y otros servicios urbanísticos</v>
      </c>
      <c r="W625" s="35" t="str">
        <f>MID(Tabla1[[#This Row],[Aplicación]],14,2)</f>
        <v>60</v>
      </c>
      <c r="X625" s="35" t="str">
        <f>MID(Tabla1[[#This Row],[Aplicación]],14,6)</f>
        <v>609</v>
      </c>
    </row>
    <row r="626" spans="1:24" x14ac:dyDescent="0.25">
      <c r="A626" s="45">
        <v>220210002848</v>
      </c>
      <c r="B626" s="46" t="s">
        <v>9</v>
      </c>
      <c r="C626" s="47">
        <v>44238</v>
      </c>
      <c r="D626" s="45">
        <v>22021002248</v>
      </c>
      <c r="E626" s="46" t="s">
        <v>1220</v>
      </c>
      <c r="F626" s="48">
        <v>840.32</v>
      </c>
      <c r="G626" s="46" t="s">
        <v>46</v>
      </c>
      <c r="H626" s="46" t="s">
        <v>1636</v>
      </c>
      <c r="I626" s="45" t="s">
        <v>125</v>
      </c>
      <c r="J626" s="46" t="s">
        <v>126</v>
      </c>
      <c r="K626" s="46" t="s">
        <v>126</v>
      </c>
      <c r="L626" s="46" t="s">
        <v>12</v>
      </c>
      <c r="M626" s="46" t="s">
        <v>13</v>
      </c>
      <c r="N626" s="46" t="s">
        <v>16</v>
      </c>
      <c r="O626" s="49" t="s">
        <v>803</v>
      </c>
      <c r="P626" s="46" t="s">
        <v>507</v>
      </c>
      <c r="Q626" s="35" t="str">
        <f>MID(Tabla1[[#This Row],[Aplicación]],14,1)</f>
        <v>2</v>
      </c>
      <c r="R626" s="35" t="s">
        <v>495</v>
      </c>
      <c r="S626" s="35" t="str">
        <f>MID(Tabla1[[#This Row],[Aplicación]],6,2)</f>
        <v>03</v>
      </c>
      <c r="T626" s="35" t="str">
        <f>VLOOKUP(Tabla1[[#This Row],[AREA]],Hoja1!A:B,2,FALSE)</f>
        <v>03. Participación ciudadana y deportes</v>
      </c>
      <c r="U626" s="35" t="str">
        <f>MID(Tabla1[[#This Row],[Aplicación]],9,4)</f>
        <v>9241</v>
      </c>
      <c r="V626" s="35" t="str">
        <f>VLOOKUP(Tabla1[[#This Row],[PROGRAMA]],Hoja1!A:B,2,FALSE)</f>
        <v>9241. Participación ciudadana</v>
      </c>
      <c r="W626" s="35" t="str">
        <f>MID(Tabla1[[#This Row],[Aplicación]],14,2)</f>
        <v>21</v>
      </c>
      <c r="X626" s="35" t="str">
        <f>MID(Tabla1[[#This Row],[Aplicación]],14,6)</f>
        <v>213</v>
      </c>
    </row>
    <row r="627" spans="1:24" x14ac:dyDescent="0.25">
      <c r="A627" s="45">
        <v>220210003760</v>
      </c>
      <c r="B627" s="46" t="s">
        <v>9</v>
      </c>
      <c r="C627" s="47">
        <v>44243</v>
      </c>
      <c r="D627" s="45">
        <v>22021002564</v>
      </c>
      <c r="E627" s="46" t="s">
        <v>1201</v>
      </c>
      <c r="F627" s="48">
        <v>7260</v>
      </c>
      <c r="G627" s="46" t="s">
        <v>582</v>
      </c>
      <c r="H627" s="46" t="s">
        <v>1637</v>
      </c>
      <c r="I627" s="45" t="s">
        <v>125</v>
      </c>
      <c r="J627" s="46" t="s">
        <v>768</v>
      </c>
      <c r="K627" s="46" t="s">
        <v>201</v>
      </c>
      <c r="L627" s="46" t="s">
        <v>15</v>
      </c>
      <c r="M627" s="46" t="s">
        <v>10</v>
      </c>
      <c r="N627" s="46" t="s">
        <v>11</v>
      </c>
      <c r="O627" s="49" t="s">
        <v>815</v>
      </c>
      <c r="P627" s="46" t="s">
        <v>507</v>
      </c>
      <c r="Q627" s="35" t="str">
        <f>MID(Tabla1[[#This Row],[Aplicación]],14,1)</f>
        <v>2</v>
      </c>
      <c r="R627" s="35" t="s">
        <v>495</v>
      </c>
      <c r="S627" s="35" t="str">
        <f>MID(Tabla1[[#This Row],[Aplicación]],6,2)</f>
        <v>11</v>
      </c>
      <c r="T627" s="35" t="str">
        <f>VLOOKUP(Tabla1[[#This Row],[AREA]],Hoja1!A:B,2,FALSE)</f>
        <v>11. Salud pública y seguridad ciudadana</v>
      </c>
      <c r="U627" s="35" t="str">
        <f>MID(Tabla1[[#This Row],[Aplicación]],9,4)</f>
        <v>3111</v>
      </c>
      <c r="V627" s="35" t="str">
        <f>VLOOKUP(Tabla1[[#This Row],[PROGRAMA]],Hoja1!A:B,2,FALSE)</f>
        <v>3111. Protección de la salubridad pública</v>
      </c>
      <c r="W627" s="35" t="str">
        <f>MID(Tabla1[[#This Row],[Aplicación]],14,2)</f>
        <v>22</v>
      </c>
      <c r="X627" s="35" t="str">
        <f>MID(Tabla1[[#This Row],[Aplicación]],14,6)</f>
        <v>22106</v>
      </c>
    </row>
    <row r="628" spans="1:24" x14ac:dyDescent="0.25">
      <c r="A628" s="45">
        <v>220210006022</v>
      </c>
      <c r="B628" s="46" t="s">
        <v>9</v>
      </c>
      <c r="C628" s="47">
        <v>44251</v>
      </c>
      <c r="D628" s="45">
        <v>22021002956</v>
      </c>
      <c r="E628" s="46" t="s">
        <v>1167</v>
      </c>
      <c r="F628" s="48">
        <v>918.54</v>
      </c>
      <c r="G628" s="46" t="s">
        <v>1632</v>
      </c>
      <c r="H628" s="46" t="s">
        <v>1638</v>
      </c>
      <c r="I628" s="45" t="s">
        <v>125</v>
      </c>
      <c r="J628" s="46" t="s">
        <v>127</v>
      </c>
      <c r="K628" s="46" t="s">
        <v>127</v>
      </c>
      <c r="L628" s="46" t="s">
        <v>12</v>
      </c>
      <c r="M628" s="46" t="s">
        <v>10</v>
      </c>
      <c r="N628" s="46" t="s">
        <v>11</v>
      </c>
      <c r="O628" s="49" t="s">
        <v>815</v>
      </c>
      <c r="P628" s="46" t="s">
        <v>507</v>
      </c>
      <c r="Q628" s="35" t="str">
        <f>MID(Tabla1[[#This Row],[Aplicación]],14,1)</f>
        <v>2</v>
      </c>
      <c r="R628" s="35" t="s">
        <v>495</v>
      </c>
      <c r="S628" s="35" t="str">
        <f>MID(Tabla1[[#This Row],[Aplicación]],6,2)</f>
        <v>11</v>
      </c>
      <c r="T628" s="35" t="str">
        <f>VLOOKUP(Tabla1[[#This Row],[AREA]],Hoja1!A:B,2,FALSE)</f>
        <v>11. Salud pública y seguridad ciudadana</v>
      </c>
      <c r="U628" s="35" t="str">
        <f>MID(Tabla1[[#This Row],[Aplicación]],9,4)</f>
        <v>1321</v>
      </c>
      <c r="V628" s="35" t="str">
        <f>VLOOKUP(Tabla1[[#This Row],[PROGRAMA]],Hoja1!A:B,2,FALSE)</f>
        <v>1321. Policía municipal</v>
      </c>
      <c r="W628" s="35" t="str">
        <f>MID(Tabla1[[#This Row],[Aplicación]],14,2)</f>
        <v>21</v>
      </c>
      <c r="X628" s="35" t="str">
        <f>MID(Tabla1[[#This Row],[Aplicación]],14,6)</f>
        <v>214</v>
      </c>
    </row>
    <row r="629" spans="1:24" x14ac:dyDescent="0.25">
      <c r="A629" s="45">
        <v>220210006951</v>
      </c>
      <c r="B629" s="46" t="s">
        <v>9</v>
      </c>
      <c r="C629" s="47">
        <v>44259</v>
      </c>
      <c r="D629" s="45">
        <v>22021003059</v>
      </c>
      <c r="E629" s="46" t="s">
        <v>1410</v>
      </c>
      <c r="F629" s="48">
        <v>3000</v>
      </c>
      <c r="G629" s="46" t="s">
        <v>1632</v>
      </c>
      <c r="H629" s="46" t="s">
        <v>1639</v>
      </c>
      <c r="I629" s="45" t="s">
        <v>125</v>
      </c>
      <c r="J629" s="46" t="s">
        <v>127</v>
      </c>
      <c r="K629" s="46" t="s">
        <v>127</v>
      </c>
      <c r="L629" s="46" t="s">
        <v>12</v>
      </c>
      <c r="M629" s="46" t="s">
        <v>10</v>
      </c>
      <c r="N629" s="46" t="s">
        <v>11</v>
      </c>
      <c r="O629" s="49" t="s">
        <v>815</v>
      </c>
      <c r="P629" s="46" t="s">
        <v>507</v>
      </c>
      <c r="Q629" s="35" t="str">
        <f>MID(Tabla1[[#This Row],[Aplicación]],14,1)</f>
        <v>2</v>
      </c>
      <c r="R629" s="35" t="s">
        <v>495</v>
      </c>
      <c r="S629" s="35" t="str">
        <f>MID(Tabla1[[#This Row],[Aplicación]],6,2)</f>
        <v>07</v>
      </c>
      <c r="T629" s="35" t="str">
        <f>VLOOKUP(Tabla1[[#This Row],[AREA]],Hoja1!A:B,2,FALSE)</f>
        <v>07. Medio ambiente y desarrollo sostenible</v>
      </c>
      <c r="U629" s="35" t="str">
        <f>MID(Tabla1[[#This Row],[Aplicación]],9,4)</f>
        <v>1711</v>
      </c>
      <c r="V629" s="35" t="str">
        <f>VLOOKUP(Tabla1[[#This Row],[PROGRAMA]],Hoja1!A:B,2,FALSE)</f>
        <v>1711. Parques y jardines</v>
      </c>
      <c r="W629" s="35" t="str">
        <f>MID(Tabla1[[#This Row],[Aplicación]],14,2)</f>
        <v>21</v>
      </c>
      <c r="X629" s="35" t="str">
        <f>MID(Tabla1[[#This Row],[Aplicación]],14,6)</f>
        <v>214</v>
      </c>
    </row>
    <row r="630" spans="1:24" x14ac:dyDescent="0.25">
      <c r="A630" s="45">
        <v>220210005272</v>
      </c>
      <c r="B630" s="46" t="s">
        <v>9</v>
      </c>
      <c r="C630" s="47">
        <v>44249</v>
      </c>
      <c r="D630" s="45">
        <v>22021002409</v>
      </c>
      <c r="E630" s="46" t="s">
        <v>1163</v>
      </c>
      <c r="F630" s="48">
        <v>108.01</v>
      </c>
      <c r="G630" s="46" t="s">
        <v>291</v>
      </c>
      <c r="H630" s="46" t="s">
        <v>1640</v>
      </c>
      <c r="I630" s="45" t="s">
        <v>125</v>
      </c>
      <c r="J630" s="46" t="s">
        <v>126</v>
      </c>
      <c r="K630" s="46" t="s">
        <v>126</v>
      </c>
      <c r="L630" s="46" t="s">
        <v>15</v>
      </c>
      <c r="M630" s="46" t="s">
        <v>10</v>
      </c>
      <c r="N630" s="46" t="s">
        <v>11</v>
      </c>
      <c r="O630" s="49" t="s">
        <v>815</v>
      </c>
      <c r="P630" s="46" t="s">
        <v>507</v>
      </c>
      <c r="Q630" s="35" t="str">
        <f>MID(Tabla1[[#This Row],[Aplicación]],14,1)</f>
        <v>2</v>
      </c>
      <c r="R630" s="35" t="s">
        <v>495</v>
      </c>
      <c r="S630" s="35" t="str">
        <f>MID(Tabla1[[#This Row],[Aplicación]],6,2)</f>
        <v>06</v>
      </c>
      <c r="T630" s="35" t="str">
        <f>VLOOKUP(Tabla1[[#This Row],[AREA]],Hoja1!A:B,2,FALSE)</f>
        <v>06. Educación, infancia, juventud e igualdad</v>
      </c>
      <c r="U630" s="35" t="str">
        <f>MID(Tabla1[[#This Row],[Aplicación]],9,4)</f>
        <v>3321</v>
      </c>
      <c r="V630" s="35" t="str">
        <f>VLOOKUP(Tabla1[[#This Row],[PROGRAMA]],Hoja1!A:B,2,FALSE)</f>
        <v>3321. Bibliotecas públicas</v>
      </c>
      <c r="W630" s="35" t="str">
        <f>MID(Tabla1[[#This Row],[Aplicación]],14,2)</f>
        <v>22</v>
      </c>
      <c r="X630" s="35" t="str">
        <f>MID(Tabla1[[#This Row],[Aplicación]],14,6)</f>
        <v>22001</v>
      </c>
    </row>
    <row r="631" spans="1:24" x14ac:dyDescent="0.25">
      <c r="A631" s="45">
        <v>220209000396</v>
      </c>
      <c r="B631" s="46" t="s">
        <v>9</v>
      </c>
      <c r="C631" s="47">
        <v>44198</v>
      </c>
      <c r="D631" s="45">
        <v>22021000735</v>
      </c>
      <c r="E631" s="46" t="s">
        <v>1224</v>
      </c>
      <c r="F631" s="48">
        <v>31036.5</v>
      </c>
      <c r="G631" s="46" t="s">
        <v>223</v>
      </c>
      <c r="H631" s="46" t="s">
        <v>1641</v>
      </c>
      <c r="I631" s="45" t="s">
        <v>125</v>
      </c>
      <c r="J631" s="46" t="s">
        <v>127</v>
      </c>
      <c r="K631" s="46" t="s">
        <v>127</v>
      </c>
      <c r="L631" s="46" t="s">
        <v>12</v>
      </c>
      <c r="M631" s="46" t="s">
        <v>13</v>
      </c>
      <c r="N631" s="46" t="s">
        <v>14</v>
      </c>
      <c r="O631" s="49" t="s">
        <v>803</v>
      </c>
      <c r="P631" s="46" t="s">
        <v>507</v>
      </c>
      <c r="Q631" s="35" t="str">
        <f>MID(Tabla1[[#This Row],[Aplicación]],14,1)</f>
        <v>6</v>
      </c>
      <c r="R631" s="35" t="s">
        <v>496</v>
      </c>
      <c r="S631" s="35" t="str">
        <f>MID(Tabla1[[#This Row],[Aplicación]],6,2)</f>
        <v>04</v>
      </c>
      <c r="T631" s="35" t="str">
        <f>VLOOKUP(Tabla1[[#This Row],[AREA]],Hoja1!A:B,2,FALSE)</f>
        <v>04. Planificación y recursos</v>
      </c>
      <c r="U631" s="35" t="str">
        <f>MID(Tabla1[[#This Row],[Aplicación]],9,4)</f>
        <v>9204</v>
      </c>
      <c r="V631" s="35" t="str">
        <f>VLOOKUP(Tabla1[[#This Row],[PROGRAMA]],Hoja1!A:B,2,FALSE)</f>
        <v>9204. Tecnologías de la información y comunicación</v>
      </c>
      <c r="W631" s="35" t="str">
        <f>MID(Tabla1[[#This Row],[Aplicación]],14,2)</f>
        <v>63</v>
      </c>
      <c r="X631" s="35" t="str">
        <f>MID(Tabla1[[#This Row],[Aplicación]],14,6)</f>
        <v>636</v>
      </c>
    </row>
    <row r="632" spans="1:24" x14ac:dyDescent="0.25">
      <c r="A632" s="45">
        <v>220210002879</v>
      </c>
      <c r="B632" s="46" t="s">
        <v>9</v>
      </c>
      <c r="C632" s="47">
        <v>44238</v>
      </c>
      <c r="D632" s="45">
        <v>22021002370</v>
      </c>
      <c r="E632" s="46" t="s">
        <v>921</v>
      </c>
      <c r="F632" s="48">
        <v>818.42</v>
      </c>
      <c r="G632" s="46" t="s">
        <v>223</v>
      </c>
      <c r="H632" s="46" t="s">
        <v>1642</v>
      </c>
      <c r="I632" s="45" t="s">
        <v>125</v>
      </c>
      <c r="J632" s="46" t="s">
        <v>127</v>
      </c>
      <c r="K632" s="46" t="s">
        <v>127</v>
      </c>
      <c r="L632" s="46" t="s">
        <v>12</v>
      </c>
      <c r="M632" s="46" t="s">
        <v>10</v>
      </c>
      <c r="N632" s="46" t="s">
        <v>11</v>
      </c>
      <c r="O632" s="49" t="s">
        <v>815</v>
      </c>
      <c r="P632" s="46" t="s">
        <v>507</v>
      </c>
      <c r="Q632" s="35" t="str">
        <f>MID(Tabla1[[#This Row],[Aplicación]],14,1)</f>
        <v>2</v>
      </c>
      <c r="R632" s="35" t="s">
        <v>495</v>
      </c>
      <c r="S632" s="35" t="str">
        <f>MID(Tabla1[[#This Row],[Aplicación]],6,2)</f>
        <v>04</v>
      </c>
      <c r="T632" s="35" t="str">
        <f>VLOOKUP(Tabla1[[#This Row],[AREA]],Hoja1!A:B,2,FALSE)</f>
        <v>04. Planificación y recursos</v>
      </c>
      <c r="U632" s="35" t="str">
        <f>MID(Tabla1[[#This Row],[Aplicación]],9,4)</f>
        <v>9204</v>
      </c>
      <c r="V632" s="35" t="str">
        <f>VLOOKUP(Tabla1[[#This Row],[PROGRAMA]],Hoja1!A:B,2,FALSE)</f>
        <v>9204. Tecnologías de la información y comunicación</v>
      </c>
      <c r="W632" s="35" t="str">
        <f>MID(Tabla1[[#This Row],[Aplicación]],14,2)</f>
        <v>21</v>
      </c>
      <c r="X632" s="35" t="str">
        <f>MID(Tabla1[[#This Row],[Aplicación]],14,6)</f>
        <v>213</v>
      </c>
    </row>
    <row r="633" spans="1:24" x14ac:dyDescent="0.25">
      <c r="A633" s="45">
        <v>220210005511</v>
      </c>
      <c r="B633" s="46" t="s">
        <v>204</v>
      </c>
      <c r="C633" s="47">
        <v>44250</v>
      </c>
      <c r="D633" s="45">
        <v>22021001966</v>
      </c>
      <c r="E633" s="46" t="s">
        <v>950</v>
      </c>
      <c r="F633" s="48">
        <v>123.54</v>
      </c>
      <c r="G633" s="46" t="s">
        <v>223</v>
      </c>
      <c r="H633" s="46" t="s">
        <v>1643</v>
      </c>
      <c r="I633" s="45" t="s">
        <v>205</v>
      </c>
      <c r="J633" s="46" t="s">
        <v>127</v>
      </c>
      <c r="K633" s="46" t="s">
        <v>127</v>
      </c>
      <c r="L633" s="46" t="s">
        <v>15</v>
      </c>
      <c r="M633" s="46" t="s">
        <v>13</v>
      </c>
      <c r="N633" s="46" t="s">
        <v>14</v>
      </c>
      <c r="O633" s="49" t="s">
        <v>814</v>
      </c>
      <c r="P633" s="46" t="s">
        <v>507</v>
      </c>
      <c r="Q633" s="35" t="str">
        <f>MID(Tabla1[[#This Row],[Aplicación]],14,1)</f>
        <v>2</v>
      </c>
      <c r="R633" s="35" t="s">
        <v>495</v>
      </c>
      <c r="S633" s="35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35" t="str">
        <f>MID(Tabla1[[#This Row],[Aplicación]],9,4)</f>
        <v>1321</v>
      </c>
      <c r="V633" s="35" t="str">
        <f>VLOOKUP(Tabla1[[#This Row],[PROGRAMA]],Hoja1!A:B,2,FALSE)</f>
        <v>1321. Policía municipal</v>
      </c>
      <c r="W633" s="35" t="str">
        <f>MID(Tabla1[[#This Row],[Aplicación]],14,2)</f>
        <v>21</v>
      </c>
      <c r="X633" s="35" t="str">
        <f>MID(Tabla1[[#This Row],[Aplicación]],14,6)</f>
        <v>213</v>
      </c>
    </row>
    <row r="634" spans="1:24" x14ac:dyDescent="0.25">
      <c r="A634" s="45">
        <v>220210001355</v>
      </c>
      <c r="B634" s="46" t="s">
        <v>9</v>
      </c>
      <c r="C634" s="47">
        <v>44228</v>
      </c>
      <c r="D634" s="45">
        <v>22021001167</v>
      </c>
      <c r="E634" s="46" t="s">
        <v>1644</v>
      </c>
      <c r="F634" s="48">
        <v>725</v>
      </c>
      <c r="G634" s="46" t="s">
        <v>76</v>
      </c>
      <c r="H634" s="46" t="s">
        <v>1645</v>
      </c>
      <c r="I634" s="45" t="s">
        <v>125</v>
      </c>
      <c r="J634" s="46" t="s">
        <v>731</v>
      </c>
      <c r="K634" s="46" t="s">
        <v>146</v>
      </c>
      <c r="L634" s="46" t="s">
        <v>12</v>
      </c>
      <c r="M634" s="46" t="s">
        <v>10</v>
      </c>
      <c r="N634" s="46" t="s">
        <v>11</v>
      </c>
      <c r="O634" s="49" t="s">
        <v>815</v>
      </c>
      <c r="P634" s="46" t="s">
        <v>507</v>
      </c>
      <c r="Q634" s="35" t="str">
        <f>MID(Tabla1[[#This Row],[Aplicación]],14,1)</f>
        <v>2</v>
      </c>
      <c r="R634" s="35" t="s">
        <v>495</v>
      </c>
      <c r="S634" s="35" t="str">
        <f>MID(Tabla1[[#This Row],[Aplicación]],6,2)</f>
        <v>11</v>
      </c>
      <c r="T634" s="35" t="str">
        <f>VLOOKUP(Tabla1[[#This Row],[AREA]],Hoja1!A:B,2,FALSE)</f>
        <v>11. Salud pública y seguridad ciudadana</v>
      </c>
      <c r="U634" s="35" t="str">
        <f>MID(Tabla1[[#This Row],[Aplicación]],9,4)</f>
        <v>1621</v>
      </c>
      <c r="V634" s="35" t="str">
        <f>VLOOKUP(Tabla1[[#This Row],[PROGRAMA]],Hoja1!A:B,2,FALSE)</f>
        <v>1621. Servicio de limpieza</v>
      </c>
      <c r="W634" s="35" t="str">
        <f>MID(Tabla1[[#This Row],[Aplicación]],14,2)</f>
        <v>20</v>
      </c>
      <c r="X634" s="35" t="str">
        <f>MID(Tabla1[[#This Row],[Aplicación]],14,6)</f>
        <v>203</v>
      </c>
    </row>
    <row r="635" spans="1:24" x14ac:dyDescent="0.25">
      <c r="A635" s="45">
        <v>220210002419</v>
      </c>
      <c r="B635" s="46" t="s">
        <v>9</v>
      </c>
      <c r="C635" s="47">
        <v>44235</v>
      </c>
      <c r="D635" s="45">
        <v>22021002196</v>
      </c>
      <c r="E635" s="46" t="s">
        <v>1163</v>
      </c>
      <c r="F635" s="48">
        <v>37.44</v>
      </c>
      <c r="G635" s="46" t="s">
        <v>1646</v>
      </c>
      <c r="H635" s="46" t="s">
        <v>1647</v>
      </c>
      <c r="I635" s="45" t="s">
        <v>125</v>
      </c>
      <c r="J635" s="46" t="s">
        <v>126</v>
      </c>
      <c r="K635" s="46" t="s">
        <v>126</v>
      </c>
      <c r="L635" s="46" t="s">
        <v>15</v>
      </c>
      <c r="M635" s="46" t="s">
        <v>10</v>
      </c>
      <c r="N635" s="46" t="s">
        <v>11</v>
      </c>
      <c r="O635" s="49" t="s">
        <v>815</v>
      </c>
      <c r="P635" s="46" t="s">
        <v>507</v>
      </c>
      <c r="Q635" s="35" t="str">
        <f>MID(Tabla1[[#This Row],[Aplicación]],14,1)</f>
        <v>2</v>
      </c>
      <c r="R635" s="35" t="s">
        <v>495</v>
      </c>
      <c r="S635" s="35" t="str">
        <f>MID(Tabla1[[#This Row],[Aplicación]],6,2)</f>
        <v>06</v>
      </c>
      <c r="T635" s="35" t="str">
        <f>VLOOKUP(Tabla1[[#This Row],[AREA]],Hoja1!A:B,2,FALSE)</f>
        <v>06. Educación, infancia, juventud e igualdad</v>
      </c>
      <c r="U635" s="35" t="str">
        <f>MID(Tabla1[[#This Row],[Aplicación]],9,4)</f>
        <v>3321</v>
      </c>
      <c r="V635" s="35" t="str">
        <f>VLOOKUP(Tabla1[[#This Row],[PROGRAMA]],Hoja1!A:B,2,FALSE)</f>
        <v>3321. Bibliotecas públicas</v>
      </c>
      <c r="W635" s="35" t="str">
        <f>MID(Tabla1[[#This Row],[Aplicación]],14,2)</f>
        <v>22</v>
      </c>
      <c r="X635" s="35" t="str">
        <f>MID(Tabla1[[#This Row],[Aplicación]],14,6)</f>
        <v>22001</v>
      </c>
    </row>
    <row r="636" spans="1:24" x14ac:dyDescent="0.25">
      <c r="A636" s="45">
        <v>220199000219</v>
      </c>
      <c r="B636" s="46" t="s">
        <v>9</v>
      </c>
      <c r="C636" s="47">
        <v>44198</v>
      </c>
      <c r="D636" s="45">
        <v>22021000142</v>
      </c>
      <c r="E636" s="46" t="s">
        <v>1648</v>
      </c>
      <c r="F636" s="48">
        <v>12238.72</v>
      </c>
      <c r="G636" s="46" t="s">
        <v>52</v>
      </c>
      <c r="H636" s="46" t="s">
        <v>578</v>
      </c>
      <c r="I636" s="45" t="s">
        <v>125</v>
      </c>
      <c r="J636" s="46" t="s">
        <v>127</v>
      </c>
      <c r="K636" s="46" t="s">
        <v>127</v>
      </c>
      <c r="L636" s="46" t="s">
        <v>12</v>
      </c>
      <c r="M636" s="46" t="s">
        <v>13</v>
      </c>
      <c r="N636" s="46" t="s">
        <v>14</v>
      </c>
      <c r="O636" s="49" t="s">
        <v>803</v>
      </c>
      <c r="P636" s="46" t="s">
        <v>507</v>
      </c>
      <c r="Q636" s="35" t="str">
        <f>MID(Tabla1[[#This Row],[Aplicación]],14,1)</f>
        <v>2</v>
      </c>
      <c r="R636" s="35" t="s">
        <v>495</v>
      </c>
      <c r="S636" s="35" t="str">
        <f>MID(Tabla1[[#This Row],[Aplicación]],6,2)</f>
        <v>09</v>
      </c>
      <c r="T636" s="35" t="str">
        <f>VLOOKUP(Tabla1[[#This Row],[AREA]],Hoja1!A:B,2,FALSE)</f>
        <v>09. Cultura y turismo</v>
      </c>
      <c r="U636" s="35" t="str">
        <f>MID(Tabla1[[#This Row],[Aplicación]],9,4)</f>
        <v>3341</v>
      </c>
      <c r="V636" s="35" t="str">
        <f>VLOOKUP(Tabla1[[#This Row],[PROGRAMA]],Hoja1!A:B,2,FALSE)</f>
        <v>3341. Coordinación de políticas culturales</v>
      </c>
      <c r="W636" s="35" t="str">
        <f>MID(Tabla1[[#This Row],[Aplicación]],14,2)</f>
        <v>22</v>
      </c>
      <c r="X636" s="35" t="str">
        <f>MID(Tabla1[[#This Row],[Aplicación]],14,6)</f>
        <v>22799</v>
      </c>
    </row>
    <row r="637" spans="1:24" x14ac:dyDescent="0.25">
      <c r="A637" s="45">
        <v>220199000577</v>
      </c>
      <c r="B637" s="46" t="s">
        <v>9</v>
      </c>
      <c r="C637" s="47">
        <v>44198</v>
      </c>
      <c r="D637" s="45">
        <v>22021000158</v>
      </c>
      <c r="E637" s="46" t="s">
        <v>1648</v>
      </c>
      <c r="F637" s="48">
        <v>1094.6099999999999</v>
      </c>
      <c r="G637" s="46" t="s">
        <v>52</v>
      </c>
      <c r="H637" s="46" t="s">
        <v>782</v>
      </c>
      <c r="I637" s="45" t="s">
        <v>125</v>
      </c>
      <c r="J637" s="46" t="s">
        <v>127</v>
      </c>
      <c r="K637" s="46" t="s">
        <v>127</v>
      </c>
      <c r="L637" s="46" t="s">
        <v>12</v>
      </c>
      <c r="M637" s="46" t="s">
        <v>13</v>
      </c>
      <c r="N637" s="46" t="s">
        <v>14</v>
      </c>
      <c r="O637" s="49" t="s">
        <v>803</v>
      </c>
      <c r="P637" s="46" t="s">
        <v>507</v>
      </c>
      <c r="Q637" s="35" t="str">
        <f>MID(Tabla1[[#This Row],[Aplicación]],14,1)</f>
        <v>2</v>
      </c>
      <c r="R637" s="35" t="s">
        <v>495</v>
      </c>
      <c r="S637" s="35" t="str">
        <f>MID(Tabla1[[#This Row],[Aplicación]],6,2)</f>
        <v>09</v>
      </c>
      <c r="T637" s="35" t="str">
        <f>VLOOKUP(Tabla1[[#This Row],[AREA]],Hoja1!A:B,2,FALSE)</f>
        <v>09. Cultura y turismo</v>
      </c>
      <c r="U637" s="35" t="str">
        <f>MID(Tabla1[[#This Row],[Aplicación]],9,4)</f>
        <v>3341</v>
      </c>
      <c r="V637" s="35" t="str">
        <f>VLOOKUP(Tabla1[[#This Row],[PROGRAMA]],Hoja1!A:B,2,FALSE)</f>
        <v>3341. Coordinación de políticas culturales</v>
      </c>
      <c r="W637" s="35" t="str">
        <f>MID(Tabla1[[#This Row],[Aplicación]],14,2)</f>
        <v>22</v>
      </c>
      <c r="X637" s="35" t="str">
        <f>MID(Tabla1[[#This Row],[Aplicación]],14,6)</f>
        <v>22799</v>
      </c>
    </row>
    <row r="638" spans="1:24" x14ac:dyDescent="0.25">
      <c r="A638" s="45">
        <v>220210000032</v>
      </c>
      <c r="B638" s="46" t="s">
        <v>32</v>
      </c>
      <c r="C638" s="47">
        <v>44215</v>
      </c>
      <c r="D638" s="45">
        <v>22021000685</v>
      </c>
      <c r="E638" s="46" t="s">
        <v>1203</v>
      </c>
      <c r="F638" s="48">
        <v>6364.6</v>
      </c>
      <c r="G638" s="46" t="s">
        <v>1649</v>
      </c>
      <c r="H638" s="46" t="s">
        <v>1650</v>
      </c>
      <c r="I638" s="45" t="s">
        <v>234</v>
      </c>
      <c r="J638" s="46" t="s">
        <v>148</v>
      </c>
      <c r="K638" s="46" t="s">
        <v>201</v>
      </c>
      <c r="L638" s="46" t="s">
        <v>15</v>
      </c>
      <c r="M638" s="46" t="s">
        <v>10</v>
      </c>
      <c r="N638" s="46" t="s">
        <v>11</v>
      </c>
      <c r="O638" s="49" t="s">
        <v>815</v>
      </c>
      <c r="P638" s="46" t="s">
        <v>507</v>
      </c>
      <c r="Q638" s="35" t="str">
        <f>MID(Tabla1[[#This Row],[Aplicación]],14,1)</f>
        <v>2</v>
      </c>
      <c r="R638" s="35" t="s">
        <v>495</v>
      </c>
      <c r="S638" s="35" t="str">
        <f>MID(Tabla1[[#This Row],[Aplicación]],6,2)</f>
        <v>01</v>
      </c>
      <c r="T638" s="35" t="str">
        <f>VLOOKUP(Tabla1[[#This Row],[AREA]],Hoja1!A:B,2,FALSE)</f>
        <v>01. Alcaldía</v>
      </c>
      <c r="U638" s="35" t="str">
        <f>MID(Tabla1[[#This Row],[Aplicación]],9,4)</f>
        <v>9203</v>
      </c>
      <c r="V638" s="35" t="str">
        <f>VLOOKUP(Tabla1[[#This Row],[PROGRAMA]],Hoja1!A:B,2,FALSE)</f>
        <v>9203. Unidad de régimen interior</v>
      </c>
      <c r="W638" s="35" t="str">
        <f>MID(Tabla1[[#This Row],[Aplicación]],14,2)</f>
        <v>22</v>
      </c>
      <c r="X638" s="35" t="str">
        <f>MID(Tabla1[[#This Row],[Aplicación]],14,6)</f>
        <v>22000</v>
      </c>
    </row>
    <row r="639" spans="1:24" x14ac:dyDescent="0.25">
      <c r="A639" s="45">
        <v>220210008434</v>
      </c>
      <c r="B639" s="46" t="s">
        <v>9</v>
      </c>
      <c r="C639" s="47">
        <v>44266</v>
      </c>
      <c r="D639" s="45">
        <v>22021003368</v>
      </c>
      <c r="E639" s="46" t="s">
        <v>1617</v>
      </c>
      <c r="F639" s="48">
        <v>3204.8</v>
      </c>
      <c r="G639" s="46" t="s">
        <v>1651</v>
      </c>
      <c r="H639" s="46" t="s">
        <v>1652</v>
      </c>
      <c r="I639" s="45" t="s">
        <v>125</v>
      </c>
      <c r="J639" s="46" t="s">
        <v>127</v>
      </c>
      <c r="K639" s="46" t="s">
        <v>127</v>
      </c>
      <c r="L639" s="46" t="s">
        <v>12</v>
      </c>
      <c r="M639" s="46" t="s">
        <v>10</v>
      </c>
      <c r="N639" s="46" t="s">
        <v>11</v>
      </c>
      <c r="O639" s="49" t="s">
        <v>815</v>
      </c>
      <c r="P639" s="46" t="s">
        <v>507</v>
      </c>
      <c r="Q639" s="35" t="str">
        <f>MID(Tabla1[[#This Row],[Aplicación]],14,1)</f>
        <v>2</v>
      </c>
      <c r="R639" s="35" t="s">
        <v>495</v>
      </c>
      <c r="S639" s="35" t="str">
        <f>MID(Tabla1[[#This Row],[Aplicación]],6,2)</f>
        <v>05</v>
      </c>
      <c r="T639" s="35" t="str">
        <f>VLOOKUP(Tabla1[[#This Row],[AREA]],Hoja1!A:B,2,FALSE)</f>
        <v>05. Innovación, desarrollo económico, empleo y comercio</v>
      </c>
      <c r="U639" s="35" t="str">
        <f>MID(Tabla1[[#This Row],[Aplicación]],9,4)</f>
        <v>4331</v>
      </c>
      <c r="V639" s="35" t="str">
        <f>VLOOKUP(Tabla1[[#This Row],[PROGRAMA]],Hoja1!A:B,2,FALSE)</f>
        <v>4331. Desarrollo empresarial</v>
      </c>
      <c r="W639" s="35" t="str">
        <f>MID(Tabla1[[#This Row],[Aplicación]],14,2)</f>
        <v>22</v>
      </c>
      <c r="X639" s="35" t="str">
        <f>MID(Tabla1[[#This Row],[Aplicación]],14,6)</f>
        <v>22602</v>
      </c>
    </row>
    <row r="640" spans="1:24" x14ac:dyDescent="0.25">
      <c r="A640" s="45">
        <v>220209000524</v>
      </c>
      <c r="B640" s="46" t="s">
        <v>9</v>
      </c>
      <c r="C640" s="47">
        <v>44198</v>
      </c>
      <c r="D640" s="45">
        <v>22021000562</v>
      </c>
      <c r="E640" s="46" t="s">
        <v>1197</v>
      </c>
      <c r="F640" s="48">
        <v>294720</v>
      </c>
      <c r="G640" s="46" t="s">
        <v>140</v>
      </c>
      <c r="H640" s="46" t="s">
        <v>1653</v>
      </c>
      <c r="I640" s="45" t="s">
        <v>125</v>
      </c>
      <c r="J640" s="46" t="s">
        <v>127</v>
      </c>
      <c r="K640" s="46" t="s">
        <v>127</v>
      </c>
      <c r="L640" s="46" t="s">
        <v>12</v>
      </c>
      <c r="M640" s="46" t="s">
        <v>13</v>
      </c>
      <c r="N640" s="46" t="s">
        <v>14</v>
      </c>
      <c r="O640" s="49" t="s">
        <v>803</v>
      </c>
      <c r="P640" s="46" t="s">
        <v>507</v>
      </c>
      <c r="Q640" s="35" t="str">
        <f>MID(Tabla1[[#This Row],[Aplicación]],14,1)</f>
        <v>2</v>
      </c>
      <c r="R640" s="35" t="s">
        <v>495</v>
      </c>
      <c r="S640" s="35" t="str">
        <f>MID(Tabla1[[#This Row],[Aplicación]],6,2)</f>
        <v>06</v>
      </c>
      <c r="T640" s="35" t="str">
        <f>VLOOKUP(Tabla1[[#This Row],[AREA]],Hoja1!A:B,2,FALSE)</f>
        <v>06. Educación, infancia, juventud e igualdad</v>
      </c>
      <c r="U640" s="35" t="str">
        <f>MID(Tabla1[[#This Row],[Aplicación]],9,4)</f>
        <v>3231</v>
      </c>
      <c r="V640" s="35" t="str">
        <f>VLOOKUP(Tabla1[[#This Row],[PROGRAMA]],Hoja1!A:B,2,FALSE)</f>
        <v>3231. Escuelas infantiles</v>
      </c>
      <c r="W640" s="35" t="str">
        <f>MID(Tabla1[[#This Row],[Aplicación]],14,2)</f>
        <v>22</v>
      </c>
      <c r="X640" s="35" t="str">
        <f>MID(Tabla1[[#This Row],[Aplicación]],14,6)</f>
        <v>22799</v>
      </c>
    </row>
    <row r="641" spans="1:24" x14ac:dyDescent="0.25">
      <c r="A641" s="45">
        <v>220199000781</v>
      </c>
      <c r="B641" s="46" t="s">
        <v>9</v>
      </c>
      <c r="C641" s="47">
        <v>44198</v>
      </c>
      <c r="D641" s="45">
        <v>22021000180</v>
      </c>
      <c r="E641" s="46" t="s">
        <v>1648</v>
      </c>
      <c r="F641" s="48">
        <v>6248.64</v>
      </c>
      <c r="G641" s="46" t="s">
        <v>52</v>
      </c>
      <c r="H641" s="46" t="s">
        <v>1654</v>
      </c>
      <c r="I641" s="45" t="s">
        <v>125</v>
      </c>
      <c r="J641" s="46" t="s">
        <v>127</v>
      </c>
      <c r="K641" s="46" t="s">
        <v>127</v>
      </c>
      <c r="L641" s="46" t="s">
        <v>12</v>
      </c>
      <c r="M641" s="46" t="s">
        <v>13</v>
      </c>
      <c r="N641" s="46" t="s">
        <v>14</v>
      </c>
      <c r="O641" s="49" t="s">
        <v>803</v>
      </c>
      <c r="P641" s="46" t="s">
        <v>507</v>
      </c>
      <c r="Q641" s="35" t="str">
        <f>MID(Tabla1[[#This Row],[Aplicación]],14,1)</f>
        <v>2</v>
      </c>
      <c r="R641" s="35" t="s">
        <v>495</v>
      </c>
      <c r="S641" s="35" t="str">
        <f>MID(Tabla1[[#This Row],[Aplicación]],6,2)</f>
        <v>09</v>
      </c>
      <c r="T641" s="35" t="str">
        <f>VLOOKUP(Tabla1[[#This Row],[AREA]],Hoja1!A:B,2,FALSE)</f>
        <v>09. Cultura y turismo</v>
      </c>
      <c r="U641" s="35" t="str">
        <f>MID(Tabla1[[#This Row],[Aplicación]],9,4)</f>
        <v>3341</v>
      </c>
      <c r="V641" s="35" t="str">
        <f>VLOOKUP(Tabla1[[#This Row],[PROGRAMA]],Hoja1!A:B,2,FALSE)</f>
        <v>3341. Coordinación de políticas culturales</v>
      </c>
      <c r="W641" s="35" t="str">
        <f>MID(Tabla1[[#This Row],[Aplicación]],14,2)</f>
        <v>22</v>
      </c>
      <c r="X641" s="35" t="str">
        <f>MID(Tabla1[[#This Row],[Aplicación]],14,6)</f>
        <v>22799</v>
      </c>
    </row>
    <row r="642" spans="1:24" x14ac:dyDescent="0.25">
      <c r="A642" s="45">
        <v>220200062620</v>
      </c>
      <c r="B642" s="46" t="s">
        <v>9</v>
      </c>
      <c r="C642" s="47">
        <v>44284</v>
      </c>
      <c r="D642" s="45">
        <v>22020004035</v>
      </c>
      <c r="E642" s="46" t="s">
        <v>1655</v>
      </c>
      <c r="F642" s="48">
        <v>24132.240000000002</v>
      </c>
      <c r="G642" s="46" t="s">
        <v>1656</v>
      </c>
      <c r="H642" s="46" t="s">
        <v>1657</v>
      </c>
      <c r="I642" s="45" t="s">
        <v>125</v>
      </c>
      <c r="J642" s="46" t="s">
        <v>146</v>
      </c>
      <c r="K642" s="46" t="s">
        <v>146</v>
      </c>
      <c r="L642" s="46" t="s">
        <v>12</v>
      </c>
      <c r="M642" s="46" t="s">
        <v>13</v>
      </c>
      <c r="N642" s="46" t="s">
        <v>14</v>
      </c>
      <c r="O642" s="49" t="s">
        <v>803</v>
      </c>
      <c r="P642" s="46" t="s">
        <v>507</v>
      </c>
      <c r="Q642" s="35" t="str">
        <f>MID(Tabla1[[#This Row],[Aplicación]],14,1)</f>
        <v>2</v>
      </c>
      <c r="R642" s="35" t="s">
        <v>495</v>
      </c>
      <c r="S642" s="35" t="str">
        <f>MID(Tabla1[[#This Row],[Aplicación]],6,2)</f>
        <v>08</v>
      </c>
      <c r="T642" s="35" t="str">
        <f>VLOOKUP(Tabla1[[#This Row],[AREA]],Hoja1!A:B,2,FALSE)</f>
        <v>08. Movilidad y espacio urbano</v>
      </c>
      <c r="U642" s="35" t="str">
        <f>MID(Tabla1[[#This Row],[Aplicación]],9,4)</f>
        <v>1341</v>
      </c>
      <c r="V642" s="35" t="str">
        <f>VLOOKUP(Tabla1[[#This Row],[PROGRAMA]],Hoja1!A:B,2,FALSE)</f>
        <v>1341. Movilidad</v>
      </c>
      <c r="W642" s="35" t="str">
        <f>MID(Tabla1[[#This Row],[Aplicación]],14,2)</f>
        <v>22</v>
      </c>
      <c r="X642" s="35" t="str">
        <f>MID(Tabla1[[#This Row],[Aplicación]],14,6)</f>
        <v>22706</v>
      </c>
    </row>
    <row r="643" spans="1:24" x14ac:dyDescent="0.25">
      <c r="A643" s="45">
        <v>220210000330</v>
      </c>
      <c r="B643" s="46" t="s">
        <v>9</v>
      </c>
      <c r="C643" s="47">
        <v>44217</v>
      </c>
      <c r="D643" s="45">
        <v>22021001218</v>
      </c>
      <c r="E643" s="46" t="s">
        <v>1163</v>
      </c>
      <c r="F643" s="48">
        <v>280</v>
      </c>
      <c r="G643" s="46" t="s">
        <v>242</v>
      </c>
      <c r="H643" s="46" t="s">
        <v>1658</v>
      </c>
      <c r="I643" s="45" t="s">
        <v>125</v>
      </c>
      <c r="J643" s="46" t="s">
        <v>705</v>
      </c>
      <c r="K643" s="46" t="s">
        <v>146</v>
      </c>
      <c r="L643" s="46" t="s">
        <v>15</v>
      </c>
      <c r="M643" s="46" t="s">
        <v>10</v>
      </c>
      <c r="N643" s="46" t="s">
        <v>11</v>
      </c>
      <c r="O643" s="49" t="s">
        <v>815</v>
      </c>
      <c r="P643" s="46" t="s">
        <v>507</v>
      </c>
      <c r="Q643" s="35" t="str">
        <f>MID(Tabla1[[#This Row],[Aplicación]],14,1)</f>
        <v>2</v>
      </c>
      <c r="R643" s="35" t="s">
        <v>495</v>
      </c>
      <c r="S643" s="35" t="str">
        <f>MID(Tabla1[[#This Row],[Aplicación]],6,2)</f>
        <v>06</v>
      </c>
      <c r="T643" s="35" t="str">
        <f>VLOOKUP(Tabla1[[#This Row],[AREA]],Hoja1!A:B,2,FALSE)</f>
        <v>06. Educación, infancia, juventud e igualdad</v>
      </c>
      <c r="U643" s="35" t="str">
        <f>MID(Tabla1[[#This Row],[Aplicación]],9,4)</f>
        <v>3321</v>
      </c>
      <c r="V643" s="35" t="str">
        <f>VLOOKUP(Tabla1[[#This Row],[PROGRAMA]],Hoja1!A:B,2,FALSE)</f>
        <v>3321. Bibliotecas públicas</v>
      </c>
      <c r="W643" s="35" t="str">
        <f>MID(Tabla1[[#This Row],[Aplicación]],14,2)</f>
        <v>22</v>
      </c>
      <c r="X643" s="35" t="str">
        <f>MID(Tabla1[[#This Row],[Aplicación]],14,6)</f>
        <v>22001</v>
      </c>
    </row>
    <row r="644" spans="1:24" x14ac:dyDescent="0.25">
      <c r="A644" s="45">
        <v>220209000336</v>
      </c>
      <c r="B644" s="46" t="s">
        <v>9</v>
      </c>
      <c r="C644" s="47">
        <v>44198</v>
      </c>
      <c r="D644" s="45">
        <v>22021000270</v>
      </c>
      <c r="E644" s="46" t="s">
        <v>881</v>
      </c>
      <c r="F644" s="48">
        <v>30000</v>
      </c>
      <c r="G644" s="46" t="s">
        <v>119</v>
      </c>
      <c r="H644" s="46" t="s">
        <v>1659</v>
      </c>
      <c r="I644" s="45" t="s">
        <v>125</v>
      </c>
      <c r="J644" s="46" t="s">
        <v>127</v>
      </c>
      <c r="K644" s="46" t="s">
        <v>127</v>
      </c>
      <c r="L644" s="46" t="s">
        <v>12</v>
      </c>
      <c r="M644" s="46" t="s">
        <v>13</v>
      </c>
      <c r="N644" s="46" t="s">
        <v>14</v>
      </c>
      <c r="O644" s="49" t="s">
        <v>803</v>
      </c>
      <c r="P644" s="46" t="s">
        <v>507</v>
      </c>
      <c r="Q644" s="35" t="str">
        <f>MID(Tabla1[[#This Row],[Aplicación]],14,1)</f>
        <v>2</v>
      </c>
      <c r="R644" s="35" t="s">
        <v>495</v>
      </c>
      <c r="S644" s="35" t="str">
        <f>MID(Tabla1[[#This Row],[Aplicación]],6,2)</f>
        <v>05</v>
      </c>
      <c r="T644" s="35" t="str">
        <f>VLOOKUP(Tabla1[[#This Row],[AREA]],Hoja1!A:B,2,FALSE)</f>
        <v>05. Innovación, desarrollo económico, empleo y comercio</v>
      </c>
      <c r="U644" s="35" t="str">
        <f>MID(Tabla1[[#This Row],[Aplicación]],9,4)</f>
        <v>4331</v>
      </c>
      <c r="V644" s="35" t="str">
        <f>VLOOKUP(Tabla1[[#This Row],[PROGRAMA]],Hoja1!A:B,2,FALSE)</f>
        <v>4331. Desarrollo empresarial</v>
      </c>
      <c r="W644" s="35" t="str">
        <f>MID(Tabla1[[#This Row],[Aplicación]],14,2)</f>
        <v>22</v>
      </c>
      <c r="X644" s="35" t="str">
        <f>MID(Tabla1[[#This Row],[Aplicación]],14,6)</f>
        <v>22799</v>
      </c>
    </row>
    <row r="645" spans="1:24" x14ac:dyDescent="0.25">
      <c r="A645" s="45">
        <v>220210008647</v>
      </c>
      <c r="B645" s="46" t="s">
        <v>32</v>
      </c>
      <c r="C645" s="47">
        <v>44266</v>
      </c>
      <c r="D645" s="45">
        <v>22021003292</v>
      </c>
      <c r="E645" s="46" t="s">
        <v>1660</v>
      </c>
      <c r="F645" s="48">
        <v>192</v>
      </c>
      <c r="G645" s="46" t="s">
        <v>1661</v>
      </c>
      <c r="H645" s="46" t="s">
        <v>1662</v>
      </c>
      <c r="I645" s="45" t="s">
        <v>234</v>
      </c>
      <c r="J645" s="46" t="s">
        <v>1663</v>
      </c>
      <c r="K645" s="46" t="s">
        <v>127</v>
      </c>
      <c r="L645" s="46" t="s">
        <v>12</v>
      </c>
      <c r="M645" s="46" t="s">
        <v>10</v>
      </c>
      <c r="N645" s="46" t="s">
        <v>11</v>
      </c>
      <c r="O645" s="49" t="s">
        <v>815</v>
      </c>
      <c r="P645" s="46" t="s">
        <v>507</v>
      </c>
      <c r="Q645" s="35" t="str">
        <f>MID(Tabla1[[#This Row],[Aplicación]],14,1)</f>
        <v>2</v>
      </c>
      <c r="R645" s="35" t="s">
        <v>495</v>
      </c>
      <c r="S645" s="35" t="str">
        <f>MID(Tabla1[[#This Row],[Aplicación]],6,2)</f>
        <v>04</v>
      </c>
      <c r="T645" s="35" t="str">
        <f>VLOOKUP(Tabla1[[#This Row],[AREA]],Hoja1!A:B,2,FALSE)</f>
        <v>04. Planificación y recursos</v>
      </c>
      <c r="U645" s="35" t="str">
        <f>MID(Tabla1[[#This Row],[Aplicación]],9,4)</f>
        <v>9202</v>
      </c>
      <c r="V645" s="35" t="str">
        <f>VLOOKUP(Tabla1[[#This Row],[PROGRAMA]],Hoja1!A:B,2,FALSE)</f>
        <v>9202. Gestión de recursos humanos</v>
      </c>
      <c r="W645" s="35" t="str">
        <f>MID(Tabla1[[#This Row],[Aplicación]],14,2)</f>
        <v>22</v>
      </c>
      <c r="X645" s="35" t="str">
        <f>MID(Tabla1[[#This Row],[Aplicación]],14,6)</f>
        <v>22607</v>
      </c>
    </row>
    <row r="646" spans="1:24" x14ac:dyDescent="0.25">
      <c r="A646" s="45">
        <v>220209000680</v>
      </c>
      <c r="B646" s="46" t="s">
        <v>9</v>
      </c>
      <c r="C646" s="47">
        <v>44198</v>
      </c>
      <c r="D646" s="45">
        <v>22021000424</v>
      </c>
      <c r="E646" s="46" t="s">
        <v>1213</v>
      </c>
      <c r="F646" s="48">
        <v>771.38</v>
      </c>
      <c r="G646" s="46" t="s">
        <v>119</v>
      </c>
      <c r="H646" s="46" t="s">
        <v>1664</v>
      </c>
      <c r="I646" s="45" t="s">
        <v>125</v>
      </c>
      <c r="J646" s="46" t="s">
        <v>127</v>
      </c>
      <c r="K646" s="46" t="s">
        <v>127</v>
      </c>
      <c r="L646" s="46" t="s">
        <v>12</v>
      </c>
      <c r="M646" s="46" t="s">
        <v>13</v>
      </c>
      <c r="N646" s="46" t="s">
        <v>14</v>
      </c>
      <c r="O646" s="49" t="s">
        <v>803</v>
      </c>
      <c r="P646" s="46" t="s">
        <v>507</v>
      </c>
      <c r="Q646" s="35" t="str">
        <f>MID(Tabla1[[#This Row],[Aplicación]],14,1)</f>
        <v>2</v>
      </c>
      <c r="R646" s="35" t="s">
        <v>495</v>
      </c>
      <c r="S646" s="35" t="str">
        <f>MID(Tabla1[[#This Row],[Aplicación]],6,2)</f>
        <v>06</v>
      </c>
      <c r="T646" s="35" t="str">
        <f>VLOOKUP(Tabla1[[#This Row],[AREA]],Hoja1!A:B,2,FALSE)</f>
        <v>06. Educación, infancia, juventud e igualdad</v>
      </c>
      <c r="U646" s="35" t="str">
        <f>MID(Tabla1[[#This Row],[Aplicación]],9,4)</f>
        <v>3261</v>
      </c>
      <c r="V646" s="35" t="str">
        <f>VLOOKUP(Tabla1[[#This Row],[PROGRAMA]],Hoja1!A:B,2,FALSE)</f>
        <v>3261. Servicios complementarios de educación</v>
      </c>
      <c r="W646" s="35" t="str">
        <f>MID(Tabla1[[#This Row],[Aplicación]],14,2)</f>
        <v>21</v>
      </c>
      <c r="X646" s="35" t="str">
        <f>MID(Tabla1[[#This Row],[Aplicación]],14,6)</f>
        <v>213</v>
      </c>
    </row>
    <row r="647" spans="1:24" x14ac:dyDescent="0.25">
      <c r="A647" s="45">
        <v>220209000682</v>
      </c>
      <c r="B647" s="46" t="s">
        <v>9</v>
      </c>
      <c r="C647" s="47">
        <v>44198</v>
      </c>
      <c r="D647" s="45">
        <v>22021000426</v>
      </c>
      <c r="E647" s="46" t="s">
        <v>1505</v>
      </c>
      <c r="F647" s="48">
        <v>18344.29</v>
      </c>
      <c r="G647" s="46" t="s">
        <v>119</v>
      </c>
      <c r="H647" s="46" t="s">
        <v>1665</v>
      </c>
      <c r="I647" s="45" t="s">
        <v>125</v>
      </c>
      <c r="J647" s="46" t="s">
        <v>127</v>
      </c>
      <c r="K647" s="46" t="s">
        <v>127</v>
      </c>
      <c r="L647" s="46" t="s">
        <v>12</v>
      </c>
      <c r="M647" s="46" t="s">
        <v>13</v>
      </c>
      <c r="N647" s="46" t="s">
        <v>14</v>
      </c>
      <c r="O647" s="49" t="s">
        <v>803</v>
      </c>
      <c r="P647" s="46" t="s">
        <v>507</v>
      </c>
      <c r="Q647" s="35" t="str">
        <f>MID(Tabla1[[#This Row],[Aplicación]],14,1)</f>
        <v>2</v>
      </c>
      <c r="R647" s="35" t="s">
        <v>495</v>
      </c>
      <c r="S647" s="35" t="str">
        <f>MID(Tabla1[[#This Row],[Aplicación]],6,2)</f>
        <v>06</v>
      </c>
      <c r="T647" s="35" t="str">
        <f>VLOOKUP(Tabla1[[#This Row],[AREA]],Hoja1!A:B,2,FALSE)</f>
        <v>06. Educación, infancia, juventud e igualdad</v>
      </c>
      <c r="U647" s="35" t="str">
        <f>MID(Tabla1[[#This Row],[Aplicación]],9,4)</f>
        <v>3231</v>
      </c>
      <c r="V647" s="35" t="str">
        <f>VLOOKUP(Tabla1[[#This Row],[PROGRAMA]],Hoja1!A:B,2,FALSE)</f>
        <v>3231. Escuelas infantiles</v>
      </c>
      <c r="W647" s="35" t="str">
        <f>MID(Tabla1[[#This Row],[Aplicación]],14,2)</f>
        <v>21</v>
      </c>
      <c r="X647" s="35" t="str">
        <f>MID(Tabla1[[#This Row],[Aplicación]],14,6)</f>
        <v>213</v>
      </c>
    </row>
    <row r="648" spans="1:24" x14ac:dyDescent="0.25">
      <c r="A648" s="45">
        <v>220209000683</v>
      </c>
      <c r="B648" s="46" t="s">
        <v>9</v>
      </c>
      <c r="C648" s="47">
        <v>44198</v>
      </c>
      <c r="D648" s="45">
        <v>22021000427</v>
      </c>
      <c r="E648" s="46" t="s">
        <v>1215</v>
      </c>
      <c r="F648" s="48">
        <v>6171.08</v>
      </c>
      <c r="G648" s="46" t="s">
        <v>119</v>
      </c>
      <c r="H648" s="46" t="s">
        <v>1666</v>
      </c>
      <c r="I648" s="45" t="s">
        <v>125</v>
      </c>
      <c r="J648" s="46" t="s">
        <v>127</v>
      </c>
      <c r="K648" s="46" t="s">
        <v>127</v>
      </c>
      <c r="L648" s="46" t="s">
        <v>12</v>
      </c>
      <c r="M648" s="46" t="s">
        <v>13</v>
      </c>
      <c r="N648" s="46" t="s">
        <v>14</v>
      </c>
      <c r="O648" s="49" t="s">
        <v>803</v>
      </c>
      <c r="P648" s="46" t="s">
        <v>507</v>
      </c>
      <c r="Q648" s="35" t="str">
        <f>MID(Tabla1[[#This Row],[Aplicación]],14,1)</f>
        <v>2</v>
      </c>
      <c r="R648" s="35" t="s">
        <v>495</v>
      </c>
      <c r="S648" s="35" t="str">
        <f>MID(Tabla1[[#This Row],[Aplicación]],6,2)</f>
        <v>06</v>
      </c>
      <c r="T648" s="35" t="str">
        <f>VLOOKUP(Tabla1[[#This Row],[AREA]],Hoja1!A:B,2,FALSE)</f>
        <v>06. Educación, infancia, juventud e igualdad</v>
      </c>
      <c r="U648" s="35" t="str">
        <f>MID(Tabla1[[#This Row],[Aplicación]],9,4)</f>
        <v>2314</v>
      </c>
      <c r="V648" s="35" t="str">
        <f>VLOOKUP(Tabla1[[#This Row],[PROGRAMA]],Hoja1!A:B,2,FALSE)</f>
        <v>2314. Centro de programas juveniles</v>
      </c>
      <c r="W648" s="35" t="str">
        <f>MID(Tabla1[[#This Row],[Aplicación]],14,2)</f>
        <v>21</v>
      </c>
      <c r="X648" s="35" t="str">
        <f>MID(Tabla1[[#This Row],[Aplicación]],14,6)</f>
        <v>213</v>
      </c>
    </row>
    <row r="649" spans="1:24" x14ac:dyDescent="0.25">
      <c r="A649" s="45">
        <v>220209000684</v>
      </c>
      <c r="B649" s="46" t="s">
        <v>9</v>
      </c>
      <c r="C649" s="47">
        <v>44198</v>
      </c>
      <c r="D649" s="45">
        <v>22021000428</v>
      </c>
      <c r="E649" s="46" t="s">
        <v>969</v>
      </c>
      <c r="F649" s="48">
        <v>1542.77</v>
      </c>
      <c r="G649" s="46" t="s">
        <v>119</v>
      </c>
      <c r="H649" s="46" t="s">
        <v>1667</v>
      </c>
      <c r="I649" s="45" t="s">
        <v>125</v>
      </c>
      <c r="J649" s="46" t="s">
        <v>127</v>
      </c>
      <c r="K649" s="46" t="s">
        <v>127</v>
      </c>
      <c r="L649" s="46" t="s">
        <v>12</v>
      </c>
      <c r="M649" s="46" t="s">
        <v>13</v>
      </c>
      <c r="N649" s="46" t="s">
        <v>14</v>
      </c>
      <c r="O649" s="49" t="s">
        <v>803</v>
      </c>
      <c r="P649" s="46" t="s">
        <v>507</v>
      </c>
      <c r="Q649" s="35" t="str">
        <f>MID(Tabla1[[#This Row],[Aplicación]],14,1)</f>
        <v>2</v>
      </c>
      <c r="R649" s="35" t="s">
        <v>495</v>
      </c>
      <c r="S649" s="35" t="str">
        <f>MID(Tabla1[[#This Row],[Aplicación]],6,2)</f>
        <v>06</v>
      </c>
      <c r="T649" s="35" t="str">
        <f>VLOOKUP(Tabla1[[#This Row],[AREA]],Hoja1!A:B,2,FALSE)</f>
        <v>06. Educación, infancia, juventud e igualdad</v>
      </c>
      <c r="U649" s="35" t="str">
        <f>MID(Tabla1[[#This Row],[Aplicación]],9,4)</f>
        <v>2315</v>
      </c>
      <c r="V649" s="35" t="str">
        <f>VLOOKUP(Tabla1[[#This Row],[PROGRAMA]],Hoja1!A:B,2,FALSE)</f>
        <v>2315. Políticas de Igualdad e infancia</v>
      </c>
      <c r="W649" s="35" t="str">
        <f>MID(Tabla1[[#This Row],[Aplicación]],14,2)</f>
        <v>21</v>
      </c>
      <c r="X649" s="35" t="str">
        <f>MID(Tabla1[[#This Row],[Aplicación]],14,6)</f>
        <v>213</v>
      </c>
    </row>
    <row r="650" spans="1:24" x14ac:dyDescent="0.25">
      <c r="A650" s="45">
        <v>220210013173</v>
      </c>
      <c r="B650" s="46" t="s">
        <v>9</v>
      </c>
      <c r="C650" s="47">
        <v>44286</v>
      </c>
      <c r="D650" s="45">
        <v>22021003622</v>
      </c>
      <c r="E650" s="46" t="s">
        <v>1550</v>
      </c>
      <c r="F650" s="48">
        <v>296.20999999999998</v>
      </c>
      <c r="G650" s="46" t="s">
        <v>1668</v>
      </c>
      <c r="H650" s="46" t="s">
        <v>1669</v>
      </c>
      <c r="I650" s="45" t="s">
        <v>125</v>
      </c>
      <c r="J650" s="46" t="s">
        <v>127</v>
      </c>
      <c r="K650" s="46" t="s">
        <v>127</v>
      </c>
      <c r="L650" s="46" t="s">
        <v>12</v>
      </c>
      <c r="M650" s="46" t="s">
        <v>10</v>
      </c>
      <c r="N650" s="46" t="s">
        <v>11</v>
      </c>
      <c r="O650" s="49" t="s">
        <v>815</v>
      </c>
      <c r="P650" s="46" t="s">
        <v>507</v>
      </c>
      <c r="Q650" s="35" t="str">
        <f>MID(Tabla1[[#This Row],[Aplicación]],14,1)</f>
        <v>2</v>
      </c>
      <c r="R650" s="35" t="s">
        <v>495</v>
      </c>
      <c r="S650" s="35" t="str">
        <f>MID(Tabla1[[#This Row],[Aplicación]],6,2)</f>
        <v>06</v>
      </c>
      <c r="T650" s="35" t="str">
        <f>VLOOKUP(Tabla1[[#This Row],[AREA]],Hoja1!A:B,2,FALSE)</f>
        <v>06. Educación, infancia, juventud e igualdad</v>
      </c>
      <c r="U650" s="35" t="str">
        <f>MID(Tabla1[[#This Row],[Aplicación]],9,4)</f>
        <v>2315</v>
      </c>
      <c r="V650" s="35" t="str">
        <f>VLOOKUP(Tabla1[[#This Row],[PROGRAMA]],Hoja1!A:B,2,FALSE)</f>
        <v>2315. Políticas de Igualdad e infancia</v>
      </c>
      <c r="W650" s="35" t="str">
        <f>MID(Tabla1[[#This Row],[Aplicación]],14,2)</f>
        <v>22</v>
      </c>
      <c r="X650" s="35" t="str">
        <f>MID(Tabla1[[#This Row],[Aplicación]],14,6)</f>
        <v>22799</v>
      </c>
    </row>
    <row r="651" spans="1:24" x14ac:dyDescent="0.25">
      <c r="A651" s="45">
        <v>220209000627</v>
      </c>
      <c r="B651" s="46" t="s">
        <v>9</v>
      </c>
      <c r="C651" s="47">
        <v>44198</v>
      </c>
      <c r="D651" s="45">
        <v>22021000403</v>
      </c>
      <c r="E651" s="46" t="s">
        <v>1648</v>
      </c>
      <c r="F651" s="48">
        <v>5231.2299999999996</v>
      </c>
      <c r="G651" s="46" t="s">
        <v>182</v>
      </c>
      <c r="H651" s="46" t="s">
        <v>1670</v>
      </c>
      <c r="I651" s="45" t="s">
        <v>125</v>
      </c>
      <c r="J651" s="46" t="s">
        <v>144</v>
      </c>
      <c r="K651" s="46" t="s">
        <v>144</v>
      </c>
      <c r="L651" s="46" t="s">
        <v>12</v>
      </c>
      <c r="M651" s="46" t="s">
        <v>10</v>
      </c>
      <c r="N651" s="46" t="s">
        <v>11</v>
      </c>
      <c r="O651" s="49" t="s">
        <v>815</v>
      </c>
      <c r="P651" s="46" t="s">
        <v>507</v>
      </c>
      <c r="Q651" s="35" t="str">
        <f>MID(Tabla1[[#This Row],[Aplicación]],14,1)</f>
        <v>2</v>
      </c>
      <c r="R651" s="35" t="s">
        <v>495</v>
      </c>
      <c r="S651" s="35" t="str">
        <f>MID(Tabla1[[#This Row],[Aplicación]],6,2)</f>
        <v>09</v>
      </c>
      <c r="T651" s="35" t="str">
        <f>VLOOKUP(Tabla1[[#This Row],[AREA]],Hoja1!A:B,2,FALSE)</f>
        <v>09. Cultura y turismo</v>
      </c>
      <c r="U651" s="35" t="str">
        <f>MID(Tabla1[[#This Row],[Aplicación]],9,4)</f>
        <v>3341</v>
      </c>
      <c r="V651" s="35" t="str">
        <f>VLOOKUP(Tabla1[[#This Row],[PROGRAMA]],Hoja1!A:B,2,FALSE)</f>
        <v>3341. Coordinación de políticas culturales</v>
      </c>
      <c r="W651" s="35" t="str">
        <f>MID(Tabla1[[#This Row],[Aplicación]],14,2)</f>
        <v>22</v>
      </c>
      <c r="X651" s="35" t="str">
        <f>MID(Tabla1[[#This Row],[Aplicación]],14,6)</f>
        <v>22799</v>
      </c>
    </row>
    <row r="652" spans="1:24" x14ac:dyDescent="0.25">
      <c r="A652" s="45">
        <v>220209000531</v>
      </c>
      <c r="B652" s="46" t="s">
        <v>9</v>
      </c>
      <c r="C652" s="47">
        <v>44198</v>
      </c>
      <c r="D652" s="45">
        <v>22021000566</v>
      </c>
      <c r="E652" s="46" t="s">
        <v>1671</v>
      </c>
      <c r="F652" s="48">
        <v>800000</v>
      </c>
      <c r="G652" s="46" t="s">
        <v>73</v>
      </c>
      <c r="H652" s="46" t="s">
        <v>1672</v>
      </c>
      <c r="I652" s="45" t="s">
        <v>125</v>
      </c>
      <c r="J652" s="46" t="s">
        <v>127</v>
      </c>
      <c r="K652" s="46" t="s">
        <v>127</v>
      </c>
      <c r="L652" s="46" t="s">
        <v>15</v>
      </c>
      <c r="M652" s="46" t="s">
        <v>13</v>
      </c>
      <c r="N652" s="46" t="s">
        <v>14</v>
      </c>
      <c r="O652" s="49" t="s">
        <v>803</v>
      </c>
      <c r="P652" s="46" t="s">
        <v>507</v>
      </c>
      <c r="Q652" s="35" t="str">
        <f>MID(Tabla1[[#This Row],[Aplicación]],14,1)</f>
        <v>2</v>
      </c>
      <c r="R652" s="35" t="s">
        <v>495</v>
      </c>
      <c r="S652" s="35" t="str">
        <f>MID(Tabla1[[#This Row],[Aplicación]],6,2)</f>
        <v>11</v>
      </c>
      <c r="T652" s="35" t="str">
        <f>VLOOKUP(Tabla1[[#This Row],[AREA]],Hoja1!A:B,2,FALSE)</f>
        <v>11. Salud pública y seguridad ciudadana</v>
      </c>
      <c r="U652" s="35" t="str">
        <f>MID(Tabla1[[#This Row],[Aplicación]],9,4)</f>
        <v>1621</v>
      </c>
      <c r="V652" s="35" t="str">
        <f>VLOOKUP(Tabla1[[#This Row],[PROGRAMA]],Hoja1!A:B,2,FALSE)</f>
        <v>1621. Servicio de limpieza</v>
      </c>
      <c r="W652" s="35" t="str">
        <f>MID(Tabla1[[#This Row],[Aplicación]],14,2)</f>
        <v>22</v>
      </c>
      <c r="X652" s="35" t="str">
        <f>MID(Tabla1[[#This Row],[Aplicación]],14,6)</f>
        <v>22103</v>
      </c>
    </row>
    <row r="653" spans="1:24" x14ac:dyDescent="0.25">
      <c r="A653" s="45">
        <v>220209000466</v>
      </c>
      <c r="B653" s="46" t="s">
        <v>9</v>
      </c>
      <c r="C653" s="47">
        <v>44198</v>
      </c>
      <c r="D653" s="45">
        <v>22021000317</v>
      </c>
      <c r="E653" s="46" t="s">
        <v>1197</v>
      </c>
      <c r="F653" s="48">
        <v>185441.28</v>
      </c>
      <c r="G653" s="46" t="s">
        <v>128</v>
      </c>
      <c r="H653" s="46" t="s">
        <v>1673</v>
      </c>
      <c r="I653" s="45" t="s">
        <v>125</v>
      </c>
      <c r="J653" s="46" t="s">
        <v>126</v>
      </c>
      <c r="K653" s="46" t="s">
        <v>126</v>
      </c>
      <c r="L653" s="46" t="s">
        <v>12</v>
      </c>
      <c r="M653" s="46" t="s">
        <v>13</v>
      </c>
      <c r="N653" s="46" t="s">
        <v>14</v>
      </c>
      <c r="O653" s="49" t="s">
        <v>803</v>
      </c>
      <c r="P653" s="46" t="s">
        <v>507</v>
      </c>
      <c r="Q653" s="35" t="str">
        <f>MID(Tabla1[[#This Row],[Aplicación]],14,1)</f>
        <v>2</v>
      </c>
      <c r="R653" s="35" t="s">
        <v>495</v>
      </c>
      <c r="S653" s="35" t="str">
        <f>MID(Tabla1[[#This Row],[Aplicación]],6,2)</f>
        <v>06</v>
      </c>
      <c r="T653" s="35" t="str">
        <f>VLOOKUP(Tabla1[[#This Row],[AREA]],Hoja1!A:B,2,FALSE)</f>
        <v>06. Educación, infancia, juventud e igualdad</v>
      </c>
      <c r="U653" s="35" t="str">
        <f>MID(Tabla1[[#This Row],[Aplicación]],9,4)</f>
        <v>3231</v>
      </c>
      <c r="V653" s="35" t="str">
        <f>VLOOKUP(Tabla1[[#This Row],[PROGRAMA]],Hoja1!A:B,2,FALSE)</f>
        <v>3231. Escuelas infantiles</v>
      </c>
      <c r="W653" s="35" t="str">
        <f>MID(Tabla1[[#This Row],[Aplicación]],14,2)</f>
        <v>22</v>
      </c>
      <c r="X653" s="35" t="str">
        <f>MID(Tabla1[[#This Row],[Aplicación]],14,6)</f>
        <v>22799</v>
      </c>
    </row>
    <row r="654" spans="1:24" x14ac:dyDescent="0.25">
      <c r="A654" s="45">
        <v>220209000467</v>
      </c>
      <c r="B654" s="46" t="s">
        <v>9</v>
      </c>
      <c r="C654" s="47">
        <v>44198</v>
      </c>
      <c r="D654" s="45">
        <v>22021000318</v>
      </c>
      <c r="E654" s="46" t="s">
        <v>1197</v>
      </c>
      <c r="F654" s="48">
        <v>175309.29</v>
      </c>
      <c r="G654" s="46" t="s">
        <v>128</v>
      </c>
      <c r="H654" s="46" t="s">
        <v>1674</v>
      </c>
      <c r="I654" s="45" t="s">
        <v>125</v>
      </c>
      <c r="J654" s="46" t="s">
        <v>126</v>
      </c>
      <c r="K654" s="46" t="s">
        <v>126</v>
      </c>
      <c r="L654" s="46" t="s">
        <v>12</v>
      </c>
      <c r="M654" s="46" t="s">
        <v>13</v>
      </c>
      <c r="N654" s="46" t="s">
        <v>14</v>
      </c>
      <c r="O654" s="49" t="s">
        <v>803</v>
      </c>
      <c r="P654" s="46" t="s">
        <v>507</v>
      </c>
      <c r="Q654" s="35" t="str">
        <f>MID(Tabla1[[#This Row],[Aplicación]],14,1)</f>
        <v>2</v>
      </c>
      <c r="R654" s="35" t="s">
        <v>495</v>
      </c>
      <c r="S654" s="35" t="str">
        <f>MID(Tabla1[[#This Row],[Aplicación]],6,2)</f>
        <v>06</v>
      </c>
      <c r="T654" s="35" t="str">
        <f>VLOOKUP(Tabla1[[#This Row],[AREA]],Hoja1!A:B,2,FALSE)</f>
        <v>06. Educación, infancia, juventud e igualdad</v>
      </c>
      <c r="U654" s="35" t="str">
        <f>MID(Tabla1[[#This Row],[Aplicación]],9,4)</f>
        <v>3231</v>
      </c>
      <c r="V654" s="35" t="str">
        <f>VLOOKUP(Tabla1[[#This Row],[PROGRAMA]],Hoja1!A:B,2,FALSE)</f>
        <v>3231. Escuelas infantiles</v>
      </c>
      <c r="W654" s="35" t="str">
        <f>MID(Tabla1[[#This Row],[Aplicación]],14,2)</f>
        <v>22</v>
      </c>
      <c r="X654" s="35" t="str">
        <f>MID(Tabla1[[#This Row],[Aplicación]],14,6)</f>
        <v>22799</v>
      </c>
    </row>
    <row r="655" spans="1:24" x14ac:dyDescent="0.25">
      <c r="A655" s="45">
        <v>220209000532</v>
      </c>
      <c r="B655" s="46" t="s">
        <v>9</v>
      </c>
      <c r="C655" s="47">
        <v>44198</v>
      </c>
      <c r="D655" s="45">
        <v>22021000567</v>
      </c>
      <c r="E655" s="46" t="s">
        <v>1675</v>
      </c>
      <c r="F655" s="48">
        <v>200000</v>
      </c>
      <c r="G655" s="46" t="s">
        <v>73</v>
      </c>
      <c r="H655" s="46" t="s">
        <v>1676</v>
      </c>
      <c r="I655" s="45" t="s">
        <v>125</v>
      </c>
      <c r="J655" s="46" t="s">
        <v>127</v>
      </c>
      <c r="K655" s="46" t="s">
        <v>127</v>
      </c>
      <c r="L655" s="46" t="s">
        <v>15</v>
      </c>
      <c r="M655" s="46" t="s">
        <v>13</v>
      </c>
      <c r="N655" s="46" t="s">
        <v>14</v>
      </c>
      <c r="O655" s="49" t="s">
        <v>803</v>
      </c>
      <c r="P655" s="46" t="s">
        <v>507</v>
      </c>
      <c r="Q655" s="35" t="str">
        <f>MID(Tabla1[[#This Row],[Aplicación]],14,1)</f>
        <v>2</v>
      </c>
      <c r="R655" s="35" t="s">
        <v>495</v>
      </c>
      <c r="S655" s="35" t="str">
        <f>MID(Tabla1[[#This Row],[Aplicación]],6,2)</f>
        <v>11</v>
      </c>
      <c r="T655" s="35" t="str">
        <f>VLOOKUP(Tabla1[[#This Row],[AREA]],Hoja1!A:B,2,FALSE)</f>
        <v>11. Salud pública y seguridad ciudadana</v>
      </c>
      <c r="U655" s="35" t="str">
        <f>MID(Tabla1[[#This Row],[Aplicación]],9,4)</f>
        <v>1631</v>
      </c>
      <c r="V655" s="35" t="str">
        <f>VLOOKUP(Tabla1[[#This Row],[PROGRAMA]],Hoja1!A:B,2,FALSE)</f>
        <v>1631. Limpieza viaria</v>
      </c>
      <c r="W655" s="35" t="str">
        <f>MID(Tabla1[[#This Row],[Aplicación]],14,2)</f>
        <v>22</v>
      </c>
      <c r="X655" s="35" t="str">
        <f>MID(Tabla1[[#This Row],[Aplicación]],14,6)</f>
        <v>22103</v>
      </c>
    </row>
    <row r="656" spans="1:24" x14ac:dyDescent="0.25">
      <c r="A656" s="45">
        <v>220210000022</v>
      </c>
      <c r="B656" s="46" t="s">
        <v>32</v>
      </c>
      <c r="C656" s="47">
        <v>44215</v>
      </c>
      <c r="D656" s="45">
        <v>22021000669</v>
      </c>
      <c r="E656" s="46" t="s">
        <v>1648</v>
      </c>
      <c r="F656" s="48">
        <v>308.89</v>
      </c>
      <c r="G656" s="46" t="s">
        <v>182</v>
      </c>
      <c r="H656" s="46" t="s">
        <v>1677</v>
      </c>
      <c r="I656" s="45" t="s">
        <v>234</v>
      </c>
      <c r="J656" s="46" t="s">
        <v>144</v>
      </c>
      <c r="K656" s="46" t="s">
        <v>144</v>
      </c>
      <c r="L656" s="46" t="s">
        <v>12</v>
      </c>
      <c r="M656" s="46" t="s">
        <v>10</v>
      </c>
      <c r="N656" s="46" t="s">
        <v>11</v>
      </c>
      <c r="O656" s="49" t="s">
        <v>815</v>
      </c>
      <c r="P656" s="46" t="s">
        <v>507</v>
      </c>
      <c r="Q656" s="35" t="str">
        <f>MID(Tabla1[[#This Row],[Aplicación]],14,1)</f>
        <v>2</v>
      </c>
      <c r="R656" s="35" t="s">
        <v>495</v>
      </c>
      <c r="S656" s="35" t="str">
        <f>MID(Tabla1[[#This Row],[Aplicación]],6,2)</f>
        <v>09</v>
      </c>
      <c r="T656" s="35" t="str">
        <f>VLOOKUP(Tabla1[[#This Row],[AREA]],Hoja1!A:B,2,FALSE)</f>
        <v>09. Cultura y turismo</v>
      </c>
      <c r="U656" s="35" t="str">
        <f>MID(Tabla1[[#This Row],[Aplicación]],9,4)</f>
        <v>3341</v>
      </c>
      <c r="V656" s="35" t="str">
        <f>VLOOKUP(Tabla1[[#This Row],[PROGRAMA]],Hoja1!A:B,2,FALSE)</f>
        <v>3341. Coordinación de políticas culturales</v>
      </c>
      <c r="W656" s="35" t="str">
        <f>MID(Tabla1[[#This Row],[Aplicación]],14,2)</f>
        <v>22</v>
      </c>
      <c r="X656" s="35" t="str">
        <f>MID(Tabla1[[#This Row],[Aplicación]],14,6)</f>
        <v>22799</v>
      </c>
    </row>
    <row r="657" spans="1:24" x14ac:dyDescent="0.25">
      <c r="A657" s="45">
        <v>220210000023</v>
      </c>
      <c r="B657" s="46" t="s">
        <v>32</v>
      </c>
      <c r="C657" s="47">
        <v>44215</v>
      </c>
      <c r="D657" s="45">
        <v>22021000670</v>
      </c>
      <c r="E657" s="46" t="s">
        <v>1678</v>
      </c>
      <c r="F657" s="48">
        <v>1701.41</v>
      </c>
      <c r="G657" s="46" t="s">
        <v>182</v>
      </c>
      <c r="H657" s="46" t="s">
        <v>1679</v>
      </c>
      <c r="I657" s="45" t="s">
        <v>234</v>
      </c>
      <c r="J657" s="46" t="s">
        <v>144</v>
      </c>
      <c r="K657" s="46" t="s">
        <v>144</v>
      </c>
      <c r="L657" s="46" t="s">
        <v>12</v>
      </c>
      <c r="M657" s="46" t="s">
        <v>10</v>
      </c>
      <c r="N657" s="46" t="s">
        <v>11</v>
      </c>
      <c r="O657" s="49" t="s">
        <v>815</v>
      </c>
      <c r="P657" s="46" t="s">
        <v>507</v>
      </c>
      <c r="Q657" s="35" t="str">
        <f>MID(Tabla1[[#This Row],[Aplicación]],14,1)</f>
        <v>2</v>
      </c>
      <c r="R657" s="35" t="s">
        <v>495</v>
      </c>
      <c r="S657" s="35" t="str">
        <f>MID(Tabla1[[#This Row],[Aplicación]],6,2)</f>
        <v>09</v>
      </c>
      <c r="T657" s="35" t="str">
        <f>VLOOKUP(Tabla1[[#This Row],[AREA]],Hoja1!A:B,2,FALSE)</f>
        <v>09. Cultura y turismo</v>
      </c>
      <c r="U657" s="35" t="str">
        <f>MID(Tabla1[[#This Row],[Aplicación]],9,4)</f>
        <v>3341</v>
      </c>
      <c r="V657" s="35" t="str">
        <f>VLOOKUP(Tabla1[[#This Row],[PROGRAMA]],Hoja1!A:B,2,FALSE)</f>
        <v>3341. Coordinación de políticas culturales</v>
      </c>
      <c r="W657" s="35" t="str">
        <f>MID(Tabla1[[#This Row],[Aplicación]],14,2)</f>
        <v>21</v>
      </c>
      <c r="X657" s="35" t="str">
        <f>MID(Tabla1[[#This Row],[Aplicación]],14,6)</f>
        <v>213</v>
      </c>
    </row>
    <row r="658" spans="1:24" x14ac:dyDescent="0.25">
      <c r="A658" s="45">
        <v>220210000024</v>
      </c>
      <c r="B658" s="46" t="s">
        <v>32</v>
      </c>
      <c r="C658" s="47">
        <v>44215</v>
      </c>
      <c r="D658" s="45">
        <v>22021000671</v>
      </c>
      <c r="E658" s="46" t="s">
        <v>1648</v>
      </c>
      <c r="F658" s="48">
        <v>1046.25</v>
      </c>
      <c r="G658" s="46" t="s">
        <v>182</v>
      </c>
      <c r="H658" s="46" t="s">
        <v>1680</v>
      </c>
      <c r="I658" s="45" t="s">
        <v>234</v>
      </c>
      <c r="J658" s="46" t="s">
        <v>144</v>
      </c>
      <c r="K658" s="46" t="s">
        <v>144</v>
      </c>
      <c r="L658" s="46" t="s">
        <v>12</v>
      </c>
      <c r="M658" s="46" t="s">
        <v>10</v>
      </c>
      <c r="N658" s="46" t="s">
        <v>11</v>
      </c>
      <c r="O658" s="49" t="s">
        <v>815</v>
      </c>
      <c r="P658" s="46" t="s">
        <v>507</v>
      </c>
      <c r="Q658" s="35" t="str">
        <f>MID(Tabla1[[#This Row],[Aplicación]],14,1)</f>
        <v>2</v>
      </c>
      <c r="R658" s="35" t="s">
        <v>495</v>
      </c>
      <c r="S658" s="35" t="str">
        <f>MID(Tabla1[[#This Row],[Aplicación]],6,2)</f>
        <v>09</v>
      </c>
      <c r="T658" s="35" t="str">
        <f>VLOOKUP(Tabla1[[#This Row],[AREA]],Hoja1!A:B,2,FALSE)</f>
        <v>09. Cultura y turismo</v>
      </c>
      <c r="U658" s="35" t="str">
        <f>MID(Tabla1[[#This Row],[Aplicación]],9,4)</f>
        <v>3341</v>
      </c>
      <c r="V658" s="35" t="str">
        <f>VLOOKUP(Tabla1[[#This Row],[PROGRAMA]],Hoja1!A:B,2,FALSE)</f>
        <v>3341. Coordinación de políticas culturales</v>
      </c>
      <c r="W658" s="35" t="str">
        <f>MID(Tabla1[[#This Row],[Aplicación]],14,2)</f>
        <v>22</v>
      </c>
      <c r="X658" s="35" t="str">
        <f>MID(Tabla1[[#This Row],[Aplicación]],14,6)</f>
        <v>22799</v>
      </c>
    </row>
    <row r="659" spans="1:24" x14ac:dyDescent="0.25">
      <c r="A659" s="45">
        <v>220210001564</v>
      </c>
      <c r="B659" s="46" t="s">
        <v>9</v>
      </c>
      <c r="C659" s="47">
        <v>44229</v>
      </c>
      <c r="D659" s="45">
        <v>22021001890</v>
      </c>
      <c r="E659" s="46" t="s">
        <v>1678</v>
      </c>
      <c r="F659" s="48">
        <v>1625.01</v>
      </c>
      <c r="G659" s="46" t="s">
        <v>182</v>
      </c>
      <c r="H659" s="46" t="s">
        <v>1681</v>
      </c>
      <c r="I659" s="45" t="s">
        <v>125</v>
      </c>
      <c r="J659" s="46" t="s">
        <v>144</v>
      </c>
      <c r="K659" s="46" t="s">
        <v>144</v>
      </c>
      <c r="L659" s="46" t="s">
        <v>12</v>
      </c>
      <c r="M659" s="46" t="s">
        <v>10</v>
      </c>
      <c r="N659" s="46" t="s">
        <v>11</v>
      </c>
      <c r="O659" s="49" t="s">
        <v>815</v>
      </c>
      <c r="P659" s="46" t="s">
        <v>507</v>
      </c>
      <c r="Q659" s="35" t="str">
        <f>MID(Tabla1[[#This Row],[Aplicación]],14,1)</f>
        <v>2</v>
      </c>
      <c r="R659" s="35" t="s">
        <v>495</v>
      </c>
      <c r="S659" s="35" t="str">
        <f>MID(Tabla1[[#This Row],[Aplicación]],6,2)</f>
        <v>09</v>
      </c>
      <c r="T659" s="35" t="str">
        <f>VLOOKUP(Tabla1[[#This Row],[AREA]],Hoja1!A:B,2,FALSE)</f>
        <v>09. Cultura y turismo</v>
      </c>
      <c r="U659" s="35" t="str">
        <f>MID(Tabla1[[#This Row],[Aplicación]],9,4)</f>
        <v>3341</v>
      </c>
      <c r="V659" s="35" t="str">
        <f>VLOOKUP(Tabla1[[#This Row],[PROGRAMA]],Hoja1!A:B,2,FALSE)</f>
        <v>3341. Coordinación de políticas culturales</v>
      </c>
      <c r="W659" s="35" t="str">
        <f>MID(Tabla1[[#This Row],[Aplicación]],14,2)</f>
        <v>21</v>
      </c>
      <c r="X659" s="35" t="str">
        <f>MID(Tabla1[[#This Row],[Aplicación]],14,6)</f>
        <v>213</v>
      </c>
    </row>
    <row r="660" spans="1:24" x14ac:dyDescent="0.25">
      <c r="A660" s="45">
        <v>220209000164</v>
      </c>
      <c r="B660" s="46" t="s">
        <v>9</v>
      </c>
      <c r="C660" s="47">
        <v>44198</v>
      </c>
      <c r="D660" s="45">
        <v>22021000228</v>
      </c>
      <c r="E660" s="46" t="s">
        <v>818</v>
      </c>
      <c r="F660" s="48">
        <v>16567.72</v>
      </c>
      <c r="G660" s="46" t="s">
        <v>545</v>
      </c>
      <c r="H660" s="46" t="s">
        <v>1682</v>
      </c>
      <c r="I660" s="45" t="s">
        <v>125</v>
      </c>
      <c r="J660" s="46" t="s">
        <v>127</v>
      </c>
      <c r="K660" s="46" t="s">
        <v>127</v>
      </c>
      <c r="L660" s="46" t="s">
        <v>12</v>
      </c>
      <c r="M660" s="46" t="s">
        <v>13</v>
      </c>
      <c r="N660" s="46" t="s">
        <v>14</v>
      </c>
      <c r="O660" s="49" t="s">
        <v>803</v>
      </c>
      <c r="P660" s="46" t="s">
        <v>507</v>
      </c>
      <c r="Q660" s="35" t="str">
        <f>MID(Tabla1[[#This Row],[Aplicación]],14,1)</f>
        <v>2</v>
      </c>
      <c r="R660" s="35" t="s">
        <v>495</v>
      </c>
      <c r="S660" s="35" t="str">
        <f>MID(Tabla1[[#This Row],[Aplicación]],6,2)</f>
        <v>09</v>
      </c>
      <c r="T660" s="35" t="str">
        <f>VLOOKUP(Tabla1[[#This Row],[AREA]],Hoja1!A:B,2,FALSE)</f>
        <v>09. Cultura y turismo</v>
      </c>
      <c r="U660" s="35" t="str">
        <f>MID(Tabla1[[#This Row],[Aplicación]],9,4)</f>
        <v>3341</v>
      </c>
      <c r="V660" s="35" t="str">
        <f>VLOOKUP(Tabla1[[#This Row],[PROGRAMA]],Hoja1!A:B,2,FALSE)</f>
        <v>3341. Coordinación de políticas culturales</v>
      </c>
      <c r="W660" s="35" t="str">
        <f>MID(Tabla1[[#This Row],[Aplicación]],14,2)</f>
        <v>22</v>
      </c>
      <c r="X660" s="35" t="str">
        <f>MID(Tabla1[[#This Row],[Aplicación]],14,6)</f>
        <v>22609</v>
      </c>
    </row>
    <row r="661" spans="1:24" x14ac:dyDescent="0.25">
      <c r="A661" s="45">
        <v>220209000614</v>
      </c>
      <c r="B661" s="46" t="s">
        <v>9</v>
      </c>
      <c r="C661" s="47">
        <v>44198</v>
      </c>
      <c r="D661" s="45">
        <v>22021000632</v>
      </c>
      <c r="E661" s="46" t="s">
        <v>1683</v>
      </c>
      <c r="F661" s="48">
        <v>25000</v>
      </c>
      <c r="G661" s="46" t="s">
        <v>73</v>
      </c>
      <c r="H661" s="46" t="s">
        <v>1684</v>
      </c>
      <c r="I661" s="45" t="s">
        <v>125</v>
      </c>
      <c r="J661" s="46" t="s">
        <v>127</v>
      </c>
      <c r="K661" s="46" t="s">
        <v>127</v>
      </c>
      <c r="L661" s="46" t="s">
        <v>15</v>
      </c>
      <c r="M661" s="46" t="s">
        <v>13</v>
      </c>
      <c r="N661" s="46" t="s">
        <v>14</v>
      </c>
      <c r="O661" s="49" t="s">
        <v>803</v>
      </c>
      <c r="P661" s="46" t="s">
        <v>507</v>
      </c>
      <c r="Q661" s="35" t="str">
        <f>MID(Tabla1[[#This Row],[Aplicación]],14,1)</f>
        <v>2</v>
      </c>
      <c r="R661" s="35" t="s">
        <v>495</v>
      </c>
      <c r="S661" s="35" t="str">
        <f>MID(Tabla1[[#This Row],[Aplicación]],6,2)</f>
        <v>11</v>
      </c>
      <c r="T661" s="35" t="str">
        <f>VLOOKUP(Tabla1[[#This Row],[AREA]],Hoja1!A:B,2,FALSE)</f>
        <v>11. Salud pública y seguridad ciudadana</v>
      </c>
      <c r="U661" s="35" t="str">
        <f>MID(Tabla1[[#This Row],[Aplicación]],9,4)</f>
        <v>1361</v>
      </c>
      <c r="V661" s="35" t="str">
        <f>VLOOKUP(Tabla1[[#This Row],[PROGRAMA]],Hoja1!A:B,2,FALSE)</f>
        <v>1361. Prevención y extinción de incencios</v>
      </c>
      <c r="W661" s="35" t="str">
        <f>MID(Tabla1[[#This Row],[Aplicación]],14,2)</f>
        <v>22</v>
      </c>
      <c r="X661" s="35" t="str">
        <f>MID(Tabla1[[#This Row],[Aplicación]],14,6)</f>
        <v>22103</v>
      </c>
    </row>
    <row r="662" spans="1:24" x14ac:dyDescent="0.25">
      <c r="A662" s="45">
        <v>220209000726</v>
      </c>
      <c r="B662" s="46" t="s">
        <v>9</v>
      </c>
      <c r="C662" s="47">
        <v>44198</v>
      </c>
      <c r="D662" s="45">
        <v>22021000461</v>
      </c>
      <c r="E662" s="46" t="s">
        <v>1564</v>
      </c>
      <c r="F662" s="48">
        <v>31500</v>
      </c>
      <c r="G662" s="46" t="s">
        <v>73</v>
      </c>
      <c r="H662" s="46" t="s">
        <v>1685</v>
      </c>
      <c r="I662" s="45" t="s">
        <v>125</v>
      </c>
      <c r="J662" s="46" t="s">
        <v>127</v>
      </c>
      <c r="K662" s="46" t="s">
        <v>127</v>
      </c>
      <c r="L662" s="46" t="s">
        <v>15</v>
      </c>
      <c r="M662" s="46" t="s">
        <v>13</v>
      </c>
      <c r="N662" s="46" t="s">
        <v>14</v>
      </c>
      <c r="O662" s="49" t="s">
        <v>803</v>
      </c>
      <c r="P662" s="46" t="s">
        <v>507</v>
      </c>
      <c r="Q662" s="35" t="str">
        <f>MID(Tabla1[[#This Row],[Aplicación]],14,1)</f>
        <v>2</v>
      </c>
      <c r="R662" s="35" t="s">
        <v>495</v>
      </c>
      <c r="S662" s="35" t="str">
        <f>MID(Tabla1[[#This Row],[Aplicación]],6,2)</f>
        <v>08</v>
      </c>
      <c r="T662" s="35" t="str">
        <f>VLOOKUP(Tabla1[[#This Row],[AREA]],Hoja1!A:B,2,FALSE)</f>
        <v>08. Movilidad y espacio urbano</v>
      </c>
      <c r="U662" s="35" t="str">
        <f>MID(Tabla1[[#This Row],[Aplicación]],9,4)</f>
        <v>1532</v>
      </c>
      <c r="V662" s="35" t="str">
        <f>VLOOKUP(Tabla1[[#This Row],[PROGRAMA]],Hoja1!A:B,2,FALSE)</f>
        <v>1532. Pavimentación vias públicas y otros servicios urbanísticos</v>
      </c>
      <c r="W662" s="35" t="str">
        <f>MID(Tabla1[[#This Row],[Aplicación]],14,2)</f>
        <v>22</v>
      </c>
      <c r="X662" s="35" t="str">
        <f>MID(Tabla1[[#This Row],[Aplicación]],14,6)</f>
        <v>22103</v>
      </c>
    </row>
    <row r="663" spans="1:24" x14ac:dyDescent="0.25">
      <c r="A663" s="45">
        <v>220210007984</v>
      </c>
      <c r="B663" s="46" t="s">
        <v>9</v>
      </c>
      <c r="C663" s="47">
        <v>44264</v>
      </c>
      <c r="D663" s="45">
        <v>22021003263</v>
      </c>
      <c r="E663" s="46" t="s">
        <v>1263</v>
      </c>
      <c r="F663" s="48">
        <v>392.52</v>
      </c>
      <c r="G663" s="46" t="s">
        <v>182</v>
      </c>
      <c r="H663" s="46" t="s">
        <v>1686</v>
      </c>
      <c r="I663" s="45" t="s">
        <v>125</v>
      </c>
      <c r="J663" s="46" t="s">
        <v>144</v>
      </c>
      <c r="K663" s="46" t="s">
        <v>144</v>
      </c>
      <c r="L663" s="46" t="s">
        <v>12</v>
      </c>
      <c r="M663" s="46" t="s">
        <v>10</v>
      </c>
      <c r="N663" s="46" t="s">
        <v>11</v>
      </c>
      <c r="O663" s="49" t="s">
        <v>815</v>
      </c>
      <c r="P663" s="46" t="s">
        <v>507</v>
      </c>
      <c r="Q663" s="35" t="str">
        <f>MID(Tabla1[[#This Row],[Aplicación]],14,1)</f>
        <v>2</v>
      </c>
      <c r="R663" s="35" t="s">
        <v>495</v>
      </c>
      <c r="S663" s="35" t="str">
        <f>MID(Tabla1[[#This Row],[Aplicación]],6,2)</f>
        <v>02</v>
      </c>
      <c r="T663" s="35" t="str">
        <f>VLOOKUP(Tabla1[[#This Row],[AREA]],Hoja1!A:B,2,FALSE)</f>
        <v>02. Planeamiento urbanístico y vivienda</v>
      </c>
      <c r="U663" s="35" t="str">
        <f>MID(Tabla1[[#This Row],[Aplicación]],9,4)</f>
        <v>9332</v>
      </c>
      <c r="V663" s="35" t="str">
        <f>VLOOKUP(Tabla1[[#This Row],[PROGRAMA]],Hoja1!A:B,2,FALSE)</f>
        <v>9332. Mantenimiento de edificios e instalaciones municipales</v>
      </c>
      <c r="W663" s="35" t="str">
        <f>MID(Tabla1[[#This Row],[Aplicación]],14,2)</f>
        <v>21</v>
      </c>
      <c r="X663" s="35" t="str">
        <f>MID(Tabla1[[#This Row],[Aplicación]],14,6)</f>
        <v>213</v>
      </c>
    </row>
    <row r="664" spans="1:24" x14ac:dyDescent="0.25">
      <c r="A664" s="45">
        <v>220210012689</v>
      </c>
      <c r="B664" s="46" t="s">
        <v>9</v>
      </c>
      <c r="C664" s="47">
        <v>44280</v>
      </c>
      <c r="D664" s="45">
        <v>22021003602</v>
      </c>
      <c r="E664" s="46" t="s">
        <v>1678</v>
      </c>
      <c r="F664" s="48">
        <v>1356.36</v>
      </c>
      <c r="G664" s="46" t="s">
        <v>182</v>
      </c>
      <c r="H664" s="46" t="s">
        <v>1687</v>
      </c>
      <c r="I664" s="45" t="s">
        <v>125</v>
      </c>
      <c r="J664" s="46" t="s">
        <v>144</v>
      </c>
      <c r="K664" s="46" t="s">
        <v>144</v>
      </c>
      <c r="L664" s="46" t="s">
        <v>12</v>
      </c>
      <c r="M664" s="46" t="s">
        <v>10</v>
      </c>
      <c r="N664" s="46" t="s">
        <v>11</v>
      </c>
      <c r="O664" s="49" t="s">
        <v>815</v>
      </c>
      <c r="P664" s="46" t="s">
        <v>507</v>
      </c>
      <c r="Q664" s="35" t="str">
        <f>MID(Tabla1[[#This Row],[Aplicación]],14,1)</f>
        <v>2</v>
      </c>
      <c r="R664" s="35" t="s">
        <v>495</v>
      </c>
      <c r="S664" s="35" t="str">
        <f>MID(Tabla1[[#This Row],[Aplicación]],6,2)</f>
        <v>09</v>
      </c>
      <c r="T664" s="35" t="str">
        <f>VLOOKUP(Tabla1[[#This Row],[AREA]],Hoja1!A:B,2,FALSE)</f>
        <v>09. Cultura y turismo</v>
      </c>
      <c r="U664" s="35" t="str">
        <f>MID(Tabla1[[#This Row],[Aplicación]],9,4)</f>
        <v>3341</v>
      </c>
      <c r="V664" s="35" t="str">
        <f>VLOOKUP(Tabla1[[#This Row],[PROGRAMA]],Hoja1!A:B,2,FALSE)</f>
        <v>3341. Coordinación de políticas culturales</v>
      </c>
      <c r="W664" s="35" t="str">
        <f>MID(Tabla1[[#This Row],[Aplicación]],14,2)</f>
        <v>21</v>
      </c>
      <c r="X664" s="35" t="str">
        <f>MID(Tabla1[[#This Row],[Aplicación]],14,6)</f>
        <v>213</v>
      </c>
    </row>
    <row r="665" spans="1:24" x14ac:dyDescent="0.25">
      <c r="A665" s="45">
        <v>220210006991</v>
      </c>
      <c r="B665" s="46" t="s">
        <v>32</v>
      </c>
      <c r="C665" s="47">
        <v>44260</v>
      </c>
      <c r="D665" s="45">
        <v>22021002901</v>
      </c>
      <c r="E665" s="46" t="s">
        <v>1183</v>
      </c>
      <c r="F665" s="48">
        <v>279</v>
      </c>
      <c r="G665" s="46" t="s">
        <v>122</v>
      </c>
      <c r="H665" s="46" t="s">
        <v>1688</v>
      </c>
      <c r="I665" s="45" t="s">
        <v>234</v>
      </c>
      <c r="J665" s="46" t="s">
        <v>127</v>
      </c>
      <c r="K665" s="46" t="s">
        <v>127</v>
      </c>
      <c r="L665" s="46" t="s">
        <v>15</v>
      </c>
      <c r="M665" s="46" t="s">
        <v>10</v>
      </c>
      <c r="N665" s="46" t="s">
        <v>11</v>
      </c>
      <c r="O665" s="49" t="s">
        <v>815</v>
      </c>
      <c r="P665" s="46" t="s">
        <v>507</v>
      </c>
      <c r="Q665" s="35" t="str">
        <f>MID(Tabla1[[#This Row],[Aplicación]],14,1)</f>
        <v>2</v>
      </c>
      <c r="R665" s="35" t="s">
        <v>495</v>
      </c>
      <c r="S665" s="35" t="str">
        <f>MID(Tabla1[[#This Row],[Aplicación]],6,2)</f>
        <v>11</v>
      </c>
      <c r="T665" s="35" t="str">
        <f>VLOOKUP(Tabla1[[#This Row],[AREA]],Hoja1!A:B,2,FALSE)</f>
        <v>11. Salud pública y seguridad ciudadana</v>
      </c>
      <c r="U665" s="35" t="str">
        <f>MID(Tabla1[[#This Row],[Aplicación]],9,4)</f>
        <v>1361</v>
      </c>
      <c r="V665" s="35" t="str">
        <f>VLOOKUP(Tabla1[[#This Row],[PROGRAMA]],Hoja1!A:B,2,FALSE)</f>
        <v>1361. Prevención y extinción de incencios</v>
      </c>
      <c r="W665" s="35" t="str">
        <f>MID(Tabla1[[#This Row],[Aplicación]],14,2)</f>
        <v>22</v>
      </c>
      <c r="X665" s="35" t="str">
        <f>MID(Tabla1[[#This Row],[Aplicación]],14,6)</f>
        <v>22199</v>
      </c>
    </row>
    <row r="666" spans="1:24" x14ac:dyDescent="0.25">
      <c r="A666" s="45">
        <v>220210007165</v>
      </c>
      <c r="B666" s="46" t="s">
        <v>9</v>
      </c>
      <c r="C666" s="47">
        <v>44263</v>
      </c>
      <c r="D666" s="45">
        <v>22021003353</v>
      </c>
      <c r="E666" s="46" t="s">
        <v>832</v>
      </c>
      <c r="F666" s="48">
        <v>3150</v>
      </c>
      <c r="G666" s="46" t="s">
        <v>122</v>
      </c>
      <c r="H666" s="46" t="s">
        <v>1689</v>
      </c>
      <c r="I666" s="45" t="s">
        <v>125</v>
      </c>
      <c r="J666" s="46" t="s">
        <v>127</v>
      </c>
      <c r="K666" s="46" t="s">
        <v>127</v>
      </c>
      <c r="L666" s="46" t="s">
        <v>15</v>
      </c>
      <c r="M666" s="46" t="s">
        <v>10</v>
      </c>
      <c r="N666" s="46" t="s">
        <v>11</v>
      </c>
      <c r="O666" s="49" t="s">
        <v>815</v>
      </c>
      <c r="P666" s="46" t="s">
        <v>507</v>
      </c>
      <c r="Q666" s="35" t="str">
        <f>MID(Tabla1[[#This Row],[Aplicación]],14,1)</f>
        <v>2</v>
      </c>
      <c r="R666" s="35" t="s">
        <v>495</v>
      </c>
      <c r="S666" s="35" t="str">
        <f>MID(Tabla1[[#This Row],[Aplicación]],6,2)</f>
        <v>11</v>
      </c>
      <c r="T666" s="35" t="str">
        <f>VLOOKUP(Tabla1[[#This Row],[AREA]],Hoja1!A:B,2,FALSE)</f>
        <v>11. Salud pública y seguridad ciudadana</v>
      </c>
      <c r="U666" s="35" t="str">
        <f>MID(Tabla1[[#This Row],[Aplicación]],9,4)</f>
        <v>1321</v>
      </c>
      <c r="V666" s="35" t="str">
        <f>VLOOKUP(Tabla1[[#This Row],[PROGRAMA]],Hoja1!A:B,2,FALSE)</f>
        <v>1321. Policía municipal</v>
      </c>
      <c r="W666" s="35" t="str">
        <f>MID(Tabla1[[#This Row],[Aplicación]],14,2)</f>
        <v>22</v>
      </c>
      <c r="X666" s="35" t="str">
        <f>MID(Tabla1[[#This Row],[Aplicación]],14,6)</f>
        <v>22104</v>
      </c>
    </row>
    <row r="667" spans="1:24" x14ac:dyDescent="0.25">
      <c r="A667" s="45">
        <v>220210010361</v>
      </c>
      <c r="B667" s="46" t="s">
        <v>9</v>
      </c>
      <c r="C667" s="47">
        <v>44273</v>
      </c>
      <c r="D667" s="45">
        <v>22021003477</v>
      </c>
      <c r="E667" s="46" t="s">
        <v>1596</v>
      </c>
      <c r="F667" s="48">
        <v>271.04000000000002</v>
      </c>
      <c r="G667" s="46" t="s">
        <v>122</v>
      </c>
      <c r="H667" s="46" t="s">
        <v>1690</v>
      </c>
      <c r="I667" s="45" t="s">
        <v>125</v>
      </c>
      <c r="J667" s="46" t="s">
        <v>127</v>
      </c>
      <c r="K667" s="46" t="s">
        <v>127</v>
      </c>
      <c r="L667" s="46" t="s">
        <v>15</v>
      </c>
      <c r="M667" s="46" t="s">
        <v>10</v>
      </c>
      <c r="N667" s="46" t="s">
        <v>11</v>
      </c>
      <c r="O667" s="49" t="s">
        <v>815</v>
      </c>
      <c r="P667" s="46" t="s">
        <v>507</v>
      </c>
      <c r="Q667" s="35" t="str">
        <f>MID(Tabla1[[#This Row],[Aplicación]],14,1)</f>
        <v>2</v>
      </c>
      <c r="R667" s="35" t="s">
        <v>495</v>
      </c>
      <c r="S667" s="35" t="str">
        <f>MID(Tabla1[[#This Row],[Aplicación]],6,2)</f>
        <v>11</v>
      </c>
      <c r="T667" s="35" t="str">
        <f>VLOOKUP(Tabla1[[#This Row],[AREA]],Hoja1!A:B,2,FALSE)</f>
        <v>11. Salud pública y seguridad ciudadana</v>
      </c>
      <c r="U667" s="35" t="str">
        <f>MID(Tabla1[[#This Row],[Aplicación]],9,4)</f>
        <v>1321</v>
      </c>
      <c r="V667" s="35" t="str">
        <f>VLOOKUP(Tabla1[[#This Row],[PROGRAMA]],Hoja1!A:B,2,FALSE)</f>
        <v>1321. Policía municipal</v>
      </c>
      <c r="W667" s="35" t="str">
        <f>MID(Tabla1[[#This Row],[Aplicación]],14,2)</f>
        <v>22</v>
      </c>
      <c r="X667" s="35" t="str">
        <f>MID(Tabla1[[#This Row],[Aplicación]],14,6)</f>
        <v>22699</v>
      </c>
    </row>
    <row r="668" spans="1:24" x14ac:dyDescent="0.25">
      <c r="A668" s="45">
        <v>220210012888</v>
      </c>
      <c r="B668" s="46" t="s">
        <v>9</v>
      </c>
      <c r="C668" s="47">
        <v>44284</v>
      </c>
      <c r="D668" s="45">
        <v>22021003346</v>
      </c>
      <c r="E668" s="46" t="s">
        <v>1691</v>
      </c>
      <c r="F668" s="48">
        <v>2532.15</v>
      </c>
      <c r="G668" s="46" t="s">
        <v>1692</v>
      </c>
      <c r="H668" s="46" t="s">
        <v>1693</v>
      </c>
      <c r="I668" s="45" t="s">
        <v>125</v>
      </c>
      <c r="J668" s="46" t="s">
        <v>127</v>
      </c>
      <c r="K668" s="46" t="s">
        <v>127</v>
      </c>
      <c r="L668" s="46" t="s">
        <v>12</v>
      </c>
      <c r="M668" s="46" t="s">
        <v>13</v>
      </c>
      <c r="N668" s="46" t="s">
        <v>11</v>
      </c>
      <c r="O668" s="49" t="s">
        <v>814</v>
      </c>
      <c r="P668" s="46" t="s">
        <v>507</v>
      </c>
      <c r="Q668" s="35" t="str">
        <f>MID(Tabla1[[#This Row],[Aplicación]],14,1)</f>
        <v>2</v>
      </c>
      <c r="R668" s="35" t="s">
        <v>495</v>
      </c>
      <c r="S668" s="35" t="str">
        <f>MID(Tabla1[[#This Row],[Aplicación]],6,2)</f>
        <v>11</v>
      </c>
      <c r="T668" s="35" t="str">
        <f>VLOOKUP(Tabla1[[#This Row],[AREA]],Hoja1!A:B,2,FALSE)</f>
        <v>11. Salud pública y seguridad ciudadana</v>
      </c>
      <c r="U668" s="35" t="str">
        <f>MID(Tabla1[[#This Row],[Aplicación]],9,4)</f>
        <v>1321</v>
      </c>
      <c r="V668" s="35" t="str">
        <f>VLOOKUP(Tabla1[[#This Row],[PROGRAMA]],Hoja1!A:B,2,FALSE)</f>
        <v>1321. Policía municipal</v>
      </c>
      <c r="W668" s="35" t="str">
        <f>MID(Tabla1[[#This Row],[Aplicación]],14,2)</f>
        <v>22</v>
      </c>
      <c r="X668" s="35" t="str">
        <f>MID(Tabla1[[#This Row],[Aplicación]],14,6)</f>
        <v>22602</v>
      </c>
    </row>
    <row r="669" spans="1:24" x14ac:dyDescent="0.25">
      <c r="A669" s="45">
        <v>220210000538</v>
      </c>
      <c r="B669" s="46" t="s">
        <v>9</v>
      </c>
      <c r="C669" s="47">
        <v>44221</v>
      </c>
      <c r="D669" s="45">
        <v>22021001180</v>
      </c>
      <c r="E669" s="46" t="s">
        <v>1617</v>
      </c>
      <c r="F669" s="48">
        <v>1824.68</v>
      </c>
      <c r="G669" s="46" t="s">
        <v>513</v>
      </c>
      <c r="H669" s="46" t="s">
        <v>1619</v>
      </c>
      <c r="I669" s="45" t="s">
        <v>125</v>
      </c>
      <c r="J669" s="46" t="s">
        <v>127</v>
      </c>
      <c r="K669" s="46" t="s">
        <v>127</v>
      </c>
      <c r="L669" s="46" t="s">
        <v>12</v>
      </c>
      <c r="M669" s="46" t="s">
        <v>13</v>
      </c>
      <c r="N669" s="46" t="s">
        <v>11</v>
      </c>
      <c r="O669" s="49" t="s">
        <v>814</v>
      </c>
      <c r="P669" s="46" t="s">
        <v>507</v>
      </c>
      <c r="Q669" s="35" t="str">
        <f>MID(Tabla1[[#This Row],[Aplicación]],14,1)</f>
        <v>2</v>
      </c>
      <c r="R669" s="35" t="s">
        <v>495</v>
      </c>
      <c r="S669" s="35" t="str">
        <f>MID(Tabla1[[#This Row],[Aplicación]],6,2)</f>
        <v>05</v>
      </c>
      <c r="T669" s="35" t="str">
        <f>VLOOKUP(Tabla1[[#This Row],[AREA]],Hoja1!A:B,2,FALSE)</f>
        <v>05. Innovación, desarrollo económico, empleo y comercio</v>
      </c>
      <c r="U669" s="35" t="str">
        <f>MID(Tabla1[[#This Row],[Aplicación]],9,4)</f>
        <v>4331</v>
      </c>
      <c r="V669" s="35" t="str">
        <f>VLOOKUP(Tabla1[[#This Row],[PROGRAMA]],Hoja1!A:B,2,FALSE)</f>
        <v>4331. Desarrollo empresarial</v>
      </c>
      <c r="W669" s="35" t="str">
        <f>MID(Tabla1[[#This Row],[Aplicación]],14,2)</f>
        <v>22</v>
      </c>
      <c r="X669" s="35" t="str">
        <f>MID(Tabla1[[#This Row],[Aplicación]],14,6)</f>
        <v>22602</v>
      </c>
    </row>
    <row r="670" spans="1:24" x14ac:dyDescent="0.25">
      <c r="A670" s="45">
        <v>220210002762</v>
      </c>
      <c r="B670" s="46" t="s">
        <v>32</v>
      </c>
      <c r="C670" s="47">
        <v>44237</v>
      </c>
      <c r="D670" s="45">
        <v>22021002274</v>
      </c>
      <c r="E670" s="46" t="s">
        <v>1617</v>
      </c>
      <c r="F670" s="48">
        <v>6352.5</v>
      </c>
      <c r="G670" s="46" t="s">
        <v>513</v>
      </c>
      <c r="H670" s="46" t="s">
        <v>1694</v>
      </c>
      <c r="I670" s="45" t="s">
        <v>234</v>
      </c>
      <c r="J670" s="46" t="s">
        <v>127</v>
      </c>
      <c r="K670" s="46" t="s">
        <v>127</v>
      </c>
      <c r="L670" s="46" t="s">
        <v>12</v>
      </c>
      <c r="M670" s="46" t="s">
        <v>13</v>
      </c>
      <c r="N670" s="46" t="s">
        <v>11</v>
      </c>
      <c r="O670" s="49" t="s">
        <v>814</v>
      </c>
      <c r="P670" s="46" t="s">
        <v>507</v>
      </c>
      <c r="Q670" s="35" t="str">
        <f>MID(Tabla1[[#This Row],[Aplicación]],14,1)</f>
        <v>2</v>
      </c>
      <c r="R670" s="35" t="s">
        <v>495</v>
      </c>
      <c r="S670" s="35" t="str">
        <f>MID(Tabla1[[#This Row],[Aplicación]],6,2)</f>
        <v>05</v>
      </c>
      <c r="T670" s="35" t="str">
        <f>VLOOKUP(Tabla1[[#This Row],[AREA]],Hoja1!A:B,2,FALSE)</f>
        <v>05. Innovación, desarrollo económico, empleo y comercio</v>
      </c>
      <c r="U670" s="35" t="str">
        <f>MID(Tabla1[[#This Row],[Aplicación]],9,4)</f>
        <v>4331</v>
      </c>
      <c r="V670" s="35" t="str">
        <f>VLOOKUP(Tabla1[[#This Row],[PROGRAMA]],Hoja1!A:B,2,FALSE)</f>
        <v>4331. Desarrollo empresarial</v>
      </c>
      <c r="W670" s="35" t="str">
        <f>MID(Tabla1[[#This Row],[Aplicación]],14,2)</f>
        <v>22</v>
      </c>
      <c r="X670" s="35" t="str">
        <f>MID(Tabla1[[#This Row],[Aplicación]],14,6)</f>
        <v>22602</v>
      </c>
    </row>
    <row r="671" spans="1:24" x14ac:dyDescent="0.25">
      <c r="A671" s="45">
        <v>220210010389</v>
      </c>
      <c r="B671" s="46" t="s">
        <v>9</v>
      </c>
      <c r="C671" s="47">
        <v>44274</v>
      </c>
      <c r="D671" s="45">
        <v>22021003362</v>
      </c>
      <c r="E671" s="46" t="s">
        <v>1695</v>
      </c>
      <c r="F671" s="48">
        <v>5000</v>
      </c>
      <c r="G671" s="46" t="s">
        <v>513</v>
      </c>
      <c r="H671" s="46" t="s">
        <v>1696</v>
      </c>
      <c r="I671" s="45" t="s">
        <v>125</v>
      </c>
      <c r="J671" s="46" t="s">
        <v>127</v>
      </c>
      <c r="K671" s="46" t="s">
        <v>127</v>
      </c>
      <c r="L671" s="46" t="s">
        <v>12</v>
      </c>
      <c r="M671" s="46" t="s">
        <v>13</v>
      </c>
      <c r="N671" s="46" t="s">
        <v>14</v>
      </c>
      <c r="O671" s="49" t="s">
        <v>814</v>
      </c>
      <c r="P671" s="46" t="s">
        <v>507</v>
      </c>
      <c r="Q671" s="35" t="str">
        <f>MID(Tabla1[[#This Row],[Aplicación]],14,1)</f>
        <v>2</v>
      </c>
      <c r="R671" s="35" t="s">
        <v>495</v>
      </c>
      <c r="S671" s="35" t="str">
        <f>MID(Tabla1[[#This Row],[Aplicación]],6,2)</f>
        <v>04</v>
      </c>
      <c r="T671" s="35" t="str">
        <f>VLOOKUP(Tabla1[[#This Row],[AREA]],Hoja1!A:B,2,FALSE)</f>
        <v>04. Planificación y recursos</v>
      </c>
      <c r="U671" s="35" t="str">
        <f>MID(Tabla1[[#This Row],[Aplicación]],9,4)</f>
        <v>9321</v>
      </c>
      <c r="V671" s="35" t="str">
        <f>VLOOKUP(Tabla1[[#This Row],[PROGRAMA]],Hoja1!A:B,2,FALSE)</f>
        <v>9321. Gestión de ingresos e inspección</v>
      </c>
      <c r="W671" s="35" t="str">
        <f>MID(Tabla1[[#This Row],[Aplicación]],14,2)</f>
        <v>22</v>
      </c>
      <c r="X671" s="35" t="str">
        <f>MID(Tabla1[[#This Row],[Aplicación]],14,6)</f>
        <v>22602</v>
      </c>
    </row>
    <row r="672" spans="1:24" x14ac:dyDescent="0.25">
      <c r="A672" s="45">
        <v>220209000786</v>
      </c>
      <c r="B672" s="46" t="s">
        <v>9</v>
      </c>
      <c r="C672" s="47">
        <v>44198</v>
      </c>
      <c r="D672" s="45">
        <v>22021000502</v>
      </c>
      <c r="E672" s="46" t="s">
        <v>1175</v>
      </c>
      <c r="F672" s="48">
        <v>200914.17</v>
      </c>
      <c r="G672" s="46" t="s">
        <v>185</v>
      </c>
      <c r="H672" s="46" t="s">
        <v>1697</v>
      </c>
      <c r="I672" s="45" t="s">
        <v>125</v>
      </c>
      <c r="J672" s="46" t="s">
        <v>127</v>
      </c>
      <c r="K672" s="46" t="s">
        <v>127</v>
      </c>
      <c r="L672" s="46" t="s">
        <v>12</v>
      </c>
      <c r="M672" s="46" t="s">
        <v>13</v>
      </c>
      <c r="N672" s="46" t="s">
        <v>14</v>
      </c>
      <c r="O672" s="49" t="s">
        <v>803</v>
      </c>
      <c r="P672" s="46" t="s">
        <v>507</v>
      </c>
      <c r="Q672" s="35" t="str">
        <f>MID(Tabla1[[#This Row],[Aplicación]],14,1)</f>
        <v>2</v>
      </c>
      <c r="R672" s="35" t="s">
        <v>495</v>
      </c>
      <c r="S672" s="35" t="str">
        <f>MID(Tabla1[[#This Row],[Aplicación]],6,2)</f>
        <v>06</v>
      </c>
      <c r="T672" s="35" t="str">
        <f>VLOOKUP(Tabla1[[#This Row],[AREA]],Hoja1!A:B,2,FALSE)</f>
        <v>06. Educación, infancia, juventud e igualdad</v>
      </c>
      <c r="U672" s="35" t="str">
        <f>MID(Tabla1[[#This Row],[Aplicación]],9,4)</f>
        <v>2314</v>
      </c>
      <c r="V672" s="35" t="str">
        <f>VLOOKUP(Tabla1[[#This Row],[PROGRAMA]],Hoja1!A:B,2,FALSE)</f>
        <v>2314. Centro de programas juveniles</v>
      </c>
      <c r="W672" s="35" t="str">
        <f>MID(Tabla1[[#This Row],[Aplicación]],14,2)</f>
        <v>22</v>
      </c>
      <c r="X672" s="35" t="str">
        <f>MID(Tabla1[[#This Row],[Aplicación]],14,6)</f>
        <v>22799</v>
      </c>
    </row>
    <row r="673" spans="1:24" x14ac:dyDescent="0.25">
      <c r="A673" s="45">
        <v>220210001366</v>
      </c>
      <c r="B673" s="46" t="s">
        <v>9</v>
      </c>
      <c r="C673" s="47">
        <v>44228</v>
      </c>
      <c r="D673" s="45">
        <v>22021002020</v>
      </c>
      <c r="E673" s="46" t="s">
        <v>1623</v>
      </c>
      <c r="F673" s="48">
        <v>1886.86</v>
      </c>
      <c r="G673" s="46" t="s">
        <v>260</v>
      </c>
      <c r="H673" s="46" t="s">
        <v>1698</v>
      </c>
      <c r="I673" s="45" t="s">
        <v>125</v>
      </c>
      <c r="J673" s="46" t="s">
        <v>126</v>
      </c>
      <c r="K673" s="46" t="s">
        <v>126</v>
      </c>
      <c r="L673" s="46" t="s">
        <v>15</v>
      </c>
      <c r="M673" s="46" t="s">
        <v>10</v>
      </c>
      <c r="N673" s="46" t="s">
        <v>11</v>
      </c>
      <c r="O673" s="49" t="s">
        <v>815</v>
      </c>
      <c r="P673" s="46" t="s">
        <v>507</v>
      </c>
      <c r="Q673" s="35" t="str">
        <f>MID(Tabla1[[#This Row],[Aplicación]],14,1)</f>
        <v>2</v>
      </c>
      <c r="R673" s="35" t="s">
        <v>495</v>
      </c>
      <c r="S673" s="35" t="str">
        <f>MID(Tabla1[[#This Row],[Aplicación]],6,2)</f>
        <v>01</v>
      </c>
      <c r="T673" s="35" t="str">
        <f>VLOOKUP(Tabla1[[#This Row],[AREA]],Hoja1!A:B,2,FALSE)</f>
        <v>01. Alcaldía</v>
      </c>
      <c r="U673" s="35" t="str">
        <f>MID(Tabla1[[#This Row],[Aplicación]],9,4)</f>
        <v>9207</v>
      </c>
      <c r="V673" s="35" t="str">
        <f>VLOOKUP(Tabla1[[#This Row],[PROGRAMA]],Hoja1!A:B,2,FALSE)</f>
        <v>9207. Gobierno y relaciones</v>
      </c>
      <c r="W673" s="35" t="str">
        <f>MID(Tabla1[[#This Row],[Aplicación]],14,2)</f>
        <v>22</v>
      </c>
      <c r="X673" s="35" t="str">
        <f>MID(Tabla1[[#This Row],[Aplicación]],14,6)</f>
        <v>22001</v>
      </c>
    </row>
    <row r="674" spans="1:24" x14ac:dyDescent="0.25">
      <c r="A674" s="45">
        <v>220210000006</v>
      </c>
      <c r="B674" s="46" t="s">
        <v>32</v>
      </c>
      <c r="C674" s="47">
        <v>44215</v>
      </c>
      <c r="D674" s="45">
        <v>22021000544</v>
      </c>
      <c r="E674" s="46" t="s">
        <v>1438</v>
      </c>
      <c r="F674" s="48">
        <v>5804.6</v>
      </c>
      <c r="G674" s="46" t="s">
        <v>260</v>
      </c>
      <c r="H674" s="46" t="s">
        <v>1699</v>
      </c>
      <c r="I674" s="45" t="s">
        <v>234</v>
      </c>
      <c r="J674" s="46" t="s">
        <v>126</v>
      </c>
      <c r="K674" s="46" t="s">
        <v>126</v>
      </c>
      <c r="L674" s="46" t="s">
        <v>15</v>
      </c>
      <c r="M674" s="46" t="s">
        <v>10</v>
      </c>
      <c r="N674" s="46" t="s">
        <v>11</v>
      </c>
      <c r="O674" s="49" t="s">
        <v>815</v>
      </c>
      <c r="P674" s="46" t="s">
        <v>507</v>
      </c>
      <c r="Q674" s="35" t="str">
        <f>MID(Tabla1[[#This Row],[Aplicación]],14,1)</f>
        <v>2</v>
      </c>
      <c r="R674" s="35" t="s">
        <v>495</v>
      </c>
      <c r="S674" s="35" t="str">
        <f>MID(Tabla1[[#This Row],[Aplicación]],6,2)</f>
        <v>01</v>
      </c>
      <c r="T674" s="35" t="str">
        <f>VLOOKUP(Tabla1[[#This Row],[AREA]],Hoja1!A:B,2,FALSE)</f>
        <v>01. Alcaldía</v>
      </c>
      <c r="U674" s="35" t="str">
        <f>MID(Tabla1[[#This Row],[Aplicación]],9,4)</f>
        <v>9206</v>
      </c>
      <c r="V674" s="35" t="str">
        <f>VLOOKUP(Tabla1[[#This Row],[PROGRAMA]],Hoja1!A:B,2,FALSE)</f>
        <v>9206. Archivo municipal</v>
      </c>
      <c r="W674" s="35" t="str">
        <f>MID(Tabla1[[#This Row],[Aplicación]],14,2)</f>
        <v>22</v>
      </c>
      <c r="X674" s="35" t="str">
        <f>MID(Tabla1[[#This Row],[Aplicación]],14,6)</f>
        <v>22001</v>
      </c>
    </row>
    <row r="675" spans="1:24" x14ac:dyDescent="0.25">
      <c r="A675" s="45">
        <v>220210001373</v>
      </c>
      <c r="B675" s="46" t="s">
        <v>9</v>
      </c>
      <c r="C675" s="47">
        <v>44228</v>
      </c>
      <c r="D675" s="45">
        <v>22021002067</v>
      </c>
      <c r="E675" s="46" t="s">
        <v>1700</v>
      </c>
      <c r="F675" s="48">
        <v>5000</v>
      </c>
      <c r="G675" s="46" t="s">
        <v>46</v>
      </c>
      <c r="H675" s="46" t="s">
        <v>1701</v>
      </c>
      <c r="I675" s="45" t="s">
        <v>125</v>
      </c>
      <c r="J675" s="46" t="s">
        <v>126</v>
      </c>
      <c r="K675" s="46" t="s">
        <v>126</v>
      </c>
      <c r="L675" s="46" t="s">
        <v>15</v>
      </c>
      <c r="M675" s="46" t="s">
        <v>10</v>
      </c>
      <c r="N675" s="46" t="s">
        <v>11</v>
      </c>
      <c r="O675" s="49" t="s">
        <v>815</v>
      </c>
      <c r="P675" s="46" t="s">
        <v>507</v>
      </c>
      <c r="Q675" s="35" t="str">
        <f>MID(Tabla1[[#This Row],[Aplicación]],14,1)</f>
        <v>2</v>
      </c>
      <c r="R675" s="35" t="s">
        <v>495</v>
      </c>
      <c r="S675" s="35" t="str">
        <f>MID(Tabla1[[#This Row],[Aplicación]],6,2)</f>
        <v>07</v>
      </c>
      <c r="T675" s="35" t="str">
        <f>VLOOKUP(Tabla1[[#This Row],[AREA]],Hoja1!A:B,2,FALSE)</f>
        <v>07. Medio ambiente y desarrollo sostenible</v>
      </c>
      <c r="U675" s="35" t="str">
        <f>MID(Tabla1[[#This Row],[Aplicación]],9,4)</f>
        <v>1721</v>
      </c>
      <c r="V675" s="35" t="str">
        <f>VLOOKUP(Tabla1[[#This Row],[PROGRAMA]],Hoja1!A:B,2,FALSE)</f>
        <v>1721. Protección del medio ambiente</v>
      </c>
      <c r="W675" s="35" t="str">
        <f>MID(Tabla1[[#This Row],[Aplicación]],14,2)</f>
        <v>22</v>
      </c>
      <c r="X675" s="35" t="str">
        <f>MID(Tabla1[[#This Row],[Aplicación]],14,6)</f>
        <v>22112</v>
      </c>
    </row>
    <row r="676" spans="1:24" x14ac:dyDescent="0.25">
      <c r="A676" s="45">
        <v>220210008455</v>
      </c>
      <c r="B676" s="46" t="s">
        <v>9</v>
      </c>
      <c r="C676" s="47">
        <v>44266</v>
      </c>
      <c r="D676" s="45">
        <v>22021002774</v>
      </c>
      <c r="E676" s="46" t="s">
        <v>1438</v>
      </c>
      <c r="F676" s="48">
        <v>10761</v>
      </c>
      <c r="G676" s="46" t="s">
        <v>65</v>
      </c>
      <c r="H676" s="46" t="s">
        <v>1702</v>
      </c>
      <c r="I676" s="45" t="s">
        <v>125</v>
      </c>
      <c r="J676" s="46" t="s">
        <v>127</v>
      </c>
      <c r="K676" s="46" t="s">
        <v>127</v>
      </c>
      <c r="L676" s="46" t="s">
        <v>15</v>
      </c>
      <c r="M676" s="46" t="s">
        <v>10</v>
      </c>
      <c r="N676" s="46" t="s">
        <v>11</v>
      </c>
      <c r="O676" s="49" t="s">
        <v>815</v>
      </c>
      <c r="P676" s="46" t="s">
        <v>507</v>
      </c>
      <c r="Q676" s="35" t="str">
        <f>MID(Tabla1[[#This Row],[Aplicación]],14,1)</f>
        <v>2</v>
      </c>
      <c r="R676" s="35" t="s">
        <v>495</v>
      </c>
      <c r="S676" s="35" t="str">
        <f>MID(Tabla1[[#This Row],[Aplicación]],6,2)</f>
        <v>01</v>
      </c>
      <c r="T676" s="35" t="str">
        <f>VLOOKUP(Tabla1[[#This Row],[AREA]],Hoja1!A:B,2,FALSE)</f>
        <v>01. Alcaldía</v>
      </c>
      <c r="U676" s="35" t="str">
        <f>MID(Tabla1[[#This Row],[Aplicación]],9,4)</f>
        <v>9206</v>
      </c>
      <c r="V676" s="35" t="str">
        <f>VLOOKUP(Tabla1[[#This Row],[PROGRAMA]],Hoja1!A:B,2,FALSE)</f>
        <v>9206. Archivo municipal</v>
      </c>
      <c r="W676" s="35" t="str">
        <f>MID(Tabla1[[#This Row],[Aplicación]],14,2)</f>
        <v>22</v>
      </c>
      <c r="X676" s="35" t="str">
        <f>MID(Tabla1[[#This Row],[Aplicación]],14,6)</f>
        <v>22001</v>
      </c>
    </row>
    <row r="677" spans="1:24" x14ac:dyDescent="0.25">
      <c r="A677" s="45">
        <v>220200054850</v>
      </c>
      <c r="B677" s="46" t="s">
        <v>9</v>
      </c>
      <c r="C677" s="47">
        <v>44284</v>
      </c>
      <c r="D677" s="45">
        <v>22020005780</v>
      </c>
      <c r="E677" s="46" t="s">
        <v>1474</v>
      </c>
      <c r="F677" s="48">
        <v>9198.15</v>
      </c>
      <c r="G677" s="46" t="s">
        <v>46</v>
      </c>
      <c r="H677" s="46" t="s">
        <v>1703</v>
      </c>
      <c r="I677" s="45" t="s">
        <v>125</v>
      </c>
      <c r="J677" s="46" t="s">
        <v>126</v>
      </c>
      <c r="K677" s="46" t="s">
        <v>126</v>
      </c>
      <c r="L677" s="46" t="s">
        <v>31</v>
      </c>
      <c r="M677" s="46" t="s">
        <v>10</v>
      </c>
      <c r="N677" s="46" t="s">
        <v>11</v>
      </c>
      <c r="O677" s="49" t="s">
        <v>815</v>
      </c>
      <c r="P677" s="46" t="s">
        <v>507</v>
      </c>
      <c r="Q677" s="35" t="str">
        <f>MID(Tabla1[[#This Row],[Aplicación]],14,1)</f>
        <v>6</v>
      </c>
      <c r="R677" s="35" t="s">
        <v>496</v>
      </c>
      <c r="S677" s="35" t="str">
        <f>MID(Tabla1[[#This Row],[Aplicación]],6,2)</f>
        <v>08</v>
      </c>
      <c r="T677" s="35" t="str">
        <f>VLOOKUP(Tabla1[[#This Row],[AREA]],Hoja1!A:B,2,FALSE)</f>
        <v>08. Movilidad y espacio urbano</v>
      </c>
      <c r="U677" s="35" t="str">
        <f>MID(Tabla1[[#This Row],[Aplicación]],9,4)</f>
        <v>1651</v>
      </c>
      <c r="V677" s="35" t="str">
        <f>VLOOKUP(Tabla1[[#This Row],[PROGRAMA]],Hoja1!A:B,2,FALSE)</f>
        <v>1651. Alumbrado público</v>
      </c>
      <c r="W677" s="35" t="str">
        <f>MID(Tabla1[[#This Row],[Aplicación]],14,2)</f>
        <v>61</v>
      </c>
      <c r="X677" s="35" t="str">
        <f>MID(Tabla1[[#This Row],[Aplicación]],14,6)</f>
        <v>619</v>
      </c>
    </row>
    <row r="678" spans="1:24" x14ac:dyDescent="0.25">
      <c r="A678" s="45">
        <v>220210006575</v>
      </c>
      <c r="B678" s="46" t="s">
        <v>9</v>
      </c>
      <c r="C678" s="47">
        <v>44256</v>
      </c>
      <c r="D678" s="45">
        <v>22021003083</v>
      </c>
      <c r="E678" s="46" t="s">
        <v>1220</v>
      </c>
      <c r="F678" s="48">
        <v>6047.74</v>
      </c>
      <c r="G678" s="46" t="s">
        <v>46</v>
      </c>
      <c r="H678" s="46" t="s">
        <v>1704</v>
      </c>
      <c r="I678" s="45" t="s">
        <v>125</v>
      </c>
      <c r="J678" s="46" t="s">
        <v>126</v>
      </c>
      <c r="K678" s="46" t="s">
        <v>126</v>
      </c>
      <c r="L678" s="46" t="s">
        <v>12</v>
      </c>
      <c r="M678" s="46" t="s">
        <v>10</v>
      </c>
      <c r="N678" s="46" t="s">
        <v>11</v>
      </c>
      <c r="O678" s="49" t="s">
        <v>815</v>
      </c>
      <c r="P678" s="46" t="s">
        <v>507</v>
      </c>
      <c r="Q678" s="35" t="str">
        <f>MID(Tabla1[[#This Row],[Aplicación]],14,1)</f>
        <v>2</v>
      </c>
      <c r="R678" s="35" t="s">
        <v>495</v>
      </c>
      <c r="S678" s="35" t="str">
        <f>MID(Tabla1[[#This Row],[Aplicación]],6,2)</f>
        <v>03</v>
      </c>
      <c r="T678" s="35" t="str">
        <f>VLOOKUP(Tabla1[[#This Row],[AREA]],Hoja1!A:B,2,FALSE)</f>
        <v>03. Participación ciudadana y deportes</v>
      </c>
      <c r="U678" s="35" t="str">
        <f>MID(Tabla1[[#This Row],[Aplicación]],9,4)</f>
        <v>9241</v>
      </c>
      <c r="V678" s="35" t="str">
        <f>VLOOKUP(Tabla1[[#This Row],[PROGRAMA]],Hoja1!A:B,2,FALSE)</f>
        <v>9241. Participación ciudadana</v>
      </c>
      <c r="W678" s="35" t="str">
        <f>MID(Tabla1[[#This Row],[Aplicación]],14,2)</f>
        <v>21</v>
      </c>
      <c r="X678" s="35" t="str">
        <f>MID(Tabla1[[#This Row],[Aplicación]],14,6)</f>
        <v>213</v>
      </c>
    </row>
    <row r="679" spans="1:24" x14ac:dyDescent="0.25">
      <c r="A679" s="45">
        <v>220210001420</v>
      </c>
      <c r="B679" s="46" t="s">
        <v>32</v>
      </c>
      <c r="C679" s="47">
        <v>44229</v>
      </c>
      <c r="D679" s="45">
        <v>22021002060</v>
      </c>
      <c r="E679" s="46" t="s">
        <v>1705</v>
      </c>
      <c r="F679" s="48">
        <v>1815</v>
      </c>
      <c r="G679" s="46" t="s">
        <v>65</v>
      </c>
      <c r="H679" s="46" t="s">
        <v>1706</v>
      </c>
      <c r="I679" s="45" t="s">
        <v>234</v>
      </c>
      <c r="J679" s="46" t="s">
        <v>127</v>
      </c>
      <c r="K679" s="46" t="s">
        <v>127</v>
      </c>
      <c r="L679" s="46" t="s">
        <v>12</v>
      </c>
      <c r="M679" s="46" t="s">
        <v>13</v>
      </c>
      <c r="N679" s="46" t="s">
        <v>14</v>
      </c>
      <c r="O679" s="49" t="s">
        <v>814</v>
      </c>
      <c r="P679" s="46" t="s">
        <v>507</v>
      </c>
      <c r="Q679" s="35" t="str">
        <f>MID(Tabla1[[#This Row],[Aplicación]],14,1)</f>
        <v>2</v>
      </c>
      <c r="R679" s="35" t="s">
        <v>495</v>
      </c>
      <c r="S679" s="35" t="str">
        <f>MID(Tabla1[[#This Row],[Aplicación]],6,2)</f>
        <v>05</v>
      </c>
      <c r="T679" s="35" t="str">
        <f>VLOOKUP(Tabla1[[#This Row],[AREA]],Hoja1!A:B,2,FALSE)</f>
        <v>05. Innovación, desarrollo económico, empleo y comercio</v>
      </c>
      <c r="U679" s="35" t="str">
        <f>MID(Tabla1[[#This Row],[Aplicación]],9,4)</f>
        <v>4315</v>
      </c>
      <c r="V679" s="35" t="str">
        <f>VLOOKUP(Tabla1[[#This Row],[PROGRAMA]],Hoja1!A:B,2,FALSE)</f>
        <v>4315. Actuaciones en materia de consumo</v>
      </c>
      <c r="W679" s="35" t="str">
        <f>MID(Tabla1[[#This Row],[Aplicación]],14,2)</f>
        <v>22</v>
      </c>
      <c r="X679" s="35" t="str">
        <f>MID(Tabla1[[#This Row],[Aplicación]],14,6)</f>
        <v>22602</v>
      </c>
    </row>
    <row r="680" spans="1:24" x14ac:dyDescent="0.25">
      <c r="A680" s="45">
        <v>220210006456</v>
      </c>
      <c r="B680" s="46" t="s">
        <v>9</v>
      </c>
      <c r="C680" s="47">
        <v>44253</v>
      </c>
      <c r="D680" s="45">
        <v>22021002284</v>
      </c>
      <c r="E680" s="46" t="s">
        <v>1695</v>
      </c>
      <c r="F680" s="48">
        <v>5500</v>
      </c>
      <c r="G680" s="46" t="s">
        <v>65</v>
      </c>
      <c r="H680" s="46" t="s">
        <v>1707</v>
      </c>
      <c r="I680" s="45" t="s">
        <v>125</v>
      </c>
      <c r="J680" s="46" t="s">
        <v>127</v>
      </c>
      <c r="K680" s="46" t="s">
        <v>127</v>
      </c>
      <c r="L680" s="46" t="s">
        <v>12</v>
      </c>
      <c r="M680" s="46" t="s">
        <v>13</v>
      </c>
      <c r="N680" s="46" t="s">
        <v>14</v>
      </c>
      <c r="O680" s="49" t="s">
        <v>814</v>
      </c>
      <c r="P680" s="46" t="s">
        <v>507</v>
      </c>
      <c r="Q680" s="35" t="str">
        <f>MID(Tabla1[[#This Row],[Aplicación]],14,1)</f>
        <v>2</v>
      </c>
      <c r="R680" s="35" t="s">
        <v>495</v>
      </c>
      <c r="S680" s="35" t="str">
        <f>MID(Tabla1[[#This Row],[Aplicación]],6,2)</f>
        <v>04</v>
      </c>
      <c r="T680" s="35" t="str">
        <f>VLOOKUP(Tabla1[[#This Row],[AREA]],Hoja1!A:B,2,FALSE)</f>
        <v>04. Planificación y recursos</v>
      </c>
      <c r="U680" s="35" t="str">
        <f>MID(Tabla1[[#This Row],[Aplicación]],9,4)</f>
        <v>9321</v>
      </c>
      <c r="V680" s="35" t="str">
        <f>VLOOKUP(Tabla1[[#This Row],[PROGRAMA]],Hoja1!A:B,2,FALSE)</f>
        <v>9321. Gestión de ingresos e inspección</v>
      </c>
      <c r="W680" s="35" t="str">
        <f>MID(Tabla1[[#This Row],[Aplicación]],14,2)</f>
        <v>22</v>
      </c>
      <c r="X680" s="35" t="str">
        <f>MID(Tabla1[[#This Row],[Aplicación]],14,6)</f>
        <v>22602</v>
      </c>
    </row>
    <row r="681" spans="1:24" x14ac:dyDescent="0.25">
      <c r="A681" s="45">
        <v>220209000403</v>
      </c>
      <c r="B681" s="46" t="s">
        <v>9</v>
      </c>
      <c r="C681" s="47">
        <v>44198</v>
      </c>
      <c r="D681" s="45">
        <v>22021000289</v>
      </c>
      <c r="E681" s="46" t="s">
        <v>950</v>
      </c>
      <c r="F681" s="48">
        <v>9883.7800000000007</v>
      </c>
      <c r="G681" s="46" t="s">
        <v>46</v>
      </c>
      <c r="H681" s="46" t="s">
        <v>1708</v>
      </c>
      <c r="I681" s="45" t="s">
        <v>125</v>
      </c>
      <c r="J681" s="46" t="s">
        <v>126</v>
      </c>
      <c r="K681" s="46" t="s">
        <v>126</v>
      </c>
      <c r="L681" s="46" t="s">
        <v>12</v>
      </c>
      <c r="M681" s="46" t="s">
        <v>13</v>
      </c>
      <c r="N681" s="46" t="s">
        <v>11</v>
      </c>
      <c r="O681" s="49" t="s">
        <v>803</v>
      </c>
      <c r="P681" s="46" t="s">
        <v>507</v>
      </c>
      <c r="Q681" s="35" t="str">
        <f>MID(Tabla1[[#This Row],[Aplicación]],14,1)</f>
        <v>2</v>
      </c>
      <c r="R681" s="35" t="s">
        <v>495</v>
      </c>
      <c r="S681" s="35" t="str">
        <f>MID(Tabla1[[#This Row],[Aplicación]],6,2)</f>
        <v>11</v>
      </c>
      <c r="T681" s="35" t="str">
        <f>VLOOKUP(Tabla1[[#This Row],[AREA]],Hoja1!A:B,2,FALSE)</f>
        <v>11. Salud pública y seguridad ciudadana</v>
      </c>
      <c r="U681" s="35" t="str">
        <f>MID(Tabla1[[#This Row],[Aplicación]],9,4)</f>
        <v>1321</v>
      </c>
      <c r="V681" s="35" t="str">
        <f>VLOOKUP(Tabla1[[#This Row],[PROGRAMA]],Hoja1!A:B,2,FALSE)</f>
        <v>1321. Policía municipal</v>
      </c>
      <c r="W681" s="35" t="str">
        <f>MID(Tabla1[[#This Row],[Aplicación]],14,2)</f>
        <v>21</v>
      </c>
      <c r="X681" s="35" t="str">
        <f>MID(Tabla1[[#This Row],[Aplicación]],14,6)</f>
        <v>213</v>
      </c>
    </row>
    <row r="682" spans="1:24" x14ac:dyDescent="0.25">
      <c r="A682" s="45">
        <v>220209000404</v>
      </c>
      <c r="B682" s="46" t="s">
        <v>9</v>
      </c>
      <c r="C682" s="47">
        <v>44198</v>
      </c>
      <c r="D682" s="45">
        <v>22021000290</v>
      </c>
      <c r="E682" s="46" t="s">
        <v>950</v>
      </c>
      <c r="F682" s="48">
        <v>6875</v>
      </c>
      <c r="G682" s="46" t="s">
        <v>46</v>
      </c>
      <c r="H682" s="46" t="s">
        <v>1709</v>
      </c>
      <c r="I682" s="45" t="s">
        <v>125</v>
      </c>
      <c r="J682" s="46" t="s">
        <v>126</v>
      </c>
      <c r="K682" s="46" t="s">
        <v>126</v>
      </c>
      <c r="L682" s="46" t="s">
        <v>12</v>
      </c>
      <c r="M682" s="46" t="s">
        <v>13</v>
      </c>
      <c r="N682" s="46" t="s">
        <v>11</v>
      </c>
      <c r="O682" s="49" t="s">
        <v>803</v>
      </c>
      <c r="P682" s="46" t="s">
        <v>507</v>
      </c>
      <c r="Q682" s="35" t="str">
        <f>MID(Tabla1[[#This Row],[Aplicación]],14,1)</f>
        <v>2</v>
      </c>
      <c r="R682" s="35" t="s">
        <v>495</v>
      </c>
      <c r="S682" s="35" t="str">
        <f>MID(Tabla1[[#This Row],[Aplicación]],6,2)</f>
        <v>11</v>
      </c>
      <c r="T682" s="35" t="str">
        <f>VLOOKUP(Tabla1[[#This Row],[AREA]],Hoja1!A:B,2,FALSE)</f>
        <v>11. Salud pública y seguridad ciudadana</v>
      </c>
      <c r="U682" s="35" t="str">
        <f>MID(Tabla1[[#This Row],[Aplicación]],9,4)</f>
        <v>1321</v>
      </c>
      <c r="V682" s="35" t="str">
        <f>VLOOKUP(Tabla1[[#This Row],[PROGRAMA]],Hoja1!A:B,2,FALSE)</f>
        <v>1321. Policía municipal</v>
      </c>
      <c r="W682" s="35" t="str">
        <f>MID(Tabla1[[#This Row],[Aplicación]],14,2)</f>
        <v>21</v>
      </c>
      <c r="X682" s="35" t="str">
        <f>MID(Tabla1[[#This Row],[Aplicación]],14,6)</f>
        <v>213</v>
      </c>
    </row>
    <row r="683" spans="1:24" x14ac:dyDescent="0.25">
      <c r="A683" s="45">
        <v>220200052719</v>
      </c>
      <c r="B683" s="46" t="s">
        <v>9</v>
      </c>
      <c r="C683" s="47">
        <v>44284</v>
      </c>
      <c r="D683" s="45">
        <v>22020006486</v>
      </c>
      <c r="E683" s="46" t="s">
        <v>1474</v>
      </c>
      <c r="F683" s="48">
        <v>20935.599999999999</v>
      </c>
      <c r="G683" s="46" t="s">
        <v>230</v>
      </c>
      <c r="H683" s="46" t="s">
        <v>1710</v>
      </c>
      <c r="I683" s="45" t="s">
        <v>125</v>
      </c>
      <c r="J683" s="46" t="s">
        <v>127</v>
      </c>
      <c r="K683" s="46" t="s">
        <v>127</v>
      </c>
      <c r="L683" s="46" t="s">
        <v>31</v>
      </c>
      <c r="M683" s="46" t="s">
        <v>10</v>
      </c>
      <c r="N683" s="46" t="s">
        <v>11</v>
      </c>
      <c r="O683" s="49" t="s">
        <v>815</v>
      </c>
      <c r="P683" s="46" t="s">
        <v>507</v>
      </c>
      <c r="Q683" s="35" t="str">
        <f>MID(Tabla1[[#This Row],[Aplicación]],14,1)</f>
        <v>6</v>
      </c>
      <c r="R683" s="35" t="s">
        <v>496</v>
      </c>
      <c r="S683" s="35" t="str">
        <f>MID(Tabla1[[#This Row],[Aplicación]],6,2)</f>
        <v>08</v>
      </c>
      <c r="T683" s="35" t="str">
        <f>VLOOKUP(Tabla1[[#This Row],[AREA]],Hoja1!A:B,2,FALSE)</f>
        <v>08. Movilidad y espacio urbano</v>
      </c>
      <c r="U683" s="35" t="str">
        <f>MID(Tabla1[[#This Row],[Aplicación]],9,4)</f>
        <v>1651</v>
      </c>
      <c r="V683" s="35" t="str">
        <f>VLOOKUP(Tabla1[[#This Row],[PROGRAMA]],Hoja1!A:B,2,FALSE)</f>
        <v>1651. Alumbrado público</v>
      </c>
      <c r="W683" s="35" t="str">
        <f>MID(Tabla1[[#This Row],[Aplicación]],14,2)</f>
        <v>61</v>
      </c>
      <c r="X683" s="35" t="str">
        <f>MID(Tabla1[[#This Row],[Aplicación]],14,6)</f>
        <v>619</v>
      </c>
    </row>
    <row r="684" spans="1:24" x14ac:dyDescent="0.25">
      <c r="A684" s="45">
        <v>220200062617</v>
      </c>
      <c r="B684" s="46" t="s">
        <v>9</v>
      </c>
      <c r="C684" s="47">
        <v>44284</v>
      </c>
      <c r="D684" s="45">
        <v>22019005585</v>
      </c>
      <c r="E684" s="46" t="s">
        <v>1270</v>
      </c>
      <c r="F684" s="48">
        <v>9391.61</v>
      </c>
      <c r="G684" s="46" t="s">
        <v>230</v>
      </c>
      <c r="H684" s="46" t="s">
        <v>1711</v>
      </c>
      <c r="I684" s="45" t="s">
        <v>125</v>
      </c>
      <c r="J684" s="46" t="s">
        <v>127</v>
      </c>
      <c r="K684" s="46" t="s">
        <v>127</v>
      </c>
      <c r="L684" s="46" t="s">
        <v>12</v>
      </c>
      <c r="M684" s="46" t="s">
        <v>10</v>
      </c>
      <c r="N684" s="46" t="s">
        <v>11</v>
      </c>
      <c r="O684" s="49" t="s">
        <v>815</v>
      </c>
      <c r="P684" s="46" t="s">
        <v>507</v>
      </c>
      <c r="Q684" s="35" t="str">
        <f>MID(Tabla1[[#This Row],[Aplicación]],14,1)</f>
        <v>6</v>
      </c>
      <c r="R684" s="35" t="s">
        <v>496</v>
      </c>
      <c r="S684" s="35" t="str">
        <f>MID(Tabla1[[#This Row],[Aplicación]],6,2)</f>
        <v>11</v>
      </c>
      <c r="T684" s="35" t="str">
        <f>VLOOKUP(Tabla1[[#This Row],[AREA]],Hoja1!A:B,2,FALSE)</f>
        <v>11. Salud pública y seguridad ciudadana</v>
      </c>
      <c r="U684" s="35" t="str">
        <f>MID(Tabla1[[#This Row],[Aplicación]],9,4)</f>
        <v>1621</v>
      </c>
      <c r="V684" s="35" t="str">
        <f>VLOOKUP(Tabla1[[#This Row],[PROGRAMA]],Hoja1!A:B,2,FALSE)</f>
        <v>1621. Servicio de limpieza</v>
      </c>
      <c r="W684" s="35" t="str">
        <f>MID(Tabla1[[#This Row],[Aplicación]],14,2)</f>
        <v>63</v>
      </c>
      <c r="X684" s="35" t="str">
        <f>MID(Tabla1[[#This Row],[Aplicación]],14,6)</f>
        <v>634</v>
      </c>
    </row>
    <row r="685" spans="1:24" x14ac:dyDescent="0.25">
      <c r="A685" s="45">
        <v>220210012687</v>
      </c>
      <c r="B685" s="46" t="s">
        <v>9</v>
      </c>
      <c r="C685" s="47">
        <v>44280</v>
      </c>
      <c r="D685" s="45">
        <v>22021003607</v>
      </c>
      <c r="E685" s="46" t="s">
        <v>921</v>
      </c>
      <c r="F685" s="48">
        <v>2303.84</v>
      </c>
      <c r="G685" s="46" t="s">
        <v>223</v>
      </c>
      <c r="H685" s="46" t="s">
        <v>1712</v>
      </c>
      <c r="I685" s="45" t="s">
        <v>125</v>
      </c>
      <c r="J685" s="46" t="s">
        <v>127</v>
      </c>
      <c r="K685" s="46" t="s">
        <v>127</v>
      </c>
      <c r="L685" s="46" t="s">
        <v>12</v>
      </c>
      <c r="M685" s="46" t="s">
        <v>10</v>
      </c>
      <c r="N685" s="46" t="s">
        <v>11</v>
      </c>
      <c r="O685" s="49" t="s">
        <v>815</v>
      </c>
      <c r="P685" s="46" t="s">
        <v>507</v>
      </c>
      <c r="Q685" s="35" t="str">
        <f>MID(Tabla1[[#This Row],[Aplicación]],14,1)</f>
        <v>2</v>
      </c>
      <c r="R685" s="35" t="s">
        <v>495</v>
      </c>
      <c r="S685" s="35" t="str">
        <f>MID(Tabla1[[#This Row],[Aplicación]],6,2)</f>
        <v>04</v>
      </c>
      <c r="T685" s="35" t="str">
        <f>VLOOKUP(Tabla1[[#This Row],[AREA]],Hoja1!A:B,2,FALSE)</f>
        <v>04. Planificación y recursos</v>
      </c>
      <c r="U685" s="35" t="str">
        <f>MID(Tabla1[[#This Row],[Aplicación]],9,4)</f>
        <v>9204</v>
      </c>
      <c r="V685" s="35" t="str">
        <f>VLOOKUP(Tabla1[[#This Row],[PROGRAMA]],Hoja1!A:B,2,FALSE)</f>
        <v>9204. Tecnologías de la información y comunicación</v>
      </c>
      <c r="W685" s="35" t="str">
        <f>MID(Tabla1[[#This Row],[Aplicación]],14,2)</f>
        <v>21</v>
      </c>
      <c r="X685" s="35" t="str">
        <f>MID(Tabla1[[#This Row],[Aplicación]],14,6)</f>
        <v>213</v>
      </c>
    </row>
    <row r="686" spans="1:24" x14ac:dyDescent="0.25">
      <c r="A686" s="45">
        <v>220210004538</v>
      </c>
      <c r="B686" s="46" t="s">
        <v>204</v>
      </c>
      <c r="C686" s="47">
        <v>44246</v>
      </c>
      <c r="D686" s="45">
        <v>22021001275</v>
      </c>
      <c r="E686" s="46" t="s">
        <v>1334</v>
      </c>
      <c r="F686" s="48">
        <v>108.95</v>
      </c>
      <c r="G686" s="46" t="s">
        <v>266</v>
      </c>
      <c r="H686" s="46" t="s">
        <v>1713</v>
      </c>
      <c r="I686" s="45" t="s">
        <v>205</v>
      </c>
      <c r="J686" s="46" t="s">
        <v>127</v>
      </c>
      <c r="K686" s="46" t="s">
        <v>127</v>
      </c>
      <c r="L686" s="46" t="s">
        <v>15</v>
      </c>
      <c r="M686" s="46" t="s">
        <v>13</v>
      </c>
      <c r="N686" s="46" t="s">
        <v>14</v>
      </c>
      <c r="O686" s="49" t="s">
        <v>814</v>
      </c>
      <c r="P686" s="46" t="s">
        <v>507</v>
      </c>
      <c r="Q686" s="35" t="str">
        <f>MID(Tabla1[[#This Row],[Aplicación]],14,1)</f>
        <v>2</v>
      </c>
      <c r="R686" s="35" t="s">
        <v>495</v>
      </c>
      <c r="S686" s="35" t="str">
        <f>MID(Tabla1[[#This Row],[Aplicación]],6,2)</f>
        <v>07</v>
      </c>
      <c r="T686" s="35" t="str">
        <f>VLOOKUP(Tabla1[[#This Row],[AREA]],Hoja1!A:B,2,FALSE)</f>
        <v>07. Medio ambiente y desarrollo sostenible</v>
      </c>
      <c r="U686" s="35" t="str">
        <f>MID(Tabla1[[#This Row],[Aplicación]],9,4)</f>
        <v>1711</v>
      </c>
      <c r="V686" s="35" t="str">
        <f>VLOOKUP(Tabla1[[#This Row],[PROGRAMA]],Hoja1!A:B,2,FALSE)</f>
        <v>1711. Parques y jardines</v>
      </c>
      <c r="W686" s="35" t="str">
        <f>MID(Tabla1[[#This Row],[Aplicación]],14,2)</f>
        <v>22</v>
      </c>
      <c r="X686" s="35" t="str">
        <f>MID(Tabla1[[#This Row],[Aplicación]],14,6)</f>
        <v>22199</v>
      </c>
    </row>
    <row r="687" spans="1:24" x14ac:dyDescent="0.25">
      <c r="A687" s="45">
        <v>220210005484</v>
      </c>
      <c r="B687" s="46" t="s">
        <v>204</v>
      </c>
      <c r="C687" s="47">
        <v>44250</v>
      </c>
      <c r="D687" s="45">
        <v>22021001968</v>
      </c>
      <c r="E687" s="46" t="s">
        <v>1388</v>
      </c>
      <c r="F687" s="48">
        <v>263.31</v>
      </c>
      <c r="G687" s="46" t="s">
        <v>266</v>
      </c>
      <c r="H687" s="46" t="s">
        <v>1714</v>
      </c>
      <c r="I687" s="45" t="s">
        <v>205</v>
      </c>
      <c r="J687" s="46" t="s">
        <v>127</v>
      </c>
      <c r="K687" s="46" t="s">
        <v>127</v>
      </c>
      <c r="L687" s="46" t="s">
        <v>15</v>
      </c>
      <c r="M687" s="46" t="s">
        <v>13</v>
      </c>
      <c r="N687" s="46" t="s">
        <v>14</v>
      </c>
      <c r="O687" s="49" t="s">
        <v>814</v>
      </c>
      <c r="P687" s="46" t="s">
        <v>507</v>
      </c>
      <c r="Q687" s="35" t="str">
        <f>MID(Tabla1[[#This Row],[Aplicación]],14,1)</f>
        <v>2</v>
      </c>
      <c r="R687" s="35" t="s">
        <v>495</v>
      </c>
      <c r="S687" s="35" t="str">
        <f>MID(Tabla1[[#This Row],[Aplicación]],6,2)</f>
        <v>11</v>
      </c>
      <c r="T687" s="35" t="str">
        <f>VLOOKUP(Tabla1[[#This Row],[AREA]],Hoja1!A:B,2,FALSE)</f>
        <v>11. Salud pública y seguridad ciudadana</v>
      </c>
      <c r="U687" s="35" t="str">
        <f>MID(Tabla1[[#This Row],[Aplicación]],9,4)</f>
        <v>1321</v>
      </c>
      <c r="V687" s="35" t="str">
        <f>VLOOKUP(Tabla1[[#This Row],[PROGRAMA]],Hoja1!A:B,2,FALSE)</f>
        <v>1321. Policía municipal</v>
      </c>
      <c r="W687" s="35" t="str">
        <f>MID(Tabla1[[#This Row],[Aplicación]],14,2)</f>
        <v>22</v>
      </c>
      <c r="X687" s="35" t="str">
        <f>MID(Tabla1[[#This Row],[Aplicación]],14,6)</f>
        <v>22199</v>
      </c>
    </row>
    <row r="688" spans="1:24" x14ac:dyDescent="0.25">
      <c r="A688" s="45">
        <v>220210005610</v>
      </c>
      <c r="B688" s="46" t="s">
        <v>204</v>
      </c>
      <c r="C688" s="47">
        <v>44250</v>
      </c>
      <c r="D688" s="45">
        <v>22021002057</v>
      </c>
      <c r="E688" s="46" t="s">
        <v>1715</v>
      </c>
      <c r="F688" s="48">
        <v>34.81</v>
      </c>
      <c r="G688" s="46" t="s">
        <v>266</v>
      </c>
      <c r="H688" s="46" t="s">
        <v>1716</v>
      </c>
      <c r="I688" s="45" t="s">
        <v>205</v>
      </c>
      <c r="J688" s="46" t="s">
        <v>127</v>
      </c>
      <c r="K688" s="46" t="s">
        <v>127</v>
      </c>
      <c r="L688" s="46" t="s">
        <v>15</v>
      </c>
      <c r="M688" s="46" t="s">
        <v>13</v>
      </c>
      <c r="N688" s="46" t="s">
        <v>14</v>
      </c>
      <c r="O688" s="49" t="s">
        <v>814</v>
      </c>
      <c r="P688" s="46" t="s">
        <v>507</v>
      </c>
      <c r="Q688" s="35" t="str">
        <f>MID(Tabla1[[#This Row],[Aplicación]],14,1)</f>
        <v>2</v>
      </c>
      <c r="R688" s="35" t="s">
        <v>495</v>
      </c>
      <c r="S688" s="35" t="str">
        <f>MID(Tabla1[[#This Row],[Aplicación]],6,2)</f>
        <v>11</v>
      </c>
      <c r="T688" s="35" t="str">
        <f>VLOOKUP(Tabla1[[#This Row],[AREA]],Hoja1!A:B,2,FALSE)</f>
        <v>11. Salud pública y seguridad ciudadana</v>
      </c>
      <c r="U688" s="35" t="str">
        <f>MID(Tabla1[[#This Row],[Aplicación]],9,4)</f>
        <v>1631</v>
      </c>
      <c r="V688" s="35" t="str">
        <f>VLOOKUP(Tabla1[[#This Row],[PROGRAMA]],Hoja1!A:B,2,FALSE)</f>
        <v>1631. Limpieza viaria</v>
      </c>
      <c r="W688" s="35" t="str">
        <f>MID(Tabla1[[#This Row],[Aplicación]],14,2)</f>
        <v>22</v>
      </c>
      <c r="X688" s="35" t="str">
        <f>MID(Tabla1[[#This Row],[Aplicación]],14,6)</f>
        <v>22199</v>
      </c>
    </row>
    <row r="689" spans="1:24" x14ac:dyDescent="0.25">
      <c r="A689" s="45">
        <v>220210008783</v>
      </c>
      <c r="B689" s="46" t="s">
        <v>204</v>
      </c>
      <c r="C689" s="47">
        <v>44266</v>
      </c>
      <c r="D689" s="45">
        <v>22021002371</v>
      </c>
      <c r="E689" s="46" t="s">
        <v>1336</v>
      </c>
      <c r="F689" s="48">
        <v>22.43</v>
      </c>
      <c r="G689" s="46" t="s">
        <v>223</v>
      </c>
      <c r="H689" s="46" t="s">
        <v>1717</v>
      </c>
      <c r="I689" s="45" t="s">
        <v>205</v>
      </c>
      <c r="J689" s="46" t="s">
        <v>127</v>
      </c>
      <c r="K689" s="46" t="s">
        <v>127</v>
      </c>
      <c r="L689" s="46" t="s">
        <v>15</v>
      </c>
      <c r="M689" s="46" t="s">
        <v>13</v>
      </c>
      <c r="N689" s="46" t="s">
        <v>14</v>
      </c>
      <c r="O689" s="49" t="s">
        <v>814</v>
      </c>
      <c r="P689" s="46" t="s">
        <v>507</v>
      </c>
      <c r="Q689" s="35" t="str">
        <f>MID(Tabla1[[#This Row],[Aplicación]],14,1)</f>
        <v>2</v>
      </c>
      <c r="R689" s="35" t="s">
        <v>495</v>
      </c>
      <c r="S689" s="35" t="str">
        <f>MID(Tabla1[[#This Row],[Aplicación]],6,2)</f>
        <v>02</v>
      </c>
      <c r="T689" s="35" t="str">
        <f>VLOOKUP(Tabla1[[#This Row],[AREA]],Hoja1!A:B,2,FALSE)</f>
        <v>02. Planeamiento urbanístico y vivienda</v>
      </c>
      <c r="U689" s="35" t="str">
        <f>MID(Tabla1[[#This Row],[Aplicación]],9,4)</f>
        <v>9332</v>
      </c>
      <c r="V689" s="35" t="str">
        <f>VLOOKUP(Tabla1[[#This Row],[PROGRAMA]],Hoja1!A:B,2,FALSE)</f>
        <v>9332. Mantenimiento de edificios e instalaciones municipales</v>
      </c>
      <c r="W689" s="35" t="str">
        <f>MID(Tabla1[[#This Row],[Aplicación]],14,2)</f>
        <v>21</v>
      </c>
      <c r="X689" s="35" t="str">
        <f>MID(Tabla1[[#This Row],[Aplicación]],14,6)</f>
        <v>212</v>
      </c>
    </row>
    <row r="690" spans="1:24" x14ac:dyDescent="0.25">
      <c r="A690" s="45">
        <v>220210000497</v>
      </c>
      <c r="B690" s="46" t="s">
        <v>9</v>
      </c>
      <c r="C690" s="47">
        <v>44221</v>
      </c>
      <c r="D690" s="45">
        <v>22021001280</v>
      </c>
      <c r="E690" s="46" t="s">
        <v>840</v>
      </c>
      <c r="F690" s="48">
        <v>800</v>
      </c>
      <c r="G690" s="46" t="s">
        <v>535</v>
      </c>
      <c r="H690" s="46" t="s">
        <v>1718</v>
      </c>
      <c r="I690" s="45" t="s">
        <v>125</v>
      </c>
      <c r="J690" s="46" t="s">
        <v>127</v>
      </c>
      <c r="K690" s="46" t="s">
        <v>127</v>
      </c>
      <c r="L690" s="46" t="s">
        <v>12</v>
      </c>
      <c r="M690" s="46" t="s">
        <v>10</v>
      </c>
      <c r="N690" s="46" t="s">
        <v>11</v>
      </c>
      <c r="O690" s="49" t="s">
        <v>815</v>
      </c>
      <c r="P690" s="46" t="s">
        <v>507</v>
      </c>
      <c r="Q690" s="35" t="str">
        <f>MID(Tabla1[[#This Row],[Aplicación]],14,1)</f>
        <v>2</v>
      </c>
      <c r="R690" s="35" t="s">
        <v>495</v>
      </c>
      <c r="S690" s="35" t="str">
        <f>MID(Tabla1[[#This Row],[Aplicación]],6,2)</f>
        <v>07</v>
      </c>
      <c r="T690" s="35" t="str">
        <f>VLOOKUP(Tabla1[[#This Row],[AREA]],Hoja1!A:B,2,FALSE)</f>
        <v>07. Medio ambiente y desarrollo sostenible</v>
      </c>
      <c r="U690" s="35" t="str">
        <f>MID(Tabla1[[#This Row],[Aplicación]],9,4)</f>
        <v>1711</v>
      </c>
      <c r="V690" s="35" t="str">
        <f>VLOOKUP(Tabla1[[#This Row],[PROGRAMA]],Hoja1!A:B,2,FALSE)</f>
        <v>1711. Parques y jardines</v>
      </c>
      <c r="W690" s="35" t="str">
        <f>MID(Tabla1[[#This Row],[Aplicación]],14,2)</f>
        <v>22</v>
      </c>
      <c r="X690" s="35" t="str">
        <f>MID(Tabla1[[#This Row],[Aplicación]],14,6)</f>
        <v>22799</v>
      </c>
    </row>
    <row r="691" spans="1:24" x14ac:dyDescent="0.25">
      <c r="A691" s="45">
        <v>220209000306</v>
      </c>
      <c r="B691" s="46" t="s">
        <v>9</v>
      </c>
      <c r="C691" s="47">
        <v>44198</v>
      </c>
      <c r="D691" s="45">
        <v>22021000261</v>
      </c>
      <c r="E691" s="46" t="s">
        <v>890</v>
      </c>
      <c r="F691" s="48">
        <v>77778.8</v>
      </c>
      <c r="G691" s="46" t="s">
        <v>769</v>
      </c>
      <c r="H691" s="46" t="s">
        <v>1719</v>
      </c>
      <c r="I691" s="45" t="s">
        <v>125</v>
      </c>
      <c r="J691" s="46" t="s">
        <v>719</v>
      </c>
      <c r="K691" s="46" t="s">
        <v>126</v>
      </c>
      <c r="L691" s="46" t="s">
        <v>15</v>
      </c>
      <c r="M691" s="46" t="s">
        <v>13</v>
      </c>
      <c r="N691" s="46" t="s">
        <v>14</v>
      </c>
      <c r="O691" s="49" t="s">
        <v>803</v>
      </c>
      <c r="P691" s="46" t="s">
        <v>507</v>
      </c>
      <c r="Q691" s="35" t="str">
        <f>MID(Tabla1[[#This Row],[Aplicación]],14,1)</f>
        <v>2</v>
      </c>
      <c r="R691" s="35" t="s">
        <v>495</v>
      </c>
      <c r="S691" s="35" t="str">
        <f>MID(Tabla1[[#This Row],[Aplicación]],6,2)</f>
        <v>11</v>
      </c>
      <c r="T691" s="35" t="str">
        <f>VLOOKUP(Tabla1[[#This Row],[AREA]],Hoja1!A:B,2,FALSE)</f>
        <v>11. Salud pública y seguridad ciudadana</v>
      </c>
      <c r="U691" s="35" t="str">
        <f>MID(Tabla1[[#This Row],[Aplicación]],9,4)</f>
        <v>1621</v>
      </c>
      <c r="V691" s="35" t="str">
        <f>VLOOKUP(Tabla1[[#This Row],[PROGRAMA]],Hoja1!A:B,2,FALSE)</f>
        <v>1621. Servicio de limpieza</v>
      </c>
      <c r="W691" s="35" t="str">
        <f>MID(Tabla1[[#This Row],[Aplicación]],14,2)</f>
        <v>21</v>
      </c>
      <c r="X691" s="35" t="str">
        <f>MID(Tabla1[[#This Row],[Aplicación]],14,6)</f>
        <v>214</v>
      </c>
    </row>
    <row r="692" spans="1:24" x14ac:dyDescent="0.25">
      <c r="A692" s="45">
        <v>220209000308</v>
      </c>
      <c r="B692" s="46" t="s">
        <v>9</v>
      </c>
      <c r="C692" s="47">
        <v>44198</v>
      </c>
      <c r="D692" s="45">
        <v>22021000262</v>
      </c>
      <c r="E692" s="46" t="s">
        <v>1382</v>
      </c>
      <c r="F692" s="48">
        <v>6050</v>
      </c>
      <c r="G692" s="46" t="s">
        <v>769</v>
      </c>
      <c r="H692" s="46" t="s">
        <v>1720</v>
      </c>
      <c r="I692" s="45" t="s">
        <v>125</v>
      </c>
      <c r="J692" s="46" t="s">
        <v>719</v>
      </c>
      <c r="K692" s="46" t="s">
        <v>126</v>
      </c>
      <c r="L692" s="46" t="s">
        <v>15</v>
      </c>
      <c r="M692" s="46" t="s">
        <v>13</v>
      </c>
      <c r="N692" s="46" t="s">
        <v>14</v>
      </c>
      <c r="O692" s="49" t="s">
        <v>803</v>
      </c>
      <c r="P692" s="46" t="s">
        <v>507</v>
      </c>
      <c r="Q692" s="35" t="str">
        <f>MID(Tabla1[[#This Row],[Aplicación]],14,1)</f>
        <v>2</v>
      </c>
      <c r="R692" s="35" t="s">
        <v>495</v>
      </c>
      <c r="S692" s="35" t="str">
        <f>MID(Tabla1[[#This Row],[Aplicación]],6,2)</f>
        <v>11</v>
      </c>
      <c r="T692" s="35" t="str">
        <f>VLOOKUP(Tabla1[[#This Row],[AREA]],Hoja1!A:B,2,FALSE)</f>
        <v>11. Salud pública y seguridad ciudadana</v>
      </c>
      <c r="U692" s="35" t="str">
        <f>MID(Tabla1[[#This Row],[Aplicación]],9,4)</f>
        <v>1631</v>
      </c>
      <c r="V692" s="35" t="str">
        <f>VLOOKUP(Tabla1[[#This Row],[PROGRAMA]],Hoja1!A:B,2,FALSE)</f>
        <v>1631. Limpieza viaria</v>
      </c>
      <c r="W692" s="35" t="str">
        <f>MID(Tabla1[[#This Row],[Aplicación]],14,2)</f>
        <v>21</v>
      </c>
      <c r="X692" s="35" t="str">
        <f>MID(Tabla1[[#This Row],[Aplicación]],14,6)</f>
        <v>214</v>
      </c>
    </row>
    <row r="693" spans="1:24" x14ac:dyDescent="0.25">
      <c r="A693" s="45">
        <v>220210001389</v>
      </c>
      <c r="B693" s="46" t="s">
        <v>9</v>
      </c>
      <c r="C693" s="47">
        <v>44228</v>
      </c>
      <c r="D693" s="45">
        <v>22021002241</v>
      </c>
      <c r="E693" s="46" t="s">
        <v>926</v>
      </c>
      <c r="F693" s="48">
        <v>1210</v>
      </c>
      <c r="G693" s="46" t="s">
        <v>263</v>
      </c>
      <c r="H693" s="46" t="s">
        <v>1721</v>
      </c>
      <c r="I693" s="45" t="s">
        <v>125</v>
      </c>
      <c r="J693" s="46" t="s">
        <v>127</v>
      </c>
      <c r="K693" s="46" t="s">
        <v>127</v>
      </c>
      <c r="L693" s="46" t="s">
        <v>12</v>
      </c>
      <c r="M693" s="46" t="s">
        <v>10</v>
      </c>
      <c r="N693" s="46" t="s">
        <v>11</v>
      </c>
      <c r="O693" s="49" t="s">
        <v>815</v>
      </c>
      <c r="P693" s="46" t="s">
        <v>507</v>
      </c>
      <c r="Q693" s="35" t="str">
        <f>MID(Tabla1[[#This Row],[Aplicación]],14,1)</f>
        <v>2</v>
      </c>
      <c r="R693" s="35" t="s">
        <v>495</v>
      </c>
      <c r="S693" s="35" t="str">
        <f>MID(Tabla1[[#This Row],[Aplicación]],6,2)</f>
        <v>08</v>
      </c>
      <c r="T693" s="35" t="str">
        <f>VLOOKUP(Tabla1[[#This Row],[AREA]],Hoja1!A:B,2,FALSE)</f>
        <v>08. Movilidad y espacio urbano</v>
      </c>
      <c r="U693" s="35" t="str">
        <f>MID(Tabla1[[#This Row],[Aplicación]],9,4)</f>
        <v>1532</v>
      </c>
      <c r="V693" s="35" t="str">
        <f>VLOOKUP(Tabla1[[#This Row],[PROGRAMA]],Hoja1!A:B,2,FALSE)</f>
        <v>1532. Pavimentación vias públicas y otros servicios urbanísticos</v>
      </c>
      <c r="W693" s="35" t="str">
        <f>MID(Tabla1[[#This Row],[Aplicación]],14,2)</f>
        <v>21</v>
      </c>
      <c r="X693" s="35" t="str">
        <f>MID(Tabla1[[#This Row],[Aplicación]],14,6)</f>
        <v>213</v>
      </c>
    </row>
    <row r="694" spans="1:24" x14ac:dyDescent="0.25">
      <c r="A694" s="45">
        <v>220210010231</v>
      </c>
      <c r="B694" s="46" t="s">
        <v>9</v>
      </c>
      <c r="C694" s="47">
        <v>44273</v>
      </c>
      <c r="D694" s="45">
        <v>22021003467</v>
      </c>
      <c r="E694" s="46" t="s">
        <v>983</v>
      </c>
      <c r="F694" s="48">
        <v>85.18</v>
      </c>
      <c r="G694" s="46" t="s">
        <v>263</v>
      </c>
      <c r="H694" s="46" t="s">
        <v>1722</v>
      </c>
      <c r="I694" s="45" t="s">
        <v>125</v>
      </c>
      <c r="J694" s="46" t="s">
        <v>127</v>
      </c>
      <c r="K694" s="46" t="s">
        <v>127</v>
      </c>
      <c r="L694" s="46" t="s">
        <v>12</v>
      </c>
      <c r="M694" s="46" t="s">
        <v>10</v>
      </c>
      <c r="N694" s="46" t="s">
        <v>11</v>
      </c>
      <c r="O694" s="49" t="s">
        <v>815</v>
      </c>
      <c r="P694" s="46" t="s">
        <v>507</v>
      </c>
      <c r="Q694" s="35" t="str">
        <f>MID(Tabla1[[#This Row],[Aplicación]],14,1)</f>
        <v>2</v>
      </c>
      <c r="R694" s="35" t="s">
        <v>495</v>
      </c>
      <c r="S694" s="35" t="str">
        <f>MID(Tabla1[[#This Row],[Aplicación]],6,2)</f>
        <v>10</v>
      </c>
      <c r="T694" s="35" t="str">
        <f>VLOOKUP(Tabla1[[#This Row],[AREA]],Hoja1!A:B,2,FALSE)</f>
        <v>10. Servicios sociales y mediación comunitaria</v>
      </c>
      <c r="U694" s="35" t="str">
        <f>MID(Tabla1[[#This Row],[Aplicación]],9,4)</f>
        <v>2412</v>
      </c>
      <c r="V694" s="35" t="str">
        <f>VLOOKUP(Tabla1[[#This Row],[PROGRAMA]],Hoja1!A:B,2,FALSE)</f>
        <v>2412. Formación para el empleo</v>
      </c>
      <c r="W694" s="35" t="str">
        <f>MID(Tabla1[[#This Row],[Aplicación]],14,2)</f>
        <v>21</v>
      </c>
      <c r="X694" s="35" t="str">
        <f>MID(Tabla1[[#This Row],[Aplicación]],14,6)</f>
        <v>213</v>
      </c>
    </row>
    <row r="695" spans="1:24" x14ac:dyDescent="0.25">
      <c r="A695" s="45">
        <v>220210003250</v>
      </c>
      <c r="B695" s="46" t="s">
        <v>204</v>
      </c>
      <c r="C695" s="47">
        <v>44239</v>
      </c>
      <c r="D695" s="45">
        <v>22021002088</v>
      </c>
      <c r="E695" s="46" t="s">
        <v>1478</v>
      </c>
      <c r="F695" s="48">
        <v>41.59</v>
      </c>
      <c r="G695" s="46" t="s">
        <v>263</v>
      </c>
      <c r="H695" s="46" t="s">
        <v>1723</v>
      </c>
      <c r="I695" s="45" t="s">
        <v>205</v>
      </c>
      <c r="J695" s="46" t="s">
        <v>127</v>
      </c>
      <c r="K695" s="46" t="s">
        <v>127</v>
      </c>
      <c r="L695" s="46" t="s">
        <v>15</v>
      </c>
      <c r="M695" s="46" t="s">
        <v>13</v>
      </c>
      <c r="N695" s="46" t="s">
        <v>16</v>
      </c>
      <c r="O695" s="49" t="s">
        <v>814</v>
      </c>
      <c r="P695" s="46" t="s">
        <v>507</v>
      </c>
      <c r="Q695" s="35" t="str">
        <f>MID(Tabla1[[#This Row],[Aplicación]],14,1)</f>
        <v>2</v>
      </c>
      <c r="R695" s="35" t="s">
        <v>495</v>
      </c>
      <c r="S695" s="35" t="str">
        <f>MID(Tabla1[[#This Row],[Aplicación]],6,2)</f>
        <v>03</v>
      </c>
      <c r="T695" s="35" t="str">
        <f>VLOOKUP(Tabla1[[#This Row],[AREA]],Hoja1!A:B,2,FALSE)</f>
        <v>03. Participación ciudadana y deportes</v>
      </c>
      <c r="U695" s="35" t="str">
        <f>MID(Tabla1[[#This Row],[Aplicación]],9,4)</f>
        <v>9241</v>
      </c>
      <c r="V695" s="35" t="str">
        <f>VLOOKUP(Tabla1[[#This Row],[PROGRAMA]],Hoja1!A:B,2,FALSE)</f>
        <v>9241. Participación ciudadana</v>
      </c>
      <c r="W695" s="35" t="str">
        <f>MID(Tabla1[[#This Row],[Aplicación]],14,2)</f>
        <v>21</v>
      </c>
      <c r="X695" s="35" t="str">
        <f>MID(Tabla1[[#This Row],[Aplicación]],14,6)</f>
        <v>212</v>
      </c>
    </row>
    <row r="696" spans="1:24" x14ac:dyDescent="0.25">
      <c r="A696" s="45">
        <v>220210004536</v>
      </c>
      <c r="B696" s="46" t="s">
        <v>204</v>
      </c>
      <c r="C696" s="47">
        <v>44246</v>
      </c>
      <c r="D696" s="45">
        <v>22021002449</v>
      </c>
      <c r="E696" s="46" t="s">
        <v>1724</v>
      </c>
      <c r="F696" s="48">
        <v>7089.31</v>
      </c>
      <c r="G696" s="46" t="s">
        <v>263</v>
      </c>
      <c r="H696" s="46" t="s">
        <v>1725</v>
      </c>
      <c r="I696" s="45" t="s">
        <v>205</v>
      </c>
      <c r="J696" s="46" t="s">
        <v>127</v>
      </c>
      <c r="K696" s="46" t="s">
        <v>127</v>
      </c>
      <c r="L696" s="46" t="s">
        <v>15</v>
      </c>
      <c r="M696" s="46" t="s">
        <v>13</v>
      </c>
      <c r="N696" s="46" t="s">
        <v>14</v>
      </c>
      <c r="O696" s="49" t="s">
        <v>814</v>
      </c>
      <c r="P696" s="46" t="s">
        <v>507</v>
      </c>
      <c r="Q696" s="35" t="str">
        <f>MID(Tabla1[[#This Row],[Aplicación]],14,1)</f>
        <v>6</v>
      </c>
      <c r="R696" s="35" t="s">
        <v>496</v>
      </c>
      <c r="S696" s="35" t="str">
        <f>MID(Tabla1[[#This Row],[Aplicación]],6,2)</f>
        <v>07</v>
      </c>
      <c r="T696" s="35" t="str">
        <f>VLOOKUP(Tabla1[[#This Row],[AREA]],Hoja1!A:B,2,FALSE)</f>
        <v>07. Medio ambiente y desarrollo sostenible</v>
      </c>
      <c r="U696" s="35" t="str">
        <f>MID(Tabla1[[#This Row],[Aplicación]],9,4)</f>
        <v>1711</v>
      </c>
      <c r="V696" s="35" t="str">
        <f>VLOOKUP(Tabla1[[#This Row],[PROGRAMA]],Hoja1!A:B,2,FALSE)</f>
        <v>1711. Parques y jardines</v>
      </c>
      <c r="W696" s="35" t="str">
        <f>MID(Tabla1[[#This Row],[Aplicación]],14,2)</f>
        <v>61</v>
      </c>
      <c r="X696" s="35" t="str">
        <f>MID(Tabla1[[#This Row],[Aplicación]],14,6)</f>
        <v>619</v>
      </c>
    </row>
    <row r="697" spans="1:24" x14ac:dyDescent="0.25">
      <c r="A697" s="45">
        <v>220210004563</v>
      </c>
      <c r="B697" s="46" t="s">
        <v>204</v>
      </c>
      <c r="C697" s="47">
        <v>44246</v>
      </c>
      <c r="D697" s="45">
        <v>22021002449</v>
      </c>
      <c r="E697" s="46" t="s">
        <v>1724</v>
      </c>
      <c r="F697" s="48">
        <v>1041.04</v>
      </c>
      <c r="G697" s="46" t="s">
        <v>263</v>
      </c>
      <c r="H697" s="46" t="s">
        <v>1725</v>
      </c>
      <c r="I697" s="45" t="s">
        <v>205</v>
      </c>
      <c r="J697" s="46" t="s">
        <v>127</v>
      </c>
      <c r="K697" s="46" t="s">
        <v>127</v>
      </c>
      <c r="L697" s="46" t="s">
        <v>15</v>
      </c>
      <c r="M697" s="46" t="s">
        <v>13</v>
      </c>
      <c r="N697" s="46" t="s">
        <v>14</v>
      </c>
      <c r="O697" s="49" t="s">
        <v>814</v>
      </c>
      <c r="P697" s="46" t="s">
        <v>507</v>
      </c>
      <c r="Q697" s="35" t="str">
        <f>MID(Tabla1[[#This Row],[Aplicación]],14,1)</f>
        <v>6</v>
      </c>
      <c r="R697" s="35" t="s">
        <v>496</v>
      </c>
      <c r="S697" s="35" t="str">
        <f>MID(Tabla1[[#This Row],[Aplicación]],6,2)</f>
        <v>07</v>
      </c>
      <c r="T697" s="35" t="str">
        <f>VLOOKUP(Tabla1[[#This Row],[AREA]],Hoja1!A:B,2,FALSE)</f>
        <v>07. Medio ambiente y desarrollo sostenible</v>
      </c>
      <c r="U697" s="35" t="str">
        <f>MID(Tabla1[[#This Row],[Aplicación]],9,4)</f>
        <v>1711</v>
      </c>
      <c r="V697" s="35" t="str">
        <f>VLOOKUP(Tabla1[[#This Row],[PROGRAMA]],Hoja1!A:B,2,FALSE)</f>
        <v>1711. Parques y jardines</v>
      </c>
      <c r="W697" s="35" t="str">
        <f>MID(Tabla1[[#This Row],[Aplicación]],14,2)</f>
        <v>61</v>
      </c>
      <c r="X697" s="35" t="str">
        <f>MID(Tabla1[[#This Row],[Aplicación]],14,6)</f>
        <v>619</v>
      </c>
    </row>
    <row r="698" spans="1:24" x14ac:dyDescent="0.25">
      <c r="A698" s="45">
        <v>220210005198</v>
      </c>
      <c r="B698" s="46" t="s">
        <v>204</v>
      </c>
      <c r="C698" s="47">
        <v>44249</v>
      </c>
      <c r="D698" s="45">
        <v>22021001181</v>
      </c>
      <c r="E698" s="46" t="s">
        <v>873</v>
      </c>
      <c r="F698" s="48">
        <v>131.24</v>
      </c>
      <c r="G698" s="46" t="s">
        <v>263</v>
      </c>
      <c r="H698" s="46" t="s">
        <v>1726</v>
      </c>
      <c r="I698" s="45" t="s">
        <v>205</v>
      </c>
      <c r="J698" s="46" t="s">
        <v>127</v>
      </c>
      <c r="K698" s="46" t="s">
        <v>127</v>
      </c>
      <c r="L698" s="46" t="s">
        <v>15</v>
      </c>
      <c r="M698" s="46" t="s">
        <v>13</v>
      </c>
      <c r="N698" s="46" t="s">
        <v>14</v>
      </c>
      <c r="O698" s="49" t="s">
        <v>814</v>
      </c>
      <c r="P698" s="46" t="s">
        <v>507</v>
      </c>
      <c r="Q698" s="35" t="str">
        <f>MID(Tabla1[[#This Row],[Aplicación]],14,1)</f>
        <v>2</v>
      </c>
      <c r="R698" s="35" t="s">
        <v>495</v>
      </c>
      <c r="S698" s="35" t="str">
        <f>MID(Tabla1[[#This Row],[Aplicación]],6,2)</f>
        <v>10</v>
      </c>
      <c r="T698" s="35" t="str">
        <f>VLOOKUP(Tabla1[[#This Row],[AREA]],Hoja1!A:B,2,FALSE)</f>
        <v>10. Servicios sociales y mediación comunitaria</v>
      </c>
      <c r="U698" s="35" t="str">
        <f>MID(Tabla1[[#This Row],[Aplicación]],9,4)</f>
        <v>2412</v>
      </c>
      <c r="V698" s="35" t="str">
        <f>VLOOKUP(Tabla1[[#This Row],[PROGRAMA]],Hoja1!A:B,2,FALSE)</f>
        <v>2412. Formación para el empleo</v>
      </c>
      <c r="W698" s="35" t="str">
        <f>MID(Tabla1[[#This Row],[Aplicación]],14,2)</f>
        <v>22</v>
      </c>
      <c r="X698" s="35" t="str">
        <f>MID(Tabla1[[#This Row],[Aplicación]],14,6)</f>
        <v>22199</v>
      </c>
    </row>
    <row r="699" spans="1:24" x14ac:dyDescent="0.25">
      <c r="A699" s="45">
        <v>220210005200</v>
      </c>
      <c r="B699" s="46" t="s">
        <v>204</v>
      </c>
      <c r="C699" s="47">
        <v>44249</v>
      </c>
      <c r="D699" s="45">
        <v>22021001181</v>
      </c>
      <c r="E699" s="46" t="s">
        <v>873</v>
      </c>
      <c r="F699" s="48">
        <v>2.5</v>
      </c>
      <c r="G699" s="46" t="s">
        <v>263</v>
      </c>
      <c r="H699" s="46" t="s">
        <v>1727</v>
      </c>
      <c r="I699" s="45" t="s">
        <v>205</v>
      </c>
      <c r="J699" s="46" t="s">
        <v>127</v>
      </c>
      <c r="K699" s="46" t="s">
        <v>127</v>
      </c>
      <c r="L699" s="46" t="s">
        <v>15</v>
      </c>
      <c r="M699" s="46" t="s">
        <v>13</v>
      </c>
      <c r="N699" s="46" t="s">
        <v>14</v>
      </c>
      <c r="O699" s="49" t="s">
        <v>814</v>
      </c>
      <c r="P699" s="46" t="s">
        <v>507</v>
      </c>
      <c r="Q699" s="35" t="str">
        <f>MID(Tabla1[[#This Row],[Aplicación]],14,1)</f>
        <v>2</v>
      </c>
      <c r="R699" s="35" t="s">
        <v>495</v>
      </c>
      <c r="S699" s="35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35" t="str">
        <f>MID(Tabla1[[#This Row],[Aplicación]],9,4)</f>
        <v>2412</v>
      </c>
      <c r="V699" s="35" t="str">
        <f>VLOOKUP(Tabla1[[#This Row],[PROGRAMA]],Hoja1!A:B,2,FALSE)</f>
        <v>2412. Formación para el empleo</v>
      </c>
      <c r="W699" s="35" t="str">
        <f>MID(Tabla1[[#This Row],[Aplicación]],14,2)</f>
        <v>22</v>
      </c>
      <c r="X699" s="35" t="str">
        <f>MID(Tabla1[[#This Row],[Aplicación]],14,6)</f>
        <v>22199</v>
      </c>
    </row>
    <row r="700" spans="1:24" x14ac:dyDescent="0.25">
      <c r="A700" s="45">
        <v>220210005202</v>
      </c>
      <c r="B700" s="46" t="s">
        <v>204</v>
      </c>
      <c r="C700" s="47">
        <v>44249</v>
      </c>
      <c r="D700" s="45">
        <v>22021001181</v>
      </c>
      <c r="E700" s="46" t="s">
        <v>873</v>
      </c>
      <c r="F700" s="48">
        <v>29.71</v>
      </c>
      <c r="G700" s="46" t="s">
        <v>263</v>
      </c>
      <c r="H700" s="46" t="s">
        <v>1728</v>
      </c>
      <c r="I700" s="45" t="s">
        <v>205</v>
      </c>
      <c r="J700" s="46" t="s">
        <v>127</v>
      </c>
      <c r="K700" s="46" t="s">
        <v>127</v>
      </c>
      <c r="L700" s="46" t="s">
        <v>15</v>
      </c>
      <c r="M700" s="46" t="s">
        <v>13</v>
      </c>
      <c r="N700" s="46" t="s">
        <v>14</v>
      </c>
      <c r="O700" s="49" t="s">
        <v>814</v>
      </c>
      <c r="P700" s="46" t="s">
        <v>507</v>
      </c>
      <c r="Q700" s="35" t="str">
        <f>MID(Tabla1[[#This Row],[Aplicación]],14,1)</f>
        <v>2</v>
      </c>
      <c r="R700" s="35" t="s">
        <v>495</v>
      </c>
      <c r="S700" s="35" t="str">
        <f>MID(Tabla1[[#This Row],[Aplicación]],6,2)</f>
        <v>10</v>
      </c>
      <c r="T700" s="35" t="str">
        <f>VLOOKUP(Tabla1[[#This Row],[AREA]],Hoja1!A:B,2,FALSE)</f>
        <v>10. Servicios sociales y mediación comunitaria</v>
      </c>
      <c r="U700" s="35" t="str">
        <f>MID(Tabla1[[#This Row],[Aplicación]],9,4)</f>
        <v>2412</v>
      </c>
      <c r="V700" s="35" t="str">
        <f>VLOOKUP(Tabla1[[#This Row],[PROGRAMA]],Hoja1!A:B,2,FALSE)</f>
        <v>2412. Formación para el empleo</v>
      </c>
      <c r="W700" s="35" t="str">
        <f>MID(Tabla1[[#This Row],[Aplicación]],14,2)</f>
        <v>22</v>
      </c>
      <c r="X700" s="35" t="str">
        <f>MID(Tabla1[[#This Row],[Aplicación]],14,6)</f>
        <v>22199</v>
      </c>
    </row>
    <row r="701" spans="1:24" x14ac:dyDescent="0.25">
      <c r="A701" s="45">
        <v>220210005495</v>
      </c>
      <c r="B701" s="46" t="s">
        <v>204</v>
      </c>
      <c r="C701" s="47">
        <v>44250</v>
      </c>
      <c r="D701" s="45">
        <v>22021001968</v>
      </c>
      <c r="E701" s="46" t="s">
        <v>1388</v>
      </c>
      <c r="F701" s="48">
        <v>12.55</v>
      </c>
      <c r="G701" s="46" t="s">
        <v>263</v>
      </c>
      <c r="H701" s="46" t="s">
        <v>1729</v>
      </c>
      <c r="I701" s="45" t="s">
        <v>205</v>
      </c>
      <c r="J701" s="46" t="s">
        <v>127</v>
      </c>
      <c r="K701" s="46" t="s">
        <v>127</v>
      </c>
      <c r="L701" s="46" t="s">
        <v>15</v>
      </c>
      <c r="M701" s="46" t="s">
        <v>13</v>
      </c>
      <c r="N701" s="46" t="s">
        <v>14</v>
      </c>
      <c r="O701" s="49" t="s">
        <v>814</v>
      </c>
      <c r="P701" s="46" t="s">
        <v>507</v>
      </c>
      <c r="Q701" s="35" t="str">
        <f>MID(Tabla1[[#This Row],[Aplicación]],14,1)</f>
        <v>2</v>
      </c>
      <c r="R701" s="35" t="s">
        <v>495</v>
      </c>
      <c r="S701" s="35" t="str">
        <f>MID(Tabla1[[#This Row],[Aplicación]],6,2)</f>
        <v>11</v>
      </c>
      <c r="T701" s="35" t="str">
        <f>VLOOKUP(Tabla1[[#This Row],[AREA]],Hoja1!A:B,2,FALSE)</f>
        <v>11. Salud pública y seguridad ciudadana</v>
      </c>
      <c r="U701" s="35" t="str">
        <f>MID(Tabla1[[#This Row],[Aplicación]],9,4)</f>
        <v>1321</v>
      </c>
      <c r="V701" s="35" t="str">
        <f>VLOOKUP(Tabla1[[#This Row],[PROGRAMA]],Hoja1!A:B,2,FALSE)</f>
        <v>1321. Policía municipal</v>
      </c>
      <c r="W701" s="35" t="str">
        <f>MID(Tabla1[[#This Row],[Aplicación]],14,2)</f>
        <v>22</v>
      </c>
      <c r="X701" s="35" t="str">
        <f>MID(Tabla1[[#This Row],[Aplicación]],14,6)</f>
        <v>22199</v>
      </c>
    </row>
    <row r="702" spans="1:24" x14ac:dyDescent="0.25">
      <c r="A702" s="45">
        <v>220210005497</v>
      </c>
      <c r="B702" s="46" t="s">
        <v>204</v>
      </c>
      <c r="C702" s="47">
        <v>44250</v>
      </c>
      <c r="D702" s="45">
        <v>22021001968</v>
      </c>
      <c r="E702" s="46" t="s">
        <v>1388</v>
      </c>
      <c r="F702" s="48">
        <v>2.3199999999999998</v>
      </c>
      <c r="G702" s="46" t="s">
        <v>263</v>
      </c>
      <c r="H702" s="46" t="s">
        <v>1730</v>
      </c>
      <c r="I702" s="45" t="s">
        <v>205</v>
      </c>
      <c r="J702" s="46" t="s">
        <v>127</v>
      </c>
      <c r="K702" s="46" t="s">
        <v>127</v>
      </c>
      <c r="L702" s="46" t="s">
        <v>15</v>
      </c>
      <c r="M702" s="46" t="s">
        <v>13</v>
      </c>
      <c r="N702" s="46" t="s">
        <v>14</v>
      </c>
      <c r="O702" s="49" t="s">
        <v>814</v>
      </c>
      <c r="P702" s="46" t="s">
        <v>507</v>
      </c>
      <c r="Q702" s="35" t="str">
        <f>MID(Tabla1[[#This Row],[Aplicación]],14,1)</f>
        <v>2</v>
      </c>
      <c r="R702" s="35" t="s">
        <v>495</v>
      </c>
      <c r="S702" s="35" t="str">
        <f>MID(Tabla1[[#This Row],[Aplicación]],6,2)</f>
        <v>11</v>
      </c>
      <c r="T702" s="35" t="str">
        <f>VLOOKUP(Tabla1[[#This Row],[AREA]],Hoja1!A:B,2,FALSE)</f>
        <v>11. Salud pública y seguridad ciudadana</v>
      </c>
      <c r="U702" s="35" t="str">
        <f>MID(Tabla1[[#This Row],[Aplicación]],9,4)</f>
        <v>1321</v>
      </c>
      <c r="V702" s="35" t="str">
        <f>VLOOKUP(Tabla1[[#This Row],[PROGRAMA]],Hoja1!A:B,2,FALSE)</f>
        <v>1321. Policía municipal</v>
      </c>
      <c r="W702" s="35" t="str">
        <f>MID(Tabla1[[#This Row],[Aplicación]],14,2)</f>
        <v>22</v>
      </c>
      <c r="X702" s="35" t="str">
        <f>MID(Tabla1[[#This Row],[Aplicación]],14,6)</f>
        <v>22199</v>
      </c>
    </row>
    <row r="703" spans="1:24" x14ac:dyDescent="0.25">
      <c r="A703" s="45">
        <v>220210005560</v>
      </c>
      <c r="B703" s="46" t="s">
        <v>204</v>
      </c>
      <c r="C703" s="47">
        <v>44250</v>
      </c>
      <c r="D703" s="45">
        <v>22021002132</v>
      </c>
      <c r="E703" s="46" t="s">
        <v>1180</v>
      </c>
      <c r="F703" s="48">
        <v>555.75</v>
      </c>
      <c r="G703" s="46" t="s">
        <v>263</v>
      </c>
      <c r="H703" s="46" t="s">
        <v>1731</v>
      </c>
      <c r="I703" s="45" t="s">
        <v>205</v>
      </c>
      <c r="J703" s="46" t="s">
        <v>127</v>
      </c>
      <c r="K703" s="46" t="s">
        <v>127</v>
      </c>
      <c r="L703" s="46" t="s">
        <v>15</v>
      </c>
      <c r="M703" s="46" t="s">
        <v>13</v>
      </c>
      <c r="N703" s="46" t="s">
        <v>14</v>
      </c>
      <c r="O703" s="49" t="s">
        <v>814</v>
      </c>
      <c r="P703" s="46" t="s">
        <v>507</v>
      </c>
      <c r="Q703" s="35" t="str">
        <f>MID(Tabla1[[#This Row],[Aplicación]],14,1)</f>
        <v>2</v>
      </c>
      <c r="R703" s="35" t="s">
        <v>495</v>
      </c>
      <c r="S703" s="35" t="str">
        <f>MID(Tabla1[[#This Row],[Aplicación]],6,2)</f>
        <v>08</v>
      </c>
      <c r="T703" s="35" t="str">
        <f>VLOOKUP(Tabla1[[#This Row],[AREA]],Hoja1!A:B,2,FALSE)</f>
        <v>08. Movilidad y espacio urbano</v>
      </c>
      <c r="U703" s="35" t="str">
        <f>MID(Tabla1[[#This Row],[Aplicación]],9,4)</f>
        <v>1532</v>
      </c>
      <c r="V703" s="35" t="str">
        <f>VLOOKUP(Tabla1[[#This Row],[PROGRAMA]],Hoja1!A:B,2,FALSE)</f>
        <v>1532. Pavimentación vias públicas y otros servicios urbanísticos</v>
      </c>
      <c r="W703" s="35" t="str">
        <f>MID(Tabla1[[#This Row],[Aplicación]],14,2)</f>
        <v>21</v>
      </c>
      <c r="X703" s="35" t="str">
        <f>MID(Tabla1[[#This Row],[Aplicación]],14,6)</f>
        <v>210</v>
      </c>
    </row>
    <row r="704" spans="1:24" x14ac:dyDescent="0.25">
      <c r="A704" s="45">
        <v>220210005594</v>
      </c>
      <c r="B704" s="46" t="s">
        <v>204</v>
      </c>
      <c r="C704" s="47">
        <v>44250</v>
      </c>
      <c r="D704" s="45">
        <v>22021002057</v>
      </c>
      <c r="E704" s="46" t="s">
        <v>1715</v>
      </c>
      <c r="F704" s="48">
        <v>5.3</v>
      </c>
      <c r="G704" s="46" t="s">
        <v>263</v>
      </c>
      <c r="H704" s="46" t="s">
        <v>1732</v>
      </c>
      <c r="I704" s="45" t="s">
        <v>205</v>
      </c>
      <c r="J704" s="46" t="s">
        <v>127</v>
      </c>
      <c r="K704" s="46" t="s">
        <v>127</v>
      </c>
      <c r="L704" s="46" t="s">
        <v>15</v>
      </c>
      <c r="M704" s="46" t="s">
        <v>13</v>
      </c>
      <c r="N704" s="46" t="s">
        <v>14</v>
      </c>
      <c r="O704" s="49" t="s">
        <v>814</v>
      </c>
      <c r="P704" s="46" t="s">
        <v>507</v>
      </c>
      <c r="Q704" s="35" t="str">
        <f>MID(Tabla1[[#This Row],[Aplicación]],14,1)</f>
        <v>2</v>
      </c>
      <c r="R704" s="35" t="s">
        <v>495</v>
      </c>
      <c r="S704" s="35" t="str">
        <f>MID(Tabla1[[#This Row],[Aplicación]],6,2)</f>
        <v>11</v>
      </c>
      <c r="T704" s="35" t="str">
        <f>VLOOKUP(Tabla1[[#This Row],[AREA]],Hoja1!A:B,2,FALSE)</f>
        <v>11. Salud pública y seguridad ciudadana</v>
      </c>
      <c r="U704" s="35" t="str">
        <f>MID(Tabla1[[#This Row],[Aplicación]],9,4)</f>
        <v>1631</v>
      </c>
      <c r="V704" s="35" t="str">
        <f>VLOOKUP(Tabla1[[#This Row],[PROGRAMA]],Hoja1!A:B,2,FALSE)</f>
        <v>1631. Limpieza viaria</v>
      </c>
      <c r="W704" s="35" t="str">
        <f>MID(Tabla1[[#This Row],[Aplicación]],14,2)</f>
        <v>22</v>
      </c>
      <c r="X704" s="35" t="str">
        <f>MID(Tabla1[[#This Row],[Aplicación]],14,6)</f>
        <v>22199</v>
      </c>
    </row>
    <row r="705" spans="1:24" x14ac:dyDescent="0.25">
      <c r="A705" s="45">
        <v>220210005606</v>
      </c>
      <c r="B705" s="46" t="s">
        <v>204</v>
      </c>
      <c r="C705" s="47">
        <v>44250</v>
      </c>
      <c r="D705" s="45">
        <v>22021002054</v>
      </c>
      <c r="E705" s="46" t="s">
        <v>1382</v>
      </c>
      <c r="F705" s="48">
        <v>87.94</v>
      </c>
      <c r="G705" s="46" t="s">
        <v>263</v>
      </c>
      <c r="H705" s="46" t="s">
        <v>1733</v>
      </c>
      <c r="I705" s="45" t="s">
        <v>205</v>
      </c>
      <c r="J705" s="46" t="s">
        <v>127</v>
      </c>
      <c r="K705" s="46" t="s">
        <v>127</v>
      </c>
      <c r="L705" s="46" t="s">
        <v>15</v>
      </c>
      <c r="M705" s="46" t="s">
        <v>13</v>
      </c>
      <c r="N705" s="46" t="s">
        <v>14</v>
      </c>
      <c r="O705" s="49" t="s">
        <v>814</v>
      </c>
      <c r="P705" s="46" t="s">
        <v>507</v>
      </c>
      <c r="Q705" s="35" t="str">
        <f>MID(Tabla1[[#This Row],[Aplicación]],14,1)</f>
        <v>2</v>
      </c>
      <c r="R705" s="35" t="s">
        <v>495</v>
      </c>
      <c r="S705" s="35" t="str">
        <f>MID(Tabla1[[#This Row],[Aplicación]],6,2)</f>
        <v>11</v>
      </c>
      <c r="T705" s="35" t="str">
        <f>VLOOKUP(Tabla1[[#This Row],[AREA]],Hoja1!A:B,2,FALSE)</f>
        <v>11. Salud pública y seguridad ciudadana</v>
      </c>
      <c r="U705" s="35" t="str">
        <f>MID(Tabla1[[#This Row],[Aplicación]],9,4)</f>
        <v>1631</v>
      </c>
      <c r="V705" s="35" t="str">
        <f>VLOOKUP(Tabla1[[#This Row],[PROGRAMA]],Hoja1!A:B,2,FALSE)</f>
        <v>1631. Limpieza viaria</v>
      </c>
      <c r="W705" s="35" t="str">
        <f>MID(Tabla1[[#This Row],[Aplicación]],14,2)</f>
        <v>21</v>
      </c>
      <c r="X705" s="35" t="str">
        <f>MID(Tabla1[[#This Row],[Aplicación]],14,6)</f>
        <v>214</v>
      </c>
    </row>
    <row r="706" spans="1:24" x14ac:dyDescent="0.25">
      <c r="A706" s="45">
        <v>220210005608</v>
      </c>
      <c r="B706" s="46" t="s">
        <v>204</v>
      </c>
      <c r="C706" s="47">
        <v>44250</v>
      </c>
      <c r="D706" s="45">
        <v>22021002054</v>
      </c>
      <c r="E706" s="46" t="s">
        <v>1382</v>
      </c>
      <c r="F706" s="48">
        <v>44.56</v>
      </c>
      <c r="G706" s="46" t="s">
        <v>263</v>
      </c>
      <c r="H706" s="46" t="s">
        <v>1734</v>
      </c>
      <c r="I706" s="45" t="s">
        <v>205</v>
      </c>
      <c r="J706" s="46" t="s">
        <v>127</v>
      </c>
      <c r="K706" s="46" t="s">
        <v>127</v>
      </c>
      <c r="L706" s="46" t="s">
        <v>15</v>
      </c>
      <c r="M706" s="46" t="s">
        <v>13</v>
      </c>
      <c r="N706" s="46" t="s">
        <v>14</v>
      </c>
      <c r="O706" s="49" t="s">
        <v>814</v>
      </c>
      <c r="P706" s="46" t="s">
        <v>507</v>
      </c>
      <c r="Q706" s="35" t="str">
        <f>MID(Tabla1[[#This Row],[Aplicación]],14,1)</f>
        <v>2</v>
      </c>
      <c r="R706" s="35" t="s">
        <v>495</v>
      </c>
      <c r="S706" s="35" t="str">
        <f>MID(Tabla1[[#This Row],[Aplicación]],6,2)</f>
        <v>11</v>
      </c>
      <c r="T706" s="35" t="str">
        <f>VLOOKUP(Tabla1[[#This Row],[AREA]],Hoja1!A:B,2,FALSE)</f>
        <v>11. Salud pública y seguridad ciudadana</v>
      </c>
      <c r="U706" s="35" t="str">
        <f>MID(Tabla1[[#This Row],[Aplicación]],9,4)</f>
        <v>1631</v>
      </c>
      <c r="V706" s="35" t="str">
        <f>VLOOKUP(Tabla1[[#This Row],[PROGRAMA]],Hoja1!A:B,2,FALSE)</f>
        <v>1631. Limpieza viaria</v>
      </c>
      <c r="W706" s="35" t="str">
        <f>MID(Tabla1[[#This Row],[Aplicación]],14,2)</f>
        <v>21</v>
      </c>
      <c r="X706" s="35" t="str">
        <f>MID(Tabla1[[#This Row],[Aplicación]],14,6)</f>
        <v>214</v>
      </c>
    </row>
    <row r="707" spans="1:24" x14ac:dyDescent="0.25">
      <c r="A707" s="45">
        <v>220210005618</v>
      </c>
      <c r="B707" s="46" t="s">
        <v>204</v>
      </c>
      <c r="C707" s="47">
        <v>44250</v>
      </c>
      <c r="D707" s="45">
        <v>22021002054</v>
      </c>
      <c r="E707" s="46" t="s">
        <v>1382</v>
      </c>
      <c r="F707" s="48">
        <v>571.94000000000005</v>
      </c>
      <c r="G707" s="46" t="s">
        <v>263</v>
      </c>
      <c r="H707" s="46" t="s">
        <v>1735</v>
      </c>
      <c r="I707" s="45" t="s">
        <v>205</v>
      </c>
      <c r="J707" s="46" t="s">
        <v>127</v>
      </c>
      <c r="K707" s="46" t="s">
        <v>127</v>
      </c>
      <c r="L707" s="46" t="s">
        <v>15</v>
      </c>
      <c r="M707" s="46" t="s">
        <v>13</v>
      </c>
      <c r="N707" s="46" t="s">
        <v>14</v>
      </c>
      <c r="O707" s="49" t="s">
        <v>814</v>
      </c>
      <c r="P707" s="46" t="s">
        <v>507</v>
      </c>
      <c r="Q707" s="35" t="str">
        <f>MID(Tabla1[[#This Row],[Aplicación]],14,1)</f>
        <v>2</v>
      </c>
      <c r="R707" s="35" t="s">
        <v>495</v>
      </c>
      <c r="S707" s="35" t="str">
        <f>MID(Tabla1[[#This Row],[Aplicación]],6,2)</f>
        <v>11</v>
      </c>
      <c r="T707" s="35" t="str">
        <f>VLOOKUP(Tabla1[[#This Row],[AREA]],Hoja1!A:B,2,FALSE)</f>
        <v>11. Salud pública y seguridad ciudadana</v>
      </c>
      <c r="U707" s="35" t="str">
        <f>MID(Tabla1[[#This Row],[Aplicación]],9,4)</f>
        <v>1631</v>
      </c>
      <c r="V707" s="35" t="str">
        <f>VLOOKUP(Tabla1[[#This Row],[PROGRAMA]],Hoja1!A:B,2,FALSE)</f>
        <v>1631. Limpieza viaria</v>
      </c>
      <c r="W707" s="35" t="str">
        <f>MID(Tabla1[[#This Row],[Aplicación]],14,2)</f>
        <v>21</v>
      </c>
      <c r="X707" s="35" t="str">
        <f>MID(Tabla1[[#This Row],[Aplicación]],14,6)</f>
        <v>214</v>
      </c>
    </row>
    <row r="708" spans="1:24" x14ac:dyDescent="0.25">
      <c r="A708" s="45">
        <v>220210006468</v>
      </c>
      <c r="B708" s="46" t="s">
        <v>204</v>
      </c>
      <c r="C708" s="47">
        <v>44253</v>
      </c>
      <c r="D708" s="45">
        <v>22021002449</v>
      </c>
      <c r="E708" s="46" t="s">
        <v>1724</v>
      </c>
      <c r="F708" s="48">
        <v>174.24</v>
      </c>
      <c r="G708" s="46" t="s">
        <v>263</v>
      </c>
      <c r="H708" s="46" t="s">
        <v>1725</v>
      </c>
      <c r="I708" s="45" t="s">
        <v>205</v>
      </c>
      <c r="J708" s="46" t="s">
        <v>127</v>
      </c>
      <c r="K708" s="46" t="s">
        <v>127</v>
      </c>
      <c r="L708" s="46" t="s">
        <v>15</v>
      </c>
      <c r="M708" s="46" t="s">
        <v>13</v>
      </c>
      <c r="N708" s="46" t="s">
        <v>14</v>
      </c>
      <c r="O708" s="49" t="s">
        <v>814</v>
      </c>
      <c r="P708" s="46" t="s">
        <v>507</v>
      </c>
      <c r="Q708" s="35" t="str">
        <f>MID(Tabla1[[#This Row],[Aplicación]],14,1)</f>
        <v>6</v>
      </c>
      <c r="R708" s="35" t="s">
        <v>496</v>
      </c>
      <c r="S708" s="35" t="str">
        <f>MID(Tabla1[[#This Row],[Aplicación]],6,2)</f>
        <v>07</v>
      </c>
      <c r="T708" s="35" t="str">
        <f>VLOOKUP(Tabla1[[#This Row],[AREA]],Hoja1!A:B,2,FALSE)</f>
        <v>07. Medio ambiente y desarrollo sostenible</v>
      </c>
      <c r="U708" s="35" t="str">
        <f>MID(Tabla1[[#This Row],[Aplicación]],9,4)</f>
        <v>1711</v>
      </c>
      <c r="V708" s="35" t="str">
        <f>VLOOKUP(Tabla1[[#This Row],[PROGRAMA]],Hoja1!A:B,2,FALSE)</f>
        <v>1711. Parques y jardines</v>
      </c>
      <c r="W708" s="35" t="str">
        <f>MID(Tabla1[[#This Row],[Aplicación]],14,2)</f>
        <v>61</v>
      </c>
      <c r="X708" s="35" t="str">
        <f>MID(Tabla1[[#This Row],[Aplicación]],14,6)</f>
        <v>619</v>
      </c>
    </row>
    <row r="709" spans="1:24" x14ac:dyDescent="0.25">
      <c r="A709" s="45">
        <v>220210009394</v>
      </c>
      <c r="B709" s="46" t="s">
        <v>9</v>
      </c>
      <c r="C709" s="47">
        <v>44270</v>
      </c>
      <c r="D709" s="45">
        <v>22021003433</v>
      </c>
      <c r="E709" s="46" t="s">
        <v>950</v>
      </c>
      <c r="F709" s="48">
        <v>6965.97</v>
      </c>
      <c r="G709" s="46" t="s">
        <v>535</v>
      </c>
      <c r="H709" s="46" t="s">
        <v>1736</v>
      </c>
      <c r="I709" s="45" t="s">
        <v>125</v>
      </c>
      <c r="J709" s="46" t="s">
        <v>127</v>
      </c>
      <c r="K709" s="46" t="s">
        <v>127</v>
      </c>
      <c r="L709" s="46" t="s">
        <v>12</v>
      </c>
      <c r="M709" s="46" t="s">
        <v>10</v>
      </c>
      <c r="N709" s="46" t="s">
        <v>11</v>
      </c>
      <c r="O709" s="49" t="s">
        <v>815</v>
      </c>
      <c r="P709" s="46" t="s">
        <v>507</v>
      </c>
      <c r="Q709" s="35" t="str">
        <f>MID(Tabla1[[#This Row],[Aplicación]],14,1)</f>
        <v>2</v>
      </c>
      <c r="R709" s="35" t="s">
        <v>495</v>
      </c>
      <c r="S709" s="35" t="str">
        <f>MID(Tabla1[[#This Row],[Aplicación]],6,2)</f>
        <v>11</v>
      </c>
      <c r="T709" s="35" t="str">
        <f>VLOOKUP(Tabla1[[#This Row],[AREA]],Hoja1!A:B,2,FALSE)</f>
        <v>11. Salud pública y seguridad ciudadana</v>
      </c>
      <c r="U709" s="35" t="str">
        <f>MID(Tabla1[[#This Row],[Aplicación]],9,4)</f>
        <v>1321</v>
      </c>
      <c r="V709" s="35" t="str">
        <f>VLOOKUP(Tabla1[[#This Row],[PROGRAMA]],Hoja1!A:B,2,FALSE)</f>
        <v>1321. Policía municipal</v>
      </c>
      <c r="W709" s="35" t="str">
        <f>MID(Tabla1[[#This Row],[Aplicación]],14,2)</f>
        <v>21</v>
      </c>
      <c r="X709" s="35" t="str">
        <f>MID(Tabla1[[#This Row],[Aplicación]],14,6)</f>
        <v>213</v>
      </c>
    </row>
    <row r="710" spans="1:24" x14ac:dyDescent="0.25">
      <c r="A710" s="45">
        <v>220210013037</v>
      </c>
      <c r="B710" s="46" t="s">
        <v>204</v>
      </c>
      <c r="C710" s="47">
        <v>44285</v>
      </c>
      <c r="D710" s="45">
        <v>22021001966</v>
      </c>
      <c r="E710" s="46" t="s">
        <v>950</v>
      </c>
      <c r="F710" s="48">
        <v>55.65</v>
      </c>
      <c r="G710" s="46" t="s">
        <v>223</v>
      </c>
      <c r="H710" s="46" t="s">
        <v>1737</v>
      </c>
      <c r="I710" s="45" t="s">
        <v>205</v>
      </c>
      <c r="J710" s="46" t="s">
        <v>127</v>
      </c>
      <c r="K710" s="46" t="s">
        <v>127</v>
      </c>
      <c r="L710" s="46" t="s">
        <v>15</v>
      </c>
      <c r="M710" s="46" t="s">
        <v>13</v>
      </c>
      <c r="N710" s="46" t="s">
        <v>14</v>
      </c>
      <c r="O710" s="49" t="s">
        <v>814</v>
      </c>
      <c r="P710" s="46" t="s">
        <v>507</v>
      </c>
      <c r="Q710" s="35" t="str">
        <f>MID(Tabla1[[#This Row],[Aplicación]],14,1)</f>
        <v>2</v>
      </c>
      <c r="R710" s="35" t="s">
        <v>495</v>
      </c>
      <c r="S710" s="35" t="str">
        <f>MID(Tabla1[[#This Row],[Aplicación]],6,2)</f>
        <v>11</v>
      </c>
      <c r="T710" s="35" t="str">
        <f>VLOOKUP(Tabla1[[#This Row],[AREA]],Hoja1!A:B,2,FALSE)</f>
        <v>11. Salud pública y seguridad ciudadana</v>
      </c>
      <c r="U710" s="35" t="str">
        <f>MID(Tabla1[[#This Row],[Aplicación]],9,4)</f>
        <v>1321</v>
      </c>
      <c r="V710" s="35" t="str">
        <f>VLOOKUP(Tabla1[[#This Row],[PROGRAMA]],Hoja1!A:B,2,FALSE)</f>
        <v>1321. Policía municipal</v>
      </c>
      <c r="W710" s="35" t="str">
        <f>MID(Tabla1[[#This Row],[Aplicación]],14,2)</f>
        <v>21</v>
      </c>
      <c r="X710" s="35" t="str">
        <f>MID(Tabla1[[#This Row],[Aplicación]],14,6)</f>
        <v>213</v>
      </c>
    </row>
    <row r="711" spans="1:24" x14ac:dyDescent="0.25">
      <c r="A711" s="45">
        <v>220210007115</v>
      </c>
      <c r="B711" s="46" t="s">
        <v>9</v>
      </c>
      <c r="C711" s="47">
        <v>44260</v>
      </c>
      <c r="D711" s="45">
        <v>22021003140</v>
      </c>
      <c r="E711" s="46" t="s">
        <v>869</v>
      </c>
      <c r="F711" s="48">
        <v>467.06</v>
      </c>
      <c r="G711" s="46" t="s">
        <v>765</v>
      </c>
      <c r="H711" s="46" t="s">
        <v>1738</v>
      </c>
      <c r="I711" s="45" t="s">
        <v>125</v>
      </c>
      <c r="J711" s="46" t="s">
        <v>674</v>
      </c>
      <c r="K711" s="46" t="s">
        <v>127</v>
      </c>
      <c r="L711" s="46" t="s">
        <v>12</v>
      </c>
      <c r="M711" s="46" t="s">
        <v>10</v>
      </c>
      <c r="N711" s="46" t="s">
        <v>11</v>
      </c>
      <c r="O711" s="49" t="s">
        <v>815</v>
      </c>
      <c r="P711" s="46" t="s">
        <v>507</v>
      </c>
      <c r="Q711" s="35" t="str">
        <f>MID(Tabla1[[#This Row],[Aplicación]],14,1)</f>
        <v>2</v>
      </c>
      <c r="R711" s="35" t="s">
        <v>495</v>
      </c>
      <c r="S711" s="35" t="str">
        <f>MID(Tabla1[[#This Row],[Aplicación]],6,2)</f>
        <v>07</v>
      </c>
      <c r="T711" s="35" t="str">
        <f>VLOOKUP(Tabla1[[#This Row],[AREA]],Hoja1!A:B,2,FALSE)</f>
        <v>07. Medio ambiente y desarrollo sostenible</v>
      </c>
      <c r="U711" s="35" t="str">
        <f>MID(Tabla1[[#This Row],[Aplicación]],9,4)</f>
        <v>1721</v>
      </c>
      <c r="V711" s="35" t="str">
        <f>VLOOKUP(Tabla1[[#This Row],[PROGRAMA]],Hoja1!A:B,2,FALSE)</f>
        <v>1721. Protección del medio ambiente</v>
      </c>
      <c r="W711" s="35" t="str">
        <f>MID(Tabla1[[#This Row],[Aplicación]],14,2)</f>
        <v>21</v>
      </c>
      <c r="X711" s="35" t="str">
        <f>MID(Tabla1[[#This Row],[Aplicación]],14,6)</f>
        <v>213</v>
      </c>
    </row>
    <row r="712" spans="1:24" x14ac:dyDescent="0.25">
      <c r="A712" s="45">
        <v>220210013172</v>
      </c>
      <c r="B712" s="46" t="s">
        <v>9</v>
      </c>
      <c r="C712" s="47">
        <v>44286</v>
      </c>
      <c r="D712" s="45">
        <v>22021003597</v>
      </c>
      <c r="E712" s="46" t="s">
        <v>1187</v>
      </c>
      <c r="F712" s="48">
        <v>4000</v>
      </c>
      <c r="G712" s="46" t="s">
        <v>748</v>
      </c>
      <c r="H712" s="46" t="s">
        <v>1739</v>
      </c>
      <c r="I712" s="45" t="s">
        <v>125</v>
      </c>
      <c r="J712" s="46" t="s">
        <v>127</v>
      </c>
      <c r="K712" s="46" t="s">
        <v>127</v>
      </c>
      <c r="L712" s="46" t="s">
        <v>12</v>
      </c>
      <c r="M712" s="46" t="s">
        <v>10</v>
      </c>
      <c r="N712" s="46" t="s">
        <v>11</v>
      </c>
      <c r="O712" s="49" t="s">
        <v>815</v>
      </c>
      <c r="P712" s="46" t="s">
        <v>507</v>
      </c>
      <c r="Q712" s="35" t="str">
        <f>MID(Tabla1[[#This Row],[Aplicación]],14,1)</f>
        <v>2</v>
      </c>
      <c r="R712" s="35" t="s">
        <v>495</v>
      </c>
      <c r="S712" s="35" t="str">
        <f>MID(Tabla1[[#This Row],[Aplicación]],6,2)</f>
        <v>06</v>
      </c>
      <c r="T712" s="35" t="str">
        <f>VLOOKUP(Tabla1[[#This Row],[AREA]],Hoja1!A:B,2,FALSE)</f>
        <v>06. Educación, infancia, juventud e igualdad</v>
      </c>
      <c r="U712" s="35" t="str">
        <f>MID(Tabla1[[#This Row],[Aplicación]],9,4)</f>
        <v>2315</v>
      </c>
      <c r="V712" s="35" t="str">
        <f>VLOOKUP(Tabla1[[#This Row],[PROGRAMA]],Hoja1!A:B,2,FALSE)</f>
        <v>2315. Políticas de Igualdad e infancia</v>
      </c>
      <c r="W712" s="35" t="str">
        <f>MID(Tabla1[[#This Row],[Aplicación]],14,2)</f>
        <v>22</v>
      </c>
      <c r="X712" s="35" t="str">
        <f>MID(Tabla1[[#This Row],[Aplicación]],14,6)</f>
        <v>22611</v>
      </c>
    </row>
    <row r="713" spans="1:24" x14ac:dyDescent="0.25">
      <c r="A713" s="45">
        <v>220209000775</v>
      </c>
      <c r="B713" s="46" t="s">
        <v>9</v>
      </c>
      <c r="C713" s="47">
        <v>44198</v>
      </c>
      <c r="D713" s="45">
        <v>22021000526</v>
      </c>
      <c r="E713" s="46" t="s">
        <v>1724</v>
      </c>
      <c r="F713" s="48">
        <v>189749.58</v>
      </c>
      <c r="G713" s="46" t="s">
        <v>226</v>
      </c>
      <c r="H713" s="46" t="s">
        <v>1740</v>
      </c>
      <c r="I713" s="45" t="s">
        <v>125</v>
      </c>
      <c r="J713" s="46" t="s">
        <v>126</v>
      </c>
      <c r="K713" s="46" t="s">
        <v>126</v>
      </c>
      <c r="L713" s="46" t="s">
        <v>12</v>
      </c>
      <c r="M713" s="46" t="s">
        <v>13</v>
      </c>
      <c r="N713" s="46" t="s">
        <v>14</v>
      </c>
      <c r="O713" s="49" t="s">
        <v>803</v>
      </c>
      <c r="P713" s="46" t="s">
        <v>507</v>
      </c>
      <c r="Q713" s="35" t="str">
        <f>MID(Tabla1[[#This Row],[Aplicación]],14,1)</f>
        <v>6</v>
      </c>
      <c r="R713" s="35" t="s">
        <v>496</v>
      </c>
      <c r="S713" s="35" t="str">
        <f>MID(Tabla1[[#This Row],[Aplicación]],6,2)</f>
        <v>07</v>
      </c>
      <c r="T713" s="35" t="str">
        <f>VLOOKUP(Tabla1[[#This Row],[AREA]],Hoja1!A:B,2,FALSE)</f>
        <v>07. Medio ambiente y desarrollo sostenible</v>
      </c>
      <c r="U713" s="35" t="str">
        <f>MID(Tabla1[[#This Row],[Aplicación]],9,4)</f>
        <v>1711</v>
      </c>
      <c r="V713" s="35" t="str">
        <f>VLOOKUP(Tabla1[[#This Row],[PROGRAMA]],Hoja1!A:B,2,FALSE)</f>
        <v>1711. Parques y jardines</v>
      </c>
      <c r="W713" s="35" t="str">
        <f>MID(Tabla1[[#This Row],[Aplicación]],14,2)</f>
        <v>61</v>
      </c>
      <c r="X713" s="35" t="str">
        <f>MID(Tabla1[[#This Row],[Aplicación]],14,6)</f>
        <v>619</v>
      </c>
    </row>
    <row r="714" spans="1:24" x14ac:dyDescent="0.25">
      <c r="A714" s="45">
        <v>220210003980</v>
      </c>
      <c r="B714" s="46" t="s">
        <v>9</v>
      </c>
      <c r="C714" s="47">
        <v>44244</v>
      </c>
      <c r="D714" s="45">
        <v>22021002451</v>
      </c>
      <c r="E714" s="46" t="s">
        <v>830</v>
      </c>
      <c r="F714" s="48">
        <v>267.29000000000002</v>
      </c>
      <c r="G714" s="46" t="s">
        <v>170</v>
      </c>
      <c r="H714" s="46" t="s">
        <v>1741</v>
      </c>
      <c r="I714" s="45" t="s">
        <v>125</v>
      </c>
      <c r="J714" s="46" t="s">
        <v>664</v>
      </c>
      <c r="K714" s="46" t="s">
        <v>127</v>
      </c>
      <c r="L714" s="46" t="s">
        <v>12</v>
      </c>
      <c r="M714" s="46" t="s">
        <v>10</v>
      </c>
      <c r="N714" s="46" t="s">
        <v>11</v>
      </c>
      <c r="O714" s="49" t="s">
        <v>815</v>
      </c>
      <c r="P714" s="46" t="s">
        <v>507</v>
      </c>
      <c r="Q714" s="35" t="str">
        <f>MID(Tabla1[[#This Row],[Aplicación]],14,1)</f>
        <v>2</v>
      </c>
      <c r="R714" s="35" t="s">
        <v>495</v>
      </c>
      <c r="S714" s="35" t="str">
        <f>MID(Tabla1[[#This Row],[Aplicación]],6,2)</f>
        <v>01</v>
      </c>
      <c r="T714" s="35" t="str">
        <f>VLOOKUP(Tabla1[[#This Row],[AREA]],Hoja1!A:B,2,FALSE)</f>
        <v>01. Alcaldía</v>
      </c>
      <c r="U714" s="35" t="str">
        <f>MID(Tabla1[[#This Row],[Aplicación]],9,4)</f>
        <v>9203</v>
      </c>
      <c r="V714" s="35" t="str">
        <f>VLOOKUP(Tabla1[[#This Row],[PROGRAMA]],Hoja1!A:B,2,FALSE)</f>
        <v>9203. Unidad de régimen interior</v>
      </c>
      <c r="W714" s="35" t="str">
        <f>MID(Tabla1[[#This Row],[Aplicación]],14,2)</f>
        <v>21</v>
      </c>
      <c r="X714" s="35" t="str">
        <f>MID(Tabla1[[#This Row],[Aplicación]],14,6)</f>
        <v>213</v>
      </c>
    </row>
    <row r="715" spans="1:24" x14ac:dyDescent="0.25">
      <c r="A715" s="45">
        <v>220209000654</v>
      </c>
      <c r="B715" s="46" t="s">
        <v>9</v>
      </c>
      <c r="C715" s="47">
        <v>44198</v>
      </c>
      <c r="D715" s="45">
        <v>22021000416</v>
      </c>
      <c r="E715" s="46" t="s">
        <v>1742</v>
      </c>
      <c r="F715" s="48">
        <v>47365.120000000003</v>
      </c>
      <c r="G715" s="46" t="s">
        <v>170</v>
      </c>
      <c r="H715" s="46" t="s">
        <v>1743</v>
      </c>
      <c r="I715" s="45" t="s">
        <v>125</v>
      </c>
      <c r="J715" s="46" t="s">
        <v>664</v>
      </c>
      <c r="K715" s="46" t="s">
        <v>127</v>
      </c>
      <c r="L715" s="46" t="s">
        <v>12</v>
      </c>
      <c r="M715" s="46" t="s">
        <v>13</v>
      </c>
      <c r="N715" s="46" t="s">
        <v>14</v>
      </c>
      <c r="O715" s="49" t="s">
        <v>803</v>
      </c>
      <c r="P715" s="46" t="s">
        <v>507</v>
      </c>
      <c r="Q715" s="35" t="str">
        <f>MID(Tabla1[[#This Row],[Aplicación]],14,1)</f>
        <v>2</v>
      </c>
      <c r="R715" s="35" t="s">
        <v>495</v>
      </c>
      <c r="S715" s="35" t="str">
        <f>MID(Tabla1[[#This Row],[Aplicación]],6,2)</f>
        <v>01</v>
      </c>
      <c r="T715" s="35" t="str">
        <f>VLOOKUP(Tabla1[[#This Row],[AREA]],Hoja1!A:B,2,FALSE)</f>
        <v>01. Alcaldía</v>
      </c>
      <c r="U715" s="35" t="str">
        <f>MID(Tabla1[[#This Row],[Aplicación]],9,4)</f>
        <v>9201</v>
      </c>
      <c r="V715" s="35" t="str">
        <f>VLOOKUP(Tabla1[[#This Row],[PROGRAMA]],Hoja1!A:B,2,FALSE)</f>
        <v>9201. Secretaría General</v>
      </c>
      <c r="W715" s="35" t="str">
        <f>MID(Tabla1[[#This Row],[Aplicación]],14,2)</f>
        <v>22</v>
      </c>
      <c r="X715" s="35" t="str">
        <f>MID(Tabla1[[#This Row],[Aplicación]],14,6)</f>
        <v>22799</v>
      </c>
    </row>
    <row r="716" spans="1:24" x14ac:dyDescent="0.25">
      <c r="A716" s="45">
        <v>220210010048</v>
      </c>
      <c r="B716" s="46" t="s">
        <v>9</v>
      </c>
      <c r="C716" s="47">
        <v>44272</v>
      </c>
      <c r="D716" s="45">
        <v>22021003395</v>
      </c>
      <c r="E716" s="46" t="s">
        <v>1304</v>
      </c>
      <c r="F716" s="48">
        <v>7000</v>
      </c>
      <c r="G716" s="46" t="s">
        <v>306</v>
      </c>
      <c r="H716" s="46" t="s">
        <v>1744</v>
      </c>
      <c r="I716" s="45" t="s">
        <v>125</v>
      </c>
      <c r="J716" s="46" t="s">
        <v>126</v>
      </c>
      <c r="K716" s="46" t="s">
        <v>126</v>
      </c>
      <c r="L716" s="46" t="s">
        <v>12</v>
      </c>
      <c r="M716" s="46" t="s">
        <v>10</v>
      </c>
      <c r="N716" s="46" t="s">
        <v>11</v>
      </c>
      <c r="O716" s="49" t="s">
        <v>815</v>
      </c>
      <c r="P716" s="46" t="s">
        <v>507</v>
      </c>
      <c r="Q716" s="35" t="str">
        <f>MID(Tabla1[[#This Row],[Aplicación]],14,1)</f>
        <v>2</v>
      </c>
      <c r="R716" s="35" t="s">
        <v>495</v>
      </c>
      <c r="S716" s="35" t="str">
        <f>MID(Tabla1[[#This Row],[Aplicación]],6,2)</f>
        <v>07</v>
      </c>
      <c r="T716" s="35" t="str">
        <f>VLOOKUP(Tabla1[[#This Row],[AREA]],Hoja1!A:B,2,FALSE)</f>
        <v>07. Medio ambiente y desarrollo sostenible</v>
      </c>
      <c r="U716" s="35" t="str">
        <f>MID(Tabla1[[#This Row],[Aplicación]],9,4)</f>
        <v>1721</v>
      </c>
      <c r="V716" s="35" t="str">
        <f>VLOOKUP(Tabla1[[#This Row],[PROGRAMA]],Hoja1!A:B,2,FALSE)</f>
        <v>1721. Protección del medio ambiente</v>
      </c>
      <c r="W716" s="35" t="str">
        <f>MID(Tabla1[[#This Row],[Aplicación]],14,2)</f>
        <v>22</v>
      </c>
      <c r="X716" s="35" t="str">
        <f>MID(Tabla1[[#This Row],[Aplicación]],14,6)</f>
        <v>22799</v>
      </c>
    </row>
    <row r="717" spans="1:24" x14ac:dyDescent="0.25">
      <c r="A717" s="45">
        <v>220210001699</v>
      </c>
      <c r="B717" s="46" t="s">
        <v>32</v>
      </c>
      <c r="C717" s="47">
        <v>44229</v>
      </c>
      <c r="D717" s="45">
        <v>22021002095</v>
      </c>
      <c r="E717" s="46" t="s">
        <v>888</v>
      </c>
      <c r="F717" s="48">
        <v>126</v>
      </c>
      <c r="G717" s="46" t="s">
        <v>588</v>
      </c>
      <c r="H717" s="46" t="s">
        <v>1745</v>
      </c>
      <c r="I717" s="45" t="s">
        <v>234</v>
      </c>
      <c r="J717" s="46" t="s">
        <v>127</v>
      </c>
      <c r="K717" s="46" t="s">
        <v>127</v>
      </c>
      <c r="L717" s="46" t="s">
        <v>12</v>
      </c>
      <c r="M717" s="46" t="s">
        <v>10</v>
      </c>
      <c r="N717" s="46" t="s">
        <v>11</v>
      </c>
      <c r="O717" s="49" t="s">
        <v>815</v>
      </c>
      <c r="P717" s="46" t="s">
        <v>507</v>
      </c>
      <c r="Q717" s="35" t="str">
        <f>MID(Tabla1[[#This Row],[Aplicación]],14,1)</f>
        <v>2</v>
      </c>
      <c r="R717" s="35" t="s">
        <v>495</v>
      </c>
      <c r="S717" s="35" t="str">
        <f>MID(Tabla1[[#This Row],[Aplicación]],6,2)</f>
        <v>06</v>
      </c>
      <c r="T717" s="35" t="str">
        <f>VLOOKUP(Tabla1[[#This Row],[AREA]],Hoja1!A:B,2,FALSE)</f>
        <v>06. Educación, infancia, juventud e igualdad</v>
      </c>
      <c r="U717" s="35" t="str">
        <f>MID(Tabla1[[#This Row],[Aplicación]],9,4)</f>
        <v>2315</v>
      </c>
      <c r="V717" s="35" t="str">
        <f>VLOOKUP(Tabla1[[#This Row],[PROGRAMA]],Hoja1!A:B,2,FALSE)</f>
        <v>2315. Políticas de Igualdad e infancia</v>
      </c>
      <c r="W717" s="35" t="str">
        <f>MID(Tabla1[[#This Row],[Aplicación]],14,2)</f>
        <v>22</v>
      </c>
      <c r="X717" s="35" t="str">
        <f>MID(Tabla1[[#This Row],[Aplicación]],14,6)</f>
        <v>22613</v>
      </c>
    </row>
    <row r="718" spans="1:24" x14ac:dyDescent="0.25">
      <c r="A718" s="45">
        <v>220210002857</v>
      </c>
      <c r="B718" s="46" t="s">
        <v>9</v>
      </c>
      <c r="C718" s="47">
        <v>44238</v>
      </c>
      <c r="D718" s="45">
        <v>22021002346</v>
      </c>
      <c r="E718" s="46" t="s">
        <v>888</v>
      </c>
      <c r="F718" s="48">
        <v>4000</v>
      </c>
      <c r="G718" s="46" t="s">
        <v>588</v>
      </c>
      <c r="H718" s="46" t="s">
        <v>1746</v>
      </c>
      <c r="I718" s="45" t="s">
        <v>125</v>
      </c>
      <c r="J718" s="46" t="s">
        <v>127</v>
      </c>
      <c r="K718" s="46" t="s">
        <v>127</v>
      </c>
      <c r="L718" s="46" t="s">
        <v>12</v>
      </c>
      <c r="M718" s="46" t="s">
        <v>10</v>
      </c>
      <c r="N718" s="46" t="s">
        <v>11</v>
      </c>
      <c r="O718" s="49" t="s">
        <v>815</v>
      </c>
      <c r="P718" s="46" t="s">
        <v>507</v>
      </c>
      <c r="Q718" s="35" t="str">
        <f>MID(Tabla1[[#This Row],[Aplicación]],14,1)</f>
        <v>2</v>
      </c>
      <c r="R718" s="35" t="s">
        <v>495</v>
      </c>
      <c r="S718" s="35" t="str">
        <f>MID(Tabla1[[#This Row],[Aplicación]],6,2)</f>
        <v>06</v>
      </c>
      <c r="T718" s="35" t="str">
        <f>VLOOKUP(Tabla1[[#This Row],[AREA]],Hoja1!A:B,2,FALSE)</f>
        <v>06. Educación, infancia, juventud e igualdad</v>
      </c>
      <c r="U718" s="35" t="str">
        <f>MID(Tabla1[[#This Row],[Aplicación]],9,4)</f>
        <v>2315</v>
      </c>
      <c r="V718" s="35" t="str">
        <f>VLOOKUP(Tabla1[[#This Row],[PROGRAMA]],Hoja1!A:B,2,FALSE)</f>
        <v>2315. Políticas de Igualdad e infancia</v>
      </c>
      <c r="W718" s="35" t="str">
        <f>MID(Tabla1[[#This Row],[Aplicación]],14,2)</f>
        <v>22</v>
      </c>
      <c r="X718" s="35" t="str">
        <f>MID(Tabla1[[#This Row],[Aplicación]],14,6)</f>
        <v>22613</v>
      </c>
    </row>
    <row r="719" spans="1:24" x14ac:dyDescent="0.25">
      <c r="A719" s="45">
        <v>220209000291</v>
      </c>
      <c r="B719" s="46" t="s">
        <v>9</v>
      </c>
      <c r="C719" s="47">
        <v>44198</v>
      </c>
      <c r="D719" s="45">
        <v>22021000730</v>
      </c>
      <c r="E719" s="46" t="s">
        <v>1747</v>
      </c>
      <c r="F719" s="48">
        <v>344471.2</v>
      </c>
      <c r="G719" s="46" t="s">
        <v>229</v>
      </c>
      <c r="H719" s="46" t="s">
        <v>1748</v>
      </c>
      <c r="I719" s="45" t="s">
        <v>125</v>
      </c>
      <c r="J719" s="46" t="s">
        <v>610</v>
      </c>
      <c r="K719" s="46" t="s">
        <v>195</v>
      </c>
      <c r="L719" s="46" t="s">
        <v>12</v>
      </c>
      <c r="M719" s="46" t="s">
        <v>13</v>
      </c>
      <c r="N719" s="46" t="s">
        <v>14</v>
      </c>
      <c r="O719" s="49" t="s">
        <v>803</v>
      </c>
      <c r="P719" s="46" t="s">
        <v>507</v>
      </c>
      <c r="Q719" s="35" t="str">
        <f>MID(Tabla1[[#This Row],[Aplicación]],14,1)</f>
        <v>6</v>
      </c>
      <c r="R719" s="35" t="s">
        <v>496</v>
      </c>
      <c r="S719" s="35" t="str">
        <f>MID(Tabla1[[#This Row],[Aplicación]],6,2)</f>
        <v>07</v>
      </c>
      <c r="T719" s="35" t="str">
        <f>VLOOKUP(Tabla1[[#This Row],[AREA]],Hoja1!A:B,2,FALSE)</f>
        <v>07. Medio ambiente y desarrollo sostenible</v>
      </c>
      <c r="U719" s="35" t="str">
        <f>MID(Tabla1[[#This Row],[Aplicación]],9,4)</f>
        <v>1721</v>
      </c>
      <c r="V719" s="35" t="str">
        <f>VLOOKUP(Tabla1[[#This Row],[PROGRAMA]],Hoja1!A:B,2,FALSE)</f>
        <v>1721. Protección del medio ambiente</v>
      </c>
      <c r="W719" s="35" t="str">
        <f>MID(Tabla1[[#This Row],[Aplicación]],14,2)</f>
        <v>63</v>
      </c>
      <c r="X719" s="35" t="str">
        <f>MID(Tabla1[[#This Row],[Aplicación]],14,6)</f>
        <v>633</v>
      </c>
    </row>
    <row r="720" spans="1:24" x14ac:dyDescent="0.25">
      <c r="A720" s="45">
        <v>220209000856</v>
      </c>
      <c r="B720" s="46" t="s">
        <v>9</v>
      </c>
      <c r="C720" s="47">
        <v>44198</v>
      </c>
      <c r="D720" s="45">
        <v>22021002134</v>
      </c>
      <c r="E720" s="46" t="s">
        <v>1415</v>
      </c>
      <c r="F720" s="48">
        <v>13049.91</v>
      </c>
      <c r="G720" s="46" t="s">
        <v>38</v>
      </c>
      <c r="H720" s="46" t="s">
        <v>1749</v>
      </c>
      <c r="I720" s="45" t="s">
        <v>125</v>
      </c>
      <c r="J720" s="46" t="s">
        <v>127</v>
      </c>
      <c r="K720" s="46" t="s">
        <v>127</v>
      </c>
      <c r="L720" s="46" t="s">
        <v>12</v>
      </c>
      <c r="M720" s="46" t="s">
        <v>13</v>
      </c>
      <c r="N720" s="46" t="s">
        <v>14</v>
      </c>
      <c r="O720" s="49" t="s">
        <v>803</v>
      </c>
      <c r="P720" s="46" t="s">
        <v>507</v>
      </c>
      <c r="Q720" s="35" t="str">
        <f>MID(Tabla1[[#This Row],[Aplicación]],14,1)</f>
        <v>2</v>
      </c>
      <c r="R720" s="35" t="s">
        <v>495</v>
      </c>
      <c r="S720" s="35" t="str">
        <f>MID(Tabla1[[#This Row],[Aplicación]],6,2)</f>
        <v>10</v>
      </c>
      <c r="T720" s="35" t="str">
        <f>VLOOKUP(Tabla1[[#This Row],[AREA]],Hoja1!A:B,2,FALSE)</f>
        <v>10. Servicios sociales y mediación comunitaria</v>
      </c>
      <c r="U720" s="35" t="str">
        <f>MID(Tabla1[[#This Row],[Aplicación]],9,4)</f>
        <v>2312</v>
      </c>
      <c r="V720" s="35" t="str">
        <f>VLOOKUP(Tabla1[[#This Row],[PROGRAMA]],Hoja1!A:B,2,FALSE)</f>
        <v>2312. Iniciativas sociales</v>
      </c>
      <c r="W720" s="35" t="str">
        <f>MID(Tabla1[[#This Row],[Aplicación]],14,2)</f>
        <v>22</v>
      </c>
      <c r="X720" s="35" t="str">
        <f>MID(Tabla1[[#This Row],[Aplicación]],14,6)</f>
        <v>22799</v>
      </c>
    </row>
    <row r="721" spans="1:24" x14ac:dyDescent="0.25">
      <c r="A721" s="45">
        <v>220209000490</v>
      </c>
      <c r="B721" s="46" t="s">
        <v>9</v>
      </c>
      <c r="C721" s="47">
        <v>44198</v>
      </c>
      <c r="D721" s="45">
        <v>22021000737</v>
      </c>
      <c r="E721" s="46" t="s">
        <v>1747</v>
      </c>
      <c r="F721" s="48">
        <v>1059.2</v>
      </c>
      <c r="G721" s="46" t="s">
        <v>229</v>
      </c>
      <c r="H721" s="46" t="s">
        <v>1750</v>
      </c>
      <c r="I721" s="45" t="s">
        <v>125</v>
      </c>
      <c r="J721" s="46" t="s">
        <v>610</v>
      </c>
      <c r="K721" s="46" t="s">
        <v>195</v>
      </c>
      <c r="L721" s="46" t="s">
        <v>12</v>
      </c>
      <c r="M721" s="46" t="s">
        <v>13</v>
      </c>
      <c r="N721" s="46" t="s">
        <v>14</v>
      </c>
      <c r="O721" s="49" t="s">
        <v>803</v>
      </c>
      <c r="P721" s="46" t="s">
        <v>507</v>
      </c>
      <c r="Q721" s="35" t="str">
        <f>MID(Tabla1[[#This Row],[Aplicación]],14,1)</f>
        <v>6</v>
      </c>
      <c r="R721" s="35" t="s">
        <v>496</v>
      </c>
      <c r="S721" s="35" t="str">
        <f>MID(Tabla1[[#This Row],[Aplicación]],6,2)</f>
        <v>07</v>
      </c>
      <c r="T721" s="35" t="str">
        <f>VLOOKUP(Tabla1[[#This Row],[AREA]],Hoja1!A:B,2,FALSE)</f>
        <v>07. Medio ambiente y desarrollo sostenible</v>
      </c>
      <c r="U721" s="35" t="str">
        <f>MID(Tabla1[[#This Row],[Aplicación]],9,4)</f>
        <v>1721</v>
      </c>
      <c r="V721" s="35" t="str">
        <f>VLOOKUP(Tabla1[[#This Row],[PROGRAMA]],Hoja1!A:B,2,FALSE)</f>
        <v>1721. Protección del medio ambiente</v>
      </c>
      <c r="W721" s="35" t="str">
        <f>MID(Tabla1[[#This Row],[Aplicación]],14,2)</f>
        <v>63</v>
      </c>
      <c r="X721" s="35" t="str">
        <f>MID(Tabla1[[#This Row],[Aplicación]],14,6)</f>
        <v>633</v>
      </c>
    </row>
    <row r="722" spans="1:24" x14ac:dyDescent="0.25">
      <c r="A722" s="45">
        <v>220210008410</v>
      </c>
      <c r="B722" s="46" t="s">
        <v>9</v>
      </c>
      <c r="C722" s="47">
        <v>44266</v>
      </c>
      <c r="D722" s="45">
        <v>22021003252</v>
      </c>
      <c r="E722" s="46" t="s">
        <v>1751</v>
      </c>
      <c r="F722" s="48">
        <v>973.45</v>
      </c>
      <c r="G722" s="46" t="s">
        <v>299</v>
      </c>
      <c r="H722" s="46" t="s">
        <v>1752</v>
      </c>
      <c r="I722" s="45" t="s">
        <v>125</v>
      </c>
      <c r="J722" s="46" t="s">
        <v>127</v>
      </c>
      <c r="K722" s="46" t="s">
        <v>127</v>
      </c>
      <c r="L722" s="46" t="s">
        <v>15</v>
      </c>
      <c r="M722" s="46" t="s">
        <v>10</v>
      </c>
      <c r="N722" s="46" t="s">
        <v>11</v>
      </c>
      <c r="O722" s="49" t="s">
        <v>815</v>
      </c>
      <c r="P722" s="46" t="s">
        <v>507</v>
      </c>
      <c r="Q722" s="35" t="str">
        <f>MID(Tabla1[[#This Row],[Aplicación]],14,1)</f>
        <v>2</v>
      </c>
      <c r="R722" s="35" t="s">
        <v>495</v>
      </c>
      <c r="S722" s="35" t="str">
        <f>MID(Tabla1[[#This Row],[Aplicación]],6,2)</f>
        <v>02</v>
      </c>
      <c r="T722" s="35" t="str">
        <f>VLOOKUP(Tabla1[[#This Row],[AREA]],Hoja1!A:B,2,FALSE)</f>
        <v>02. Planeamiento urbanístico y vivienda</v>
      </c>
      <c r="U722" s="35" t="str">
        <f>MID(Tabla1[[#This Row],[Aplicación]],9,4)</f>
        <v>1511</v>
      </c>
      <c r="V722" s="35" t="str">
        <f>VLOOKUP(Tabla1[[#This Row],[PROGRAMA]],Hoja1!A:B,2,FALSE)</f>
        <v>1511. Planficación y gestión del urbanismo</v>
      </c>
      <c r="W722" s="35" t="str">
        <f>MID(Tabla1[[#This Row],[Aplicación]],14,2)</f>
        <v>20</v>
      </c>
      <c r="X722" s="35" t="str">
        <f>MID(Tabla1[[#This Row],[Aplicación]],14,6)</f>
        <v>203</v>
      </c>
    </row>
    <row r="723" spans="1:24" x14ac:dyDescent="0.25">
      <c r="A723" s="45">
        <v>220210012933</v>
      </c>
      <c r="B723" s="46" t="s">
        <v>9</v>
      </c>
      <c r="C723" s="47">
        <v>44284</v>
      </c>
      <c r="D723" s="45">
        <v>22021003671</v>
      </c>
      <c r="E723" s="46" t="s">
        <v>1660</v>
      </c>
      <c r="F723" s="48">
        <v>4537.5</v>
      </c>
      <c r="G723" s="46" t="s">
        <v>1753</v>
      </c>
      <c r="H723" s="46" t="s">
        <v>1754</v>
      </c>
      <c r="I723" s="45" t="s">
        <v>125</v>
      </c>
      <c r="J723" s="46" t="s">
        <v>127</v>
      </c>
      <c r="K723" s="46" t="s">
        <v>127</v>
      </c>
      <c r="L723" s="46" t="s">
        <v>12</v>
      </c>
      <c r="M723" s="46" t="s">
        <v>10</v>
      </c>
      <c r="N723" s="46" t="s">
        <v>11</v>
      </c>
      <c r="O723" s="49" t="s">
        <v>815</v>
      </c>
      <c r="P723" s="46" t="s">
        <v>507</v>
      </c>
      <c r="Q723" s="35" t="str">
        <f>MID(Tabla1[[#This Row],[Aplicación]],14,1)</f>
        <v>2</v>
      </c>
      <c r="R723" s="35" t="s">
        <v>495</v>
      </c>
      <c r="S723" s="35" t="str">
        <f>MID(Tabla1[[#This Row],[Aplicación]],6,2)</f>
        <v>04</v>
      </c>
      <c r="T723" s="35" t="str">
        <f>VLOOKUP(Tabla1[[#This Row],[AREA]],Hoja1!A:B,2,FALSE)</f>
        <v>04. Planificación y recursos</v>
      </c>
      <c r="U723" s="35" t="str">
        <f>MID(Tabla1[[#This Row],[Aplicación]],9,4)</f>
        <v>9202</v>
      </c>
      <c r="V723" s="35" t="str">
        <f>VLOOKUP(Tabla1[[#This Row],[PROGRAMA]],Hoja1!A:B,2,FALSE)</f>
        <v>9202. Gestión de recursos humanos</v>
      </c>
      <c r="W723" s="35" t="str">
        <f>MID(Tabla1[[#This Row],[Aplicación]],14,2)</f>
        <v>22</v>
      </c>
      <c r="X723" s="35" t="str">
        <f>MID(Tabla1[[#This Row],[Aplicación]],14,6)</f>
        <v>22607</v>
      </c>
    </row>
    <row r="724" spans="1:24" x14ac:dyDescent="0.25">
      <c r="A724" s="45">
        <v>220209000478</v>
      </c>
      <c r="B724" s="46" t="s">
        <v>9</v>
      </c>
      <c r="C724" s="47">
        <v>44198</v>
      </c>
      <c r="D724" s="45">
        <v>22021000557</v>
      </c>
      <c r="E724" s="46" t="s">
        <v>1584</v>
      </c>
      <c r="F724" s="48">
        <v>17484</v>
      </c>
      <c r="G724" s="46" t="s">
        <v>1755</v>
      </c>
      <c r="H724" s="46" t="s">
        <v>1756</v>
      </c>
      <c r="I724" s="45" t="s">
        <v>125</v>
      </c>
      <c r="J724" s="46" t="s">
        <v>127</v>
      </c>
      <c r="K724" s="46" t="s">
        <v>127</v>
      </c>
      <c r="L724" s="46" t="s">
        <v>12</v>
      </c>
      <c r="M724" s="46" t="s">
        <v>13</v>
      </c>
      <c r="N724" s="46" t="s">
        <v>14</v>
      </c>
      <c r="O724" s="49" t="s">
        <v>803</v>
      </c>
      <c r="P724" s="46" t="s">
        <v>507</v>
      </c>
      <c r="Q724" s="35" t="str">
        <f>MID(Tabla1[[#This Row],[Aplicación]],14,1)</f>
        <v>2</v>
      </c>
      <c r="R724" s="35" t="s">
        <v>495</v>
      </c>
      <c r="S724" s="35" t="str">
        <f>MID(Tabla1[[#This Row],[Aplicación]],6,2)</f>
        <v>07</v>
      </c>
      <c r="T724" s="35" t="str">
        <f>VLOOKUP(Tabla1[[#This Row],[AREA]],Hoja1!A:B,2,FALSE)</f>
        <v>07. Medio ambiente y desarrollo sostenible</v>
      </c>
      <c r="U724" s="35" t="str">
        <f>MID(Tabla1[[#This Row],[Aplicación]],9,4)</f>
        <v>1701</v>
      </c>
      <c r="V724" s="35" t="str">
        <f>VLOOKUP(Tabla1[[#This Row],[PROGRAMA]],Hoja1!A:B,2,FALSE)</f>
        <v>1701. Dirección del área de medio ambiente</v>
      </c>
      <c r="W724" s="35" t="str">
        <f>MID(Tabla1[[#This Row],[Aplicación]],14,2)</f>
        <v>22</v>
      </c>
      <c r="X724" s="35" t="str">
        <f>MID(Tabla1[[#This Row],[Aplicación]],14,6)</f>
        <v>22799</v>
      </c>
    </row>
    <row r="725" spans="1:24" x14ac:dyDescent="0.25">
      <c r="A725" s="45">
        <v>220210012934</v>
      </c>
      <c r="B725" s="46" t="s">
        <v>9</v>
      </c>
      <c r="C725" s="47">
        <v>44284</v>
      </c>
      <c r="D725" s="45">
        <v>22021003669</v>
      </c>
      <c r="E725" s="46" t="s">
        <v>1660</v>
      </c>
      <c r="F725" s="48">
        <v>294.02999999999997</v>
      </c>
      <c r="G725" s="46" t="s">
        <v>1753</v>
      </c>
      <c r="H725" s="46" t="s">
        <v>1757</v>
      </c>
      <c r="I725" s="45" t="s">
        <v>125</v>
      </c>
      <c r="J725" s="46" t="s">
        <v>127</v>
      </c>
      <c r="K725" s="46" t="s">
        <v>127</v>
      </c>
      <c r="L725" s="46" t="s">
        <v>12</v>
      </c>
      <c r="M725" s="46" t="s">
        <v>10</v>
      </c>
      <c r="N725" s="46" t="s">
        <v>11</v>
      </c>
      <c r="O725" s="49" t="s">
        <v>815</v>
      </c>
      <c r="P725" s="46" t="s">
        <v>507</v>
      </c>
      <c r="Q725" s="35" t="str">
        <f>MID(Tabla1[[#This Row],[Aplicación]],14,1)</f>
        <v>2</v>
      </c>
      <c r="R725" s="35" t="s">
        <v>495</v>
      </c>
      <c r="S725" s="35" t="str">
        <f>MID(Tabla1[[#This Row],[Aplicación]],6,2)</f>
        <v>04</v>
      </c>
      <c r="T725" s="35" t="str">
        <f>VLOOKUP(Tabla1[[#This Row],[AREA]],Hoja1!A:B,2,FALSE)</f>
        <v>04. Planificación y recursos</v>
      </c>
      <c r="U725" s="35" t="str">
        <f>MID(Tabla1[[#This Row],[Aplicación]],9,4)</f>
        <v>9202</v>
      </c>
      <c r="V725" s="35" t="str">
        <f>VLOOKUP(Tabla1[[#This Row],[PROGRAMA]],Hoja1!A:B,2,FALSE)</f>
        <v>9202. Gestión de recursos humanos</v>
      </c>
      <c r="W725" s="35" t="str">
        <f>MID(Tabla1[[#This Row],[Aplicación]],14,2)</f>
        <v>22</v>
      </c>
      <c r="X725" s="35" t="str">
        <f>MID(Tabla1[[#This Row],[Aplicación]],14,6)</f>
        <v>22607</v>
      </c>
    </row>
    <row r="726" spans="1:24" x14ac:dyDescent="0.25">
      <c r="A726" s="45">
        <v>220210000333</v>
      </c>
      <c r="B726" s="46" t="s">
        <v>9</v>
      </c>
      <c r="C726" s="47">
        <v>44217</v>
      </c>
      <c r="D726" s="45">
        <v>22021001226</v>
      </c>
      <c r="E726" s="46" t="s">
        <v>1758</v>
      </c>
      <c r="F726" s="48">
        <v>500</v>
      </c>
      <c r="G726" s="46" t="s">
        <v>1759</v>
      </c>
      <c r="H726" s="46" t="s">
        <v>1760</v>
      </c>
      <c r="I726" s="45" t="s">
        <v>125</v>
      </c>
      <c r="J726" s="46" t="s">
        <v>654</v>
      </c>
      <c r="K726" s="46" t="s">
        <v>146</v>
      </c>
      <c r="L726" s="46" t="s">
        <v>15</v>
      </c>
      <c r="M726" s="46" t="s">
        <v>10</v>
      </c>
      <c r="N726" s="46" t="s">
        <v>11</v>
      </c>
      <c r="O726" s="49" t="s">
        <v>815</v>
      </c>
      <c r="P726" s="46" t="s">
        <v>507</v>
      </c>
      <c r="Q726" s="35" t="str">
        <f>MID(Tabla1[[#This Row],[Aplicación]],14,1)</f>
        <v>2</v>
      </c>
      <c r="R726" s="35" t="s">
        <v>495</v>
      </c>
      <c r="S726" s="35" t="str">
        <f>MID(Tabla1[[#This Row],[Aplicación]],6,2)</f>
        <v>06</v>
      </c>
      <c r="T726" s="35" t="str">
        <f>VLOOKUP(Tabla1[[#This Row],[AREA]],Hoja1!A:B,2,FALSE)</f>
        <v>06. Educación, infancia, juventud e igualdad</v>
      </c>
      <c r="U726" s="35" t="str">
        <f>MID(Tabla1[[#This Row],[Aplicación]],9,4)</f>
        <v>3321</v>
      </c>
      <c r="V726" s="35" t="str">
        <f>VLOOKUP(Tabla1[[#This Row],[PROGRAMA]],Hoja1!A:B,2,FALSE)</f>
        <v>3321. Bibliotecas públicas</v>
      </c>
      <c r="W726" s="35" t="str">
        <f>MID(Tabla1[[#This Row],[Aplicación]],14,2)</f>
        <v>22</v>
      </c>
      <c r="X726" s="35" t="str">
        <f>MID(Tabla1[[#This Row],[Aplicación]],14,6)</f>
        <v>22199</v>
      </c>
    </row>
    <row r="727" spans="1:24" x14ac:dyDescent="0.25">
      <c r="A727" s="45">
        <v>220210001246</v>
      </c>
      <c r="B727" s="46" t="s">
        <v>9</v>
      </c>
      <c r="C727" s="47">
        <v>44225</v>
      </c>
      <c r="D727" s="45">
        <v>22021001675</v>
      </c>
      <c r="E727" s="46" t="s">
        <v>1761</v>
      </c>
      <c r="F727" s="48">
        <v>71.680000000000007</v>
      </c>
      <c r="G727" s="46" t="s">
        <v>1759</v>
      </c>
      <c r="H727" s="46" t="s">
        <v>1762</v>
      </c>
      <c r="I727" s="45" t="s">
        <v>125</v>
      </c>
      <c r="J727" s="46" t="s">
        <v>654</v>
      </c>
      <c r="K727" s="46" t="s">
        <v>146</v>
      </c>
      <c r="L727" s="46" t="s">
        <v>15</v>
      </c>
      <c r="M727" s="46" t="s">
        <v>10</v>
      </c>
      <c r="N727" s="46" t="s">
        <v>11</v>
      </c>
      <c r="O727" s="49" t="s">
        <v>815</v>
      </c>
      <c r="P727" s="46" t="s">
        <v>507</v>
      </c>
      <c r="Q727" s="35" t="str">
        <f>MID(Tabla1[[#This Row],[Aplicación]],14,1)</f>
        <v>2</v>
      </c>
      <c r="R727" s="35" t="s">
        <v>495</v>
      </c>
      <c r="S727" s="35" t="str">
        <f>MID(Tabla1[[#This Row],[Aplicación]],6,2)</f>
        <v>03</v>
      </c>
      <c r="T727" s="35" t="str">
        <f>VLOOKUP(Tabla1[[#This Row],[AREA]],Hoja1!A:B,2,FALSE)</f>
        <v>03. Participación ciudadana y deportes</v>
      </c>
      <c r="U727" s="35" t="str">
        <f>MID(Tabla1[[#This Row],[Aplicación]],9,4)</f>
        <v>9241</v>
      </c>
      <c r="V727" s="35" t="str">
        <f>VLOOKUP(Tabla1[[#This Row],[PROGRAMA]],Hoja1!A:B,2,FALSE)</f>
        <v>9241. Participación ciudadana</v>
      </c>
      <c r="W727" s="35" t="str">
        <f>MID(Tabla1[[#This Row],[Aplicación]],14,2)</f>
        <v>22</v>
      </c>
      <c r="X727" s="35" t="str">
        <f>MID(Tabla1[[#This Row],[Aplicación]],14,6)</f>
        <v>22199</v>
      </c>
    </row>
    <row r="728" spans="1:24" x14ac:dyDescent="0.25">
      <c r="A728" s="45">
        <v>220209000031</v>
      </c>
      <c r="B728" s="46" t="s">
        <v>9</v>
      </c>
      <c r="C728" s="47">
        <v>44198</v>
      </c>
      <c r="D728" s="45">
        <v>22021000709</v>
      </c>
      <c r="E728" s="46" t="s">
        <v>1286</v>
      </c>
      <c r="F728" s="48">
        <v>54994.5</v>
      </c>
      <c r="G728" s="46" t="s">
        <v>231</v>
      </c>
      <c r="H728" s="46" t="s">
        <v>646</v>
      </c>
      <c r="I728" s="45" t="s">
        <v>125</v>
      </c>
      <c r="J728" s="46" t="s">
        <v>126</v>
      </c>
      <c r="K728" s="46" t="s">
        <v>126</v>
      </c>
      <c r="L728" s="46" t="s">
        <v>15</v>
      </c>
      <c r="M728" s="46" t="s">
        <v>13</v>
      </c>
      <c r="N728" s="46" t="s">
        <v>14</v>
      </c>
      <c r="O728" s="49" t="s">
        <v>803</v>
      </c>
      <c r="P728" s="46" t="s">
        <v>507</v>
      </c>
      <c r="Q728" s="35" t="str">
        <f>MID(Tabla1[[#This Row],[Aplicación]],14,1)</f>
        <v>6</v>
      </c>
      <c r="R728" s="35" t="s">
        <v>496</v>
      </c>
      <c r="S728" s="35" t="str">
        <f>MID(Tabla1[[#This Row],[Aplicación]],6,2)</f>
        <v>04</v>
      </c>
      <c r="T728" s="35" t="str">
        <f>VLOOKUP(Tabla1[[#This Row],[AREA]],Hoja1!A:B,2,FALSE)</f>
        <v>04. Planificación y recursos</v>
      </c>
      <c r="U728" s="35" t="str">
        <f>MID(Tabla1[[#This Row],[Aplicación]],9,4)</f>
        <v>9204</v>
      </c>
      <c r="V728" s="35" t="str">
        <f>VLOOKUP(Tabla1[[#This Row],[PROGRAMA]],Hoja1!A:B,2,FALSE)</f>
        <v>9204. Tecnologías de la información y comunicación</v>
      </c>
      <c r="W728" s="35" t="str">
        <f>MID(Tabla1[[#This Row],[Aplicación]],14,2)</f>
        <v>64</v>
      </c>
      <c r="X728" s="35" t="str">
        <f>MID(Tabla1[[#This Row],[Aplicación]],14,6)</f>
        <v>641</v>
      </c>
    </row>
    <row r="729" spans="1:24" x14ac:dyDescent="0.25">
      <c r="A729" s="45">
        <v>220199000252</v>
      </c>
      <c r="B729" s="46" t="s">
        <v>9</v>
      </c>
      <c r="C729" s="47">
        <v>44198</v>
      </c>
      <c r="D729" s="45">
        <v>22021000053</v>
      </c>
      <c r="E729" s="46" t="s">
        <v>1763</v>
      </c>
      <c r="F729" s="48">
        <v>315000</v>
      </c>
      <c r="G729" s="46" t="s">
        <v>44</v>
      </c>
      <c r="H729" s="46" t="s">
        <v>611</v>
      </c>
      <c r="I729" s="45" t="s">
        <v>125</v>
      </c>
      <c r="J729" s="46" t="s">
        <v>146</v>
      </c>
      <c r="K729" s="46" t="s">
        <v>146</v>
      </c>
      <c r="L729" s="46" t="s">
        <v>15</v>
      </c>
      <c r="M729" s="46" t="s">
        <v>13</v>
      </c>
      <c r="N729" s="46" t="s">
        <v>14</v>
      </c>
      <c r="O729" s="49" t="s">
        <v>803</v>
      </c>
      <c r="P729" s="46" t="s">
        <v>507</v>
      </c>
      <c r="Q729" s="35" t="str">
        <f>MID(Tabla1[[#This Row],[Aplicación]],14,1)</f>
        <v>2</v>
      </c>
      <c r="R729" s="35" t="s">
        <v>495</v>
      </c>
      <c r="S729" s="35" t="str">
        <f>MID(Tabla1[[#This Row],[Aplicación]],6,2)</f>
        <v>03</v>
      </c>
      <c r="T729" s="35" t="str">
        <f>VLOOKUP(Tabla1[[#This Row],[AREA]],Hoja1!A:B,2,FALSE)</f>
        <v>03. Participación ciudadana y deportes</v>
      </c>
      <c r="U729" s="35" t="str">
        <f>MID(Tabla1[[#This Row],[Aplicación]],9,4)</f>
        <v>9241</v>
      </c>
      <c r="V729" s="35" t="str">
        <f>VLOOKUP(Tabla1[[#This Row],[PROGRAMA]],Hoja1!A:B,2,FALSE)</f>
        <v>9241. Participación ciudadana</v>
      </c>
      <c r="W729" s="35" t="str">
        <f>MID(Tabla1[[#This Row],[Aplicación]],14,2)</f>
        <v>22</v>
      </c>
      <c r="X729" s="35" t="str">
        <f>MID(Tabla1[[#This Row],[Aplicación]],14,6)</f>
        <v>22102</v>
      </c>
    </row>
    <row r="730" spans="1:24" x14ac:dyDescent="0.25">
      <c r="A730" s="45">
        <v>220199000282</v>
      </c>
      <c r="B730" s="46" t="s">
        <v>9</v>
      </c>
      <c r="C730" s="47">
        <v>44198</v>
      </c>
      <c r="D730" s="45">
        <v>22021000054</v>
      </c>
      <c r="E730" s="46" t="s">
        <v>1764</v>
      </c>
      <c r="F730" s="48">
        <v>23000</v>
      </c>
      <c r="G730" s="46" t="s">
        <v>44</v>
      </c>
      <c r="H730" s="46" t="s">
        <v>667</v>
      </c>
      <c r="I730" s="45" t="s">
        <v>125</v>
      </c>
      <c r="J730" s="46" t="s">
        <v>146</v>
      </c>
      <c r="K730" s="46" t="s">
        <v>146</v>
      </c>
      <c r="L730" s="46" t="s">
        <v>15</v>
      </c>
      <c r="M730" s="46" t="s">
        <v>13</v>
      </c>
      <c r="N730" s="46" t="s">
        <v>14</v>
      </c>
      <c r="O730" s="49" t="s">
        <v>803</v>
      </c>
      <c r="P730" s="46" t="s">
        <v>507</v>
      </c>
      <c r="Q730" s="35" t="str">
        <f>MID(Tabla1[[#This Row],[Aplicación]],14,1)</f>
        <v>2</v>
      </c>
      <c r="R730" s="35" t="s">
        <v>495</v>
      </c>
      <c r="S730" s="35" t="str">
        <f>MID(Tabla1[[#This Row],[Aplicación]],6,2)</f>
        <v>11</v>
      </c>
      <c r="T730" s="35" t="str">
        <f>VLOOKUP(Tabla1[[#This Row],[AREA]],Hoja1!A:B,2,FALSE)</f>
        <v>11. Salud pública y seguridad ciudadana</v>
      </c>
      <c r="U730" s="35" t="str">
        <f>MID(Tabla1[[#This Row],[Aplicación]],9,4)</f>
        <v>1621</v>
      </c>
      <c r="V730" s="35" t="str">
        <f>VLOOKUP(Tabla1[[#This Row],[PROGRAMA]],Hoja1!A:B,2,FALSE)</f>
        <v>1621. Servicio de limpieza</v>
      </c>
      <c r="W730" s="35" t="str">
        <f>MID(Tabla1[[#This Row],[Aplicación]],14,2)</f>
        <v>22</v>
      </c>
      <c r="X730" s="35" t="str">
        <f>MID(Tabla1[[#This Row],[Aplicación]],14,6)</f>
        <v>22102</v>
      </c>
    </row>
    <row r="731" spans="1:24" x14ac:dyDescent="0.25">
      <c r="A731" s="45">
        <v>220199000307</v>
      </c>
      <c r="B731" s="46" t="s">
        <v>9</v>
      </c>
      <c r="C731" s="47">
        <v>44198</v>
      </c>
      <c r="D731" s="45">
        <v>22021000055</v>
      </c>
      <c r="E731" s="46" t="s">
        <v>1765</v>
      </c>
      <c r="F731" s="48">
        <v>39000</v>
      </c>
      <c r="G731" s="46" t="s">
        <v>44</v>
      </c>
      <c r="H731" s="46" t="s">
        <v>643</v>
      </c>
      <c r="I731" s="45" t="s">
        <v>125</v>
      </c>
      <c r="J731" s="46" t="s">
        <v>146</v>
      </c>
      <c r="K731" s="46" t="s">
        <v>146</v>
      </c>
      <c r="L731" s="46" t="s">
        <v>15</v>
      </c>
      <c r="M731" s="46" t="s">
        <v>13</v>
      </c>
      <c r="N731" s="46" t="s">
        <v>14</v>
      </c>
      <c r="O731" s="49" t="s">
        <v>803</v>
      </c>
      <c r="P731" s="46" t="s">
        <v>507</v>
      </c>
      <c r="Q731" s="35" t="str">
        <f>MID(Tabla1[[#This Row],[Aplicación]],14,1)</f>
        <v>2</v>
      </c>
      <c r="R731" s="35" t="s">
        <v>495</v>
      </c>
      <c r="S731" s="35" t="str">
        <f>MID(Tabla1[[#This Row],[Aplicación]],6,2)</f>
        <v>10</v>
      </c>
      <c r="T731" s="35" t="str">
        <f>VLOOKUP(Tabla1[[#This Row],[AREA]],Hoja1!A:B,2,FALSE)</f>
        <v>10. Servicios sociales y mediación comunitaria</v>
      </c>
      <c r="U731" s="35" t="str">
        <f>MID(Tabla1[[#This Row],[Aplicación]],9,4)</f>
        <v>2312</v>
      </c>
      <c r="V731" s="35" t="str">
        <f>VLOOKUP(Tabla1[[#This Row],[PROGRAMA]],Hoja1!A:B,2,FALSE)</f>
        <v>2312. Iniciativas sociales</v>
      </c>
      <c r="W731" s="35" t="str">
        <f>MID(Tabla1[[#This Row],[Aplicación]],14,2)</f>
        <v>22</v>
      </c>
      <c r="X731" s="35" t="str">
        <f>MID(Tabla1[[#This Row],[Aplicación]],14,6)</f>
        <v>22102</v>
      </c>
    </row>
    <row r="732" spans="1:24" x14ac:dyDescent="0.25">
      <c r="A732" s="45">
        <v>220199000308</v>
      </c>
      <c r="B732" s="46" t="s">
        <v>9</v>
      </c>
      <c r="C732" s="47">
        <v>44198</v>
      </c>
      <c r="D732" s="45">
        <v>22021000056</v>
      </c>
      <c r="E732" s="46" t="s">
        <v>1765</v>
      </c>
      <c r="F732" s="48">
        <v>32250</v>
      </c>
      <c r="G732" s="46" t="s">
        <v>44</v>
      </c>
      <c r="H732" s="46" t="s">
        <v>648</v>
      </c>
      <c r="I732" s="45" t="s">
        <v>125</v>
      </c>
      <c r="J732" s="46" t="s">
        <v>146</v>
      </c>
      <c r="K732" s="46" t="s">
        <v>146</v>
      </c>
      <c r="L732" s="46" t="s">
        <v>15</v>
      </c>
      <c r="M732" s="46" t="s">
        <v>13</v>
      </c>
      <c r="N732" s="46" t="s">
        <v>14</v>
      </c>
      <c r="O732" s="49" t="s">
        <v>803</v>
      </c>
      <c r="P732" s="46" t="s">
        <v>507</v>
      </c>
      <c r="Q732" s="35" t="str">
        <f>MID(Tabla1[[#This Row],[Aplicación]],14,1)</f>
        <v>2</v>
      </c>
      <c r="R732" s="35" t="s">
        <v>495</v>
      </c>
      <c r="S732" s="35" t="str">
        <f>MID(Tabla1[[#This Row],[Aplicación]],6,2)</f>
        <v>10</v>
      </c>
      <c r="T732" s="35" t="str">
        <f>VLOOKUP(Tabla1[[#This Row],[AREA]],Hoja1!A:B,2,FALSE)</f>
        <v>10. Servicios sociales y mediación comunitaria</v>
      </c>
      <c r="U732" s="35" t="str">
        <f>MID(Tabla1[[#This Row],[Aplicación]],9,4)</f>
        <v>2312</v>
      </c>
      <c r="V732" s="35" t="str">
        <f>VLOOKUP(Tabla1[[#This Row],[PROGRAMA]],Hoja1!A:B,2,FALSE)</f>
        <v>2312. Iniciativas sociales</v>
      </c>
      <c r="W732" s="35" t="str">
        <f>MID(Tabla1[[#This Row],[Aplicación]],14,2)</f>
        <v>22</v>
      </c>
      <c r="X732" s="35" t="str">
        <f>MID(Tabla1[[#This Row],[Aplicación]],14,6)</f>
        <v>22102</v>
      </c>
    </row>
    <row r="733" spans="1:24" x14ac:dyDescent="0.25">
      <c r="A733" s="45">
        <v>220199000309</v>
      </c>
      <c r="B733" s="46" t="s">
        <v>9</v>
      </c>
      <c r="C733" s="47">
        <v>44198</v>
      </c>
      <c r="D733" s="45">
        <v>22021000057</v>
      </c>
      <c r="E733" s="46" t="s">
        <v>1766</v>
      </c>
      <c r="F733" s="48">
        <v>10000</v>
      </c>
      <c r="G733" s="46" t="s">
        <v>44</v>
      </c>
      <c r="H733" s="46" t="s">
        <v>683</v>
      </c>
      <c r="I733" s="45" t="s">
        <v>125</v>
      </c>
      <c r="J733" s="46" t="s">
        <v>146</v>
      </c>
      <c r="K733" s="46" t="s">
        <v>146</v>
      </c>
      <c r="L733" s="46" t="s">
        <v>15</v>
      </c>
      <c r="M733" s="46" t="s">
        <v>13</v>
      </c>
      <c r="N733" s="46" t="s">
        <v>14</v>
      </c>
      <c r="O733" s="49" t="s">
        <v>803</v>
      </c>
      <c r="P733" s="46" t="s">
        <v>507</v>
      </c>
      <c r="Q733" s="35" t="str">
        <f>MID(Tabla1[[#This Row],[Aplicación]],14,1)</f>
        <v>2</v>
      </c>
      <c r="R733" s="35" t="s">
        <v>495</v>
      </c>
      <c r="S733" s="35" t="str">
        <f>MID(Tabla1[[#This Row],[Aplicación]],6,2)</f>
        <v>10</v>
      </c>
      <c r="T733" s="35" t="str">
        <f>VLOOKUP(Tabla1[[#This Row],[AREA]],Hoja1!A:B,2,FALSE)</f>
        <v>10. Servicios sociales y mediación comunitaria</v>
      </c>
      <c r="U733" s="35" t="str">
        <f>MID(Tabla1[[#This Row],[Aplicación]],9,4)</f>
        <v>2412</v>
      </c>
      <c r="V733" s="35" t="str">
        <f>VLOOKUP(Tabla1[[#This Row],[PROGRAMA]],Hoja1!A:B,2,FALSE)</f>
        <v>2412. Formación para el empleo</v>
      </c>
      <c r="W733" s="35" t="str">
        <f>MID(Tabla1[[#This Row],[Aplicación]],14,2)</f>
        <v>22</v>
      </c>
      <c r="X733" s="35" t="str">
        <f>MID(Tabla1[[#This Row],[Aplicación]],14,6)</f>
        <v>22102</v>
      </c>
    </row>
    <row r="734" spans="1:24" x14ac:dyDescent="0.25">
      <c r="A734" s="45">
        <v>220199000310</v>
      </c>
      <c r="B734" s="46" t="s">
        <v>9</v>
      </c>
      <c r="C734" s="47">
        <v>44198</v>
      </c>
      <c r="D734" s="45">
        <v>22021000058</v>
      </c>
      <c r="E734" s="46" t="s">
        <v>1767</v>
      </c>
      <c r="F734" s="48">
        <v>13500</v>
      </c>
      <c r="G734" s="46" t="s">
        <v>44</v>
      </c>
      <c r="H734" s="46" t="s">
        <v>680</v>
      </c>
      <c r="I734" s="45" t="s">
        <v>125</v>
      </c>
      <c r="J734" s="46" t="s">
        <v>146</v>
      </c>
      <c r="K734" s="46" t="s">
        <v>146</v>
      </c>
      <c r="L734" s="46" t="s">
        <v>15</v>
      </c>
      <c r="M734" s="46" t="s">
        <v>13</v>
      </c>
      <c r="N734" s="46" t="s">
        <v>14</v>
      </c>
      <c r="O734" s="49" t="s">
        <v>803</v>
      </c>
      <c r="P734" s="46" t="s">
        <v>507</v>
      </c>
      <c r="Q734" s="35" t="str">
        <f>MID(Tabla1[[#This Row],[Aplicación]],14,1)</f>
        <v>2</v>
      </c>
      <c r="R734" s="35" t="s">
        <v>495</v>
      </c>
      <c r="S734" s="35" t="str">
        <f>MID(Tabla1[[#This Row],[Aplicación]],6,2)</f>
        <v>10</v>
      </c>
      <c r="T734" s="35" t="str">
        <f>VLOOKUP(Tabla1[[#This Row],[AREA]],Hoja1!A:B,2,FALSE)</f>
        <v>10. Servicios sociales y mediación comunitaria</v>
      </c>
      <c r="U734" s="35" t="str">
        <f>MID(Tabla1[[#This Row],[Aplicación]],9,4)</f>
        <v>2311</v>
      </c>
      <c r="V734" s="35" t="str">
        <f>VLOOKUP(Tabla1[[#This Row],[PROGRAMA]],Hoja1!A:B,2,FALSE)</f>
        <v>2311. Intervención social</v>
      </c>
      <c r="W734" s="35" t="str">
        <f>MID(Tabla1[[#This Row],[Aplicación]],14,2)</f>
        <v>22</v>
      </c>
      <c r="X734" s="35" t="str">
        <f>MID(Tabla1[[#This Row],[Aplicación]],14,6)</f>
        <v>22102</v>
      </c>
    </row>
    <row r="735" spans="1:24" x14ac:dyDescent="0.25">
      <c r="A735" s="45">
        <v>220199000311</v>
      </c>
      <c r="B735" s="46" t="s">
        <v>9</v>
      </c>
      <c r="C735" s="47">
        <v>44198</v>
      </c>
      <c r="D735" s="45">
        <v>22021000059</v>
      </c>
      <c r="E735" s="46" t="s">
        <v>1767</v>
      </c>
      <c r="F735" s="48">
        <v>4500</v>
      </c>
      <c r="G735" s="46" t="s">
        <v>44</v>
      </c>
      <c r="H735" s="46" t="s">
        <v>696</v>
      </c>
      <c r="I735" s="45" t="s">
        <v>125</v>
      </c>
      <c r="J735" s="46" t="s">
        <v>146</v>
      </c>
      <c r="K735" s="46" t="s">
        <v>146</v>
      </c>
      <c r="L735" s="46" t="s">
        <v>15</v>
      </c>
      <c r="M735" s="46" t="s">
        <v>13</v>
      </c>
      <c r="N735" s="46" t="s">
        <v>14</v>
      </c>
      <c r="O735" s="49" t="s">
        <v>803</v>
      </c>
      <c r="P735" s="46" t="s">
        <v>507</v>
      </c>
      <c r="Q735" s="35" t="str">
        <f>MID(Tabla1[[#This Row],[Aplicación]],14,1)</f>
        <v>2</v>
      </c>
      <c r="R735" s="35" t="s">
        <v>495</v>
      </c>
      <c r="S735" s="35" t="str">
        <f>MID(Tabla1[[#This Row],[Aplicación]],6,2)</f>
        <v>10</v>
      </c>
      <c r="T735" s="35" t="str">
        <f>VLOOKUP(Tabla1[[#This Row],[AREA]],Hoja1!A:B,2,FALSE)</f>
        <v>10. Servicios sociales y mediación comunitaria</v>
      </c>
      <c r="U735" s="35" t="str">
        <f>MID(Tabla1[[#This Row],[Aplicación]],9,4)</f>
        <v>2311</v>
      </c>
      <c r="V735" s="35" t="str">
        <f>VLOOKUP(Tabla1[[#This Row],[PROGRAMA]],Hoja1!A:B,2,FALSE)</f>
        <v>2311. Intervención social</v>
      </c>
      <c r="W735" s="35" t="str">
        <f>MID(Tabla1[[#This Row],[Aplicación]],14,2)</f>
        <v>22</v>
      </c>
      <c r="X735" s="35" t="str">
        <f>MID(Tabla1[[#This Row],[Aplicación]],14,6)</f>
        <v>22102</v>
      </c>
    </row>
    <row r="736" spans="1:24" x14ac:dyDescent="0.25">
      <c r="A736" s="45">
        <v>220199000312</v>
      </c>
      <c r="B736" s="46" t="s">
        <v>9</v>
      </c>
      <c r="C736" s="47">
        <v>44198</v>
      </c>
      <c r="D736" s="45">
        <v>22021000060</v>
      </c>
      <c r="E736" s="46" t="s">
        <v>1768</v>
      </c>
      <c r="F736" s="48">
        <v>53680</v>
      </c>
      <c r="G736" s="46" t="s">
        <v>44</v>
      </c>
      <c r="H736" s="46" t="s">
        <v>637</v>
      </c>
      <c r="I736" s="45" t="s">
        <v>125</v>
      </c>
      <c r="J736" s="46" t="s">
        <v>146</v>
      </c>
      <c r="K736" s="46" t="s">
        <v>146</v>
      </c>
      <c r="L736" s="46" t="s">
        <v>15</v>
      </c>
      <c r="M736" s="46" t="s">
        <v>13</v>
      </c>
      <c r="N736" s="46" t="s">
        <v>14</v>
      </c>
      <c r="O736" s="49" t="s">
        <v>803</v>
      </c>
      <c r="P736" s="46" t="s">
        <v>507</v>
      </c>
      <c r="Q736" s="35" t="str">
        <f>MID(Tabla1[[#This Row],[Aplicación]],14,1)</f>
        <v>2</v>
      </c>
      <c r="R736" s="35" t="s">
        <v>495</v>
      </c>
      <c r="S736" s="35" t="str">
        <f>MID(Tabla1[[#This Row],[Aplicación]],6,2)</f>
        <v>06</v>
      </c>
      <c r="T736" s="35" t="str">
        <f>VLOOKUP(Tabla1[[#This Row],[AREA]],Hoja1!A:B,2,FALSE)</f>
        <v>06. Educación, infancia, juventud e igualdad</v>
      </c>
      <c r="U736" s="35" t="str">
        <f>MID(Tabla1[[#This Row],[Aplicación]],9,4)</f>
        <v>3231</v>
      </c>
      <c r="V736" s="35" t="str">
        <f>VLOOKUP(Tabla1[[#This Row],[PROGRAMA]],Hoja1!A:B,2,FALSE)</f>
        <v>3231. Escuelas infantiles</v>
      </c>
      <c r="W736" s="35" t="str">
        <f>MID(Tabla1[[#This Row],[Aplicación]],14,2)</f>
        <v>22</v>
      </c>
      <c r="X736" s="35" t="str">
        <f>MID(Tabla1[[#This Row],[Aplicación]],14,6)</f>
        <v>22102</v>
      </c>
    </row>
    <row r="737" spans="1:24" x14ac:dyDescent="0.25">
      <c r="A737" s="45">
        <v>220199000313</v>
      </c>
      <c r="B737" s="46" t="s">
        <v>9</v>
      </c>
      <c r="C737" s="47">
        <v>44198</v>
      </c>
      <c r="D737" s="45">
        <v>22021000061</v>
      </c>
      <c r="E737" s="46" t="s">
        <v>1769</v>
      </c>
      <c r="F737" s="48">
        <v>524800</v>
      </c>
      <c r="G737" s="46" t="s">
        <v>44</v>
      </c>
      <c r="H737" s="46" t="s">
        <v>605</v>
      </c>
      <c r="I737" s="45" t="s">
        <v>125</v>
      </c>
      <c r="J737" s="46" t="s">
        <v>146</v>
      </c>
      <c r="K737" s="46" t="s">
        <v>146</v>
      </c>
      <c r="L737" s="46" t="s">
        <v>15</v>
      </c>
      <c r="M737" s="46" t="s">
        <v>13</v>
      </c>
      <c r="N737" s="46" t="s">
        <v>14</v>
      </c>
      <c r="O737" s="49" t="s">
        <v>803</v>
      </c>
      <c r="P737" s="46" t="s">
        <v>507</v>
      </c>
      <c r="Q737" s="35" t="str">
        <f>MID(Tabla1[[#This Row],[Aplicación]],14,1)</f>
        <v>2</v>
      </c>
      <c r="R737" s="35" t="s">
        <v>495</v>
      </c>
      <c r="S737" s="35" t="str">
        <f>MID(Tabla1[[#This Row],[Aplicación]],6,2)</f>
        <v>06</v>
      </c>
      <c r="T737" s="35" t="str">
        <f>VLOOKUP(Tabla1[[#This Row],[AREA]],Hoja1!A:B,2,FALSE)</f>
        <v>06. Educación, infancia, juventud e igualdad</v>
      </c>
      <c r="U737" s="35" t="str">
        <f>MID(Tabla1[[#This Row],[Aplicación]],9,4)</f>
        <v>3232</v>
      </c>
      <c r="V737" s="35" t="str">
        <f>VLOOKUP(Tabla1[[#This Row],[PROGRAMA]],Hoja1!A:B,2,FALSE)</f>
        <v>3232. Conservación y mantenimiento centros educación infantil y primaria</v>
      </c>
      <c r="W737" s="35" t="str">
        <f>MID(Tabla1[[#This Row],[Aplicación]],14,2)</f>
        <v>22</v>
      </c>
      <c r="X737" s="35" t="str">
        <f>MID(Tabla1[[#This Row],[Aplicación]],14,6)</f>
        <v>22102</v>
      </c>
    </row>
    <row r="738" spans="1:24" x14ac:dyDescent="0.25">
      <c r="A738" s="45">
        <v>220199000314</v>
      </c>
      <c r="B738" s="46" t="s">
        <v>9</v>
      </c>
      <c r="C738" s="47">
        <v>44198</v>
      </c>
      <c r="D738" s="45">
        <v>22021000062</v>
      </c>
      <c r="E738" s="46" t="s">
        <v>1770</v>
      </c>
      <c r="F738" s="48">
        <v>7225</v>
      </c>
      <c r="G738" s="46" t="s">
        <v>44</v>
      </c>
      <c r="H738" s="46" t="s">
        <v>688</v>
      </c>
      <c r="I738" s="45" t="s">
        <v>125</v>
      </c>
      <c r="J738" s="46" t="s">
        <v>146</v>
      </c>
      <c r="K738" s="46" t="s">
        <v>146</v>
      </c>
      <c r="L738" s="46" t="s">
        <v>15</v>
      </c>
      <c r="M738" s="46" t="s">
        <v>13</v>
      </c>
      <c r="N738" s="46" t="s">
        <v>14</v>
      </c>
      <c r="O738" s="49" t="s">
        <v>803</v>
      </c>
      <c r="P738" s="46" t="s">
        <v>507</v>
      </c>
      <c r="Q738" s="35" t="str">
        <f>MID(Tabla1[[#This Row],[Aplicación]],14,1)</f>
        <v>2</v>
      </c>
      <c r="R738" s="35" t="s">
        <v>495</v>
      </c>
      <c r="S738" s="35" t="str">
        <f>MID(Tabla1[[#This Row],[Aplicación]],6,2)</f>
        <v>06</v>
      </c>
      <c r="T738" s="35" t="str">
        <f>VLOOKUP(Tabla1[[#This Row],[AREA]],Hoja1!A:B,2,FALSE)</f>
        <v>06. Educación, infancia, juventud e igualdad</v>
      </c>
      <c r="U738" s="35" t="str">
        <f>MID(Tabla1[[#This Row],[Aplicación]],9,4)</f>
        <v>3321</v>
      </c>
      <c r="V738" s="35" t="str">
        <f>VLOOKUP(Tabla1[[#This Row],[PROGRAMA]],Hoja1!A:B,2,FALSE)</f>
        <v>3321. Bibliotecas públicas</v>
      </c>
      <c r="W738" s="35" t="str">
        <f>MID(Tabla1[[#This Row],[Aplicación]],14,2)</f>
        <v>22</v>
      </c>
      <c r="X738" s="35" t="str">
        <f>MID(Tabla1[[#This Row],[Aplicación]],14,6)</f>
        <v>22102</v>
      </c>
    </row>
    <row r="739" spans="1:24" x14ac:dyDescent="0.25">
      <c r="A739" s="45">
        <v>220199000315</v>
      </c>
      <c r="B739" s="46" t="s">
        <v>9</v>
      </c>
      <c r="C739" s="47">
        <v>44198</v>
      </c>
      <c r="D739" s="45">
        <v>22021002413</v>
      </c>
      <c r="E739" s="46" t="s">
        <v>1771</v>
      </c>
      <c r="F739" s="48">
        <v>1700</v>
      </c>
      <c r="G739" s="46" t="s">
        <v>44</v>
      </c>
      <c r="H739" s="46" t="s">
        <v>724</v>
      </c>
      <c r="I739" s="45" t="s">
        <v>125</v>
      </c>
      <c r="J739" s="46" t="s">
        <v>146</v>
      </c>
      <c r="K739" s="46" t="s">
        <v>146</v>
      </c>
      <c r="L739" s="46" t="s">
        <v>15</v>
      </c>
      <c r="M739" s="46" t="s">
        <v>13</v>
      </c>
      <c r="N739" s="46" t="s">
        <v>14</v>
      </c>
      <c r="O739" s="49" t="s">
        <v>803</v>
      </c>
      <c r="P739" s="46" t="s">
        <v>507</v>
      </c>
      <c r="Q739" s="35" t="str">
        <f>MID(Tabla1[[#This Row],[Aplicación]],14,1)</f>
        <v>2</v>
      </c>
      <c r="R739" s="35" t="s">
        <v>495</v>
      </c>
      <c r="S739" s="35" t="str">
        <f>MID(Tabla1[[#This Row],[Aplicación]],6,2)</f>
        <v>05</v>
      </c>
      <c r="T739" s="35" t="str">
        <f>VLOOKUP(Tabla1[[#This Row],[AREA]],Hoja1!A:B,2,FALSE)</f>
        <v>05. Innovación, desarrollo económico, empleo y comercio</v>
      </c>
      <c r="U739" s="35" t="str">
        <f>MID(Tabla1[[#This Row],[Aplicación]],9,4)</f>
        <v>4315</v>
      </c>
      <c r="V739" s="35" t="str">
        <f>VLOOKUP(Tabla1[[#This Row],[PROGRAMA]],Hoja1!A:B,2,FALSE)</f>
        <v>4315. Actuaciones en materia de consumo</v>
      </c>
      <c r="W739" s="35" t="str">
        <f>MID(Tabla1[[#This Row],[Aplicación]],14,2)</f>
        <v>22</v>
      </c>
      <c r="X739" s="35" t="str">
        <f>MID(Tabla1[[#This Row],[Aplicación]],14,6)</f>
        <v>22102</v>
      </c>
    </row>
    <row r="740" spans="1:24" x14ac:dyDescent="0.25">
      <c r="A740" s="45">
        <v>220199000316</v>
      </c>
      <c r="B740" s="46" t="s">
        <v>9</v>
      </c>
      <c r="C740" s="47">
        <v>44198</v>
      </c>
      <c r="D740" s="45">
        <v>22021000063</v>
      </c>
      <c r="E740" s="46" t="s">
        <v>1772</v>
      </c>
      <c r="F740" s="48">
        <v>75000</v>
      </c>
      <c r="G740" s="46" t="s">
        <v>44</v>
      </c>
      <c r="H740" s="46" t="s">
        <v>636</v>
      </c>
      <c r="I740" s="45" t="s">
        <v>125</v>
      </c>
      <c r="J740" s="46" t="s">
        <v>146</v>
      </c>
      <c r="K740" s="46" t="s">
        <v>146</v>
      </c>
      <c r="L740" s="46" t="s">
        <v>15</v>
      </c>
      <c r="M740" s="46" t="s">
        <v>13</v>
      </c>
      <c r="N740" s="46" t="s">
        <v>14</v>
      </c>
      <c r="O740" s="49" t="s">
        <v>803</v>
      </c>
      <c r="P740" s="46" t="s">
        <v>507</v>
      </c>
      <c r="Q740" s="35" t="str">
        <f>MID(Tabla1[[#This Row],[Aplicación]],14,1)</f>
        <v>2</v>
      </c>
      <c r="R740" s="35" t="s">
        <v>495</v>
      </c>
      <c r="S740" s="35" t="str">
        <f>MID(Tabla1[[#This Row],[Aplicación]],6,2)</f>
        <v>02</v>
      </c>
      <c r="T740" s="35" t="str">
        <f>VLOOKUP(Tabla1[[#This Row],[AREA]],Hoja1!A:B,2,FALSE)</f>
        <v>02. Planeamiento urbanístico y vivienda</v>
      </c>
      <c r="U740" s="35" t="str">
        <f>MID(Tabla1[[#This Row],[Aplicación]],9,4)</f>
        <v>9332</v>
      </c>
      <c r="V740" s="35" t="str">
        <f>VLOOKUP(Tabla1[[#This Row],[PROGRAMA]],Hoja1!A:B,2,FALSE)</f>
        <v>9332. Mantenimiento de edificios e instalaciones municipales</v>
      </c>
      <c r="W740" s="35" t="str">
        <f>MID(Tabla1[[#This Row],[Aplicación]],14,2)</f>
        <v>22</v>
      </c>
      <c r="X740" s="35" t="str">
        <f>MID(Tabla1[[#This Row],[Aplicación]],14,6)</f>
        <v>22102</v>
      </c>
    </row>
    <row r="741" spans="1:24" x14ac:dyDescent="0.25">
      <c r="A741" s="45">
        <v>220199000398</v>
      </c>
      <c r="B741" s="46" t="s">
        <v>9</v>
      </c>
      <c r="C741" s="47">
        <v>44198</v>
      </c>
      <c r="D741" s="45">
        <v>22021000064</v>
      </c>
      <c r="E741" s="46" t="s">
        <v>1773</v>
      </c>
      <c r="F741" s="48">
        <v>55000</v>
      </c>
      <c r="G741" s="46" t="s">
        <v>44</v>
      </c>
      <c r="H741" s="46" t="s">
        <v>638</v>
      </c>
      <c r="I741" s="45" t="s">
        <v>125</v>
      </c>
      <c r="J741" s="46" t="s">
        <v>146</v>
      </c>
      <c r="K741" s="46" t="s">
        <v>146</v>
      </c>
      <c r="L741" s="46" t="s">
        <v>15</v>
      </c>
      <c r="M741" s="46" t="s">
        <v>13</v>
      </c>
      <c r="N741" s="46" t="s">
        <v>14</v>
      </c>
      <c r="O741" s="49" t="s">
        <v>803</v>
      </c>
      <c r="P741" s="46" t="s">
        <v>507</v>
      </c>
      <c r="Q741" s="35" t="str">
        <f>MID(Tabla1[[#This Row],[Aplicación]],14,1)</f>
        <v>2</v>
      </c>
      <c r="R741" s="35" t="s">
        <v>495</v>
      </c>
      <c r="S741" s="35" t="str">
        <f>MID(Tabla1[[#This Row],[Aplicación]],6,2)</f>
        <v>11</v>
      </c>
      <c r="T741" s="35" t="str">
        <f>VLOOKUP(Tabla1[[#This Row],[AREA]],Hoja1!A:B,2,FALSE)</f>
        <v>11. Salud pública y seguridad ciudadana</v>
      </c>
      <c r="U741" s="35" t="str">
        <f>MID(Tabla1[[#This Row],[Aplicación]],9,4)</f>
        <v>1321</v>
      </c>
      <c r="V741" s="35" t="str">
        <f>VLOOKUP(Tabla1[[#This Row],[PROGRAMA]],Hoja1!A:B,2,FALSE)</f>
        <v>1321. Policía municipal</v>
      </c>
      <c r="W741" s="35" t="str">
        <f>MID(Tabla1[[#This Row],[Aplicación]],14,2)</f>
        <v>22</v>
      </c>
      <c r="X741" s="35" t="str">
        <f>MID(Tabla1[[#This Row],[Aplicación]],14,6)</f>
        <v>22102</v>
      </c>
    </row>
    <row r="742" spans="1:24" x14ac:dyDescent="0.25">
      <c r="A742" s="45">
        <v>220199000402</v>
      </c>
      <c r="B742" s="46" t="s">
        <v>9</v>
      </c>
      <c r="C742" s="47">
        <v>44198</v>
      </c>
      <c r="D742" s="45">
        <v>22021000065</v>
      </c>
      <c r="E742" s="46" t="s">
        <v>1774</v>
      </c>
      <c r="F742" s="48">
        <v>4000</v>
      </c>
      <c r="G742" s="46" t="s">
        <v>44</v>
      </c>
      <c r="H742" s="46" t="s">
        <v>699</v>
      </c>
      <c r="I742" s="45" t="s">
        <v>125</v>
      </c>
      <c r="J742" s="46" t="s">
        <v>146</v>
      </c>
      <c r="K742" s="46" t="s">
        <v>146</v>
      </c>
      <c r="L742" s="46" t="s">
        <v>15</v>
      </c>
      <c r="M742" s="46" t="s">
        <v>13</v>
      </c>
      <c r="N742" s="46" t="s">
        <v>14</v>
      </c>
      <c r="O742" s="49" t="s">
        <v>803</v>
      </c>
      <c r="P742" s="46" t="s">
        <v>507</v>
      </c>
      <c r="Q742" s="35" t="str">
        <f>MID(Tabla1[[#This Row],[Aplicación]],14,1)</f>
        <v>2</v>
      </c>
      <c r="R742" s="35" t="s">
        <v>495</v>
      </c>
      <c r="S742" s="35" t="str">
        <f>MID(Tabla1[[#This Row],[Aplicación]],6,2)</f>
        <v>06</v>
      </c>
      <c r="T742" s="35" t="str">
        <f>VLOOKUP(Tabla1[[#This Row],[AREA]],Hoja1!A:B,2,FALSE)</f>
        <v>06. Educación, infancia, juventud e igualdad</v>
      </c>
      <c r="U742" s="35" t="str">
        <f>MID(Tabla1[[#This Row],[Aplicación]],9,4)</f>
        <v>2315</v>
      </c>
      <c r="V742" s="35" t="str">
        <f>VLOOKUP(Tabla1[[#This Row],[PROGRAMA]],Hoja1!A:B,2,FALSE)</f>
        <v>2315. Políticas de Igualdad e infancia</v>
      </c>
      <c r="W742" s="35" t="str">
        <f>MID(Tabla1[[#This Row],[Aplicación]],14,2)</f>
        <v>22</v>
      </c>
      <c r="X742" s="35" t="str">
        <f>MID(Tabla1[[#This Row],[Aplicación]],14,6)</f>
        <v>22102</v>
      </c>
    </row>
    <row r="743" spans="1:24" x14ac:dyDescent="0.25">
      <c r="A743" s="45">
        <v>220199000871</v>
      </c>
      <c r="B743" s="46" t="s">
        <v>9</v>
      </c>
      <c r="C743" s="47">
        <v>44198</v>
      </c>
      <c r="D743" s="45">
        <v>22021000182</v>
      </c>
      <c r="E743" s="46" t="s">
        <v>1775</v>
      </c>
      <c r="F743" s="48">
        <v>28000</v>
      </c>
      <c r="G743" s="46" t="s">
        <v>44</v>
      </c>
      <c r="H743" s="46" t="s">
        <v>657</v>
      </c>
      <c r="I743" s="45" t="s">
        <v>125</v>
      </c>
      <c r="J743" s="46" t="s">
        <v>146</v>
      </c>
      <c r="K743" s="46" t="s">
        <v>146</v>
      </c>
      <c r="L743" s="46" t="s">
        <v>15</v>
      </c>
      <c r="M743" s="46" t="s">
        <v>13</v>
      </c>
      <c r="N743" s="46" t="s">
        <v>14</v>
      </c>
      <c r="O743" s="49" t="s">
        <v>803</v>
      </c>
      <c r="P743" s="46" t="s">
        <v>507</v>
      </c>
      <c r="Q743" s="35" t="str">
        <f>MID(Tabla1[[#This Row],[Aplicación]],14,1)</f>
        <v>2</v>
      </c>
      <c r="R743" s="35" t="s">
        <v>495</v>
      </c>
      <c r="S743" s="35" t="str">
        <f>MID(Tabla1[[#This Row],[Aplicación]],6,2)</f>
        <v>11</v>
      </c>
      <c r="T743" s="35" t="str">
        <f>VLOOKUP(Tabla1[[#This Row],[AREA]],Hoja1!A:B,2,FALSE)</f>
        <v>11. Salud pública y seguridad ciudadana</v>
      </c>
      <c r="U743" s="35" t="str">
        <f>MID(Tabla1[[#This Row],[Aplicación]],9,4)</f>
        <v>1361</v>
      </c>
      <c r="V743" s="35" t="str">
        <f>VLOOKUP(Tabla1[[#This Row],[PROGRAMA]],Hoja1!A:B,2,FALSE)</f>
        <v>1361. Prevención y extinción de incencios</v>
      </c>
      <c r="W743" s="35" t="str">
        <f>MID(Tabla1[[#This Row],[Aplicación]],14,2)</f>
        <v>22</v>
      </c>
      <c r="X743" s="35" t="str">
        <f>MID(Tabla1[[#This Row],[Aplicación]],14,6)</f>
        <v>22102</v>
      </c>
    </row>
    <row r="744" spans="1:24" x14ac:dyDescent="0.25">
      <c r="A744" s="45">
        <v>220210000516</v>
      </c>
      <c r="B744" s="46" t="s">
        <v>9</v>
      </c>
      <c r="C744" s="47">
        <v>44221</v>
      </c>
      <c r="D744" s="45">
        <v>22021000763</v>
      </c>
      <c r="E744" s="46" t="s">
        <v>1766</v>
      </c>
      <c r="F744" s="48">
        <v>2592.59</v>
      </c>
      <c r="G744" s="46" t="s">
        <v>44</v>
      </c>
      <c r="H744" s="46" t="s">
        <v>1776</v>
      </c>
      <c r="I744" s="45" t="s">
        <v>125</v>
      </c>
      <c r="J744" s="46" t="s">
        <v>146</v>
      </c>
      <c r="K744" s="46" t="s">
        <v>146</v>
      </c>
      <c r="L744" s="46" t="s">
        <v>15</v>
      </c>
      <c r="M744" s="46" t="s">
        <v>13</v>
      </c>
      <c r="N744" s="46" t="s">
        <v>14</v>
      </c>
      <c r="O744" s="49" t="s">
        <v>803</v>
      </c>
      <c r="P744" s="46" t="s">
        <v>507</v>
      </c>
      <c r="Q744" s="35" t="str">
        <f>MID(Tabla1[[#This Row],[Aplicación]],14,1)</f>
        <v>2</v>
      </c>
      <c r="R744" s="35" t="s">
        <v>495</v>
      </c>
      <c r="S744" s="35" t="str">
        <f>MID(Tabla1[[#This Row],[Aplicación]],6,2)</f>
        <v>10</v>
      </c>
      <c r="T744" s="35" t="str">
        <f>VLOOKUP(Tabla1[[#This Row],[AREA]],Hoja1!A:B,2,FALSE)</f>
        <v>10. Servicios sociales y mediación comunitaria</v>
      </c>
      <c r="U744" s="35" t="str">
        <f>MID(Tabla1[[#This Row],[Aplicación]],9,4)</f>
        <v>2412</v>
      </c>
      <c r="V744" s="35" t="str">
        <f>VLOOKUP(Tabla1[[#This Row],[PROGRAMA]],Hoja1!A:B,2,FALSE)</f>
        <v>2412. Formación para el empleo</v>
      </c>
      <c r="W744" s="35" t="str">
        <f>MID(Tabla1[[#This Row],[Aplicación]],14,2)</f>
        <v>22</v>
      </c>
      <c r="X744" s="35" t="str">
        <f>MID(Tabla1[[#This Row],[Aplicación]],14,6)</f>
        <v>22102</v>
      </c>
    </row>
    <row r="745" spans="1:24" x14ac:dyDescent="0.25">
      <c r="A745" s="45">
        <v>220210000516</v>
      </c>
      <c r="B745" s="46" t="s">
        <v>9</v>
      </c>
      <c r="C745" s="47">
        <v>44221</v>
      </c>
      <c r="D745" s="45">
        <v>22021000764</v>
      </c>
      <c r="E745" s="46" t="s">
        <v>1766</v>
      </c>
      <c r="F745" s="48">
        <v>2592.59</v>
      </c>
      <c r="G745" s="46" t="s">
        <v>44</v>
      </c>
      <c r="H745" s="46" t="s">
        <v>1776</v>
      </c>
      <c r="I745" s="45" t="s">
        <v>125</v>
      </c>
      <c r="J745" s="46" t="s">
        <v>146</v>
      </c>
      <c r="K745" s="46" t="s">
        <v>146</v>
      </c>
      <c r="L745" s="46" t="s">
        <v>15</v>
      </c>
      <c r="M745" s="46" t="s">
        <v>13</v>
      </c>
      <c r="N745" s="46" t="s">
        <v>14</v>
      </c>
      <c r="O745" s="49" t="s">
        <v>803</v>
      </c>
      <c r="P745" s="46" t="s">
        <v>507</v>
      </c>
      <c r="Q745" s="35" t="str">
        <f>MID(Tabla1[[#This Row],[Aplicación]],14,1)</f>
        <v>2</v>
      </c>
      <c r="R745" s="35" t="s">
        <v>495</v>
      </c>
      <c r="S745" s="35" t="str">
        <f>MID(Tabla1[[#This Row],[Aplicación]],6,2)</f>
        <v>10</v>
      </c>
      <c r="T745" s="35" t="str">
        <f>VLOOKUP(Tabla1[[#This Row],[AREA]],Hoja1!A:B,2,FALSE)</f>
        <v>10. Servicios sociales y mediación comunitaria</v>
      </c>
      <c r="U745" s="35" t="str">
        <f>MID(Tabla1[[#This Row],[Aplicación]],9,4)</f>
        <v>2412</v>
      </c>
      <c r="V745" s="35" t="str">
        <f>VLOOKUP(Tabla1[[#This Row],[PROGRAMA]],Hoja1!A:B,2,FALSE)</f>
        <v>2412. Formación para el empleo</v>
      </c>
      <c r="W745" s="35" t="str">
        <f>MID(Tabla1[[#This Row],[Aplicación]],14,2)</f>
        <v>22</v>
      </c>
      <c r="X745" s="35" t="str">
        <f>MID(Tabla1[[#This Row],[Aplicación]],14,6)</f>
        <v>22102</v>
      </c>
    </row>
    <row r="746" spans="1:24" x14ac:dyDescent="0.25">
      <c r="A746" s="45">
        <v>220210000516</v>
      </c>
      <c r="B746" s="46" t="s">
        <v>9</v>
      </c>
      <c r="C746" s="47">
        <v>44221</v>
      </c>
      <c r="D746" s="45">
        <v>22021000765</v>
      </c>
      <c r="E746" s="46" t="s">
        <v>1766</v>
      </c>
      <c r="F746" s="48">
        <v>4814.82</v>
      </c>
      <c r="G746" s="46" t="s">
        <v>44</v>
      </c>
      <c r="H746" s="46" t="s">
        <v>1776</v>
      </c>
      <c r="I746" s="45" t="s">
        <v>125</v>
      </c>
      <c r="J746" s="46" t="s">
        <v>146</v>
      </c>
      <c r="K746" s="46" t="s">
        <v>146</v>
      </c>
      <c r="L746" s="46" t="s">
        <v>15</v>
      </c>
      <c r="M746" s="46" t="s">
        <v>13</v>
      </c>
      <c r="N746" s="46" t="s">
        <v>14</v>
      </c>
      <c r="O746" s="49" t="s">
        <v>803</v>
      </c>
      <c r="P746" s="46" t="s">
        <v>507</v>
      </c>
      <c r="Q746" s="35" t="str">
        <f>MID(Tabla1[[#This Row],[Aplicación]],14,1)</f>
        <v>2</v>
      </c>
      <c r="R746" s="35" t="s">
        <v>495</v>
      </c>
      <c r="S746" s="35" t="str">
        <f>MID(Tabla1[[#This Row],[Aplicación]],6,2)</f>
        <v>10</v>
      </c>
      <c r="T746" s="35" t="str">
        <f>VLOOKUP(Tabla1[[#This Row],[AREA]],Hoja1!A:B,2,FALSE)</f>
        <v>10. Servicios sociales y mediación comunitaria</v>
      </c>
      <c r="U746" s="35" t="str">
        <f>MID(Tabla1[[#This Row],[Aplicación]],9,4)</f>
        <v>2412</v>
      </c>
      <c r="V746" s="35" t="str">
        <f>VLOOKUP(Tabla1[[#This Row],[PROGRAMA]],Hoja1!A:B,2,FALSE)</f>
        <v>2412. Formación para el empleo</v>
      </c>
      <c r="W746" s="35" t="str">
        <f>MID(Tabla1[[#This Row],[Aplicación]],14,2)</f>
        <v>22</v>
      </c>
      <c r="X746" s="35" t="str">
        <f>MID(Tabla1[[#This Row],[Aplicación]],14,6)</f>
        <v>22102</v>
      </c>
    </row>
    <row r="747" spans="1:24" x14ac:dyDescent="0.25">
      <c r="A747" s="45">
        <v>220210000523</v>
      </c>
      <c r="B747" s="46" t="s">
        <v>501</v>
      </c>
      <c r="C747" s="47">
        <v>44221</v>
      </c>
      <c r="D747" s="45">
        <v>22021000057</v>
      </c>
      <c r="E747" s="46" t="s">
        <v>1766</v>
      </c>
      <c r="F747" s="48">
        <v>-10000</v>
      </c>
      <c r="G747" s="46" t="s">
        <v>44</v>
      </c>
      <c r="H747" s="46" t="s">
        <v>683</v>
      </c>
      <c r="I747" s="45" t="s">
        <v>125</v>
      </c>
      <c r="J747" s="46" t="s">
        <v>146</v>
      </c>
      <c r="K747" s="46" t="s">
        <v>146</v>
      </c>
      <c r="L747" s="46" t="s">
        <v>15</v>
      </c>
      <c r="M747" s="46" t="s">
        <v>13</v>
      </c>
      <c r="N747" s="46" t="s">
        <v>14</v>
      </c>
      <c r="O747" s="49" t="s">
        <v>803</v>
      </c>
      <c r="P747" s="46" t="s">
        <v>507</v>
      </c>
      <c r="Q747" s="35" t="str">
        <f>MID(Tabla1[[#This Row],[Aplicación]],14,1)</f>
        <v>2</v>
      </c>
      <c r="R747" s="35" t="s">
        <v>495</v>
      </c>
      <c r="S747" s="35" t="str">
        <f>MID(Tabla1[[#This Row],[Aplicación]],6,2)</f>
        <v>10</v>
      </c>
      <c r="T747" s="35" t="str">
        <f>VLOOKUP(Tabla1[[#This Row],[AREA]],Hoja1!A:B,2,FALSE)</f>
        <v>10. Servicios sociales y mediación comunitaria</v>
      </c>
      <c r="U747" s="35" t="str">
        <f>MID(Tabla1[[#This Row],[Aplicación]],9,4)</f>
        <v>2412</v>
      </c>
      <c r="V747" s="35" t="str">
        <f>VLOOKUP(Tabla1[[#This Row],[PROGRAMA]],Hoja1!A:B,2,FALSE)</f>
        <v>2412. Formación para el empleo</v>
      </c>
      <c r="W747" s="35" t="str">
        <f>MID(Tabla1[[#This Row],[Aplicación]],14,2)</f>
        <v>22</v>
      </c>
      <c r="X747" s="35" t="str">
        <f>MID(Tabla1[[#This Row],[Aplicación]],14,6)</f>
        <v>22102</v>
      </c>
    </row>
    <row r="748" spans="1:24" x14ac:dyDescent="0.25">
      <c r="A748" s="45">
        <v>220210000535</v>
      </c>
      <c r="B748" s="46" t="s">
        <v>9</v>
      </c>
      <c r="C748" s="47">
        <v>44221</v>
      </c>
      <c r="D748" s="45">
        <v>22021000008</v>
      </c>
      <c r="E748" s="46" t="s">
        <v>1777</v>
      </c>
      <c r="F748" s="48">
        <v>800</v>
      </c>
      <c r="G748" s="46" t="s">
        <v>44</v>
      </c>
      <c r="H748" s="46" t="s">
        <v>1778</v>
      </c>
      <c r="I748" s="45" t="s">
        <v>125</v>
      </c>
      <c r="J748" s="46" t="s">
        <v>146</v>
      </c>
      <c r="K748" s="46" t="s">
        <v>146</v>
      </c>
      <c r="L748" s="46" t="s">
        <v>15</v>
      </c>
      <c r="M748" s="46" t="s">
        <v>13</v>
      </c>
      <c r="N748" s="46" t="s">
        <v>14</v>
      </c>
      <c r="O748" s="49" t="s">
        <v>803</v>
      </c>
      <c r="P748" s="46" t="s">
        <v>507</v>
      </c>
      <c r="Q748" s="35" t="str">
        <f>MID(Tabla1[[#This Row],[Aplicación]],14,1)</f>
        <v>2</v>
      </c>
      <c r="R748" s="35" t="s">
        <v>495</v>
      </c>
      <c r="S748" s="35" t="str">
        <f>MID(Tabla1[[#This Row],[Aplicación]],6,2)</f>
        <v>09</v>
      </c>
      <c r="T748" s="35" t="str">
        <f>VLOOKUP(Tabla1[[#This Row],[AREA]],Hoja1!A:B,2,FALSE)</f>
        <v>09. Cultura y turismo</v>
      </c>
      <c r="U748" s="35" t="str">
        <f>MID(Tabla1[[#This Row],[Aplicación]],9,4)</f>
        <v>3341</v>
      </c>
      <c r="V748" s="35" t="str">
        <f>VLOOKUP(Tabla1[[#This Row],[PROGRAMA]],Hoja1!A:B,2,FALSE)</f>
        <v>3341. Coordinación de políticas culturales</v>
      </c>
      <c r="W748" s="35" t="str">
        <f>MID(Tabla1[[#This Row],[Aplicación]],14,2)</f>
        <v>22</v>
      </c>
      <c r="X748" s="35" t="str">
        <f>MID(Tabla1[[#This Row],[Aplicación]],14,6)</f>
        <v>22102</v>
      </c>
    </row>
    <row r="749" spans="1:24" x14ac:dyDescent="0.25">
      <c r="A749" s="45">
        <v>220210005275</v>
      </c>
      <c r="B749" s="46" t="s">
        <v>501</v>
      </c>
      <c r="C749" s="47">
        <v>44249</v>
      </c>
      <c r="D749" s="45">
        <v>22021000765</v>
      </c>
      <c r="E749" s="46" t="s">
        <v>1766</v>
      </c>
      <c r="F749" s="48">
        <v>-4814.82</v>
      </c>
      <c r="G749" s="46" t="s">
        <v>44</v>
      </c>
      <c r="H749" s="46" t="s">
        <v>1776</v>
      </c>
      <c r="I749" s="45" t="s">
        <v>125</v>
      </c>
      <c r="J749" s="46" t="s">
        <v>146</v>
      </c>
      <c r="K749" s="46" t="s">
        <v>146</v>
      </c>
      <c r="L749" s="46" t="s">
        <v>15</v>
      </c>
      <c r="M749" s="46" t="s">
        <v>13</v>
      </c>
      <c r="N749" s="46" t="s">
        <v>14</v>
      </c>
      <c r="O749" s="49" t="s">
        <v>803</v>
      </c>
      <c r="P749" s="46" t="s">
        <v>507</v>
      </c>
      <c r="Q749" s="35" t="str">
        <f>MID(Tabla1[[#This Row],[Aplicación]],14,1)</f>
        <v>2</v>
      </c>
      <c r="R749" s="35" t="s">
        <v>495</v>
      </c>
      <c r="S749" s="35" t="str">
        <f>MID(Tabla1[[#This Row],[Aplicación]],6,2)</f>
        <v>10</v>
      </c>
      <c r="T749" s="35" t="str">
        <f>VLOOKUP(Tabla1[[#This Row],[AREA]],Hoja1!A:B,2,FALSE)</f>
        <v>10. Servicios sociales y mediación comunitaria</v>
      </c>
      <c r="U749" s="35" t="str">
        <f>MID(Tabla1[[#This Row],[Aplicación]],9,4)</f>
        <v>2412</v>
      </c>
      <c r="V749" s="35" t="str">
        <f>VLOOKUP(Tabla1[[#This Row],[PROGRAMA]],Hoja1!A:B,2,FALSE)</f>
        <v>2412. Formación para el empleo</v>
      </c>
      <c r="W749" s="35" t="str">
        <f>MID(Tabla1[[#This Row],[Aplicación]],14,2)</f>
        <v>22</v>
      </c>
      <c r="X749" s="35" t="str">
        <f>MID(Tabla1[[#This Row],[Aplicación]],14,6)</f>
        <v>22102</v>
      </c>
    </row>
    <row r="750" spans="1:24" x14ac:dyDescent="0.25">
      <c r="A750" s="45">
        <v>220210005275</v>
      </c>
      <c r="B750" s="46" t="s">
        <v>501</v>
      </c>
      <c r="C750" s="47">
        <v>44249</v>
      </c>
      <c r="D750" s="45">
        <v>22021000763</v>
      </c>
      <c r="E750" s="46" t="s">
        <v>1766</v>
      </c>
      <c r="F750" s="48">
        <v>-1043.79</v>
      </c>
      <c r="G750" s="46" t="s">
        <v>44</v>
      </c>
      <c r="H750" s="46" t="s">
        <v>1776</v>
      </c>
      <c r="I750" s="45" t="s">
        <v>125</v>
      </c>
      <c r="J750" s="46" t="s">
        <v>146</v>
      </c>
      <c r="K750" s="46" t="s">
        <v>146</v>
      </c>
      <c r="L750" s="46" t="s">
        <v>15</v>
      </c>
      <c r="M750" s="46" t="s">
        <v>13</v>
      </c>
      <c r="N750" s="46" t="s">
        <v>14</v>
      </c>
      <c r="O750" s="49" t="s">
        <v>803</v>
      </c>
      <c r="P750" s="46" t="s">
        <v>507</v>
      </c>
      <c r="Q750" s="35" t="str">
        <f>MID(Tabla1[[#This Row],[Aplicación]],14,1)</f>
        <v>2</v>
      </c>
      <c r="R750" s="35" t="s">
        <v>495</v>
      </c>
      <c r="S750" s="35" t="str">
        <f>MID(Tabla1[[#This Row],[Aplicación]],6,2)</f>
        <v>10</v>
      </c>
      <c r="T750" s="35" t="str">
        <f>VLOOKUP(Tabla1[[#This Row],[AREA]],Hoja1!A:B,2,FALSE)</f>
        <v>10. Servicios sociales y mediación comunitaria</v>
      </c>
      <c r="U750" s="35" t="str">
        <f>MID(Tabla1[[#This Row],[Aplicación]],9,4)</f>
        <v>2412</v>
      </c>
      <c r="V750" s="35" t="str">
        <f>VLOOKUP(Tabla1[[#This Row],[PROGRAMA]],Hoja1!A:B,2,FALSE)</f>
        <v>2412. Formación para el empleo</v>
      </c>
      <c r="W750" s="35" t="str">
        <f>MID(Tabla1[[#This Row],[Aplicación]],14,2)</f>
        <v>22</v>
      </c>
      <c r="X750" s="35" t="str">
        <f>MID(Tabla1[[#This Row],[Aplicación]],14,6)</f>
        <v>22102</v>
      </c>
    </row>
    <row r="751" spans="1:24" x14ac:dyDescent="0.25">
      <c r="A751" s="45">
        <v>220210005275</v>
      </c>
      <c r="B751" s="46" t="s">
        <v>501</v>
      </c>
      <c r="C751" s="47">
        <v>44249</v>
      </c>
      <c r="D751" s="45">
        <v>22021000764</v>
      </c>
      <c r="E751" s="46" t="s">
        <v>1766</v>
      </c>
      <c r="F751" s="48">
        <v>-2592.59</v>
      </c>
      <c r="G751" s="46" t="s">
        <v>44</v>
      </c>
      <c r="H751" s="46" t="s">
        <v>1776</v>
      </c>
      <c r="I751" s="45" t="s">
        <v>125</v>
      </c>
      <c r="J751" s="46" t="s">
        <v>146</v>
      </c>
      <c r="K751" s="46" t="s">
        <v>146</v>
      </c>
      <c r="L751" s="46" t="s">
        <v>15</v>
      </c>
      <c r="M751" s="46" t="s">
        <v>13</v>
      </c>
      <c r="N751" s="46" t="s">
        <v>14</v>
      </c>
      <c r="O751" s="49" t="s">
        <v>803</v>
      </c>
      <c r="P751" s="46" t="s">
        <v>507</v>
      </c>
      <c r="Q751" s="35" t="str">
        <f>MID(Tabla1[[#This Row],[Aplicación]],14,1)</f>
        <v>2</v>
      </c>
      <c r="R751" s="35" t="s">
        <v>495</v>
      </c>
      <c r="S751" s="35" t="str">
        <f>MID(Tabla1[[#This Row],[Aplicación]],6,2)</f>
        <v>10</v>
      </c>
      <c r="T751" s="35" t="str">
        <f>VLOOKUP(Tabla1[[#This Row],[AREA]],Hoja1!A:B,2,FALSE)</f>
        <v>10. Servicios sociales y mediación comunitaria</v>
      </c>
      <c r="U751" s="35" t="str">
        <f>MID(Tabla1[[#This Row],[Aplicación]],9,4)</f>
        <v>2412</v>
      </c>
      <c r="V751" s="35" t="str">
        <f>VLOOKUP(Tabla1[[#This Row],[PROGRAMA]],Hoja1!A:B,2,FALSE)</f>
        <v>2412. Formación para el empleo</v>
      </c>
      <c r="W751" s="35" t="str">
        <f>MID(Tabla1[[#This Row],[Aplicación]],14,2)</f>
        <v>22</v>
      </c>
      <c r="X751" s="35" t="str">
        <f>MID(Tabla1[[#This Row],[Aplicación]],14,6)</f>
        <v>22102</v>
      </c>
    </row>
    <row r="752" spans="1:24" x14ac:dyDescent="0.25">
      <c r="A752" s="45">
        <v>220210006445</v>
      </c>
      <c r="B752" s="46" t="s">
        <v>9</v>
      </c>
      <c r="C752" s="47">
        <v>44252</v>
      </c>
      <c r="D752" s="45">
        <v>22021000764</v>
      </c>
      <c r="E752" s="46" t="s">
        <v>1766</v>
      </c>
      <c r="F752" s="48">
        <v>2090.1999999999998</v>
      </c>
      <c r="G752" s="46" t="s">
        <v>44</v>
      </c>
      <c r="H752" s="46" t="s">
        <v>1779</v>
      </c>
      <c r="I752" s="45" t="s">
        <v>125</v>
      </c>
      <c r="J752" s="46" t="s">
        <v>146</v>
      </c>
      <c r="K752" s="46" t="s">
        <v>146</v>
      </c>
      <c r="L752" s="46" t="s">
        <v>12</v>
      </c>
      <c r="M752" s="46" t="s">
        <v>13</v>
      </c>
      <c r="N752" s="46" t="s">
        <v>14</v>
      </c>
      <c r="O752" s="49" t="s">
        <v>803</v>
      </c>
      <c r="P752" s="46" t="s">
        <v>507</v>
      </c>
      <c r="Q752" s="35" t="str">
        <f>MID(Tabla1[[#This Row],[Aplicación]],14,1)</f>
        <v>2</v>
      </c>
      <c r="R752" s="35" t="s">
        <v>495</v>
      </c>
      <c r="S752" s="35" t="str">
        <f>MID(Tabla1[[#This Row],[Aplicación]],6,2)</f>
        <v>10</v>
      </c>
      <c r="T752" s="35" t="str">
        <f>VLOOKUP(Tabla1[[#This Row],[AREA]],Hoja1!A:B,2,FALSE)</f>
        <v>10. Servicios sociales y mediación comunitaria</v>
      </c>
      <c r="U752" s="35" t="str">
        <f>MID(Tabla1[[#This Row],[Aplicación]],9,4)</f>
        <v>2412</v>
      </c>
      <c r="V752" s="35" t="str">
        <f>VLOOKUP(Tabla1[[#This Row],[PROGRAMA]],Hoja1!A:B,2,FALSE)</f>
        <v>2412. Formación para el empleo</v>
      </c>
      <c r="W752" s="35" t="str">
        <f>MID(Tabla1[[#This Row],[Aplicación]],14,2)</f>
        <v>22</v>
      </c>
      <c r="X752" s="35" t="str">
        <f>MID(Tabla1[[#This Row],[Aplicación]],14,6)</f>
        <v>22102</v>
      </c>
    </row>
    <row r="753" spans="1:24" x14ac:dyDescent="0.25">
      <c r="A753" s="45">
        <v>220210006445</v>
      </c>
      <c r="B753" s="46" t="s">
        <v>9</v>
      </c>
      <c r="C753" s="47">
        <v>44252</v>
      </c>
      <c r="D753" s="45">
        <v>22021000763</v>
      </c>
      <c r="E753" s="46" t="s">
        <v>1766</v>
      </c>
      <c r="F753" s="48">
        <v>2916</v>
      </c>
      <c r="G753" s="46" t="s">
        <v>44</v>
      </c>
      <c r="H753" s="46" t="s">
        <v>1779</v>
      </c>
      <c r="I753" s="45" t="s">
        <v>125</v>
      </c>
      <c r="J753" s="46" t="s">
        <v>146</v>
      </c>
      <c r="K753" s="46" t="s">
        <v>146</v>
      </c>
      <c r="L753" s="46" t="s">
        <v>12</v>
      </c>
      <c r="M753" s="46" t="s">
        <v>13</v>
      </c>
      <c r="N753" s="46" t="s">
        <v>14</v>
      </c>
      <c r="O753" s="49" t="s">
        <v>803</v>
      </c>
      <c r="P753" s="46" t="s">
        <v>507</v>
      </c>
      <c r="Q753" s="35" t="str">
        <f>MID(Tabla1[[#This Row],[Aplicación]],14,1)</f>
        <v>2</v>
      </c>
      <c r="R753" s="35" t="s">
        <v>495</v>
      </c>
      <c r="S753" s="35" t="str">
        <f>MID(Tabla1[[#This Row],[Aplicación]],6,2)</f>
        <v>10</v>
      </c>
      <c r="T753" s="35" t="str">
        <f>VLOOKUP(Tabla1[[#This Row],[AREA]],Hoja1!A:B,2,FALSE)</f>
        <v>10. Servicios sociales y mediación comunitaria</v>
      </c>
      <c r="U753" s="35" t="str">
        <f>MID(Tabla1[[#This Row],[Aplicación]],9,4)</f>
        <v>2412</v>
      </c>
      <c r="V753" s="35" t="str">
        <f>VLOOKUP(Tabla1[[#This Row],[PROGRAMA]],Hoja1!A:B,2,FALSE)</f>
        <v>2412. Formación para el empleo</v>
      </c>
      <c r="W753" s="35" t="str">
        <f>MID(Tabla1[[#This Row],[Aplicación]],14,2)</f>
        <v>22</v>
      </c>
      <c r="X753" s="35" t="str">
        <f>MID(Tabla1[[#This Row],[Aplicación]],14,6)</f>
        <v>22102</v>
      </c>
    </row>
    <row r="754" spans="1:24" x14ac:dyDescent="0.25">
      <c r="A754" s="45">
        <v>220210006445</v>
      </c>
      <c r="B754" s="46" t="s">
        <v>9</v>
      </c>
      <c r="C754" s="47">
        <v>44252</v>
      </c>
      <c r="D754" s="45">
        <v>22021000765</v>
      </c>
      <c r="E754" s="46" t="s">
        <v>1766</v>
      </c>
      <c r="F754" s="48">
        <v>3445</v>
      </c>
      <c r="G754" s="46" t="s">
        <v>44</v>
      </c>
      <c r="H754" s="46" t="s">
        <v>1779</v>
      </c>
      <c r="I754" s="45" t="s">
        <v>125</v>
      </c>
      <c r="J754" s="46" t="s">
        <v>146</v>
      </c>
      <c r="K754" s="46" t="s">
        <v>146</v>
      </c>
      <c r="L754" s="46" t="s">
        <v>12</v>
      </c>
      <c r="M754" s="46" t="s">
        <v>13</v>
      </c>
      <c r="N754" s="46" t="s">
        <v>14</v>
      </c>
      <c r="O754" s="49" t="s">
        <v>803</v>
      </c>
      <c r="P754" s="46" t="s">
        <v>507</v>
      </c>
      <c r="Q754" s="35" t="str">
        <f>MID(Tabla1[[#This Row],[Aplicación]],14,1)</f>
        <v>2</v>
      </c>
      <c r="R754" s="35" t="s">
        <v>495</v>
      </c>
      <c r="S754" s="35" t="str">
        <f>MID(Tabla1[[#This Row],[Aplicación]],6,2)</f>
        <v>10</v>
      </c>
      <c r="T754" s="35" t="str">
        <f>VLOOKUP(Tabla1[[#This Row],[AREA]],Hoja1!A:B,2,FALSE)</f>
        <v>10. Servicios sociales y mediación comunitaria</v>
      </c>
      <c r="U754" s="35" t="str">
        <f>MID(Tabla1[[#This Row],[Aplicación]],9,4)</f>
        <v>2412</v>
      </c>
      <c r="V754" s="35" t="str">
        <f>VLOOKUP(Tabla1[[#This Row],[PROGRAMA]],Hoja1!A:B,2,FALSE)</f>
        <v>2412. Formación para el empleo</v>
      </c>
      <c r="W754" s="35" t="str">
        <f>MID(Tabla1[[#This Row],[Aplicación]],14,2)</f>
        <v>22</v>
      </c>
      <c r="X754" s="35" t="str">
        <f>MID(Tabla1[[#This Row],[Aplicación]],14,6)</f>
        <v>22102</v>
      </c>
    </row>
    <row r="755" spans="1:24" x14ac:dyDescent="0.25">
      <c r="A755" s="45">
        <v>220210006452</v>
      </c>
      <c r="B755" s="46" t="s">
        <v>9</v>
      </c>
      <c r="C755" s="47">
        <v>44253</v>
      </c>
      <c r="D755" s="45">
        <v>22021002598</v>
      </c>
      <c r="E755" s="46" t="s">
        <v>1769</v>
      </c>
      <c r="F755" s="48">
        <v>1500</v>
      </c>
      <c r="G755" s="46" t="s">
        <v>44</v>
      </c>
      <c r="H755" s="46" t="s">
        <v>1780</v>
      </c>
      <c r="I755" s="45" t="s">
        <v>125</v>
      </c>
      <c r="J755" s="46" t="s">
        <v>146</v>
      </c>
      <c r="K755" s="46" t="s">
        <v>146</v>
      </c>
      <c r="L755" s="46" t="s">
        <v>12</v>
      </c>
      <c r="M755" s="46" t="s">
        <v>13</v>
      </c>
      <c r="N755" s="46" t="s">
        <v>14</v>
      </c>
      <c r="O755" s="49" t="s">
        <v>803</v>
      </c>
      <c r="P755" s="46" t="s">
        <v>507</v>
      </c>
      <c r="Q755" s="35" t="str">
        <f>MID(Tabla1[[#This Row],[Aplicación]],14,1)</f>
        <v>2</v>
      </c>
      <c r="R755" s="35" t="s">
        <v>495</v>
      </c>
      <c r="S755" s="35" t="str">
        <f>MID(Tabla1[[#This Row],[Aplicación]],6,2)</f>
        <v>06</v>
      </c>
      <c r="T755" s="35" t="str">
        <f>VLOOKUP(Tabla1[[#This Row],[AREA]],Hoja1!A:B,2,FALSE)</f>
        <v>06. Educación, infancia, juventud e igualdad</v>
      </c>
      <c r="U755" s="35" t="str">
        <f>MID(Tabla1[[#This Row],[Aplicación]],9,4)</f>
        <v>3232</v>
      </c>
      <c r="V755" s="35" t="str">
        <f>VLOOKUP(Tabla1[[#This Row],[PROGRAMA]],Hoja1!A:B,2,FALSE)</f>
        <v>3232. Conservación y mantenimiento centros educación infantil y primaria</v>
      </c>
      <c r="W755" s="35" t="str">
        <f>MID(Tabla1[[#This Row],[Aplicación]],14,2)</f>
        <v>22</v>
      </c>
      <c r="X755" s="35" t="str">
        <f>MID(Tabla1[[#This Row],[Aplicación]],14,6)</f>
        <v>22102</v>
      </c>
    </row>
    <row r="756" spans="1:24" x14ac:dyDescent="0.25">
      <c r="A756" s="45">
        <v>220210008452</v>
      </c>
      <c r="B756" s="46" t="s">
        <v>9</v>
      </c>
      <c r="C756" s="47">
        <v>44266</v>
      </c>
      <c r="D756" s="45">
        <v>22021003364</v>
      </c>
      <c r="E756" s="46" t="s">
        <v>1660</v>
      </c>
      <c r="F756" s="48">
        <v>4537.5</v>
      </c>
      <c r="G756" s="46" t="s">
        <v>1781</v>
      </c>
      <c r="H756" s="46" t="s">
        <v>1782</v>
      </c>
      <c r="I756" s="45" t="s">
        <v>125</v>
      </c>
      <c r="J756" s="46" t="s">
        <v>127</v>
      </c>
      <c r="K756" s="46" t="s">
        <v>127</v>
      </c>
      <c r="L756" s="46" t="s">
        <v>12</v>
      </c>
      <c r="M756" s="46" t="s">
        <v>10</v>
      </c>
      <c r="N756" s="46" t="s">
        <v>11</v>
      </c>
      <c r="O756" s="49" t="s">
        <v>815</v>
      </c>
      <c r="P756" s="46" t="s">
        <v>507</v>
      </c>
      <c r="Q756" s="35" t="str">
        <f>MID(Tabla1[[#This Row],[Aplicación]],14,1)</f>
        <v>2</v>
      </c>
      <c r="R756" s="35" t="s">
        <v>495</v>
      </c>
      <c r="S756" s="35" t="str">
        <f>MID(Tabla1[[#This Row],[Aplicación]],6,2)</f>
        <v>04</v>
      </c>
      <c r="T756" s="35" t="str">
        <f>VLOOKUP(Tabla1[[#This Row],[AREA]],Hoja1!A:B,2,FALSE)</f>
        <v>04. Planificación y recursos</v>
      </c>
      <c r="U756" s="35" t="str">
        <f>MID(Tabla1[[#This Row],[Aplicación]],9,4)</f>
        <v>9202</v>
      </c>
      <c r="V756" s="35" t="str">
        <f>VLOOKUP(Tabla1[[#This Row],[PROGRAMA]],Hoja1!A:B,2,FALSE)</f>
        <v>9202. Gestión de recursos humanos</v>
      </c>
      <c r="W756" s="35" t="str">
        <f>MID(Tabla1[[#This Row],[Aplicación]],14,2)</f>
        <v>22</v>
      </c>
      <c r="X756" s="35" t="str">
        <f>MID(Tabla1[[#This Row],[Aplicación]],14,6)</f>
        <v>22607</v>
      </c>
    </row>
    <row r="757" spans="1:24" x14ac:dyDescent="0.25">
      <c r="A757" s="45">
        <v>220210008454</v>
      </c>
      <c r="B757" s="46" t="s">
        <v>9</v>
      </c>
      <c r="C757" s="47">
        <v>44266</v>
      </c>
      <c r="D757" s="45">
        <v>22021003383</v>
      </c>
      <c r="E757" s="46" t="s">
        <v>1660</v>
      </c>
      <c r="F757" s="48">
        <v>294.02999999999997</v>
      </c>
      <c r="G757" s="46" t="s">
        <v>1781</v>
      </c>
      <c r="H757" s="46" t="s">
        <v>1783</v>
      </c>
      <c r="I757" s="45" t="s">
        <v>125</v>
      </c>
      <c r="J757" s="46" t="s">
        <v>127</v>
      </c>
      <c r="K757" s="46" t="s">
        <v>127</v>
      </c>
      <c r="L757" s="46" t="s">
        <v>12</v>
      </c>
      <c r="M757" s="46" t="s">
        <v>10</v>
      </c>
      <c r="N757" s="46" t="s">
        <v>11</v>
      </c>
      <c r="O757" s="49" t="s">
        <v>815</v>
      </c>
      <c r="P757" s="46" t="s">
        <v>507</v>
      </c>
      <c r="Q757" s="35" t="str">
        <f>MID(Tabla1[[#This Row],[Aplicación]],14,1)</f>
        <v>2</v>
      </c>
      <c r="R757" s="35" t="s">
        <v>495</v>
      </c>
      <c r="S757" s="35" t="str">
        <f>MID(Tabla1[[#This Row],[Aplicación]],6,2)</f>
        <v>04</v>
      </c>
      <c r="T757" s="35" t="str">
        <f>VLOOKUP(Tabla1[[#This Row],[AREA]],Hoja1!A:B,2,FALSE)</f>
        <v>04. Planificación y recursos</v>
      </c>
      <c r="U757" s="35" t="str">
        <f>MID(Tabla1[[#This Row],[Aplicación]],9,4)</f>
        <v>9202</v>
      </c>
      <c r="V757" s="35" t="str">
        <f>VLOOKUP(Tabla1[[#This Row],[PROGRAMA]],Hoja1!A:B,2,FALSE)</f>
        <v>9202. Gestión de recursos humanos</v>
      </c>
      <c r="W757" s="35" t="str">
        <f>MID(Tabla1[[#This Row],[Aplicación]],14,2)</f>
        <v>22</v>
      </c>
      <c r="X757" s="35" t="str">
        <f>MID(Tabla1[[#This Row],[Aplicación]],14,6)</f>
        <v>22607</v>
      </c>
    </row>
    <row r="758" spans="1:24" x14ac:dyDescent="0.25">
      <c r="A758" s="45">
        <v>220210012929</v>
      </c>
      <c r="B758" s="46" t="s">
        <v>501</v>
      </c>
      <c r="C758" s="47">
        <v>44284</v>
      </c>
      <c r="D758" s="45">
        <v>22021003383</v>
      </c>
      <c r="E758" s="46" t="s">
        <v>1660</v>
      </c>
      <c r="F758" s="48">
        <v>-294.02999999999997</v>
      </c>
      <c r="G758" s="46" t="s">
        <v>1781</v>
      </c>
      <c r="H758" s="46" t="s">
        <v>1784</v>
      </c>
      <c r="I758" s="45" t="s">
        <v>125</v>
      </c>
      <c r="J758" s="46" t="s">
        <v>127</v>
      </c>
      <c r="K758" s="46" t="s">
        <v>127</v>
      </c>
      <c r="L758" s="46" t="s">
        <v>12</v>
      </c>
      <c r="M758" s="46" t="s">
        <v>10</v>
      </c>
      <c r="N758" s="46" t="s">
        <v>11</v>
      </c>
      <c r="O758" s="49" t="s">
        <v>815</v>
      </c>
      <c r="P758" s="46" t="s">
        <v>507</v>
      </c>
      <c r="Q758" s="35" t="str">
        <f>MID(Tabla1[[#This Row],[Aplicación]],14,1)</f>
        <v>2</v>
      </c>
      <c r="R758" s="35" t="s">
        <v>495</v>
      </c>
      <c r="S758" s="35" t="str">
        <f>MID(Tabla1[[#This Row],[Aplicación]],6,2)</f>
        <v>04</v>
      </c>
      <c r="T758" s="35" t="str">
        <f>VLOOKUP(Tabla1[[#This Row],[AREA]],Hoja1!A:B,2,FALSE)</f>
        <v>04. Planificación y recursos</v>
      </c>
      <c r="U758" s="35" t="str">
        <f>MID(Tabla1[[#This Row],[Aplicación]],9,4)</f>
        <v>9202</v>
      </c>
      <c r="V758" s="35" t="str">
        <f>VLOOKUP(Tabla1[[#This Row],[PROGRAMA]],Hoja1!A:B,2,FALSE)</f>
        <v>9202. Gestión de recursos humanos</v>
      </c>
      <c r="W758" s="35" t="str">
        <f>MID(Tabla1[[#This Row],[Aplicación]],14,2)</f>
        <v>22</v>
      </c>
      <c r="X758" s="35" t="str">
        <f>MID(Tabla1[[#This Row],[Aplicación]],14,6)</f>
        <v>22607</v>
      </c>
    </row>
    <row r="759" spans="1:24" x14ac:dyDescent="0.25">
      <c r="A759" s="45">
        <v>220210012930</v>
      </c>
      <c r="B759" s="46" t="s">
        <v>501</v>
      </c>
      <c r="C759" s="47">
        <v>44284</v>
      </c>
      <c r="D759" s="45">
        <v>22021003364</v>
      </c>
      <c r="E759" s="46" t="s">
        <v>1660</v>
      </c>
      <c r="F759" s="48">
        <v>-4537.5</v>
      </c>
      <c r="G759" s="46" t="s">
        <v>1781</v>
      </c>
      <c r="H759" s="46" t="s">
        <v>1785</v>
      </c>
      <c r="I759" s="45" t="s">
        <v>125</v>
      </c>
      <c r="J759" s="46" t="s">
        <v>127</v>
      </c>
      <c r="K759" s="46" t="s">
        <v>127</v>
      </c>
      <c r="L759" s="46" t="s">
        <v>12</v>
      </c>
      <c r="M759" s="46" t="s">
        <v>10</v>
      </c>
      <c r="N759" s="46" t="s">
        <v>11</v>
      </c>
      <c r="O759" s="49" t="s">
        <v>815</v>
      </c>
      <c r="P759" s="46" t="s">
        <v>507</v>
      </c>
      <c r="Q759" s="35" t="str">
        <f>MID(Tabla1[[#This Row],[Aplicación]],14,1)</f>
        <v>2</v>
      </c>
      <c r="R759" s="35" t="s">
        <v>495</v>
      </c>
      <c r="S759" s="35" t="str">
        <f>MID(Tabla1[[#This Row],[Aplicación]],6,2)</f>
        <v>04</v>
      </c>
      <c r="T759" s="35" t="str">
        <f>VLOOKUP(Tabla1[[#This Row],[AREA]],Hoja1!A:B,2,FALSE)</f>
        <v>04. Planificación y recursos</v>
      </c>
      <c r="U759" s="35" t="str">
        <f>MID(Tabla1[[#This Row],[Aplicación]],9,4)</f>
        <v>9202</v>
      </c>
      <c r="V759" s="35" t="str">
        <f>VLOOKUP(Tabla1[[#This Row],[PROGRAMA]],Hoja1!A:B,2,FALSE)</f>
        <v>9202. Gestión de recursos humanos</v>
      </c>
      <c r="W759" s="35" t="str">
        <f>MID(Tabla1[[#This Row],[Aplicación]],14,2)</f>
        <v>22</v>
      </c>
      <c r="X759" s="35" t="str">
        <f>MID(Tabla1[[#This Row],[Aplicación]],14,6)</f>
        <v>22607</v>
      </c>
    </row>
    <row r="760" spans="1:24" x14ac:dyDescent="0.25">
      <c r="A760" s="45">
        <v>220190041404</v>
      </c>
      <c r="B760" s="46" t="s">
        <v>9</v>
      </c>
      <c r="C760" s="47">
        <v>44284</v>
      </c>
      <c r="D760" s="45">
        <v>22019006217</v>
      </c>
      <c r="E760" s="46" t="s">
        <v>1634</v>
      </c>
      <c r="F760" s="48">
        <v>3267</v>
      </c>
      <c r="G760" s="46" t="s">
        <v>597</v>
      </c>
      <c r="H760" s="46" t="s">
        <v>598</v>
      </c>
      <c r="I760" s="45" t="s">
        <v>125</v>
      </c>
      <c r="J760" s="46" t="s">
        <v>127</v>
      </c>
      <c r="K760" s="46" t="s">
        <v>127</v>
      </c>
      <c r="L760" s="46" t="s">
        <v>12</v>
      </c>
      <c r="M760" s="46" t="s">
        <v>10</v>
      </c>
      <c r="N760" s="46" t="s">
        <v>11</v>
      </c>
      <c r="O760" s="49" t="s">
        <v>815</v>
      </c>
      <c r="P760" s="46" t="s">
        <v>507</v>
      </c>
      <c r="Q760" s="35" t="str">
        <f>MID(Tabla1[[#This Row],[Aplicación]],14,1)</f>
        <v>6</v>
      </c>
      <c r="R760" s="35" t="s">
        <v>496</v>
      </c>
      <c r="S760" s="35" t="str">
        <f>MID(Tabla1[[#This Row],[Aplicación]],6,2)</f>
        <v>08</v>
      </c>
      <c r="T760" s="35" t="str">
        <f>VLOOKUP(Tabla1[[#This Row],[AREA]],Hoja1!A:B,2,FALSE)</f>
        <v>08. Movilidad y espacio urbano</v>
      </c>
      <c r="U760" s="35" t="str">
        <f>MID(Tabla1[[#This Row],[Aplicación]],9,4)</f>
        <v>1532</v>
      </c>
      <c r="V760" s="35" t="str">
        <f>VLOOKUP(Tabla1[[#This Row],[PROGRAMA]],Hoja1!A:B,2,FALSE)</f>
        <v>1532. Pavimentación vias públicas y otros servicios urbanísticos</v>
      </c>
      <c r="W760" s="35" t="str">
        <f>MID(Tabla1[[#This Row],[Aplicación]],14,2)</f>
        <v>60</v>
      </c>
      <c r="X760" s="35" t="str">
        <f>MID(Tabla1[[#This Row],[Aplicación]],14,6)</f>
        <v>609</v>
      </c>
    </row>
    <row r="761" spans="1:24" x14ac:dyDescent="0.25">
      <c r="A761" s="45">
        <v>220209000835</v>
      </c>
      <c r="B761" s="46" t="s">
        <v>9</v>
      </c>
      <c r="C761" s="47">
        <v>44198</v>
      </c>
      <c r="D761" s="45">
        <v>22021001286</v>
      </c>
      <c r="E761" s="46" t="s">
        <v>881</v>
      </c>
      <c r="F761" s="48">
        <v>15000</v>
      </c>
      <c r="G761" s="46" t="s">
        <v>119</v>
      </c>
      <c r="H761" s="46" t="s">
        <v>1786</v>
      </c>
      <c r="I761" s="45" t="s">
        <v>125</v>
      </c>
      <c r="J761" s="46" t="s">
        <v>127</v>
      </c>
      <c r="K761" s="46" t="s">
        <v>127</v>
      </c>
      <c r="L761" s="46" t="s">
        <v>12</v>
      </c>
      <c r="M761" s="46" t="s">
        <v>13</v>
      </c>
      <c r="N761" s="46" t="s">
        <v>14</v>
      </c>
      <c r="O761" s="49" t="s">
        <v>803</v>
      </c>
      <c r="P761" s="46" t="s">
        <v>507</v>
      </c>
      <c r="Q761" s="35" t="str">
        <f>MID(Tabla1[[#This Row],[Aplicación]],14,1)</f>
        <v>2</v>
      </c>
      <c r="R761" s="35" t="s">
        <v>495</v>
      </c>
      <c r="S761" s="35" t="str">
        <f>MID(Tabla1[[#This Row],[Aplicación]],6,2)</f>
        <v>05</v>
      </c>
      <c r="T761" s="35" t="str">
        <f>VLOOKUP(Tabla1[[#This Row],[AREA]],Hoja1!A:B,2,FALSE)</f>
        <v>05. Innovación, desarrollo económico, empleo y comercio</v>
      </c>
      <c r="U761" s="35" t="str">
        <f>MID(Tabla1[[#This Row],[Aplicación]],9,4)</f>
        <v>4331</v>
      </c>
      <c r="V761" s="35" t="str">
        <f>VLOOKUP(Tabla1[[#This Row],[PROGRAMA]],Hoja1!A:B,2,FALSE)</f>
        <v>4331. Desarrollo empresarial</v>
      </c>
      <c r="W761" s="35" t="str">
        <f>MID(Tabla1[[#This Row],[Aplicación]],14,2)</f>
        <v>22</v>
      </c>
      <c r="X761" s="35" t="str">
        <f>MID(Tabla1[[#This Row],[Aplicación]],14,6)</f>
        <v>22799</v>
      </c>
    </row>
    <row r="762" spans="1:24" x14ac:dyDescent="0.25">
      <c r="A762" s="45">
        <v>220209000165</v>
      </c>
      <c r="B762" s="46" t="s">
        <v>9</v>
      </c>
      <c r="C762" s="47">
        <v>44198</v>
      </c>
      <c r="D762" s="45">
        <v>22021000229</v>
      </c>
      <c r="E762" s="46" t="s">
        <v>818</v>
      </c>
      <c r="F762" s="48">
        <v>18059.25</v>
      </c>
      <c r="G762" s="46" t="s">
        <v>1787</v>
      </c>
      <c r="H762" s="46" t="s">
        <v>1788</v>
      </c>
      <c r="I762" s="45" t="s">
        <v>125</v>
      </c>
      <c r="J762" s="46" t="s">
        <v>751</v>
      </c>
      <c r="K762" s="46" t="s">
        <v>126</v>
      </c>
      <c r="L762" s="46" t="s">
        <v>12</v>
      </c>
      <c r="M762" s="46" t="s">
        <v>13</v>
      </c>
      <c r="N762" s="46" t="s">
        <v>14</v>
      </c>
      <c r="O762" s="49" t="s">
        <v>803</v>
      </c>
      <c r="P762" s="46" t="s">
        <v>507</v>
      </c>
      <c r="Q762" s="35" t="str">
        <f>MID(Tabla1[[#This Row],[Aplicación]],14,1)</f>
        <v>2</v>
      </c>
      <c r="R762" s="35" t="s">
        <v>495</v>
      </c>
      <c r="S762" s="35" t="str">
        <f>MID(Tabla1[[#This Row],[Aplicación]],6,2)</f>
        <v>09</v>
      </c>
      <c r="T762" s="35" t="str">
        <f>VLOOKUP(Tabla1[[#This Row],[AREA]],Hoja1!A:B,2,FALSE)</f>
        <v>09. Cultura y turismo</v>
      </c>
      <c r="U762" s="35" t="str">
        <f>MID(Tabla1[[#This Row],[Aplicación]],9,4)</f>
        <v>3341</v>
      </c>
      <c r="V762" s="35" t="str">
        <f>VLOOKUP(Tabla1[[#This Row],[PROGRAMA]],Hoja1!A:B,2,FALSE)</f>
        <v>3341. Coordinación de políticas culturales</v>
      </c>
      <c r="W762" s="35" t="str">
        <f>MID(Tabla1[[#This Row],[Aplicación]],14,2)</f>
        <v>22</v>
      </c>
      <c r="X762" s="35" t="str">
        <f>MID(Tabla1[[#This Row],[Aplicación]],14,6)</f>
        <v>22609</v>
      </c>
    </row>
    <row r="763" spans="1:24" x14ac:dyDescent="0.25">
      <c r="A763" s="45">
        <v>220210006473</v>
      </c>
      <c r="B763" s="46" t="s">
        <v>32</v>
      </c>
      <c r="C763" s="47">
        <v>44253</v>
      </c>
      <c r="D763" s="45">
        <v>22021002954</v>
      </c>
      <c r="E763" s="46" t="s">
        <v>881</v>
      </c>
      <c r="F763" s="48">
        <v>2204.14</v>
      </c>
      <c r="G763" s="46" t="s">
        <v>119</v>
      </c>
      <c r="H763" s="46" t="s">
        <v>1789</v>
      </c>
      <c r="I763" s="45" t="s">
        <v>234</v>
      </c>
      <c r="J763" s="46" t="s">
        <v>127</v>
      </c>
      <c r="K763" s="46" t="s">
        <v>127</v>
      </c>
      <c r="L763" s="46" t="s">
        <v>12</v>
      </c>
      <c r="M763" s="46" t="s">
        <v>13</v>
      </c>
      <c r="N763" s="46" t="s">
        <v>14</v>
      </c>
      <c r="O763" s="49" t="s">
        <v>803</v>
      </c>
      <c r="P763" s="46" t="s">
        <v>507</v>
      </c>
      <c r="Q763" s="35" t="str">
        <f>MID(Tabla1[[#This Row],[Aplicación]],14,1)</f>
        <v>2</v>
      </c>
      <c r="R763" s="35" t="s">
        <v>495</v>
      </c>
      <c r="S763" s="35" t="str">
        <f>MID(Tabla1[[#This Row],[Aplicación]],6,2)</f>
        <v>05</v>
      </c>
      <c r="T763" s="35" t="str">
        <f>VLOOKUP(Tabla1[[#This Row],[AREA]],Hoja1!A:B,2,FALSE)</f>
        <v>05. Innovación, desarrollo económico, empleo y comercio</v>
      </c>
      <c r="U763" s="35" t="str">
        <f>MID(Tabla1[[#This Row],[Aplicación]],9,4)</f>
        <v>4331</v>
      </c>
      <c r="V763" s="35" t="str">
        <f>VLOOKUP(Tabla1[[#This Row],[PROGRAMA]],Hoja1!A:B,2,FALSE)</f>
        <v>4331. Desarrollo empresarial</v>
      </c>
      <c r="W763" s="35" t="str">
        <f>MID(Tabla1[[#This Row],[Aplicación]],14,2)</f>
        <v>22</v>
      </c>
      <c r="X763" s="35" t="str">
        <f>MID(Tabla1[[#This Row],[Aplicación]],14,6)</f>
        <v>22799</v>
      </c>
    </row>
    <row r="764" spans="1:24" x14ac:dyDescent="0.25">
      <c r="A764" s="45">
        <v>220210009589</v>
      </c>
      <c r="B764" s="46" t="s">
        <v>9</v>
      </c>
      <c r="C764" s="47">
        <v>44271</v>
      </c>
      <c r="D764" s="45">
        <v>22021003363</v>
      </c>
      <c r="E764" s="46" t="s">
        <v>1648</v>
      </c>
      <c r="F764" s="48">
        <v>4217.7</v>
      </c>
      <c r="G764" s="46" t="s">
        <v>119</v>
      </c>
      <c r="H764" s="46" t="s">
        <v>1790</v>
      </c>
      <c r="I764" s="45" t="s">
        <v>125</v>
      </c>
      <c r="J764" s="46" t="s">
        <v>127</v>
      </c>
      <c r="K764" s="46" t="s">
        <v>127</v>
      </c>
      <c r="L764" s="46" t="s">
        <v>12</v>
      </c>
      <c r="M764" s="46" t="s">
        <v>10</v>
      </c>
      <c r="N764" s="46" t="s">
        <v>11</v>
      </c>
      <c r="O764" s="49" t="s">
        <v>815</v>
      </c>
      <c r="P764" s="46" t="s">
        <v>507</v>
      </c>
      <c r="Q764" s="35" t="str">
        <f>MID(Tabla1[[#This Row],[Aplicación]],14,1)</f>
        <v>2</v>
      </c>
      <c r="R764" s="35" t="s">
        <v>495</v>
      </c>
      <c r="S764" s="35" t="str">
        <f>MID(Tabla1[[#This Row],[Aplicación]],6,2)</f>
        <v>09</v>
      </c>
      <c r="T764" s="35" t="str">
        <f>VLOOKUP(Tabla1[[#This Row],[AREA]],Hoja1!A:B,2,FALSE)</f>
        <v>09. Cultura y turismo</v>
      </c>
      <c r="U764" s="35" t="str">
        <f>MID(Tabla1[[#This Row],[Aplicación]],9,4)</f>
        <v>3341</v>
      </c>
      <c r="V764" s="35" t="str">
        <f>VLOOKUP(Tabla1[[#This Row],[PROGRAMA]],Hoja1!A:B,2,FALSE)</f>
        <v>3341. Coordinación de políticas culturales</v>
      </c>
      <c r="W764" s="35" t="str">
        <f>MID(Tabla1[[#This Row],[Aplicación]],14,2)</f>
        <v>22</v>
      </c>
      <c r="X764" s="35" t="str">
        <f>MID(Tabla1[[#This Row],[Aplicación]],14,6)</f>
        <v>22799</v>
      </c>
    </row>
    <row r="765" spans="1:24" x14ac:dyDescent="0.25">
      <c r="A765" s="45">
        <v>220209000131</v>
      </c>
      <c r="B765" s="46" t="s">
        <v>9</v>
      </c>
      <c r="C765" s="47">
        <v>44198</v>
      </c>
      <c r="D765" s="45">
        <v>22021000556</v>
      </c>
      <c r="E765" s="46" t="s">
        <v>838</v>
      </c>
      <c r="F765" s="48">
        <v>430415.49</v>
      </c>
      <c r="G765" s="46" t="s">
        <v>119</v>
      </c>
      <c r="H765" s="46" t="s">
        <v>1791</v>
      </c>
      <c r="I765" s="45" t="s">
        <v>125</v>
      </c>
      <c r="J765" s="46" t="s">
        <v>127</v>
      </c>
      <c r="K765" s="46" t="s">
        <v>127</v>
      </c>
      <c r="L765" s="46" t="s">
        <v>12</v>
      </c>
      <c r="M765" s="46" t="s">
        <v>13</v>
      </c>
      <c r="N765" s="46" t="s">
        <v>14</v>
      </c>
      <c r="O765" s="49" t="s">
        <v>803</v>
      </c>
      <c r="P765" s="46" t="s">
        <v>507</v>
      </c>
      <c r="Q765" s="35" t="str">
        <f>MID(Tabla1[[#This Row],[Aplicación]],14,1)</f>
        <v>6</v>
      </c>
      <c r="R765" s="35" t="s">
        <v>496</v>
      </c>
      <c r="S765" s="35" t="str">
        <f>MID(Tabla1[[#This Row],[Aplicación]],6,2)</f>
        <v>07</v>
      </c>
      <c r="T765" s="35" t="str">
        <f>VLOOKUP(Tabla1[[#This Row],[AREA]],Hoja1!A:B,2,FALSE)</f>
        <v>07. Medio ambiente y desarrollo sostenible</v>
      </c>
      <c r="U765" s="35" t="str">
        <f>MID(Tabla1[[#This Row],[Aplicación]],9,4)</f>
        <v>1711</v>
      </c>
      <c r="V765" s="35" t="str">
        <f>VLOOKUP(Tabla1[[#This Row],[PROGRAMA]],Hoja1!A:B,2,FALSE)</f>
        <v>1711. Parques y jardines</v>
      </c>
      <c r="W765" s="35" t="str">
        <f>MID(Tabla1[[#This Row],[Aplicación]],14,2)</f>
        <v>61</v>
      </c>
      <c r="X765" s="35" t="str">
        <f>MID(Tabla1[[#This Row],[Aplicación]],14,6)</f>
        <v>610</v>
      </c>
    </row>
    <row r="766" spans="1:24" x14ac:dyDescent="0.25">
      <c r="A766" s="45">
        <v>220209000132</v>
      </c>
      <c r="B766" s="46" t="s">
        <v>9</v>
      </c>
      <c r="C766" s="47">
        <v>44198</v>
      </c>
      <c r="D766" s="45">
        <v>22021000115</v>
      </c>
      <c r="E766" s="46" t="s">
        <v>840</v>
      </c>
      <c r="F766" s="48">
        <v>83675.56</v>
      </c>
      <c r="G766" s="46" t="s">
        <v>119</v>
      </c>
      <c r="H766" s="46" t="s">
        <v>1791</v>
      </c>
      <c r="I766" s="45" t="s">
        <v>125</v>
      </c>
      <c r="J766" s="46" t="s">
        <v>127</v>
      </c>
      <c r="K766" s="46" t="s">
        <v>127</v>
      </c>
      <c r="L766" s="46" t="s">
        <v>12</v>
      </c>
      <c r="M766" s="46" t="s">
        <v>13</v>
      </c>
      <c r="N766" s="46" t="s">
        <v>14</v>
      </c>
      <c r="O766" s="49" t="s">
        <v>803</v>
      </c>
      <c r="P766" s="46" t="s">
        <v>507</v>
      </c>
      <c r="Q766" s="35" t="str">
        <f>MID(Tabla1[[#This Row],[Aplicación]],14,1)</f>
        <v>2</v>
      </c>
      <c r="R766" s="35" t="s">
        <v>495</v>
      </c>
      <c r="S766" s="35" t="str">
        <f>MID(Tabla1[[#This Row],[Aplicación]],6,2)</f>
        <v>07</v>
      </c>
      <c r="T766" s="35" t="str">
        <f>VLOOKUP(Tabla1[[#This Row],[AREA]],Hoja1!A:B,2,FALSE)</f>
        <v>07. Medio ambiente y desarrollo sostenible</v>
      </c>
      <c r="U766" s="35" t="str">
        <f>MID(Tabla1[[#This Row],[Aplicación]],9,4)</f>
        <v>1711</v>
      </c>
      <c r="V766" s="35" t="str">
        <f>VLOOKUP(Tabla1[[#This Row],[PROGRAMA]],Hoja1!A:B,2,FALSE)</f>
        <v>1711. Parques y jardines</v>
      </c>
      <c r="W766" s="35" t="str">
        <f>MID(Tabla1[[#This Row],[Aplicación]],14,2)</f>
        <v>22</v>
      </c>
      <c r="X766" s="35" t="str">
        <f>MID(Tabla1[[#This Row],[Aplicación]],14,6)</f>
        <v>22799</v>
      </c>
    </row>
    <row r="767" spans="1:24" x14ac:dyDescent="0.25">
      <c r="A767" s="45">
        <v>220209000530</v>
      </c>
      <c r="B767" s="46" t="s">
        <v>9</v>
      </c>
      <c r="C767" s="47">
        <v>44198</v>
      </c>
      <c r="D767" s="45">
        <v>22021000565</v>
      </c>
      <c r="E767" s="46" t="s">
        <v>1279</v>
      </c>
      <c r="F767" s="48">
        <v>236250</v>
      </c>
      <c r="G767" s="46" t="s">
        <v>119</v>
      </c>
      <c r="H767" s="46" t="s">
        <v>1792</v>
      </c>
      <c r="I767" s="45" t="s">
        <v>125</v>
      </c>
      <c r="J767" s="46" t="s">
        <v>127</v>
      </c>
      <c r="K767" s="46" t="s">
        <v>127</v>
      </c>
      <c r="L767" s="46" t="s">
        <v>12</v>
      </c>
      <c r="M767" s="46" t="s">
        <v>13</v>
      </c>
      <c r="N767" s="46" t="s">
        <v>14</v>
      </c>
      <c r="O767" s="49" t="s">
        <v>803</v>
      </c>
      <c r="P767" s="46" t="s">
        <v>507</v>
      </c>
      <c r="Q767" s="35" t="str">
        <f>MID(Tabla1[[#This Row],[Aplicación]],14,1)</f>
        <v>2</v>
      </c>
      <c r="R767" s="35" t="s">
        <v>495</v>
      </c>
      <c r="S767" s="35" t="str">
        <f>MID(Tabla1[[#This Row],[Aplicación]],6,2)</f>
        <v>04</v>
      </c>
      <c r="T767" s="35" t="str">
        <f>VLOOKUP(Tabla1[[#This Row],[AREA]],Hoja1!A:B,2,FALSE)</f>
        <v>04. Planificación y recursos</v>
      </c>
      <c r="U767" s="35" t="str">
        <f>MID(Tabla1[[#This Row],[Aplicación]],9,4)</f>
        <v>9231</v>
      </c>
      <c r="V767" s="35" t="str">
        <f>VLOOKUP(Tabla1[[#This Row],[PROGRAMA]],Hoja1!A:B,2,FALSE)</f>
        <v>9231. Información, registro y gestión del padrón</v>
      </c>
      <c r="W767" s="35" t="str">
        <f>MID(Tabla1[[#This Row],[Aplicación]],14,2)</f>
        <v>22</v>
      </c>
      <c r="X767" s="35" t="str">
        <f>MID(Tabla1[[#This Row],[Aplicación]],14,6)</f>
        <v>22799</v>
      </c>
    </row>
    <row r="768" spans="1:24" x14ac:dyDescent="0.25">
      <c r="A768" s="45">
        <v>220189000676</v>
      </c>
      <c r="B768" s="46" t="s">
        <v>9</v>
      </c>
      <c r="C768" s="47">
        <v>44198</v>
      </c>
      <c r="D768" s="45">
        <v>22021000122</v>
      </c>
      <c r="E768" s="46" t="s">
        <v>1415</v>
      </c>
      <c r="F768" s="48">
        <v>22071.09</v>
      </c>
      <c r="G768" s="46" t="s">
        <v>128</v>
      </c>
      <c r="H768" s="46" t="s">
        <v>30</v>
      </c>
      <c r="I768" s="45" t="s">
        <v>125</v>
      </c>
      <c r="J768" s="46" t="s">
        <v>126</v>
      </c>
      <c r="K768" s="46" t="s">
        <v>126</v>
      </c>
      <c r="L768" s="46" t="s">
        <v>12</v>
      </c>
      <c r="M768" s="46" t="s">
        <v>13</v>
      </c>
      <c r="N768" s="46" t="s">
        <v>14</v>
      </c>
      <c r="O768" s="49" t="s">
        <v>803</v>
      </c>
      <c r="P768" s="46" t="s">
        <v>507</v>
      </c>
      <c r="Q768" s="35" t="str">
        <f>MID(Tabla1[[#This Row],[Aplicación]],14,1)</f>
        <v>2</v>
      </c>
      <c r="R768" s="35" t="s">
        <v>495</v>
      </c>
      <c r="S768" s="35" t="str">
        <f>MID(Tabla1[[#This Row],[Aplicación]],6,2)</f>
        <v>10</v>
      </c>
      <c r="T768" s="35" t="str">
        <f>VLOOKUP(Tabla1[[#This Row],[AREA]],Hoja1!A:B,2,FALSE)</f>
        <v>10. Servicios sociales y mediación comunitaria</v>
      </c>
      <c r="U768" s="35" t="str">
        <f>MID(Tabla1[[#This Row],[Aplicación]],9,4)</f>
        <v>2312</v>
      </c>
      <c r="V768" s="35" t="str">
        <f>VLOOKUP(Tabla1[[#This Row],[PROGRAMA]],Hoja1!A:B,2,FALSE)</f>
        <v>2312. Iniciativas sociales</v>
      </c>
      <c r="W768" s="35" t="str">
        <f>MID(Tabla1[[#This Row],[Aplicación]],14,2)</f>
        <v>22</v>
      </c>
      <c r="X768" s="35" t="str">
        <f>MID(Tabla1[[#This Row],[Aplicación]],14,6)</f>
        <v>22799</v>
      </c>
    </row>
    <row r="769" spans="1:24" x14ac:dyDescent="0.25">
      <c r="A769" s="45">
        <v>220209000851</v>
      </c>
      <c r="B769" s="46" t="s">
        <v>9</v>
      </c>
      <c r="C769" s="47">
        <v>44198</v>
      </c>
      <c r="D769" s="45">
        <v>22021002468</v>
      </c>
      <c r="E769" s="46" t="s">
        <v>1415</v>
      </c>
      <c r="F769" s="48">
        <v>154497.60999999999</v>
      </c>
      <c r="G769" s="46" t="s">
        <v>128</v>
      </c>
      <c r="H769" s="46" t="s">
        <v>1793</v>
      </c>
      <c r="I769" s="45" t="s">
        <v>125</v>
      </c>
      <c r="J769" s="46" t="s">
        <v>126</v>
      </c>
      <c r="K769" s="46" t="s">
        <v>126</v>
      </c>
      <c r="L769" s="46" t="s">
        <v>12</v>
      </c>
      <c r="M769" s="46" t="s">
        <v>13</v>
      </c>
      <c r="N769" s="46" t="s">
        <v>14</v>
      </c>
      <c r="O769" s="49" t="s">
        <v>803</v>
      </c>
      <c r="P769" s="46" t="s">
        <v>507</v>
      </c>
      <c r="Q769" s="35" t="str">
        <f>MID(Tabla1[[#This Row],[Aplicación]],14,1)</f>
        <v>2</v>
      </c>
      <c r="R769" s="35" t="s">
        <v>495</v>
      </c>
      <c r="S769" s="35" t="str">
        <f>MID(Tabla1[[#This Row],[Aplicación]],6,2)</f>
        <v>10</v>
      </c>
      <c r="T769" s="35" t="str">
        <f>VLOOKUP(Tabla1[[#This Row],[AREA]],Hoja1!A:B,2,FALSE)</f>
        <v>10. Servicios sociales y mediación comunitaria</v>
      </c>
      <c r="U769" s="35" t="str">
        <f>MID(Tabla1[[#This Row],[Aplicación]],9,4)</f>
        <v>2312</v>
      </c>
      <c r="V769" s="35" t="str">
        <f>VLOOKUP(Tabla1[[#This Row],[PROGRAMA]],Hoja1!A:B,2,FALSE)</f>
        <v>2312. Iniciativas sociales</v>
      </c>
      <c r="W769" s="35" t="str">
        <f>MID(Tabla1[[#This Row],[Aplicación]],14,2)</f>
        <v>22</v>
      </c>
      <c r="X769" s="35" t="str">
        <f>MID(Tabla1[[#This Row],[Aplicación]],14,6)</f>
        <v>22799</v>
      </c>
    </row>
    <row r="770" spans="1:24" x14ac:dyDescent="0.25">
      <c r="A770" s="45">
        <v>220210003982</v>
      </c>
      <c r="B770" s="46" t="s">
        <v>9</v>
      </c>
      <c r="C770" s="47">
        <v>44244</v>
      </c>
      <c r="D770" s="45">
        <v>22021002507</v>
      </c>
      <c r="E770" s="46" t="s">
        <v>1525</v>
      </c>
      <c r="F770" s="48">
        <v>4000</v>
      </c>
      <c r="G770" s="46" t="s">
        <v>1794</v>
      </c>
      <c r="H770" s="46" t="s">
        <v>1795</v>
      </c>
      <c r="I770" s="45" t="s">
        <v>125</v>
      </c>
      <c r="J770" s="46" t="s">
        <v>126</v>
      </c>
      <c r="K770" s="46" t="s">
        <v>126</v>
      </c>
      <c r="L770" s="46" t="s">
        <v>12</v>
      </c>
      <c r="M770" s="46" t="s">
        <v>10</v>
      </c>
      <c r="N770" s="46" t="s">
        <v>11</v>
      </c>
      <c r="O770" s="49" t="s">
        <v>815</v>
      </c>
      <c r="P770" s="46" t="s">
        <v>507</v>
      </c>
      <c r="Q770" s="35" t="str">
        <f>MID(Tabla1[[#This Row],[Aplicación]],14,1)</f>
        <v>2</v>
      </c>
      <c r="R770" s="35" t="s">
        <v>495</v>
      </c>
      <c r="S770" s="35" t="str">
        <f>MID(Tabla1[[#This Row],[Aplicación]],6,2)</f>
        <v>04</v>
      </c>
      <c r="T770" s="35" t="str">
        <f>VLOOKUP(Tabla1[[#This Row],[AREA]],Hoja1!A:B,2,FALSE)</f>
        <v>04. Planificación y recursos</v>
      </c>
      <c r="U770" s="35" t="str">
        <f>MID(Tabla1[[#This Row],[Aplicación]],9,4)</f>
        <v>3121</v>
      </c>
      <c r="V770" s="35" t="str">
        <f>VLOOKUP(Tabla1[[#This Row],[PROGRAMA]],Hoja1!A:B,2,FALSE)</f>
        <v>3121. Prevención y salud laboral</v>
      </c>
      <c r="W770" s="35" t="str">
        <f>MID(Tabla1[[#This Row],[Aplicación]],14,2)</f>
        <v>22</v>
      </c>
      <c r="X770" s="35" t="str">
        <f>MID(Tabla1[[#This Row],[Aplicación]],14,6)</f>
        <v>22706</v>
      </c>
    </row>
    <row r="771" spans="1:24" x14ac:dyDescent="0.25">
      <c r="A771" s="45">
        <v>220209000194</v>
      </c>
      <c r="B771" s="46" t="s">
        <v>9</v>
      </c>
      <c r="C771" s="47">
        <v>44198</v>
      </c>
      <c r="D771" s="45">
        <v>22021000238</v>
      </c>
      <c r="E771" s="46" t="s">
        <v>1452</v>
      </c>
      <c r="F771" s="48">
        <v>23760.13</v>
      </c>
      <c r="G771" s="46" t="s">
        <v>150</v>
      </c>
      <c r="H771" s="46" t="s">
        <v>1796</v>
      </c>
      <c r="I771" s="45" t="s">
        <v>125</v>
      </c>
      <c r="J771" s="46" t="s">
        <v>146</v>
      </c>
      <c r="K771" s="46" t="s">
        <v>146</v>
      </c>
      <c r="L771" s="46" t="s">
        <v>15</v>
      </c>
      <c r="M771" s="46" t="s">
        <v>13</v>
      </c>
      <c r="N771" s="46" t="s">
        <v>14</v>
      </c>
      <c r="O771" s="49" t="s">
        <v>803</v>
      </c>
      <c r="P771" s="46" t="s">
        <v>507</v>
      </c>
      <c r="Q771" s="35" t="str">
        <f>MID(Tabla1[[#This Row],[Aplicación]],14,1)</f>
        <v>2</v>
      </c>
      <c r="R771" s="35" t="s">
        <v>495</v>
      </c>
      <c r="S771" s="35" t="str">
        <f>MID(Tabla1[[#This Row],[Aplicación]],6,2)</f>
        <v>08</v>
      </c>
      <c r="T771" s="35" t="str">
        <f>VLOOKUP(Tabla1[[#This Row],[AREA]],Hoja1!A:B,2,FALSE)</f>
        <v>08. Movilidad y espacio urbano</v>
      </c>
      <c r="U771" s="35" t="str">
        <f>MID(Tabla1[[#This Row],[Aplicación]],9,4)</f>
        <v>1651</v>
      </c>
      <c r="V771" s="35" t="str">
        <f>VLOOKUP(Tabla1[[#This Row],[PROGRAMA]],Hoja1!A:B,2,FALSE)</f>
        <v>1651. Alumbrado público</v>
      </c>
      <c r="W771" s="35" t="str">
        <f>MID(Tabla1[[#This Row],[Aplicación]],14,2)</f>
        <v>21</v>
      </c>
      <c r="X771" s="35" t="str">
        <f>MID(Tabla1[[#This Row],[Aplicación]],14,6)</f>
        <v>213</v>
      </c>
    </row>
    <row r="772" spans="1:24" x14ac:dyDescent="0.25">
      <c r="A772" s="45">
        <v>220210001429</v>
      </c>
      <c r="B772" s="46" t="s">
        <v>32</v>
      </c>
      <c r="C772" s="47">
        <v>44229</v>
      </c>
      <c r="D772" s="45">
        <v>22021002130</v>
      </c>
      <c r="E772" s="46" t="s">
        <v>863</v>
      </c>
      <c r="F772" s="48">
        <v>1377.21</v>
      </c>
      <c r="G772" s="46" t="s">
        <v>62</v>
      </c>
      <c r="H772" s="46" t="s">
        <v>1797</v>
      </c>
      <c r="I772" s="45" t="s">
        <v>234</v>
      </c>
      <c r="J772" s="46" t="s">
        <v>126</v>
      </c>
      <c r="K772" s="46" t="s">
        <v>126</v>
      </c>
      <c r="L772" s="46" t="s">
        <v>12</v>
      </c>
      <c r="M772" s="46" t="s">
        <v>10</v>
      </c>
      <c r="N772" s="46" t="s">
        <v>11</v>
      </c>
      <c r="O772" s="49" t="s">
        <v>815</v>
      </c>
      <c r="P772" s="46" t="s">
        <v>507</v>
      </c>
      <c r="Q772" s="35" t="str">
        <f>MID(Tabla1[[#This Row],[Aplicación]],14,1)</f>
        <v>2</v>
      </c>
      <c r="R772" s="35" t="s">
        <v>495</v>
      </c>
      <c r="S772" s="35" t="str">
        <f>MID(Tabla1[[#This Row],[Aplicación]],6,2)</f>
        <v>01</v>
      </c>
      <c r="T772" s="35" t="str">
        <f>VLOOKUP(Tabla1[[#This Row],[AREA]],Hoja1!A:B,2,FALSE)</f>
        <v>01. Alcaldía</v>
      </c>
      <c r="U772" s="35" t="str">
        <f>MID(Tabla1[[#This Row],[Aplicación]],9,4)</f>
        <v>9207</v>
      </c>
      <c r="V772" s="35" t="str">
        <f>VLOOKUP(Tabla1[[#This Row],[PROGRAMA]],Hoja1!A:B,2,FALSE)</f>
        <v>9207. Gobierno y relaciones</v>
      </c>
      <c r="W772" s="35" t="str">
        <f>MID(Tabla1[[#This Row],[Aplicación]],14,2)</f>
        <v>22</v>
      </c>
      <c r="X772" s="35" t="str">
        <f>MID(Tabla1[[#This Row],[Aplicación]],14,6)</f>
        <v>22799</v>
      </c>
    </row>
    <row r="773" spans="1:24" x14ac:dyDescent="0.25">
      <c r="A773" s="45">
        <v>220210002500</v>
      </c>
      <c r="B773" s="46" t="s">
        <v>9</v>
      </c>
      <c r="C773" s="47">
        <v>44235</v>
      </c>
      <c r="D773" s="45">
        <v>22021001272</v>
      </c>
      <c r="E773" s="46" t="s">
        <v>863</v>
      </c>
      <c r="F773" s="48">
        <v>16526.52</v>
      </c>
      <c r="G773" s="46" t="s">
        <v>62</v>
      </c>
      <c r="H773" s="46" t="s">
        <v>1798</v>
      </c>
      <c r="I773" s="45" t="s">
        <v>125</v>
      </c>
      <c r="J773" s="46" t="s">
        <v>126</v>
      </c>
      <c r="K773" s="46" t="s">
        <v>126</v>
      </c>
      <c r="L773" s="46" t="s">
        <v>12</v>
      </c>
      <c r="M773" s="46" t="s">
        <v>10</v>
      </c>
      <c r="N773" s="46" t="s">
        <v>11</v>
      </c>
      <c r="O773" s="49" t="s">
        <v>815</v>
      </c>
      <c r="P773" s="46" t="s">
        <v>507</v>
      </c>
      <c r="Q773" s="35" t="str">
        <f>MID(Tabla1[[#This Row],[Aplicación]],14,1)</f>
        <v>2</v>
      </c>
      <c r="R773" s="35" t="s">
        <v>495</v>
      </c>
      <c r="S773" s="35" t="str">
        <f>MID(Tabla1[[#This Row],[Aplicación]],6,2)</f>
        <v>01</v>
      </c>
      <c r="T773" s="35" t="str">
        <f>VLOOKUP(Tabla1[[#This Row],[AREA]],Hoja1!A:B,2,FALSE)</f>
        <v>01. Alcaldía</v>
      </c>
      <c r="U773" s="35" t="str">
        <f>MID(Tabla1[[#This Row],[Aplicación]],9,4)</f>
        <v>9207</v>
      </c>
      <c r="V773" s="35" t="str">
        <f>VLOOKUP(Tabla1[[#This Row],[PROGRAMA]],Hoja1!A:B,2,FALSE)</f>
        <v>9207. Gobierno y relaciones</v>
      </c>
      <c r="W773" s="35" t="str">
        <f>MID(Tabla1[[#This Row],[Aplicación]],14,2)</f>
        <v>22</v>
      </c>
      <c r="X773" s="35" t="str">
        <f>MID(Tabla1[[#This Row],[Aplicación]],14,6)</f>
        <v>22799</v>
      </c>
    </row>
    <row r="774" spans="1:24" x14ac:dyDescent="0.25">
      <c r="A774" s="45">
        <v>220210000507</v>
      </c>
      <c r="B774" s="46" t="s">
        <v>9</v>
      </c>
      <c r="C774" s="47">
        <v>44221</v>
      </c>
      <c r="D774" s="45">
        <v>22021001681</v>
      </c>
      <c r="E774" s="46" t="s">
        <v>823</v>
      </c>
      <c r="F774" s="48">
        <v>440</v>
      </c>
      <c r="G774" s="46" t="s">
        <v>82</v>
      </c>
      <c r="H774" s="46" t="s">
        <v>1800</v>
      </c>
      <c r="I774" s="45" t="s">
        <v>125</v>
      </c>
      <c r="J774" s="46" t="s">
        <v>629</v>
      </c>
      <c r="K774" s="46" t="s">
        <v>127</v>
      </c>
      <c r="L774" s="46" t="s">
        <v>12</v>
      </c>
      <c r="M774" s="46" t="s">
        <v>10</v>
      </c>
      <c r="N774" s="46" t="s">
        <v>11</v>
      </c>
      <c r="O774" s="49" t="s">
        <v>815</v>
      </c>
      <c r="P774" s="46" t="s">
        <v>507</v>
      </c>
      <c r="Q774" s="35" t="str">
        <f>MID(Tabla1[[#This Row],[Aplicación]],14,1)</f>
        <v>2</v>
      </c>
      <c r="R774" s="35" t="s">
        <v>495</v>
      </c>
      <c r="S774" s="35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35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35" t="str">
        <f>MID(Tabla1[[#This Row],[Aplicación]],14,2)</f>
        <v>22</v>
      </c>
      <c r="X774" s="35" t="str">
        <f>MID(Tabla1[[#This Row],[Aplicación]],14,6)</f>
        <v>22609</v>
      </c>
    </row>
    <row r="775" spans="1:24" x14ac:dyDescent="0.25">
      <c r="A775" s="45">
        <v>220199000585</v>
      </c>
      <c r="B775" s="46" t="s">
        <v>9</v>
      </c>
      <c r="C775" s="47">
        <v>44198</v>
      </c>
      <c r="D775" s="45">
        <v>22021000159</v>
      </c>
      <c r="E775" s="46" t="s">
        <v>1261</v>
      </c>
      <c r="F775" s="48">
        <v>410.76</v>
      </c>
      <c r="G775" s="46" t="s">
        <v>101</v>
      </c>
      <c r="H775" s="46" t="s">
        <v>743</v>
      </c>
      <c r="I775" s="45" t="s">
        <v>125</v>
      </c>
      <c r="J775" s="46" t="s">
        <v>127</v>
      </c>
      <c r="K775" s="46" t="s">
        <v>127</v>
      </c>
      <c r="L775" s="46" t="s">
        <v>12</v>
      </c>
      <c r="M775" s="46" t="s">
        <v>13</v>
      </c>
      <c r="N775" s="46" t="s">
        <v>14</v>
      </c>
      <c r="O775" s="49" t="s">
        <v>803</v>
      </c>
      <c r="P775" s="46" t="s">
        <v>507</v>
      </c>
      <c r="Q775" s="35" t="str">
        <f>MID(Tabla1[[#This Row],[Aplicación]],14,1)</f>
        <v>2</v>
      </c>
      <c r="R775" s="35" t="s">
        <v>495</v>
      </c>
      <c r="S775" s="35" t="str">
        <f>MID(Tabla1[[#This Row],[Aplicación]],6,2)</f>
        <v>03</v>
      </c>
      <c r="T775" s="35" t="str">
        <f>VLOOKUP(Tabla1[[#This Row],[AREA]],Hoja1!A:B,2,FALSE)</f>
        <v>03. Participación ciudadana y deportes</v>
      </c>
      <c r="U775" s="35" t="str">
        <f>MID(Tabla1[[#This Row],[Aplicación]],9,4)</f>
        <v>9241</v>
      </c>
      <c r="V775" s="35" t="str">
        <f>VLOOKUP(Tabla1[[#This Row],[PROGRAMA]],Hoja1!A:B,2,FALSE)</f>
        <v>9241. Participación ciudadana</v>
      </c>
      <c r="W775" s="35" t="str">
        <f>MID(Tabla1[[#This Row],[Aplicación]],14,2)</f>
        <v>22</v>
      </c>
      <c r="X775" s="35" t="str">
        <f>MID(Tabla1[[#This Row],[Aplicación]],14,6)</f>
        <v>22700</v>
      </c>
    </row>
    <row r="776" spans="1:24" x14ac:dyDescent="0.25">
      <c r="A776" s="45">
        <v>220209000212</v>
      </c>
      <c r="B776" s="46" t="s">
        <v>9</v>
      </c>
      <c r="C776" s="47">
        <v>44198</v>
      </c>
      <c r="D776" s="45">
        <v>22021000241</v>
      </c>
      <c r="E776" s="46" t="s">
        <v>1550</v>
      </c>
      <c r="F776" s="48">
        <v>5610.76</v>
      </c>
      <c r="G776" s="46" t="s">
        <v>101</v>
      </c>
      <c r="H776" s="46" t="s">
        <v>1801</v>
      </c>
      <c r="I776" s="45" t="s">
        <v>125</v>
      </c>
      <c r="J776" s="46" t="s">
        <v>127</v>
      </c>
      <c r="K776" s="46" t="s">
        <v>127</v>
      </c>
      <c r="L776" s="46" t="s">
        <v>12</v>
      </c>
      <c r="M776" s="46" t="s">
        <v>13</v>
      </c>
      <c r="N776" s="46" t="s">
        <v>14</v>
      </c>
      <c r="O776" s="49" t="s">
        <v>803</v>
      </c>
      <c r="P776" s="46" t="s">
        <v>507</v>
      </c>
      <c r="Q776" s="35" t="str">
        <f>MID(Tabla1[[#This Row],[Aplicación]],14,1)</f>
        <v>2</v>
      </c>
      <c r="R776" s="35" t="s">
        <v>495</v>
      </c>
      <c r="S776" s="35" t="str">
        <f>MID(Tabla1[[#This Row],[Aplicación]],6,2)</f>
        <v>06</v>
      </c>
      <c r="T776" s="35" t="str">
        <f>VLOOKUP(Tabla1[[#This Row],[AREA]],Hoja1!A:B,2,FALSE)</f>
        <v>06. Educación, infancia, juventud e igualdad</v>
      </c>
      <c r="U776" s="35" t="str">
        <f>MID(Tabla1[[#This Row],[Aplicación]],9,4)</f>
        <v>2315</v>
      </c>
      <c r="V776" s="35" t="str">
        <f>VLOOKUP(Tabla1[[#This Row],[PROGRAMA]],Hoja1!A:B,2,FALSE)</f>
        <v>2315. Políticas de Igualdad e infancia</v>
      </c>
      <c r="W776" s="35" t="str">
        <f>MID(Tabla1[[#This Row],[Aplicación]],14,2)</f>
        <v>22</v>
      </c>
      <c r="X776" s="35" t="str">
        <f>MID(Tabla1[[#This Row],[Aplicación]],14,6)</f>
        <v>22799</v>
      </c>
    </row>
    <row r="777" spans="1:24" x14ac:dyDescent="0.25">
      <c r="A777" s="45">
        <v>220209000215</v>
      </c>
      <c r="B777" s="46" t="s">
        <v>9</v>
      </c>
      <c r="C777" s="47">
        <v>44198</v>
      </c>
      <c r="D777" s="45">
        <v>22021002208</v>
      </c>
      <c r="E777" s="46" t="s">
        <v>1802</v>
      </c>
      <c r="F777" s="48">
        <v>84064.15</v>
      </c>
      <c r="G777" s="46" t="s">
        <v>101</v>
      </c>
      <c r="H777" s="46" t="s">
        <v>1803</v>
      </c>
      <c r="I777" s="45" t="s">
        <v>125</v>
      </c>
      <c r="J777" s="46" t="s">
        <v>127</v>
      </c>
      <c r="K777" s="46" t="s">
        <v>127</v>
      </c>
      <c r="L777" s="46" t="s">
        <v>12</v>
      </c>
      <c r="M777" s="46" t="s">
        <v>13</v>
      </c>
      <c r="N777" s="46" t="s">
        <v>14</v>
      </c>
      <c r="O777" s="49" t="s">
        <v>803</v>
      </c>
      <c r="P777" s="46" t="s">
        <v>507</v>
      </c>
      <c r="Q777" s="35" t="str">
        <f>MID(Tabla1[[#This Row],[Aplicación]],14,1)</f>
        <v>2</v>
      </c>
      <c r="R777" s="35" t="s">
        <v>495</v>
      </c>
      <c r="S777" s="35" t="str">
        <f>MID(Tabla1[[#This Row],[Aplicación]],6,2)</f>
        <v>06</v>
      </c>
      <c r="T777" s="35" t="str">
        <f>VLOOKUP(Tabla1[[#This Row],[AREA]],Hoja1!A:B,2,FALSE)</f>
        <v>06. Educación, infancia, juventud e igualdad</v>
      </c>
      <c r="U777" s="35" t="str">
        <f>MID(Tabla1[[#This Row],[Aplicación]],9,4)</f>
        <v>3232</v>
      </c>
      <c r="V777" s="35" t="str">
        <f>VLOOKUP(Tabla1[[#This Row],[PROGRAMA]],Hoja1!A:B,2,FALSE)</f>
        <v>3232. Conservación y mantenimiento centros educación infantil y primaria</v>
      </c>
      <c r="W777" s="35" t="str">
        <f>MID(Tabla1[[#This Row],[Aplicación]],14,2)</f>
        <v>22</v>
      </c>
      <c r="X777" s="35" t="str">
        <f>MID(Tabla1[[#This Row],[Aplicación]],14,6)</f>
        <v>22799</v>
      </c>
    </row>
    <row r="778" spans="1:24" x14ac:dyDescent="0.25">
      <c r="A778" s="45">
        <v>220209000227</v>
      </c>
      <c r="B778" s="46" t="s">
        <v>9</v>
      </c>
      <c r="C778" s="47">
        <v>44198</v>
      </c>
      <c r="D778" s="45">
        <v>22021000243</v>
      </c>
      <c r="E778" s="46" t="s">
        <v>1197</v>
      </c>
      <c r="F778" s="48">
        <v>16487.599999999999</v>
      </c>
      <c r="G778" s="46" t="s">
        <v>101</v>
      </c>
      <c r="H778" s="46" t="s">
        <v>1804</v>
      </c>
      <c r="I778" s="45" t="s">
        <v>125</v>
      </c>
      <c r="J778" s="46" t="s">
        <v>127</v>
      </c>
      <c r="K778" s="46" t="s">
        <v>127</v>
      </c>
      <c r="L778" s="46" t="s">
        <v>12</v>
      </c>
      <c r="M778" s="46" t="s">
        <v>13</v>
      </c>
      <c r="N778" s="46" t="s">
        <v>14</v>
      </c>
      <c r="O778" s="49" t="s">
        <v>803</v>
      </c>
      <c r="P778" s="46" t="s">
        <v>507</v>
      </c>
      <c r="Q778" s="35" t="str">
        <f>MID(Tabla1[[#This Row],[Aplicación]],14,1)</f>
        <v>2</v>
      </c>
      <c r="R778" s="35" t="s">
        <v>495</v>
      </c>
      <c r="S778" s="35" t="str">
        <f>MID(Tabla1[[#This Row],[Aplicación]],6,2)</f>
        <v>06</v>
      </c>
      <c r="T778" s="35" t="str">
        <f>VLOOKUP(Tabla1[[#This Row],[AREA]],Hoja1!A:B,2,FALSE)</f>
        <v>06. Educación, infancia, juventud e igualdad</v>
      </c>
      <c r="U778" s="35" t="str">
        <f>MID(Tabla1[[#This Row],[Aplicación]],9,4)</f>
        <v>3231</v>
      </c>
      <c r="V778" s="35" t="str">
        <f>VLOOKUP(Tabla1[[#This Row],[PROGRAMA]],Hoja1!A:B,2,FALSE)</f>
        <v>3231. Escuelas infantiles</v>
      </c>
      <c r="W778" s="35" t="str">
        <f>MID(Tabla1[[#This Row],[Aplicación]],14,2)</f>
        <v>22</v>
      </c>
      <c r="X778" s="35" t="str">
        <f>MID(Tabla1[[#This Row],[Aplicación]],14,6)</f>
        <v>22799</v>
      </c>
    </row>
    <row r="779" spans="1:24" x14ac:dyDescent="0.25">
      <c r="A779" s="45">
        <v>220199000370</v>
      </c>
      <c r="B779" s="46" t="s">
        <v>9</v>
      </c>
      <c r="C779" s="47">
        <v>44198</v>
      </c>
      <c r="D779" s="45">
        <v>22021000151</v>
      </c>
      <c r="E779" s="46" t="s">
        <v>1648</v>
      </c>
      <c r="F779" s="48">
        <v>4322.5</v>
      </c>
      <c r="G779" s="46" t="s">
        <v>55</v>
      </c>
      <c r="H779" s="46" t="s">
        <v>1805</v>
      </c>
      <c r="I779" s="45" t="s">
        <v>125</v>
      </c>
      <c r="J779" s="46" t="s">
        <v>650</v>
      </c>
      <c r="K779" s="46" t="s">
        <v>127</v>
      </c>
      <c r="L779" s="46" t="s">
        <v>12</v>
      </c>
      <c r="M779" s="46" t="s">
        <v>13</v>
      </c>
      <c r="N779" s="46" t="s">
        <v>14</v>
      </c>
      <c r="O779" s="49" t="s">
        <v>803</v>
      </c>
      <c r="P779" s="46" t="s">
        <v>507</v>
      </c>
      <c r="Q779" s="35" t="str">
        <f>MID(Tabla1[[#This Row],[Aplicación]],14,1)</f>
        <v>2</v>
      </c>
      <c r="R779" s="35" t="s">
        <v>495</v>
      </c>
      <c r="S779" s="35" t="str">
        <f>MID(Tabla1[[#This Row],[Aplicación]],6,2)</f>
        <v>09</v>
      </c>
      <c r="T779" s="35" t="str">
        <f>VLOOKUP(Tabla1[[#This Row],[AREA]],Hoja1!A:B,2,FALSE)</f>
        <v>09. Cultura y turismo</v>
      </c>
      <c r="U779" s="35" t="str">
        <f>MID(Tabla1[[#This Row],[Aplicación]],9,4)</f>
        <v>3341</v>
      </c>
      <c r="V779" s="35" t="str">
        <f>VLOOKUP(Tabla1[[#This Row],[PROGRAMA]],Hoja1!A:B,2,FALSE)</f>
        <v>3341. Coordinación de políticas culturales</v>
      </c>
      <c r="W779" s="35" t="str">
        <f>MID(Tabla1[[#This Row],[Aplicación]],14,2)</f>
        <v>22</v>
      </c>
      <c r="X779" s="35" t="str">
        <f>MID(Tabla1[[#This Row],[Aplicación]],14,6)</f>
        <v>22799</v>
      </c>
    </row>
    <row r="780" spans="1:24" x14ac:dyDescent="0.25">
      <c r="A780" s="45">
        <v>220210008263</v>
      </c>
      <c r="B780" s="46" t="s">
        <v>9</v>
      </c>
      <c r="C780" s="47">
        <v>44264</v>
      </c>
      <c r="D780" s="45">
        <v>22021003047</v>
      </c>
      <c r="E780" s="46" t="s">
        <v>1648</v>
      </c>
      <c r="F780" s="48">
        <v>11084.43</v>
      </c>
      <c r="G780" s="46" t="s">
        <v>55</v>
      </c>
      <c r="H780" s="46" t="s">
        <v>1806</v>
      </c>
      <c r="I780" s="45" t="s">
        <v>125</v>
      </c>
      <c r="J780" s="46" t="s">
        <v>650</v>
      </c>
      <c r="K780" s="46" t="s">
        <v>127</v>
      </c>
      <c r="L780" s="46" t="s">
        <v>12</v>
      </c>
      <c r="M780" s="46" t="s">
        <v>13</v>
      </c>
      <c r="N780" s="46" t="s">
        <v>11</v>
      </c>
      <c r="O780" s="49" t="s">
        <v>803</v>
      </c>
      <c r="P780" s="46" t="s">
        <v>507</v>
      </c>
      <c r="Q780" s="35" t="str">
        <f>MID(Tabla1[[#This Row],[Aplicación]],14,1)</f>
        <v>2</v>
      </c>
      <c r="R780" s="35" t="s">
        <v>495</v>
      </c>
      <c r="S780" s="35" t="str">
        <f>MID(Tabla1[[#This Row],[Aplicación]],6,2)</f>
        <v>09</v>
      </c>
      <c r="T780" s="35" t="str">
        <f>VLOOKUP(Tabla1[[#This Row],[AREA]],Hoja1!A:B,2,FALSE)</f>
        <v>09. Cultura y turismo</v>
      </c>
      <c r="U780" s="35" t="str">
        <f>MID(Tabla1[[#This Row],[Aplicación]],9,4)</f>
        <v>3341</v>
      </c>
      <c r="V780" s="35" t="str">
        <f>VLOOKUP(Tabla1[[#This Row],[PROGRAMA]],Hoja1!A:B,2,FALSE)</f>
        <v>3341. Coordinación de políticas culturales</v>
      </c>
      <c r="W780" s="35" t="str">
        <f>MID(Tabla1[[#This Row],[Aplicación]],14,2)</f>
        <v>22</v>
      </c>
      <c r="X780" s="35" t="str">
        <f>MID(Tabla1[[#This Row],[Aplicación]],14,6)</f>
        <v>22799</v>
      </c>
    </row>
    <row r="781" spans="1:24" x14ac:dyDescent="0.25">
      <c r="A781" s="45">
        <v>220209000687</v>
      </c>
      <c r="B781" s="46" t="s">
        <v>9</v>
      </c>
      <c r="C781" s="47">
        <v>44198</v>
      </c>
      <c r="D781" s="45">
        <v>22021000432</v>
      </c>
      <c r="E781" s="46" t="s">
        <v>1807</v>
      </c>
      <c r="F781" s="48">
        <v>131496.69</v>
      </c>
      <c r="G781" s="46" t="s">
        <v>101</v>
      </c>
      <c r="H781" s="46" t="s">
        <v>1808</v>
      </c>
      <c r="I781" s="45" t="s">
        <v>125</v>
      </c>
      <c r="J781" s="46" t="s">
        <v>127</v>
      </c>
      <c r="K781" s="46" t="s">
        <v>127</v>
      </c>
      <c r="L781" s="46" t="s">
        <v>12</v>
      </c>
      <c r="M781" s="46" t="s">
        <v>13</v>
      </c>
      <c r="N781" s="46" t="s">
        <v>14</v>
      </c>
      <c r="O781" s="49" t="s">
        <v>803</v>
      </c>
      <c r="P781" s="46" t="s">
        <v>507</v>
      </c>
      <c r="Q781" s="35" t="str">
        <f>MID(Tabla1[[#This Row],[Aplicación]],14,1)</f>
        <v>2</v>
      </c>
      <c r="R781" s="35" t="s">
        <v>495</v>
      </c>
      <c r="S781" s="35" t="str">
        <f>MID(Tabla1[[#This Row],[Aplicación]],6,2)</f>
        <v>11</v>
      </c>
      <c r="T781" s="35" t="str">
        <f>VLOOKUP(Tabla1[[#This Row],[AREA]],Hoja1!A:B,2,FALSE)</f>
        <v>11. Salud pública y seguridad ciudadana</v>
      </c>
      <c r="U781" s="35" t="str">
        <f>MID(Tabla1[[#This Row],[Aplicación]],9,4)</f>
        <v>1321</v>
      </c>
      <c r="V781" s="35" t="str">
        <f>VLOOKUP(Tabla1[[#This Row],[PROGRAMA]],Hoja1!A:B,2,FALSE)</f>
        <v>1321. Policía municipal</v>
      </c>
      <c r="W781" s="35" t="str">
        <f>MID(Tabla1[[#This Row],[Aplicación]],14,2)</f>
        <v>22</v>
      </c>
      <c r="X781" s="35" t="str">
        <f>MID(Tabla1[[#This Row],[Aplicación]],14,6)</f>
        <v>22700</v>
      </c>
    </row>
    <row r="782" spans="1:24" x14ac:dyDescent="0.25">
      <c r="A782" s="45">
        <v>220209000689</v>
      </c>
      <c r="B782" s="46" t="s">
        <v>9</v>
      </c>
      <c r="C782" s="47">
        <v>44198</v>
      </c>
      <c r="D782" s="45">
        <v>22021000434</v>
      </c>
      <c r="E782" s="46" t="s">
        <v>1809</v>
      </c>
      <c r="F782" s="48">
        <v>261021.69</v>
      </c>
      <c r="G782" s="46" t="s">
        <v>101</v>
      </c>
      <c r="H782" s="46" t="s">
        <v>1810</v>
      </c>
      <c r="I782" s="45" t="s">
        <v>125</v>
      </c>
      <c r="J782" s="46" t="s">
        <v>127</v>
      </c>
      <c r="K782" s="46" t="s">
        <v>127</v>
      </c>
      <c r="L782" s="46" t="s">
        <v>12</v>
      </c>
      <c r="M782" s="46" t="s">
        <v>13</v>
      </c>
      <c r="N782" s="46" t="s">
        <v>14</v>
      </c>
      <c r="O782" s="49" t="s">
        <v>803</v>
      </c>
      <c r="P782" s="46" t="s">
        <v>507</v>
      </c>
      <c r="Q782" s="35" t="str">
        <f>MID(Tabla1[[#This Row],[Aplicación]],14,1)</f>
        <v>2</v>
      </c>
      <c r="R782" s="35" t="s">
        <v>495</v>
      </c>
      <c r="S782" s="35" t="str">
        <f>MID(Tabla1[[#This Row],[Aplicación]],6,2)</f>
        <v>02</v>
      </c>
      <c r="T782" s="35" t="str">
        <f>VLOOKUP(Tabla1[[#This Row],[AREA]],Hoja1!A:B,2,FALSE)</f>
        <v>02. Planeamiento urbanístico y vivienda</v>
      </c>
      <c r="U782" s="35" t="str">
        <f>MID(Tabla1[[#This Row],[Aplicación]],9,4)</f>
        <v>9332</v>
      </c>
      <c r="V782" s="35" t="str">
        <f>VLOOKUP(Tabla1[[#This Row],[PROGRAMA]],Hoja1!A:B,2,FALSE)</f>
        <v>9332. Mantenimiento de edificios e instalaciones municipales</v>
      </c>
      <c r="W782" s="35" t="str">
        <f>MID(Tabla1[[#This Row],[Aplicación]],14,2)</f>
        <v>22</v>
      </c>
      <c r="X782" s="35" t="str">
        <f>MID(Tabla1[[#This Row],[Aplicación]],14,6)</f>
        <v>22700</v>
      </c>
    </row>
    <row r="783" spans="1:24" x14ac:dyDescent="0.25">
      <c r="A783" s="45">
        <v>220210006952</v>
      </c>
      <c r="B783" s="46" t="s">
        <v>9</v>
      </c>
      <c r="C783" s="47">
        <v>44259</v>
      </c>
      <c r="D783" s="45">
        <v>22021003062</v>
      </c>
      <c r="E783" s="46" t="s">
        <v>1410</v>
      </c>
      <c r="F783" s="48">
        <v>1000</v>
      </c>
      <c r="G783" s="46" t="s">
        <v>258</v>
      </c>
      <c r="H783" s="46" t="s">
        <v>1411</v>
      </c>
      <c r="I783" s="45" t="s">
        <v>125</v>
      </c>
      <c r="J783" s="46" t="s">
        <v>127</v>
      </c>
      <c r="K783" s="46" t="s">
        <v>127</v>
      </c>
      <c r="L783" s="46" t="s">
        <v>12</v>
      </c>
      <c r="M783" s="46" t="s">
        <v>10</v>
      </c>
      <c r="N783" s="46" t="s">
        <v>11</v>
      </c>
      <c r="O783" s="49" t="s">
        <v>815</v>
      </c>
      <c r="P783" s="46" t="s">
        <v>507</v>
      </c>
      <c r="Q783" s="35" t="str">
        <f>MID(Tabla1[[#This Row],[Aplicación]],14,1)</f>
        <v>2</v>
      </c>
      <c r="R783" s="35" t="s">
        <v>495</v>
      </c>
      <c r="S783" s="35" t="str">
        <f>MID(Tabla1[[#This Row],[Aplicación]],6,2)</f>
        <v>07</v>
      </c>
      <c r="T783" s="35" t="str">
        <f>VLOOKUP(Tabla1[[#This Row],[AREA]],Hoja1!A:B,2,FALSE)</f>
        <v>07. Medio ambiente y desarrollo sostenible</v>
      </c>
      <c r="U783" s="35" t="str">
        <f>MID(Tabla1[[#This Row],[Aplicación]],9,4)</f>
        <v>1711</v>
      </c>
      <c r="V783" s="35" t="str">
        <f>VLOOKUP(Tabla1[[#This Row],[PROGRAMA]],Hoja1!A:B,2,FALSE)</f>
        <v>1711. Parques y jardines</v>
      </c>
      <c r="W783" s="35" t="str">
        <f>MID(Tabla1[[#This Row],[Aplicación]],14,2)</f>
        <v>21</v>
      </c>
      <c r="X783" s="35" t="str">
        <f>MID(Tabla1[[#This Row],[Aplicación]],14,6)</f>
        <v>214</v>
      </c>
    </row>
    <row r="784" spans="1:24" x14ac:dyDescent="0.25">
      <c r="A784" s="45">
        <v>220210007108</v>
      </c>
      <c r="B784" s="46" t="s">
        <v>9</v>
      </c>
      <c r="C784" s="47">
        <v>44260</v>
      </c>
      <c r="D784" s="45">
        <v>22021002978</v>
      </c>
      <c r="E784" s="46" t="s">
        <v>1372</v>
      </c>
      <c r="F784" s="48">
        <v>18150</v>
      </c>
      <c r="G784" s="46" t="s">
        <v>238</v>
      </c>
      <c r="H784" s="46" t="s">
        <v>1811</v>
      </c>
      <c r="I784" s="45" t="s">
        <v>125</v>
      </c>
      <c r="J784" s="46" t="s">
        <v>127</v>
      </c>
      <c r="K784" s="46" t="s">
        <v>127</v>
      </c>
      <c r="L784" s="46" t="s">
        <v>12</v>
      </c>
      <c r="M784" s="46" t="s">
        <v>10</v>
      </c>
      <c r="N784" s="46" t="s">
        <v>11</v>
      </c>
      <c r="O784" s="49" t="s">
        <v>815</v>
      </c>
      <c r="P784" s="46" t="s">
        <v>507</v>
      </c>
      <c r="Q784" s="35" t="str">
        <f>MID(Tabla1[[#This Row],[Aplicación]],14,1)</f>
        <v>2</v>
      </c>
      <c r="R784" s="35" t="s">
        <v>495</v>
      </c>
      <c r="S784" s="35" t="str">
        <f>MID(Tabla1[[#This Row],[Aplicación]],6,2)</f>
        <v>07</v>
      </c>
      <c r="T784" s="35" t="str">
        <f>VLOOKUP(Tabla1[[#This Row],[AREA]],Hoja1!A:B,2,FALSE)</f>
        <v>07. Medio ambiente y desarrollo sostenible</v>
      </c>
      <c r="U784" s="35" t="str">
        <f>MID(Tabla1[[#This Row],[Aplicación]],9,4)</f>
        <v>1711</v>
      </c>
      <c r="V784" s="35" t="str">
        <f>VLOOKUP(Tabla1[[#This Row],[PROGRAMA]],Hoja1!A:B,2,FALSE)</f>
        <v>1711. Parques y jardines</v>
      </c>
      <c r="W784" s="35" t="str">
        <f>MID(Tabla1[[#This Row],[Aplicación]],14,2)</f>
        <v>21</v>
      </c>
      <c r="X784" s="35" t="str">
        <f>MID(Tabla1[[#This Row],[Aplicación]],14,6)</f>
        <v>213</v>
      </c>
    </row>
    <row r="785" spans="1:24" x14ac:dyDescent="0.25">
      <c r="A785" s="45">
        <v>220210002493</v>
      </c>
      <c r="B785" s="46" t="s">
        <v>204</v>
      </c>
      <c r="C785" s="47">
        <v>44235</v>
      </c>
      <c r="D785" s="45">
        <v>22021002228</v>
      </c>
      <c r="E785" s="46" t="s">
        <v>1471</v>
      </c>
      <c r="F785" s="48">
        <v>79.06</v>
      </c>
      <c r="G785" s="46" t="s">
        <v>238</v>
      </c>
      <c r="H785" s="46" t="s">
        <v>1812</v>
      </c>
      <c r="I785" s="45" t="s">
        <v>205</v>
      </c>
      <c r="J785" s="46" t="s">
        <v>127</v>
      </c>
      <c r="K785" s="46" t="s">
        <v>127</v>
      </c>
      <c r="L785" s="46" t="s">
        <v>15</v>
      </c>
      <c r="M785" s="46" t="s">
        <v>13</v>
      </c>
      <c r="N785" s="46" t="s">
        <v>14</v>
      </c>
      <c r="O785" s="49" t="s">
        <v>814</v>
      </c>
      <c r="P785" s="46" t="s">
        <v>507</v>
      </c>
      <c r="Q785" s="35" t="str">
        <f>MID(Tabla1[[#This Row],[Aplicación]],14,1)</f>
        <v>2</v>
      </c>
      <c r="R785" s="35" t="s">
        <v>495</v>
      </c>
      <c r="S785" s="35" t="str">
        <f>MID(Tabla1[[#This Row],[Aplicación]],6,2)</f>
        <v>06</v>
      </c>
      <c r="T785" s="35" t="str">
        <f>VLOOKUP(Tabla1[[#This Row],[AREA]],Hoja1!A:B,2,FALSE)</f>
        <v>06. Educación, infancia, juventud e igualdad</v>
      </c>
      <c r="U785" s="35" t="str">
        <f>MID(Tabla1[[#This Row],[Aplicación]],9,4)</f>
        <v>3232</v>
      </c>
      <c r="V785" s="35" t="str">
        <f>VLOOKUP(Tabla1[[#This Row],[PROGRAMA]],Hoja1!A:B,2,FALSE)</f>
        <v>3232. Conservación y mantenimiento centros educación infantil y primaria</v>
      </c>
      <c r="W785" s="35" t="str">
        <f>MID(Tabla1[[#This Row],[Aplicación]],14,2)</f>
        <v>21</v>
      </c>
      <c r="X785" s="35" t="str">
        <f>MID(Tabla1[[#This Row],[Aplicación]],14,6)</f>
        <v>212</v>
      </c>
    </row>
    <row r="786" spans="1:24" x14ac:dyDescent="0.25">
      <c r="A786" s="45">
        <v>220210002794</v>
      </c>
      <c r="B786" s="46" t="s">
        <v>204</v>
      </c>
      <c r="C786" s="47">
        <v>44237</v>
      </c>
      <c r="D786" s="45">
        <v>22021002228</v>
      </c>
      <c r="E786" s="46" t="s">
        <v>1471</v>
      </c>
      <c r="F786" s="48">
        <v>64.760000000000005</v>
      </c>
      <c r="G786" s="46" t="s">
        <v>238</v>
      </c>
      <c r="H786" s="46" t="s">
        <v>1813</v>
      </c>
      <c r="I786" s="45" t="s">
        <v>205</v>
      </c>
      <c r="J786" s="46" t="s">
        <v>127</v>
      </c>
      <c r="K786" s="46" t="s">
        <v>127</v>
      </c>
      <c r="L786" s="46" t="s">
        <v>15</v>
      </c>
      <c r="M786" s="46" t="s">
        <v>13</v>
      </c>
      <c r="N786" s="46" t="s">
        <v>14</v>
      </c>
      <c r="O786" s="49" t="s">
        <v>814</v>
      </c>
      <c r="P786" s="46" t="s">
        <v>507</v>
      </c>
      <c r="Q786" s="35" t="str">
        <f>MID(Tabla1[[#This Row],[Aplicación]],14,1)</f>
        <v>2</v>
      </c>
      <c r="R786" s="35" t="s">
        <v>495</v>
      </c>
      <c r="S786" s="35" t="str">
        <f>MID(Tabla1[[#This Row],[Aplicación]],6,2)</f>
        <v>06</v>
      </c>
      <c r="T786" s="35" t="str">
        <f>VLOOKUP(Tabla1[[#This Row],[AREA]],Hoja1!A:B,2,FALSE)</f>
        <v>06. Educación, infancia, juventud e igualdad</v>
      </c>
      <c r="U786" s="35" t="str">
        <f>MID(Tabla1[[#This Row],[Aplicación]],9,4)</f>
        <v>3232</v>
      </c>
      <c r="V786" s="35" t="str">
        <f>VLOOKUP(Tabla1[[#This Row],[PROGRAMA]],Hoja1!A:B,2,FALSE)</f>
        <v>3232. Conservación y mantenimiento centros educación infantil y primaria</v>
      </c>
      <c r="W786" s="35" t="str">
        <f>MID(Tabla1[[#This Row],[Aplicación]],14,2)</f>
        <v>21</v>
      </c>
      <c r="X786" s="35" t="str">
        <f>MID(Tabla1[[#This Row],[Aplicación]],14,6)</f>
        <v>212</v>
      </c>
    </row>
    <row r="787" spans="1:24" x14ac:dyDescent="0.25">
      <c r="A787" s="45">
        <v>220210003200</v>
      </c>
      <c r="B787" s="46" t="s">
        <v>204</v>
      </c>
      <c r="C787" s="47">
        <v>44239</v>
      </c>
      <c r="D787" s="45">
        <v>22021001169</v>
      </c>
      <c r="E787" s="46" t="s">
        <v>1319</v>
      </c>
      <c r="F787" s="48">
        <v>161.63999999999999</v>
      </c>
      <c r="G787" s="46" t="s">
        <v>238</v>
      </c>
      <c r="H787" s="46" t="s">
        <v>1814</v>
      </c>
      <c r="I787" s="45" t="s">
        <v>205</v>
      </c>
      <c r="J787" s="46" t="s">
        <v>127</v>
      </c>
      <c r="K787" s="46" t="s">
        <v>127</v>
      </c>
      <c r="L787" s="46" t="s">
        <v>15</v>
      </c>
      <c r="M787" s="46" t="s">
        <v>13</v>
      </c>
      <c r="N787" s="46" t="s">
        <v>14</v>
      </c>
      <c r="O787" s="49" t="s">
        <v>814</v>
      </c>
      <c r="P787" s="46" t="s">
        <v>507</v>
      </c>
      <c r="Q787" s="35" t="str">
        <f>MID(Tabla1[[#This Row],[Aplicación]],14,1)</f>
        <v>2</v>
      </c>
      <c r="R787" s="35" t="s">
        <v>495</v>
      </c>
      <c r="S787" s="35" t="str">
        <f>MID(Tabla1[[#This Row],[Aplicación]],6,2)</f>
        <v>10</v>
      </c>
      <c r="T787" s="35" t="str">
        <f>VLOOKUP(Tabla1[[#This Row],[AREA]],Hoja1!A:B,2,FALSE)</f>
        <v>10. Servicios sociales y mediación comunitaria</v>
      </c>
      <c r="U787" s="35" t="str">
        <f>MID(Tabla1[[#This Row],[Aplicación]],9,4)</f>
        <v>2412</v>
      </c>
      <c r="V787" s="35" t="str">
        <f>VLOOKUP(Tabla1[[#This Row],[PROGRAMA]],Hoja1!A:B,2,FALSE)</f>
        <v>2412. Formación para el empleo</v>
      </c>
      <c r="W787" s="35" t="str">
        <f>MID(Tabla1[[#This Row],[Aplicación]],14,2)</f>
        <v>21</v>
      </c>
      <c r="X787" s="35" t="str">
        <f>MID(Tabla1[[#This Row],[Aplicación]],14,6)</f>
        <v>212</v>
      </c>
    </row>
    <row r="788" spans="1:24" x14ac:dyDescent="0.25">
      <c r="A788" s="45">
        <v>220210003209</v>
      </c>
      <c r="B788" s="46" t="s">
        <v>204</v>
      </c>
      <c r="C788" s="47">
        <v>44239</v>
      </c>
      <c r="D788" s="45">
        <v>22021002088</v>
      </c>
      <c r="E788" s="46" t="s">
        <v>1478</v>
      </c>
      <c r="F788" s="48">
        <v>39.86</v>
      </c>
      <c r="G788" s="46" t="s">
        <v>238</v>
      </c>
      <c r="H788" s="46" t="s">
        <v>1815</v>
      </c>
      <c r="I788" s="45" t="s">
        <v>205</v>
      </c>
      <c r="J788" s="46" t="s">
        <v>127</v>
      </c>
      <c r="K788" s="46" t="s">
        <v>127</v>
      </c>
      <c r="L788" s="46" t="s">
        <v>15</v>
      </c>
      <c r="M788" s="46" t="s">
        <v>13</v>
      </c>
      <c r="N788" s="46" t="s">
        <v>16</v>
      </c>
      <c r="O788" s="49" t="s">
        <v>814</v>
      </c>
      <c r="P788" s="46" t="s">
        <v>507</v>
      </c>
      <c r="Q788" s="35" t="str">
        <f>MID(Tabla1[[#This Row],[Aplicación]],14,1)</f>
        <v>2</v>
      </c>
      <c r="R788" s="35" t="s">
        <v>495</v>
      </c>
      <c r="S788" s="35" t="str">
        <f>MID(Tabla1[[#This Row],[Aplicación]],6,2)</f>
        <v>03</v>
      </c>
      <c r="T788" s="35" t="str">
        <f>VLOOKUP(Tabla1[[#This Row],[AREA]],Hoja1!A:B,2,FALSE)</f>
        <v>03. Participación ciudadana y deportes</v>
      </c>
      <c r="U788" s="35" t="str">
        <f>MID(Tabla1[[#This Row],[Aplicación]],9,4)</f>
        <v>9241</v>
      </c>
      <c r="V788" s="35" t="str">
        <f>VLOOKUP(Tabla1[[#This Row],[PROGRAMA]],Hoja1!A:B,2,FALSE)</f>
        <v>9241. Participación ciudadana</v>
      </c>
      <c r="W788" s="35" t="str">
        <f>MID(Tabla1[[#This Row],[Aplicación]],14,2)</f>
        <v>21</v>
      </c>
      <c r="X788" s="35" t="str">
        <f>MID(Tabla1[[#This Row],[Aplicación]],14,6)</f>
        <v>212</v>
      </c>
    </row>
    <row r="789" spans="1:24" x14ac:dyDescent="0.25">
      <c r="A789" s="45">
        <v>220210004451</v>
      </c>
      <c r="B789" s="46" t="s">
        <v>204</v>
      </c>
      <c r="C789" s="47">
        <v>44246</v>
      </c>
      <c r="D789" s="45">
        <v>22021002144</v>
      </c>
      <c r="E789" s="46" t="s">
        <v>1328</v>
      </c>
      <c r="F789" s="48">
        <v>13.02</v>
      </c>
      <c r="G789" s="46" t="s">
        <v>238</v>
      </c>
      <c r="H789" s="46" t="s">
        <v>1816</v>
      </c>
      <c r="I789" s="45" t="s">
        <v>205</v>
      </c>
      <c r="J789" s="46" t="s">
        <v>127</v>
      </c>
      <c r="K789" s="46" t="s">
        <v>127</v>
      </c>
      <c r="L789" s="46" t="s">
        <v>15</v>
      </c>
      <c r="M789" s="46" t="s">
        <v>13</v>
      </c>
      <c r="N789" s="46" t="s">
        <v>14</v>
      </c>
      <c r="O789" s="49" t="s">
        <v>814</v>
      </c>
      <c r="P789" s="46" t="s">
        <v>507</v>
      </c>
      <c r="Q789" s="35" t="str">
        <f>MID(Tabla1[[#This Row],[Aplicación]],14,1)</f>
        <v>2</v>
      </c>
      <c r="R789" s="35" t="s">
        <v>495</v>
      </c>
      <c r="S789" s="35" t="str">
        <f>MID(Tabla1[[#This Row],[Aplicación]],6,2)</f>
        <v>10</v>
      </c>
      <c r="T789" s="35" t="str">
        <f>VLOOKUP(Tabla1[[#This Row],[AREA]],Hoja1!A:B,2,FALSE)</f>
        <v>10. Servicios sociales y mediación comunitaria</v>
      </c>
      <c r="U789" s="35" t="str">
        <f>MID(Tabla1[[#This Row],[Aplicación]],9,4)</f>
        <v>2311</v>
      </c>
      <c r="V789" s="35" t="str">
        <f>VLOOKUP(Tabla1[[#This Row],[PROGRAMA]],Hoja1!A:B,2,FALSE)</f>
        <v>2311. Intervención social</v>
      </c>
      <c r="W789" s="35" t="str">
        <f>MID(Tabla1[[#This Row],[Aplicación]],14,2)</f>
        <v>21</v>
      </c>
      <c r="X789" s="35" t="str">
        <f>MID(Tabla1[[#This Row],[Aplicación]],14,6)</f>
        <v>212</v>
      </c>
    </row>
    <row r="790" spans="1:24" x14ac:dyDescent="0.25">
      <c r="A790" s="45">
        <v>220199000720</v>
      </c>
      <c r="B790" s="46" t="s">
        <v>9</v>
      </c>
      <c r="C790" s="47">
        <v>44198</v>
      </c>
      <c r="D790" s="45">
        <v>22021000169</v>
      </c>
      <c r="E790" s="46" t="s">
        <v>1175</v>
      </c>
      <c r="F790" s="48">
        <v>7782.46</v>
      </c>
      <c r="G790" s="46" t="s">
        <v>185</v>
      </c>
      <c r="H790" s="46" t="s">
        <v>622</v>
      </c>
      <c r="I790" s="45" t="s">
        <v>125</v>
      </c>
      <c r="J790" s="46" t="s">
        <v>127</v>
      </c>
      <c r="K790" s="46" t="s">
        <v>127</v>
      </c>
      <c r="L790" s="46" t="s">
        <v>12</v>
      </c>
      <c r="M790" s="46" t="s">
        <v>13</v>
      </c>
      <c r="N790" s="46" t="s">
        <v>14</v>
      </c>
      <c r="O790" s="49" t="s">
        <v>803</v>
      </c>
      <c r="P790" s="46" t="s">
        <v>507</v>
      </c>
      <c r="Q790" s="35" t="str">
        <f>MID(Tabla1[[#This Row],[Aplicación]],14,1)</f>
        <v>2</v>
      </c>
      <c r="R790" s="35" t="s">
        <v>495</v>
      </c>
      <c r="S790" s="35" t="str">
        <f>MID(Tabla1[[#This Row],[Aplicación]],6,2)</f>
        <v>06</v>
      </c>
      <c r="T790" s="35" t="str">
        <f>VLOOKUP(Tabla1[[#This Row],[AREA]],Hoja1!A:B,2,FALSE)</f>
        <v>06. Educación, infancia, juventud e igualdad</v>
      </c>
      <c r="U790" s="35" t="str">
        <f>MID(Tabla1[[#This Row],[Aplicación]],9,4)</f>
        <v>2314</v>
      </c>
      <c r="V790" s="35" t="str">
        <f>VLOOKUP(Tabla1[[#This Row],[PROGRAMA]],Hoja1!A:B,2,FALSE)</f>
        <v>2314. Centro de programas juveniles</v>
      </c>
      <c r="W790" s="35" t="str">
        <f>MID(Tabla1[[#This Row],[Aplicación]],14,2)</f>
        <v>22</v>
      </c>
      <c r="X790" s="35" t="str">
        <f>MID(Tabla1[[#This Row],[Aplicación]],14,6)</f>
        <v>22799</v>
      </c>
    </row>
    <row r="791" spans="1:24" x14ac:dyDescent="0.25">
      <c r="A791" s="45">
        <v>220210005249</v>
      </c>
      <c r="B791" s="46" t="s">
        <v>204</v>
      </c>
      <c r="C791" s="47">
        <v>44249</v>
      </c>
      <c r="D791" s="45">
        <v>22021002228</v>
      </c>
      <c r="E791" s="46" t="s">
        <v>1471</v>
      </c>
      <c r="F791" s="48">
        <v>174.81</v>
      </c>
      <c r="G791" s="46" t="s">
        <v>238</v>
      </c>
      <c r="H791" s="46" t="s">
        <v>1817</v>
      </c>
      <c r="I791" s="45" t="s">
        <v>205</v>
      </c>
      <c r="J791" s="46" t="s">
        <v>127</v>
      </c>
      <c r="K791" s="46" t="s">
        <v>127</v>
      </c>
      <c r="L791" s="46" t="s">
        <v>15</v>
      </c>
      <c r="M791" s="46" t="s">
        <v>13</v>
      </c>
      <c r="N791" s="46" t="s">
        <v>16</v>
      </c>
      <c r="O791" s="49" t="s">
        <v>814</v>
      </c>
      <c r="P791" s="46" t="s">
        <v>507</v>
      </c>
      <c r="Q791" s="35" t="str">
        <f>MID(Tabla1[[#This Row],[Aplicación]],14,1)</f>
        <v>2</v>
      </c>
      <c r="R791" s="35" t="s">
        <v>495</v>
      </c>
      <c r="S791" s="35" t="str">
        <f>MID(Tabla1[[#This Row],[Aplicación]],6,2)</f>
        <v>06</v>
      </c>
      <c r="T791" s="35" t="str">
        <f>VLOOKUP(Tabla1[[#This Row],[AREA]],Hoja1!A:B,2,FALSE)</f>
        <v>06. Educación, infancia, juventud e igualdad</v>
      </c>
      <c r="U791" s="35" t="str">
        <f>MID(Tabla1[[#This Row],[Aplicación]],9,4)</f>
        <v>3232</v>
      </c>
      <c r="V791" s="35" t="str">
        <f>VLOOKUP(Tabla1[[#This Row],[PROGRAMA]],Hoja1!A:B,2,FALSE)</f>
        <v>3232. Conservación y mantenimiento centros educación infantil y primaria</v>
      </c>
      <c r="W791" s="35" t="str">
        <f>MID(Tabla1[[#This Row],[Aplicación]],14,2)</f>
        <v>21</v>
      </c>
      <c r="X791" s="35" t="str">
        <f>MID(Tabla1[[#This Row],[Aplicación]],14,6)</f>
        <v>212</v>
      </c>
    </row>
    <row r="792" spans="1:24" x14ac:dyDescent="0.25">
      <c r="A792" s="45">
        <v>220210002851</v>
      </c>
      <c r="B792" s="46" t="s">
        <v>9</v>
      </c>
      <c r="C792" s="47">
        <v>44238</v>
      </c>
      <c r="D792" s="45">
        <v>22021002251</v>
      </c>
      <c r="E792" s="46" t="s">
        <v>1261</v>
      </c>
      <c r="F792" s="48">
        <v>4145.08</v>
      </c>
      <c r="G792" s="46" t="s">
        <v>101</v>
      </c>
      <c r="H792" s="46" t="s">
        <v>1818</v>
      </c>
      <c r="I792" s="45" t="s">
        <v>125</v>
      </c>
      <c r="J792" s="46" t="s">
        <v>127</v>
      </c>
      <c r="K792" s="46" t="s">
        <v>127</v>
      </c>
      <c r="L792" s="46" t="s">
        <v>12</v>
      </c>
      <c r="M792" s="46" t="s">
        <v>13</v>
      </c>
      <c r="N792" s="46" t="s">
        <v>14</v>
      </c>
      <c r="O792" s="49" t="s">
        <v>803</v>
      </c>
      <c r="P792" s="46" t="s">
        <v>507</v>
      </c>
      <c r="Q792" s="35" t="str">
        <f>MID(Tabla1[[#This Row],[Aplicación]],14,1)</f>
        <v>2</v>
      </c>
      <c r="R792" s="35" t="s">
        <v>495</v>
      </c>
      <c r="S792" s="35" t="str">
        <f>MID(Tabla1[[#This Row],[Aplicación]],6,2)</f>
        <v>03</v>
      </c>
      <c r="T792" s="35" t="str">
        <f>VLOOKUP(Tabla1[[#This Row],[AREA]],Hoja1!A:B,2,FALSE)</f>
        <v>03. Participación ciudadana y deportes</v>
      </c>
      <c r="U792" s="35" t="str">
        <f>MID(Tabla1[[#This Row],[Aplicación]],9,4)</f>
        <v>9241</v>
      </c>
      <c r="V792" s="35" t="str">
        <f>VLOOKUP(Tabla1[[#This Row],[PROGRAMA]],Hoja1!A:B,2,FALSE)</f>
        <v>9241. Participación ciudadana</v>
      </c>
      <c r="W792" s="35" t="str">
        <f>MID(Tabla1[[#This Row],[Aplicación]],14,2)</f>
        <v>22</v>
      </c>
      <c r="X792" s="35" t="str">
        <f>MID(Tabla1[[#This Row],[Aplicación]],14,6)</f>
        <v>22700</v>
      </c>
    </row>
    <row r="793" spans="1:24" x14ac:dyDescent="0.25">
      <c r="A793" s="45">
        <v>220210001556</v>
      </c>
      <c r="B793" s="46" t="s">
        <v>9</v>
      </c>
      <c r="C793" s="47">
        <v>44229</v>
      </c>
      <c r="D793" s="45">
        <v>22021000003</v>
      </c>
      <c r="E793" s="46" t="s">
        <v>1819</v>
      </c>
      <c r="F793" s="48">
        <v>158603.5</v>
      </c>
      <c r="G793" s="46" t="s">
        <v>1820</v>
      </c>
      <c r="H793" s="46" t="s">
        <v>1821</v>
      </c>
      <c r="I793" s="45" t="s">
        <v>125</v>
      </c>
      <c r="J793" s="46" t="s">
        <v>126</v>
      </c>
      <c r="K793" s="46" t="s">
        <v>126</v>
      </c>
      <c r="L793" s="46" t="s">
        <v>12</v>
      </c>
      <c r="M793" s="46" t="s">
        <v>13</v>
      </c>
      <c r="N793" s="46" t="s">
        <v>14</v>
      </c>
      <c r="O793" s="49" t="s">
        <v>803</v>
      </c>
      <c r="P793" s="46" t="s">
        <v>507</v>
      </c>
      <c r="Q793" s="35" t="str">
        <f>MID(Tabla1[[#This Row],[Aplicación]],14,1)</f>
        <v>2</v>
      </c>
      <c r="R793" s="35" t="s">
        <v>495</v>
      </c>
      <c r="S793" s="35" t="str">
        <f>MID(Tabla1[[#This Row],[Aplicación]],6,2)</f>
        <v>10</v>
      </c>
      <c r="T793" s="35" t="str">
        <f>VLOOKUP(Tabla1[[#This Row],[AREA]],Hoja1!A:B,2,FALSE)</f>
        <v>10. Servicios sociales y mediación comunitaria</v>
      </c>
      <c r="U793" s="35" t="str">
        <f>MID(Tabla1[[#This Row],[Aplicación]],9,4)</f>
        <v>2316</v>
      </c>
      <c r="V793" s="35" t="str">
        <f>VLOOKUP(Tabla1[[#This Row],[PROGRAMA]],Hoja1!A:B,2,FALSE)</f>
        <v>2316. Mediación comunitaria</v>
      </c>
      <c r="W793" s="35" t="str">
        <f>MID(Tabla1[[#This Row],[Aplicación]],14,2)</f>
        <v>22</v>
      </c>
      <c r="X793" s="35" t="str">
        <f>MID(Tabla1[[#This Row],[Aplicación]],14,6)</f>
        <v>22799</v>
      </c>
    </row>
    <row r="794" spans="1:24" x14ac:dyDescent="0.25">
      <c r="A794" s="45">
        <v>220210005569</v>
      </c>
      <c r="B794" s="46" t="s">
        <v>204</v>
      </c>
      <c r="C794" s="47">
        <v>44250</v>
      </c>
      <c r="D794" s="45">
        <v>22021002088</v>
      </c>
      <c r="E794" s="46" t="s">
        <v>1478</v>
      </c>
      <c r="F794" s="48">
        <v>326.93</v>
      </c>
      <c r="G794" s="46" t="s">
        <v>238</v>
      </c>
      <c r="H794" s="46" t="s">
        <v>1822</v>
      </c>
      <c r="I794" s="45" t="s">
        <v>205</v>
      </c>
      <c r="J794" s="46" t="s">
        <v>127</v>
      </c>
      <c r="K794" s="46" t="s">
        <v>127</v>
      </c>
      <c r="L794" s="46" t="s">
        <v>15</v>
      </c>
      <c r="M794" s="46" t="s">
        <v>13</v>
      </c>
      <c r="N794" s="46" t="s">
        <v>16</v>
      </c>
      <c r="O794" s="49" t="s">
        <v>814</v>
      </c>
      <c r="P794" s="46" t="s">
        <v>507</v>
      </c>
      <c r="Q794" s="35" t="str">
        <f>MID(Tabla1[[#This Row],[Aplicación]],14,1)</f>
        <v>2</v>
      </c>
      <c r="R794" s="35" t="s">
        <v>495</v>
      </c>
      <c r="S794" s="35" t="str">
        <f>MID(Tabla1[[#This Row],[Aplicación]],6,2)</f>
        <v>03</v>
      </c>
      <c r="T794" s="35" t="str">
        <f>VLOOKUP(Tabla1[[#This Row],[AREA]],Hoja1!A:B,2,FALSE)</f>
        <v>03. Participación ciudadana y deportes</v>
      </c>
      <c r="U794" s="35" t="str">
        <f>MID(Tabla1[[#This Row],[Aplicación]],9,4)</f>
        <v>9241</v>
      </c>
      <c r="V794" s="35" t="str">
        <f>VLOOKUP(Tabla1[[#This Row],[PROGRAMA]],Hoja1!A:B,2,FALSE)</f>
        <v>9241. Participación ciudadana</v>
      </c>
      <c r="W794" s="35" t="str">
        <f>MID(Tabla1[[#This Row],[Aplicación]],14,2)</f>
        <v>21</v>
      </c>
      <c r="X794" s="35" t="str">
        <f>MID(Tabla1[[#This Row],[Aplicación]],14,6)</f>
        <v>212</v>
      </c>
    </row>
    <row r="795" spans="1:24" x14ac:dyDescent="0.25">
      <c r="A795" s="45">
        <v>220210006172</v>
      </c>
      <c r="B795" s="46" t="s">
        <v>9</v>
      </c>
      <c r="C795" s="47">
        <v>44252</v>
      </c>
      <c r="D795" s="45">
        <v>22021002914</v>
      </c>
      <c r="E795" s="46" t="s">
        <v>871</v>
      </c>
      <c r="F795" s="48">
        <v>4658.5</v>
      </c>
      <c r="G795" s="46" t="s">
        <v>1823</v>
      </c>
      <c r="H795" s="46" t="s">
        <v>1824</v>
      </c>
      <c r="I795" s="45" t="s">
        <v>125</v>
      </c>
      <c r="J795" s="46" t="s">
        <v>126</v>
      </c>
      <c r="K795" s="46" t="s">
        <v>126</v>
      </c>
      <c r="L795" s="46" t="s">
        <v>12</v>
      </c>
      <c r="M795" s="46" t="s">
        <v>10</v>
      </c>
      <c r="N795" s="46" t="s">
        <v>11</v>
      </c>
      <c r="O795" s="49" t="s">
        <v>815</v>
      </c>
      <c r="P795" s="46" t="s">
        <v>507</v>
      </c>
      <c r="Q795" s="35" t="str">
        <f>MID(Tabla1[[#This Row],[Aplicación]],14,1)</f>
        <v>2</v>
      </c>
      <c r="R795" s="35" t="s">
        <v>495</v>
      </c>
      <c r="S795" s="35" t="str">
        <f>MID(Tabla1[[#This Row],[Aplicación]],6,2)</f>
        <v>09</v>
      </c>
      <c r="T795" s="35" t="str">
        <f>VLOOKUP(Tabla1[[#This Row],[AREA]],Hoja1!A:B,2,FALSE)</f>
        <v>09. Cultura y turismo</v>
      </c>
      <c r="U795" s="35" t="str">
        <f>MID(Tabla1[[#This Row],[Aplicación]],9,4)</f>
        <v>3301</v>
      </c>
      <c r="V795" s="35" t="str">
        <f>VLOOKUP(Tabla1[[#This Row],[PROGRAMA]],Hoja1!A:B,2,FALSE)</f>
        <v>3301. Dirección del área de cultura</v>
      </c>
      <c r="W795" s="35" t="str">
        <f>MID(Tabla1[[#This Row],[Aplicación]],14,2)</f>
        <v>22</v>
      </c>
      <c r="X795" s="35" t="str">
        <f>MID(Tabla1[[#This Row],[Aplicación]],14,6)</f>
        <v>22706</v>
      </c>
    </row>
    <row r="796" spans="1:24" x14ac:dyDescent="0.25">
      <c r="A796" s="45">
        <v>220210006018</v>
      </c>
      <c r="B796" s="46" t="s">
        <v>9</v>
      </c>
      <c r="C796" s="47">
        <v>44251</v>
      </c>
      <c r="D796" s="45">
        <v>22021002976</v>
      </c>
      <c r="E796" s="46" t="s">
        <v>1220</v>
      </c>
      <c r="F796" s="48">
        <v>77.97</v>
      </c>
      <c r="G796" s="46" t="s">
        <v>1825</v>
      </c>
      <c r="H796" s="46" t="s">
        <v>1826</v>
      </c>
      <c r="I796" s="45" t="s">
        <v>125</v>
      </c>
      <c r="J796" s="46" t="s">
        <v>609</v>
      </c>
      <c r="K796" s="46" t="s">
        <v>127</v>
      </c>
      <c r="L796" s="46" t="s">
        <v>15</v>
      </c>
      <c r="M796" s="46" t="s">
        <v>10</v>
      </c>
      <c r="N796" s="46" t="s">
        <v>11</v>
      </c>
      <c r="O796" s="49" t="s">
        <v>815</v>
      </c>
      <c r="P796" s="46" t="s">
        <v>507</v>
      </c>
      <c r="Q796" s="35" t="str">
        <f>MID(Tabla1[[#This Row],[Aplicación]],14,1)</f>
        <v>2</v>
      </c>
      <c r="R796" s="35" t="s">
        <v>495</v>
      </c>
      <c r="S796" s="35" t="str">
        <f>MID(Tabla1[[#This Row],[Aplicación]],6,2)</f>
        <v>03</v>
      </c>
      <c r="T796" s="35" t="str">
        <f>VLOOKUP(Tabla1[[#This Row],[AREA]],Hoja1!A:B,2,FALSE)</f>
        <v>03. Participación ciudadana y deportes</v>
      </c>
      <c r="U796" s="35" t="str">
        <f>MID(Tabla1[[#This Row],[Aplicación]],9,4)</f>
        <v>9241</v>
      </c>
      <c r="V796" s="35" t="str">
        <f>VLOOKUP(Tabla1[[#This Row],[PROGRAMA]],Hoja1!A:B,2,FALSE)</f>
        <v>9241. Participación ciudadana</v>
      </c>
      <c r="W796" s="35" t="str">
        <f>MID(Tabla1[[#This Row],[Aplicación]],14,2)</f>
        <v>21</v>
      </c>
      <c r="X796" s="35" t="str">
        <f>MID(Tabla1[[#This Row],[Aplicación]],14,6)</f>
        <v>213</v>
      </c>
    </row>
    <row r="797" spans="1:24" x14ac:dyDescent="0.25">
      <c r="A797" s="45">
        <v>220199000728</v>
      </c>
      <c r="B797" s="46" t="s">
        <v>9</v>
      </c>
      <c r="C797" s="47">
        <v>44198</v>
      </c>
      <c r="D797" s="45">
        <v>22021000172</v>
      </c>
      <c r="E797" s="46" t="s">
        <v>842</v>
      </c>
      <c r="F797" s="48">
        <v>417000</v>
      </c>
      <c r="G797" s="46" t="s">
        <v>138</v>
      </c>
      <c r="H797" s="46" t="s">
        <v>612</v>
      </c>
      <c r="I797" s="45" t="s">
        <v>125</v>
      </c>
      <c r="J797" s="46" t="s">
        <v>127</v>
      </c>
      <c r="K797" s="46" t="s">
        <v>127</v>
      </c>
      <c r="L797" s="46" t="s">
        <v>12</v>
      </c>
      <c r="M797" s="46" t="s">
        <v>13</v>
      </c>
      <c r="N797" s="46" t="s">
        <v>14</v>
      </c>
      <c r="O797" s="49" t="s">
        <v>803</v>
      </c>
      <c r="P797" s="46" t="s">
        <v>507</v>
      </c>
      <c r="Q797" s="35" t="str">
        <f>MID(Tabla1[[#This Row],[Aplicación]],14,1)</f>
        <v>2</v>
      </c>
      <c r="R797" s="35" t="s">
        <v>495</v>
      </c>
      <c r="S797" s="35" t="str">
        <f>MID(Tabla1[[#This Row],[Aplicación]],6,2)</f>
        <v>06</v>
      </c>
      <c r="T797" s="35" t="str">
        <f>VLOOKUP(Tabla1[[#This Row],[AREA]],Hoja1!A:B,2,FALSE)</f>
        <v>06. Educación, infancia, juventud e igualdad</v>
      </c>
      <c r="U797" s="35" t="str">
        <f>MID(Tabla1[[#This Row],[Aplicación]],9,4)</f>
        <v>3261</v>
      </c>
      <c r="V797" s="35" t="str">
        <f>VLOOKUP(Tabla1[[#This Row],[PROGRAMA]],Hoja1!A:B,2,FALSE)</f>
        <v>3261. Servicios complementarios de educación</v>
      </c>
      <c r="W797" s="35" t="str">
        <f>MID(Tabla1[[#This Row],[Aplicación]],14,2)</f>
        <v>22</v>
      </c>
      <c r="X797" s="35" t="str">
        <f>MID(Tabla1[[#This Row],[Aplicación]],14,6)</f>
        <v>22799</v>
      </c>
    </row>
    <row r="798" spans="1:24" x14ac:dyDescent="0.25">
      <c r="A798" s="45">
        <v>220210009392</v>
      </c>
      <c r="B798" s="46" t="s">
        <v>9</v>
      </c>
      <c r="C798" s="47">
        <v>44270</v>
      </c>
      <c r="D798" s="45">
        <v>22021003399</v>
      </c>
      <c r="E798" s="46" t="s">
        <v>1621</v>
      </c>
      <c r="F798" s="48">
        <v>1754.5</v>
      </c>
      <c r="G798" s="46" t="s">
        <v>531</v>
      </c>
      <c r="H798" s="46" t="s">
        <v>1827</v>
      </c>
      <c r="I798" s="45" t="s">
        <v>125</v>
      </c>
      <c r="J798" s="46" t="s">
        <v>127</v>
      </c>
      <c r="K798" s="46" t="s">
        <v>127</v>
      </c>
      <c r="L798" s="46" t="s">
        <v>12</v>
      </c>
      <c r="M798" s="46" t="s">
        <v>10</v>
      </c>
      <c r="N798" s="46" t="s">
        <v>11</v>
      </c>
      <c r="O798" s="49" t="s">
        <v>815</v>
      </c>
      <c r="P798" s="46" t="s">
        <v>507</v>
      </c>
      <c r="Q798" s="35" t="str">
        <f>MID(Tabla1[[#This Row],[Aplicación]],14,1)</f>
        <v>2</v>
      </c>
      <c r="R798" s="35" t="s">
        <v>495</v>
      </c>
      <c r="S798" s="35" t="str">
        <f>MID(Tabla1[[#This Row],[Aplicación]],6,2)</f>
        <v>01</v>
      </c>
      <c r="T798" s="35" t="str">
        <f>VLOOKUP(Tabla1[[#This Row],[AREA]],Hoja1!A:B,2,FALSE)</f>
        <v>01. Alcaldía</v>
      </c>
      <c r="U798" s="35" t="str">
        <f>MID(Tabla1[[#This Row],[Aplicación]],9,4)</f>
        <v>9207</v>
      </c>
      <c r="V798" s="35" t="str">
        <f>VLOOKUP(Tabla1[[#This Row],[PROGRAMA]],Hoja1!A:B,2,FALSE)</f>
        <v>9207. Gobierno y relaciones</v>
      </c>
      <c r="W798" s="35" t="str">
        <f>MID(Tabla1[[#This Row],[Aplicación]],14,2)</f>
        <v>22</v>
      </c>
      <c r="X798" s="35" t="str">
        <f>MID(Tabla1[[#This Row],[Aplicación]],14,6)</f>
        <v>22602</v>
      </c>
    </row>
    <row r="799" spans="1:24" x14ac:dyDescent="0.25">
      <c r="A799" s="45">
        <v>220210006011</v>
      </c>
      <c r="B799" s="46" t="s">
        <v>9</v>
      </c>
      <c r="C799" s="47">
        <v>44251</v>
      </c>
      <c r="D799" s="45">
        <v>22021002964</v>
      </c>
      <c r="E799" s="46" t="s">
        <v>1382</v>
      </c>
      <c r="F799" s="48">
        <v>2500</v>
      </c>
      <c r="G799" s="46" t="s">
        <v>1828</v>
      </c>
      <c r="H799" s="46" t="s">
        <v>1829</v>
      </c>
      <c r="I799" s="45" t="s">
        <v>125</v>
      </c>
      <c r="J799" s="46" t="s">
        <v>1830</v>
      </c>
      <c r="K799" s="46" t="s">
        <v>136</v>
      </c>
      <c r="L799" s="46" t="s">
        <v>15</v>
      </c>
      <c r="M799" s="46" t="s">
        <v>10</v>
      </c>
      <c r="N799" s="46" t="s">
        <v>11</v>
      </c>
      <c r="O799" s="49" t="s">
        <v>815</v>
      </c>
      <c r="P799" s="46" t="s">
        <v>507</v>
      </c>
      <c r="Q799" s="35" t="str">
        <f>MID(Tabla1[[#This Row],[Aplicación]],14,1)</f>
        <v>2</v>
      </c>
      <c r="R799" s="35" t="s">
        <v>495</v>
      </c>
      <c r="S799" s="35" t="str">
        <f>MID(Tabla1[[#This Row],[Aplicación]],6,2)</f>
        <v>11</v>
      </c>
      <c r="T799" s="35" t="str">
        <f>VLOOKUP(Tabla1[[#This Row],[AREA]],Hoja1!A:B,2,FALSE)</f>
        <v>11. Salud pública y seguridad ciudadana</v>
      </c>
      <c r="U799" s="35" t="str">
        <f>MID(Tabla1[[#This Row],[Aplicación]],9,4)</f>
        <v>1631</v>
      </c>
      <c r="V799" s="35" t="str">
        <f>VLOOKUP(Tabla1[[#This Row],[PROGRAMA]],Hoja1!A:B,2,FALSE)</f>
        <v>1631. Limpieza viaria</v>
      </c>
      <c r="W799" s="35" t="str">
        <f>MID(Tabla1[[#This Row],[Aplicación]],14,2)</f>
        <v>21</v>
      </c>
      <c r="X799" s="35" t="str">
        <f>MID(Tabla1[[#This Row],[Aplicación]],14,6)</f>
        <v>214</v>
      </c>
    </row>
    <row r="800" spans="1:24" x14ac:dyDescent="0.25">
      <c r="A800" s="45">
        <v>220210007196</v>
      </c>
      <c r="B800" s="46" t="s">
        <v>9</v>
      </c>
      <c r="C800" s="47">
        <v>44263</v>
      </c>
      <c r="D800" s="45">
        <v>22021003223</v>
      </c>
      <c r="E800" s="46" t="s">
        <v>1388</v>
      </c>
      <c r="F800" s="48">
        <v>1000</v>
      </c>
      <c r="G800" s="46" t="s">
        <v>744</v>
      </c>
      <c r="H800" s="46" t="s">
        <v>1831</v>
      </c>
      <c r="I800" s="45" t="s">
        <v>125</v>
      </c>
      <c r="J800" s="46" t="s">
        <v>127</v>
      </c>
      <c r="K800" s="46" t="s">
        <v>127</v>
      </c>
      <c r="L800" s="46" t="s">
        <v>15</v>
      </c>
      <c r="M800" s="46" t="s">
        <v>10</v>
      </c>
      <c r="N800" s="46" t="s">
        <v>11</v>
      </c>
      <c r="O800" s="49" t="s">
        <v>815</v>
      </c>
      <c r="P800" s="46" t="s">
        <v>507</v>
      </c>
      <c r="Q800" s="35" t="str">
        <f>MID(Tabla1[[#This Row],[Aplicación]],14,1)</f>
        <v>2</v>
      </c>
      <c r="R800" s="35" t="s">
        <v>495</v>
      </c>
      <c r="S800" s="35" t="str">
        <f>MID(Tabla1[[#This Row],[Aplicación]],6,2)</f>
        <v>11</v>
      </c>
      <c r="T800" s="35" t="str">
        <f>VLOOKUP(Tabla1[[#This Row],[AREA]],Hoja1!A:B,2,FALSE)</f>
        <v>11. Salud pública y seguridad ciudadana</v>
      </c>
      <c r="U800" s="35" t="str">
        <f>MID(Tabla1[[#This Row],[Aplicación]],9,4)</f>
        <v>1321</v>
      </c>
      <c r="V800" s="35" t="str">
        <f>VLOOKUP(Tabla1[[#This Row],[PROGRAMA]],Hoja1!A:B,2,FALSE)</f>
        <v>1321. Policía municipal</v>
      </c>
      <c r="W800" s="35" t="str">
        <f>MID(Tabla1[[#This Row],[Aplicación]],14,2)</f>
        <v>22</v>
      </c>
      <c r="X800" s="35" t="str">
        <f>MID(Tabla1[[#This Row],[Aplicación]],14,6)</f>
        <v>22199</v>
      </c>
    </row>
    <row r="801" spans="1:24" x14ac:dyDescent="0.25">
      <c r="A801" s="45">
        <v>220210006040</v>
      </c>
      <c r="B801" s="46" t="s">
        <v>9</v>
      </c>
      <c r="C801" s="47">
        <v>44251</v>
      </c>
      <c r="D801" s="45">
        <v>22021002837</v>
      </c>
      <c r="E801" s="46" t="s">
        <v>1432</v>
      </c>
      <c r="F801" s="48">
        <v>1721.53</v>
      </c>
      <c r="G801" s="46" t="s">
        <v>1832</v>
      </c>
      <c r="H801" s="46" t="s">
        <v>1833</v>
      </c>
      <c r="I801" s="45" t="s">
        <v>125</v>
      </c>
      <c r="J801" s="46" t="s">
        <v>127</v>
      </c>
      <c r="K801" s="46" t="s">
        <v>127</v>
      </c>
      <c r="L801" s="46" t="s">
        <v>15</v>
      </c>
      <c r="M801" s="46" t="s">
        <v>10</v>
      </c>
      <c r="N801" s="46" t="s">
        <v>11</v>
      </c>
      <c r="O801" s="49" t="s">
        <v>815</v>
      </c>
      <c r="P801" s="46" t="s">
        <v>507</v>
      </c>
      <c r="Q801" s="35" t="str">
        <f>MID(Tabla1[[#This Row],[Aplicación]],14,1)</f>
        <v>2</v>
      </c>
      <c r="R801" s="35" t="s">
        <v>495</v>
      </c>
      <c r="S801" s="35" t="str">
        <f>MID(Tabla1[[#This Row],[Aplicación]],6,2)</f>
        <v>10</v>
      </c>
      <c r="T801" s="35" t="str">
        <f>VLOOKUP(Tabla1[[#This Row],[AREA]],Hoja1!A:B,2,FALSE)</f>
        <v>10. Servicios sociales y mediación comunitaria</v>
      </c>
      <c r="U801" s="35" t="str">
        <f>MID(Tabla1[[#This Row],[Aplicación]],9,4)</f>
        <v>2412</v>
      </c>
      <c r="V801" s="35" t="str">
        <f>VLOOKUP(Tabla1[[#This Row],[PROGRAMA]],Hoja1!A:B,2,FALSE)</f>
        <v>2412. Formación para el empleo</v>
      </c>
      <c r="W801" s="35" t="str">
        <f>MID(Tabla1[[#This Row],[Aplicación]],14,2)</f>
        <v>22</v>
      </c>
      <c r="X801" s="35" t="str">
        <f>MID(Tabla1[[#This Row],[Aplicación]],14,6)</f>
        <v>22104</v>
      </c>
    </row>
    <row r="802" spans="1:24" x14ac:dyDescent="0.25">
      <c r="A802" s="45">
        <v>220210006479</v>
      </c>
      <c r="B802" s="46" t="s">
        <v>204</v>
      </c>
      <c r="C802" s="47">
        <v>44253</v>
      </c>
      <c r="D802" s="45">
        <v>22021002006</v>
      </c>
      <c r="E802" s="46" t="s">
        <v>1310</v>
      </c>
      <c r="F802" s="48">
        <v>494.96</v>
      </c>
      <c r="G802" s="46" t="s">
        <v>238</v>
      </c>
      <c r="H802" s="46" t="s">
        <v>1834</v>
      </c>
      <c r="I802" s="45" t="s">
        <v>205</v>
      </c>
      <c r="J802" s="46" t="s">
        <v>127</v>
      </c>
      <c r="K802" s="46" t="s">
        <v>127</v>
      </c>
      <c r="L802" s="46" t="s">
        <v>15</v>
      </c>
      <c r="M802" s="46" t="s">
        <v>13</v>
      </c>
      <c r="N802" s="46" t="s">
        <v>14</v>
      </c>
      <c r="O802" s="49" t="s">
        <v>814</v>
      </c>
      <c r="P802" s="46" t="s">
        <v>507</v>
      </c>
      <c r="Q802" s="35" t="str">
        <f>MID(Tabla1[[#This Row],[Aplicación]],14,1)</f>
        <v>2</v>
      </c>
      <c r="R802" s="35" t="s">
        <v>495</v>
      </c>
      <c r="S802" s="35" t="str">
        <f>MID(Tabla1[[#This Row],[Aplicación]],6,2)</f>
        <v>11</v>
      </c>
      <c r="T802" s="35" t="str">
        <f>VLOOKUP(Tabla1[[#This Row],[AREA]],Hoja1!A:B,2,FALSE)</f>
        <v>11. Salud pública y seguridad ciudadana</v>
      </c>
      <c r="U802" s="35" t="str">
        <f>MID(Tabla1[[#This Row],[Aplicación]],9,4)</f>
        <v>3111</v>
      </c>
      <c r="V802" s="35" t="str">
        <f>VLOOKUP(Tabla1[[#This Row],[PROGRAMA]],Hoja1!A:B,2,FALSE)</f>
        <v>3111. Protección de la salubridad pública</v>
      </c>
      <c r="W802" s="35" t="str">
        <f>MID(Tabla1[[#This Row],[Aplicación]],14,2)</f>
        <v>22</v>
      </c>
      <c r="X802" s="35" t="str">
        <f>MID(Tabla1[[#This Row],[Aplicación]],14,6)</f>
        <v>22199</v>
      </c>
    </row>
    <row r="803" spans="1:24" x14ac:dyDescent="0.25">
      <c r="A803" s="45">
        <v>220210006501</v>
      </c>
      <c r="B803" s="46" t="s">
        <v>204</v>
      </c>
      <c r="C803" s="47">
        <v>44253</v>
      </c>
      <c r="D803" s="45">
        <v>22021002225</v>
      </c>
      <c r="E803" s="46" t="s">
        <v>1574</v>
      </c>
      <c r="F803" s="48">
        <v>98.89</v>
      </c>
      <c r="G803" s="46" t="s">
        <v>238</v>
      </c>
      <c r="H803" s="46" t="s">
        <v>1835</v>
      </c>
      <c r="I803" s="45" t="s">
        <v>205</v>
      </c>
      <c r="J803" s="46" t="s">
        <v>127</v>
      </c>
      <c r="K803" s="46" t="s">
        <v>127</v>
      </c>
      <c r="L803" s="46" t="s">
        <v>15</v>
      </c>
      <c r="M803" s="46" t="s">
        <v>13</v>
      </c>
      <c r="N803" s="46" t="s">
        <v>16</v>
      </c>
      <c r="O803" s="49" t="s">
        <v>814</v>
      </c>
      <c r="P803" s="46" t="s">
        <v>507</v>
      </c>
      <c r="Q803" s="35" t="str">
        <f>MID(Tabla1[[#This Row],[Aplicación]],14,1)</f>
        <v>2</v>
      </c>
      <c r="R803" s="35" t="s">
        <v>495</v>
      </c>
      <c r="S803" s="35" t="str">
        <f>MID(Tabla1[[#This Row],[Aplicación]],6,2)</f>
        <v>06</v>
      </c>
      <c r="T803" s="35" t="str">
        <f>VLOOKUP(Tabla1[[#This Row],[AREA]],Hoja1!A:B,2,FALSE)</f>
        <v>06. Educación, infancia, juventud e igualdad</v>
      </c>
      <c r="U803" s="35" t="str">
        <f>MID(Tabla1[[#This Row],[Aplicación]],9,4)</f>
        <v>3231</v>
      </c>
      <c r="V803" s="35" t="str">
        <f>VLOOKUP(Tabla1[[#This Row],[PROGRAMA]],Hoja1!A:B,2,FALSE)</f>
        <v>3231. Escuelas infantiles</v>
      </c>
      <c r="W803" s="35" t="str">
        <f>MID(Tabla1[[#This Row],[Aplicación]],14,2)</f>
        <v>21</v>
      </c>
      <c r="X803" s="35" t="str">
        <f>MID(Tabla1[[#This Row],[Aplicación]],14,6)</f>
        <v>212</v>
      </c>
    </row>
    <row r="804" spans="1:24" x14ac:dyDescent="0.25">
      <c r="A804" s="45">
        <v>220210007027</v>
      </c>
      <c r="B804" s="46" t="s">
        <v>204</v>
      </c>
      <c r="C804" s="47">
        <v>44260</v>
      </c>
      <c r="D804" s="45">
        <v>22021002142</v>
      </c>
      <c r="E804" s="46" t="s">
        <v>1328</v>
      </c>
      <c r="F804" s="48">
        <v>157.41999999999999</v>
      </c>
      <c r="G804" s="46" t="s">
        <v>238</v>
      </c>
      <c r="H804" s="46" t="s">
        <v>1836</v>
      </c>
      <c r="I804" s="45" t="s">
        <v>205</v>
      </c>
      <c r="J804" s="46" t="s">
        <v>127</v>
      </c>
      <c r="K804" s="46" t="s">
        <v>127</v>
      </c>
      <c r="L804" s="46" t="s">
        <v>15</v>
      </c>
      <c r="M804" s="46" t="s">
        <v>13</v>
      </c>
      <c r="N804" s="46" t="s">
        <v>14</v>
      </c>
      <c r="O804" s="49" t="s">
        <v>814</v>
      </c>
      <c r="P804" s="46" t="s">
        <v>507</v>
      </c>
      <c r="Q804" s="35" t="str">
        <f>MID(Tabla1[[#This Row],[Aplicación]],14,1)</f>
        <v>2</v>
      </c>
      <c r="R804" s="35" t="s">
        <v>495</v>
      </c>
      <c r="S804" s="35" t="str">
        <f>MID(Tabla1[[#This Row],[Aplicación]],6,2)</f>
        <v>10</v>
      </c>
      <c r="T804" s="35" t="str">
        <f>VLOOKUP(Tabla1[[#This Row],[AREA]],Hoja1!A:B,2,FALSE)</f>
        <v>10. Servicios sociales y mediación comunitaria</v>
      </c>
      <c r="U804" s="35" t="str">
        <f>MID(Tabla1[[#This Row],[Aplicación]],9,4)</f>
        <v>2311</v>
      </c>
      <c r="V804" s="35" t="str">
        <f>VLOOKUP(Tabla1[[#This Row],[PROGRAMA]],Hoja1!A:B,2,FALSE)</f>
        <v>2311. Intervención social</v>
      </c>
      <c r="W804" s="35" t="str">
        <f>MID(Tabla1[[#This Row],[Aplicación]],14,2)</f>
        <v>21</v>
      </c>
      <c r="X804" s="35" t="str">
        <f>MID(Tabla1[[#This Row],[Aplicación]],14,6)</f>
        <v>212</v>
      </c>
    </row>
    <row r="805" spans="1:24" x14ac:dyDescent="0.25">
      <c r="A805" s="45">
        <v>220210008537</v>
      </c>
      <c r="B805" s="46" t="s">
        <v>204</v>
      </c>
      <c r="C805" s="47">
        <v>44266</v>
      </c>
      <c r="D805" s="45">
        <v>22021002228</v>
      </c>
      <c r="E805" s="46" t="s">
        <v>1471</v>
      </c>
      <c r="F805" s="48">
        <v>413.6</v>
      </c>
      <c r="G805" s="46" t="s">
        <v>238</v>
      </c>
      <c r="H805" s="46" t="s">
        <v>1837</v>
      </c>
      <c r="I805" s="45" t="s">
        <v>205</v>
      </c>
      <c r="J805" s="46" t="s">
        <v>127</v>
      </c>
      <c r="K805" s="46" t="s">
        <v>127</v>
      </c>
      <c r="L805" s="46" t="s">
        <v>15</v>
      </c>
      <c r="M805" s="46" t="s">
        <v>13</v>
      </c>
      <c r="N805" s="46" t="s">
        <v>14</v>
      </c>
      <c r="O805" s="49" t="s">
        <v>814</v>
      </c>
      <c r="P805" s="46" t="s">
        <v>507</v>
      </c>
      <c r="Q805" s="35" t="str">
        <f>MID(Tabla1[[#This Row],[Aplicación]],14,1)</f>
        <v>2</v>
      </c>
      <c r="R805" s="35" t="s">
        <v>495</v>
      </c>
      <c r="S805" s="35" t="str">
        <f>MID(Tabla1[[#This Row],[Aplicación]],6,2)</f>
        <v>06</v>
      </c>
      <c r="T805" s="35" t="str">
        <f>VLOOKUP(Tabla1[[#This Row],[AREA]],Hoja1!A:B,2,FALSE)</f>
        <v>06. Educación, infancia, juventud e igualdad</v>
      </c>
      <c r="U805" s="35" t="str">
        <f>MID(Tabla1[[#This Row],[Aplicación]],9,4)</f>
        <v>3232</v>
      </c>
      <c r="V805" s="35" t="str">
        <f>VLOOKUP(Tabla1[[#This Row],[PROGRAMA]],Hoja1!A:B,2,FALSE)</f>
        <v>3232. Conservación y mantenimiento centros educación infantil y primaria</v>
      </c>
      <c r="W805" s="35" t="str">
        <f>MID(Tabla1[[#This Row],[Aplicación]],14,2)</f>
        <v>21</v>
      </c>
      <c r="X805" s="35" t="str">
        <f>MID(Tabla1[[#This Row],[Aplicación]],14,6)</f>
        <v>212</v>
      </c>
    </row>
    <row r="806" spans="1:24" x14ac:dyDescent="0.25">
      <c r="A806" s="45">
        <v>220210006009</v>
      </c>
      <c r="B806" s="46" t="s">
        <v>9</v>
      </c>
      <c r="C806" s="47">
        <v>44251</v>
      </c>
      <c r="D806" s="45">
        <v>22021002343</v>
      </c>
      <c r="E806" s="46" t="s">
        <v>1623</v>
      </c>
      <c r="F806" s="48">
        <v>417.2</v>
      </c>
      <c r="G806" s="46" t="s">
        <v>252</v>
      </c>
      <c r="H806" s="46" t="s">
        <v>1838</v>
      </c>
      <c r="I806" s="45" t="s">
        <v>125</v>
      </c>
      <c r="J806" s="46" t="s">
        <v>126</v>
      </c>
      <c r="K806" s="46" t="s">
        <v>126</v>
      </c>
      <c r="L806" s="46" t="s">
        <v>12</v>
      </c>
      <c r="M806" s="46" t="s">
        <v>10</v>
      </c>
      <c r="N806" s="46" t="s">
        <v>11</v>
      </c>
      <c r="O806" s="49" t="s">
        <v>815</v>
      </c>
      <c r="P806" s="46" t="s">
        <v>507</v>
      </c>
      <c r="Q806" s="35" t="str">
        <f>MID(Tabla1[[#This Row],[Aplicación]],14,1)</f>
        <v>2</v>
      </c>
      <c r="R806" s="35" t="s">
        <v>495</v>
      </c>
      <c r="S806" s="35" t="str">
        <f>MID(Tabla1[[#This Row],[Aplicación]],6,2)</f>
        <v>01</v>
      </c>
      <c r="T806" s="35" t="str">
        <f>VLOOKUP(Tabla1[[#This Row],[AREA]],Hoja1!A:B,2,FALSE)</f>
        <v>01. Alcaldía</v>
      </c>
      <c r="U806" s="35" t="str">
        <f>MID(Tabla1[[#This Row],[Aplicación]],9,4)</f>
        <v>9207</v>
      </c>
      <c r="V806" s="35" t="str">
        <f>VLOOKUP(Tabla1[[#This Row],[PROGRAMA]],Hoja1!A:B,2,FALSE)</f>
        <v>9207. Gobierno y relaciones</v>
      </c>
      <c r="W806" s="35" t="str">
        <f>MID(Tabla1[[#This Row],[Aplicación]],14,2)</f>
        <v>22</v>
      </c>
      <c r="X806" s="35" t="str">
        <f>MID(Tabla1[[#This Row],[Aplicación]],14,6)</f>
        <v>22001</v>
      </c>
    </row>
    <row r="807" spans="1:24" x14ac:dyDescent="0.25">
      <c r="A807" s="45">
        <v>220210012878</v>
      </c>
      <c r="B807" s="46" t="s">
        <v>9</v>
      </c>
      <c r="C807" s="47">
        <v>44284</v>
      </c>
      <c r="D807" s="45">
        <v>22021003661</v>
      </c>
      <c r="E807" s="46" t="s">
        <v>1183</v>
      </c>
      <c r="F807" s="48">
        <v>80.010000000000005</v>
      </c>
      <c r="G807" s="46" t="s">
        <v>1839</v>
      </c>
      <c r="H807" s="46" t="s">
        <v>1840</v>
      </c>
      <c r="I807" s="45" t="s">
        <v>125</v>
      </c>
      <c r="J807" s="46" t="s">
        <v>127</v>
      </c>
      <c r="K807" s="46" t="s">
        <v>127</v>
      </c>
      <c r="L807" s="46" t="s">
        <v>15</v>
      </c>
      <c r="M807" s="46" t="s">
        <v>10</v>
      </c>
      <c r="N807" s="46" t="s">
        <v>11</v>
      </c>
      <c r="O807" s="49" t="s">
        <v>815</v>
      </c>
      <c r="P807" s="46" t="s">
        <v>507</v>
      </c>
      <c r="Q807" s="35" t="str">
        <f>MID(Tabla1[[#This Row],[Aplicación]],14,1)</f>
        <v>2</v>
      </c>
      <c r="R807" s="35" t="s">
        <v>495</v>
      </c>
      <c r="S807" s="35" t="str">
        <f>MID(Tabla1[[#This Row],[Aplicación]],6,2)</f>
        <v>11</v>
      </c>
      <c r="T807" s="35" t="str">
        <f>VLOOKUP(Tabla1[[#This Row],[AREA]],Hoja1!A:B,2,FALSE)</f>
        <v>11. Salud pública y seguridad ciudadana</v>
      </c>
      <c r="U807" s="35" t="str">
        <f>MID(Tabla1[[#This Row],[Aplicación]],9,4)</f>
        <v>1361</v>
      </c>
      <c r="V807" s="35" t="str">
        <f>VLOOKUP(Tabla1[[#This Row],[PROGRAMA]],Hoja1!A:B,2,FALSE)</f>
        <v>1361. Prevención y extinción de incencios</v>
      </c>
      <c r="W807" s="35" t="str">
        <f>MID(Tabla1[[#This Row],[Aplicación]],14,2)</f>
        <v>22</v>
      </c>
      <c r="X807" s="35" t="str">
        <f>MID(Tabla1[[#This Row],[Aplicación]],14,6)</f>
        <v>22199</v>
      </c>
    </row>
    <row r="808" spans="1:24" x14ac:dyDescent="0.25">
      <c r="A808" s="45">
        <v>220210002600</v>
      </c>
      <c r="B808" s="46" t="s">
        <v>9</v>
      </c>
      <c r="C808" s="47">
        <v>44236</v>
      </c>
      <c r="D808" s="45">
        <v>22021002177</v>
      </c>
      <c r="E808" s="46" t="s">
        <v>1388</v>
      </c>
      <c r="F808" s="48">
        <v>1910.59</v>
      </c>
      <c r="G808" s="46" t="s">
        <v>311</v>
      </c>
      <c r="H808" s="46" t="s">
        <v>1841</v>
      </c>
      <c r="I808" s="45" t="s">
        <v>125</v>
      </c>
      <c r="J808" s="46" t="s">
        <v>761</v>
      </c>
      <c r="K808" s="46" t="s">
        <v>146</v>
      </c>
      <c r="L808" s="46" t="s">
        <v>15</v>
      </c>
      <c r="M808" s="46" t="s">
        <v>10</v>
      </c>
      <c r="N808" s="46" t="s">
        <v>11</v>
      </c>
      <c r="O808" s="49" t="s">
        <v>815</v>
      </c>
      <c r="P808" s="46" t="s">
        <v>507</v>
      </c>
      <c r="Q808" s="35" t="str">
        <f>MID(Tabla1[[#This Row],[Aplicación]],14,1)</f>
        <v>2</v>
      </c>
      <c r="R808" s="35" t="s">
        <v>495</v>
      </c>
      <c r="S808" s="35" t="str">
        <f>MID(Tabla1[[#This Row],[Aplicación]],6,2)</f>
        <v>11</v>
      </c>
      <c r="T808" s="35" t="str">
        <f>VLOOKUP(Tabla1[[#This Row],[AREA]],Hoja1!A:B,2,FALSE)</f>
        <v>11. Salud pública y seguridad ciudadana</v>
      </c>
      <c r="U808" s="35" t="str">
        <f>MID(Tabla1[[#This Row],[Aplicación]],9,4)</f>
        <v>1321</v>
      </c>
      <c r="V808" s="35" t="str">
        <f>VLOOKUP(Tabla1[[#This Row],[PROGRAMA]],Hoja1!A:B,2,FALSE)</f>
        <v>1321. Policía municipal</v>
      </c>
      <c r="W808" s="35" t="str">
        <f>MID(Tabla1[[#This Row],[Aplicación]],14,2)</f>
        <v>22</v>
      </c>
      <c r="X808" s="35" t="str">
        <f>MID(Tabla1[[#This Row],[Aplicación]],14,6)</f>
        <v>22199</v>
      </c>
    </row>
    <row r="809" spans="1:24" x14ac:dyDescent="0.25">
      <c r="A809" s="45">
        <v>220200029362</v>
      </c>
      <c r="B809" s="46" t="s">
        <v>9</v>
      </c>
      <c r="C809" s="47">
        <v>44284</v>
      </c>
      <c r="D809" s="45">
        <v>22020004546</v>
      </c>
      <c r="E809" s="46" t="s">
        <v>1172</v>
      </c>
      <c r="F809" s="48">
        <v>2807.2</v>
      </c>
      <c r="G809" s="46" t="s">
        <v>1842</v>
      </c>
      <c r="H809" s="46" t="s">
        <v>1843</v>
      </c>
      <c r="I809" s="45" t="s">
        <v>125</v>
      </c>
      <c r="J809" s="46" t="s">
        <v>127</v>
      </c>
      <c r="K809" s="46" t="s">
        <v>127</v>
      </c>
      <c r="L809" s="46" t="s">
        <v>12</v>
      </c>
      <c r="M809" s="46" t="s">
        <v>10</v>
      </c>
      <c r="N809" s="46" t="s">
        <v>11</v>
      </c>
      <c r="O809" s="49" t="s">
        <v>815</v>
      </c>
      <c r="P809" s="46" t="s">
        <v>507</v>
      </c>
      <c r="Q809" s="35" t="str">
        <f>MID(Tabla1[[#This Row],[Aplicación]],14,1)</f>
        <v>6</v>
      </c>
      <c r="R809" s="35" t="s">
        <v>496</v>
      </c>
      <c r="S809" s="35" t="str">
        <f>MID(Tabla1[[#This Row],[Aplicación]],6,2)</f>
        <v>02</v>
      </c>
      <c r="T809" s="35" t="str">
        <f>VLOOKUP(Tabla1[[#This Row],[AREA]],Hoja1!A:B,2,FALSE)</f>
        <v>02. Planeamiento urbanístico y vivienda</v>
      </c>
      <c r="U809" s="35" t="str">
        <f>MID(Tabla1[[#This Row],[Aplicación]],9,4)</f>
        <v>9332</v>
      </c>
      <c r="V809" s="35" t="str">
        <f>VLOOKUP(Tabla1[[#This Row],[PROGRAMA]],Hoja1!A:B,2,FALSE)</f>
        <v>9332. Mantenimiento de edificios e instalaciones municipales</v>
      </c>
      <c r="W809" s="35" t="str">
        <f>MID(Tabla1[[#This Row],[Aplicación]],14,2)</f>
        <v>63</v>
      </c>
      <c r="X809" s="35" t="str">
        <f>MID(Tabla1[[#This Row],[Aplicación]],14,6)</f>
        <v>632</v>
      </c>
    </row>
    <row r="810" spans="1:24" x14ac:dyDescent="0.25">
      <c r="A810" s="45">
        <v>220209000147</v>
      </c>
      <c r="B810" s="46" t="s">
        <v>9</v>
      </c>
      <c r="C810" s="47">
        <v>44198</v>
      </c>
      <c r="D810" s="45">
        <v>22021000217</v>
      </c>
      <c r="E810" s="46" t="s">
        <v>881</v>
      </c>
      <c r="F810" s="48">
        <v>3600</v>
      </c>
      <c r="G810" s="46" t="s">
        <v>1844</v>
      </c>
      <c r="H810" s="46" t="s">
        <v>1255</v>
      </c>
      <c r="I810" s="45" t="s">
        <v>125</v>
      </c>
      <c r="J810" s="46" t="s">
        <v>127</v>
      </c>
      <c r="K810" s="46" t="s">
        <v>127</v>
      </c>
      <c r="L810" s="46" t="s">
        <v>12</v>
      </c>
      <c r="M810" s="46" t="s">
        <v>13</v>
      </c>
      <c r="N810" s="46" t="s">
        <v>14</v>
      </c>
      <c r="O810" s="49" t="s">
        <v>814</v>
      </c>
      <c r="P810" s="46" t="s">
        <v>507</v>
      </c>
      <c r="Q810" s="35" t="str">
        <f>MID(Tabla1[[#This Row],[Aplicación]],14,1)</f>
        <v>2</v>
      </c>
      <c r="R810" s="35" t="s">
        <v>495</v>
      </c>
      <c r="S810" s="35" t="str">
        <f>MID(Tabla1[[#This Row],[Aplicación]],6,2)</f>
        <v>05</v>
      </c>
      <c r="T810" s="35" t="str">
        <f>VLOOKUP(Tabla1[[#This Row],[AREA]],Hoja1!A:B,2,FALSE)</f>
        <v>05. Innovación, desarrollo económico, empleo y comercio</v>
      </c>
      <c r="U810" s="35" t="str">
        <f>MID(Tabla1[[#This Row],[Aplicación]],9,4)</f>
        <v>4331</v>
      </c>
      <c r="V810" s="35" t="str">
        <f>VLOOKUP(Tabla1[[#This Row],[PROGRAMA]],Hoja1!A:B,2,FALSE)</f>
        <v>4331. Desarrollo empresarial</v>
      </c>
      <c r="W810" s="35" t="str">
        <f>MID(Tabla1[[#This Row],[Aplicación]],14,2)</f>
        <v>22</v>
      </c>
      <c r="X810" s="35" t="str">
        <f>MID(Tabla1[[#This Row],[Aplicación]],14,6)</f>
        <v>22799</v>
      </c>
    </row>
    <row r="811" spans="1:24" x14ac:dyDescent="0.25">
      <c r="A811" s="45">
        <v>220209000779</v>
      </c>
      <c r="B811" s="46" t="s">
        <v>9</v>
      </c>
      <c r="C811" s="47">
        <v>44198</v>
      </c>
      <c r="D811" s="45">
        <v>22021000499</v>
      </c>
      <c r="E811" s="46" t="s">
        <v>1550</v>
      </c>
      <c r="F811" s="48">
        <v>13500</v>
      </c>
      <c r="G811" s="46" t="s">
        <v>96</v>
      </c>
      <c r="H811" s="46" t="s">
        <v>1845</v>
      </c>
      <c r="I811" s="45" t="s">
        <v>125</v>
      </c>
      <c r="J811" s="46" t="s">
        <v>127</v>
      </c>
      <c r="K811" s="46" t="s">
        <v>127</v>
      </c>
      <c r="L811" s="46" t="s">
        <v>12</v>
      </c>
      <c r="M811" s="46" t="s">
        <v>10</v>
      </c>
      <c r="N811" s="46" t="s">
        <v>11</v>
      </c>
      <c r="O811" s="49" t="s">
        <v>815</v>
      </c>
      <c r="P811" s="46" t="s">
        <v>507</v>
      </c>
      <c r="Q811" s="35" t="str">
        <f>MID(Tabla1[[#This Row],[Aplicación]],14,1)</f>
        <v>2</v>
      </c>
      <c r="R811" s="35" t="s">
        <v>495</v>
      </c>
      <c r="S811" s="35" t="str">
        <f>MID(Tabla1[[#This Row],[Aplicación]],6,2)</f>
        <v>06</v>
      </c>
      <c r="T811" s="35" t="str">
        <f>VLOOKUP(Tabla1[[#This Row],[AREA]],Hoja1!A:B,2,FALSE)</f>
        <v>06. Educación, infancia, juventud e igualdad</v>
      </c>
      <c r="U811" s="35" t="str">
        <f>MID(Tabla1[[#This Row],[Aplicación]],9,4)</f>
        <v>2315</v>
      </c>
      <c r="V811" s="35" t="str">
        <f>VLOOKUP(Tabla1[[#This Row],[PROGRAMA]],Hoja1!A:B,2,FALSE)</f>
        <v>2315. Políticas de Igualdad e infancia</v>
      </c>
      <c r="W811" s="35" t="str">
        <f>MID(Tabla1[[#This Row],[Aplicación]],14,2)</f>
        <v>22</v>
      </c>
      <c r="X811" s="35" t="str">
        <f>MID(Tabla1[[#This Row],[Aplicación]],14,6)</f>
        <v>22799</v>
      </c>
    </row>
    <row r="812" spans="1:24" x14ac:dyDescent="0.25">
      <c r="A812" s="45">
        <v>220210005505</v>
      </c>
      <c r="B812" s="46" t="s">
        <v>204</v>
      </c>
      <c r="C812" s="47">
        <v>44250</v>
      </c>
      <c r="D812" s="45">
        <v>22021002006</v>
      </c>
      <c r="E812" s="46" t="s">
        <v>1310</v>
      </c>
      <c r="F812" s="48">
        <v>77.38</v>
      </c>
      <c r="G812" s="46" t="s">
        <v>135</v>
      </c>
      <c r="H812" s="46" t="s">
        <v>1846</v>
      </c>
      <c r="I812" s="45" t="s">
        <v>205</v>
      </c>
      <c r="J812" s="46" t="s">
        <v>127</v>
      </c>
      <c r="K812" s="46" t="s">
        <v>127</v>
      </c>
      <c r="L812" s="46" t="s">
        <v>15</v>
      </c>
      <c r="M812" s="46" t="s">
        <v>13</v>
      </c>
      <c r="N812" s="46" t="s">
        <v>14</v>
      </c>
      <c r="O812" s="49" t="s">
        <v>814</v>
      </c>
      <c r="P812" s="46" t="s">
        <v>507</v>
      </c>
      <c r="Q812" s="35" t="str">
        <f>MID(Tabla1[[#This Row],[Aplicación]],14,1)</f>
        <v>2</v>
      </c>
      <c r="R812" s="35" t="s">
        <v>495</v>
      </c>
      <c r="S812" s="35" t="str">
        <f>MID(Tabla1[[#This Row],[Aplicación]],6,2)</f>
        <v>11</v>
      </c>
      <c r="T812" s="35" t="str">
        <f>VLOOKUP(Tabla1[[#This Row],[AREA]],Hoja1!A:B,2,FALSE)</f>
        <v>11. Salud pública y seguridad ciudadana</v>
      </c>
      <c r="U812" s="35" t="str">
        <f>MID(Tabla1[[#This Row],[Aplicación]],9,4)</f>
        <v>3111</v>
      </c>
      <c r="V812" s="35" t="str">
        <f>VLOOKUP(Tabla1[[#This Row],[PROGRAMA]],Hoja1!A:B,2,FALSE)</f>
        <v>3111. Protección de la salubridad pública</v>
      </c>
      <c r="W812" s="35" t="str">
        <f>MID(Tabla1[[#This Row],[Aplicación]],14,2)</f>
        <v>22</v>
      </c>
      <c r="X812" s="35" t="str">
        <f>MID(Tabla1[[#This Row],[Aplicación]],14,6)</f>
        <v>22199</v>
      </c>
    </row>
    <row r="813" spans="1:24" x14ac:dyDescent="0.25">
      <c r="A813" s="45">
        <v>220210006477</v>
      </c>
      <c r="B813" s="46" t="s">
        <v>204</v>
      </c>
      <c r="C813" s="47">
        <v>44253</v>
      </c>
      <c r="D813" s="45">
        <v>22021002006</v>
      </c>
      <c r="E813" s="46" t="s">
        <v>1310</v>
      </c>
      <c r="F813" s="48">
        <v>260.79000000000002</v>
      </c>
      <c r="G813" s="46" t="s">
        <v>135</v>
      </c>
      <c r="H813" s="46" t="s">
        <v>1847</v>
      </c>
      <c r="I813" s="45" t="s">
        <v>205</v>
      </c>
      <c r="J813" s="46" t="s">
        <v>127</v>
      </c>
      <c r="K813" s="46" t="s">
        <v>127</v>
      </c>
      <c r="L813" s="46" t="s">
        <v>15</v>
      </c>
      <c r="M813" s="46" t="s">
        <v>13</v>
      </c>
      <c r="N813" s="46" t="s">
        <v>14</v>
      </c>
      <c r="O813" s="49" t="s">
        <v>814</v>
      </c>
      <c r="P813" s="46" t="s">
        <v>507</v>
      </c>
      <c r="Q813" s="35" t="str">
        <f>MID(Tabla1[[#This Row],[Aplicación]],14,1)</f>
        <v>2</v>
      </c>
      <c r="R813" s="35" t="s">
        <v>495</v>
      </c>
      <c r="S813" s="35" t="str">
        <f>MID(Tabla1[[#This Row],[Aplicación]],6,2)</f>
        <v>11</v>
      </c>
      <c r="T813" s="35" t="str">
        <f>VLOOKUP(Tabla1[[#This Row],[AREA]],Hoja1!A:B,2,FALSE)</f>
        <v>11. Salud pública y seguridad ciudadana</v>
      </c>
      <c r="U813" s="35" t="str">
        <f>MID(Tabla1[[#This Row],[Aplicación]],9,4)</f>
        <v>3111</v>
      </c>
      <c r="V813" s="35" t="str">
        <f>VLOOKUP(Tabla1[[#This Row],[PROGRAMA]],Hoja1!A:B,2,FALSE)</f>
        <v>3111. Protección de la salubridad pública</v>
      </c>
      <c r="W813" s="35" t="str">
        <f>MID(Tabla1[[#This Row],[Aplicación]],14,2)</f>
        <v>22</v>
      </c>
      <c r="X813" s="35" t="str">
        <f>MID(Tabla1[[#This Row],[Aplicación]],14,6)</f>
        <v>22199</v>
      </c>
    </row>
    <row r="814" spans="1:24" x14ac:dyDescent="0.25">
      <c r="A814" s="45">
        <v>220210002391</v>
      </c>
      <c r="B814" s="46" t="s">
        <v>9</v>
      </c>
      <c r="C814" s="47">
        <v>44235</v>
      </c>
      <c r="D814" s="45">
        <v>22021001198</v>
      </c>
      <c r="E814" s="46" t="s">
        <v>890</v>
      </c>
      <c r="F814" s="48">
        <v>10000</v>
      </c>
      <c r="G814" s="46" t="s">
        <v>1848</v>
      </c>
      <c r="H814" s="46" t="s">
        <v>1849</v>
      </c>
      <c r="I814" s="45" t="s">
        <v>125</v>
      </c>
      <c r="J814" s="46" t="s">
        <v>127</v>
      </c>
      <c r="K814" s="46" t="s">
        <v>127</v>
      </c>
      <c r="L814" s="46" t="s">
        <v>15</v>
      </c>
      <c r="M814" s="46" t="s">
        <v>10</v>
      </c>
      <c r="N814" s="46" t="s">
        <v>11</v>
      </c>
      <c r="O814" s="49" t="s">
        <v>815</v>
      </c>
      <c r="P814" s="46" t="s">
        <v>507</v>
      </c>
      <c r="Q814" s="35" t="str">
        <f>MID(Tabla1[[#This Row],[Aplicación]],14,1)</f>
        <v>2</v>
      </c>
      <c r="R814" s="35" t="s">
        <v>495</v>
      </c>
      <c r="S814" s="35" t="str">
        <f>MID(Tabla1[[#This Row],[Aplicación]],6,2)</f>
        <v>11</v>
      </c>
      <c r="T814" s="35" t="str">
        <f>VLOOKUP(Tabla1[[#This Row],[AREA]],Hoja1!A:B,2,FALSE)</f>
        <v>11. Salud pública y seguridad ciudadana</v>
      </c>
      <c r="U814" s="35" t="str">
        <f>MID(Tabla1[[#This Row],[Aplicación]],9,4)</f>
        <v>1621</v>
      </c>
      <c r="V814" s="35" t="str">
        <f>VLOOKUP(Tabla1[[#This Row],[PROGRAMA]],Hoja1!A:B,2,FALSE)</f>
        <v>1621. Servicio de limpieza</v>
      </c>
      <c r="W814" s="35" t="str">
        <f>MID(Tabla1[[#This Row],[Aplicación]],14,2)</f>
        <v>21</v>
      </c>
      <c r="X814" s="35" t="str">
        <f>MID(Tabla1[[#This Row],[Aplicación]],14,6)</f>
        <v>214</v>
      </c>
    </row>
    <row r="815" spans="1:24" x14ac:dyDescent="0.25">
      <c r="A815" s="45">
        <v>220209000438</v>
      </c>
      <c r="B815" s="46" t="s">
        <v>9</v>
      </c>
      <c r="C815" s="47">
        <v>44198</v>
      </c>
      <c r="D815" s="45">
        <v>22021000304</v>
      </c>
      <c r="E815" s="46" t="s">
        <v>1415</v>
      </c>
      <c r="F815" s="48">
        <v>243270</v>
      </c>
      <c r="G815" s="46" t="s">
        <v>96</v>
      </c>
      <c r="H815" s="46" t="s">
        <v>1850</v>
      </c>
      <c r="I815" s="45" t="s">
        <v>125</v>
      </c>
      <c r="J815" s="46" t="s">
        <v>127</v>
      </c>
      <c r="K815" s="46" t="s">
        <v>127</v>
      </c>
      <c r="L815" s="46" t="s">
        <v>12</v>
      </c>
      <c r="M815" s="46" t="s">
        <v>13</v>
      </c>
      <c r="N815" s="46" t="s">
        <v>14</v>
      </c>
      <c r="O815" s="49" t="s">
        <v>803</v>
      </c>
      <c r="P815" s="46" t="s">
        <v>507</v>
      </c>
      <c r="Q815" s="35" t="str">
        <f>MID(Tabla1[[#This Row],[Aplicación]],14,1)</f>
        <v>2</v>
      </c>
      <c r="R815" s="35" t="s">
        <v>495</v>
      </c>
      <c r="S815" s="35" t="str">
        <f>MID(Tabla1[[#This Row],[Aplicación]],6,2)</f>
        <v>10</v>
      </c>
      <c r="T815" s="35" t="str">
        <f>VLOOKUP(Tabla1[[#This Row],[AREA]],Hoja1!A:B,2,FALSE)</f>
        <v>10. Servicios sociales y mediación comunitaria</v>
      </c>
      <c r="U815" s="35" t="str">
        <f>MID(Tabla1[[#This Row],[Aplicación]],9,4)</f>
        <v>2312</v>
      </c>
      <c r="V815" s="35" t="str">
        <f>VLOOKUP(Tabla1[[#This Row],[PROGRAMA]],Hoja1!A:B,2,FALSE)</f>
        <v>2312. Iniciativas sociales</v>
      </c>
      <c r="W815" s="35" t="str">
        <f>MID(Tabla1[[#This Row],[Aplicación]],14,2)</f>
        <v>22</v>
      </c>
      <c r="X815" s="35" t="str">
        <f>MID(Tabla1[[#This Row],[Aplicación]],14,6)</f>
        <v>22799</v>
      </c>
    </row>
    <row r="816" spans="1:24" x14ac:dyDescent="0.25">
      <c r="A816" s="45">
        <v>220209000439</v>
      </c>
      <c r="B816" s="46" t="s">
        <v>9</v>
      </c>
      <c r="C816" s="47">
        <v>44198</v>
      </c>
      <c r="D816" s="45">
        <v>22021000305</v>
      </c>
      <c r="E816" s="46" t="s">
        <v>1415</v>
      </c>
      <c r="F816" s="48">
        <v>215730</v>
      </c>
      <c r="G816" s="46" t="s">
        <v>96</v>
      </c>
      <c r="H816" s="46" t="s">
        <v>1851</v>
      </c>
      <c r="I816" s="45" t="s">
        <v>125</v>
      </c>
      <c r="J816" s="46" t="s">
        <v>127</v>
      </c>
      <c r="K816" s="46" t="s">
        <v>127</v>
      </c>
      <c r="L816" s="46" t="s">
        <v>12</v>
      </c>
      <c r="M816" s="46" t="s">
        <v>13</v>
      </c>
      <c r="N816" s="46" t="s">
        <v>14</v>
      </c>
      <c r="O816" s="49" t="s">
        <v>803</v>
      </c>
      <c r="P816" s="46" t="s">
        <v>507</v>
      </c>
      <c r="Q816" s="35" t="str">
        <f>MID(Tabla1[[#This Row],[Aplicación]],14,1)</f>
        <v>2</v>
      </c>
      <c r="R816" s="35" t="s">
        <v>495</v>
      </c>
      <c r="S816" s="35" t="str">
        <f>MID(Tabla1[[#This Row],[Aplicación]],6,2)</f>
        <v>10</v>
      </c>
      <c r="T816" s="35" t="str">
        <f>VLOOKUP(Tabla1[[#This Row],[AREA]],Hoja1!A:B,2,FALSE)</f>
        <v>10. Servicios sociales y mediación comunitaria</v>
      </c>
      <c r="U816" s="35" t="str">
        <f>MID(Tabla1[[#This Row],[Aplicación]],9,4)</f>
        <v>2312</v>
      </c>
      <c r="V816" s="35" t="str">
        <f>VLOOKUP(Tabla1[[#This Row],[PROGRAMA]],Hoja1!A:B,2,FALSE)</f>
        <v>2312. Iniciativas sociales</v>
      </c>
      <c r="W816" s="35" t="str">
        <f>MID(Tabla1[[#This Row],[Aplicación]],14,2)</f>
        <v>22</v>
      </c>
      <c r="X816" s="35" t="str">
        <f>MID(Tabla1[[#This Row],[Aplicación]],14,6)</f>
        <v>22799</v>
      </c>
    </row>
    <row r="817" spans="1:24" x14ac:dyDescent="0.25">
      <c r="A817" s="45">
        <v>220209000476</v>
      </c>
      <c r="B817" s="46" t="s">
        <v>9</v>
      </c>
      <c r="C817" s="47">
        <v>44198</v>
      </c>
      <c r="D817" s="45">
        <v>22021000076</v>
      </c>
      <c r="E817" s="46" t="s">
        <v>1852</v>
      </c>
      <c r="F817" s="48">
        <v>5500</v>
      </c>
      <c r="G817" s="46" t="s">
        <v>210</v>
      </c>
      <c r="H817" s="46" t="s">
        <v>1853</v>
      </c>
      <c r="I817" s="45" t="s">
        <v>125</v>
      </c>
      <c r="J817" s="46" t="s">
        <v>127</v>
      </c>
      <c r="K817" s="46" t="s">
        <v>127</v>
      </c>
      <c r="L817" s="46" t="s">
        <v>12</v>
      </c>
      <c r="M817" s="46" t="s">
        <v>13</v>
      </c>
      <c r="N817" s="46" t="s">
        <v>14</v>
      </c>
      <c r="O817" s="49" t="s">
        <v>803</v>
      </c>
      <c r="P817" s="46" t="s">
        <v>507</v>
      </c>
      <c r="Q817" s="35" t="str">
        <f>MID(Tabla1[[#This Row],[Aplicación]],14,1)</f>
        <v>2</v>
      </c>
      <c r="R817" s="35" t="s">
        <v>495</v>
      </c>
      <c r="S817" s="35" t="str">
        <f>MID(Tabla1[[#This Row],[Aplicación]],6,2)</f>
        <v>11</v>
      </c>
      <c r="T817" s="35" t="str">
        <f>VLOOKUP(Tabla1[[#This Row],[AREA]],Hoja1!A:B,2,FALSE)</f>
        <v>11. Salud pública y seguridad ciudadana</v>
      </c>
      <c r="U817" s="35" t="str">
        <f>MID(Tabla1[[#This Row],[Aplicación]],9,4)</f>
        <v>3111</v>
      </c>
      <c r="V817" s="35" t="str">
        <f>VLOOKUP(Tabla1[[#This Row],[PROGRAMA]],Hoja1!A:B,2,FALSE)</f>
        <v>3111. Protección de la salubridad pública</v>
      </c>
      <c r="W817" s="35" t="str">
        <f>MID(Tabla1[[#This Row],[Aplicación]],14,2)</f>
        <v>22</v>
      </c>
      <c r="X817" s="35" t="str">
        <f>MID(Tabla1[[#This Row],[Aplicación]],14,6)</f>
        <v>22706</v>
      </c>
    </row>
    <row r="818" spans="1:24" x14ac:dyDescent="0.25">
      <c r="A818" s="45">
        <v>220210008723</v>
      </c>
      <c r="B818" s="46" t="s">
        <v>204</v>
      </c>
      <c r="C818" s="47">
        <v>44266</v>
      </c>
      <c r="D818" s="45">
        <v>22021002088</v>
      </c>
      <c r="E818" s="46" t="s">
        <v>1478</v>
      </c>
      <c r="F818" s="48">
        <v>39.49</v>
      </c>
      <c r="G818" s="46" t="s">
        <v>238</v>
      </c>
      <c r="H818" s="46" t="s">
        <v>1854</v>
      </c>
      <c r="I818" s="45" t="s">
        <v>205</v>
      </c>
      <c r="J818" s="46" t="s">
        <v>127</v>
      </c>
      <c r="K818" s="46" t="s">
        <v>127</v>
      </c>
      <c r="L818" s="46" t="s">
        <v>15</v>
      </c>
      <c r="M818" s="46" t="s">
        <v>13</v>
      </c>
      <c r="N818" s="46" t="s">
        <v>16</v>
      </c>
      <c r="O818" s="49" t="s">
        <v>814</v>
      </c>
      <c r="P818" s="46" t="s">
        <v>507</v>
      </c>
      <c r="Q818" s="35" t="str">
        <f>MID(Tabla1[[#This Row],[Aplicación]],14,1)</f>
        <v>2</v>
      </c>
      <c r="R818" s="35" t="s">
        <v>495</v>
      </c>
      <c r="S818" s="35" t="str">
        <f>MID(Tabla1[[#This Row],[Aplicación]],6,2)</f>
        <v>03</v>
      </c>
      <c r="T818" s="35" t="str">
        <f>VLOOKUP(Tabla1[[#This Row],[AREA]],Hoja1!A:B,2,FALSE)</f>
        <v>03. Participación ciudadana y deportes</v>
      </c>
      <c r="U818" s="35" t="str">
        <f>MID(Tabla1[[#This Row],[Aplicación]],9,4)</f>
        <v>9241</v>
      </c>
      <c r="V818" s="35" t="str">
        <f>VLOOKUP(Tabla1[[#This Row],[PROGRAMA]],Hoja1!A:B,2,FALSE)</f>
        <v>9241. Participación ciudadana</v>
      </c>
      <c r="W818" s="35" t="str">
        <f>MID(Tabla1[[#This Row],[Aplicación]],14,2)</f>
        <v>21</v>
      </c>
      <c r="X818" s="35" t="str">
        <f>MID(Tabla1[[#This Row],[Aplicación]],14,6)</f>
        <v>212</v>
      </c>
    </row>
    <row r="819" spans="1:24" x14ac:dyDescent="0.25">
      <c r="A819" s="45">
        <v>220210001019</v>
      </c>
      <c r="B819" s="46" t="s">
        <v>9</v>
      </c>
      <c r="C819" s="47">
        <v>44223</v>
      </c>
      <c r="D819" s="45">
        <v>22021002017</v>
      </c>
      <c r="E819" s="46" t="s">
        <v>1400</v>
      </c>
      <c r="F819" s="48">
        <v>1259.5999999999999</v>
      </c>
      <c r="G819" s="46" t="s">
        <v>1855</v>
      </c>
      <c r="H819" s="46" t="s">
        <v>1856</v>
      </c>
      <c r="I819" s="45" t="s">
        <v>125</v>
      </c>
      <c r="J819" s="46" t="s">
        <v>127</v>
      </c>
      <c r="K819" s="46" t="s">
        <v>127</v>
      </c>
      <c r="L819" s="46" t="s">
        <v>15</v>
      </c>
      <c r="M819" s="46" t="s">
        <v>10</v>
      </c>
      <c r="N819" s="46" t="s">
        <v>11</v>
      </c>
      <c r="O819" s="49" t="s">
        <v>815</v>
      </c>
      <c r="P819" s="46" t="s">
        <v>507</v>
      </c>
      <c r="Q819" s="35" t="str">
        <f>MID(Tabla1[[#This Row],[Aplicación]],14,1)</f>
        <v>2</v>
      </c>
      <c r="R819" s="35" t="s">
        <v>495</v>
      </c>
      <c r="S819" s="35" t="str">
        <f>MID(Tabla1[[#This Row],[Aplicación]],6,2)</f>
        <v>10</v>
      </c>
      <c r="T819" s="35" t="str">
        <f>VLOOKUP(Tabla1[[#This Row],[AREA]],Hoja1!A:B,2,FALSE)</f>
        <v>10. Servicios sociales y mediación comunitaria</v>
      </c>
      <c r="U819" s="35" t="str">
        <f>MID(Tabla1[[#This Row],[Aplicación]],9,4)</f>
        <v>2311</v>
      </c>
      <c r="V819" s="35" t="str">
        <f>VLOOKUP(Tabla1[[#This Row],[PROGRAMA]],Hoja1!A:B,2,FALSE)</f>
        <v>2311. Intervención social</v>
      </c>
      <c r="W819" s="35" t="str">
        <f>MID(Tabla1[[#This Row],[Aplicación]],14,2)</f>
        <v>22</v>
      </c>
      <c r="X819" s="35" t="str">
        <f>MID(Tabla1[[#This Row],[Aplicación]],14,6)</f>
        <v>22699</v>
      </c>
    </row>
    <row r="820" spans="1:24" x14ac:dyDescent="0.25">
      <c r="A820" s="45">
        <v>220210002847</v>
      </c>
      <c r="B820" s="46" t="s">
        <v>9</v>
      </c>
      <c r="C820" s="47">
        <v>44238</v>
      </c>
      <c r="D820" s="45">
        <v>22021002247</v>
      </c>
      <c r="E820" s="46" t="s">
        <v>1400</v>
      </c>
      <c r="F820" s="48">
        <v>701.8</v>
      </c>
      <c r="G820" s="46" t="s">
        <v>518</v>
      </c>
      <c r="H820" s="46" t="s">
        <v>1857</v>
      </c>
      <c r="I820" s="45" t="s">
        <v>125</v>
      </c>
      <c r="J820" s="46" t="s">
        <v>127</v>
      </c>
      <c r="K820" s="46" t="s">
        <v>127</v>
      </c>
      <c r="L820" s="46" t="s">
        <v>12</v>
      </c>
      <c r="M820" s="46" t="s">
        <v>10</v>
      </c>
      <c r="N820" s="46" t="s">
        <v>11</v>
      </c>
      <c r="O820" s="49" t="s">
        <v>815</v>
      </c>
      <c r="P820" s="46" t="s">
        <v>507</v>
      </c>
      <c r="Q820" s="35" t="str">
        <f>MID(Tabla1[[#This Row],[Aplicación]],14,1)</f>
        <v>2</v>
      </c>
      <c r="R820" s="35" t="s">
        <v>495</v>
      </c>
      <c r="S820" s="35" t="str">
        <f>MID(Tabla1[[#This Row],[Aplicación]],6,2)</f>
        <v>10</v>
      </c>
      <c r="T820" s="35" t="str">
        <f>VLOOKUP(Tabla1[[#This Row],[AREA]],Hoja1!A:B,2,FALSE)</f>
        <v>10. Servicios sociales y mediación comunitaria</v>
      </c>
      <c r="U820" s="35" t="str">
        <f>MID(Tabla1[[#This Row],[Aplicación]],9,4)</f>
        <v>2311</v>
      </c>
      <c r="V820" s="35" t="str">
        <f>VLOOKUP(Tabla1[[#This Row],[PROGRAMA]],Hoja1!A:B,2,FALSE)</f>
        <v>2311. Intervención social</v>
      </c>
      <c r="W820" s="35" t="str">
        <f>MID(Tabla1[[#This Row],[Aplicación]],14,2)</f>
        <v>22</v>
      </c>
      <c r="X820" s="35" t="str">
        <f>MID(Tabla1[[#This Row],[Aplicación]],14,6)</f>
        <v>22699</v>
      </c>
    </row>
    <row r="821" spans="1:24" x14ac:dyDescent="0.25">
      <c r="A821" s="45">
        <v>220210006958</v>
      </c>
      <c r="B821" s="46" t="s">
        <v>9</v>
      </c>
      <c r="C821" s="47">
        <v>44259</v>
      </c>
      <c r="D821" s="45">
        <v>22021003149</v>
      </c>
      <c r="E821" s="46" t="s">
        <v>1401</v>
      </c>
      <c r="F821" s="48">
        <v>302.5</v>
      </c>
      <c r="G821" s="46" t="s">
        <v>1858</v>
      </c>
      <c r="H821" s="46" t="s">
        <v>1859</v>
      </c>
      <c r="I821" s="45" t="s">
        <v>125</v>
      </c>
      <c r="J821" s="46" t="s">
        <v>763</v>
      </c>
      <c r="K821" s="46" t="s">
        <v>127</v>
      </c>
      <c r="L821" s="46" t="s">
        <v>12</v>
      </c>
      <c r="M821" s="46" t="s">
        <v>10</v>
      </c>
      <c r="N821" s="46" t="s">
        <v>11</v>
      </c>
      <c r="O821" s="49" t="s">
        <v>815</v>
      </c>
      <c r="P821" s="46" t="s">
        <v>507</v>
      </c>
      <c r="Q821" s="35" t="str">
        <f>MID(Tabla1[[#This Row],[Aplicación]],14,1)</f>
        <v>2</v>
      </c>
      <c r="R821" s="35" t="s">
        <v>495</v>
      </c>
      <c r="S821" s="35" t="str">
        <f>MID(Tabla1[[#This Row],[Aplicación]],6,2)</f>
        <v>10</v>
      </c>
      <c r="T821" s="35" t="str">
        <f>VLOOKUP(Tabla1[[#This Row],[AREA]],Hoja1!A:B,2,FALSE)</f>
        <v>10. Servicios sociales y mediación comunitaria</v>
      </c>
      <c r="U821" s="35" t="str">
        <f>MID(Tabla1[[#This Row],[Aplicación]],9,4)</f>
        <v>2312</v>
      </c>
      <c r="V821" s="35" t="str">
        <f>VLOOKUP(Tabla1[[#This Row],[PROGRAMA]],Hoja1!A:B,2,FALSE)</f>
        <v>2312. Iniciativas sociales</v>
      </c>
      <c r="W821" s="35" t="str">
        <f>MID(Tabla1[[#This Row],[Aplicación]],14,2)</f>
        <v>22</v>
      </c>
      <c r="X821" s="35" t="str">
        <f>MID(Tabla1[[#This Row],[Aplicación]],14,6)</f>
        <v>22699</v>
      </c>
    </row>
    <row r="822" spans="1:24" x14ac:dyDescent="0.25">
      <c r="A822" s="45">
        <v>220210010159</v>
      </c>
      <c r="B822" s="46" t="s">
        <v>204</v>
      </c>
      <c r="C822" s="47">
        <v>44273</v>
      </c>
      <c r="D822" s="45">
        <v>22021001039</v>
      </c>
      <c r="E822" s="46" t="s">
        <v>844</v>
      </c>
      <c r="F822" s="48">
        <v>188.37</v>
      </c>
      <c r="G822" s="46" t="s">
        <v>238</v>
      </c>
      <c r="H822" s="46" t="s">
        <v>1860</v>
      </c>
      <c r="I822" s="45" t="s">
        <v>205</v>
      </c>
      <c r="J822" s="46" t="s">
        <v>127</v>
      </c>
      <c r="K822" s="46" t="s">
        <v>127</v>
      </c>
      <c r="L822" s="46" t="s">
        <v>15</v>
      </c>
      <c r="M822" s="46" t="s">
        <v>13</v>
      </c>
      <c r="N822" s="46" t="s">
        <v>14</v>
      </c>
      <c r="O822" s="49" t="s">
        <v>814</v>
      </c>
      <c r="P822" s="46" t="s">
        <v>507</v>
      </c>
      <c r="Q822" s="35" t="str">
        <f>MID(Tabla1[[#This Row],[Aplicación]],14,1)</f>
        <v>2</v>
      </c>
      <c r="R822" s="35" t="s">
        <v>495</v>
      </c>
      <c r="S822" s="35" t="str">
        <f>MID(Tabla1[[#This Row],[Aplicación]],6,2)</f>
        <v>10</v>
      </c>
      <c r="T822" s="35" t="str">
        <f>VLOOKUP(Tabla1[[#This Row],[AREA]],Hoja1!A:B,2,FALSE)</f>
        <v>10. Servicios sociales y mediación comunitaria</v>
      </c>
      <c r="U822" s="35" t="str">
        <f>MID(Tabla1[[#This Row],[Aplicación]],9,4)</f>
        <v>2312</v>
      </c>
      <c r="V822" s="35" t="str">
        <f>VLOOKUP(Tabla1[[#This Row],[PROGRAMA]],Hoja1!A:B,2,FALSE)</f>
        <v>2312. Iniciativas sociales</v>
      </c>
      <c r="W822" s="35" t="str">
        <f>MID(Tabla1[[#This Row],[Aplicación]],14,2)</f>
        <v>21</v>
      </c>
      <c r="X822" s="35" t="str">
        <f>MID(Tabla1[[#This Row],[Aplicación]],14,6)</f>
        <v>212</v>
      </c>
    </row>
    <row r="823" spans="1:24" x14ac:dyDescent="0.25">
      <c r="A823" s="45">
        <v>220210010475</v>
      </c>
      <c r="B823" s="46" t="s">
        <v>204</v>
      </c>
      <c r="C823" s="47">
        <v>44277</v>
      </c>
      <c r="D823" s="45">
        <v>22021002088</v>
      </c>
      <c r="E823" s="46" t="s">
        <v>1478</v>
      </c>
      <c r="F823" s="48">
        <v>784.67</v>
      </c>
      <c r="G823" s="46" t="s">
        <v>238</v>
      </c>
      <c r="H823" s="46" t="s">
        <v>1861</v>
      </c>
      <c r="I823" s="45" t="s">
        <v>205</v>
      </c>
      <c r="J823" s="46" t="s">
        <v>127</v>
      </c>
      <c r="K823" s="46" t="s">
        <v>127</v>
      </c>
      <c r="L823" s="46" t="s">
        <v>15</v>
      </c>
      <c r="M823" s="46" t="s">
        <v>13</v>
      </c>
      <c r="N823" s="46" t="s">
        <v>16</v>
      </c>
      <c r="O823" s="49" t="s">
        <v>814</v>
      </c>
      <c r="P823" s="46" t="s">
        <v>507</v>
      </c>
      <c r="Q823" s="35" t="str">
        <f>MID(Tabla1[[#This Row],[Aplicación]],14,1)</f>
        <v>2</v>
      </c>
      <c r="R823" s="35" t="s">
        <v>495</v>
      </c>
      <c r="S823" s="35" t="str">
        <f>MID(Tabla1[[#This Row],[Aplicación]],6,2)</f>
        <v>03</v>
      </c>
      <c r="T823" s="35" t="str">
        <f>VLOOKUP(Tabla1[[#This Row],[AREA]],Hoja1!A:B,2,FALSE)</f>
        <v>03. Participación ciudadana y deportes</v>
      </c>
      <c r="U823" s="35" t="str">
        <f>MID(Tabla1[[#This Row],[Aplicación]],9,4)</f>
        <v>9241</v>
      </c>
      <c r="V823" s="35" t="str">
        <f>VLOOKUP(Tabla1[[#This Row],[PROGRAMA]],Hoja1!A:B,2,FALSE)</f>
        <v>9241. Participación ciudadana</v>
      </c>
      <c r="W823" s="35" t="str">
        <f>MID(Tabla1[[#This Row],[Aplicación]],14,2)</f>
        <v>21</v>
      </c>
      <c r="X823" s="35" t="str">
        <f>MID(Tabla1[[#This Row],[Aplicación]],14,6)</f>
        <v>212</v>
      </c>
    </row>
    <row r="824" spans="1:24" x14ac:dyDescent="0.25">
      <c r="A824" s="45">
        <v>220210010484</v>
      </c>
      <c r="B824" s="46" t="s">
        <v>204</v>
      </c>
      <c r="C824" s="47">
        <v>44277</v>
      </c>
      <c r="D824" s="45">
        <v>22021002228</v>
      </c>
      <c r="E824" s="46" t="s">
        <v>1471</v>
      </c>
      <c r="F824" s="48">
        <v>626.47</v>
      </c>
      <c r="G824" s="46" t="s">
        <v>238</v>
      </c>
      <c r="H824" s="46" t="s">
        <v>1862</v>
      </c>
      <c r="I824" s="45" t="s">
        <v>205</v>
      </c>
      <c r="J824" s="46" t="s">
        <v>127</v>
      </c>
      <c r="K824" s="46" t="s">
        <v>127</v>
      </c>
      <c r="L824" s="46" t="s">
        <v>15</v>
      </c>
      <c r="M824" s="46" t="s">
        <v>13</v>
      </c>
      <c r="N824" s="46" t="s">
        <v>16</v>
      </c>
      <c r="O824" s="49" t="s">
        <v>814</v>
      </c>
      <c r="P824" s="46" t="s">
        <v>507</v>
      </c>
      <c r="Q824" s="35" t="str">
        <f>MID(Tabla1[[#This Row],[Aplicación]],14,1)</f>
        <v>2</v>
      </c>
      <c r="R824" s="35" t="s">
        <v>495</v>
      </c>
      <c r="S824" s="35" t="str">
        <f>MID(Tabla1[[#This Row],[Aplicación]],6,2)</f>
        <v>06</v>
      </c>
      <c r="T824" s="35" t="str">
        <f>VLOOKUP(Tabla1[[#This Row],[AREA]],Hoja1!A:B,2,FALSE)</f>
        <v>06. Educación, infancia, juventud e igualdad</v>
      </c>
      <c r="U824" s="35" t="str">
        <f>MID(Tabla1[[#This Row],[Aplicación]],9,4)</f>
        <v>3232</v>
      </c>
      <c r="V824" s="35" t="str">
        <f>VLOOKUP(Tabla1[[#This Row],[PROGRAMA]],Hoja1!A:B,2,FALSE)</f>
        <v>3232. Conservación y mantenimiento centros educación infantil y primaria</v>
      </c>
      <c r="W824" s="35" t="str">
        <f>MID(Tabla1[[#This Row],[Aplicación]],14,2)</f>
        <v>21</v>
      </c>
      <c r="X824" s="35" t="str">
        <f>MID(Tabla1[[#This Row],[Aplicación]],14,6)</f>
        <v>212</v>
      </c>
    </row>
    <row r="825" spans="1:24" x14ac:dyDescent="0.25">
      <c r="A825" s="45">
        <v>220210012730</v>
      </c>
      <c r="B825" s="46" t="s">
        <v>204</v>
      </c>
      <c r="C825" s="47">
        <v>44280</v>
      </c>
      <c r="D825" s="45">
        <v>22021002374</v>
      </c>
      <c r="E825" s="46" t="s">
        <v>1336</v>
      </c>
      <c r="F825" s="48">
        <v>60.72</v>
      </c>
      <c r="G825" s="46" t="s">
        <v>238</v>
      </c>
      <c r="H825" s="46" t="s">
        <v>1863</v>
      </c>
      <c r="I825" s="45" t="s">
        <v>205</v>
      </c>
      <c r="J825" s="46" t="s">
        <v>127</v>
      </c>
      <c r="K825" s="46" t="s">
        <v>127</v>
      </c>
      <c r="L825" s="46" t="s">
        <v>15</v>
      </c>
      <c r="M825" s="46" t="s">
        <v>13</v>
      </c>
      <c r="N825" s="46" t="s">
        <v>14</v>
      </c>
      <c r="O825" s="49" t="s">
        <v>814</v>
      </c>
      <c r="P825" s="46" t="s">
        <v>507</v>
      </c>
      <c r="Q825" s="35" t="str">
        <f>MID(Tabla1[[#This Row],[Aplicación]],14,1)</f>
        <v>2</v>
      </c>
      <c r="R825" s="35" t="s">
        <v>495</v>
      </c>
      <c r="S825" s="35" t="str">
        <f>MID(Tabla1[[#This Row],[Aplicación]],6,2)</f>
        <v>02</v>
      </c>
      <c r="T825" s="35" t="str">
        <f>VLOOKUP(Tabla1[[#This Row],[AREA]],Hoja1!A:B,2,FALSE)</f>
        <v>02. Planeamiento urbanístico y vivienda</v>
      </c>
      <c r="U825" s="35" t="str">
        <f>MID(Tabla1[[#This Row],[Aplicación]],9,4)</f>
        <v>9332</v>
      </c>
      <c r="V825" s="35" t="str">
        <f>VLOOKUP(Tabla1[[#This Row],[PROGRAMA]],Hoja1!A:B,2,FALSE)</f>
        <v>9332. Mantenimiento de edificios e instalaciones municipales</v>
      </c>
      <c r="W825" s="35" t="str">
        <f>MID(Tabla1[[#This Row],[Aplicación]],14,2)</f>
        <v>21</v>
      </c>
      <c r="X825" s="35" t="str">
        <f>MID(Tabla1[[#This Row],[Aplicación]],14,6)</f>
        <v>212</v>
      </c>
    </row>
    <row r="826" spans="1:24" x14ac:dyDescent="0.25">
      <c r="A826" s="45">
        <v>220210012732</v>
      </c>
      <c r="B826" s="46" t="s">
        <v>204</v>
      </c>
      <c r="C826" s="47">
        <v>44280</v>
      </c>
      <c r="D826" s="45">
        <v>22021002374</v>
      </c>
      <c r="E826" s="46" t="s">
        <v>1336</v>
      </c>
      <c r="F826" s="48">
        <v>192.63</v>
      </c>
      <c r="G826" s="46" t="s">
        <v>238</v>
      </c>
      <c r="H826" s="46" t="s">
        <v>1864</v>
      </c>
      <c r="I826" s="45" t="s">
        <v>205</v>
      </c>
      <c r="J826" s="46" t="s">
        <v>127</v>
      </c>
      <c r="K826" s="46" t="s">
        <v>127</v>
      </c>
      <c r="L826" s="46" t="s">
        <v>15</v>
      </c>
      <c r="M826" s="46" t="s">
        <v>13</v>
      </c>
      <c r="N826" s="46" t="s">
        <v>14</v>
      </c>
      <c r="O826" s="49" t="s">
        <v>814</v>
      </c>
      <c r="P826" s="46" t="s">
        <v>507</v>
      </c>
      <c r="Q826" s="35" t="str">
        <f>MID(Tabla1[[#This Row],[Aplicación]],14,1)</f>
        <v>2</v>
      </c>
      <c r="R826" s="35" t="s">
        <v>495</v>
      </c>
      <c r="S826" s="35" t="str">
        <f>MID(Tabla1[[#This Row],[Aplicación]],6,2)</f>
        <v>02</v>
      </c>
      <c r="T826" s="35" t="str">
        <f>VLOOKUP(Tabla1[[#This Row],[AREA]],Hoja1!A:B,2,FALSE)</f>
        <v>02. Planeamiento urbanístico y vivienda</v>
      </c>
      <c r="U826" s="35" t="str">
        <f>MID(Tabla1[[#This Row],[Aplicación]],9,4)</f>
        <v>9332</v>
      </c>
      <c r="V826" s="35" t="str">
        <f>VLOOKUP(Tabla1[[#This Row],[PROGRAMA]],Hoja1!A:B,2,FALSE)</f>
        <v>9332. Mantenimiento de edificios e instalaciones municipales</v>
      </c>
      <c r="W826" s="35" t="str">
        <f>MID(Tabla1[[#This Row],[Aplicación]],14,2)</f>
        <v>21</v>
      </c>
      <c r="X826" s="35" t="str">
        <f>MID(Tabla1[[#This Row],[Aplicación]],14,6)</f>
        <v>212</v>
      </c>
    </row>
    <row r="827" spans="1:24" x14ac:dyDescent="0.25">
      <c r="A827" s="45">
        <v>220210012734</v>
      </c>
      <c r="B827" s="46" t="s">
        <v>204</v>
      </c>
      <c r="C827" s="47">
        <v>44280</v>
      </c>
      <c r="D827" s="45">
        <v>22021002374</v>
      </c>
      <c r="E827" s="46" t="s">
        <v>1336</v>
      </c>
      <c r="F827" s="48">
        <v>285.87</v>
      </c>
      <c r="G827" s="46" t="s">
        <v>238</v>
      </c>
      <c r="H827" s="46" t="s">
        <v>1865</v>
      </c>
      <c r="I827" s="45" t="s">
        <v>205</v>
      </c>
      <c r="J827" s="46" t="s">
        <v>127</v>
      </c>
      <c r="K827" s="46" t="s">
        <v>127</v>
      </c>
      <c r="L827" s="46" t="s">
        <v>15</v>
      </c>
      <c r="M827" s="46" t="s">
        <v>13</v>
      </c>
      <c r="N827" s="46" t="s">
        <v>14</v>
      </c>
      <c r="O827" s="49" t="s">
        <v>814</v>
      </c>
      <c r="P827" s="46" t="s">
        <v>507</v>
      </c>
      <c r="Q827" s="35" t="str">
        <f>MID(Tabla1[[#This Row],[Aplicación]],14,1)</f>
        <v>2</v>
      </c>
      <c r="R827" s="35" t="s">
        <v>495</v>
      </c>
      <c r="S827" s="35" t="str">
        <f>MID(Tabla1[[#This Row],[Aplicación]],6,2)</f>
        <v>02</v>
      </c>
      <c r="T827" s="35" t="str">
        <f>VLOOKUP(Tabla1[[#This Row],[AREA]],Hoja1!A:B,2,FALSE)</f>
        <v>02. Planeamiento urbanístico y vivienda</v>
      </c>
      <c r="U827" s="35" t="str">
        <f>MID(Tabla1[[#This Row],[Aplicación]],9,4)</f>
        <v>9332</v>
      </c>
      <c r="V827" s="35" t="str">
        <f>VLOOKUP(Tabla1[[#This Row],[PROGRAMA]],Hoja1!A:B,2,FALSE)</f>
        <v>9332. Mantenimiento de edificios e instalaciones municipales</v>
      </c>
      <c r="W827" s="35" t="str">
        <f>MID(Tabla1[[#This Row],[Aplicación]],14,2)</f>
        <v>21</v>
      </c>
      <c r="X827" s="35" t="str">
        <f>MID(Tabla1[[#This Row],[Aplicación]],14,6)</f>
        <v>212</v>
      </c>
    </row>
    <row r="828" spans="1:24" x14ac:dyDescent="0.25">
      <c r="A828" s="45">
        <v>220210012736</v>
      </c>
      <c r="B828" s="46" t="s">
        <v>204</v>
      </c>
      <c r="C828" s="47">
        <v>44280</v>
      </c>
      <c r="D828" s="45">
        <v>22021002374</v>
      </c>
      <c r="E828" s="46" t="s">
        <v>1336</v>
      </c>
      <c r="F828" s="48">
        <v>895.17</v>
      </c>
      <c r="G828" s="46" t="s">
        <v>238</v>
      </c>
      <c r="H828" s="46" t="s">
        <v>1866</v>
      </c>
      <c r="I828" s="45" t="s">
        <v>205</v>
      </c>
      <c r="J828" s="46" t="s">
        <v>127</v>
      </c>
      <c r="K828" s="46" t="s">
        <v>127</v>
      </c>
      <c r="L828" s="46" t="s">
        <v>15</v>
      </c>
      <c r="M828" s="46" t="s">
        <v>13</v>
      </c>
      <c r="N828" s="46" t="s">
        <v>14</v>
      </c>
      <c r="O828" s="49" t="s">
        <v>814</v>
      </c>
      <c r="P828" s="46" t="s">
        <v>507</v>
      </c>
      <c r="Q828" s="35" t="str">
        <f>MID(Tabla1[[#This Row],[Aplicación]],14,1)</f>
        <v>2</v>
      </c>
      <c r="R828" s="35" t="s">
        <v>495</v>
      </c>
      <c r="S828" s="35" t="str">
        <f>MID(Tabla1[[#This Row],[Aplicación]],6,2)</f>
        <v>02</v>
      </c>
      <c r="T828" s="35" t="str">
        <f>VLOOKUP(Tabla1[[#This Row],[AREA]],Hoja1!A:B,2,FALSE)</f>
        <v>02. Planeamiento urbanístico y vivienda</v>
      </c>
      <c r="U828" s="35" t="str">
        <f>MID(Tabla1[[#This Row],[Aplicación]],9,4)</f>
        <v>9332</v>
      </c>
      <c r="V828" s="35" t="str">
        <f>VLOOKUP(Tabla1[[#This Row],[PROGRAMA]],Hoja1!A:B,2,FALSE)</f>
        <v>9332. Mantenimiento de edificios e instalaciones municipales</v>
      </c>
      <c r="W828" s="35" t="str">
        <f>MID(Tabla1[[#This Row],[Aplicación]],14,2)</f>
        <v>21</v>
      </c>
      <c r="X828" s="35" t="str">
        <f>MID(Tabla1[[#This Row],[Aplicación]],14,6)</f>
        <v>212</v>
      </c>
    </row>
    <row r="829" spans="1:24" x14ac:dyDescent="0.25">
      <c r="A829" s="45">
        <v>220210012738</v>
      </c>
      <c r="B829" s="46" t="s">
        <v>204</v>
      </c>
      <c r="C829" s="47">
        <v>44280</v>
      </c>
      <c r="D829" s="45">
        <v>22021002374</v>
      </c>
      <c r="E829" s="46" t="s">
        <v>1336</v>
      </c>
      <c r="F829" s="48">
        <v>114.83</v>
      </c>
      <c r="G829" s="46" t="s">
        <v>238</v>
      </c>
      <c r="H829" s="46" t="s">
        <v>1867</v>
      </c>
      <c r="I829" s="45" t="s">
        <v>205</v>
      </c>
      <c r="J829" s="46" t="s">
        <v>127</v>
      </c>
      <c r="K829" s="46" t="s">
        <v>127</v>
      </c>
      <c r="L829" s="46" t="s">
        <v>15</v>
      </c>
      <c r="M829" s="46" t="s">
        <v>13</v>
      </c>
      <c r="N829" s="46" t="s">
        <v>14</v>
      </c>
      <c r="O829" s="49" t="s">
        <v>814</v>
      </c>
      <c r="P829" s="46" t="s">
        <v>507</v>
      </c>
      <c r="Q829" s="35" t="str">
        <f>MID(Tabla1[[#This Row],[Aplicación]],14,1)</f>
        <v>2</v>
      </c>
      <c r="R829" s="35" t="s">
        <v>495</v>
      </c>
      <c r="S829" s="35" t="str">
        <f>MID(Tabla1[[#This Row],[Aplicación]],6,2)</f>
        <v>02</v>
      </c>
      <c r="T829" s="35" t="str">
        <f>VLOOKUP(Tabla1[[#This Row],[AREA]],Hoja1!A:B,2,FALSE)</f>
        <v>02. Planeamiento urbanístico y vivienda</v>
      </c>
      <c r="U829" s="35" t="str">
        <f>MID(Tabla1[[#This Row],[Aplicación]],9,4)</f>
        <v>9332</v>
      </c>
      <c r="V829" s="35" t="str">
        <f>VLOOKUP(Tabla1[[#This Row],[PROGRAMA]],Hoja1!A:B,2,FALSE)</f>
        <v>9332. Mantenimiento de edificios e instalaciones municipales</v>
      </c>
      <c r="W829" s="35" t="str">
        <f>MID(Tabla1[[#This Row],[Aplicación]],14,2)</f>
        <v>21</v>
      </c>
      <c r="X829" s="35" t="str">
        <f>MID(Tabla1[[#This Row],[Aplicación]],14,6)</f>
        <v>212</v>
      </c>
    </row>
    <row r="830" spans="1:24" x14ac:dyDescent="0.25">
      <c r="A830" s="45">
        <v>220210013045</v>
      </c>
      <c r="B830" s="46" t="s">
        <v>204</v>
      </c>
      <c r="C830" s="47">
        <v>44285</v>
      </c>
      <c r="D830" s="45">
        <v>22021002142</v>
      </c>
      <c r="E830" s="46" t="s">
        <v>1328</v>
      </c>
      <c r="F830" s="48">
        <v>324.27999999999997</v>
      </c>
      <c r="G830" s="46" t="s">
        <v>238</v>
      </c>
      <c r="H830" s="46" t="s">
        <v>1868</v>
      </c>
      <c r="I830" s="45" t="s">
        <v>205</v>
      </c>
      <c r="J830" s="46" t="s">
        <v>127</v>
      </c>
      <c r="K830" s="46" t="s">
        <v>127</v>
      </c>
      <c r="L830" s="46" t="s">
        <v>15</v>
      </c>
      <c r="M830" s="46" t="s">
        <v>13</v>
      </c>
      <c r="N830" s="46" t="s">
        <v>14</v>
      </c>
      <c r="O830" s="49" t="s">
        <v>814</v>
      </c>
      <c r="P830" s="46" t="s">
        <v>507</v>
      </c>
      <c r="Q830" s="35" t="str">
        <f>MID(Tabla1[[#This Row],[Aplicación]],14,1)</f>
        <v>2</v>
      </c>
      <c r="R830" s="35" t="s">
        <v>495</v>
      </c>
      <c r="S830" s="35" t="str">
        <f>MID(Tabla1[[#This Row],[Aplicación]],6,2)</f>
        <v>10</v>
      </c>
      <c r="T830" s="35" t="str">
        <f>VLOOKUP(Tabla1[[#This Row],[AREA]],Hoja1!A:B,2,FALSE)</f>
        <v>10. Servicios sociales y mediación comunitaria</v>
      </c>
      <c r="U830" s="35" t="str">
        <f>MID(Tabla1[[#This Row],[Aplicación]],9,4)</f>
        <v>2311</v>
      </c>
      <c r="V830" s="35" t="str">
        <f>VLOOKUP(Tabla1[[#This Row],[PROGRAMA]],Hoja1!A:B,2,FALSE)</f>
        <v>2311. Intervención social</v>
      </c>
      <c r="W830" s="35" t="str">
        <f>MID(Tabla1[[#This Row],[Aplicación]],14,2)</f>
        <v>21</v>
      </c>
      <c r="X830" s="35" t="str">
        <f>MID(Tabla1[[#This Row],[Aplicación]],14,6)</f>
        <v>212</v>
      </c>
    </row>
    <row r="831" spans="1:24" x14ac:dyDescent="0.25">
      <c r="A831" s="45">
        <v>220210004013</v>
      </c>
      <c r="B831" s="46" t="s">
        <v>9</v>
      </c>
      <c r="C831" s="47">
        <v>44244</v>
      </c>
      <c r="D831" s="45">
        <v>22021002595</v>
      </c>
      <c r="E831" s="46" t="s">
        <v>1293</v>
      </c>
      <c r="F831" s="48">
        <v>200.19</v>
      </c>
      <c r="G831" s="46" t="s">
        <v>294</v>
      </c>
      <c r="H831" s="46" t="s">
        <v>1869</v>
      </c>
      <c r="I831" s="45" t="s">
        <v>125</v>
      </c>
      <c r="J831" s="46" t="s">
        <v>127</v>
      </c>
      <c r="K831" s="46" t="s">
        <v>127</v>
      </c>
      <c r="L831" s="46" t="s">
        <v>15</v>
      </c>
      <c r="M831" s="46" t="s">
        <v>10</v>
      </c>
      <c r="N831" s="46" t="s">
        <v>11</v>
      </c>
      <c r="O831" s="49" t="s">
        <v>815</v>
      </c>
      <c r="P831" s="46" t="s">
        <v>507</v>
      </c>
      <c r="Q831" s="35" t="str">
        <f>MID(Tabla1[[#This Row],[Aplicación]],14,1)</f>
        <v>2</v>
      </c>
      <c r="R831" s="35" t="s">
        <v>495</v>
      </c>
      <c r="S831" s="35" t="str">
        <f>MID(Tabla1[[#This Row],[Aplicación]],6,2)</f>
        <v>06</v>
      </c>
      <c r="T831" s="35" t="str">
        <f>VLOOKUP(Tabla1[[#This Row],[AREA]],Hoja1!A:B,2,FALSE)</f>
        <v>06. Educación, infancia, juventud e igualdad</v>
      </c>
      <c r="U831" s="35" t="str">
        <f>MID(Tabla1[[#This Row],[Aplicación]],9,4)</f>
        <v>2314</v>
      </c>
      <c r="V831" s="35" t="str">
        <f>VLOOKUP(Tabla1[[#This Row],[PROGRAMA]],Hoja1!A:B,2,FALSE)</f>
        <v>2314. Centro de programas juveniles</v>
      </c>
      <c r="W831" s="35" t="str">
        <f>MID(Tabla1[[#This Row],[Aplicación]],14,2)</f>
        <v>22</v>
      </c>
      <c r="X831" s="35" t="str">
        <f>MID(Tabla1[[#This Row],[Aplicación]],14,6)</f>
        <v>22699</v>
      </c>
    </row>
    <row r="832" spans="1:24" x14ac:dyDescent="0.25">
      <c r="A832" s="45">
        <v>220210009417</v>
      </c>
      <c r="B832" s="46" t="s">
        <v>204</v>
      </c>
      <c r="C832" s="47">
        <v>44271</v>
      </c>
      <c r="D832" s="45">
        <v>22021002378</v>
      </c>
      <c r="E832" s="46" t="s">
        <v>1228</v>
      </c>
      <c r="F832" s="48">
        <v>300.58</v>
      </c>
      <c r="G832" s="46" t="s">
        <v>258</v>
      </c>
      <c r="H832" s="46" t="s">
        <v>1870</v>
      </c>
      <c r="I832" s="45" t="s">
        <v>205</v>
      </c>
      <c r="J832" s="46" t="s">
        <v>127</v>
      </c>
      <c r="K832" s="46" t="s">
        <v>127</v>
      </c>
      <c r="L832" s="46" t="s">
        <v>15</v>
      </c>
      <c r="M832" s="46" t="s">
        <v>13</v>
      </c>
      <c r="N832" s="46" t="s">
        <v>14</v>
      </c>
      <c r="O832" s="49" t="s">
        <v>814</v>
      </c>
      <c r="P832" s="46" t="s">
        <v>507</v>
      </c>
      <c r="Q832" s="35" t="str">
        <f>MID(Tabla1[[#This Row],[Aplicación]],14,1)</f>
        <v>2</v>
      </c>
      <c r="R832" s="35" t="s">
        <v>495</v>
      </c>
      <c r="S832" s="35" t="str">
        <f>MID(Tabla1[[#This Row],[Aplicación]],6,2)</f>
        <v>02</v>
      </c>
      <c r="T832" s="35" t="str">
        <f>VLOOKUP(Tabla1[[#This Row],[AREA]],Hoja1!A:B,2,FALSE)</f>
        <v>02. Planeamiento urbanístico y vivienda</v>
      </c>
      <c r="U832" s="35" t="str">
        <f>MID(Tabla1[[#This Row],[Aplicación]],9,4)</f>
        <v>9332</v>
      </c>
      <c r="V832" s="35" t="str">
        <f>VLOOKUP(Tabla1[[#This Row],[PROGRAMA]],Hoja1!A:B,2,FALSE)</f>
        <v>9332. Mantenimiento de edificios e instalaciones municipales</v>
      </c>
      <c r="W832" s="35" t="str">
        <f>MID(Tabla1[[#This Row],[Aplicación]],14,2)</f>
        <v>21</v>
      </c>
      <c r="X832" s="35" t="str">
        <f>MID(Tabla1[[#This Row],[Aplicación]],14,6)</f>
        <v>214</v>
      </c>
    </row>
    <row r="833" spans="1:24" x14ac:dyDescent="0.25">
      <c r="A833" s="45">
        <v>220210002889</v>
      </c>
      <c r="B833" s="46" t="s">
        <v>9</v>
      </c>
      <c r="C833" s="47">
        <v>44238</v>
      </c>
      <c r="D833" s="45">
        <v>22021002338</v>
      </c>
      <c r="E833" s="46" t="s">
        <v>1218</v>
      </c>
      <c r="F833" s="48">
        <v>775</v>
      </c>
      <c r="G833" s="46" t="s">
        <v>99</v>
      </c>
      <c r="H833" s="46" t="s">
        <v>1871</v>
      </c>
      <c r="I833" s="45" t="s">
        <v>125</v>
      </c>
      <c r="J833" s="46" t="s">
        <v>127</v>
      </c>
      <c r="K833" s="46" t="s">
        <v>127</v>
      </c>
      <c r="L833" s="46" t="s">
        <v>12</v>
      </c>
      <c r="M833" s="46" t="s">
        <v>10</v>
      </c>
      <c r="N833" s="46" t="s">
        <v>11</v>
      </c>
      <c r="O833" s="49" t="s">
        <v>815</v>
      </c>
      <c r="P833" s="46" t="s">
        <v>507</v>
      </c>
      <c r="Q833" s="35" t="str">
        <f>MID(Tabla1[[#This Row],[Aplicación]],14,1)</f>
        <v>2</v>
      </c>
      <c r="R833" s="35" t="s">
        <v>495</v>
      </c>
      <c r="S833" s="35" t="str">
        <f>MID(Tabla1[[#This Row],[Aplicación]],6,2)</f>
        <v>07</v>
      </c>
      <c r="T833" s="35" t="str">
        <f>VLOOKUP(Tabla1[[#This Row],[AREA]],Hoja1!A:B,2,FALSE)</f>
        <v>07. Medio ambiente y desarrollo sostenible</v>
      </c>
      <c r="U833" s="35" t="str">
        <f>MID(Tabla1[[#This Row],[Aplicación]],9,4)</f>
        <v>1701</v>
      </c>
      <c r="V833" s="35" t="str">
        <f>VLOOKUP(Tabla1[[#This Row],[PROGRAMA]],Hoja1!A:B,2,FALSE)</f>
        <v>1701. Dirección del área de medio ambiente</v>
      </c>
      <c r="W833" s="35" t="str">
        <f>MID(Tabla1[[#This Row],[Aplicación]],14,2)</f>
        <v>21</v>
      </c>
      <c r="X833" s="35" t="str">
        <f>MID(Tabla1[[#This Row],[Aplicación]],14,6)</f>
        <v>213</v>
      </c>
    </row>
    <row r="834" spans="1:24" x14ac:dyDescent="0.25">
      <c r="A834" s="45">
        <v>220210003996</v>
      </c>
      <c r="B834" s="46" t="s">
        <v>9</v>
      </c>
      <c r="C834" s="47">
        <v>44244</v>
      </c>
      <c r="D834" s="45">
        <v>22021002569</v>
      </c>
      <c r="E834" s="46" t="s">
        <v>869</v>
      </c>
      <c r="F834" s="48">
        <v>1337.05</v>
      </c>
      <c r="G834" s="46" t="s">
        <v>99</v>
      </c>
      <c r="H834" s="46" t="s">
        <v>1872</v>
      </c>
      <c r="I834" s="45" t="s">
        <v>125</v>
      </c>
      <c r="J834" s="46" t="s">
        <v>127</v>
      </c>
      <c r="K834" s="46" t="s">
        <v>127</v>
      </c>
      <c r="L834" s="46" t="s">
        <v>12</v>
      </c>
      <c r="M834" s="46" t="s">
        <v>10</v>
      </c>
      <c r="N834" s="46" t="s">
        <v>11</v>
      </c>
      <c r="O834" s="49" t="s">
        <v>815</v>
      </c>
      <c r="P834" s="46" t="s">
        <v>507</v>
      </c>
      <c r="Q834" s="35" t="str">
        <f>MID(Tabla1[[#This Row],[Aplicación]],14,1)</f>
        <v>2</v>
      </c>
      <c r="R834" s="35" t="s">
        <v>495</v>
      </c>
      <c r="S834" s="35" t="str">
        <f>MID(Tabla1[[#This Row],[Aplicación]],6,2)</f>
        <v>07</v>
      </c>
      <c r="T834" s="35" t="str">
        <f>VLOOKUP(Tabla1[[#This Row],[AREA]],Hoja1!A:B,2,FALSE)</f>
        <v>07. Medio ambiente y desarrollo sostenible</v>
      </c>
      <c r="U834" s="35" t="str">
        <f>MID(Tabla1[[#This Row],[Aplicación]],9,4)</f>
        <v>1721</v>
      </c>
      <c r="V834" s="35" t="str">
        <f>VLOOKUP(Tabla1[[#This Row],[PROGRAMA]],Hoja1!A:B,2,FALSE)</f>
        <v>1721. Protección del medio ambiente</v>
      </c>
      <c r="W834" s="35" t="str">
        <f>MID(Tabla1[[#This Row],[Aplicación]],14,2)</f>
        <v>21</v>
      </c>
      <c r="X834" s="35" t="str">
        <f>MID(Tabla1[[#This Row],[Aplicación]],14,6)</f>
        <v>213</v>
      </c>
    </row>
    <row r="835" spans="1:24" x14ac:dyDescent="0.25">
      <c r="A835" s="45">
        <v>220210007140</v>
      </c>
      <c r="B835" s="46" t="s">
        <v>9</v>
      </c>
      <c r="C835" s="47">
        <v>44260</v>
      </c>
      <c r="D835" s="45">
        <v>22021003258</v>
      </c>
      <c r="E835" s="46" t="s">
        <v>1873</v>
      </c>
      <c r="F835" s="48">
        <v>2000</v>
      </c>
      <c r="G835" s="46" t="s">
        <v>99</v>
      </c>
      <c r="H835" s="46" t="s">
        <v>1874</v>
      </c>
      <c r="I835" s="45" t="s">
        <v>125</v>
      </c>
      <c r="J835" s="46" t="s">
        <v>127</v>
      </c>
      <c r="K835" s="46" t="s">
        <v>127</v>
      </c>
      <c r="L835" s="46" t="s">
        <v>12</v>
      </c>
      <c r="M835" s="46" t="s">
        <v>10</v>
      </c>
      <c r="N835" s="46" t="s">
        <v>11</v>
      </c>
      <c r="O835" s="49" t="s">
        <v>815</v>
      </c>
      <c r="P835" s="46" t="s">
        <v>507</v>
      </c>
      <c r="Q835" s="35" t="str">
        <f>MID(Tabla1[[#This Row],[Aplicación]],14,1)</f>
        <v>2</v>
      </c>
      <c r="R835" s="35" t="s">
        <v>495</v>
      </c>
      <c r="S835" s="35" t="str">
        <f>MID(Tabla1[[#This Row],[Aplicación]],6,2)</f>
        <v>11</v>
      </c>
      <c r="T835" s="35" t="str">
        <f>VLOOKUP(Tabla1[[#This Row],[AREA]],Hoja1!A:B,2,FALSE)</f>
        <v>11. Salud pública y seguridad ciudadana</v>
      </c>
      <c r="U835" s="35" t="str">
        <f>MID(Tabla1[[#This Row],[Aplicación]],9,4)</f>
        <v>3111</v>
      </c>
      <c r="V835" s="35" t="str">
        <f>VLOOKUP(Tabla1[[#This Row],[PROGRAMA]],Hoja1!A:B,2,FALSE)</f>
        <v>3111. Protección de la salubridad pública</v>
      </c>
      <c r="W835" s="35" t="str">
        <f>MID(Tabla1[[#This Row],[Aplicación]],14,2)</f>
        <v>21</v>
      </c>
      <c r="X835" s="35" t="str">
        <f>MID(Tabla1[[#This Row],[Aplicación]],14,6)</f>
        <v>213</v>
      </c>
    </row>
    <row r="836" spans="1:24" x14ac:dyDescent="0.25">
      <c r="A836" s="45">
        <v>220210006947</v>
      </c>
      <c r="B836" s="46" t="s">
        <v>9</v>
      </c>
      <c r="C836" s="47">
        <v>44259</v>
      </c>
      <c r="D836" s="45">
        <v>22021003051</v>
      </c>
      <c r="E836" s="46" t="s">
        <v>969</v>
      </c>
      <c r="F836" s="48">
        <v>70.08</v>
      </c>
      <c r="G836" s="46" t="s">
        <v>266</v>
      </c>
      <c r="H836" s="46" t="s">
        <v>1875</v>
      </c>
      <c r="I836" s="45" t="s">
        <v>125</v>
      </c>
      <c r="J836" s="46" t="s">
        <v>127</v>
      </c>
      <c r="K836" s="46" t="s">
        <v>127</v>
      </c>
      <c r="L836" s="46" t="s">
        <v>15</v>
      </c>
      <c r="M836" s="46" t="s">
        <v>10</v>
      </c>
      <c r="N836" s="46" t="s">
        <v>11</v>
      </c>
      <c r="O836" s="49" t="s">
        <v>815</v>
      </c>
      <c r="P836" s="46" t="s">
        <v>507</v>
      </c>
      <c r="Q836" s="35" t="str">
        <f>MID(Tabla1[[#This Row],[Aplicación]],14,1)</f>
        <v>2</v>
      </c>
      <c r="R836" s="35" t="s">
        <v>495</v>
      </c>
      <c r="S836" s="35" t="str">
        <f>MID(Tabla1[[#This Row],[Aplicación]],6,2)</f>
        <v>06</v>
      </c>
      <c r="T836" s="35" t="str">
        <f>VLOOKUP(Tabla1[[#This Row],[AREA]],Hoja1!A:B,2,FALSE)</f>
        <v>06. Educación, infancia, juventud e igualdad</v>
      </c>
      <c r="U836" s="35" t="str">
        <f>MID(Tabla1[[#This Row],[Aplicación]],9,4)</f>
        <v>2315</v>
      </c>
      <c r="V836" s="35" t="str">
        <f>VLOOKUP(Tabla1[[#This Row],[PROGRAMA]],Hoja1!A:B,2,FALSE)</f>
        <v>2315. Políticas de Igualdad e infancia</v>
      </c>
      <c r="W836" s="35" t="str">
        <f>MID(Tabla1[[#This Row],[Aplicación]],14,2)</f>
        <v>21</v>
      </c>
      <c r="X836" s="35" t="str">
        <f>MID(Tabla1[[#This Row],[Aplicación]],14,6)</f>
        <v>213</v>
      </c>
    </row>
    <row r="837" spans="1:24" x14ac:dyDescent="0.25">
      <c r="A837" s="45">
        <v>220210002491</v>
      </c>
      <c r="B837" s="46" t="s">
        <v>204</v>
      </c>
      <c r="C837" s="47">
        <v>44235</v>
      </c>
      <c r="D837" s="45">
        <v>22021002228</v>
      </c>
      <c r="E837" s="46" t="s">
        <v>1471</v>
      </c>
      <c r="F837" s="48">
        <v>145.63999999999999</v>
      </c>
      <c r="G837" s="46" t="s">
        <v>266</v>
      </c>
      <c r="H837" s="46" t="s">
        <v>1876</v>
      </c>
      <c r="I837" s="45" t="s">
        <v>205</v>
      </c>
      <c r="J837" s="46" t="s">
        <v>127</v>
      </c>
      <c r="K837" s="46" t="s">
        <v>127</v>
      </c>
      <c r="L837" s="46" t="s">
        <v>15</v>
      </c>
      <c r="M837" s="46" t="s">
        <v>13</v>
      </c>
      <c r="N837" s="46" t="s">
        <v>14</v>
      </c>
      <c r="O837" s="49" t="s">
        <v>814</v>
      </c>
      <c r="P837" s="46" t="s">
        <v>507</v>
      </c>
      <c r="Q837" s="35" t="str">
        <f>MID(Tabla1[[#This Row],[Aplicación]],14,1)</f>
        <v>2</v>
      </c>
      <c r="R837" s="35" t="s">
        <v>495</v>
      </c>
      <c r="S837" s="35" t="str">
        <f>MID(Tabla1[[#This Row],[Aplicación]],6,2)</f>
        <v>06</v>
      </c>
      <c r="T837" s="35" t="str">
        <f>VLOOKUP(Tabla1[[#This Row],[AREA]],Hoja1!A:B,2,FALSE)</f>
        <v>06. Educación, infancia, juventud e igualdad</v>
      </c>
      <c r="U837" s="35" t="str">
        <f>MID(Tabla1[[#This Row],[Aplicación]],9,4)</f>
        <v>3232</v>
      </c>
      <c r="V837" s="35" t="str">
        <f>VLOOKUP(Tabla1[[#This Row],[PROGRAMA]],Hoja1!A:B,2,FALSE)</f>
        <v>3232. Conservación y mantenimiento centros educación infantil y primaria</v>
      </c>
      <c r="W837" s="35" t="str">
        <f>MID(Tabla1[[#This Row],[Aplicación]],14,2)</f>
        <v>21</v>
      </c>
      <c r="X837" s="35" t="str">
        <f>MID(Tabla1[[#This Row],[Aplicación]],14,6)</f>
        <v>212</v>
      </c>
    </row>
    <row r="838" spans="1:24" x14ac:dyDescent="0.25">
      <c r="A838" s="45">
        <v>220210003000</v>
      </c>
      <c r="B838" s="46" t="s">
        <v>204</v>
      </c>
      <c r="C838" s="47">
        <v>44238</v>
      </c>
      <c r="D838" s="45">
        <v>22021002088</v>
      </c>
      <c r="E838" s="46" t="s">
        <v>1478</v>
      </c>
      <c r="F838" s="48">
        <v>232.96</v>
      </c>
      <c r="G838" s="46" t="s">
        <v>266</v>
      </c>
      <c r="H838" s="46" t="s">
        <v>1877</v>
      </c>
      <c r="I838" s="45" t="s">
        <v>205</v>
      </c>
      <c r="J838" s="46" t="s">
        <v>127</v>
      </c>
      <c r="K838" s="46" t="s">
        <v>127</v>
      </c>
      <c r="L838" s="46" t="s">
        <v>15</v>
      </c>
      <c r="M838" s="46" t="s">
        <v>13</v>
      </c>
      <c r="N838" s="46" t="s">
        <v>16</v>
      </c>
      <c r="O838" s="49" t="s">
        <v>814</v>
      </c>
      <c r="P838" s="46" t="s">
        <v>507</v>
      </c>
      <c r="Q838" s="35" t="str">
        <f>MID(Tabla1[[#This Row],[Aplicación]],14,1)</f>
        <v>2</v>
      </c>
      <c r="R838" s="35" t="s">
        <v>495</v>
      </c>
      <c r="S838" s="35" t="str">
        <f>MID(Tabla1[[#This Row],[Aplicación]],6,2)</f>
        <v>03</v>
      </c>
      <c r="T838" s="35" t="str">
        <f>VLOOKUP(Tabla1[[#This Row],[AREA]],Hoja1!A:B,2,FALSE)</f>
        <v>03. Participación ciudadana y deportes</v>
      </c>
      <c r="U838" s="35" t="str">
        <f>MID(Tabla1[[#This Row],[Aplicación]],9,4)</f>
        <v>9241</v>
      </c>
      <c r="V838" s="35" t="str">
        <f>VLOOKUP(Tabla1[[#This Row],[PROGRAMA]],Hoja1!A:B,2,FALSE)</f>
        <v>9241. Participación ciudadana</v>
      </c>
      <c r="W838" s="35" t="str">
        <f>MID(Tabla1[[#This Row],[Aplicación]],14,2)</f>
        <v>21</v>
      </c>
      <c r="X838" s="35" t="str">
        <f>MID(Tabla1[[#This Row],[Aplicación]],14,6)</f>
        <v>212</v>
      </c>
    </row>
    <row r="839" spans="1:24" x14ac:dyDescent="0.25">
      <c r="A839" s="45">
        <v>220210003002</v>
      </c>
      <c r="B839" s="46" t="s">
        <v>204</v>
      </c>
      <c r="C839" s="47">
        <v>44238</v>
      </c>
      <c r="D839" s="45">
        <v>22021002088</v>
      </c>
      <c r="E839" s="46" t="s">
        <v>1478</v>
      </c>
      <c r="F839" s="48">
        <v>26.84</v>
      </c>
      <c r="G839" s="46" t="s">
        <v>266</v>
      </c>
      <c r="H839" s="46" t="s">
        <v>1878</v>
      </c>
      <c r="I839" s="45" t="s">
        <v>205</v>
      </c>
      <c r="J839" s="46" t="s">
        <v>127</v>
      </c>
      <c r="K839" s="46" t="s">
        <v>127</v>
      </c>
      <c r="L839" s="46" t="s">
        <v>15</v>
      </c>
      <c r="M839" s="46" t="s">
        <v>13</v>
      </c>
      <c r="N839" s="46" t="s">
        <v>16</v>
      </c>
      <c r="O839" s="49" t="s">
        <v>814</v>
      </c>
      <c r="P839" s="46" t="s">
        <v>507</v>
      </c>
      <c r="Q839" s="35" t="str">
        <f>MID(Tabla1[[#This Row],[Aplicación]],14,1)</f>
        <v>2</v>
      </c>
      <c r="R839" s="35" t="s">
        <v>495</v>
      </c>
      <c r="S839" s="35" t="str">
        <f>MID(Tabla1[[#This Row],[Aplicación]],6,2)</f>
        <v>03</v>
      </c>
      <c r="T839" s="35" t="str">
        <f>VLOOKUP(Tabla1[[#This Row],[AREA]],Hoja1!A:B,2,FALSE)</f>
        <v>03. Participación ciudadana y deportes</v>
      </c>
      <c r="U839" s="35" t="str">
        <f>MID(Tabla1[[#This Row],[Aplicación]],9,4)</f>
        <v>9241</v>
      </c>
      <c r="V839" s="35" t="str">
        <f>VLOOKUP(Tabla1[[#This Row],[PROGRAMA]],Hoja1!A:B,2,FALSE)</f>
        <v>9241. Participación ciudadana</v>
      </c>
      <c r="W839" s="35" t="str">
        <f>MID(Tabla1[[#This Row],[Aplicación]],14,2)</f>
        <v>21</v>
      </c>
      <c r="X839" s="35" t="str">
        <f>MID(Tabla1[[#This Row],[Aplicación]],14,6)</f>
        <v>212</v>
      </c>
    </row>
    <row r="840" spans="1:24" x14ac:dyDescent="0.25">
      <c r="A840" s="45">
        <v>220210003004</v>
      </c>
      <c r="B840" s="46" t="s">
        <v>204</v>
      </c>
      <c r="C840" s="47">
        <v>44238</v>
      </c>
      <c r="D840" s="45">
        <v>22021002088</v>
      </c>
      <c r="E840" s="46" t="s">
        <v>1478</v>
      </c>
      <c r="F840" s="48">
        <v>33.67</v>
      </c>
      <c r="G840" s="46" t="s">
        <v>266</v>
      </c>
      <c r="H840" s="46" t="s">
        <v>1879</v>
      </c>
      <c r="I840" s="45" t="s">
        <v>205</v>
      </c>
      <c r="J840" s="46" t="s">
        <v>127</v>
      </c>
      <c r="K840" s="46" t="s">
        <v>127</v>
      </c>
      <c r="L840" s="46" t="s">
        <v>15</v>
      </c>
      <c r="M840" s="46" t="s">
        <v>13</v>
      </c>
      <c r="N840" s="46" t="s">
        <v>16</v>
      </c>
      <c r="O840" s="49" t="s">
        <v>814</v>
      </c>
      <c r="P840" s="46" t="s">
        <v>507</v>
      </c>
      <c r="Q840" s="35" t="str">
        <f>MID(Tabla1[[#This Row],[Aplicación]],14,1)</f>
        <v>2</v>
      </c>
      <c r="R840" s="35" t="s">
        <v>495</v>
      </c>
      <c r="S840" s="35" t="str">
        <f>MID(Tabla1[[#This Row],[Aplicación]],6,2)</f>
        <v>03</v>
      </c>
      <c r="T840" s="35" t="str">
        <f>VLOOKUP(Tabla1[[#This Row],[AREA]],Hoja1!A:B,2,FALSE)</f>
        <v>03. Participación ciudadana y deportes</v>
      </c>
      <c r="U840" s="35" t="str">
        <f>MID(Tabla1[[#This Row],[Aplicación]],9,4)</f>
        <v>9241</v>
      </c>
      <c r="V840" s="35" t="str">
        <f>VLOOKUP(Tabla1[[#This Row],[PROGRAMA]],Hoja1!A:B,2,FALSE)</f>
        <v>9241. Participación ciudadana</v>
      </c>
      <c r="W840" s="35" t="str">
        <f>MID(Tabla1[[#This Row],[Aplicación]],14,2)</f>
        <v>21</v>
      </c>
      <c r="X840" s="35" t="str">
        <f>MID(Tabla1[[#This Row],[Aplicación]],14,6)</f>
        <v>212</v>
      </c>
    </row>
    <row r="841" spans="1:24" x14ac:dyDescent="0.25">
      <c r="A841" s="45">
        <v>220210003006</v>
      </c>
      <c r="B841" s="46" t="s">
        <v>204</v>
      </c>
      <c r="C841" s="47">
        <v>44238</v>
      </c>
      <c r="D841" s="45">
        <v>22021002088</v>
      </c>
      <c r="E841" s="46" t="s">
        <v>1478</v>
      </c>
      <c r="F841" s="48">
        <v>60.98</v>
      </c>
      <c r="G841" s="46" t="s">
        <v>266</v>
      </c>
      <c r="H841" s="46" t="s">
        <v>1880</v>
      </c>
      <c r="I841" s="45" t="s">
        <v>205</v>
      </c>
      <c r="J841" s="46" t="s">
        <v>127</v>
      </c>
      <c r="K841" s="46" t="s">
        <v>127</v>
      </c>
      <c r="L841" s="46" t="s">
        <v>15</v>
      </c>
      <c r="M841" s="46" t="s">
        <v>13</v>
      </c>
      <c r="N841" s="46" t="s">
        <v>16</v>
      </c>
      <c r="O841" s="49" t="s">
        <v>814</v>
      </c>
      <c r="P841" s="46" t="s">
        <v>507</v>
      </c>
      <c r="Q841" s="35" t="str">
        <f>MID(Tabla1[[#This Row],[Aplicación]],14,1)</f>
        <v>2</v>
      </c>
      <c r="R841" s="35" t="s">
        <v>495</v>
      </c>
      <c r="S841" s="35" t="str">
        <f>MID(Tabla1[[#This Row],[Aplicación]],6,2)</f>
        <v>03</v>
      </c>
      <c r="T841" s="35" t="str">
        <f>VLOOKUP(Tabla1[[#This Row],[AREA]],Hoja1!A:B,2,FALSE)</f>
        <v>03. Participación ciudadana y deportes</v>
      </c>
      <c r="U841" s="35" t="str">
        <f>MID(Tabla1[[#This Row],[Aplicación]],9,4)</f>
        <v>9241</v>
      </c>
      <c r="V841" s="35" t="str">
        <f>VLOOKUP(Tabla1[[#This Row],[PROGRAMA]],Hoja1!A:B,2,FALSE)</f>
        <v>9241. Participación ciudadana</v>
      </c>
      <c r="W841" s="35" t="str">
        <f>MID(Tabla1[[#This Row],[Aplicación]],14,2)</f>
        <v>21</v>
      </c>
      <c r="X841" s="35" t="str">
        <f>MID(Tabla1[[#This Row],[Aplicación]],14,6)</f>
        <v>212</v>
      </c>
    </row>
    <row r="842" spans="1:24" x14ac:dyDescent="0.25">
      <c r="A842" s="45">
        <v>220210004124</v>
      </c>
      <c r="B842" s="46" t="s">
        <v>204</v>
      </c>
      <c r="C842" s="47">
        <v>44244</v>
      </c>
      <c r="D842" s="45">
        <v>22021002374</v>
      </c>
      <c r="E842" s="46" t="s">
        <v>1336</v>
      </c>
      <c r="F842" s="48">
        <v>118.89</v>
      </c>
      <c r="G842" s="46" t="s">
        <v>266</v>
      </c>
      <c r="H842" s="46" t="s">
        <v>1881</v>
      </c>
      <c r="I842" s="45" t="s">
        <v>205</v>
      </c>
      <c r="J842" s="46" t="s">
        <v>127</v>
      </c>
      <c r="K842" s="46" t="s">
        <v>127</v>
      </c>
      <c r="L842" s="46" t="s">
        <v>15</v>
      </c>
      <c r="M842" s="46" t="s">
        <v>13</v>
      </c>
      <c r="N842" s="46" t="s">
        <v>14</v>
      </c>
      <c r="O842" s="49" t="s">
        <v>814</v>
      </c>
      <c r="P842" s="46" t="s">
        <v>507</v>
      </c>
      <c r="Q842" s="35" t="str">
        <f>MID(Tabla1[[#This Row],[Aplicación]],14,1)</f>
        <v>2</v>
      </c>
      <c r="R842" s="35" t="s">
        <v>495</v>
      </c>
      <c r="S842" s="35" t="str">
        <f>MID(Tabla1[[#This Row],[Aplicación]],6,2)</f>
        <v>02</v>
      </c>
      <c r="T842" s="35" t="str">
        <f>VLOOKUP(Tabla1[[#This Row],[AREA]],Hoja1!A:B,2,FALSE)</f>
        <v>02. Planeamiento urbanístico y vivienda</v>
      </c>
      <c r="U842" s="35" t="str">
        <f>MID(Tabla1[[#This Row],[Aplicación]],9,4)</f>
        <v>9332</v>
      </c>
      <c r="V842" s="35" t="str">
        <f>VLOOKUP(Tabla1[[#This Row],[PROGRAMA]],Hoja1!A:B,2,FALSE)</f>
        <v>9332. Mantenimiento de edificios e instalaciones municipales</v>
      </c>
      <c r="W842" s="35" t="str">
        <f>MID(Tabla1[[#This Row],[Aplicación]],14,2)</f>
        <v>21</v>
      </c>
      <c r="X842" s="35" t="str">
        <f>MID(Tabla1[[#This Row],[Aplicación]],14,6)</f>
        <v>212</v>
      </c>
    </row>
    <row r="843" spans="1:24" x14ac:dyDescent="0.25">
      <c r="A843" s="45">
        <v>220210004471</v>
      </c>
      <c r="B843" s="46" t="s">
        <v>204</v>
      </c>
      <c r="C843" s="47">
        <v>44246</v>
      </c>
      <c r="D843" s="45">
        <v>22021002143</v>
      </c>
      <c r="E843" s="46" t="s">
        <v>1328</v>
      </c>
      <c r="F843" s="48">
        <v>93.65</v>
      </c>
      <c r="G843" s="46" t="s">
        <v>266</v>
      </c>
      <c r="H843" s="46" t="s">
        <v>1882</v>
      </c>
      <c r="I843" s="45" t="s">
        <v>205</v>
      </c>
      <c r="J843" s="46" t="s">
        <v>127</v>
      </c>
      <c r="K843" s="46" t="s">
        <v>127</v>
      </c>
      <c r="L843" s="46" t="s">
        <v>15</v>
      </c>
      <c r="M843" s="46" t="s">
        <v>13</v>
      </c>
      <c r="N843" s="46" t="s">
        <v>14</v>
      </c>
      <c r="O843" s="49" t="s">
        <v>814</v>
      </c>
      <c r="P843" s="46" t="s">
        <v>507</v>
      </c>
      <c r="Q843" s="35" t="str">
        <f>MID(Tabla1[[#This Row],[Aplicación]],14,1)</f>
        <v>2</v>
      </c>
      <c r="R843" s="35" t="s">
        <v>495</v>
      </c>
      <c r="S843" s="35" t="str">
        <f>MID(Tabla1[[#This Row],[Aplicación]],6,2)</f>
        <v>10</v>
      </c>
      <c r="T843" s="35" t="str">
        <f>VLOOKUP(Tabla1[[#This Row],[AREA]],Hoja1!A:B,2,FALSE)</f>
        <v>10. Servicios sociales y mediación comunitaria</v>
      </c>
      <c r="U843" s="35" t="str">
        <f>MID(Tabla1[[#This Row],[Aplicación]],9,4)</f>
        <v>2311</v>
      </c>
      <c r="V843" s="35" t="str">
        <f>VLOOKUP(Tabla1[[#This Row],[PROGRAMA]],Hoja1!A:B,2,FALSE)</f>
        <v>2311. Intervención social</v>
      </c>
      <c r="W843" s="35" t="str">
        <f>MID(Tabla1[[#This Row],[Aplicación]],14,2)</f>
        <v>21</v>
      </c>
      <c r="X843" s="35" t="str">
        <f>MID(Tabla1[[#This Row],[Aplicación]],14,6)</f>
        <v>212</v>
      </c>
    </row>
    <row r="844" spans="1:24" x14ac:dyDescent="0.25">
      <c r="A844" s="45">
        <v>220210008790</v>
      </c>
      <c r="B844" s="46" t="s">
        <v>204</v>
      </c>
      <c r="C844" s="47">
        <v>44266</v>
      </c>
      <c r="D844" s="45">
        <v>22021002374</v>
      </c>
      <c r="E844" s="46" t="s">
        <v>1336</v>
      </c>
      <c r="F844" s="48">
        <v>75.02</v>
      </c>
      <c r="G844" s="46" t="s">
        <v>266</v>
      </c>
      <c r="H844" s="46" t="s">
        <v>1883</v>
      </c>
      <c r="I844" s="45" t="s">
        <v>205</v>
      </c>
      <c r="J844" s="46" t="s">
        <v>127</v>
      </c>
      <c r="K844" s="46" t="s">
        <v>127</v>
      </c>
      <c r="L844" s="46" t="s">
        <v>15</v>
      </c>
      <c r="M844" s="46" t="s">
        <v>13</v>
      </c>
      <c r="N844" s="46" t="s">
        <v>14</v>
      </c>
      <c r="O844" s="49" t="s">
        <v>814</v>
      </c>
      <c r="P844" s="46" t="s">
        <v>507</v>
      </c>
      <c r="Q844" s="35" t="str">
        <f>MID(Tabla1[[#This Row],[Aplicación]],14,1)</f>
        <v>2</v>
      </c>
      <c r="R844" s="35" t="s">
        <v>495</v>
      </c>
      <c r="S844" s="35" t="str">
        <f>MID(Tabla1[[#This Row],[Aplicación]],6,2)</f>
        <v>02</v>
      </c>
      <c r="T844" s="35" t="str">
        <f>VLOOKUP(Tabla1[[#This Row],[AREA]],Hoja1!A:B,2,FALSE)</f>
        <v>02. Planeamiento urbanístico y vivienda</v>
      </c>
      <c r="U844" s="35" t="str">
        <f>MID(Tabla1[[#This Row],[Aplicación]],9,4)</f>
        <v>9332</v>
      </c>
      <c r="V844" s="35" t="str">
        <f>VLOOKUP(Tabla1[[#This Row],[PROGRAMA]],Hoja1!A:B,2,FALSE)</f>
        <v>9332. Mantenimiento de edificios e instalaciones municipales</v>
      </c>
      <c r="W844" s="35" t="str">
        <f>MID(Tabla1[[#This Row],[Aplicación]],14,2)</f>
        <v>21</v>
      </c>
      <c r="X844" s="35" t="str">
        <f>MID(Tabla1[[#This Row],[Aplicación]],14,6)</f>
        <v>212</v>
      </c>
    </row>
    <row r="845" spans="1:24" x14ac:dyDescent="0.25">
      <c r="A845" s="45">
        <v>220210010413</v>
      </c>
      <c r="B845" s="46" t="s">
        <v>204</v>
      </c>
      <c r="C845" s="47">
        <v>44277</v>
      </c>
      <c r="D845" s="45">
        <v>22021003187</v>
      </c>
      <c r="E845" s="46" t="s">
        <v>1884</v>
      </c>
      <c r="F845" s="48">
        <v>17.86</v>
      </c>
      <c r="G845" s="46" t="s">
        <v>266</v>
      </c>
      <c r="H845" s="46" t="s">
        <v>1885</v>
      </c>
      <c r="I845" s="45" t="s">
        <v>205</v>
      </c>
      <c r="J845" s="46" t="s">
        <v>127</v>
      </c>
      <c r="K845" s="46" t="s">
        <v>127</v>
      </c>
      <c r="L845" s="46" t="s">
        <v>15</v>
      </c>
      <c r="M845" s="46" t="s">
        <v>13</v>
      </c>
      <c r="N845" s="46" t="s">
        <v>11</v>
      </c>
      <c r="O845" s="49" t="s">
        <v>814</v>
      </c>
      <c r="P845" s="46" t="s">
        <v>507</v>
      </c>
      <c r="Q845" s="35" t="str">
        <f>MID(Tabla1[[#This Row],[Aplicación]],14,1)</f>
        <v>2</v>
      </c>
      <c r="R845" s="35" t="s">
        <v>495</v>
      </c>
      <c r="S845" s="35" t="str">
        <f>MID(Tabla1[[#This Row],[Aplicación]],6,2)</f>
        <v>06</v>
      </c>
      <c r="T845" s="35" t="str">
        <f>VLOOKUP(Tabla1[[#This Row],[AREA]],Hoja1!A:B,2,FALSE)</f>
        <v>06. Educación, infancia, juventud e igualdad</v>
      </c>
      <c r="U845" s="35" t="str">
        <f>MID(Tabla1[[#This Row],[Aplicación]],9,4)</f>
        <v>2314</v>
      </c>
      <c r="V845" s="35" t="str">
        <f>VLOOKUP(Tabla1[[#This Row],[PROGRAMA]],Hoja1!A:B,2,FALSE)</f>
        <v>2314. Centro de programas juveniles</v>
      </c>
      <c r="W845" s="35" t="str">
        <f>MID(Tabla1[[#This Row],[Aplicación]],14,2)</f>
        <v>21</v>
      </c>
      <c r="X845" s="35" t="str">
        <f>MID(Tabla1[[#This Row],[Aplicación]],14,6)</f>
        <v>212</v>
      </c>
    </row>
    <row r="846" spans="1:24" x14ac:dyDescent="0.25">
      <c r="A846" s="45">
        <v>220210003246</v>
      </c>
      <c r="B846" s="46" t="s">
        <v>204</v>
      </c>
      <c r="C846" s="47">
        <v>44239</v>
      </c>
      <c r="D846" s="45">
        <v>22021002132</v>
      </c>
      <c r="E846" s="46" t="s">
        <v>1180</v>
      </c>
      <c r="F846" s="48">
        <v>125.49</v>
      </c>
      <c r="G846" s="46" t="s">
        <v>236</v>
      </c>
      <c r="H846" s="46" t="s">
        <v>1886</v>
      </c>
      <c r="I846" s="45" t="s">
        <v>205</v>
      </c>
      <c r="J846" s="46" t="s">
        <v>127</v>
      </c>
      <c r="K846" s="46" t="s">
        <v>127</v>
      </c>
      <c r="L846" s="46" t="s">
        <v>15</v>
      </c>
      <c r="M846" s="46" t="s">
        <v>13</v>
      </c>
      <c r="N846" s="46" t="s">
        <v>14</v>
      </c>
      <c r="O846" s="49" t="s">
        <v>814</v>
      </c>
      <c r="P846" s="46" t="s">
        <v>507</v>
      </c>
      <c r="Q846" s="35" t="str">
        <f>MID(Tabla1[[#This Row],[Aplicación]],14,1)</f>
        <v>2</v>
      </c>
      <c r="R846" s="35" t="s">
        <v>495</v>
      </c>
      <c r="S846" s="35" t="str">
        <f>MID(Tabla1[[#This Row],[Aplicación]],6,2)</f>
        <v>08</v>
      </c>
      <c r="T846" s="35" t="str">
        <f>VLOOKUP(Tabla1[[#This Row],[AREA]],Hoja1!A:B,2,FALSE)</f>
        <v>08. Movilidad y espacio urbano</v>
      </c>
      <c r="U846" s="35" t="str">
        <f>MID(Tabla1[[#This Row],[Aplicación]],9,4)</f>
        <v>1532</v>
      </c>
      <c r="V846" s="35" t="str">
        <f>VLOOKUP(Tabla1[[#This Row],[PROGRAMA]],Hoja1!A:B,2,FALSE)</f>
        <v>1532. Pavimentación vias públicas y otros servicios urbanísticos</v>
      </c>
      <c r="W846" s="35" t="str">
        <f>MID(Tabla1[[#This Row],[Aplicación]],14,2)</f>
        <v>21</v>
      </c>
      <c r="X846" s="35" t="str">
        <f>MID(Tabla1[[#This Row],[Aplicación]],14,6)</f>
        <v>210</v>
      </c>
    </row>
    <row r="847" spans="1:24" x14ac:dyDescent="0.25">
      <c r="A847" s="45">
        <v>220210008487</v>
      </c>
      <c r="B847" s="46" t="s">
        <v>204</v>
      </c>
      <c r="C847" s="47">
        <v>44266</v>
      </c>
      <c r="D847" s="45">
        <v>22021002088</v>
      </c>
      <c r="E847" s="46" t="s">
        <v>1478</v>
      </c>
      <c r="F847" s="48">
        <v>119.79</v>
      </c>
      <c r="G847" s="46" t="s">
        <v>236</v>
      </c>
      <c r="H847" s="46" t="s">
        <v>1887</v>
      </c>
      <c r="I847" s="45" t="s">
        <v>205</v>
      </c>
      <c r="J847" s="46" t="s">
        <v>127</v>
      </c>
      <c r="K847" s="46" t="s">
        <v>127</v>
      </c>
      <c r="L847" s="46" t="s">
        <v>15</v>
      </c>
      <c r="M847" s="46" t="s">
        <v>13</v>
      </c>
      <c r="N847" s="46" t="s">
        <v>16</v>
      </c>
      <c r="O847" s="49" t="s">
        <v>814</v>
      </c>
      <c r="P847" s="46" t="s">
        <v>507</v>
      </c>
      <c r="Q847" s="35" t="str">
        <f>MID(Tabla1[[#This Row],[Aplicación]],14,1)</f>
        <v>2</v>
      </c>
      <c r="R847" s="35" t="s">
        <v>495</v>
      </c>
      <c r="S847" s="35" t="str">
        <f>MID(Tabla1[[#This Row],[Aplicación]],6,2)</f>
        <v>03</v>
      </c>
      <c r="T847" s="35" t="str">
        <f>VLOOKUP(Tabla1[[#This Row],[AREA]],Hoja1!A:B,2,FALSE)</f>
        <v>03. Participación ciudadana y deportes</v>
      </c>
      <c r="U847" s="35" t="str">
        <f>MID(Tabla1[[#This Row],[Aplicación]],9,4)</f>
        <v>9241</v>
      </c>
      <c r="V847" s="35" t="str">
        <f>VLOOKUP(Tabla1[[#This Row],[PROGRAMA]],Hoja1!A:B,2,FALSE)</f>
        <v>9241. Participación ciudadana</v>
      </c>
      <c r="W847" s="35" t="str">
        <f>MID(Tabla1[[#This Row],[Aplicación]],14,2)</f>
        <v>21</v>
      </c>
      <c r="X847" s="35" t="str">
        <f>MID(Tabla1[[#This Row],[Aplicación]],14,6)</f>
        <v>212</v>
      </c>
    </row>
    <row r="848" spans="1:24" x14ac:dyDescent="0.25">
      <c r="A848" s="45">
        <v>220210006034</v>
      </c>
      <c r="B848" s="46" t="s">
        <v>9</v>
      </c>
      <c r="C848" s="47">
        <v>44251</v>
      </c>
      <c r="D848" s="45">
        <v>22021003012</v>
      </c>
      <c r="E848" s="46" t="s">
        <v>1220</v>
      </c>
      <c r="F848" s="48">
        <v>1526.9</v>
      </c>
      <c r="G848" s="46" t="s">
        <v>529</v>
      </c>
      <c r="H848" s="46" t="s">
        <v>1888</v>
      </c>
      <c r="I848" s="45" t="s">
        <v>125</v>
      </c>
      <c r="J848" s="46" t="s">
        <v>127</v>
      </c>
      <c r="K848" s="46" t="s">
        <v>127</v>
      </c>
      <c r="L848" s="46" t="s">
        <v>12</v>
      </c>
      <c r="M848" s="46" t="s">
        <v>10</v>
      </c>
      <c r="N848" s="46" t="s">
        <v>11</v>
      </c>
      <c r="O848" s="49" t="s">
        <v>815</v>
      </c>
      <c r="P848" s="46" t="s">
        <v>507</v>
      </c>
      <c r="Q848" s="35" t="str">
        <f>MID(Tabla1[[#This Row],[Aplicación]],14,1)</f>
        <v>2</v>
      </c>
      <c r="R848" s="35" t="s">
        <v>495</v>
      </c>
      <c r="S848" s="35" t="str">
        <f>MID(Tabla1[[#This Row],[Aplicación]],6,2)</f>
        <v>03</v>
      </c>
      <c r="T848" s="35" t="str">
        <f>VLOOKUP(Tabla1[[#This Row],[AREA]],Hoja1!A:B,2,FALSE)</f>
        <v>03. Participación ciudadana y deportes</v>
      </c>
      <c r="U848" s="35" t="str">
        <f>MID(Tabla1[[#This Row],[Aplicación]],9,4)</f>
        <v>9241</v>
      </c>
      <c r="V848" s="35" t="str">
        <f>VLOOKUP(Tabla1[[#This Row],[PROGRAMA]],Hoja1!A:B,2,FALSE)</f>
        <v>9241. Participación ciudadana</v>
      </c>
      <c r="W848" s="35" t="str">
        <f>MID(Tabla1[[#This Row],[Aplicación]],14,2)</f>
        <v>21</v>
      </c>
      <c r="X848" s="35" t="str">
        <f>MID(Tabla1[[#This Row],[Aplicación]],14,6)</f>
        <v>213</v>
      </c>
    </row>
    <row r="849" spans="1:24" x14ac:dyDescent="0.25">
      <c r="A849" s="45">
        <v>220210000490</v>
      </c>
      <c r="B849" s="46" t="s">
        <v>9</v>
      </c>
      <c r="C849" s="47">
        <v>44221</v>
      </c>
      <c r="D849" s="45">
        <v>22021001237</v>
      </c>
      <c r="E849" s="46" t="s">
        <v>1415</v>
      </c>
      <c r="F849" s="48">
        <v>1781.5</v>
      </c>
      <c r="G849" s="46" t="s">
        <v>38</v>
      </c>
      <c r="H849" s="46" t="s">
        <v>1889</v>
      </c>
      <c r="I849" s="45" t="s">
        <v>125</v>
      </c>
      <c r="J849" s="46" t="s">
        <v>127</v>
      </c>
      <c r="K849" s="46" t="s">
        <v>127</v>
      </c>
      <c r="L849" s="46" t="s">
        <v>12</v>
      </c>
      <c r="M849" s="46" t="s">
        <v>10</v>
      </c>
      <c r="N849" s="46" t="s">
        <v>11</v>
      </c>
      <c r="O849" s="49" t="s">
        <v>815</v>
      </c>
      <c r="P849" s="46" t="s">
        <v>507</v>
      </c>
      <c r="Q849" s="35" t="str">
        <f>MID(Tabla1[[#This Row],[Aplicación]],14,1)</f>
        <v>2</v>
      </c>
      <c r="R849" s="35" t="s">
        <v>495</v>
      </c>
      <c r="S849" s="35" t="str">
        <f>MID(Tabla1[[#This Row],[Aplicación]],6,2)</f>
        <v>10</v>
      </c>
      <c r="T849" s="35" t="str">
        <f>VLOOKUP(Tabla1[[#This Row],[AREA]],Hoja1!A:B,2,FALSE)</f>
        <v>10. Servicios sociales y mediación comunitaria</v>
      </c>
      <c r="U849" s="35" t="str">
        <f>MID(Tabla1[[#This Row],[Aplicación]],9,4)</f>
        <v>2312</v>
      </c>
      <c r="V849" s="35" t="str">
        <f>VLOOKUP(Tabla1[[#This Row],[PROGRAMA]],Hoja1!A:B,2,FALSE)</f>
        <v>2312. Iniciativas sociales</v>
      </c>
      <c r="W849" s="35" t="str">
        <f>MID(Tabla1[[#This Row],[Aplicación]],14,2)</f>
        <v>22</v>
      </c>
      <c r="X849" s="35" t="str">
        <f>MID(Tabla1[[#This Row],[Aplicación]],14,6)</f>
        <v>22799</v>
      </c>
    </row>
    <row r="850" spans="1:24" x14ac:dyDescent="0.25">
      <c r="A850" s="45">
        <v>220210006059</v>
      </c>
      <c r="B850" s="46" t="s">
        <v>9</v>
      </c>
      <c r="C850" s="47">
        <v>44251</v>
      </c>
      <c r="D850" s="45">
        <v>22021002880</v>
      </c>
      <c r="E850" s="46" t="s">
        <v>1163</v>
      </c>
      <c r="F850" s="48">
        <v>264.01</v>
      </c>
      <c r="G850" s="46" t="s">
        <v>295</v>
      </c>
      <c r="H850" s="46" t="s">
        <v>1890</v>
      </c>
      <c r="I850" s="45" t="s">
        <v>125</v>
      </c>
      <c r="J850" s="46" t="s">
        <v>203</v>
      </c>
      <c r="K850" s="46" t="s">
        <v>203</v>
      </c>
      <c r="L850" s="46" t="s">
        <v>15</v>
      </c>
      <c r="M850" s="46" t="s">
        <v>10</v>
      </c>
      <c r="N850" s="46" t="s">
        <v>11</v>
      </c>
      <c r="O850" s="49" t="s">
        <v>815</v>
      </c>
      <c r="P850" s="46" t="s">
        <v>507</v>
      </c>
      <c r="Q850" s="35" t="str">
        <f>MID(Tabla1[[#This Row],[Aplicación]],14,1)</f>
        <v>2</v>
      </c>
      <c r="R850" s="35" t="s">
        <v>495</v>
      </c>
      <c r="S850" s="35" t="str">
        <f>MID(Tabla1[[#This Row],[Aplicación]],6,2)</f>
        <v>06</v>
      </c>
      <c r="T850" s="35" t="str">
        <f>VLOOKUP(Tabla1[[#This Row],[AREA]],Hoja1!A:B,2,FALSE)</f>
        <v>06. Educación, infancia, juventud e igualdad</v>
      </c>
      <c r="U850" s="35" t="str">
        <f>MID(Tabla1[[#This Row],[Aplicación]],9,4)</f>
        <v>3321</v>
      </c>
      <c r="V850" s="35" t="str">
        <f>VLOOKUP(Tabla1[[#This Row],[PROGRAMA]],Hoja1!A:B,2,FALSE)</f>
        <v>3321. Bibliotecas públicas</v>
      </c>
      <c r="W850" s="35" t="str">
        <f>MID(Tabla1[[#This Row],[Aplicación]],14,2)</f>
        <v>22</v>
      </c>
      <c r="X850" s="35" t="str">
        <f>MID(Tabla1[[#This Row],[Aplicación]],14,6)</f>
        <v>22001</v>
      </c>
    </row>
    <row r="851" spans="1:24" x14ac:dyDescent="0.25">
      <c r="A851" s="45">
        <v>220210007173</v>
      </c>
      <c r="B851" s="46" t="s">
        <v>9</v>
      </c>
      <c r="C851" s="47">
        <v>44263</v>
      </c>
      <c r="D851" s="45">
        <v>22021003184</v>
      </c>
      <c r="E851" s="46" t="s">
        <v>1438</v>
      </c>
      <c r="F851" s="48">
        <v>75</v>
      </c>
      <c r="G851" s="46" t="s">
        <v>1891</v>
      </c>
      <c r="H851" s="46" t="s">
        <v>1892</v>
      </c>
      <c r="I851" s="45" t="s">
        <v>125</v>
      </c>
      <c r="J851" s="46" t="s">
        <v>126</v>
      </c>
      <c r="K851" s="46" t="s">
        <v>126</v>
      </c>
      <c r="L851" s="46" t="s">
        <v>15</v>
      </c>
      <c r="M851" s="46" t="s">
        <v>10</v>
      </c>
      <c r="N851" s="46" t="s">
        <v>11</v>
      </c>
      <c r="O851" s="49" t="s">
        <v>815</v>
      </c>
      <c r="P851" s="46" t="s">
        <v>507</v>
      </c>
      <c r="Q851" s="35" t="str">
        <f>MID(Tabla1[[#This Row],[Aplicación]],14,1)</f>
        <v>2</v>
      </c>
      <c r="R851" s="35" t="s">
        <v>495</v>
      </c>
      <c r="S851" s="35" t="str">
        <f>MID(Tabla1[[#This Row],[Aplicación]],6,2)</f>
        <v>01</v>
      </c>
      <c r="T851" s="35" t="str">
        <f>VLOOKUP(Tabla1[[#This Row],[AREA]],Hoja1!A:B,2,FALSE)</f>
        <v>01. Alcaldía</v>
      </c>
      <c r="U851" s="35" t="str">
        <f>MID(Tabla1[[#This Row],[Aplicación]],9,4)</f>
        <v>9206</v>
      </c>
      <c r="V851" s="35" t="str">
        <f>VLOOKUP(Tabla1[[#This Row],[PROGRAMA]],Hoja1!A:B,2,FALSE)</f>
        <v>9206. Archivo municipal</v>
      </c>
      <c r="W851" s="35" t="str">
        <f>MID(Tabla1[[#This Row],[Aplicación]],14,2)</f>
        <v>22</v>
      </c>
      <c r="X851" s="35" t="str">
        <f>MID(Tabla1[[#This Row],[Aplicación]],14,6)</f>
        <v>22001</v>
      </c>
    </row>
    <row r="852" spans="1:24" x14ac:dyDescent="0.25">
      <c r="A852" s="45">
        <v>220210000511</v>
      </c>
      <c r="B852" s="46" t="s">
        <v>9</v>
      </c>
      <c r="C852" s="47">
        <v>44221</v>
      </c>
      <c r="D852" s="45">
        <v>22021001685</v>
      </c>
      <c r="E852" s="46" t="s">
        <v>823</v>
      </c>
      <c r="F852" s="48">
        <v>2420</v>
      </c>
      <c r="G852" s="46" t="s">
        <v>1893</v>
      </c>
      <c r="H852" s="46" t="s">
        <v>1894</v>
      </c>
      <c r="I852" s="45" t="s">
        <v>125</v>
      </c>
      <c r="J852" s="46" t="s">
        <v>127</v>
      </c>
      <c r="K852" s="46" t="s">
        <v>127</v>
      </c>
      <c r="L852" s="46" t="s">
        <v>12</v>
      </c>
      <c r="M852" s="46" t="s">
        <v>10</v>
      </c>
      <c r="N852" s="46" t="s">
        <v>11</v>
      </c>
      <c r="O852" s="49" t="s">
        <v>815</v>
      </c>
      <c r="P852" s="46" t="s">
        <v>507</v>
      </c>
      <c r="Q852" s="35" t="str">
        <f>MID(Tabla1[[#This Row],[Aplicación]],14,1)</f>
        <v>2</v>
      </c>
      <c r="R852" s="35" t="s">
        <v>495</v>
      </c>
      <c r="S852" s="35" t="str">
        <f>MID(Tabla1[[#This Row],[Aplicación]],6,2)</f>
        <v>03</v>
      </c>
      <c r="T852" s="35" t="str">
        <f>VLOOKUP(Tabla1[[#This Row],[AREA]],Hoja1!A:B,2,FALSE)</f>
        <v>03. Participación ciudadana y deportes</v>
      </c>
      <c r="U852" s="35" t="str">
        <f>MID(Tabla1[[#This Row],[Aplicación]],9,4)</f>
        <v>9241</v>
      </c>
      <c r="V852" s="35" t="str">
        <f>VLOOKUP(Tabla1[[#This Row],[PROGRAMA]],Hoja1!A:B,2,FALSE)</f>
        <v>9241. Participación ciudadana</v>
      </c>
      <c r="W852" s="35" t="str">
        <f>MID(Tabla1[[#This Row],[Aplicación]],14,2)</f>
        <v>22</v>
      </c>
      <c r="X852" s="35" t="str">
        <f>MID(Tabla1[[#This Row],[Aplicación]],14,6)</f>
        <v>22609</v>
      </c>
    </row>
    <row r="853" spans="1:24" x14ac:dyDescent="0.25">
      <c r="A853" s="45">
        <v>220210007105</v>
      </c>
      <c r="B853" s="46" t="s">
        <v>9</v>
      </c>
      <c r="C853" s="47">
        <v>44260</v>
      </c>
      <c r="D853" s="45">
        <v>22021003057</v>
      </c>
      <c r="E853" s="46" t="s">
        <v>1596</v>
      </c>
      <c r="F853" s="48">
        <v>1984.4</v>
      </c>
      <c r="G853" s="46" t="s">
        <v>1895</v>
      </c>
      <c r="H853" s="46" t="s">
        <v>1896</v>
      </c>
      <c r="I853" s="45" t="s">
        <v>125</v>
      </c>
      <c r="J853" s="46" t="s">
        <v>642</v>
      </c>
      <c r="K853" s="46" t="s">
        <v>160</v>
      </c>
      <c r="L853" s="46" t="s">
        <v>12</v>
      </c>
      <c r="M853" s="46" t="s">
        <v>10</v>
      </c>
      <c r="N853" s="46" t="s">
        <v>11</v>
      </c>
      <c r="O853" s="49" t="s">
        <v>815</v>
      </c>
      <c r="P853" s="46" t="s">
        <v>507</v>
      </c>
      <c r="Q853" s="35" t="str">
        <f>MID(Tabla1[[#This Row],[Aplicación]],14,1)</f>
        <v>2</v>
      </c>
      <c r="R853" s="35" t="s">
        <v>495</v>
      </c>
      <c r="S853" s="35" t="str">
        <f>MID(Tabla1[[#This Row],[Aplicación]],6,2)</f>
        <v>11</v>
      </c>
      <c r="T853" s="35" t="str">
        <f>VLOOKUP(Tabla1[[#This Row],[AREA]],Hoja1!A:B,2,FALSE)</f>
        <v>11. Salud pública y seguridad ciudadana</v>
      </c>
      <c r="U853" s="35" t="str">
        <f>MID(Tabla1[[#This Row],[Aplicación]],9,4)</f>
        <v>1321</v>
      </c>
      <c r="V853" s="35" t="str">
        <f>VLOOKUP(Tabla1[[#This Row],[PROGRAMA]],Hoja1!A:B,2,FALSE)</f>
        <v>1321. Policía municipal</v>
      </c>
      <c r="W853" s="35" t="str">
        <f>MID(Tabla1[[#This Row],[Aplicación]],14,2)</f>
        <v>22</v>
      </c>
      <c r="X853" s="35" t="str">
        <f>MID(Tabla1[[#This Row],[Aplicación]],14,6)</f>
        <v>22699</v>
      </c>
    </row>
    <row r="854" spans="1:24" x14ac:dyDescent="0.25">
      <c r="A854" s="45">
        <v>220210002988</v>
      </c>
      <c r="B854" s="46" t="s">
        <v>204</v>
      </c>
      <c r="C854" s="47">
        <v>44238</v>
      </c>
      <c r="D854" s="45">
        <v>22021002089</v>
      </c>
      <c r="E854" s="46" t="s">
        <v>1220</v>
      </c>
      <c r="F854" s="48">
        <v>27.79</v>
      </c>
      <c r="G854" s="46" t="s">
        <v>150</v>
      </c>
      <c r="H854" s="46" t="s">
        <v>1897</v>
      </c>
      <c r="I854" s="45" t="s">
        <v>205</v>
      </c>
      <c r="J854" s="46" t="s">
        <v>146</v>
      </c>
      <c r="K854" s="46" t="s">
        <v>146</v>
      </c>
      <c r="L854" s="46" t="s">
        <v>15</v>
      </c>
      <c r="M854" s="46" t="s">
        <v>13</v>
      </c>
      <c r="N854" s="46" t="s">
        <v>16</v>
      </c>
      <c r="O854" s="49" t="s">
        <v>814</v>
      </c>
      <c r="P854" s="46" t="s">
        <v>507</v>
      </c>
      <c r="Q854" s="35" t="str">
        <f>MID(Tabla1[[#This Row],[Aplicación]],14,1)</f>
        <v>2</v>
      </c>
      <c r="R854" s="35" t="s">
        <v>495</v>
      </c>
      <c r="S854" s="35" t="str">
        <f>MID(Tabla1[[#This Row],[Aplicación]],6,2)</f>
        <v>03</v>
      </c>
      <c r="T854" s="35" t="str">
        <f>VLOOKUP(Tabla1[[#This Row],[AREA]],Hoja1!A:B,2,FALSE)</f>
        <v>03. Participación ciudadana y deportes</v>
      </c>
      <c r="U854" s="35" t="str">
        <f>MID(Tabla1[[#This Row],[Aplicación]],9,4)</f>
        <v>9241</v>
      </c>
      <c r="V854" s="35" t="str">
        <f>VLOOKUP(Tabla1[[#This Row],[PROGRAMA]],Hoja1!A:B,2,FALSE)</f>
        <v>9241. Participación ciudadana</v>
      </c>
      <c r="W854" s="35" t="str">
        <f>MID(Tabla1[[#This Row],[Aplicación]],14,2)</f>
        <v>21</v>
      </c>
      <c r="X854" s="35" t="str">
        <f>MID(Tabla1[[#This Row],[Aplicación]],14,6)</f>
        <v>213</v>
      </c>
    </row>
    <row r="855" spans="1:24" x14ac:dyDescent="0.25">
      <c r="A855" s="45">
        <v>220210004126</v>
      </c>
      <c r="B855" s="46" t="s">
        <v>204</v>
      </c>
      <c r="C855" s="47">
        <v>44244</v>
      </c>
      <c r="D855" s="45">
        <v>22021002371</v>
      </c>
      <c r="E855" s="46" t="s">
        <v>1336</v>
      </c>
      <c r="F855" s="48">
        <v>205.63</v>
      </c>
      <c r="G855" s="46" t="s">
        <v>150</v>
      </c>
      <c r="H855" s="46" t="s">
        <v>1898</v>
      </c>
      <c r="I855" s="45" t="s">
        <v>205</v>
      </c>
      <c r="J855" s="46" t="s">
        <v>146</v>
      </c>
      <c r="K855" s="46" t="s">
        <v>146</v>
      </c>
      <c r="L855" s="46" t="s">
        <v>15</v>
      </c>
      <c r="M855" s="46" t="s">
        <v>13</v>
      </c>
      <c r="N855" s="46" t="s">
        <v>14</v>
      </c>
      <c r="O855" s="49" t="s">
        <v>814</v>
      </c>
      <c r="P855" s="46" t="s">
        <v>507</v>
      </c>
      <c r="Q855" s="35" t="str">
        <f>MID(Tabla1[[#This Row],[Aplicación]],14,1)</f>
        <v>2</v>
      </c>
      <c r="R855" s="35" t="s">
        <v>495</v>
      </c>
      <c r="S855" s="35" t="str">
        <f>MID(Tabla1[[#This Row],[Aplicación]],6,2)</f>
        <v>02</v>
      </c>
      <c r="T855" s="35" t="str">
        <f>VLOOKUP(Tabla1[[#This Row],[AREA]],Hoja1!A:B,2,FALSE)</f>
        <v>02. Planeamiento urbanístico y vivienda</v>
      </c>
      <c r="U855" s="35" t="str">
        <f>MID(Tabla1[[#This Row],[Aplicación]],9,4)</f>
        <v>9332</v>
      </c>
      <c r="V855" s="35" t="str">
        <f>VLOOKUP(Tabla1[[#This Row],[PROGRAMA]],Hoja1!A:B,2,FALSE)</f>
        <v>9332. Mantenimiento de edificios e instalaciones municipales</v>
      </c>
      <c r="W855" s="35" t="str">
        <f>MID(Tabla1[[#This Row],[Aplicación]],14,2)</f>
        <v>21</v>
      </c>
      <c r="X855" s="35" t="str">
        <f>MID(Tabla1[[#This Row],[Aplicación]],14,6)</f>
        <v>212</v>
      </c>
    </row>
    <row r="856" spans="1:24" x14ac:dyDescent="0.25">
      <c r="A856" s="45">
        <v>220210008512</v>
      </c>
      <c r="B856" s="46" t="s">
        <v>204</v>
      </c>
      <c r="C856" s="47">
        <v>44266</v>
      </c>
      <c r="D856" s="45">
        <v>22021002089</v>
      </c>
      <c r="E856" s="46" t="s">
        <v>1220</v>
      </c>
      <c r="F856" s="48">
        <v>60.98</v>
      </c>
      <c r="G856" s="46" t="s">
        <v>150</v>
      </c>
      <c r="H856" s="46" t="s">
        <v>1899</v>
      </c>
      <c r="I856" s="45" t="s">
        <v>205</v>
      </c>
      <c r="J856" s="46" t="s">
        <v>146</v>
      </c>
      <c r="K856" s="46" t="s">
        <v>146</v>
      </c>
      <c r="L856" s="46" t="s">
        <v>15</v>
      </c>
      <c r="M856" s="46" t="s">
        <v>13</v>
      </c>
      <c r="N856" s="46" t="s">
        <v>16</v>
      </c>
      <c r="O856" s="49" t="s">
        <v>814</v>
      </c>
      <c r="P856" s="46" t="s">
        <v>507</v>
      </c>
      <c r="Q856" s="35" t="str">
        <f>MID(Tabla1[[#This Row],[Aplicación]],14,1)</f>
        <v>2</v>
      </c>
      <c r="R856" s="35" t="s">
        <v>495</v>
      </c>
      <c r="S856" s="35" t="str">
        <f>MID(Tabla1[[#This Row],[Aplicación]],6,2)</f>
        <v>03</v>
      </c>
      <c r="T856" s="35" t="str">
        <f>VLOOKUP(Tabla1[[#This Row],[AREA]],Hoja1!A:B,2,FALSE)</f>
        <v>03. Participación ciudadana y deportes</v>
      </c>
      <c r="U856" s="35" t="str">
        <f>MID(Tabla1[[#This Row],[Aplicación]],9,4)</f>
        <v>9241</v>
      </c>
      <c r="V856" s="35" t="str">
        <f>VLOOKUP(Tabla1[[#This Row],[PROGRAMA]],Hoja1!A:B,2,FALSE)</f>
        <v>9241. Participación ciudadana</v>
      </c>
      <c r="W856" s="35" t="str">
        <f>MID(Tabla1[[#This Row],[Aplicación]],14,2)</f>
        <v>21</v>
      </c>
      <c r="X856" s="35" t="str">
        <f>MID(Tabla1[[#This Row],[Aplicación]],14,6)</f>
        <v>213</v>
      </c>
    </row>
    <row r="857" spans="1:24" x14ac:dyDescent="0.25">
      <c r="A857" s="45">
        <v>220210009404</v>
      </c>
      <c r="B857" s="46" t="s">
        <v>204</v>
      </c>
      <c r="C857" s="47">
        <v>44271</v>
      </c>
      <c r="D857" s="45">
        <v>22021002006</v>
      </c>
      <c r="E857" s="46" t="s">
        <v>1310</v>
      </c>
      <c r="F857" s="48">
        <v>282.7</v>
      </c>
      <c r="G857" s="46" t="s">
        <v>150</v>
      </c>
      <c r="H857" s="46" t="s">
        <v>1900</v>
      </c>
      <c r="I857" s="45" t="s">
        <v>205</v>
      </c>
      <c r="J857" s="46" t="s">
        <v>146</v>
      </c>
      <c r="K857" s="46" t="s">
        <v>146</v>
      </c>
      <c r="L857" s="46" t="s">
        <v>15</v>
      </c>
      <c r="M857" s="46" t="s">
        <v>13</v>
      </c>
      <c r="N857" s="46" t="s">
        <v>14</v>
      </c>
      <c r="O857" s="49" t="s">
        <v>814</v>
      </c>
      <c r="P857" s="46" t="s">
        <v>507</v>
      </c>
      <c r="Q857" s="35" t="str">
        <f>MID(Tabla1[[#This Row],[Aplicación]],14,1)</f>
        <v>2</v>
      </c>
      <c r="R857" s="35" t="s">
        <v>495</v>
      </c>
      <c r="S857" s="35" t="str">
        <f>MID(Tabla1[[#This Row],[Aplicación]],6,2)</f>
        <v>11</v>
      </c>
      <c r="T857" s="35" t="str">
        <f>VLOOKUP(Tabla1[[#This Row],[AREA]],Hoja1!A:B,2,FALSE)</f>
        <v>11. Salud pública y seguridad ciudadana</v>
      </c>
      <c r="U857" s="35" t="str">
        <f>MID(Tabla1[[#This Row],[Aplicación]],9,4)</f>
        <v>3111</v>
      </c>
      <c r="V857" s="35" t="str">
        <f>VLOOKUP(Tabla1[[#This Row],[PROGRAMA]],Hoja1!A:B,2,FALSE)</f>
        <v>3111. Protección de la salubridad pública</v>
      </c>
      <c r="W857" s="35" t="str">
        <f>MID(Tabla1[[#This Row],[Aplicación]],14,2)</f>
        <v>22</v>
      </c>
      <c r="X857" s="35" t="str">
        <f>MID(Tabla1[[#This Row],[Aplicación]],14,6)</f>
        <v>22199</v>
      </c>
    </row>
    <row r="858" spans="1:24" x14ac:dyDescent="0.25">
      <c r="A858" s="45">
        <v>220210010069</v>
      </c>
      <c r="B858" s="46" t="s">
        <v>204</v>
      </c>
      <c r="C858" s="47">
        <v>44273</v>
      </c>
      <c r="D858" s="45">
        <v>22021002144</v>
      </c>
      <c r="E858" s="46" t="s">
        <v>1328</v>
      </c>
      <c r="F858" s="48">
        <v>220.49</v>
      </c>
      <c r="G858" s="46" t="s">
        <v>150</v>
      </c>
      <c r="H858" s="46" t="s">
        <v>1901</v>
      </c>
      <c r="I858" s="45" t="s">
        <v>205</v>
      </c>
      <c r="J858" s="46" t="s">
        <v>146</v>
      </c>
      <c r="K858" s="46" t="s">
        <v>146</v>
      </c>
      <c r="L858" s="46" t="s">
        <v>15</v>
      </c>
      <c r="M858" s="46" t="s">
        <v>13</v>
      </c>
      <c r="N858" s="46" t="s">
        <v>14</v>
      </c>
      <c r="O858" s="49" t="s">
        <v>814</v>
      </c>
      <c r="P858" s="46" t="s">
        <v>507</v>
      </c>
      <c r="Q858" s="35" t="str">
        <f>MID(Tabla1[[#This Row],[Aplicación]],14,1)</f>
        <v>2</v>
      </c>
      <c r="R858" s="35" t="s">
        <v>495</v>
      </c>
      <c r="S858" s="35" t="str">
        <f>MID(Tabla1[[#This Row],[Aplicación]],6,2)</f>
        <v>10</v>
      </c>
      <c r="T858" s="35" t="str">
        <f>VLOOKUP(Tabla1[[#This Row],[AREA]],Hoja1!A:B,2,FALSE)</f>
        <v>10. Servicios sociales y mediación comunitaria</v>
      </c>
      <c r="U858" s="35" t="str">
        <f>MID(Tabla1[[#This Row],[Aplicación]],9,4)</f>
        <v>2311</v>
      </c>
      <c r="V858" s="35" t="str">
        <f>VLOOKUP(Tabla1[[#This Row],[PROGRAMA]],Hoja1!A:B,2,FALSE)</f>
        <v>2311. Intervención social</v>
      </c>
      <c r="W858" s="35" t="str">
        <f>MID(Tabla1[[#This Row],[Aplicación]],14,2)</f>
        <v>21</v>
      </c>
      <c r="X858" s="35" t="str">
        <f>MID(Tabla1[[#This Row],[Aplicación]],14,6)</f>
        <v>212</v>
      </c>
    </row>
    <row r="859" spans="1:24" x14ac:dyDescent="0.25">
      <c r="A859" s="45">
        <v>220210010147</v>
      </c>
      <c r="B859" s="46" t="s">
        <v>204</v>
      </c>
      <c r="C859" s="47">
        <v>44273</v>
      </c>
      <c r="D859" s="45">
        <v>22021003187</v>
      </c>
      <c r="E859" s="46" t="s">
        <v>1884</v>
      </c>
      <c r="F859" s="48">
        <v>76.680000000000007</v>
      </c>
      <c r="G859" s="46" t="s">
        <v>150</v>
      </c>
      <c r="H859" s="46" t="s">
        <v>1902</v>
      </c>
      <c r="I859" s="45" t="s">
        <v>205</v>
      </c>
      <c r="J859" s="46" t="s">
        <v>146</v>
      </c>
      <c r="K859" s="46" t="s">
        <v>146</v>
      </c>
      <c r="L859" s="46" t="s">
        <v>15</v>
      </c>
      <c r="M859" s="46" t="s">
        <v>13</v>
      </c>
      <c r="N859" s="46" t="s">
        <v>11</v>
      </c>
      <c r="O859" s="49" t="s">
        <v>814</v>
      </c>
      <c r="P859" s="46" t="s">
        <v>507</v>
      </c>
      <c r="Q859" s="35" t="str">
        <f>MID(Tabla1[[#This Row],[Aplicación]],14,1)</f>
        <v>2</v>
      </c>
      <c r="R859" s="35" t="s">
        <v>495</v>
      </c>
      <c r="S859" s="35" t="str">
        <f>MID(Tabla1[[#This Row],[Aplicación]],6,2)</f>
        <v>06</v>
      </c>
      <c r="T859" s="35" t="str">
        <f>VLOOKUP(Tabla1[[#This Row],[AREA]],Hoja1!A:B,2,FALSE)</f>
        <v>06. Educación, infancia, juventud e igualdad</v>
      </c>
      <c r="U859" s="35" t="str">
        <f>MID(Tabla1[[#This Row],[Aplicación]],9,4)</f>
        <v>2314</v>
      </c>
      <c r="V859" s="35" t="str">
        <f>VLOOKUP(Tabla1[[#This Row],[PROGRAMA]],Hoja1!A:B,2,FALSE)</f>
        <v>2314. Centro de programas juveniles</v>
      </c>
      <c r="W859" s="35" t="str">
        <f>MID(Tabla1[[#This Row],[Aplicación]],14,2)</f>
        <v>21</v>
      </c>
      <c r="X859" s="35" t="str">
        <f>MID(Tabla1[[#This Row],[Aplicación]],14,6)</f>
        <v>212</v>
      </c>
    </row>
    <row r="860" spans="1:24" x14ac:dyDescent="0.25">
      <c r="A860" s="45">
        <v>220210012886</v>
      </c>
      <c r="B860" s="46" t="s">
        <v>9</v>
      </c>
      <c r="C860" s="47">
        <v>44284</v>
      </c>
      <c r="D860" s="45">
        <v>22021003655</v>
      </c>
      <c r="E860" s="46" t="s">
        <v>1247</v>
      </c>
      <c r="F860" s="48">
        <v>5000</v>
      </c>
      <c r="G860" s="46" t="s">
        <v>1903</v>
      </c>
      <c r="H860" s="46" t="s">
        <v>1904</v>
      </c>
      <c r="I860" s="45" t="s">
        <v>125</v>
      </c>
      <c r="J860" s="46" t="s">
        <v>127</v>
      </c>
      <c r="K860" s="46" t="s">
        <v>127</v>
      </c>
      <c r="L860" s="46" t="s">
        <v>12</v>
      </c>
      <c r="M860" s="46" t="s">
        <v>10</v>
      </c>
      <c r="N860" s="46" t="s">
        <v>11</v>
      </c>
      <c r="O860" s="49" t="s">
        <v>815</v>
      </c>
      <c r="P860" s="46" t="s">
        <v>507</v>
      </c>
      <c r="Q860" s="35" t="str">
        <f>MID(Tabla1[[#This Row],[Aplicación]],14,1)</f>
        <v>2</v>
      </c>
      <c r="R860" s="35" t="s">
        <v>495</v>
      </c>
      <c r="S860" s="35" t="str">
        <f>MID(Tabla1[[#This Row],[Aplicación]],6,2)</f>
        <v>10</v>
      </c>
      <c r="T860" s="35" t="str">
        <f>VLOOKUP(Tabla1[[#This Row],[AREA]],Hoja1!A:B,2,FALSE)</f>
        <v>10. Servicios sociales y mediación comunitaria</v>
      </c>
      <c r="U860" s="35" t="str">
        <f>MID(Tabla1[[#This Row],[Aplicación]],9,4)</f>
        <v>2311</v>
      </c>
      <c r="V860" s="35" t="str">
        <f>VLOOKUP(Tabla1[[#This Row],[PROGRAMA]],Hoja1!A:B,2,FALSE)</f>
        <v>2311. Intervención social</v>
      </c>
      <c r="W860" s="35" t="str">
        <f>MID(Tabla1[[#This Row],[Aplicación]],14,2)</f>
        <v>22</v>
      </c>
      <c r="X860" s="35" t="str">
        <f>MID(Tabla1[[#This Row],[Aplicación]],14,6)</f>
        <v>22799</v>
      </c>
    </row>
    <row r="861" spans="1:24" x14ac:dyDescent="0.25">
      <c r="A861" s="45">
        <v>220210007202</v>
      </c>
      <c r="B861" s="46" t="s">
        <v>204</v>
      </c>
      <c r="C861" s="47">
        <v>44263</v>
      </c>
      <c r="D861" s="45">
        <v>22021002395</v>
      </c>
      <c r="E861" s="46" t="s">
        <v>1247</v>
      </c>
      <c r="F861" s="48">
        <v>491835.15</v>
      </c>
      <c r="G861" s="46" t="s">
        <v>517</v>
      </c>
      <c r="H861" s="46" t="s">
        <v>1905</v>
      </c>
      <c r="I861" s="45" t="s">
        <v>205</v>
      </c>
      <c r="J861" s="46" t="s">
        <v>127</v>
      </c>
      <c r="K861" s="46" t="s">
        <v>127</v>
      </c>
      <c r="L861" s="46" t="s">
        <v>12</v>
      </c>
      <c r="M861" s="46" t="s">
        <v>13</v>
      </c>
      <c r="N861" s="46" t="s">
        <v>14</v>
      </c>
      <c r="O861" s="49" t="s">
        <v>803</v>
      </c>
      <c r="P861" s="46" t="s">
        <v>507</v>
      </c>
      <c r="Q861" s="35" t="str">
        <f>MID(Tabla1[[#This Row],[Aplicación]],14,1)</f>
        <v>2</v>
      </c>
      <c r="R861" s="35" t="s">
        <v>495</v>
      </c>
      <c r="S861" s="35" t="str">
        <f>MID(Tabla1[[#This Row],[Aplicación]],6,2)</f>
        <v>10</v>
      </c>
      <c r="T861" s="35" t="str">
        <f>VLOOKUP(Tabla1[[#This Row],[AREA]],Hoja1!A:B,2,FALSE)</f>
        <v>10. Servicios sociales y mediación comunitaria</v>
      </c>
      <c r="U861" s="35" t="str">
        <f>MID(Tabla1[[#This Row],[Aplicación]],9,4)</f>
        <v>2311</v>
      </c>
      <c r="V861" s="35" t="str">
        <f>VLOOKUP(Tabla1[[#This Row],[PROGRAMA]],Hoja1!A:B,2,FALSE)</f>
        <v>2311. Intervención social</v>
      </c>
      <c r="W861" s="35" t="str">
        <f>MID(Tabla1[[#This Row],[Aplicación]],14,2)</f>
        <v>22</v>
      </c>
      <c r="X861" s="35" t="str">
        <f>MID(Tabla1[[#This Row],[Aplicación]],14,6)</f>
        <v>22799</v>
      </c>
    </row>
    <row r="862" spans="1:24" x14ac:dyDescent="0.25">
      <c r="A862" s="45">
        <v>220210006983</v>
      </c>
      <c r="B862" s="46" t="s">
        <v>9</v>
      </c>
      <c r="C862" s="47">
        <v>44259</v>
      </c>
      <c r="D862" s="45">
        <v>22021002995</v>
      </c>
      <c r="E862" s="46" t="s">
        <v>1247</v>
      </c>
      <c r="F862" s="48">
        <v>8000</v>
      </c>
      <c r="G862" s="46" t="s">
        <v>517</v>
      </c>
      <c r="H862" s="46" t="s">
        <v>1906</v>
      </c>
      <c r="I862" s="45" t="s">
        <v>125</v>
      </c>
      <c r="J862" s="46" t="s">
        <v>127</v>
      </c>
      <c r="K862" s="46" t="s">
        <v>127</v>
      </c>
      <c r="L862" s="46" t="s">
        <v>12</v>
      </c>
      <c r="M862" s="46" t="s">
        <v>10</v>
      </c>
      <c r="N862" s="46" t="s">
        <v>11</v>
      </c>
      <c r="O862" s="49" t="s">
        <v>815</v>
      </c>
      <c r="P862" s="46" t="s">
        <v>507</v>
      </c>
      <c r="Q862" s="35" t="str">
        <f>MID(Tabla1[[#This Row],[Aplicación]],14,1)</f>
        <v>2</v>
      </c>
      <c r="R862" s="35" t="s">
        <v>495</v>
      </c>
      <c r="S862" s="35" t="str">
        <f>MID(Tabla1[[#This Row],[Aplicación]],6,2)</f>
        <v>10</v>
      </c>
      <c r="T862" s="35" t="str">
        <f>VLOOKUP(Tabla1[[#This Row],[AREA]],Hoja1!A:B,2,FALSE)</f>
        <v>10. Servicios sociales y mediación comunitaria</v>
      </c>
      <c r="U862" s="35" t="str">
        <f>MID(Tabla1[[#This Row],[Aplicación]],9,4)</f>
        <v>2311</v>
      </c>
      <c r="V862" s="35" t="str">
        <f>VLOOKUP(Tabla1[[#This Row],[PROGRAMA]],Hoja1!A:B,2,FALSE)</f>
        <v>2311. Intervención social</v>
      </c>
      <c r="W862" s="35" t="str">
        <f>MID(Tabla1[[#This Row],[Aplicación]],14,2)</f>
        <v>22</v>
      </c>
      <c r="X862" s="35" t="str">
        <f>MID(Tabla1[[#This Row],[Aplicación]],14,6)</f>
        <v>22799</v>
      </c>
    </row>
    <row r="863" spans="1:24" x14ac:dyDescent="0.25">
      <c r="A863" s="45">
        <v>220209000730</v>
      </c>
      <c r="B863" s="46" t="s">
        <v>9</v>
      </c>
      <c r="C863" s="47">
        <v>44198</v>
      </c>
      <c r="D863" s="45">
        <v>22021002462</v>
      </c>
      <c r="E863" s="46" t="s">
        <v>1907</v>
      </c>
      <c r="F863" s="48">
        <v>1829885.97</v>
      </c>
      <c r="G863" s="46" t="s">
        <v>1908</v>
      </c>
      <c r="H863" s="46" t="s">
        <v>1909</v>
      </c>
      <c r="I863" s="45" t="s">
        <v>125</v>
      </c>
      <c r="J863" s="46" t="s">
        <v>126</v>
      </c>
      <c r="K863" s="46" t="s">
        <v>126</v>
      </c>
      <c r="L863" s="46" t="s">
        <v>12</v>
      </c>
      <c r="M863" s="46" t="s">
        <v>13</v>
      </c>
      <c r="N863" s="46" t="s">
        <v>14</v>
      </c>
      <c r="O863" s="49" t="s">
        <v>803</v>
      </c>
      <c r="P863" s="46" t="s">
        <v>507</v>
      </c>
      <c r="Q863" s="35" t="str">
        <f>MID(Tabla1[[#This Row],[Aplicación]],14,1)</f>
        <v>2</v>
      </c>
      <c r="R863" s="35" t="s">
        <v>495</v>
      </c>
      <c r="S863" s="35" t="str">
        <f>MID(Tabla1[[#This Row],[Aplicación]],6,2)</f>
        <v>06</v>
      </c>
      <c r="T863" s="35" t="str">
        <f>VLOOKUP(Tabla1[[#This Row],[AREA]],Hoja1!A:B,2,FALSE)</f>
        <v>06. Educación, infancia, juventud e igualdad</v>
      </c>
      <c r="U863" s="35" t="str">
        <f>MID(Tabla1[[#This Row],[Aplicación]],9,4)</f>
        <v>3232</v>
      </c>
      <c r="V863" s="35" t="str">
        <f>VLOOKUP(Tabla1[[#This Row],[PROGRAMA]],Hoja1!A:B,2,FALSE)</f>
        <v>3232. Conservación y mantenimiento centros educación infantil y primaria</v>
      </c>
      <c r="W863" s="35" t="str">
        <f>MID(Tabla1[[#This Row],[Aplicación]],14,2)</f>
        <v>22</v>
      </c>
      <c r="X863" s="35" t="str">
        <f>MID(Tabla1[[#This Row],[Aplicación]],14,6)</f>
        <v>22700</v>
      </c>
    </row>
    <row r="864" spans="1:24" x14ac:dyDescent="0.25">
      <c r="A864" s="45">
        <v>220199000159</v>
      </c>
      <c r="B864" s="46" t="s">
        <v>9</v>
      </c>
      <c r="C864" s="47">
        <v>44198</v>
      </c>
      <c r="D864" s="45">
        <v>22021000128</v>
      </c>
      <c r="E864" s="46" t="s">
        <v>1910</v>
      </c>
      <c r="F864" s="48">
        <v>6050</v>
      </c>
      <c r="G864" s="46" t="s">
        <v>551</v>
      </c>
      <c r="H864" s="46" t="s">
        <v>745</v>
      </c>
      <c r="I864" s="45" t="s">
        <v>125</v>
      </c>
      <c r="J864" s="46" t="s">
        <v>127</v>
      </c>
      <c r="K864" s="46" t="s">
        <v>127</v>
      </c>
      <c r="L864" s="46" t="s">
        <v>12</v>
      </c>
      <c r="M864" s="46" t="s">
        <v>25</v>
      </c>
      <c r="N864" s="46" t="s">
        <v>11</v>
      </c>
      <c r="O864" s="49" t="s">
        <v>805</v>
      </c>
      <c r="P864" s="46" t="s">
        <v>507</v>
      </c>
      <c r="Q864" s="35" t="str">
        <f>MID(Tabla1[[#This Row],[Aplicación]],14,1)</f>
        <v>2</v>
      </c>
      <c r="R864" s="35" t="s">
        <v>495</v>
      </c>
      <c r="S864" s="35" t="str">
        <f>MID(Tabla1[[#This Row],[Aplicación]],6,2)</f>
        <v>10</v>
      </c>
      <c r="T864" s="35" t="str">
        <f>VLOOKUP(Tabla1[[#This Row],[AREA]],Hoja1!A:B,2,FALSE)</f>
        <v>10. Servicios sociales y mediación comunitaria</v>
      </c>
      <c r="U864" s="35" t="str">
        <f>MID(Tabla1[[#This Row],[Aplicación]],9,4)</f>
        <v>2311</v>
      </c>
      <c r="V864" s="35" t="str">
        <f>VLOOKUP(Tabla1[[#This Row],[PROGRAMA]],Hoja1!A:B,2,FALSE)</f>
        <v>2311. Intervención social</v>
      </c>
      <c r="W864" s="35" t="str">
        <f>MID(Tabla1[[#This Row],[Aplicación]],14,2)</f>
        <v>22</v>
      </c>
      <c r="X864" s="35" t="str">
        <f>MID(Tabla1[[#This Row],[Aplicación]],14,6)</f>
        <v>22706</v>
      </c>
    </row>
    <row r="865" spans="1:24" x14ac:dyDescent="0.25">
      <c r="A865" s="45">
        <v>220210004019</v>
      </c>
      <c r="B865" s="46" t="s">
        <v>9</v>
      </c>
      <c r="C865" s="47">
        <v>44244</v>
      </c>
      <c r="D865" s="45">
        <v>22021002452</v>
      </c>
      <c r="E865" s="46" t="s">
        <v>1172</v>
      </c>
      <c r="F865" s="48">
        <v>35100.01</v>
      </c>
      <c r="G865" s="46" t="s">
        <v>1911</v>
      </c>
      <c r="H865" s="46" t="s">
        <v>1912</v>
      </c>
      <c r="I865" s="45" t="s">
        <v>125</v>
      </c>
      <c r="J865" s="46" t="s">
        <v>127</v>
      </c>
      <c r="K865" s="46" t="s">
        <v>127</v>
      </c>
      <c r="L865" s="46" t="s">
        <v>31</v>
      </c>
      <c r="M865" s="46" t="s">
        <v>10</v>
      </c>
      <c r="N865" s="46" t="s">
        <v>11</v>
      </c>
      <c r="O865" s="49" t="s">
        <v>815</v>
      </c>
      <c r="P865" s="46" t="s">
        <v>507</v>
      </c>
      <c r="Q865" s="35" t="str">
        <f>MID(Tabla1[[#This Row],[Aplicación]],14,1)</f>
        <v>6</v>
      </c>
      <c r="R865" s="35" t="s">
        <v>496</v>
      </c>
      <c r="S865" s="35" t="str">
        <f>MID(Tabla1[[#This Row],[Aplicación]],6,2)</f>
        <v>02</v>
      </c>
      <c r="T865" s="35" t="str">
        <f>VLOOKUP(Tabla1[[#This Row],[AREA]],Hoja1!A:B,2,FALSE)</f>
        <v>02. Planeamiento urbanístico y vivienda</v>
      </c>
      <c r="U865" s="35" t="str">
        <f>MID(Tabla1[[#This Row],[Aplicación]],9,4)</f>
        <v>9332</v>
      </c>
      <c r="V865" s="35" t="str">
        <f>VLOOKUP(Tabla1[[#This Row],[PROGRAMA]],Hoja1!A:B,2,FALSE)</f>
        <v>9332. Mantenimiento de edificios e instalaciones municipales</v>
      </c>
      <c r="W865" s="35" t="str">
        <f>MID(Tabla1[[#This Row],[Aplicación]],14,2)</f>
        <v>63</v>
      </c>
      <c r="X865" s="35" t="str">
        <f>MID(Tabla1[[#This Row],[Aplicación]],14,6)</f>
        <v>632</v>
      </c>
    </row>
    <row r="866" spans="1:24" x14ac:dyDescent="0.25">
      <c r="A866" s="45">
        <v>220199000697</v>
      </c>
      <c r="B866" s="46" t="s">
        <v>9</v>
      </c>
      <c r="C866" s="47">
        <v>44198</v>
      </c>
      <c r="D866" s="45">
        <v>22021000168</v>
      </c>
      <c r="E866" s="46" t="s">
        <v>1913</v>
      </c>
      <c r="F866" s="48">
        <v>770000</v>
      </c>
      <c r="G866" s="46" t="s">
        <v>601</v>
      </c>
      <c r="H866" s="46" t="s">
        <v>602</v>
      </c>
      <c r="I866" s="45" t="s">
        <v>125</v>
      </c>
      <c r="J866" s="46" t="s">
        <v>603</v>
      </c>
      <c r="K866" s="46" t="s">
        <v>126</v>
      </c>
      <c r="L866" s="46" t="s">
        <v>12</v>
      </c>
      <c r="M866" s="46" t="s">
        <v>13</v>
      </c>
      <c r="N866" s="46" t="s">
        <v>14</v>
      </c>
      <c r="O866" s="49" t="s">
        <v>803</v>
      </c>
      <c r="P866" s="46" t="s">
        <v>507</v>
      </c>
      <c r="Q866" s="35" t="str">
        <f>MID(Tabla1[[#This Row],[Aplicación]],14,1)</f>
        <v>2</v>
      </c>
      <c r="R866" s="35" t="s">
        <v>495</v>
      </c>
      <c r="S866" s="35" t="str">
        <f>MID(Tabla1[[#This Row],[Aplicación]],6,2)</f>
        <v>11</v>
      </c>
      <c r="T866" s="35" t="str">
        <f>VLOOKUP(Tabla1[[#This Row],[AREA]],Hoja1!A:B,2,FALSE)</f>
        <v>11. Salud pública y seguridad ciudadana</v>
      </c>
      <c r="U866" s="35" t="str">
        <f>MID(Tabla1[[#This Row],[Aplicación]],9,4)</f>
        <v>1321</v>
      </c>
      <c r="V866" s="35" t="str">
        <f>VLOOKUP(Tabla1[[#This Row],[PROGRAMA]],Hoja1!A:B,2,FALSE)</f>
        <v>1321. Policía municipal</v>
      </c>
      <c r="W866" s="35" t="str">
        <f>MID(Tabla1[[#This Row],[Aplicación]],14,2)</f>
        <v>22</v>
      </c>
      <c r="X866" s="35" t="str">
        <f>MID(Tabla1[[#This Row],[Aplicación]],14,6)</f>
        <v>22701</v>
      </c>
    </row>
    <row r="867" spans="1:24" x14ac:dyDescent="0.25">
      <c r="A867" s="45">
        <v>220199000358</v>
      </c>
      <c r="B867" s="46" t="s">
        <v>9</v>
      </c>
      <c r="C867" s="47">
        <v>44198</v>
      </c>
      <c r="D867" s="45">
        <v>22021000703</v>
      </c>
      <c r="E867" s="46" t="s">
        <v>1196</v>
      </c>
      <c r="F867" s="48">
        <v>2514.38</v>
      </c>
      <c r="G867" s="46" t="s">
        <v>121</v>
      </c>
      <c r="H867" s="46" t="s">
        <v>703</v>
      </c>
      <c r="I867" s="45" t="s">
        <v>125</v>
      </c>
      <c r="J867" s="46" t="s">
        <v>664</v>
      </c>
      <c r="K867" s="46" t="s">
        <v>127</v>
      </c>
      <c r="L867" s="46" t="s">
        <v>12</v>
      </c>
      <c r="M867" s="46" t="s">
        <v>10</v>
      </c>
      <c r="N867" s="46" t="s">
        <v>11</v>
      </c>
      <c r="O867" s="49" t="s">
        <v>815</v>
      </c>
      <c r="P867" s="46" t="s">
        <v>507</v>
      </c>
      <c r="Q867" s="35" t="str">
        <f>MID(Tabla1[[#This Row],[Aplicación]],14,1)</f>
        <v>6</v>
      </c>
      <c r="R867" s="35" t="s">
        <v>496</v>
      </c>
      <c r="S867" s="35" t="str">
        <f>MID(Tabla1[[#This Row],[Aplicación]],6,2)</f>
        <v>08</v>
      </c>
      <c r="T867" s="35" t="str">
        <f>VLOOKUP(Tabla1[[#This Row],[AREA]],Hoja1!A:B,2,FALSE)</f>
        <v>08. Movilidad y espacio urbano</v>
      </c>
      <c r="U867" s="35" t="str">
        <f>MID(Tabla1[[#This Row],[Aplicación]],9,4)</f>
        <v>1341</v>
      </c>
      <c r="V867" s="35" t="str">
        <f>VLOOKUP(Tabla1[[#This Row],[PROGRAMA]],Hoja1!A:B,2,FALSE)</f>
        <v>1341. Movilidad</v>
      </c>
      <c r="W867" s="35" t="str">
        <f>MID(Tabla1[[#This Row],[Aplicación]],14,2)</f>
        <v>61</v>
      </c>
      <c r="X867" s="35" t="str">
        <f>MID(Tabla1[[#This Row],[Aplicación]],14,6)</f>
        <v>619</v>
      </c>
    </row>
    <row r="868" spans="1:24" x14ac:dyDescent="0.25">
      <c r="A868" s="45">
        <v>220199000359</v>
      </c>
      <c r="B868" s="46" t="s">
        <v>9</v>
      </c>
      <c r="C868" s="47">
        <v>44198</v>
      </c>
      <c r="D868" s="45">
        <v>22021000704</v>
      </c>
      <c r="E868" s="46" t="s">
        <v>1196</v>
      </c>
      <c r="F868" s="48">
        <v>6914.52</v>
      </c>
      <c r="G868" s="46" t="s">
        <v>121</v>
      </c>
      <c r="H868" s="46" t="s">
        <v>685</v>
      </c>
      <c r="I868" s="45" t="s">
        <v>125</v>
      </c>
      <c r="J868" s="46" t="s">
        <v>664</v>
      </c>
      <c r="K868" s="46" t="s">
        <v>127</v>
      </c>
      <c r="L868" s="46" t="s">
        <v>12</v>
      </c>
      <c r="M868" s="46" t="s">
        <v>10</v>
      </c>
      <c r="N868" s="46" t="s">
        <v>11</v>
      </c>
      <c r="O868" s="49" t="s">
        <v>815</v>
      </c>
      <c r="P868" s="46" t="s">
        <v>507</v>
      </c>
      <c r="Q868" s="35" t="str">
        <f>MID(Tabla1[[#This Row],[Aplicación]],14,1)</f>
        <v>6</v>
      </c>
      <c r="R868" s="35" t="s">
        <v>496</v>
      </c>
      <c r="S868" s="35" t="str">
        <f>MID(Tabla1[[#This Row],[Aplicación]],6,2)</f>
        <v>08</v>
      </c>
      <c r="T868" s="35" t="str">
        <f>VLOOKUP(Tabla1[[#This Row],[AREA]],Hoja1!A:B,2,FALSE)</f>
        <v>08. Movilidad y espacio urbano</v>
      </c>
      <c r="U868" s="35" t="str">
        <f>MID(Tabla1[[#This Row],[Aplicación]],9,4)</f>
        <v>1341</v>
      </c>
      <c r="V868" s="35" t="str">
        <f>VLOOKUP(Tabla1[[#This Row],[PROGRAMA]],Hoja1!A:B,2,FALSE)</f>
        <v>1341. Movilidad</v>
      </c>
      <c r="W868" s="35" t="str">
        <f>MID(Tabla1[[#This Row],[Aplicación]],14,2)</f>
        <v>61</v>
      </c>
      <c r="X868" s="35" t="str">
        <f>MID(Tabla1[[#This Row],[Aplicación]],14,6)</f>
        <v>619</v>
      </c>
    </row>
    <row r="869" spans="1:24" x14ac:dyDescent="0.25">
      <c r="A869" s="45">
        <v>220209000232</v>
      </c>
      <c r="B869" s="46" t="s">
        <v>9</v>
      </c>
      <c r="C869" s="47">
        <v>44198</v>
      </c>
      <c r="D869" s="45">
        <v>22021000725</v>
      </c>
      <c r="E869" s="46" t="s">
        <v>1513</v>
      </c>
      <c r="F869" s="48">
        <v>15194.83</v>
      </c>
      <c r="G869" s="46" t="s">
        <v>121</v>
      </c>
      <c r="H869" s="46" t="s">
        <v>1914</v>
      </c>
      <c r="I869" s="45" t="s">
        <v>125</v>
      </c>
      <c r="J869" s="46" t="s">
        <v>664</v>
      </c>
      <c r="K869" s="46" t="s">
        <v>127</v>
      </c>
      <c r="L869" s="46" t="s">
        <v>12</v>
      </c>
      <c r="M869" s="46" t="s">
        <v>10</v>
      </c>
      <c r="N869" s="46" t="s">
        <v>11</v>
      </c>
      <c r="O869" s="49" t="s">
        <v>815</v>
      </c>
      <c r="P869" s="46" t="s">
        <v>507</v>
      </c>
      <c r="Q869" s="35" t="str">
        <f>MID(Tabla1[[#This Row],[Aplicación]],14,1)</f>
        <v>6</v>
      </c>
      <c r="R869" s="35" t="s">
        <v>496</v>
      </c>
      <c r="S869" s="35" t="str">
        <f>MID(Tabla1[[#This Row],[Aplicación]],6,2)</f>
        <v>06</v>
      </c>
      <c r="T869" s="35" t="str">
        <f>VLOOKUP(Tabla1[[#This Row],[AREA]],Hoja1!A:B,2,FALSE)</f>
        <v>06. Educación, infancia, juventud e igualdad</v>
      </c>
      <c r="U869" s="35" t="str">
        <f>MID(Tabla1[[#This Row],[Aplicación]],9,4)</f>
        <v>3321</v>
      </c>
      <c r="V869" s="35" t="str">
        <f>VLOOKUP(Tabla1[[#This Row],[PROGRAMA]],Hoja1!A:B,2,FALSE)</f>
        <v>3321. Bibliotecas públicas</v>
      </c>
      <c r="W869" s="35" t="str">
        <f>MID(Tabla1[[#This Row],[Aplicación]],14,2)</f>
        <v>62</v>
      </c>
      <c r="X869" s="35" t="str">
        <f>MID(Tabla1[[#This Row],[Aplicación]],14,6)</f>
        <v>622</v>
      </c>
    </row>
    <row r="870" spans="1:24" x14ac:dyDescent="0.25">
      <c r="A870" s="45">
        <v>220209000235</v>
      </c>
      <c r="B870" s="46" t="s">
        <v>9</v>
      </c>
      <c r="C870" s="47">
        <v>44198</v>
      </c>
      <c r="D870" s="45">
        <v>22021000728</v>
      </c>
      <c r="E870" s="46" t="s">
        <v>1371</v>
      </c>
      <c r="F870" s="48">
        <v>19891.41</v>
      </c>
      <c r="G870" s="46" t="s">
        <v>121</v>
      </c>
      <c r="H870" s="46" t="s">
        <v>1915</v>
      </c>
      <c r="I870" s="45" t="s">
        <v>125</v>
      </c>
      <c r="J870" s="46" t="s">
        <v>664</v>
      </c>
      <c r="K870" s="46" t="s">
        <v>127</v>
      </c>
      <c r="L870" s="46" t="s">
        <v>12</v>
      </c>
      <c r="M870" s="46" t="s">
        <v>13</v>
      </c>
      <c r="N870" s="46" t="s">
        <v>14</v>
      </c>
      <c r="O870" s="49" t="s">
        <v>803</v>
      </c>
      <c r="P870" s="46" t="s">
        <v>507</v>
      </c>
      <c r="Q870" s="35" t="str">
        <f>MID(Tabla1[[#This Row],[Aplicación]],14,1)</f>
        <v>6</v>
      </c>
      <c r="R870" s="35" t="s">
        <v>496</v>
      </c>
      <c r="S870" s="35" t="str">
        <f>MID(Tabla1[[#This Row],[Aplicación]],6,2)</f>
        <v>10</v>
      </c>
      <c r="T870" s="35" t="str">
        <f>VLOOKUP(Tabla1[[#This Row],[AREA]],Hoja1!A:B,2,FALSE)</f>
        <v>10. Servicios sociales y mediación comunitaria</v>
      </c>
      <c r="U870" s="35" t="str">
        <f>MID(Tabla1[[#This Row],[Aplicación]],9,4)</f>
        <v>2312</v>
      </c>
      <c r="V870" s="35" t="str">
        <f>VLOOKUP(Tabla1[[#This Row],[PROGRAMA]],Hoja1!A:B,2,FALSE)</f>
        <v>2312. Iniciativas sociales</v>
      </c>
      <c r="W870" s="35" t="str">
        <f>MID(Tabla1[[#This Row],[Aplicación]],14,2)</f>
        <v>62</v>
      </c>
      <c r="X870" s="35" t="str">
        <f>MID(Tabla1[[#This Row],[Aplicación]],14,6)</f>
        <v>622</v>
      </c>
    </row>
    <row r="871" spans="1:24" x14ac:dyDescent="0.25">
      <c r="A871" s="45">
        <v>220209000836</v>
      </c>
      <c r="B871" s="46" t="s">
        <v>9</v>
      </c>
      <c r="C871" s="47">
        <v>44198</v>
      </c>
      <c r="D871" s="45">
        <v>22021001287</v>
      </c>
      <c r="E871" s="46" t="s">
        <v>1542</v>
      </c>
      <c r="F871" s="48">
        <v>2203.86</v>
      </c>
      <c r="G871" s="46" t="s">
        <v>121</v>
      </c>
      <c r="H871" s="46" t="s">
        <v>1916</v>
      </c>
      <c r="I871" s="45" t="s">
        <v>125</v>
      </c>
      <c r="J871" s="46" t="s">
        <v>664</v>
      </c>
      <c r="K871" s="46" t="s">
        <v>127</v>
      </c>
      <c r="L871" s="46" t="s">
        <v>12</v>
      </c>
      <c r="M871" s="46" t="s">
        <v>10</v>
      </c>
      <c r="N871" s="46" t="s">
        <v>11</v>
      </c>
      <c r="O871" s="49" t="s">
        <v>815</v>
      </c>
      <c r="P871" s="46" t="s">
        <v>507</v>
      </c>
      <c r="Q871" s="35" t="str">
        <f>MID(Tabla1[[#This Row],[Aplicación]],14,1)</f>
        <v>6</v>
      </c>
      <c r="R871" s="35" t="s">
        <v>496</v>
      </c>
      <c r="S871" s="35" t="str">
        <f>MID(Tabla1[[#This Row],[Aplicación]],6,2)</f>
        <v>05</v>
      </c>
      <c r="T871" s="35" t="str">
        <f>VLOOKUP(Tabla1[[#This Row],[AREA]],Hoja1!A:B,2,FALSE)</f>
        <v>05. Innovación, desarrollo económico, empleo y comercio</v>
      </c>
      <c r="U871" s="35" t="str">
        <f>MID(Tabla1[[#This Row],[Aplicación]],9,4)</f>
        <v>4331</v>
      </c>
      <c r="V871" s="35" t="str">
        <f>VLOOKUP(Tabla1[[#This Row],[PROGRAMA]],Hoja1!A:B,2,FALSE)</f>
        <v>4331. Desarrollo empresarial</v>
      </c>
      <c r="W871" s="35" t="str">
        <f>MID(Tabla1[[#This Row],[Aplicación]],14,2)</f>
        <v>60</v>
      </c>
      <c r="X871" s="35" t="str">
        <f>MID(Tabla1[[#This Row],[Aplicación]],14,6)</f>
        <v>609</v>
      </c>
    </row>
    <row r="872" spans="1:24" x14ac:dyDescent="0.25">
      <c r="A872" s="45">
        <v>220209000839</v>
      </c>
      <c r="B872" s="46" t="s">
        <v>9</v>
      </c>
      <c r="C872" s="47">
        <v>44198</v>
      </c>
      <c r="D872" s="45">
        <v>22021001290</v>
      </c>
      <c r="E872" s="46" t="s">
        <v>1542</v>
      </c>
      <c r="F872" s="48">
        <v>4536.99</v>
      </c>
      <c r="G872" s="46" t="s">
        <v>121</v>
      </c>
      <c r="H872" s="46" t="s">
        <v>1917</v>
      </c>
      <c r="I872" s="45" t="s">
        <v>125</v>
      </c>
      <c r="J872" s="46" t="s">
        <v>664</v>
      </c>
      <c r="K872" s="46" t="s">
        <v>127</v>
      </c>
      <c r="L872" s="46" t="s">
        <v>12</v>
      </c>
      <c r="M872" s="46" t="s">
        <v>10</v>
      </c>
      <c r="N872" s="46" t="s">
        <v>11</v>
      </c>
      <c r="O872" s="49" t="s">
        <v>815</v>
      </c>
      <c r="P872" s="46" t="s">
        <v>507</v>
      </c>
      <c r="Q872" s="35" t="str">
        <f>MID(Tabla1[[#This Row],[Aplicación]],14,1)</f>
        <v>6</v>
      </c>
      <c r="R872" s="35" t="s">
        <v>496</v>
      </c>
      <c r="S872" s="35" t="str">
        <f>MID(Tabla1[[#This Row],[Aplicación]],6,2)</f>
        <v>05</v>
      </c>
      <c r="T872" s="35" t="str">
        <f>VLOOKUP(Tabla1[[#This Row],[AREA]],Hoja1!A:B,2,FALSE)</f>
        <v>05. Innovación, desarrollo económico, empleo y comercio</v>
      </c>
      <c r="U872" s="35" t="str">
        <f>MID(Tabla1[[#This Row],[Aplicación]],9,4)</f>
        <v>4331</v>
      </c>
      <c r="V872" s="35" t="str">
        <f>VLOOKUP(Tabla1[[#This Row],[PROGRAMA]],Hoja1!A:B,2,FALSE)</f>
        <v>4331. Desarrollo empresarial</v>
      </c>
      <c r="W872" s="35" t="str">
        <f>MID(Tabla1[[#This Row],[Aplicación]],14,2)</f>
        <v>60</v>
      </c>
      <c r="X872" s="35" t="str">
        <f>MID(Tabla1[[#This Row],[Aplicación]],14,6)</f>
        <v>609</v>
      </c>
    </row>
    <row r="873" spans="1:24" x14ac:dyDescent="0.25">
      <c r="A873" s="45">
        <v>220210004240</v>
      </c>
      <c r="B873" s="46" t="s">
        <v>9</v>
      </c>
      <c r="C873" s="47">
        <v>44245</v>
      </c>
      <c r="D873" s="45">
        <v>22021002824</v>
      </c>
      <c r="E873" s="46" t="s">
        <v>1918</v>
      </c>
      <c r="F873" s="48">
        <v>7187.4</v>
      </c>
      <c r="G873" s="46" t="s">
        <v>121</v>
      </c>
      <c r="H873" s="46" t="s">
        <v>1919</v>
      </c>
      <c r="I873" s="45" t="s">
        <v>125</v>
      </c>
      <c r="J873" s="46" t="s">
        <v>664</v>
      </c>
      <c r="K873" s="46" t="s">
        <v>127</v>
      </c>
      <c r="L873" s="46" t="s">
        <v>12</v>
      </c>
      <c r="M873" s="46" t="s">
        <v>10</v>
      </c>
      <c r="N873" s="46" t="s">
        <v>11</v>
      </c>
      <c r="O873" s="49" t="s">
        <v>815</v>
      </c>
      <c r="P873" s="46" t="s">
        <v>507</v>
      </c>
      <c r="Q873" s="35" t="str">
        <f>MID(Tabla1[[#This Row],[Aplicación]],14,1)</f>
        <v>2</v>
      </c>
      <c r="R873" s="35" t="s">
        <v>495</v>
      </c>
      <c r="S873" s="35" t="str">
        <f>MID(Tabla1[[#This Row],[Aplicación]],6,2)</f>
        <v>06</v>
      </c>
      <c r="T873" s="35" t="str">
        <f>VLOOKUP(Tabla1[[#This Row],[AREA]],Hoja1!A:B,2,FALSE)</f>
        <v>06. Educación, infancia, juventud e igualdad</v>
      </c>
      <c r="U873" s="35" t="str">
        <f>MID(Tabla1[[#This Row],[Aplicación]],9,4)</f>
        <v>3231</v>
      </c>
      <c r="V873" s="35" t="str">
        <f>VLOOKUP(Tabla1[[#This Row],[PROGRAMA]],Hoja1!A:B,2,FALSE)</f>
        <v>3231. Escuelas infantiles</v>
      </c>
      <c r="W873" s="35" t="str">
        <f>MID(Tabla1[[#This Row],[Aplicación]],14,2)</f>
        <v>22</v>
      </c>
      <c r="X873" s="35" t="str">
        <f>MID(Tabla1[[#This Row],[Aplicación]],14,6)</f>
        <v>22706</v>
      </c>
    </row>
    <row r="874" spans="1:24" x14ac:dyDescent="0.25">
      <c r="A874" s="45">
        <v>220199000356</v>
      </c>
      <c r="B874" s="46" t="s">
        <v>9</v>
      </c>
      <c r="C874" s="47">
        <v>44198</v>
      </c>
      <c r="D874" s="45">
        <v>22021000701</v>
      </c>
      <c r="E874" s="46" t="s">
        <v>1196</v>
      </c>
      <c r="F874" s="48">
        <v>464.66</v>
      </c>
      <c r="G874" s="46" t="s">
        <v>120</v>
      </c>
      <c r="H874" s="46" t="s">
        <v>739</v>
      </c>
      <c r="I874" s="45" t="s">
        <v>125</v>
      </c>
      <c r="J874" s="46" t="s">
        <v>126</v>
      </c>
      <c r="K874" s="46" t="s">
        <v>126</v>
      </c>
      <c r="L874" s="46" t="s">
        <v>12</v>
      </c>
      <c r="M874" s="46" t="s">
        <v>10</v>
      </c>
      <c r="N874" s="46" t="s">
        <v>11</v>
      </c>
      <c r="O874" s="49" t="s">
        <v>815</v>
      </c>
      <c r="P874" s="46" t="s">
        <v>507</v>
      </c>
      <c r="Q874" s="35" t="str">
        <f>MID(Tabla1[[#This Row],[Aplicación]],14,1)</f>
        <v>6</v>
      </c>
      <c r="R874" s="35" t="s">
        <v>496</v>
      </c>
      <c r="S874" s="35" t="str">
        <f>MID(Tabla1[[#This Row],[Aplicación]],6,2)</f>
        <v>08</v>
      </c>
      <c r="T874" s="35" t="str">
        <f>VLOOKUP(Tabla1[[#This Row],[AREA]],Hoja1!A:B,2,FALSE)</f>
        <v>08. Movilidad y espacio urbano</v>
      </c>
      <c r="U874" s="35" t="str">
        <f>MID(Tabla1[[#This Row],[Aplicación]],9,4)</f>
        <v>1341</v>
      </c>
      <c r="V874" s="35" t="str">
        <f>VLOOKUP(Tabla1[[#This Row],[PROGRAMA]],Hoja1!A:B,2,FALSE)</f>
        <v>1341. Movilidad</v>
      </c>
      <c r="W874" s="35" t="str">
        <f>MID(Tabla1[[#This Row],[Aplicación]],14,2)</f>
        <v>61</v>
      </c>
      <c r="X874" s="35" t="str">
        <f>MID(Tabla1[[#This Row],[Aplicación]],14,6)</f>
        <v>619</v>
      </c>
    </row>
    <row r="875" spans="1:24" x14ac:dyDescent="0.25">
      <c r="A875" s="45">
        <v>220199000357</v>
      </c>
      <c r="B875" s="46" t="s">
        <v>9</v>
      </c>
      <c r="C875" s="47">
        <v>44198</v>
      </c>
      <c r="D875" s="45">
        <v>22021000702</v>
      </c>
      <c r="E875" s="46" t="s">
        <v>1196</v>
      </c>
      <c r="F875" s="48">
        <v>1277.8</v>
      </c>
      <c r="G875" s="46" t="s">
        <v>120</v>
      </c>
      <c r="H875" s="46" t="s">
        <v>723</v>
      </c>
      <c r="I875" s="45" t="s">
        <v>125</v>
      </c>
      <c r="J875" s="46" t="s">
        <v>126</v>
      </c>
      <c r="K875" s="46" t="s">
        <v>126</v>
      </c>
      <c r="L875" s="46" t="s">
        <v>12</v>
      </c>
      <c r="M875" s="46" t="s">
        <v>10</v>
      </c>
      <c r="N875" s="46" t="s">
        <v>11</v>
      </c>
      <c r="O875" s="49" t="s">
        <v>815</v>
      </c>
      <c r="P875" s="46" t="s">
        <v>507</v>
      </c>
      <c r="Q875" s="35" t="str">
        <f>MID(Tabla1[[#This Row],[Aplicación]],14,1)</f>
        <v>6</v>
      </c>
      <c r="R875" s="35" t="s">
        <v>496</v>
      </c>
      <c r="S875" s="35" t="str">
        <f>MID(Tabla1[[#This Row],[Aplicación]],6,2)</f>
        <v>08</v>
      </c>
      <c r="T875" s="35" t="str">
        <f>VLOOKUP(Tabla1[[#This Row],[AREA]],Hoja1!A:B,2,FALSE)</f>
        <v>08. Movilidad y espacio urbano</v>
      </c>
      <c r="U875" s="35" t="str">
        <f>MID(Tabla1[[#This Row],[Aplicación]],9,4)</f>
        <v>1341</v>
      </c>
      <c r="V875" s="35" t="str">
        <f>VLOOKUP(Tabla1[[#This Row],[PROGRAMA]],Hoja1!A:B,2,FALSE)</f>
        <v>1341. Movilidad</v>
      </c>
      <c r="W875" s="35" t="str">
        <f>MID(Tabla1[[#This Row],[Aplicación]],14,2)</f>
        <v>61</v>
      </c>
      <c r="X875" s="35" t="str">
        <f>MID(Tabla1[[#This Row],[Aplicación]],14,6)</f>
        <v>619</v>
      </c>
    </row>
    <row r="876" spans="1:24" x14ac:dyDescent="0.25">
      <c r="A876" s="45">
        <v>220209000233</v>
      </c>
      <c r="B876" s="46" t="s">
        <v>9</v>
      </c>
      <c r="C876" s="47">
        <v>44198</v>
      </c>
      <c r="D876" s="45">
        <v>22021000726</v>
      </c>
      <c r="E876" s="46" t="s">
        <v>1513</v>
      </c>
      <c r="F876" s="48">
        <v>4680.01</v>
      </c>
      <c r="G876" s="46" t="s">
        <v>120</v>
      </c>
      <c r="H876" s="46" t="s">
        <v>1920</v>
      </c>
      <c r="I876" s="45" t="s">
        <v>125</v>
      </c>
      <c r="J876" s="46" t="s">
        <v>126</v>
      </c>
      <c r="K876" s="46" t="s">
        <v>126</v>
      </c>
      <c r="L876" s="46" t="s">
        <v>12</v>
      </c>
      <c r="M876" s="46" t="s">
        <v>10</v>
      </c>
      <c r="N876" s="46" t="s">
        <v>11</v>
      </c>
      <c r="O876" s="49" t="s">
        <v>815</v>
      </c>
      <c r="P876" s="46" t="s">
        <v>507</v>
      </c>
      <c r="Q876" s="35" t="str">
        <f>MID(Tabla1[[#This Row],[Aplicación]],14,1)</f>
        <v>6</v>
      </c>
      <c r="R876" s="35" t="s">
        <v>496</v>
      </c>
      <c r="S876" s="35" t="str">
        <f>MID(Tabla1[[#This Row],[Aplicación]],6,2)</f>
        <v>06</v>
      </c>
      <c r="T876" s="35" t="str">
        <f>VLOOKUP(Tabla1[[#This Row],[AREA]],Hoja1!A:B,2,FALSE)</f>
        <v>06. Educación, infancia, juventud e igualdad</v>
      </c>
      <c r="U876" s="35" t="str">
        <f>MID(Tabla1[[#This Row],[Aplicación]],9,4)</f>
        <v>3321</v>
      </c>
      <c r="V876" s="35" t="str">
        <f>VLOOKUP(Tabla1[[#This Row],[PROGRAMA]],Hoja1!A:B,2,FALSE)</f>
        <v>3321. Bibliotecas públicas</v>
      </c>
      <c r="W876" s="35" t="str">
        <f>MID(Tabla1[[#This Row],[Aplicación]],14,2)</f>
        <v>62</v>
      </c>
      <c r="X876" s="35" t="str">
        <f>MID(Tabla1[[#This Row],[Aplicación]],14,6)</f>
        <v>622</v>
      </c>
    </row>
    <row r="877" spans="1:24" x14ac:dyDescent="0.25">
      <c r="A877" s="45">
        <v>220209000236</v>
      </c>
      <c r="B877" s="46" t="s">
        <v>9</v>
      </c>
      <c r="C877" s="47">
        <v>44198</v>
      </c>
      <c r="D877" s="45">
        <v>22021000729</v>
      </c>
      <c r="E877" s="46" t="s">
        <v>1371</v>
      </c>
      <c r="F877" s="48">
        <v>6126.55</v>
      </c>
      <c r="G877" s="46" t="s">
        <v>120</v>
      </c>
      <c r="H877" s="46" t="s">
        <v>1921</v>
      </c>
      <c r="I877" s="45" t="s">
        <v>125</v>
      </c>
      <c r="J877" s="46" t="s">
        <v>126</v>
      </c>
      <c r="K877" s="46" t="s">
        <v>126</v>
      </c>
      <c r="L877" s="46" t="s">
        <v>12</v>
      </c>
      <c r="M877" s="46" t="s">
        <v>10</v>
      </c>
      <c r="N877" s="46" t="s">
        <v>11</v>
      </c>
      <c r="O877" s="49" t="s">
        <v>815</v>
      </c>
      <c r="P877" s="46" t="s">
        <v>507</v>
      </c>
      <c r="Q877" s="35" t="str">
        <f>MID(Tabla1[[#This Row],[Aplicación]],14,1)</f>
        <v>6</v>
      </c>
      <c r="R877" s="35" t="s">
        <v>496</v>
      </c>
      <c r="S877" s="35" t="str">
        <f>MID(Tabla1[[#This Row],[Aplicación]],6,2)</f>
        <v>10</v>
      </c>
      <c r="T877" s="35" t="str">
        <f>VLOOKUP(Tabla1[[#This Row],[AREA]],Hoja1!A:B,2,FALSE)</f>
        <v>10. Servicios sociales y mediación comunitaria</v>
      </c>
      <c r="U877" s="35" t="str">
        <f>MID(Tabla1[[#This Row],[Aplicación]],9,4)</f>
        <v>2312</v>
      </c>
      <c r="V877" s="35" t="str">
        <f>VLOOKUP(Tabla1[[#This Row],[PROGRAMA]],Hoja1!A:B,2,FALSE)</f>
        <v>2312. Iniciativas sociales</v>
      </c>
      <c r="W877" s="35" t="str">
        <f>MID(Tabla1[[#This Row],[Aplicación]],14,2)</f>
        <v>62</v>
      </c>
      <c r="X877" s="35" t="str">
        <f>MID(Tabla1[[#This Row],[Aplicación]],14,6)</f>
        <v>622</v>
      </c>
    </row>
    <row r="878" spans="1:24" x14ac:dyDescent="0.25">
      <c r="A878" s="45">
        <v>220209000625</v>
      </c>
      <c r="B878" s="46" t="s">
        <v>9</v>
      </c>
      <c r="C878" s="47">
        <v>44198</v>
      </c>
      <c r="D878" s="45">
        <v>22021000747</v>
      </c>
      <c r="E878" s="46" t="s">
        <v>1542</v>
      </c>
      <c r="F878" s="48">
        <v>82.46</v>
      </c>
      <c r="G878" s="46" t="s">
        <v>120</v>
      </c>
      <c r="H878" s="46" t="s">
        <v>1922</v>
      </c>
      <c r="I878" s="45" t="s">
        <v>125</v>
      </c>
      <c r="J878" s="46" t="s">
        <v>126</v>
      </c>
      <c r="K878" s="46" t="s">
        <v>126</v>
      </c>
      <c r="L878" s="46" t="s">
        <v>12</v>
      </c>
      <c r="M878" s="46" t="s">
        <v>10</v>
      </c>
      <c r="N878" s="46" t="s">
        <v>11</v>
      </c>
      <c r="O878" s="49" t="s">
        <v>815</v>
      </c>
      <c r="P878" s="46" t="s">
        <v>507</v>
      </c>
      <c r="Q878" s="35" t="str">
        <f>MID(Tabla1[[#This Row],[Aplicación]],14,1)</f>
        <v>6</v>
      </c>
      <c r="R878" s="35" t="s">
        <v>496</v>
      </c>
      <c r="S878" s="35" t="str">
        <f>MID(Tabla1[[#This Row],[Aplicación]],6,2)</f>
        <v>05</v>
      </c>
      <c r="T878" s="35" t="str">
        <f>VLOOKUP(Tabla1[[#This Row],[AREA]],Hoja1!A:B,2,FALSE)</f>
        <v>05. Innovación, desarrollo económico, empleo y comercio</v>
      </c>
      <c r="U878" s="35" t="str">
        <f>MID(Tabla1[[#This Row],[Aplicación]],9,4)</f>
        <v>4331</v>
      </c>
      <c r="V878" s="35" t="str">
        <f>VLOOKUP(Tabla1[[#This Row],[PROGRAMA]],Hoja1!A:B,2,FALSE)</f>
        <v>4331. Desarrollo empresarial</v>
      </c>
      <c r="W878" s="35" t="str">
        <f>MID(Tabla1[[#This Row],[Aplicación]],14,2)</f>
        <v>60</v>
      </c>
      <c r="X878" s="35" t="str">
        <f>MID(Tabla1[[#This Row],[Aplicación]],14,6)</f>
        <v>609</v>
      </c>
    </row>
    <row r="879" spans="1:24" x14ac:dyDescent="0.25">
      <c r="A879" s="45">
        <v>220209000837</v>
      </c>
      <c r="B879" s="46" t="s">
        <v>9</v>
      </c>
      <c r="C879" s="47">
        <v>44198</v>
      </c>
      <c r="D879" s="45">
        <v>22021001288</v>
      </c>
      <c r="E879" s="46" t="s">
        <v>1542</v>
      </c>
      <c r="F879" s="48">
        <v>343.78</v>
      </c>
      <c r="G879" s="46" t="s">
        <v>120</v>
      </c>
      <c r="H879" s="46" t="s">
        <v>1923</v>
      </c>
      <c r="I879" s="45" t="s">
        <v>125</v>
      </c>
      <c r="J879" s="46" t="s">
        <v>126</v>
      </c>
      <c r="K879" s="46" t="s">
        <v>126</v>
      </c>
      <c r="L879" s="46" t="s">
        <v>12</v>
      </c>
      <c r="M879" s="46" t="s">
        <v>10</v>
      </c>
      <c r="N879" s="46" t="s">
        <v>11</v>
      </c>
      <c r="O879" s="49" t="s">
        <v>815</v>
      </c>
      <c r="P879" s="46" t="s">
        <v>507</v>
      </c>
      <c r="Q879" s="35" t="str">
        <f>MID(Tabla1[[#This Row],[Aplicación]],14,1)</f>
        <v>6</v>
      </c>
      <c r="R879" s="35" t="s">
        <v>496</v>
      </c>
      <c r="S879" s="35" t="str">
        <f>MID(Tabla1[[#This Row],[Aplicación]],6,2)</f>
        <v>05</v>
      </c>
      <c r="T879" s="35" t="str">
        <f>VLOOKUP(Tabla1[[#This Row],[AREA]],Hoja1!A:B,2,FALSE)</f>
        <v>05. Innovación, desarrollo económico, empleo y comercio</v>
      </c>
      <c r="U879" s="35" t="str">
        <f>MID(Tabla1[[#This Row],[Aplicación]],9,4)</f>
        <v>4331</v>
      </c>
      <c r="V879" s="35" t="str">
        <f>VLOOKUP(Tabla1[[#This Row],[PROGRAMA]],Hoja1!A:B,2,FALSE)</f>
        <v>4331. Desarrollo empresarial</v>
      </c>
      <c r="W879" s="35" t="str">
        <f>MID(Tabla1[[#This Row],[Aplicación]],14,2)</f>
        <v>60</v>
      </c>
      <c r="X879" s="35" t="str">
        <f>MID(Tabla1[[#This Row],[Aplicación]],14,6)</f>
        <v>609</v>
      </c>
    </row>
    <row r="880" spans="1:24" x14ac:dyDescent="0.25">
      <c r="A880" s="45">
        <v>220209000840</v>
      </c>
      <c r="B880" s="46" t="s">
        <v>9</v>
      </c>
      <c r="C880" s="47">
        <v>44198</v>
      </c>
      <c r="D880" s="45">
        <v>22021001291</v>
      </c>
      <c r="E880" s="46" t="s">
        <v>1542</v>
      </c>
      <c r="F880" s="48">
        <v>778.49</v>
      </c>
      <c r="G880" s="46" t="s">
        <v>120</v>
      </c>
      <c r="H880" s="46" t="s">
        <v>1924</v>
      </c>
      <c r="I880" s="45" t="s">
        <v>125</v>
      </c>
      <c r="J880" s="46" t="s">
        <v>126</v>
      </c>
      <c r="K880" s="46" t="s">
        <v>126</v>
      </c>
      <c r="L880" s="46" t="s">
        <v>12</v>
      </c>
      <c r="M880" s="46" t="s">
        <v>10</v>
      </c>
      <c r="N880" s="46" t="s">
        <v>11</v>
      </c>
      <c r="O880" s="49" t="s">
        <v>815</v>
      </c>
      <c r="P880" s="46" t="s">
        <v>507</v>
      </c>
      <c r="Q880" s="35" t="str">
        <f>MID(Tabla1[[#This Row],[Aplicación]],14,1)</f>
        <v>6</v>
      </c>
      <c r="R880" s="35" t="s">
        <v>496</v>
      </c>
      <c r="S880" s="35" t="str">
        <f>MID(Tabla1[[#This Row],[Aplicación]],6,2)</f>
        <v>05</v>
      </c>
      <c r="T880" s="35" t="str">
        <f>VLOOKUP(Tabla1[[#This Row],[AREA]],Hoja1!A:B,2,FALSE)</f>
        <v>05. Innovación, desarrollo económico, empleo y comercio</v>
      </c>
      <c r="U880" s="35" t="str">
        <f>MID(Tabla1[[#This Row],[Aplicación]],9,4)</f>
        <v>4331</v>
      </c>
      <c r="V880" s="35" t="str">
        <f>VLOOKUP(Tabla1[[#This Row],[PROGRAMA]],Hoja1!A:B,2,FALSE)</f>
        <v>4331. Desarrollo empresarial</v>
      </c>
      <c r="W880" s="35" t="str">
        <f>MID(Tabla1[[#This Row],[Aplicación]],14,2)</f>
        <v>60</v>
      </c>
      <c r="X880" s="35" t="str">
        <f>MID(Tabla1[[#This Row],[Aplicación]],14,6)</f>
        <v>609</v>
      </c>
    </row>
    <row r="881" spans="1:24" x14ac:dyDescent="0.25">
      <c r="A881" s="45">
        <v>220209000854</v>
      </c>
      <c r="B881" s="46" t="s">
        <v>9</v>
      </c>
      <c r="C881" s="47">
        <v>44198</v>
      </c>
      <c r="D881" s="45">
        <v>22021001893</v>
      </c>
      <c r="E881" s="46" t="s">
        <v>1487</v>
      </c>
      <c r="F881" s="48">
        <v>5047.0600000000004</v>
      </c>
      <c r="G881" s="46" t="s">
        <v>120</v>
      </c>
      <c r="H881" s="46" t="s">
        <v>1925</v>
      </c>
      <c r="I881" s="45" t="s">
        <v>125</v>
      </c>
      <c r="J881" s="46" t="s">
        <v>126</v>
      </c>
      <c r="K881" s="46" t="s">
        <v>126</v>
      </c>
      <c r="L881" s="46" t="s">
        <v>12</v>
      </c>
      <c r="M881" s="46" t="s">
        <v>10</v>
      </c>
      <c r="N881" s="46" t="s">
        <v>11</v>
      </c>
      <c r="O881" s="49" t="s">
        <v>815</v>
      </c>
      <c r="P881" s="46" t="s">
        <v>507</v>
      </c>
      <c r="Q881" s="35" t="str">
        <f>MID(Tabla1[[#This Row],[Aplicación]],14,1)</f>
        <v>6</v>
      </c>
      <c r="R881" s="35" t="s">
        <v>496</v>
      </c>
      <c r="S881" s="35" t="str">
        <f>MID(Tabla1[[#This Row],[Aplicación]],6,2)</f>
        <v>08</v>
      </c>
      <c r="T881" s="35" t="str">
        <f>VLOOKUP(Tabla1[[#This Row],[AREA]],Hoja1!A:B,2,FALSE)</f>
        <v>08. Movilidad y espacio urbano</v>
      </c>
      <c r="U881" s="35" t="str">
        <f>MID(Tabla1[[#This Row],[Aplicación]],9,4)</f>
        <v>1532</v>
      </c>
      <c r="V881" s="35" t="str">
        <f>VLOOKUP(Tabla1[[#This Row],[PROGRAMA]],Hoja1!A:B,2,FALSE)</f>
        <v>1532. Pavimentación vias públicas y otros servicios urbanísticos</v>
      </c>
      <c r="W881" s="35" t="str">
        <f>MID(Tabla1[[#This Row],[Aplicación]],14,2)</f>
        <v>61</v>
      </c>
      <c r="X881" s="35" t="str">
        <f>MID(Tabla1[[#This Row],[Aplicación]],14,6)</f>
        <v>619</v>
      </c>
    </row>
    <row r="882" spans="1:24" x14ac:dyDescent="0.25">
      <c r="A882" s="45">
        <v>220210001097</v>
      </c>
      <c r="B882" s="46" t="s">
        <v>32</v>
      </c>
      <c r="C882" s="47">
        <v>44225</v>
      </c>
      <c r="D882" s="45">
        <v>22021001703</v>
      </c>
      <c r="E882" s="46" t="s">
        <v>1724</v>
      </c>
      <c r="F882" s="48">
        <v>309.17</v>
      </c>
      <c r="G882" s="46" t="s">
        <v>120</v>
      </c>
      <c r="H882" s="46" t="s">
        <v>1926</v>
      </c>
      <c r="I882" s="45" t="s">
        <v>234</v>
      </c>
      <c r="J882" s="46" t="s">
        <v>126</v>
      </c>
      <c r="K882" s="46" t="s">
        <v>126</v>
      </c>
      <c r="L882" s="46" t="s">
        <v>12</v>
      </c>
      <c r="M882" s="46" t="s">
        <v>10</v>
      </c>
      <c r="N882" s="46" t="s">
        <v>11</v>
      </c>
      <c r="O882" s="49" t="s">
        <v>815</v>
      </c>
      <c r="P882" s="46" t="s">
        <v>507</v>
      </c>
      <c r="Q882" s="35" t="str">
        <f>MID(Tabla1[[#This Row],[Aplicación]],14,1)</f>
        <v>6</v>
      </c>
      <c r="R882" s="35" t="s">
        <v>496</v>
      </c>
      <c r="S882" s="35" t="str">
        <f>MID(Tabla1[[#This Row],[Aplicación]],6,2)</f>
        <v>07</v>
      </c>
      <c r="T882" s="35" t="str">
        <f>VLOOKUP(Tabla1[[#This Row],[AREA]],Hoja1!A:B,2,FALSE)</f>
        <v>07. Medio ambiente y desarrollo sostenible</v>
      </c>
      <c r="U882" s="35" t="str">
        <f>MID(Tabla1[[#This Row],[Aplicación]],9,4)</f>
        <v>1711</v>
      </c>
      <c r="V882" s="35" t="str">
        <f>VLOOKUP(Tabla1[[#This Row],[PROGRAMA]],Hoja1!A:B,2,FALSE)</f>
        <v>1711. Parques y jardines</v>
      </c>
      <c r="W882" s="35" t="str">
        <f>MID(Tabla1[[#This Row],[Aplicación]],14,2)</f>
        <v>61</v>
      </c>
      <c r="X882" s="35" t="str">
        <f>MID(Tabla1[[#This Row],[Aplicación]],14,6)</f>
        <v>619</v>
      </c>
    </row>
    <row r="883" spans="1:24" x14ac:dyDescent="0.25">
      <c r="A883" s="45">
        <v>220210001098</v>
      </c>
      <c r="B883" s="46" t="s">
        <v>32</v>
      </c>
      <c r="C883" s="47">
        <v>44225</v>
      </c>
      <c r="D883" s="45">
        <v>22021001704</v>
      </c>
      <c r="E883" s="46" t="s">
        <v>1724</v>
      </c>
      <c r="F883" s="48">
        <v>91.52</v>
      </c>
      <c r="G883" s="46" t="s">
        <v>120</v>
      </c>
      <c r="H883" s="46" t="s">
        <v>1927</v>
      </c>
      <c r="I883" s="45" t="s">
        <v>234</v>
      </c>
      <c r="J883" s="46" t="s">
        <v>126</v>
      </c>
      <c r="K883" s="46" t="s">
        <v>126</v>
      </c>
      <c r="L883" s="46" t="s">
        <v>12</v>
      </c>
      <c r="M883" s="46" t="s">
        <v>10</v>
      </c>
      <c r="N883" s="46" t="s">
        <v>11</v>
      </c>
      <c r="O883" s="49" t="s">
        <v>815</v>
      </c>
      <c r="P883" s="46" t="s">
        <v>507</v>
      </c>
      <c r="Q883" s="35" t="str">
        <f>MID(Tabla1[[#This Row],[Aplicación]],14,1)</f>
        <v>6</v>
      </c>
      <c r="R883" s="35" t="s">
        <v>496</v>
      </c>
      <c r="S883" s="35" t="str">
        <f>MID(Tabla1[[#This Row],[Aplicación]],6,2)</f>
        <v>07</v>
      </c>
      <c r="T883" s="35" t="str">
        <f>VLOOKUP(Tabla1[[#This Row],[AREA]],Hoja1!A:B,2,FALSE)</f>
        <v>07. Medio ambiente y desarrollo sostenible</v>
      </c>
      <c r="U883" s="35" t="str">
        <f>MID(Tabla1[[#This Row],[Aplicación]],9,4)</f>
        <v>1711</v>
      </c>
      <c r="V883" s="35" t="str">
        <f>VLOOKUP(Tabla1[[#This Row],[PROGRAMA]],Hoja1!A:B,2,FALSE)</f>
        <v>1711. Parques y jardines</v>
      </c>
      <c r="W883" s="35" t="str">
        <f>MID(Tabla1[[#This Row],[Aplicación]],14,2)</f>
        <v>61</v>
      </c>
      <c r="X883" s="35" t="str">
        <f>MID(Tabla1[[#This Row],[Aplicación]],14,6)</f>
        <v>619</v>
      </c>
    </row>
    <row r="884" spans="1:24" x14ac:dyDescent="0.25">
      <c r="A884" s="45">
        <v>220210001099</v>
      </c>
      <c r="B884" s="46" t="s">
        <v>32</v>
      </c>
      <c r="C884" s="47">
        <v>44225</v>
      </c>
      <c r="D884" s="45">
        <v>22021001705</v>
      </c>
      <c r="E884" s="46" t="s">
        <v>1724</v>
      </c>
      <c r="F884" s="48">
        <v>99.28</v>
      </c>
      <c r="G884" s="46" t="s">
        <v>120</v>
      </c>
      <c r="H884" s="46" t="s">
        <v>1928</v>
      </c>
      <c r="I884" s="45" t="s">
        <v>234</v>
      </c>
      <c r="J884" s="46" t="s">
        <v>126</v>
      </c>
      <c r="K884" s="46" t="s">
        <v>126</v>
      </c>
      <c r="L884" s="46" t="s">
        <v>12</v>
      </c>
      <c r="M884" s="46" t="s">
        <v>10</v>
      </c>
      <c r="N884" s="46" t="s">
        <v>11</v>
      </c>
      <c r="O884" s="49" t="s">
        <v>815</v>
      </c>
      <c r="P884" s="46" t="s">
        <v>507</v>
      </c>
      <c r="Q884" s="35" t="str">
        <f>MID(Tabla1[[#This Row],[Aplicación]],14,1)</f>
        <v>6</v>
      </c>
      <c r="R884" s="35" t="s">
        <v>496</v>
      </c>
      <c r="S884" s="35" t="str">
        <f>MID(Tabla1[[#This Row],[Aplicación]],6,2)</f>
        <v>07</v>
      </c>
      <c r="T884" s="35" t="str">
        <f>VLOOKUP(Tabla1[[#This Row],[AREA]],Hoja1!A:B,2,FALSE)</f>
        <v>07. Medio ambiente y desarrollo sostenible</v>
      </c>
      <c r="U884" s="35" t="str">
        <f>MID(Tabla1[[#This Row],[Aplicación]],9,4)</f>
        <v>1711</v>
      </c>
      <c r="V884" s="35" t="str">
        <f>VLOOKUP(Tabla1[[#This Row],[PROGRAMA]],Hoja1!A:B,2,FALSE)</f>
        <v>1711. Parques y jardines</v>
      </c>
      <c r="W884" s="35" t="str">
        <f>MID(Tabla1[[#This Row],[Aplicación]],14,2)</f>
        <v>61</v>
      </c>
      <c r="X884" s="35" t="str">
        <f>MID(Tabla1[[#This Row],[Aplicación]],14,6)</f>
        <v>619</v>
      </c>
    </row>
    <row r="885" spans="1:24" x14ac:dyDescent="0.25">
      <c r="A885" s="45">
        <v>220210006440</v>
      </c>
      <c r="B885" s="46" t="s">
        <v>9</v>
      </c>
      <c r="C885" s="47">
        <v>44252</v>
      </c>
      <c r="D885" s="45">
        <v>22021002926</v>
      </c>
      <c r="E885" s="46" t="s">
        <v>1929</v>
      </c>
      <c r="F885" s="48">
        <v>205.62</v>
      </c>
      <c r="G885" s="46" t="s">
        <v>120</v>
      </c>
      <c r="H885" s="46" t="s">
        <v>1930</v>
      </c>
      <c r="I885" s="45" t="s">
        <v>125</v>
      </c>
      <c r="J885" s="46" t="s">
        <v>126</v>
      </c>
      <c r="K885" s="46" t="s">
        <v>126</v>
      </c>
      <c r="L885" s="46" t="s">
        <v>12</v>
      </c>
      <c r="M885" s="46" t="s">
        <v>10</v>
      </c>
      <c r="N885" s="46" t="s">
        <v>11</v>
      </c>
      <c r="O885" s="49" t="s">
        <v>815</v>
      </c>
      <c r="P885" s="46" t="s">
        <v>507</v>
      </c>
      <c r="Q885" s="35" t="str">
        <f>MID(Tabla1[[#This Row],[Aplicación]],14,1)</f>
        <v>2</v>
      </c>
      <c r="R885" s="35" t="s">
        <v>495</v>
      </c>
      <c r="S885" s="35" t="str">
        <f>MID(Tabla1[[#This Row],[Aplicación]],6,2)</f>
        <v>11</v>
      </c>
      <c r="T885" s="35" t="str">
        <f>VLOOKUP(Tabla1[[#This Row],[AREA]],Hoja1!A:B,2,FALSE)</f>
        <v>11. Salud pública y seguridad ciudadana</v>
      </c>
      <c r="U885" s="35" t="str">
        <f>MID(Tabla1[[#This Row],[Aplicación]],9,4)</f>
        <v>1321</v>
      </c>
      <c r="V885" s="35" t="str">
        <f>VLOOKUP(Tabla1[[#This Row],[PROGRAMA]],Hoja1!A:B,2,FALSE)</f>
        <v>1321. Policía municipal</v>
      </c>
      <c r="W885" s="35" t="str">
        <f>MID(Tabla1[[#This Row],[Aplicación]],14,2)</f>
        <v>22</v>
      </c>
      <c r="X885" s="35" t="str">
        <f>MID(Tabla1[[#This Row],[Aplicación]],14,6)</f>
        <v>22706</v>
      </c>
    </row>
    <row r="886" spans="1:24" x14ac:dyDescent="0.25">
      <c r="A886" s="45">
        <v>220210006441</v>
      </c>
      <c r="B886" s="46" t="s">
        <v>9</v>
      </c>
      <c r="C886" s="47">
        <v>44252</v>
      </c>
      <c r="D886" s="45">
        <v>22021003044</v>
      </c>
      <c r="E886" s="46" t="s">
        <v>1474</v>
      </c>
      <c r="F886" s="48">
        <v>623.08000000000004</v>
      </c>
      <c r="G886" s="46" t="s">
        <v>120</v>
      </c>
      <c r="H886" s="46" t="s">
        <v>1931</v>
      </c>
      <c r="I886" s="45" t="s">
        <v>125</v>
      </c>
      <c r="J886" s="46" t="s">
        <v>126</v>
      </c>
      <c r="K886" s="46" t="s">
        <v>126</v>
      </c>
      <c r="L886" s="46" t="s">
        <v>12</v>
      </c>
      <c r="M886" s="46" t="s">
        <v>10</v>
      </c>
      <c r="N886" s="46" t="s">
        <v>11</v>
      </c>
      <c r="O886" s="49" t="s">
        <v>815</v>
      </c>
      <c r="P886" s="46" t="s">
        <v>507</v>
      </c>
      <c r="Q886" s="35" t="str">
        <f>MID(Tabla1[[#This Row],[Aplicación]],14,1)</f>
        <v>6</v>
      </c>
      <c r="R886" s="35" t="s">
        <v>496</v>
      </c>
      <c r="S886" s="35" t="str">
        <f>MID(Tabla1[[#This Row],[Aplicación]],6,2)</f>
        <v>08</v>
      </c>
      <c r="T886" s="35" t="str">
        <f>VLOOKUP(Tabla1[[#This Row],[AREA]],Hoja1!A:B,2,FALSE)</f>
        <v>08. Movilidad y espacio urbano</v>
      </c>
      <c r="U886" s="35" t="str">
        <f>MID(Tabla1[[#This Row],[Aplicación]],9,4)</f>
        <v>1651</v>
      </c>
      <c r="V886" s="35" t="str">
        <f>VLOOKUP(Tabla1[[#This Row],[PROGRAMA]],Hoja1!A:B,2,FALSE)</f>
        <v>1651. Alumbrado público</v>
      </c>
      <c r="W886" s="35" t="str">
        <f>MID(Tabla1[[#This Row],[Aplicación]],14,2)</f>
        <v>61</v>
      </c>
      <c r="X886" s="35" t="str">
        <f>MID(Tabla1[[#This Row],[Aplicación]],14,6)</f>
        <v>619</v>
      </c>
    </row>
    <row r="887" spans="1:24" x14ac:dyDescent="0.25">
      <c r="A887" s="45">
        <v>220210000527</v>
      </c>
      <c r="B887" s="46" t="s">
        <v>501</v>
      </c>
      <c r="C887" s="47">
        <v>44221</v>
      </c>
      <c r="D887" s="45">
        <v>22021000569</v>
      </c>
      <c r="E887" s="46" t="s">
        <v>1932</v>
      </c>
      <c r="F887" s="48">
        <v>-4000</v>
      </c>
      <c r="G887" s="46" t="s">
        <v>39</v>
      </c>
      <c r="H887" s="46" t="s">
        <v>1933</v>
      </c>
      <c r="I887" s="45" t="s">
        <v>125</v>
      </c>
      <c r="J887" s="46" t="s">
        <v>126</v>
      </c>
      <c r="K887" s="46" t="s">
        <v>126</v>
      </c>
      <c r="L887" s="46" t="s">
        <v>15</v>
      </c>
      <c r="M887" s="46" t="s">
        <v>13</v>
      </c>
      <c r="N887" s="46" t="s">
        <v>14</v>
      </c>
      <c r="O887" s="49" t="s">
        <v>803</v>
      </c>
      <c r="P887" s="46" t="s">
        <v>507</v>
      </c>
      <c r="Q887" s="35" t="str">
        <f>MID(Tabla1[[#This Row],[Aplicación]],14,1)</f>
        <v>2</v>
      </c>
      <c r="R887" s="35" t="s">
        <v>495</v>
      </c>
      <c r="S887" s="35" t="str">
        <f>MID(Tabla1[[#This Row],[Aplicación]],6,2)</f>
        <v>10</v>
      </c>
      <c r="T887" s="35" t="str">
        <f>VLOOKUP(Tabla1[[#This Row],[AREA]],Hoja1!A:B,2,FALSE)</f>
        <v>10. Servicios sociales y mediación comunitaria</v>
      </c>
      <c r="U887" s="35" t="str">
        <f>MID(Tabla1[[#This Row],[Aplicación]],9,4)</f>
        <v>2412</v>
      </c>
      <c r="V887" s="35" t="str">
        <f>VLOOKUP(Tabla1[[#This Row],[PROGRAMA]],Hoja1!A:B,2,FALSE)</f>
        <v>2412. Formación para el empleo</v>
      </c>
      <c r="W887" s="35" t="str">
        <f>MID(Tabla1[[#This Row],[Aplicación]],14,2)</f>
        <v>22</v>
      </c>
      <c r="X887" s="35" t="str">
        <f>MID(Tabla1[[#This Row],[Aplicación]],14,6)</f>
        <v>22103</v>
      </c>
    </row>
    <row r="888" spans="1:24" x14ac:dyDescent="0.25">
      <c r="A888" s="45">
        <v>220209000757</v>
      </c>
      <c r="B888" s="46" t="s">
        <v>9</v>
      </c>
      <c r="C888" s="47">
        <v>44198</v>
      </c>
      <c r="D888" s="45">
        <v>22021000482</v>
      </c>
      <c r="E888" s="46" t="s">
        <v>827</v>
      </c>
      <c r="F888" s="48">
        <v>2400</v>
      </c>
      <c r="G888" s="46" t="s">
        <v>1934</v>
      </c>
      <c r="H888" s="46" t="s">
        <v>1935</v>
      </c>
      <c r="I888" s="45" t="s">
        <v>125</v>
      </c>
      <c r="J888" s="46" t="s">
        <v>565</v>
      </c>
      <c r="K888" s="46" t="s">
        <v>126</v>
      </c>
      <c r="L888" s="46" t="s">
        <v>15</v>
      </c>
      <c r="M888" s="46" t="s">
        <v>25</v>
      </c>
      <c r="N888" s="46" t="s">
        <v>11</v>
      </c>
      <c r="O888" s="49" t="s">
        <v>805</v>
      </c>
      <c r="P888" s="46" t="s">
        <v>507</v>
      </c>
      <c r="Q888" s="35" t="str">
        <f>MID(Tabla1[[#This Row],[Aplicación]],14,1)</f>
        <v>2</v>
      </c>
      <c r="R888" s="35" t="s">
        <v>495</v>
      </c>
      <c r="S888" s="35" t="str">
        <f>MID(Tabla1[[#This Row],[Aplicación]],6,2)</f>
        <v>04</v>
      </c>
      <c r="T888" s="35" t="str">
        <f>VLOOKUP(Tabla1[[#This Row],[AREA]],Hoja1!A:B,2,FALSE)</f>
        <v>04. Planificación y recursos</v>
      </c>
      <c r="U888" s="35" t="str">
        <f>MID(Tabla1[[#This Row],[Aplicación]],9,4)</f>
        <v>9204</v>
      </c>
      <c r="V888" s="35" t="str">
        <f>VLOOKUP(Tabla1[[#This Row],[PROGRAMA]],Hoja1!A:B,2,FALSE)</f>
        <v>9204. Tecnologías de la información y comunicación</v>
      </c>
      <c r="W888" s="35" t="str">
        <f>MID(Tabla1[[#This Row],[Aplicación]],14,2)</f>
        <v>21</v>
      </c>
      <c r="X888" s="35" t="str">
        <f>MID(Tabla1[[#This Row],[Aplicación]],14,6)</f>
        <v>216</v>
      </c>
    </row>
    <row r="889" spans="1:24" x14ac:dyDescent="0.25">
      <c r="A889" s="45">
        <v>220210009591</v>
      </c>
      <c r="B889" s="46" t="s">
        <v>501</v>
      </c>
      <c r="C889" s="47">
        <v>44271</v>
      </c>
      <c r="D889" s="45">
        <v>22021002591</v>
      </c>
      <c r="E889" s="46" t="s">
        <v>1936</v>
      </c>
      <c r="F889" s="48">
        <v>-1551.22</v>
      </c>
      <c r="G889" s="46" t="s">
        <v>1937</v>
      </c>
      <c r="H889" s="46" t="s">
        <v>1938</v>
      </c>
      <c r="I889" s="45" t="s">
        <v>125</v>
      </c>
      <c r="J889" s="46" t="s">
        <v>732</v>
      </c>
      <c r="K889" s="46" t="s">
        <v>127</v>
      </c>
      <c r="L889" s="46" t="s">
        <v>31</v>
      </c>
      <c r="M889" s="46" t="s">
        <v>10</v>
      </c>
      <c r="N889" s="46" t="s">
        <v>11</v>
      </c>
      <c r="O889" s="49" t="s">
        <v>815</v>
      </c>
      <c r="P889" s="46" t="s">
        <v>507</v>
      </c>
      <c r="Q889" s="35" t="str">
        <f>MID(Tabla1[[#This Row],[Aplicación]],14,1)</f>
        <v>6</v>
      </c>
      <c r="R889" s="35" t="s">
        <v>496</v>
      </c>
      <c r="S889" s="35" t="str">
        <f>MID(Tabla1[[#This Row],[Aplicación]],6,2)</f>
        <v>11</v>
      </c>
      <c r="T889" s="35" t="str">
        <f>VLOOKUP(Tabla1[[#This Row],[AREA]],Hoja1!A:B,2,FALSE)</f>
        <v>11. Salud pública y seguridad ciudadana</v>
      </c>
      <c r="U889" s="35" t="str">
        <f>MID(Tabla1[[#This Row],[Aplicación]],9,4)</f>
        <v>1361</v>
      </c>
      <c r="V889" s="35" t="str">
        <f>VLOOKUP(Tabla1[[#This Row],[PROGRAMA]],Hoja1!A:B,2,FALSE)</f>
        <v>1361. Prevención y extinción de incencios</v>
      </c>
      <c r="W889" s="35" t="str">
        <f>MID(Tabla1[[#This Row],[Aplicación]],14,2)</f>
        <v>63</v>
      </c>
      <c r="X889" s="35" t="str">
        <f>MID(Tabla1[[#This Row],[Aplicación]],14,6)</f>
        <v>632</v>
      </c>
    </row>
    <row r="890" spans="1:24" x14ac:dyDescent="0.25">
      <c r="A890" s="45">
        <v>220210012931</v>
      </c>
      <c r="B890" s="46" t="s">
        <v>501</v>
      </c>
      <c r="C890" s="47">
        <v>44284</v>
      </c>
      <c r="D890" s="45">
        <v>22021003430</v>
      </c>
      <c r="E890" s="46" t="s">
        <v>1660</v>
      </c>
      <c r="F890" s="48">
        <v>-136.5</v>
      </c>
      <c r="G890" s="46" t="s">
        <v>1939</v>
      </c>
      <c r="H890" s="46" t="s">
        <v>1940</v>
      </c>
      <c r="I890" s="45" t="s">
        <v>125</v>
      </c>
      <c r="J890" s="46" t="s">
        <v>146</v>
      </c>
      <c r="K890" s="46" t="s">
        <v>146</v>
      </c>
      <c r="L890" s="46" t="s">
        <v>12</v>
      </c>
      <c r="M890" s="46" t="s">
        <v>10</v>
      </c>
      <c r="N890" s="46" t="s">
        <v>11</v>
      </c>
      <c r="O890" s="49" t="s">
        <v>815</v>
      </c>
      <c r="P890" s="46" t="s">
        <v>507</v>
      </c>
      <c r="Q890" s="35" t="str">
        <f>MID(Tabla1[[#This Row],[Aplicación]],14,1)</f>
        <v>2</v>
      </c>
      <c r="R890" s="35" t="s">
        <v>495</v>
      </c>
      <c r="S890" s="35" t="str">
        <f>MID(Tabla1[[#This Row],[Aplicación]],6,2)</f>
        <v>04</v>
      </c>
      <c r="T890" s="35" t="str">
        <f>VLOOKUP(Tabla1[[#This Row],[AREA]],Hoja1!A:B,2,FALSE)</f>
        <v>04. Planificación y recursos</v>
      </c>
      <c r="U890" s="35" t="str">
        <f>MID(Tabla1[[#This Row],[Aplicación]],9,4)</f>
        <v>9202</v>
      </c>
      <c r="V890" s="35" t="str">
        <f>VLOOKUP(Tabla1[[#This Row],[PROGRAMA]],Hoja1!A:B,2,FALSE)</f>
        <v>9202. Gestión de recursos humanos</v>
      </c>
      <c r="W890" s="35" t="str">
        <f>MID(Tabla1[[#This Row],[Aplicación]],14,2)</f>
        <v>22</v>
      </c>
      <c r="X890" s="35" t="str">
        <f>MID(Tabla1[[#This Row],[Aplicación]],14,6)</f>
        <v>22607</v>
      </c>
    </row>
    <row r="891" spans="1:24" x14ac:dyDescent="0.25">
      <c r="A891" s="45">
        <v>220199000341</v>
      </c>
      <c r="B891" s="46" t="s">
        <v>9</v>
      </c>
      <c r="C891" s="47">
        <v>44198</v>
      </c>
      <c r="D891" s="45">
        <v>22021000698</v>
      </c>
      <c r="E891" s="46" t="s">
        <v>838</v>
      </c>
      <c r="F891" s="48">
        <v>187500</v>
      </c>
      <c r="G891" s="46" t="s">
        <v>568</v>
      </c>
      <c r="H891" s="46" t="s">
        <v>620</v>
      </c>
      <c r="I891" s="45" t="s">
        <v>125</v>
      </c>
      <c r="J891" s="46" t="s">
        <v>127</v>
      </c>
      <c r="K891" s="46" t="s">
        <v>127</v>
      </c>
      <c r="L891" s="46" t="s">
        <v>12</v>
      </c>
      <c r="M891" s="46" t="s">
        <v>13</v>
      </c>
      <c r="N891" s="46" t="s">
        <v>14</v>
      </c>
      <c r="O891" s="49" t="s">
        <v>803</v>
      </c>
      <c r="P891" s="46" t="s">
        <v>507</v>
      </c>
      <c r="Q891" s="35" t="str">
        <f>MID(Tabla1[[#This Row],[Aplicación]],14,1)</f>
        <v>6</v>
      </c>
      <c r="R891" s="35" t="s">
        <v>496</v>
      </c>
      <c r="S891" s="35" t="str">
        <f>MID(Tabla1[[#This Row],[Aplicación]],6,2)</f>
        <v>07</v>
      </c>
      <c r="T891" s="35" t="str">
        <f>VLOOKUP(Tabla1[[#This Row],[AREA]],Hoja1!A:B,2,FALSE)</f>
        <v>07. Medio ambiente y desarrollo sostenible</v>
      </c>
      <c r="U891" s="35" t="str">
        <f>MID(Tabla1[[#This Row],[Aplicación]],9,4)</f>
        <v>1711</v>
      </c>
      <c r="V891" s="35" t="str">
        <f>VLOOKUP(Tabla1[[#This Row],[PROGRAMA]],Hoja1!A:B,2,FALSE)</f>
        <v>1711. Parques y jardines</v>
      </c>
      <c r="W891" s="35" t="str">
        <f>MID(Tabla1[[#This Row],[Aplicación]],14,2)</f>
        <v>61</v>
      </c>
      <c r="X891" s="35" t="str">
        <f>MID(Tabla1[[#This Row],[Aplicación]],14,6)</f>
        <v>610</v>
      </c>
    </row>
    <row r="892" spans="1:24" x14ac:dyDescent="0.25">
      <c r="A892" s="45">
        <v>220200066821</v>
      </c>
      <c r="B892" s="46" t="s">
        <v>9</v>
      </c>
      <c r="C892" s="47">
        <v>44284</v>
      </c>
      <c r="D892" s="45">
        <v>22020007123</v>
      </c>
      <c r="E892" s="46" t="s">
        <v>1483</v>
      </c>
      <c r="F892" s="48">
        <v>33557.83</v>
      </c>
      <c r="G892" s="46" t="s">
        <v>1941</v>
      </c>
      <c r="H892" s="46" t="s">
        <v>1942</v>
      </c>
      <c r="I892" s="45" t="s">
        <v>125</v>
      </c>
      <c r="J892" s="46" t="s">
        <v>650</v>
      </c>
      <c r="K892" s="46" t="s">
        <v>127</v>
      </c>
      <c r="L892" s="46" t="s">
        <v>31</v>
      </c>
      <c r="M892" s="46" t="s">
        <v>10</v>
      </c>
      <c r="N892" s="46" t="s">
        <v>11</v>
      </c>
      <c r="O892" s="49" t="s">
        <v>815</v>
      </c>
      <c r="P892" s="46" t="s">
        <v>507</v>
      </c>
      <c r="Q892" s="35" t="str">
        <f>MID(Tabla1[[#This Row],[Aplicación]],14,1)</f>
        <v>6</v>
      </c>
      <c r="R892" s="35" t="s">
        <v>496</v>
      </c>
      <c r="S892" s="35" t="str">
        <f>MID(Tabla1[[#This Row],[Aplicación]],6,2)</f>
        <v>03</v>
      </c>
      <c r="T892" s="35" t="str">
        <f>VLOOKUP(Tabla1[[#This Row],[AREA]],Hoja1!A:B,2,FALSE)</f>
        <v>03. Participación ciudadana y deportes</v>
      </c>
      <c r="U892" s="35" t="str">
        <f>MID(Tabla1[[#This Row],[Aplicación]],9,4)</f>
        <v>9241</v>
      </c>
      <c r="V892" s="35" t="str">
        <f>VLOOKUP(Tabla1[[#This Row],[PROGRAMA]],Hoja1!A:B,2,FALSE)</f>
        <v>9241. Participación ciudadana</v>
      </c>
      <c r="W892" s="35" t="str">
        <f>MID(Tabla1[[#This Row],[Aplicación]],14,2)</f>
        <v>63</v>
      </c>
      <c r="X892" s="35" t="str">
        <f>MID(Tabla1[[#This Row],[Aplicación]],14,6)</f>
        <v>632</v>
      </c>
    </row>
    <row r="893" spans="1:24" x14ac:dyDescent="0.25">
      <c r="A893" s="45">
        <v>220199000494</v>
      </c>
      <c r="B893" s="46" t="s">
        <v>9</v>
      </c>
      <c r="C893" s="47">
        <v>44198</v>
      </c>
      <c r="D893" s="45">
        <v>22021000156</v>
      </c>
      <c r="E893" s="46" t="s">
        <v>1251</v>
      </c>
      <c r="F893" s="48">
        <v>0.01</v>
      </c>
      <c r="G893" s="46" t="s">
        <v>130</v>
      </c>
      <c r="H893" s="46" t="s">
        <v>781</v>
      </c>
      <c r="I893" s="45" t="s">
        <v>125</v>
      </c>
      <c r="J893" s="46" t="s">
        <v>127</v>
      </c>
      <c r="K893" s="46" t="s">
        <v>127</v>
      </c>
      <c r="L893" s="46" t="s">
        <v>12</v>
      </c>
      <c r="M893" s="46" t="s">
        <v>13</v>
      </c>
      <c r="N893" s="46" t="s">
        <v>14</v>
      </c>
      <c r="O893" s="49" t="s">
        <v>803</v>
      </c>
      <c r="P893" s="46" t="s">
        <v>507</v>
      </c>
      <c r="Q893" s="35" t="str">
        <f>MID(Tabla1[[#This Row],[Aplicación]],14,1)</f>
        <v>2</v>
      </c>
      <c r="R893" s="35" t="s">
        <v>495</v>
      </c>
      <c r="S893" s="35" t="str">
        <f>MID(Tabla1[[#This Row],[Aplicación]],6,2)</f>
        <v>09</v>
      </c>
      <c r="T893" s="35" t="str">
        <f>VLOOKUP(Tabla1[[#This Row],[AREA]],Hoja1!A:B,2,FALSE)</f>
        <v>09. Cultura y turismo</v>
      </c>
      <c r="U893" s="35" t="str">
        <f>MID(Tabla1[[#This Row],[Aplicación]],9,4)</f>
        <v>3301</v>
      </c>
      <c r="V893" s="35" t="str">
        <f>VLOOKUP(Tabla1[[#This Row],[PROGRAMA]],Hoja1!A:B,2,FALSE)</f>
        <v>3301. Dirección del área de cultura</v>
      </c>
      <c r="W893" s="35" t="str">
        <f>MID(Tabla1[[#This Row],[Aplicación]],14,2)</f>
        <v>22</v>
      </c>
      <c r="X893" s="35" t="str">
        <f>MID(Tabla1[[#This Row],[Aplicación]],14,6)</f>
        <v>22799</v>
      </c>
    </row>
    <row r="894" spans="1:24" x14ac:dyDescent="0.25">
      <c r="A894" s="45">
        <v>220210002986</v>
      </c>
      <c r="B894" s="46" t="s">
        <v>204</v>
      </c>
      <c r="C894" s="47">
        <v>44238</v>
      </c>
      <c r="D894" s="45">
        <v>22021002088</v>
      </c>
      <c r="E894" s="46" t="s">
        <v>1478</v>
      </c>
      <c r="F894" s="48">
        <v>5.15</v>
      </c>
      <c r="G894" s="46" t="s">
        <v>282</v>
      </c>
      <c r="H894" s="46" t="s">
        <v>1943</v>
      </c>
      <c r="I894" s="45" t="s">
        <v>205</v>
      </c>
      <c r="J894" s="46" t="s">
        <v>127</v>
      </c>
      <c r="K894" s="46" t="s">
        <v>127</v>
      </c>
      <c r="L894" s="46" t="s">
        <v>15</v>
      </c>
      <c r="M894" s="46" t="s">
        <v>13</v>
      </c>
      <c r="N894" s="46" t="s">
        <v>16</v>
      </c>
      <c r="O894" s="49" t="s">
        <v>814</v>
      </c>
      <c r="P894" s="46" t="s">
        <v>507</v>
      </c>
      <c r="Q894" s="35" t="str">
        <f>MID(Tabla1[[#This Row],[Aplicación]],14,1)</f>
        <v>2</v>
      </c>
      <c r="R894" s="35" t="s">
        <v>495</v>
      </c>
      <c r="S894" s="35" t="str">
        <f>MID(Tabla1[[#This Row],[Aplicación]],6,2)</f>
        <v>03</v>
      </c>
      <c r="T894" s="35" t="str">
        <f>VLOOKUP(Tabla1[[#This Row],[AREA]],Hoja1!A:B,2,FALSE)</f>
        <v>03. Participación ciudadana y deportes</v>
      </c>
      <c r="U894" s="35" t="str">
        <f>MID(Tabla1[[#This Row],[Aplicación]],9,4)</f>
        <v>9241</v>
      </c>
      <c r="V894" s="35" t="str">
        <f>VLOOKUP(Tabla1[[#This Row],[PROGRAMA]],Hoja1!A:B,2,FALSE)</f>
        <v>9241. Participación ciudadana</v>
      </c>
      <c r="W894" s="35" t="str">
        <f>MID(Tabla1[[#This Row],[Aplicación]],14,2)</f>
        <v>21</v>
      </c>
      <c r="X894" s="35" t="str">
        <f>MID(Tabla1[[#This Row],[Aplicación]],14,6)</f>
        <v>212</v>
      </c>
    </row>
    <row r="895" spans="1:24" x14ac:dyDescent="0.25">
      <c r="A895" s="45">
        <v>220209000574</v>
      </c>
      <c r="B895" s="46" t="s">
        <v>9</v>
      </c>
      <c r="C895" s="47">
        <v>44198</v>
      </c>
      <c r="D895" s="45">
        <v>22021000740</v>
      </c>
      <c r="E895" s="46" t="s">
        <v>1196</v>
      </c>
      <c r="F895" s="48">
        <v>717327.48</v>
      </c>
      <c r="G895" s="46" t="s">
        <v>221</v>
      </c>
      <c r="H895" s="46" t="s">
        <v>1944</v>
      </c>
      <c r="I895" s="45" t="s">
        <v>125</v>
      </c>
      <c r="J895" s="46" t="s">
        <v>565</v>
      </c>
      <c r="K895" s="46" t="s">
        <v>126</v>
      </c>
      <c r="L895" s="46" t="s">
        <v>12</v>
      </c>
      <c r="M895" s="46" t="s">
        <v>13</v>
      </c>
      <c r="N895" s="46" t="s">
        <v>14</v>
      </c>
      <c r="O895" s="49" t="s">
        <v>803</v>
      </c>
      <c r="P895" s="46" t="s">
        <v>507</v>
      </c>
      <c r="Q895" s="35" t="str">
        <f>MID(Tabla1[[#This Row],[Aplicación]],14,1)</f>
        <v>6</v>
      </c>
      <c r="R895" s="35" t="s">
        <v>496</v>
      </c>
      <c r="S895" s="35" t="str">
        <f>MID(Tabla1[[#This Row],[Aplicación]],6,2)</f>
        <v>08</v>
      </c>
      <c r="T895" s="35" t="str">
        <f>VLOOKUP(Tabla1[[#This Row],[AREA]],Hoja1!A:B,2,FALSE)</f>
        <v>08. Movilidad y espacio urbano</v>
      </c>
      <c r="U895" s="35" t="str">
        <f>MID(Tabla1[[#This Row],[Aplicación]],9,4)</f>
        <v>1341</v>
      </c>
      <c r="V895" s="35" t="str">
        <f>VLOOKUP(Tabla1[[#This Row],[PROGRAMA]],Hoja1!A:B,2,FALSE)</f>
        <v>1341. Movilidad</v>
      </c>
      <c r="W895" s="35" t="str">
        <f>MID(Tabla1[[#This Row],[Aplicación]],14,2)</f>
        <v>61</v>
      </c>
      <c r="X895" s="35" t="str">
        <f>MID(Tabla1[[#This Row],[Aplicación]],14,6)</f>
        <v>619</v>
      </c>
    </row>
    <row r="896" spans="1:24" x14ac:dyDescent="0.25">
      <c r="A896" s="45">
        <v>220210006062</v>
      </c>
      <c r="B896" s="46" t="s">
        <v>9</v>
      </c>
      <c r="C896" s="47">
        <v>44251</v>
      </c>
      <c r="D896" s="45">
        <v>22021002876</v>
      </c>
      <c r="E896" s="46" t="s">
        <v>1310</v>
      </c>
      <c r="F896" s="48">
        <v>6.2</v>
      </c>
      <c r="G896" s="46" t="s">
        <v>1945</v>
      </c>
      <c r="H896" s="46" t="s">
        <v>1946</v>
      </c>
      <c r="I896" s="45" t="s">
        <v>125</v>
      </c>
      <c r="J896" s="46" t="s">
        <v>127</v>
      </c>
      <c r="K896" s="46" t="s">
        <v>127</v>
      </c>
      <c r="L896" s="46" t="s">
        <v>15</v>
      </c>
      <c r="M896" s="46" t="s">
        <v>10</v>
      </c>
      <c r="N896" s="46" t="s">
        <v>11</v>
      </c>
      <c r="O896" s="49" t="s">
        <v>815</v>
      </c>
      <c r="P896" s="46" t="s">
        <v>507</v>
      </c>
      <c r="Q896" s="35" t="str">
        <f>MID(Tabla1[[#This Row],[Aplicación]],14,1)</f>
        <v>2</v>
      </c>
      <c r="R896" s="35" t="s">
        <v>495</v>
      </c>
      <c r="S896" s="35" t="str">
        <f>MID(Tabla1[[#This Row],[Aplicación]],6,2)</f>
        <v>11</v>
      </c>
      <c r="T896" s="35" t="str">
        <f>VLOOKUP(Tabla1[[#This Row],[AREA]],Hoja1!A:B,2,FALSE)</f>
        <v>11. Salud pública y seguridad ciudadana</v>
      </c>
      <c r="U896" s="35" t="str">
        <f>MID(Tabla1[[#This Row],[Aplicación]],9,4)</f>
        <v>3111</v>
      </c>
      <c r="V896" s="35" t="str">
        <f>VLOOKUP(Tabla1[[#This Row],[PROGRAMA]],Hoja1!A:B,2,FALSE)</f>
        <v>3111. Protección de la salubridad pública</v>
      </c>
      <c r="W896" s="35" t="str">
        <f>MID(Tabla1[[#This Row],[Aplicación]],14,2)</f>
        <v>22</v>
      </c>
      <c r="X896" s="35" t="str">
        <f>MID(Tabla1[[#This Row],[Aplicación]],14,6)</f>
        <v>22199</v>
      </c>
    </row>
    <row r="897" spans="1:24" x14ac:dyDescent="0.25">
      <c r="A897" s="45">
        <v>220209000556</v>
      </c>
      <c r="B897" s="46" t="s">
        <v>9</v>
      </c>
      <c r="C897" s="47">
        <v>44198</v>
      </c>
      <c r="D897" s="45">
        <v>22021000587</v>
      </c>
      <c r="E897" s="46" t="s">
        <v>1947</v>
      </c>
      <c r="F897" s="48">
        <v>6923.45</v>
      </c>
      <c r="G897" s="46" t="s">
        <v>194</v>
      </c>
      <c r="H897" s="46" t="s">
        <v>1948</v>
      </c>
      <c r="I897" s="45" t="s">
        <v>125</v>
      </c>
      <c r="J897" s="46" t="s">
        <v>610</v>
      </c>
      <c r="K897" s="46" t="s">
        <v>195</v>
      </c>
      <c r="L897" s="46" t="s">
        <v>12</v>
      </c>
      <c r="M897" s="46" t="s">
        <v>13</v>
      </c>
      <c r="N897" s="46" t="s">
        <v>14</v>
      </c>
      <c r="O897" s="49" t="s">
        <v>803</v>
      </c>
      <c r="P897" s="46" t="s">
        <v>507</v>
      </c>
      <c r="Q897" s="35" t="str">
        <f>MID(Tabla1[[#This Row],[Aplicación]],14,1)</f>
        <v>2</v>
      </c>
      <c r="R897" s="35" t="s">
        <v>495</v>
      </c>
      <c r="S897" s="35" t="str">
        <f>MID(Tabla1[[#This Row],[Aplicación]],6,2)</f>
        <v>11</v>
      </c>
      <c r="T897" s="35" t="str">
        <f>VLOOKUP(Tabla1[[#This Row],[AREA]],Hoja1!A:B,2,FALSE)</f>
        <v>11. Salud pública y seguridad ciudadana</v>
      </c>
      <c r="U897" s="35" t="str">
        <f>MID(Tabla1[[#This Row],[Aplicación]],9,4)</f>
        <v>3111</v>
      </c>
      <c r="V897" s="35" t="str">
        <f>VLOOKUP(Tabla1[[#This Row],[PROGRAMA]],Hoja1!A:B,2,FALSE)</f>
        <v>3111. Protección de la salubridad pública</v>
      </c>
      <c r="W897" s="35" t="str">
        <f>MID(Tabla1[[#This Row],[Aplicación]],14,2)</f>
        <v>22</v>
      </c>
      <c r="X897" s="35" t="str">
        <f>MID(Tabla1[[#This Row],[Aplicación]],14,6)</f>
        <v>22700</v>
      </c>
    </row>
    <row r="898" spans="1:24" x14ac:dyDescent="0.25">
      <c r="A898" s="45">
        <v>220209000557</v>
      </c>
      <c r="B898" s="46" t="s">
        <v>9</v>
      </c>
      <c r="C898" s="47">
        <v>44198</v>
      </c>
      <c r="D898" s="45">
        <v>22021000588</v>
      </c>
      <c r="E898" s="46" t="s">
        <v>1947</v>
      </c>
      <c r="F898" s="48">
        <v>3465.58</v>
      </c>
      <c r="G898" s="46" t="s">
        <v>194</v>
      </c>
      <c r="H898" s="46" t="s">
        <v>1949</v>
      </c>
      <c r="I898" s="45" t="s">
        <v>125</v>
      </c>
      <c r="J898" s="46" t="s">
        <v>610</v>
      </c>
      <c r="K898" s="46" t="s">
        <v>195</v>
      </c>
      <c r="L898" s="46" t="s">
        <v>12</v>
      </c>
      <c r="M898" s="46" t="s">
        <v>13</v>
      </c>
      <c r="N898" s="46" t="s">
        <v>14</v>
      </c>
      <c r="O898" s="49" t="s">
        <v>803</v>
      </c>
      <c r="P898" s="46" t="s">
        <v>507</v>
      </c>
      <c r="Q898" s="35" t="str">
        <f>MID(Tabla1[[#This Row],[Aplicación]],14,1)</f>
        <v>2</v>
      </c>
      <c r="R898" s="35" t="s">
        <v>495</v>
      </c>
      <c r="S898" s="35" t="str">
        <f>MID(Tabla1[[#This Row],[Aplicación]],6,2)</f>
        <v>11</v>
      </c>
      <c r="T898" s="35" t="str">
        <f>VLOOKUP(Tabla1[[#This Row],[AREA]],Hoja1!A:B,2,FALSE)</f>
        <v>11. Salud pública y seguridad ciudadana</v>
      </c>
      <c r="U898" s="35" t="str">
        <f>MID(Tabla1[[#This Row],[Aplicación]],9,4)</f>
        <v>3111</v>
      </c>
      <c r="V898" s="35" t="str">
        <f>VLOOKUP(Tabla1[[#This Row],[PROGRAMA]],Hoja1!A:B,2,FALSE)</f>
        <v>3111. Protección de la salubridad pública</v>
      </c>
      <c r="W898" s="35" t="str">
        <f>MID(Tabla1[[#This Row],[Aplicación]],14,2)</f>
        <v>22</v>
      </c>
      <c r="X898" s="35" t="str">
        <f>MID(Tabla1[[#This Row],[Aplicación]],14,6)</f>
        <v>22700</v>
      </c>
    </row>
    <row r="899" spans="1:24" x14ac:dyDescent="0.25">
      <c r="A899" s="45">
        <v>220209000558</v>
      </c>
      <c r="B899" s="46" t="s">
        <v>9</v>
      </c>
      <c r="C899" s="47">
        <v>44198</v>
      </c>
      <c r="D899" s="45">
        <v>22021000589</v>
      </c>
      <c r="E899" s="46" t="s">
        <v>1950</v>
      </c>
      <c r="F899" s="48">
        <v>4461.2700000000004</v>
      </c>
      <c r="G899" s="46" t="s">
        <v>194</v>
      </c>
      <c r="H899" s="46" t="s">
        <v>1951</v>
      </c>
      <c r="I899" s="45" t="s">
        <v>125</v>
      </c>
      <c r="J899" s="46" t="s">
        <v>610</v>
      </c>
      <c r="K899" s="46" t="s">
        <v>195</v>
      </c>
      <c r="L899" s="46" t="s">
        <v>12</v>
      </c>
      <c r="M899" s="46" t="s">
        <v>13</v>
      </c>
      <c r="N899" s="46" t="s">
        <v>14</v>
      </c>
      <c r="O899" s="49" t="s">
        <v>803</v>
      </c>
      <c r="P899" s="46" t="s">
        <v>507</v>
      </c>
      <c r="Q899" s="35" t="str">
        <f>MID(Tabla1[[#This Row],[Aplicación]],14,1)</f>
        <v>2</v>
      </c>
      <c r="R899" s="35" t="s">
        <v>495</v>
      </c>
      <c r="S899" s="35" t="str">
        <f>MID(Tabla1[[#This Row],[Aplicación]],6,2)</f>
        <v>05</v>
      </c>
      <c r="T899" s="35" t="str">
        <f>VLOOKUP(Tabla1[[#This Row],[AREA]],Hoja1!A:B,2,FALSE)</f>
        <v>05. Innovación, desarrollo económico, empleo y comercio</v>
      </c>
      <c r="U899" s="35" t="str">
        <f>MID(Tabla1[[#This Row],[Aplicación]],9,4)</f>
        <v>4315</v>
      </c>
      <c r="V899" s="35" t="str">
        <f>VLOOKUP(Tabla1[[#This Row],[PROGRAMA]],Hoja1!A:B,2,FALSE)</f>
        <v>4315. Actuaciones en materia de consumo</v>
      </c>
      <c r="W899" s="35" t="str">
        <f>MID(Tabla1[[#This Row],[Aplicación]],14,2)</f>
        <v>22</v>
      </c>
      <c r="X899" s="35" t="str">
        <f>MID(Tabla1[[#This Row],[Aplicación]],14,6)</f>
        <v>22700</v>
      </c>
    </row>
    <row r="900" spans="1:24" x14ac:dyDescent="0.25">
      <c r="A900" s="45">
        <v>220209000688</v>
      </c>
      <c r="B900" s="46" t="s">
        <v>9</v>
      </c>
      <c r="C900" s="47">
        <v>44198</v>
      </c>
      <c r="D900" s="45">
        <v>22021000433</v>
      </c>
      <c r="E900" s="46" t="s">
        <v>1952</v>
      </c>
      <c r="F900" s="48">
        <v>62334.19</v>
      </c>
      <c r="G900" s="46" t="s">
        <v>194</v>
      </c>
      <c r="H900" s="46" t="s">
        <v>1953</v>
      </c>
      <c r="I900" s="45" t="s">
        <v>125</v>
      </c>
      <c r="J900" s="46" t="s">
        <v>610</v>
      </c>
      <c r="K900" s="46" t="s">
        <v>195</v>
      </c>
      <c r="L900" s="46" t="s">
        <v>12</v>
      </c>
      <c r="M900" s="46" t="s">
        <v>13</v>
      </c>
      <c r="N900" s="46" t="s">
        <v>14</v>
      </c>
      <c r="O900" s="49" t="s">
        <v>803</v>
      </c>
      <c r="P900" s="46" t="s">
        <v>507</v>
      </c>
      <c r="Q900" s="35" t="str">
        <f>MID(Tabla1[[#This Row],[Aplicación]],14,1)</f>
        <v>2</v>
      </c>
      <c r="R900" s="35" t="s">
        <v>495</v>
      </c>
      <c r="S900" s="35" t="str">
        <f>MID(Tabla1[[#This Row],[Aplicación]],6,2)</f>
        <v>07</v>
      </c>
      <c r="T900" s="35" t="str">
        <f>VLOOKUP(Tabla1[[#This Row],[AREA]],Hoja1!A:B,2,FALSE)</f>
        <v>07. Medio ambiente y desarrollo sostenible</v>
      </c>
      <c r="U900" s="35" t="str">
        <f>MID(Tabla1[[#This Row],[Aplicación]],9,4)</f>
        <v>1701</v>
      </c>
      <c r="V900" s="35" t="str">
        <f>VLOOKUP(Tabla1[[#This Row],[PROGRAMA]],Hoja1!A:B,2,FALSE)</f>
        <v>1701. Dirección del área de medio ambiente</v>
      </c>
      <c r="W900" s="35" t="str">
        <f>MID(Tabla1[[#This Row],[Aplicación]],14,2)</f>
        <v>22</v>
      </c>
      <c r="X900" s="35" t="str">
        <f>MID(Tabla1[[#This Row],[Aplicación]],14,6)</f>
        <v>22700</v>
      </c>
    </row>
    <row r="901" spans="1:24" x14ac:dyDescent="0.25">
      <c r="A901" s="45">
        <v>220199000591</v>
      </c>
      <c r="B901" s="46" t="s">
        <v>9</v>
      </c>
      <c r="C901" s="47">
        <v>44198</v>
      </c>
      <c r="D901" s="45">
        <v>22021000165</v>
      </c>
      <c r="E901" s="46" t="s">
        <v>1220</v>
      </c>
      <c r="F901" s="48">
        <v>4063.56</v>
      </c>
      <c r="G901" s="46" t="s">
        <v>53</v>
      </c>
      <c r="H901" s="46" t="s">
        <v>673</v>
      </c>
      <c r="I901" s="45" t="s">
        <v>125</v>
      </c>
      <c r="J901" s="46" t="s">
        <v>127</v>
      </c>
      <c r="K901" s="46" t="s">
        <v>127</v>
      </c>
      <c r="L901" s="46" t="s">
        <v>12</v>
      </c>
      <c r="M901" s="46" t="s">
        <v>13</v>
      </c>
      <c r="N901" s="46" t="s">
        <v>16</v>
      </c>
      <c r="O901" s="49" t="s">
        <v>803</v>
      </c>
      <c r="P901" s="46" t="s">
        <v>507</v>
      </c>
      <c r="Q901" s="35" t="str">
        <f>MID(Tabla1[[#This Row],[Aplicación]],14,1)</f>
        <v>2</v>
      </c>
      <c r="R901" s="35" t="s">
        <v>495</v>
      </c>
      <c r="S901" s="35" t="str">
        <f>MID(Tabla1[[#This Row],[Aplicación]],6,2)</f>
        <v>03</v>
      </c>
      <c r="T901" s="35" t="str">
        <f>VLOOKUP(Tabla1[[#This Row],[AREA]],Hoja1!A:B,2,FALSE)</f>
        <v>03. Participación ciudadana y deportes</v>
      </c>
      <c r="U901" s="35" t="str">
        <f>MID(Tabla1[[#This Row],[Aplicación]],9,4)</f>
        <v>9241</v>
      </c>
      <c r="V901" s="35" t="str">
        <f>VLOOKUP(Tabla1[[#This Row],[PROGRAMA]],Hoja1!A:B,2,FALSE)</f>
        <v>9241. Participación ciudadana</v>
      </c>
      <c r="W901" s="35" t="str">
        <f>MID(Tabla1[[#This Row],[Aplicación]],14,2)</f>
        <v>21</v>
      </c>
      <c r="X901" s="35" t="str">
        <f>MID(Tabla1[[#This Row],[Aplicación]],14,6)</f>
        <v>213</v>
      </c>
    </row>
    <row r="902" spans="1:24" x14ac:dyDescent="0.25">
      <c r="A902" s="45">
        <v>220210000015</v>
      </c>
      <c r="B902" s="46" t="s">
        <v>32</v>
      </c>
      <c r="C902" s="47">
        <v>44215</v>
      </c>
      <c r="D902" s="45">
        <v>22021000649</v>
      </c>
      <c r="E902" s="46" t="s">
        <v>1954</v>
      </c>
      <c r="F902" s="48">
        <v>6.4</v>
      </c>
      <c r="G902" s="46" t="s">
        <v>1955</v>
      </c>
      <c r="H902" s="46" t="s">
        <v>1956</v>
      </c>
      <c r="I902" s="45" t="s">
        <v>234</v>
      </c>
      <c r="J902" s="46" t="s">
        <v>1957</v>
      </c>
      <c r="K902" s="46" t="s">
        <v>1957</v>
      </c>
      <c r="L902" s="46" t="s">
        <v>12</v>
      </c>
      <c r="M902" s="46" t="s">
        <v>10</v>
      </c>
      <c r="N902" s="46" t="s">
        <v>11</v>
      </c>
      <c r="O902" s="49" t="s">
        <v>815</v>
      </c>
      <c r="P902" s="46" t="s">
        <v>507</v>
      </c>
      <c r="Q902" s="35" t="str">
        <f>MID(Tabla1[[#This Row],[Aplicación]],14,1)</f>
        <v>2</v>
      </c>
      <c r="R902" s="35" t="s">
        <v>495</v>
      </c>
      <c r="S902" s="35" t="str">
        <f>MID(Tabla1[[#This Row],[Aplicación]],6,2)</f>
        <v>10</v>
      </c>
      <c r="T902" s="35" t="str">
        <f>VLOOKUP(Tabla1[[#This Row],[AREA]],Hoja1!A:B,2,FALSE)</f>
        <v>10. Servicios sociales y mediación comunitaria</v>
      </c>
      <c r="U902" s="35" t="str">
        <f>MID(Tabla1[[#This Row],[Aplicación]],9,4)</f>
        <v>2412</v>
      </c>
      <c r="V902" s="35" t="str">
        <f>VLOOKUP(Tabla1[[#This Row],[PROGRAMA]],Hoja1!A:B,2,FALSE)</f>
        <v>2412. Formación para el empleo</v>
      </c>
      <c r="W902" s="35" t="str">
        <f>MID(Tabla1[[#This Row],[Aplicación]],14,2)</f>
        <v>22</v>
      </c>
      <c r="X902" s="35" t="str">
        <f>MID(Tabla1[[#This Row],[Aplicación]],14,6)</f>
        <v>224</v>
      </c>
    </row>
    <row r="903" spans="1:24" x14ac:dyDescent="0.25">
      <c r="A903" s="45">
        <v>220210000014</v>
      </c>
      <c r="B903" s="46" t="s">
        <v>32</v>
      </c>
      <c r="C903" s="47">
        <v>44215</v>
      </c>
      <c r="D903" s="45">
        <v>22021000648</v>
      </c>
      <c r="E903" s="46" t="s">
        <v>1954</v>
      </c>
      <c r="F903" s="48">
        <v>9.98</v>
      </c>
      <c r="G903" s="46" t="s">
        <v>1955</v>
      </c>
      <c r="H903" s="46" t="s">
        <v>1958</v>
      </c>
      <c r="I903" s="45" t="s">
        <v>234</v>
      </c>
      <c r="J903" s="46" t="s">
        <v>1957</v>
      </c>
      <c r="K903" s="46" t="s">
        <v>1957</v>
      </c>
      <c r="L903" s="46" t="s">
        <v>12</v>
      </c>
      <c r="M903" s="46" t="s">
        <v>10</v>
      </c>
      <c r="N903" s="46" t="s">
        <v>11</v>
      </c>
      <c r="O903" s="49" t="s">
        <v>815</v>
      </c>
      <c r="P903" s="46" t="s">
        <v>507</v>
      </c>
      <c r="Q903" s="35" t="str">
        <f>MID(Tabla1[[#This Row],[Aplicación]],14,1)</f>
        <v>2</v>
      </c>
      <c r="R903" s="35" t="s">
        <v>495</v>
      </c>
      <c r="S903" s="35" t="str">
        <f>MID(Tabla1[[#This Row],[Aplicación]],6,2)</f>
        <v>10</v>
      </c>
      <c r="T903" s="35" t="str">
        <f>VLOOKUP(Tabla1[[#This Row],[AREA]],Hoja1!A:B,2,FALSE)</f>
        <v>10. Servicios sociales y mediación comunitaria</v>
      </c>
      <c r="U903" s="35" t="str">
        <f>MID(Tabla1[[#This Row],[Aplicación]],9,4)</f>
        <v>2412</v>
      </c>
      <c r="V903" s="35" t="str">
        <f>VLOOKUP(Tabla1[[#This Row],[PROGRAMA]],Hoja1!A:B,2,FALSE)</f>
        <v>2412. Formación para el empleo</v>
      </c>
      <c r="W903" s="35" t="str">
        <f>MID(Tabla1[[#This Row],[Aplicación]],14,2)</f>
        <v>22</v>
      </c>
      <c r="X903" s="35" t="str">
        <f>MID(Tabla1[[#This Row],[Aplicación]],14,6)</f>
        <v>224</v>
      </c>
    </row>
    <row r="904" spans="1:24" x14ac:dyDescent="0.25">
      <c r="A904" s="45">
        <v>220210008540</v>
      </c>
      <c r="B904" s="46" t="s">
        <v>204</v>
      </c>
      <c r="C904" s="47">
        <v>44266</v>
      </c>
      <c r="D904" s="45">
        <v>22021002228</v>
      </c>
      <c r="E904" s="46" t="s">
        <v>1471</v>
      </c>
      <c r="F904" s="48">
        <v>14.52</v>
      </c>
      <c r="G904" s="46" t="s">
        <v>277</v>
      </c>
      <c r="H904" s="46" t="s">
        <v>1959</v>
      </c>
      <c r="I904" s="45" t="s">
        <v>205</v>
      </c>
      <c r="J904" s="46" t="s">
        <v>127</v>
      </c>
      <c r="K904" s="46" t="s">
        <v>127</v>
      </c>
      <c r="L904" s="46" t="s">
        <v>15</v>
      </c>
      <c r="M904" s="46" t="s">
        <v>13</v>
      </c>
      <c r="N904" s="46" t="s">
        <v>14</v>
      </c>
      <c r="O904" s="49" t="s">
        <v>814</v>
      </c>
      <c r="P904" s="46" t="s">
        <v>507</v>
      </c>
      <c r="Q904" s="35" t="str">
        <f>MID(Tabla1[[#This Row],[Aplicación]],14,1)</f>
        <v>2</v>
      </c>
      <c r="R904" s="35" t="s">
        <v>495</v>
      </c>
      <c r="S904" s="35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35" t="str">
        <f>MID(Tabla1[[#This Row],[Aplicación]],9,4)</f>
        <v>3232</v>
      </c>
      <c r="V904" s="35" t="str">
        <f>VLOOKUP(Tabla1[[#This Row],[PROGRAMA]],Hoja1!A:B,2,FALSE)</f>
        <v>3232. Conservación y mantenimiento centros educación infantil y primaria</v>
      </c>
      <c r="W904" s="35" t="str">
        <f>MID(Tabla1[[#This Row],[Aplicación]],14,2)</f>
        <v>21</v>
      </c>
      <c r="X904" s="35" t="str">
        <f>MID(Tabla1[[#This Row],[Aplicación]],14,6)</f>
        <v>212</v>
      </c>
    </row>
    <row r="905" spans="1:24" x14ac:dyDescent="0.25">
      <c r="A905" s="45">
        <v>220210010238</v>
      </c>
      <c r="B905" s="46" t="s">
        <v>9</v>
      </c>
      <c r="C905" s="47">
        <v>44273</v>
      </c>
      <c r="D905" s="45">
        <v>22021003414</v>
      </c>
      <c r="E905" s="46" t="s">
        <v>873</v>
      </c>
      <c r="F905" s="48">
        <v>16.940000000000001</v>
      </c>
      <c r="G905" s="46" t="s">
        <v>1960</v>
      </c>
      <c r="H905" s="46" t="s">
        <v>1961</v>
      </c>
      <c r="I905" s="45" t="s">
        <v>125</v>
      </c>
      <c r="J905" s="46" t="s">
        <v>650</v>
      </c>
      <c r="K905" s="46" t="s">
        <v>127</v>
      </c>
      <c r="L905" s="46" t="s">
        <v>15</v>
      </c>
      <c r="M905" s="46" t="s">
        <v>10</v>
      </c>
      <c r="N905" s="46" t="s">
        <v>11</v>
      </c>
      <c r="O905" s="49" t="s">
        <v>815</v>
      </c>
      <c r="P905" s="46" t="s">
        <v>507</v>
      </c>
      <c r="Q905" s="35" t="str">
        <f>MID(Tabla1[[#This Row],[Aplicación]],14,1)</f>
        <v>2</v>
      </c>
      <c r="R905" s="35" t="s">
        <v>495</v>
      </c>
      <c r="S905" s="35" t="str">
        <f>MID(Tabla1[[#This Row],[Aplicación]],6,2)</f>
        <v>10</v>
      </c>
      <c r="T905" s="35" t="str">
        <f>VLOOKUP(Tabla1[[#This Row],[AREA]],Hoja1!A:B,2,FALSE)</f>
        <v>10. Servicios sociales y mediación comunitaria</v>
      </c>
      <c r="U905" s="35" t="str">
        <f>MID(Tabla1[[#This Row],[Aplicación]],9,4)</f>
        <v>2412</v>
      </c>
      <c r="V905" s="35" t="str">
        <f>VLOOKUP(Tabla1[[#This Row],[PROGRAMA]],Hoja1!A:B,2,FALSE)</f>
        <v>2412. Formación para el empleo</v>
      </c>
      <c r="W905" s="35" t="str">
        <f>MID(Tabla1[[#This Row],[Aplicación]],14,2)</f>
        <v>22</v>
      </c>
      <c r="X905" s="35" t="str">
        <f>MID(Tabla1[[#This Row],[Aplicación]],14,6)</f>
        <v>22199</v>
      </c>
    </row>
    <row r="906" spans="1:24" x14ac:dyDescent="0.25">
      <c r="A906" s="45">
        <v>220210010238</v>
      </c>
      <c r="B906" s="46" t="s">
        <v>9</v>
      </c>
      <c r="C906" s="47">
        <v>44273</v>
      </c>
      <c r="D906" s="45">
        <v>22021003415</v>
      </c>
      <c r="E906" s="46" t="s">
        <v>873</v>
      </c>
      <c r="F906" s="48">
        <v>16.940000000000001</v>
      </c>
      <c r="G906" s="46" t="s">
        <v>1960</v>
      </c>
      <c r="H906" s="46" t="s">
        <v>1961</v>
      </c>
      <c r="I906" s="45" t="s">
        <v>125</v>
      </c>
      <c r="J906" s="46" t="s">
        <v>650</v>
      </c>
      <c r="K906" s="46" t="s">
        <v>127</v>
      </c>
      <c r="L906" s="46" t="s">
        <v>15</v>
      </c>
      <c r="M906" s="46" t="s">
        <v>10</v>
      </c>
      <c r="N906" s="46" t="s">
        <v>11</v>
      </c>
      <c r="O906" s="49" t="s">
        <v>815</v>
      </c>
      <c r="P906" s="46" t="s">
        <v>507</v>
      </c>
      <c r="Q906" s="35" t="str">
        <f>MID(Tabla1[[#This Row],[Aplicación]],14,1)</f>
        <v>2</v>
      </c>
      <c r="R906" s="35" t="s">
        <v>495</v>
      </c>
      <c r="S906" s="35" t="str">
        <f>MID(Tabla1[[#This Row],[Aplicación]],6,2)</f>
        <v>10</v>
      </c>
      <c r="T906" s="35" t="str">
        <f>VLOOKUP(Tabla1[[#This Row],[AREA]],Hoja1!A:B,2,FALSE)</f>
        <v>10. Servicios sociales y mediación comunitaria</v>
      </c>
      <c r="U906" s="35" t="str">
        <f>MID(Tabla1[[#This Row],[Aplicación]],9,4)</f>
        <v>2412</v>
      </c>
      <c r="V906" s="35" t="str">
        <f>VLOOKUP(Tabla1[[#This Row],[PROGRAMA]],Hoja1!A:B,2,FALSE)</f>
        <v>2412. Formación para el empleo</v>
      </c>
      <c r="W906" s="35" t="str">
        <f>MID(Tabla1[[#This Row],[Aplicación]],14,2)</f>
        <v>22</v>
      </c>
      <c r="X906" s="35" t="str">
        <f>MID(Tabla1[[#This Row],[Aplicación]],14,6)</f>
        <v>22199</v>
      </c>
    </row>
    <row r="907" spans="1:24" x14ac:dyDescent="0.25">
      <c r="A907" s="45">
        <v>220210000223</v>
      </c>
      <c r="B907" s="46" t="s">
        <v>9</v>
      </c>
      <c r="C907" s="47">
        <v>44216</v>
      </c>
      <c r="D907" s="45">
        <v>22021000001</v>
      </c>
      <c r="E907" s="46" t="s">
        <v>1501</v>
      </c>
      <c r="F907" s="48">
        <v>827.11</v>
      </c>
      <c r="G907" s="46" t="s">
        <v>53</v>
      </c>
      <c r="H907" s="46" t="s">
        <v>1962</v>
      </c>
      <c r="I907" s="45" t="s">
        <v>125</v>
      </c>
      <c r="J907" s="46" t="s">
        <v>127</v>
      </c>
      <c r="K907" s="46" t="s">
        <v>127</v>
      </c>
      <c r="L907" s="46" t="s">
        <v>12</v>
      </c>
      <c r="M907" s="46" t="s">
        <v>13</v>
      </c>
      <c r="N907" s="46" t="s">
        <v>16</v>
      </c>
      <c r="O907" s="49" t="s">
        <v>803</v>
      </c>
      <c r="P907" s="46" t="s">
        <v>507</v>
      </c>
      <c r="Q907" s="35" t="str">
        <f>MID(Tabla1[[#This Row],[Aplicación]],14,1)</f>
        <v>2</v>
      </c>
      <c r="R907" s="35" t="s">
        <v>495</v>
      </c>
      <c r="S907" s="35" t="str">
        <f>MID(Tabla1[[#This Row],[Aplicación]],6,2)</f>
        <v>09</v>
      </c>
      <c r="T907" s="35" t="str">
        <f>VLOOKUP(Tabla1[[#This Row],[AREA]],Hoja1!A:B,2,FALSE)</f>
        <v>09. Cultura y turismo</v>
      </c>
      <c r="U907" s="35" t="str">
        <f>MID(Tabla1[[#This Row],[Aplicación]],9,4)</f>
        <v>3341</v>
      </c>
      <c r="V907" s="35" t="str">
        <f>VLOOKUP(Tabla1[[#This Row],[PROGRAMA]],Hoja1!A:B,2,FALSE)</f>
        <v>3341. Coordinación de políticas culturales</v>
      </c>
      <c r="W907" s="35" t="str">
        <f>MID(Tabla1[[#This Row],[Aplicación]],14,2)</f>
        <v>22</v>
      </c>
      <c r="X907" s="35" t="str">
        <f>MID(Tabla1[[#This Row],[Aplicación]],14,6)</f>
        <v>22701</v>
      </c>
    </row>
    <row r="908" spans="1:24" x14ac:dyDescent="0.25">
      <c r="A908" s="45">
        <v>220210010238</v>
      </c>
      <c r="B908" s="46" t="s">
        <v>9</v>
      </c>
      <c r="C908" s="47">
        <v>44273</v>
      </c>
      <c r="D908" s="45">
        <v>22021003416</v>
      </c>
      <c r="E908" s="46" t="s">
        <v>873</v>
      </c>
      <c r="F908" s="48">
        <v>16.940000000000001</v>
      </c>
      <c r="G908" s="46" t="s">
        <v>1960</v>
      </c>
      <c r="H908" s="46" t="s">
        <v>1961</v>
      </c>
      <c r="I908" s="45" t="s">
        <v>125</v>
      </c>
      <c r="J908" s="46" t="s">
        <v>650</v>
      </c>
      <c r="K908" s="46" t="s">
        <v>127</v>
      </c>
      <c r="L908" s="46" t="s">
        <v>15</v>
      </c>
      <c r="M908" s="46" t="s">
        <v>10</v>
      </c>
      <c r="N908" s="46" t="s">
        <v>11</v>
      </c>
      <c r="O908" s="49" t="s">
        <v>815</v>
      </c>
      <c r="P908" s="46" t="s">
        <v>507</v>
      </c>
      <c r="Q908" s="35" t="str">
        <f>MID(Tabla1[[#This Row],[Aplicación]],14,1)</f>
        <v>2</v>
      </c>
      <c r="R908" s="35" t="s">
        <v>495</v>
      </c>
      <c r="S908" s="35" t="str">
        <f>MID(Tabla1[[#This Row],[Aplicación]],6,2)</f>
        <v>10</v>
      </c>
      <c r="T908" s="35" t="str">
        <f>VLOOKUP(Tabla1[[#This Row],[AREA]],Hoja1!A:B,2,FALSE)</f>
        <v>10. Servicios sociales y mediación comunitaria</v>
      </c>
      <c r="U908" s="35" t="str">
        <f>MID(Tabla1[[#This Row],[Aplicación]],9,4)</f>
        <v>2412</v>
      </c>
      <c r="V908" s="35" t="str">
        <f>VLOOKUP(Tabla1[[#This Row],[PROGRAMA]],Hoja1!A:B,2,FALSE)</f>
        <v>2412. Formación para el empleo</v>
      </c>
      <c r="W908" s="35" t="str">
        <f>MID(Tabla1[[#This Row],[Aplicación]],14,2)</f>
        <v>22</v>
      </c>
      <c r="X908" s="35" t="str">
        <f>MID(Tabla1[[#This Row],[Aplicación]],14,6)</f>
        <v>22199</v>
      </c>
    </row>
    <row r="909" spans="1:24" x14ac:dyDescent="0.25">
      <c r="A909" s="45">
        <v>220210007078</v>
      </c>
      <c r="B909" s="46" t="s">
        <v>204</v>
      </c>
      <c r="C909" s="47">
        <v>44260</v>
      </c>
      <c r="D909" s="45">
        <v>22021001039</v>
      </c>
      <c r="E909" s="46" t="s">
        <v>844</v>
      </c>
      <c r="F909" s="48">
        <v>17.25</v>
      </c>
      <c r="G909" s="46" t="s">
        <v>277</v>
      </c>
      <c r="H909" s="46" t="s">
        <v>1963</v>
      </c>
      <c r="I909" s="45" t="s">
        <v>205</v>
      </c>
      <c r="J909" s="46" t="s">
        <v>127</v>
      </c>
      <c r="K909" s="46" t="s">
        <v>127</v>
      </c>
      <c r="L909" s="46" t="s">
        <v>15</v>
      </c>
      <c r="M909" s="46" t="s">
        <v>13</v>
      </c>
      <c r="N909" s="46" t="s">
        <v>14</v>
      </c>
      <c r="O909" s="49" t="s">
        <v>814</v>
      </c>
      <c r="P909" s="46" t="s">
        <v>507</v>
      </c>
      <c r="Q909" s="35" t="str">
        <f>MID(Tabla1[[#This Row],[Aplicación]],14,1)</f>
        <v>2</v>
      </c>
      <c r="R909" s="35" t="s">
        <v>495</v>
      </c>
      <c r="S909" s="35" t="str">
        <f>MID(Tabla1[[#This Row],[Aplicación]],6,2)</f>
        <v>10</v>
      </c>
      <c r="T909" s="35" t="str">
        <f>VLOOKUP(Tabla1[[#This Row],[AREA]],Hoja1!A:B,2,FALSE)</f>
        <v>10. Servicios sociales y mediación comunitaria</v>
      </c>
      <c r="U909" s="35" t="str">
        <f>MID(Tabla1[[#This Row],[Aplicación]],9,4)</f>
        <v>2312</v>
      </c>
      <c r="V909" s="35" t="str">
        <f>VLOOKUP(Tabla1[[#This Row],[PROGRAMA]],Hoja1!A:B,2,FALSE)</f>
        <v>2312. Iniciativas sociales</v>
      </c>
      <c r="W909" s="35" t="str">
        <f>MID(Tabla1[[#This Row],[Aplicación]],14,2)</f>
        <v>21</v>
      </c>
      <c r="X909" s="35" t="str">
        <f>MID(Tabla1[[#This Row],[Aplicación]],14,6)</f>
        <v>212</v>
      </c>
    </row>
    <row r="910" spans="1:24" x14ac:dyDescent="0.25">
      <c r="A910" s="45">
        <v>220209000192</v>
      </c>
      <c r="B910" s="46" t="s">
        <v>9</v>
      </c>
      <c r="C910" s="47">
        <v>44198</v>
      </c>
      <c r="D910" s="45">
        <v>22021000236</v>
      </c>
      <c r="E910" s="46" t="s">
        <v>1964</v>
      </c>
      <c r="F910" s="48">
        <v>686030</v>
      </c>
      <c r="G910" s="46" t="s">
        <v>172</v>
      </c>
      <c r="H910" s="46" t="s">
        <v>1965</v>
      </c>
      <c r="I910" s="45" t="s">
        <v>125</v>
      </c>
      <c r="J910" s="46" t="s">
        <v>127</v>
      </c>
      <c r="K910" s="46" t="s">
        <v>127</v>
      </c>
      <c r="L910" s="46" t="s">
        <v>12</v>
      </c>
      <c r="M910" s="46" t="s">
        <v>13</v>
      </c>
      <c r="N910" s="46" t="s">
        <v>14</v>
      </c>
      <c r="O910" s="49" t="s">
        <v>803</v>
      </c>
      <c r="P910" s="46" t="s">
        <v>507</v>
      </c>
      <c r="Q910" s="35" t="str">
        <f>MID(Tabla1[[#This Row],[Aplicación]],14,1)</f>
        <v>2</v>
      </c>
      <c r="R910" s="35" t="s">
        <v>495</v>
      </c>
      <c r="S910" s="35" t="str">
        <f>MID(Tabla1[[#This Row],[Aplicación]],6,2)</f>
        <v>04</v>
      </c>
      <c r="T910" s="35" t="str">
        <f>VLOOKUP(Tabla1[[#This Row],[AREA]],Hoja1!A:B,2,FALSE)</f>
        <v>04. Planificación y recursos</v>
      </c>
      <c r="U910" s="35" t="str">
        <f>MID(Tabla1[[#This Row],[Aplicación]],9,4)</f>
        <v>9231</v>
      </c>
      <c r="V910" s="35" t="str">
        <f>VLOOKUP(Tabla1[[#This Row],[PROGRAMA]],Hoja1!A:B,2,FALSE)</f>
        <v>9231. Información, registro y gestión del padrón</v>
      </c>
      <c r="W910" s="35" t="str">
        <f>MID(Tabla1[[#This Row],[Aplicación]],14,2)</f>
        <v>22</v>
      </c>
      <c r="X910" s="35" t="str">
        <f>MID(Tabla1[[#This Row],[Aplicación]],14,6)</f>
        <v>22200</v>
      </c>
    </row>
    <row r="911" spans="1:24" x14ac:dyDescent="0.25">
      <c r="A911" s="45">
        <v>220210010237</v>
      </c>
      <c r="B911" s="46" t="s">
        <v>9</v>
      </c>
      <c r="C911" s="47">
        <v>44273</v>
      </c>
      <c r="D911" s="45">
        <v>22021003413</v>
      </c>
      <c r="E911" s="46" t="s">
        <v>873</v>
      </c>
      <c r="F911" s="48">
        <v>27.63</v>
      </c>
      <c r="G911" s="46" t="s">
        <v>253</v>
      </c>
      <c r="H911" s="46" t="s">
        <v>1966</v>
      </c>
      <c r="I911" s="45" t="s">
        <v>125</v>
      </c>
      <c r="J911" s="46" t="s">
        <v>127</v>
      </c>
      <c r="K911" s="46" t="s">
        <v>127</v>
      </c>
      <c r="L911" s="46" t="s">
        <v>15</v>
      </c>
      <c r="M911" s="46" t="s">
        <v>10</v>
      </c>
      <c r="N911" s="46" t="s">
        <v>11</v>
      </c>
      <c r="O911" s="49" t="s">
        <v>815</v>
      </c>
      <c r="P911" s="46" t="s">
        <v>507</v>
      </c>
      <c r="Q911" s="35" t="str">
        <f>MID(Tabla1[[#This Row],[Aplicación]],14,1)</f>
        <v>2</v>
      </c>
      <c r="R911" s="35" t="s">
        <v>495</v>
      </c>
      <c r="S911" s="35" t="str">
        <f>MID(Tabla1[[#This Row],[Aplicación]],6,2)</f>
        <v>10</v>
      </c>
      <c r="T911" s="35" t="str">
        <f>VLOOKUP(Tabla1[[#This Row],[AREA]],Hoja1!A:B,2,FALSE)</f>
        <v>10. Servicios sociales y mediación comunitaria</v>
      </c>
      <c r="U911" s="35" t="str">
        <f>MID(Tabla1[[#This Row],[Aplicación]],9,4)</f>
        <v>2412</v>
      </c>
      <c r="V911" s="35" t="str">
        <f>VLOOKUP(Tabla1[[#This Row],[PROGRAMA]],Hoja1!A:B,2,FALSE)</f>
        <v>2412. Formación para el empleo</v>
      </c>
      <c r="W911" s="35" t="str">
        <f>MID(Tabla1[[#This Row],[Aplicación]],14,2)</f>
        <v>22</v>
      </c>
      <c r="X911" s="35" t="str">
        <f>MID(Tabla1[[#This Row],[Aplicación]],14,6)</f>
        <v>22199</v>
      </c>
    </row>
    <row r="912" spans="1:24" x14ac:dyDescent="0.25">
      <c r="A912" s="45">
        <v>220210007305</v>
      </c>
      <c r="B912" s="46" t="s">
        <v>32</v>
      </c>
      <c r="C912" s="47">
        <v>44264</v>
      </c>
      <c r="D912" s="45">
        <v>22021003311</v>
      </c>
      <c r="E912" s="46" t="s">
        <v>1967</v>
      </c>
      <c r="F912" s="48">
        <v>34.380000000000003</v>
      </c>
      <c r="G912" s="46" t="s">
        <v>247</v>
      </c>
      <c r="H912" s="46" t="s">
        <v>1968</v>
      </c>
      <c r="I912" s="45" t="s">
        <v>234</v>
      </c>
      <c r="J912" s="46" t="s">
        <v>127</v>
      </c>
      <c r="K912" s="46" t="s">
        <v>127</v>
      </c>
      <c r="L912" s="46" t="s">
        <v>12</v>
      </c>
      <c r="M912" s="46" t="s">
        <v>10</v>
      </c>
      <c r="N912" s="46" t="s">
        <v>11</v>
      </c>
      <c r="O912" s="49" t="s">
        <v>815</v>
      </c>
      <c r="P912" s="46" t="s">
        <v>507</v>
      </c>
      <c r="Q912" s="35" t="str">
        <f>MID(Tabla1[[#This Row],[Aplicación]],14,1)</f>
        <v>2</v>
      </c>
      <c r="R912" s="35" t="s">
        <v>495</v>
      </c>
      <c r="S912" s="35" t="str">
        <f>MID(Tabla1[[#This Row],[Aplicación]],6,2)</f>
        <v>07</v>
      </c>
      <c r="T912" s="35" t="str">
        <f>VLOOKUP(Tabla1[[#This Row],[AREA]],Hoja1!A:B,2,FALSE)</f>
        <v>07. Medio ambiente y desarrollo sostenible</v>
      </c>
      <c r="U912" s="35" t="str">
        <f>MID(Tabla1[[#This Row],[Aplicación]],9,4)</f>
        <v>1721</v>
      </c>
      <c r="V912" s="35" t="str">
        <f>VLOOKUP(Tabla1[[#This Row],[PROGRAMA]],Hoja1!A:B,2,FALSE)</f>
        <v>1721. Protección del medio ambiente</v>
      </c>
      <c r="W912" s="35" t="str">
        <f>MID(Tabla1[[#This Row],[Aplicación]],14,2)</f>
        <v>22</v>
      </c>
      <c r="X912" s="35" t="str">
        <f>MID(Tabla1[[#This Row],[Aplicación]],14,6)</f>
        <v>223</v>
      </c>
    </row>
    <row r="913" spans="1:24" x14ac:dyDescent="0.25">
      <c r="A913" s="45">
        <v>220210000512</v>
      </c>
      <c r="B913" s="46" t="s">
        <v>9</v>
      </c>
      <c r="C913" s="47">
        <v>44221</v>
      </c>
      <c r="D913" s="45">
        <v>22021001687</v>
      </c>
      <c r="E913" s="46" t="s">
        <v>1478</v>
      </c>
      <c r="F913" s="48">
        <v>39.22</v>
      </c>
      <c r="G913" s="46" t="s">
        <v>87</v>
      </c>
      <c r="H913" s="46" t="s">
        <v>1969</v>
      </c>
      <c r="I913" s="45" t="s">
        <v>125</v>
      </c>
      <c r="J913" s="46" t="s">
        <v>127</v>
      </c>
      <c r="K913" s="46" t="s">
        <v>127</v>
      </c>
      <c r="L913" s="46" t="s">
        <v>15</v>
      </c>
      <c r="M913" s="46" t="s">
        <v>10</v>
      </c>
      <c r="N913" s="46" t="s">
        <v>11</v>
      </c>
      <c r="O913" s="49" t="s">
        <v>815</v>
      </c>
      <c r="P913" s="46" t="s">
        <v>507</v>
      </c>
      <c r="Q913" s="35" t="str">
        <f>MID(Tabla1[[#This Row],[Aplicación]],14,1)</f>
        <v>2</v>
      </c>
      <c r="R913" s="35" t="s">
        <v>495</v>
      </c>
      <c r="S913" s="35" t="str">
        <f>MID(Tabla1[[#This Row],[Aplicación]],6,2)</f>
        <v>03</v>
      </c>
      <c r="T913" s="35" t="str">
        <f>VLOOKUP(Tabla1[[#This Row],[AREA]],Hoja1!A:B,2,FALSE)</f>
        <v>03. Participación ciudadana y deportes</v>
      </c>
      <c r="U913" s="35" t="str">
        <f>MID(Tabla1[[#This Row],[Aplicación]],9,4)</f>
        <v>9241</v>
      </c>
      <c r="V913" s="35" t="str">
        <f>VLOOKUP(Tabla1[[#This Row],[PROGRAMA]],Hoja1!A:B,2,FALSE)</f>
        <v>9241. Participación ciudadana</v>
      </c>
      <c r="W913" s="35" t="str">
        <f>MID(Tabla1[[#This Row],[Aplicación]],14,2)</f>
        <v>21</v>
      </c>
      <c r="X913" s="35" t="str">
        <f>MID(Tabla1[[#This Row],[Aplicación]],14,6)</f>
        <v>212</v>
      </c>
    </row>
    <row r="914" spans="1:24" x14ac:dyDescent="0.25">
      <c r="A914" s="45">
        <v>220210002993</v>
      </c>
      <c r="B914" s="46" t="s">
        <v>204</v>
      </c>
      <c r="C914" s="47">
        <v>44238</v>
      </c>
      <c r="D914" s="45">
        <v>22021002088</v>
      </c>
      <c r="E914" s="46" t="s">
        <v>1478</v>
      </c>
      <c r="F914" s="48">
        <v>39.49</v>
      </c>
      <c r="G914" s="46" t="s">
        <v>282</v>
      </c>
      <c r="H914" s="46" t="s">
        <v>1970</v>
      </c>
      <c r="I914" s="45" t="s">
        <v>205</v>
      </c>
      <c r="J914" s="46" t="s">
        <v>127</v>
      </c>
      <c r="K914" s="46" t="s">
        <v>127</v>
      </c>
      <c r="L914" s="46" t="s">
        <v>15</v>
      </c>
      <c r="M914" s="46" t="s">
        <v>13</v>
      </c>
      <c r="N914" s="46" t="s">
        <v>16</v>
      </c>
      <c r="O914" s="49" t="s">
        <v>814</v>
      </c>
      <c r="P914" s="46" t="s">
        <v>507</v>
      </c>
      <c r="Q914" s="35" t="str">
        <f>MID(Tabla1[[#This Row],[Aplicación]],14,1)</f>
        <v>2</v>
      </c>
      <c r="R914" s="35" t="s">
        <v>495</v>
      </c>
      <c r="S914" s="35" t="str">
        <f>MID(Tabla1[[#This Row],[Aplicación]],6,2)</f>
        <v>03</v>
      </c>
      <c r="T914" s="35" t="str">
        <f>VLOOKUP(Tabla1[[#This Row],[AREA]],Hoja1!A:B,2,FALSE)</f>
        <v>03. Participación ciudadana y deportes</v>
      </c>
      <c r="U914" s="35" t="str">
        <f>MID(Tabla1[[#This Row],[Aplicación]],9,4)</f>
        <v>9241</v>
      </c>
      <c r="V914" s="35" t="str">
        <f>VLOOKUP(Tabla1[[#This Row],[PROGRAMA]],Hoja1!A:B,2,FALSE)</f>
        <v>9241. Participación ciudadana</v>
      </c>
      <c r="W914" s="35" t="str">
        <f>MID(Tabla1[[#This Row],[Aplicación]],14,2)</f>
        <v>21</v>
      </c>
      <c r="X914" s="35" t="str">
        <f>MID(Tabla1[[#This Row],[Aplicación]],14,6)</f>
        <v>212</v>
      </c>
    </row>
    <row r="915" spans="1:24" x14ac:dyDescent="0.25">
      <c r="A915" s="45">
        <v>220210002356</v>
      </c>
      <c r="B915" s="46" t="s">
        <v>9</v>
      </c>
      <c r="C915" s="47">
        <v>44231</v>
      </c>
      <c r="D915" s="45">
        <v>22021002181</v>
      </c>
      <c r="E915" s="46" t="s">
        <v>873</v>
      </c>
      <c r="F915" s="48">
        <v>41.14</v>
      </c>
      <c r="G915" s="46" t="s">
        <v>574</v>
      </c>
      <c r="H915" s="46" t="s">
        <v>1971</v>
      </c>
      <c r="I915" s="45" t="s">
        <v>125</v>
      </c>
      <c r="J915" s="46" t="s">
        <v>127</v>
      </c>
      <c r="K915" s="46" t="s">
        <v>127</v>
      </c>
      <c r="L915" s="46" t="s">
        <v>15</v>
      </c>
      <c r="M915" s="46" t="s">
        <v>10</v>
      </c>
      <c r="N915" s="46" t="s">
        <v>11</v>
      </c>
      <c r="O915" s="49" t="s">
        <v>815</v>
      </c>
      <c r="P915" s="46" t="s">
        <v>507</v>
      </c>
      <c r="Q915" s="35" t="str">
        <f>MID(Tabla1[[#This Row],[Aplicación]],14,1)</f>
        <v>2</v>
      </c>
      <c r="R915" s="35" t="s">
        <v>495</v>
      </c>
      <c r="S915" s="35" t="str">
        <f>MID(Tabla1[[#This Row],[Aplicación]],6,2)</f>
        <v>10</v>
      </c>
      <c r="T915" s="35" t="str">
        <f>VLOOKUP(Tabla1[[#This Row],[AREA]],Hoja1!A:B,2,FALSE)</f>
        <v>10. Servicios sociales y mediación comunitaria</v>
      </c>
      <c r="U915" s="35" t="str">
        <f>MID(Tabla1[[#This Row],[Aplicación]],9,4)</f>
        <v>2412</v>
      </c>
      <c r="V915" s="35" t="str">
        <f>VLOOKUP(Tabla1[[#This Row],[PROGRAMA]],Hoja1!A:B,2,FALSE)</f>
        <v>2412. Formación para el empleo</v>
      </c>
      <c r="W915" s="35" t="str">
        <f>MID(Tabla1[[#This Row],[Aplicación]],14,2)</f>
        <v>22</v>
      </c>
      <c r="X915" s="35" t="str">
        <f>MID(Tabla1[[#This Row],[Aplicación]],14,6)</f>
        <v>22199</v>
      </c>
    </row>
    <row r="916" spans="1:24" x14ac:dyDescent="0.25">
      <c r="A916" s="45">
        <v>220210006033</v>
      </c>
      <c r="B916" s="46" t="s">
        <v>9</v>
      </c>
      <c r="C916" s="47">
        <v>44251</v>
      </c>
      <c r="D916" s="45">
        <v>22021003009</v>
      </c>
      <c r="E916" s="46" t="s">
        <v>1220</v>
      </c>
      <c r="F916" s="48">
        <v>44.77</v>
      </c>
      <c r="G916" s="46" t="s">
        <v>1972</v>
      </c>
      <c r="H916" s="46" t="s">
        <v>1973</v>
      </c>
      <c r="I916" s="45" t="s">
        <v>125</v>
      </c>
      <c r="J916" s="46" t="s">
        <v>613</v>
      </c>
      <c r="K916" s="46" t="s">
        <v>127</v>
      </c>
      <c r="L916" s="46" t="s">
        <v>12</v>
      </c>
      <c r="M916" s="46" t="s">
        <v>10</v>
      </c>
      <c r="N916" s="46" t="s">
        <v>11</v>
      </c>
      <c r="O916" s="49" t="s">
        <v>815</v>
      </c>
      <c r="P916" s="46" t="s">
        <v>507</v>
      </c>
      <c r="Q916" s="35" t="str">
        <f>MID(Tabla1[[#This Row],[Aplicación]],14,1)</f>
        <v>2</v>
      </c>
      <c r="R916" s="35" t="s">
        <v>495</v>
      </c>
      <c r="S916" s="35" t="str">
        <f>MID(Tabla1[[#This Row],[Aplicación]],6,2)</f>
        <v>03</v>
      </c>
      <c r="T916" s="35" t="str">
        <f>VLOOKUP(Tabla1[[#This Row],[AREA]],Hoja1!A:B,2,FALSE)</f>
        <v>03. Participación ciudadana y deportes</v>
      </c>
      <c r="U916" s="35" t="str">
        <f>MID(Tabla1[[#This Row],[Aplicación]],9,4)</f>
        <v>9241</v>
      </c>
      <c r="V916" s="35" t="str">
        <f>VLOOKUP(Tabla1[[#This Row],[PROGRAMA]],Hoja1!A:B,2,FALSE)</f>
        <v>9241. Participación ciudadana</v>
      </c>
      <c r="W916" s="35" t="str">
        <f>MID(Tabla1[[#This Row],[Aplicación]],14,2)</f>
        <v>21</v>
      </c>
      <c r="X916" s="35" t="str">
        <f>MID(Tabla1[[#This Row],[Aplicación]],14,6)</f>
        <v>213</v>
      </c>
    </row>
    <row r="917" spans="1:24" x14ac:dyDescent="0.25">
      <c r="A917" s="45">
        <v>220210010232</v>
      </c>
      <c r="B917" s="46" t="s">
        <v>9</v>
      </c>
      <c r="C917" s="47">
        <v>44273</v>
      </c>
      <c r="D917" s="45">
        <v>22021003468</v>
      </c>
      <c r="E917" s="46" t="s">
        <v>873</v>
      </c>
      <c r="F917" s="48">
        <v>45.44</v>
      </c>
      <c r="G917" s="46" t="s">
        <v>574</v>
      </c>
      <c r="H917" s="46" t="s">
        <v>1974</v>
      </c>
      <c r="I917" s="45" t="s">
        <v>125</v>
      </c>
      <c r="J917" s="46" t="s">
        <v>127</v>
      </c>
      <c r="K917" s="46" t="s">
        <v>127</v>
      </c>
      <c r="L917" s="46" t="s">
        <v>15</v>
      </c>
      <c r="M917" s="46" t="s">
        <v>10</v>
      </c>
      <c r="N917" s="46" t="s">
        <v>11</v>
      </c>
      <c r="O917" s="49" t="s">
        <v>815</v>
      </c>
      <c r="P917" s="46" t="s">
        <v>507</v>
      </c>
      <c r="Q917" s="35" t="str">
        <f>MID(Tabla1[[#This Row],[Aplicación]],14,1)</f>
        <v>2</v>
      </c>
      <c r="R917" s="35" t="s">
        <v>495</v>
      </c>
      <c r="S917" s="35" t="str">
        <f>MID(Tabla1[[#This Row],[Aplicación]],6,2)</f>
        <v>10</v>
      </c>
      <c r="T917" s="35" t="str">
        <f>VLOOKUP(Tabla1[[#This Row],[AREA]],Hoja1!A:B,2,FALSE)</f>
        <v>10. Servicios sociales y mediación comunitaria</v>
      </c>
      <c r="U917" s="35" t="str">
        <f>MID(Tabla1[[#This Row],[Aplicación]],9,4)</f>
        <v>2412</v>
      </c>
      <c r="V917" s="35" t="str">
        <f>VLOOKUP(Tabla1[[#This Row],[PROGRAMA]],Hoja1!A:B,2,FALSE)</f>
        <v>2412. Formación para el empleo</v>
      </c>
      <c r="W917" s="35" t="str">
        <f>MID(Tabla1[[#This Row],[Aplicación]],14,2)</f>
        <v>22</v>
      </c>
      <c r="X917" s="35" t="str">
        <f>MID(Tabla1[[#This Row],[Aplicación]],14,6)</f>
        <v>22199</v>
      </c>
    </row>
    <row r="918" spans="1:24" x14ac:dyDescent="0.25">
      <c r="A918" s="45">
        <v>220210013186</v>
      </c>
      <c r="B918" s="46" t="s">
        <v>9</v>
      </c>
      <c r="C918" s="47">
        <v>44286</v>
      </c>
      <c r="D918" s="45">
        <v>22021003719</v>
      </c>
      <c r="E918" s="46" t="s">
        <v>980</v>
      </c>
      <c r="F918" s="48">
        <v>48.4</v>
      </c>
      <c r="G918" s="46" t="s">
        <v>563</v>
      </c>
      <c r="H918" s="46" t="s">
        <v>1975</v>
      </c>
      <c r="I918" s="45" t="s">
        <v>125</v>
      </c>
      <c r="J918" s="46" t="s">
        <v>127</v>
      </c>
      <c r="K918" s="46" t="s">
        <v>127</v>
      </c>
      <c r="L918" s="46" t="s">
        <v>12</v>
      </c>
      <c r="M918" s="46" t="s">
        <v>10</v>
      </c>
      <c r="N918" s="46" t="s">
        <v>11</v>
      </c>
      <c r="O918" s="49" t="s">
        <v>815</v>
      </c>
      <c r="P918" s="46" t="s">
        <v>507</v>
      </c>
      <c r="Q918" s="35" t="str">
        <f>MID(Tabla1[[#This Row],[Aplicación]],14,1)</f>
        <v>2</v>
      </c>
      <c r="R918" s="35" t="s">
        <v>495</v>
      </c>
      <c r="S918" s="35" t="str">
        <f>MID(Tabla1[[#This Row],[Aplicación]],6,2)</f>
        <v>11</v>
      </c>
      <c r="T918" s="35" t="str">
        <f>VLOOKUP(Tabla1[[#This Row],[AREA]],Hoja1!A:B,2,FALSE)</f>
        <v>11. Salud pública y seguridad ciudadana</v>
      </c>
      <c r="U918" s="35" t="str">
        <f>MID(Tabla1[[#This Row],[Aplicación]],9,4)</f>
        <v>1361</v>
      </c>
      <c r="V918" s="35" t="str">
        <f>VLOOKUP(Tabla1[[#This Row],[PROGRAMA]],Hoja1!A:B,2,FALSE)</f>
        <v>1361. Prevención y extinción de incencios</v>
      </c>
      <c r="W918" s="35" t="str">
        <f>MID(Tabla1[[#This Row],[Aplicación]],14,2)</f>
        <v>21</v>
      </c>
      <c r="X918" s="35" t="str">
        <f>MID(Tabla1[[#This Row],[Aplicación]],14,6)</f>
        <v>213</v>
      </c>
    </row>
    <row r="919" spans="1:24" x14ac:dyDescent="0.25">
      <c r="A919" s="45">
        <v>220210007083</v>
      </c>
      <c r="B919" s="46" t="s">
        <v>204</v>
      </c>
      <c r="C919" s="47">
        <v>44260</v>
      </c>
      <c r="D919" s="45">
        <v>22021002132</v>
      </c>
      <c r="E919" s="46" t="s">
        <v>1180</v>
      </c>
      <c r="F919" s="48">
        <v>53.54</v>
      </c>
      <c r="G919" s="46" t="s">
        <v>1976</v>
      </c>
      <c r="H919" s="46" t="s">
        <v>1977</v>
      </c>
      <c r="I919" s="45" t="s">
        <v>205</v>
      </c>
      <c r="J919" s="46" t="s">
        <v>127</v>
      </c>
      <c r="K919" s="46" t="s">
        <v>127</v>
      </c>
      <c r="L919" s="46" t="s">
        <v>15</v>
      </c>
      <c r="M919" s="46" t="s">
        <v>13</v>
      </c>
      <c r="N919" s="46" t="s">
        <v>11</v>
      </c>
      <c r="O919" s="49" t="s">
        <v>814</v>
      </c>
      <c r="P919" s="46" t="s">
        <v>507</v>
      </c>
      <c r="Q919" s="35" t="str">
        <f>MID(Tabla1[[#This Row],[Aplicación]],14,1)</f>
        <v>2</v>
      </c>
      <c r="R919" s="35" t="s">
        <v>495</v>
      </c>
      <c r="S919" s="35" t="str">
        <f>MID(Tabla1[[#This Row],[Aplicación]],6,2)</f>
        <v>08</v>
      </c>
      <c r="T919" s="35" t="str">
        <f>VLOOKUP(Tabla1[[#This Row],[AREA]],Hoja1!A:B,2,FALSE)</f>
        <v>08. Movilidad y espacio urbano</v>
      </c>
      <c r="U919" s="35" t="str">
        <f>MID(Tabla1[[#This Row],[Aplicación]],9,4)</f>
        <v>1532</v>
      </c>
      <c r="V919" s="35" t="str">
        <f>VLOOKUP(Tabla1[[#This Row],[PROGRAMA]],Hoja1!A:B,2,FALSE)</f>
        <v>1532. Pavimentación vias públicas y otros servicios urbanísticos</v>
      </c>
      <c r="W919" s="35" t="str">
        <f>MID(Tabla1[[#This Row],[Aplicación]],14,2)</f>
        <v>21</v>
      </c>
      <c r="X919" s="35" t="str">
        <f>MID(Tabla1[[#This Row],[Aplicación]],14,6)</f>
        <v>210</v>
      </c>
    </row>
    <row r="920" spans="1:24" x14ac:dyDescent="0.25">
      <c r="A920" s="45">
        <v>220210006045</v>
      </c>
      <c r="B920" s="46" t="s">
        <v>9</v>
      </c>
      <c r="C920" s="47">
        <v>44251</v>
      </c>
      <c r="D920" s="45">
        <v>22021002735</v>
      </c>
      <c r="E920" s="46" t="s">
        <v>1978</v>
      </c>
      <c r="F920" s="48">
        <v>57.46</v>
      </c>
      <c r="G920" s="46" t="s">
        <v>101</v>
      </c>
      <c r="H920" s="46" t="s">
        <v>1979</v>
      </c>
      <c r="I920" s="45" t="s">
        <v>125</v>
      </c>
      <c r="J920" s="46" t="s">
        <v>127</v>
      </c>
      <c r="K920" s="46" t="s">
        <v>127</v>
      </c>
      <c r="L920" s="46" t="s">
        <v>15</v>
      </c>
      <c r="M920" s="46" t="s">
        <v>10</v>
      </c>
      <c r="N920" s="46" t="s">
        <v>11</v>
      </c>
      <c r="O920" s="49" t="s">
        <v>815</v>
      </c>
      <c r="P920" s="46" t="s">
        <v>507</v>
      </c>
      <c r="Q920" s="35" t="str">
        <f>MID(Tabla1[[#This Row],[Aplicación]],14,1)</f>
        <v>2</v>
      </c>
      <c r="R920" s="35" t="s">
        <v>495</v>
      </c>
      <c r="S920" s="35" t="str">
        <f>MID(Tabla1[[#This Row],[Aplicación]],6,2)</f>
        <v>06</v>
      </c>
      <c r="T920" s="35" t="str">
        <f>VLOOKUP(Tabla1[[#This Row],[AREA]],Hoja1!A:B,2,FALSE)</f>
        <v>06. Educación, infancia, juventud e igualdad</v>
      </c>
      <c r="U920" s="35" t="str">
        <f>MID(Tabla1[[#This Row],[Aplicación]],9,4)</f>
        <v>2314</v>
      </c>
      <c r="V920" s="35" t="str">
        <f>VLOOKUP(Tabla1[[#This Row],[PROGRAMA]],Hoja1!A:B,2,FALSE)</f>
        <v>2314. Centro de programas juveniles</v>
      </c>
      <c r="W920" s="35" t="str">
        <f>MID(Tabla1[[#This Row],[Aplicación]],14,2)</f>
        <v>22</v>
      </c>
      <c r="X920" s="35" t="str">
        <f>MID(Tabla1[[#This Row],[Aplicación]],14,6)</f>
        <v>22700</v>
      </c>
    </row>
    <row r="921" spans="1:24" x14ac:dyDescent="0.25">
      <c r="A921" s="45">
        <v>220200032686</v>
      </c>
      <c r="B921" s="46" t="s">
        <v>9</v>
      </c>
      <c r="C921" s="47">
        <v>44284</v>
      </c>
      <c r="D921" s="45">
        <v>22019007497</v>
      </c>
      <c r="E921" s="46" t="s">
        <v>1404</v>
      </c>
      <c r="F921" s="48">
        <v>653116.12</v>
      </c>
      <c r="G921" s="46" t="s">
        <v>1980</v>
      </c>
      <c r="H921" s="46" t="s">
        <v>1981</v>
      </c>
      <c r="I921" s="45" t="s">
        <v>125</v>
      </c>
      <c r="J921" s="46" t="s">
        <v>1982</v>
      </c>
      <c r="K921" s="46" t="s">
        <v>1554</v>
      </c>
      <c r="L921" s="46" t="s">
        <v>31</v>
      </c>
      <c r="M921" s="46" t="s">
        <v>13</v>
      </c>
      <c r="N921" s="46" t="s">
        <v>14</v>
      </c>
      <c r="O921" s="49" t="s">
        <v>803</v>
      </c>
      <c r="P921" s="46" t="s">
        <v>507</v>
      </c>
      <c r="Q921" s="35" t="str">
        <f>MID(Tabla1[[#This Row],[Aplicación]],14,1)</f>
        <v>6</v>
      </c>
      <c r="R921" s="35" t="s">
        <v>496</v>
      </c>
      <c r="S921" s="35" t="str">
        <f>MID(Tabla1[[#This Row],[Aplicación]],6,2)</f>
        <v>05</v>
      </c>
      <c r="T921" s="35" t="str">
        <f>VLOOKUP(Tabla1[[#This Row],[AREA]],Hoja1!A:B,2,FALSE)</f>
        <v>05. Innovación, desarrollo económico, empleo y comercio</v>
      </c>
      <c r="U921" s="35" t="str">
        <f>MID(Tabla1[[#This Row],[Aplicación]],9,4)</f>
        <v>9339</v>
      </c>
      <c r="V921" s="35" t="str">
        <f>VLOOKUP(Tabla1[[#This Row],[PROGRAMA]],Hoja1!A:B,2,FALSE)</f>
        <v>9339. Patrimonio I.F.S. área 05</v>
      </c>
      <c r="W921" s="35" t="str">
        <f>MID(Tabla1[[#This Row],[Aplicación]],14,2)</f>
        <v>63</v>
      </c>
      <c r="X921" s="35" t="str">
        <f>MID(Tabla1[[#This Row],[Aplicación]],14,6)</f>
        <v>632</v>
      </c>
    </row>
    <row r="922" spans="1:24" x14ac:dyDescent="0.25">
      <c r="A922" s="45">
        <v>220209000133</v>
      </c>
      <c r="B922" s="46" t="s">
        <v>9</v>
      </c>
      <c r="C922" s="47">
        <v>44198</v>
      </c>
      <c r="D922" s="45">
        <v>22021000558</v>
      </c>
      <c r="E922" s="46" t="s">
        <v>838</v>
      </c>
      <c r="F922" s="48">
        <v>507708.96</v>
      </c>
      <c r="G922" s="46" t="s">
        <v>174</v>
      </c>
      <c r="H922" s="46" t="s">
        <v>1983</v>
      </c>
      <c r="I922" s="45" t="s">
        <v>125</v>
      </c>
      <c r="J922" s="46" t="s">
        <v>126</v>
      </c>
      <c r="K922" s="46" t="s">
        <v>126</v>
      </c>
      <c r="L922" s="46" t="s">
        <v>12</v>
      </c>
      <c r="M922" s="46" t="s">
        <v>13</v>
      </c>
      <c r="N922" s="46" t="s">
        <v>14</v>
      </c>
      <c r="O922" s="49" t="s">
        <v>803</v>
      </c>
      <c r="P922" s="46" t="s">
        <v>507</v>
      </c>
      <c r="Q922" s="35" t="str">
        <f>MID(Tabla1[[#This Row],[Aplicación]],14,1)</f>
        <v>6</v>
      </c>
      <c r="R922" s="35" t="s">
        <v>496</v>
      </c>
      <c r="S922" s="35" t="str">
        <f>MID(Tabla1[[#This Row],[Aplicación]],6,2)</f>
        <v>07</v>
      </c>
      <c r="T922" s="35" t="str">
        <f>VLOOKUP(Tabla1[[#This Row],[AREA]],Hoja1!A:B,2,FALSE)</f>
        <v>07. Medio ambiente y desarrollo sostenible</v>
      </c>
      <c r="U922" s="35" t="str">
        <f>MID(Tabla1[[#This Row],[Aplicación]],9,4)</f>
        <v>1711</v>
      </c>
      <c r="V922" s="35" t="str">
        <f>VLOOKUP(Tabla1[[#This Row],[PROGRAMA]],Hoja1!A:B,2,FALSE)</f>
        <v>1711. Parques y jardines</v>
      </c>
      <c r="W922" s="35" t="str">
        <f>MID(Tabla1[[#This Row],[Aplicación]],14,2)</f>
        <v>61</v>
      </c>
      <c r="X922" s="35" t="str">
        <f>MID(Tabla1[[#This Row],[Aplicación]],14,6)</f>
        <v>610</v>
      </c>
    </row>
    <row r="923" spans="1:24" x14ac:dyDescent="0.25">
      <c r="A923" s="45">
        <v>220199000212</v>
      </c>
      <c r="B923" s="46" t="s">
        <v>9</v>
      </c>
      <c r="C923" s="47">
        <v>44198</v>
      </c>
      <c r="D923" s="45">
        <v>22021000141</v>
      </c>
      <c r="E923" s="46" t="s">
        <v>883</v>
      </c>
      <c r="F923" s="48">
        <v>414800.93</v>
      </c>
      <c r="G923" s="46" t="s">
        <v>192</v>
      </c>
      <c r="H923" s="46" t="s">
        <v>606</v>
      </c>
      <c r="I923" s="45" t="s">
        <v>125</v>
      </c>
      <c r="J923" s="46" t="s">
        <v>126</v>
      </c>
      <c r="K923" s="46" t="s">
        <v>126</v>
      </c>
      <c r="L923" s="46" t="s">
        <v>12</v>
      </c>
      <c r="M923" s="46" t="s">
        <v>13</v>
      </c>
      <c r="N923" s="46" t="s">
        <v>14</v>
      </c>
      <c r="O923" s="49" t="s">
        <v>803</v>
      </c>
      <c r="P923" s="46" t="s">
        <v>507</v>
      </c>
      <c r="Q923" s="35" t="str">
        <f>MID(Tabla1[[#This Row],[Aplicación]],14,1)</f>
        <v>2</v>
      </c>
      <c r="R923" s="35" t="s">
        <v>495</v>
      </c>
      <c r="S923" s="35" t="str">
        <f>MID(Tabla1[[#This Row],[Aplicación]],6,2)</f>
        <v>11</v>
      </c>
      <c r="T923" s="35" t="str">
        <f>VLOOKUP(Tabla1[[#This Row],[AREA]],Hoja1!A:B,2,FALSE)</f>
        <v>11. Salud pública y seguridad ciudadana</v>
      </c>
      <c r="U923" s="35" t="str">
        <f>MID(Tabla1[[#This Row],[Aplicación]],9,4)</f>
        <v>1621</v>
      </c>
      <c r="V923" s="35" t="str">
        <f>VLOOKUP(Tabla1[[#This Row],[PROGRAMA]],Hoja1!A:B,2,FALSE)</f>
        <v>1621. Servicio de limpieza</v>
      </c>
      <c r="W923" s="35" t="str">
        <f>MID(Tabla1[[#This Row],[Aplicación]],14,2)</f>
        <v>22</v>
      </c>
      <c r="X923" s="35" t="str">
        <f>MID(Tabla1[[#This Row],[Aplicación]],14,6)</f>
        <v>22700</v>
      </c>
    </row>
    <row r="924" spans="1:24" x14ac:dyDescent="0.25">
      <c r="A924" s="45">
        <v>220209000517</v>
      </c>
      <c r="B924" s="46" t="s">
        <v>9</v>
      </c>
      <c r="C924" s="47">
        <v>44198</v>
      </c>
      <c r="D924" s="45">
        <v>22021000560</v>
      </c>
      <c r="E924" s="46" t="s">
        <v>1984</v>
      </c>
      <c r="F924" s="48">
        <v>406778.54</v>
      </c>
      <c r="G924" s="46" t="s">
        <v>111</v>
      </c>
      <c r="H924" s="46" t="s">
        <v>1985</v>
      </c>
      <c r="I924" s="45" t="s">
        <v>125</v>
      </c>
      <c r="J924" s="46" t="s">
        <v>127</v>
      </c>
      <c r="K924" s="46" t="s">
        <v>127</v>
      </c>
      <c r="L924" s="46" t="s">
        <v>12</v>
      </c>
      <c r="M924" s="46" t="s">
        <v>13</v>
      </c>
      <c r="N924" s="46" t="s">
        <v>14</v>
      </c>
      <c r="O924" s="49" t="s">
        <v>803</v>
      </c>
      <c r="P924" s="46" t="s">
        <v>507</v>
      </c>
      <c r="Q924" s="35" t="str">
        <f>MID(Tabla1[[#This Row],[Aplicación]],14,1)</f>
        <v>2</v>
      </c>
      <c r="R924" s="35" t="s">
        <v>495</v>
      </c>
      <c r="S924" s="35" t="str">
        <f>MID(Tabla1[[#This Row],[Aplicación]],6,2)</f>
        <v>11</v>
      </c>
      <c r="T924" s="35" t="str">
        <f>VLOOKUP(Tabla1[[#This Row],[AREA]],Hoja1!A:B,2,FALSE)</f>
        <v>11. Salud pública y seguridad ciudadana</v>
      </c>
      <c r="U924" s="35" t="str">
        <f>MID(Tabla1[[#This Row],[Aplicación]],9,4)</f>
        <v>1621</v>
      </c>
      <c r="V924" s="35" t="str">
        <f>VLOOKUP(Tabla1[[#This Row],[PROGRAMA]],Hoja1!A:B,2,FALSE)</f>
        <v>1621. Servicio de limpieza</v>
      </c>
      <c r="W924" s="35" t="str">
        <f>MID(Tabla1[[#This Row],[Aplicación]],14,2)</f>
        <v>22</v>
      </c>
      <c r="X924" s="35" t="str">
        <f>MID(Tabla1[[#This Row],[Aplicación]],14,6)</f>
        <v>22799</v>
      </c>
    </row>
    <row r="925" spans="1:24" x14ac:dyDescent="0.25">
      <c r="A925" s="45">
        <v>220209000561</v>
      </c>
      <c r="B925" s="46" t="s">
        <v>9</v>
      </c>
      <c r="C925" s="47">
        <v>44198</v>
      </c>
      <c r="D925" s="45">
        <v>22021000591</v>
      </c>
      <c r="E925" s="46" t="s">
        <v>1261</v>
      </c>
      <c r="F925" s="48">
        <v>405540.64</v>
      </c>
      <c r="G925" s="46" t="s">
        <v>101</v>
      </c>
      <c r="H925" s="46" t="s">
        <v>1986</v>
      </c>
      <c r="I925" s="45" t="s">
        <v>125</v>
      </c>
      <c r="J925" s="46" t="s">
        <v>127</v>
      </c>
      <c r="K925" s="46" t="s">
        <v>127</v>
      </c>
      <c r="L925" s="46" t="s">
        <v>12</v>
      </c>
      <c r="M925" s="46" t="s">
        <v>13</v>
      </c>
      <c r="N925" s="46" t="s">
        <v>14</v>
      </c>
      <c r="O925" s="49" t="s">
        <v>803</v>
      </c>
      <c r="P925" s="46" t="s">
        <v>507</v>
      </c>
      <c r="Q925" s="35" t="str">
        <f>MID(Tabla1[[#This Row],[Aplicación]],14,1)</f>
        <v>2</v>
      </c>
      <c r="R925" s="35" t="s">
        <v>495</v>
      </c>
      <c r="S925" s="35" t="str">
        <f>MID(Tabla1[[#This Row],[Aplicación]],6,2)</f>
        <v>03</v>
      </c>
      <c r="T925" s="35" t="str">
        <f>VLOOKUP(Tabla1[[#This Row],[AREA]],Hoja1!A:B,2,FALSE)</f>
        <v>03. Participación ciudadana y deportes</v>
      </c>
      <c r="U925" s="35" t="str">
        <f>MID(Tabla1[[#This Row],[Aplicación]],9,4)</f>
        <v>9241</v>
      </c>
      <c r="V925" s="35" t="str">
        <f>VLOOKUP(Tabla1[[#This Row],[PROGRAMA]],Hoja1!A:B,2,FALSE)</f>
        <v>9241. Participación ciudadana</v>
      </c>
      <c r="W925" s="35" t="str">
        <f>MID(Tabla1[[#This Row],[Aplicación]],14,2)</f>
        <v>22</v>
      </c>
      <c r="X925" s="35" t="str">
        <f>MID(Tabla1[[#This Row],[Aplicación]],14,6)</f>
        <v>22700</v>
      </c>
    </row>
    <row r="926" spans="1:24" x14ac:dyDescent="0.25">
      <c r="A926" s="45">
        <v>220209000701</v>
      </c>
      <c r="B926" s="46" t="s">
        <v>9</v>
      </c>
      <c r="C926" s="47">
        <v>44198</v>
      </c>
      <c r="D926" s="45">
        <v>22021000442</v>
      </c>
      <c r="E926" s="46" t="s">
        <v>1247</v>
      </c>
      <c r="F926" s="48">
        <v>310000</v>
      </c>
      <c r="G926" s="46" t="s">
        <v>156</v>
      </c>
      <c r="H926" s="46" t="s">
        <v>1987</v>
      </c>
      <c r="I926" s="45" t="s">
        <v>125</v>
      </c>
      <c r="J926" s="46" t="s">
        <v>617</v>
      </c>
      <c r="K926" s="46" t="s">
        <v>157</v>
      </c>
      <c r="L926" s="46" t="s">
        <v>12</v>
      </c>
      <c r="M926" s="46" t="s">
        <v>13</v>
      </c>
      <c r="N926" s="46" t="s">
        <v>14</v>
      </c>
      <c r="O926" s="49" t="s">
        <v>803</v>
      </c>
      <c r="P926" s="46" t="s">
        <v>507</v>
      </c>
      <c r="Q926" s="35" t="str">
        <f>MID(Tabla1[[#This Row],[Aplicación]],14,1)</f>
        <v>2</v>
      </c>
      <c r="R926" s="35" t="s">
        <v>495</v>
      </c>
      <c r="S926" s="35" t="str">
        <f>MID(Tabla1[[#This Row],[Aplicación]],6,2)</f>
        <v>10</v>
      </c>
      <c r="T926" s="35" t="str">
        <f>VLOOKUP(Tabla1[[#This Row],[AREA]],Hoja1!A:B,2,FALSE)</f>
        <v>10. Servicios sociales y mediación comunitaria</v>
      </c>
      <c r="U926" s="35" t="str">
        <f>MID(Tabla1[[#This Row],[Aplicación]],9,4)</f>
        <v>2311</v>
      </c>
      <c r="V926" s="35" t="str">
        <f>VLOOKUP(Tabla1[[#This Row],[PROGRAMA]],Hoja1!A:B,2,FALSE)</f>
        <v>2311. Intervención social</v>
      </c>
      <c r="W926" s="35" t="str">
        <f>MID(Tabla1[[#This Row],[Aplicación]],14,2)</f>
        <v>22</v>
      </c>
      <c r="X926" s="35" t="str">
        <f>MID(Tabla1[[#This Row],[Aplicación]],14,6)</f>
        <v>22799</v>
      </c>
    </row>
    <row r="927" spans="1:24" x14ac:dyDescent="0.25">
      <c r="A927" s="45">
        <v>220209000423</v>
      </c>
      <c r="B927" s="46" t="s">
        <v>9</v>
      </c>
      <c r="C927" s="47">
        <v>44198</v>
      </c>
      <c r="D927" s="45">
        <v>22021000300</v>
      </c>
      <c r="E927" s="46" t="s">
        <v>1988</v>
      </c>
      <c r="F927" s="48">
        <v>259256.92</v>
      </c>
      <c r="G927" s="46" t="s">
        <v>168</v>
      </c>
      <c r="H927" s="46" t="s">
        <v>1989</v>
      </c>
      <c r="I927" s="45" t="s">
        <v>125</v>
      </c>
      <c r="J927" s="46" t="s">
        <v>169</v>
      </c>
      <c r="K927" s="46" t="s">
        <v>169</v>
      </c>
      <c r="L927" s="46" t="s">
        <v>12</v>
      </c>
      <c r="M927" s="46" t="s">
        <v>13</v>
      </c>
      <c r="N927" s="46" t="s">
        <v>14</v>
      </c>
      <c r="O927" s="49" t="s">
        <v>803</v>
      </c>
      <c r="P927" s="46" t="s">
        <v>507</v>
      </c>
      <c r="Q927" s="35" t="str">
        <f>MID(Tabla1[[#This Row],[Aplicación]],14,1)</f>
        <v>2</v>
      </c>
      <c r="R927" s="35" t="s">
        <v>495</v>
      </c>
      <c r="S927" s="35" t="str">
        <f>MID(Tabla1[[#This Row],[Aplicación]],6,2)</f>
        <v>11</v>
      </c>
      <c r="T927" s="35" t="str">
        <f>VLOOKUP(Tabla1[[#This Row],[AREA]],Hoja1!A:B,2,FALSE)</f>
        <v>11. Salud pública y seguridad ciudadana</v>
      </c>
      <c r="U927" s="35" t="str">
        <f>MID(Tabla1[[#This Row],[Aplicación]],9,4)</f>
        <v>1321</v>
      </c>
      <c r="V927" s="35" t="str">
        <f>VLOOKUP(Tabla1[[#This Row],[PROGRAMA]],Hoja1!A:B,2,FALSE)</f>
        <v>1321. Policía municipal</v>
      </c>
      <c r="W927" s="35" t="str">
        <f>MID(Tabla1[[#This Row],[Aplicación]],14,2)</f>
        <v>22</v>
      </c>
      <c r="X927" s="35" t="str">
        <f>MID(Tabla1[[#This Row],[Aplicación]],14,6)</f>
        <v>22799</v>
      </c>
    </row>
    <row r="928" spans="1:24" x14ac:dyDescent="0.25">
      <c r="A928" s="45">
        <v>220199000478</v>
      </c>
      <c r="B928" s="46" t="s">
        <v>9</v>
      </c>
      <c r="C928" s="47">
        <v>44198</v>
      </c>
      <c r="D928" s="45">
        <v>22021000079</v>
      </c>
      <c r="E928" s="46" t="s">
        <v>1990</v>
      </c>
      <c r="F928" s="48">
        <v>254100</v>
      </c>
      <c r="G928" s="46" t="s">
        <v>149</v>
      </c>
      <c r="H928" s="46" t="s">
        <v>618</v>
      </c>
      <c r="I928" s="45" t="s">
        <v>125</v>
      </c>
      <c r="J928" s="46" t="s">
        <v>619</v>
      </c>
      <c r="K928" s="46" t="s">
        <v>127</v>
      </c>
      <c r="L928" s="46" t="s">
        <v>12</v>
      </c>
      <c r="M928" s="46" t="s">
        <v>13</v>
      </c>
      <c r="N928" s="46" t="s">
        <v>14</v>
      </c>
      <c r="O928" s="49" t="s">
        <v>803</v>
      </c>
      <c r="P928" s="46" t="s">
        <v>507</v>
      </c>
      <c r="Q928" s="35" t="str">
        <f>MID(Tabla1[[#This Row],[Aplicación]],14,1)</f>
        <v>2</v>
      </c>
      <c r="R928" s="35" t="s">
        <v>495</v>
      </c>
      <c r="S928" s="35" t="str">
        <f>MID(Tabla1[[#This Row],[Aplicación]],6,2)</f>
        <v>06</v>
      </c>
      <c r="T928" s="35" t="str">
        <f>VLOOKUP(Tabla1[[#This Row],[AREA]],Hoja1!A:B,2,FALSE)</f>
        <v>06. Educación, infancia, juventud e igualdad</v>
      </c>
      <c r="U928" s="35" t="str">
        <f>MID(Tabla1[[#This Row],[Aplicación]],9,4)</f>
        <v>3321</v>
      </c>
      <c r="V928" s="35" t="str">
        <f>VLOOKUP(Tabla1[[#This Row],[PROGRAMA]],Hoja1!A:B,2,FALSE)</f>
        <v>3321. Bibliotecas públicas</v>
      </c>
      <c r="W928" s="35" t="str">
        <f>MID(Tabla1[[#This Row],[Aplicación]],14,2)</f>
        <v>22</v>
      </c>
      <c r="X928" s="35" t="str">
        <f>MID(Tabla1[[#This Row],[Aplicación]],14,6)</f>
        <v>22799</v>
      </c>
    </row>
    <row r="929" spans="1:24" x14ac:dyDescent="0.25">
      <c r="A929" s="45">
        <v>220200051501</v>
      </c>
      <c r="B929" s="46" t="s">
        <v>9</v>
      </c>
      <c r="C929" s="47">
        <v>44284</v>
      </c>
      <c r="D929" s="45">
        <v>22019007677</v>
      </c>
      <c r="E929" s="46" t="s">
        <v>1991</v>
      </c>
      <c r="F929" s="48">
        <v>219835.62</v>
      </c>
      <c r="G929" s="46" t="s">
        <v>1992</v>
      </c>
      <c r="H929" s="46" t="s">
        <v>1993</v>
      </c>
      <c r="I929" s="45" t="s">
        <v>125</v>
      </c>
      <c r="J929" s="46" t="s">
        <v>634</v>
      </c>
      <c r="K929" s="46" t="s">
        <v>127</v>
      </c>
      <c r="L929" s="46" t="s">
        <v>31</v>
      </c>
      <c r="M929" s="46" t="s">
        <v>13</v>
      </c>
      <c r="N929" s="46" t="s">
        <v>14</v>
      </c>
      <c r="O929" s="49" t="s">
        <v>803</v>
      </c>
      <c r="P929" s="46" t="s">
        <v>507</v>
      </c>
      <c r="Q929" s="35" t="str">
        <f>MID(Tabla1[[#This Row],[Aplicación]],14,1)</f>
        <v>6</v>
      </c>
      <c r="R929" s="35" t="s">
        <v>496</v>
      </c>
      <c r="S929" s="35" t="str">
        <f>MID(Tabla1[[#This Row],[Aplicación]],6,2)</f>
        <v>11</v>
      </c>
      <c r="T929" s="35" t="str">
        <f>VLOOKUP(Tabla1[[#This Row],[AREA]],Hoja1!A:B,2,FALSE)</f>
        <v>11. Salud pública y seguridad ciudadana</v>
      </c>
      <c r="U929" s="35" t="str">
        <f>MID(Tabla1[[#This Row],[Aplicación]],9,4)</f>
        <v>1321</v>
      </c>
      <c r="V929" s="35" t="str">
        <f>VLOOKUP(Tabla1[[#This Row],[PROGRAMA]],Hoja1!A:B,2,FALSE)</f>
        <v>1321. Policía municipal</v>
      </c>
      <c r="W929" s="35" t="str">
        <f>MID(Tabla1[[#This Row],[Aplicación]],14,2)</f>
        <v>63</v>
      </c>
      <c r="X929" s="35" t="str">
        <f>MID(Tabla1[[#This Row],[Aplicación]],14,6)</f>
        <v>632</v>
      </c>
    </row>
    <row r="930" spans="1:24" x14ac:dyDescent="0.25">
      <c r="A930" s="45">
        <v>220209000719</v>
      </c>
      <c r="B930" s="46" t="s">
        <v>9</v>
      </c>
      <c r="C930" s="47">
        <v>44198</v>
      </c>
      <c r="D930" s="45">
        <v>22021000456</v>
      </c>
      <c r="E930" s="46" t="s">
        <v>1415</v>
      </c>
      <c r="F930" s="48">
        <v>188183.2</v>
      </c>
      <c r="G930" s="46" t="s">
        <v>177</v>
      </c>
      <c r="H930" s="46" t="s">
        <v>1994</v>
      </c>
      <c r="I930" s="45" t="s">
        <v>125</v>
      </c>
      <c r="J930" s="46" t="s">
        <v>626</v>
      </c>
      <c r="K930" s="46" t="s">
        <v>178</v>
      </c>
      <c r="L930" s="46" t="s">
        <v>12</v>
      </c>
      <c r="M930" s="46" t="s">
        <v>13</v>
      </c>
      <c r="N930" s="46" t="s">
        <v>14</v>
      </c>
      <c r="O930" s="49" t="s">
        <v>803</v>
      </c>
      <c r="P930" s="46" t="s">
        <v>507</v>
      </c>
      <c r="Q930" s="35" t="str">
        <f>MID(Tabla1[[#This Row],[Aplicación]],14,1)</f>
        <v>2</v>
      </c>
      <c r="R930" s="35" t="s">
        <v>495</v>
      </c>
      <c r="S930" s="35" t="str">
        <f>MID(Tabla1[[#This Row],[Aplicación]],6,2)</f>
        <v>10</v>
      </c>
      <c r="T930" s="35" t="str">
        <f>VLOOKUP(Tabla1[[#This Row],[AREA]],Hoja1!A:B,2,FALSE)</f>
        <v>10. Servicios sociales y mediación comunitaria</v>
      </c>
      <c r="U930" s="35" t="str">
        <f>MID(Tabla1[[#This Row],[Aplicación]],9,4)</f>
        <v>2312</v>
      </c>
      <c r="V930" s="35" t="str">
        <f>VLOOKUP(Tabla1[[#This Row],[PROGRAMA]],Hoja1!A:B,2,FALSE)</f>
        <v>2312. Iniciativas sociales</v>
      </c>
      <c r="W930" s="35" t="str">
        <f>MID(Tabla1[[#This Row],[Aplicación]],14,2)</f>
        <v>22</v>
      </c>
      <c r="X930" s="35" t="str">
        <f>MID(Tabla1[[#This Row],[Aplicación]],14,6)</f>
        <v>22799</v>
      </c>
    </row>
    <row r="931" spans="1:24" x14ac:dyDescent="0.25">
      <c r="A931" s="45">
        <v>220209000722</v>
      </c>
      <c r="B931" s="46" t="s">
        <v>9</v>
      </c>
      <c r="C931" s="47">
        <v>44198</v>
      </c>
      <c r="D931" s="45">
        <v>22021002461</v>
      </c>
      <c r="E931" s="46" t="s">
        <v>1995</v>
      </c>
      <c r="F931" s="48">
        <v>181339.22</v>
      </c>
      <c r="G931" s="46" t="s">
        <v>101</v>
      </c>
      <c r="H931" s="46" t="s">
        <v>1996</v>
      </c>
      <c r="I931" s="45" t="s">
        <v>125</v>
      </c>
      <c r="J931" s="46" t="s">
        <v>127</v>
      </c>
      <c r="K931" s="46" t="s">
        <v>127</v>
      </c>
      <c r="L931" s="46" t="s">
        <v>12</v>
      </c>
      <c r="M931" s="46" t="s">
        <v>13</v>
      </c>
      <c r="N931" s="46" t="s">
        <v>14</v>
      </c>
      <c r="O931" s="49" t="s">
        <v>803</v>
      </c>
      <c r="P931" s="46" t="s">
        <v>507</v>
      </c>
      <c r="Q931" s="35" t="str">
        <f>MID(Tabla1[[#This Row],[Aplicación]],14,1)</f>
        <v>2</v>
      </c>
      <c r="R931" s="35" t="s">
        <v>495</v>
      </c>
      <c r="S931" s="35" t="str">
        <f>MID(Tabla1[[#This Row],[Aplicación]],6,2)</f>
        <v>10</v>
      </c>
      <c r="T931" s="35" t="str">
        <f>VLOOKUP(Tabla1[[#This Row],[AREA]],Hoja1!A:B,2,FALSE)</f>
        <v>10. Servicios sociales y mediación comunitaria</v>
      </c>
      <c r="U931" s="35" t="str">
        <f>MID(Tabla1[[#This Row],[Aplicación]],9,4)</f>
        <v>2312</v>
      </c>
      <c r="V931" s="35" t="str">
        <f>VLOOKUP(Tabla1[[#This Row],[PROGRAMA]],Hoja1!A:B,2,FALSE)</f>
        <v>2312. Iniciativas sociales</v>
      </c>
      <c r="W931" s="35" t="str">
        <f>MID(Tabla1[[#This Row],[Aplicación]],14,2)</f>
        <v>22</v>
      </c>
      <c r="X931" s="35" t="str">
        <f>MID(Tabla1[[#This Row],[Aplicación]],14,6)</f>
        <v>22700</v>
      </c>
    </row>
    <row r="932" spans="1:24" x14ac:dyDescent="0.25">
      <c r="A932" s="45">
        <v>220209000773</v>
      </c>
      <c r="B932" s="46" t="s">
        <v>9</v>
      </c>
      <c r="C932" s="47">
        <v>44198</v>
      </c>
      <c r="D932" s="45">
        <v>22021000524</v>
      </c>
      <c r="E932" s="46" t="s">
        <v>1724</v>
      </c>
      <c r="F932" s="48">
        <v>179726.04</v>
      </c>
      <c r="G932" s="46" t="s">
        <v>175</v>
      </c>
      <c r="H932" s="46" t="s">
        <v>1997</v>
      </c>
      <c r="I932" s="45" t="s">
        <v>125</v>
      </c>
      <c r="J932" s="46" t="s">
        <v>127</v>
      </c>
      <c r="K932" s="46" t="s">
        <v>127</v>
      </c>
      <c r="L932" s="46" t="s">
        <v>12</v>
      </c>
      <c r="M932" s="46" t="s">
        <v>13</v>
      </c>
      <c r="N932" s="46" t="s">
        <v>14</v>
      </c>
      <c r="O932" s="49" t="s">
        <v>803</v>
      </c>
      <c r="P932" s="46" t="s">
        <v>507</v>
      </c>
      <c r="Q932" s="35" t="str">
        <f>MID(Tabla1[[#This Row],[Aplicación]],14,1)</f>
        <v>6</v>
      </c>
      <c r="R932" s="35" t="s">
        <v>496</v>
      </c>
      <c r="S932" s="35" t="str">
        <f>MID(Tabla1[[#This Row],[Aplicación]],6,2)</f>
        <v>07</v>
      </c>
      <c r="T932" s="35" t="str">
        <f>VLOOKUP(Tabla1[[#This Row],[AREA]],Hoja1!A:B,2,FALSE)</f>
        <v>07. Medio ambiente y desarrollo sostenible</v>
      </c>
      <c r="U932" s="35" t="str">
        <f>MID(Tabla1[[#This Row],[Aplicación]],9,4)</f>
        <v>1711</v>
      </c>
      <c r="V932" s="35" t="str">
        <f>VLOOKUP(Tabla1[[#This Row],[PROGRAMA]],Hoja1!A:B,2,FALSE)</f>
        <v>1711. Parques y jardines</v>
      </c>
      <c r="W932" s="35" t="str">
        <f>MID(Tabla1[[#This Row],[Aplicación]],14,2)</f>
        <v>61</v>
      </c>
      <c r="X932" s="35" t="str">
        <f>MID(Tabla1[[#This Row],[Aplicación]],14,6)</f>
        <v>619</v>
      </c>
    </row>
    <row r="933" spans="1:24" x14ac:dyDescent="0.25">
      <c r="A933" s="45">
        <v>220209000721</v>
      </c>
      <c r="B933" s="46" t="s">
        <v>9</v>
      </c>
      <c r="C933" s="47">
        <v>44198</v>
      </c>
      <c r="D933" s="45">
        <v>22021002460</v>
      </c>
      <c r="E933" s="46" t="s">
        <v>1995</v>
      </c>
      <c r="F933" s="48">
        <v>179648.24</v>
      </c>
      <c r="G933" s="46" t="s">
        <v>101</v>
      </c>
      <c r="H933" s="46" t="s">
        <v>1998</v>
      </c>
      <c r="I933" s="45" t="s">
        <v>125</v>
      </c>
      <c r="J933" s="46" t="s">
        <v>127</v>
      </c>
      <c r="K933" s="46" t="s">
        <v>127</v>
      </c>
      <c r="L933" s="46" t="s">
        <v>12</v>
      </c>
      <c r="M933" s="46" t="s">
        <v>13</v>
      </c>
      <c r="N933" s="46" t="s">
        <v>14</v>
      </c>
      <c r="O933" s="49" t="s">
        <v>803</v>
      </c>
      <c r="P933" s="46" t="s">
        <v>507</v>
      </c>
      <c r="Q933" s="35" t="str">
        <f>MID(Tabla1[[#This Row],[Aplicación]],14,1)</f>
        <v>2</v>
      </c>
      <c r="R933" s="35" t="s">
        <v>495</v>
      </c>
      <c r="S933" s="35" t="str">
        <f>MID(Tabla1[[#This Row],[Aplicación]],6,2)</f>
        <v>10</v>
      </c>
      <c r="T933" s="35" t="str">
        <f>VLOOKUP(Tabla1[[#This Row],[AREA]],Hoja1!A:B,2,FALSE)</f>
        <v>10. Servicios sociales y mediación comunitaria</v>
      </c>
      <c r="U933" s="35" t="str">
        <f>MID(Tabla1[[#This Row],[Aplicación]],9,4)</f>
        <v>2312</v>
      </c>
      <c r="V933" s="35" t="str">
        <f>VLOOKUP(Tabla1[[#This Row],[PROGRAMA]],Hoja1!A:B,2,FALSE)</f>
        <v>2312. Iniciativas sociales</v>
      </c>
      <c r="W933" s="35" t="str">
        <f>MID(Tabla1[[#This Row],[Aplicación]],14,2)</f>
        <v>22</v>
      </c>
      <c r="X933" s="35" t="str">
        <f>MID(Tabla1[[#This Row],[Aplicación]],14,6)</f>
        <v>22700</v>
      </c>
    </row>
    <row r="934" spans="1:24" x14ac:dyDescent="0.25">
      <c r="A934" s="45">
        <v>220210004530</v>
      </c>
      <c r="B934" s="46" t="s">
        <v>204</v>
      </c>
      <c r="C934" s="47">
        <v>44246</v>
      </c>
      <c r="D934" s="45">
        <v>22021001275</v>
      </c>
      <c r="E934" s="46" t="s">
        <v>1334</v>
      </c>
      <c r="F934" s="48">
        <v>37.61</v>
      </c>
      <c r="G934" s="46" t="s">
        <v>274</v>
      </c>
      <c r="H934" s="46" t="s">
        <v>1461</v>
      </c>
      <c r="I934" s="45" t="s">
        <v>205</v>
      </c>
      <c r="J934" s="46" t="s">
        <v>127</v>
      </c>
      <c r="K934" s="46" t="s">
        <v>127</v>
      </c>
      <c r="L934" s="46" t="s">
        <v>15</v>
      </c>
      <c r="M934" s="46" t="s">
        <v>13</v>
      </c>
      <c r="N934" s="46" t="s">
        <v>14</v>
      </c>
      <c r="O934" s="49" t="s">
        <v>814</v>
      </c>
      <c r="P934" s="46" t="s">
        <v>507</v>
      </c>
      <c r="Q934" s="35" t="str">
        <f>MID(Tabla1[[#This Row],[Aplicación]],14,1)</f>
        <v>2</v>
      </c>
      <c r="R934" s="35" t="s">
        <v>495</v>
      </c>
      <c r="S934" s="35" t="str">
        <f>MID(Tabla1[[#This Row],[Aplicación]],6,2)</f>
        <v>07</v>
      </c>
      <c r="T934" s="35" t="str">
        <f>VLOOKUP(Tabla1[[#This Row],[AREA]],Hoja1!A:B,2,FALSE)</f>
        <v>07. Medio ambiente y desarrollo sostenible</v>
      </c>
      <c r="U934" s="35" t="str">
        <f>MID(Tabla1[[#This Row],[Aplicación]],9,4)</f>
        <v>1711</v>
      </c>
      <c r="V934" s="35" t="str">
        <f>VLOOKUP(Tabla1[[#This Row],[PROGRAMA]],Hoja1!A:B,2,FALSE)</f>
        <v>1711. Parques y jardines</v>
      </c>
      <c r="W934" s="35" t="str">
        <f>MID(Tabla1[[#This Row],[Aplicación]],14,2)</f>
        <v>22</v>
      </c>
      <c r="X934" s="35" t="str">
        <f>MID(Tabla1[[#This Row],[Aplicación]],14,6)</f>
        <v>22199</v>
      </c>
    </row>
    <row r="935" spans="1:24" x14ac:dyDescent="0.25">
      <c r="A935" s="45">
        <v>220210005476</v>
      </c>
      <c r="B935" s="46" t="s">
        <v>204</v>
      </c>
      <c r="C935" s="47">
        <v>44250</v>
      </c>
      <c r="D935" s="45">
        <v>22021001968</v>
      </c>
      <c r="E935" s="46" t="s">
        <v>1388</v>
      </c>
      <c r="F935" s="48">
        <v>1306.28</v>
      </c>
      <c r="G935" s="46" t="s">
        <v>274</v>
      </c>
      <c r="H935" s="46" t="s">
        <v>1999</v>
      </c>
      <c r="I935" s="45" t="s">
        <v>205</v>
      </c>
      <c r="J935" s="46" t="s">
        <v>127</v>
      </c>
      <c r="K935" s="46" t="s">
        <v>127</v>
      </c>
      <c r="L935" s="46" t="s">
        <v>15</v>
      </c>
      <c r="M935" s="46" t="s">
        <v>13</v>
      </c>
      <c r="N935" s="46" t="s">
        <v>14</v>
      </c>
      <c r="O935" s="49" t="s">
        <v>814</v>
      </c>
      <c r="P935" s="46" t="s">
        <v>507</v>
      </c>
      <c r="Q935" s="35" t="str">
        <f>MID(Tabla1[[#This Row],[Aplicación]],14,1)</f>
        <v>2</v>
      </c>
      <c r="R935" s="35" t="s">
        <v>495</v>
      </c>
      <c r="S935" s="35" t="str">
        <f>MID(Tabla1[[#This Row],[Aplicación]],6,2)</f>
        <v>11</v>
      </c>
      <c r="T935" s="35" t="str">
        <f>VLOOKUP(Tabla1[[#This Row],[AREA]],Hoja1!A:B,2,FALSE)</f>
        <v>11. Salud pública y seguridad ciudadana</v>
      </c>
      <c r="U935" s="35" t="str">
        <f>MID(Tabla1[[#This Row],[Aplicación]],9,4)</f>
        <v>1321</v>
      </c>
      <c r="V935" s="35" t="str">
        <f>VLOOKUP(Tabla1[[#This Row],[PROGRAMA]],Hoja1!A:B,2,FALSE)</f>
        <v>1321. Policía municipal</v>
      </c>
      <c r="W935" s="35" t="str">
        <f>MID(Tabla1[[#This Row],[Aplicación]],14,2)</f>
        <v>22</v>
      </c>
      <c r="X935" s="35" t="str">
        <f>MID(Tabla1[[#This Row],[Aplicación]],14,6)</f>
        <v>22199</v>
      </c>
    </row>
    <row r="936" spans="1:24" x14ac:dyDescent="0.25">
      <c r="A936" s="45">
        <v>220210005493</v>
      </c>
      <c r="B936" s="46" t="s">
        <v>204</v>
      </c>
      <c r="C936" s="47">
        <v>44250</v>
      </c>
      <c r="D936" s="45">
        <v>22021001968</v>
      </c>
      <c r="E936" s="46" t="s">
        <v>1388</v>
      </c>
      <c r="F936" s="48">
        <v>236.93</v>
      </c>
      <c r="G936" s="46" t="s">
        <v>274</v>
      </c>
      <c r="H936" s="46" t="s">
        <v>2000</v>
      </c>
      <c r="I936" s="45" t="s">
        <v>205</v>
      </c>
      <c r="J936" s="46" t="s">
        <v>127</v>
      </c>
      <c r="K936" s="46" t="s">
        <v>127</v>
      </c>
      <c r="L936" s="46" t="s">
        <v>15</v>
      </c>
      <c r="M936" s="46" t="s">
        <v>13</v>
      </c>
      <c r="N936" s="46" t="s">
        <v>14</v>
      </c>
      <c r="O936" s="49" t="s">
        <v>814</v>
      </c>
      <c r="P936" s="46" t="s">
        <v>507</v>
      </c>
      <c r="Q936" s="35" t="str">
        <f>MID(Tabla1[[#This Row],[Aplicación]],14,1)</f>
        <v>2</v>
      </c>
      <c r="R936" s="35" t="s">
        <v>495</v>
      </c>
      <c r="S936" s="35" t="str">
        <f>MID(Tabla1[[#This Row],[Aplicación]],6,2)</f>
        <v>11</v>
      </c>
      <c r="T936" s="35" t="str">
        <f>VLOOKUP(Tabla1[[#This Row],[AREA]],Hoja1!A:B,2,FALSE)</f>
        <v>11. Salud pública y seguridad ciudadana</v>
      </c>
      <c r="U936" s="35" t="str">
        <f>MID(Tabla1[[#This Row],[Aplicación]],9,4)</f>
        <v>1321</v>
      </c>
      <c r="V936" s="35" t="str">
        <f>VLOOKUP(Tabla1[[#This Row],[PROGRAMA]],Hoja1!A:B,2,FALSE)</f>
        <v>1321. Policía municipal</v>
      </c>
      <c r="W936" s="35" t="str">
        <f>MID(Tabla1[[#This Row],[Aplicación]],14,2)</f>
        <v>22</v>
      </c>
      <c r="X936" s="35" t="str">
        <f>MID(Tabla1[[#This Row],[Aplicación]],14,6)</f>
        <v>22199</v>
      </c>
    </row>
    <row r="937" spans="1:24" x14ac:dyDescent="0.25">
      <c r="A937" s="45">
        <v>220210005513</v>
      </c>
      <c r="B937" s="46" t="s">
        <v>204</v>
      </c>
      <c r="C937" s="47">
        <v>44250</v>
      </c>
      <c r="D937" s="45">
        <v>22021002052</v>
      </c>
      <c r="E937" s="46" t="s">
        <v>1340</v>
      </c>
      <c r="F937" s="48">
        <v>424.01</v>
      </c>
      <c r="G937" s="46" t="s">
        <v>274</v>
      </c>
      <c r="H937" s="46" t="s">
        <v>2001</v>
      </c>
      <c r="I937" s="45" t="s">
        <v>205</v>
      </c>
      <c r="J937" s="46" t="s">
        <v>127</v>
      </c>
      <c r="K937" s="46" t="s">
        <v>127</v>
      </c>
      <c r="L937" s="46" t="s">
        <v>15</v>
      </c>
      <c r="M937" s="46" t="s">
        <v>13</v>
      </c>
      <c r="N937" s="46" t="s">
        <v>14</v>
      </c>
      <c r="O937" s="49" t="s">
        <v>814</v>
      </c>
      <c r="P937" s="46" t="s">
        <v>507</v>
      </c>
      <c r="Q937" s="35" t="str">
        <f>MID(Tabla1[[#This Row],[Aplicación]],14,1)</f>
        <v>2</v>
      </c>
      <c r="R937" s="35" t="s">
        <v>495</v>
      </c>
      <c r="S937" s="35" t="str">
        <f>MID(Tabla1[[#This Row],[Aplicación]],6,2)</f>
        <v>11</v>
      </c>
      <c r="T937" s="35" t="str">
        <f>VLOOKUP(Tabla1[[#This Row],[AREA]],Hoja1!A:B,2,FALSE)</f>
        <v>11. Salud pública y seguridad ciudadana</v>
      </c>
      <c r="U937" s="35" t="str">
        <f>MID(Tabla1[[#This Row],[Aplicación]],9,4)</f>
        <v>1621</v>
      </c>
      <c r="V937" s="35" t="str">
        <f>VLOOKUP(Tabla1[[#This Row],[PROGRAMA]],Hoja1!A:B,2,FALSE)</f>
        <v>1621. Servicio de limpieza</v>
      </c>
      <c r="W937" s="35" t="str">
        <f>MID(Tabla1[[#This Row],[Aplicación]],14,2)</f>
        <v>22</v>
      </c>
      <c r="X937" s="35" t="str">
        <f>MID(Tabla1[[#This Row],[Aplicación]],14,6)</f>
        <v>22199</v>
      </c>
    </row>
    <row r="938" spans="1:24" x14ac:dyDescent="0.25">
      <c r="A938" s="45">
        <v>220210005540</v>
      </c>
      <c r="B938" s="46" t="s">
        <v>204</v>
      </c>
      <c r="C938" s="47">
        <v>44250</v>
      </c>
      <c r="D938" s="45">
        <v>22021002052</v>
      </c>
      <c r="E938" s="46" t="s">
        <v>1340</v>
      </c>
      <c r="F938" s="48">
        <v>150.32</v>
      </c>
      <c r="G938" s="46" t="s">
        <v>274</v>
      </c>
      <c r="H938" s="46" t="s">
        <v>2001</v>
      </c>
      <c r="I938" s="45" t="s">
        <v>205</v>
      </c>
      <c r="J938" s="46" t="s">
        <v>127</v>
      </c>
      <c r="K938" s="46" t="s">
        <v>127</v>
      </c>
      <c r="L938" s="46" t="s">
        <v>15</v>
      </c>
      <c r="M938" s="46" t="s">
        <v>13</v>
      </c>
      <c r="N938" s="46" t="s">
        <v>14</v>
      </c>
      <c r="O938" s="49" t="s">
        <v>814</v>
      </c>
      <c r="P938" s="46" t="s">
        <v>507</v>
      </c>
      <c r="Q938" s="35" t="str">
        <f>MID(Tabla1[[#This Row],[Aplicación]],14,1)</f>
        <v>2</v>
      </c>
      <c r="R938" s="35" t="s">
        <v>495</v>
      </c>
      <c r="S938" s="35" t="str">
        <f>MID(Tabla1[[#This Row],[Aplicación]],6,2)</f>
        <v>11</v>
      </c>
      <c r="T938" s="35" t="str">
        <f>VLOOKUP(Tabla1[[#This Row],[AREA]],Hoja1!A:B,2,FALSE)</f>
        <v>11. Salud pública y seguridad ciudadana</v>
      </c>
      <c r="U938" s="35" t="str">
        <f>MID(Tabla1[[#This Row],[Aplicación]],9,4)</f>
        <v>1621</v>
      </c>
      <c r="V938" s="35" t="str">
        <f>VLOOKUP(Tabla1[[#This Row],[PROGRAMA]],Hoja1!A:B,2,FALSE)</f>
        <v>1621. Servicio de limpieza</v>
      </c>
      <c r="W938" s="35" t="str">
        <f>MID(Tabla1[[#This Row],[Aplicación]],14,2)</f>
        <v>22</v>
      </c>
      <c r="X938" s="35" t="str">
        <f>MID(Tabla1[[#This Row],[Aplicación]],14,6)</f>
        <v>22199</v>
      </c>
    </row>
    <row r="939" spans="1:24" x14ac:dyDescent="0.25">
      <c r="A939" s="45">
        <v>220210005544</v>
      </c>
      <c r="B939" s="46" t="s">
        <v>204</v>
      </c>
      <c r="C939" s="47">
        <v>44250</v>
      </c>
      <c r="D939" s="45">
        <v>22021002050</v>
      </c>
      <c r="E939" s="46" t="s">
        <v>2002</v>
      </c>
      <c r="F939" s="48">
        <v>7.22</v>
      </c>
      <c r="G939" s="46" t="s">
        <v>274</v>
      </c>
      <c r="H939" s="46" t="s">
        <v>2003</v>
      </c>
      <c r="I939" s="45" t="s">
        <v>205</v>
      </c>
      <c r="J939" s="46" t="s">
        <v>127</v>
      </c>
      <c r="K939" s="46" t="s">
        <v>127</v>
      </c>
      <c r="L939" s="46" t="s">
        <v>15</v>
      </c>
      <c r="M939" s="46" t="s">
        <v>13</v>
      </c>
      <c r="N939" s="46" t="s">
        <v>14</v>
      </c>
      <c r="O939" s="49" t="s">
        <v>814</v>
      </c>
      <c r="P939" s="46" t="s">
        <v>507</v>
      </c>
      <c r="Q939" s="35" t="str">
        <f>MID(Tabla1[[#This Row],[Aplicación]],14,1)</f>
        <v>2</v>
      </c>
      <c r="R939" s="35" t="s">
        <v>495</v>
      </c>
      <c r="S939" s="35" t="str">
        <f>MID(Tabla1[[#This Row],[Aplicación]],6,2)</f>
        <v>11</v>
      </c>
      <c r="T939" s="35" t="str">
        <f>VLOOKUP(Tabla1[[#This Row],[AREA]],Hoja1!A:B,2,FALSE)</f>
        <v>11. Salud pública y seguridad ciudadana</v>
      </c>
      <c r="U939" s="35" t="str">
        <f>MID(Tabla1[[#This Row],[Aplicación]],9,4)</f>
        <v>1621</v>
      </c>
      <c r="V939" s="35" t="str">
        <f>VLOOKUP(Tabla1[[#This Row],[PROGRAMA]],Hoja1!A:B,2,FALSE)</f>
        <v>1621. Servicio de limpieza</v>
      </c>
      <c r="W939" s="35" t="str">
        <f>MID(Tabla1[[#This Row],[Aplicación]],14,2)</f>
        <v>22</v>
      </c>
      <c r="X939" s="35" t="str">
        <f>MID(Tabla1[[#This Row],[Aplicación]],14,6)</f>
        <v>22104</v>
      </c>
    </row>
    <row r="940" spans="1:24" x14ac:dyDescent="0.25">
      <c r="A940" s="45">
        <v>220210005590</v>
      </c>
      <c r="B940" s="46" t="s">
        <v>204</v>
      </c>
      <c r="C940" s="47">
        <v>44250</v>
      </c>
      <c r="D940" s="45">
        <v>22021002057</v>
      </c>
      <c r="E940" s="46" t="s">
        <v>1715</v>
      </c>
      <c r="F940" s="48">
        <v>58.87</v>
      </c>
      <c r="G940" s="46" t="s">
        <v>274</v>
      </c>
      <c r="H940" s="46" t="s">
        <v>2004</v>
      </c>
      <c r="I940" s="45" t="s">
        <v>205</v>
      </c>
      <c r="J940" s="46" t="s">
        <v>127</v>
      </c>
      <c r="K940" s="46" t="s">
        <v>127</v>
      </c>
      <c r="L940" s="46" t="s">
        <v>15</v>
      </c>
      <c r="M940" s="46" t="s">
        <v>13</v>
      </c>
      <c r="N940" s="46" t="s">
        <v>14</v>
      </c>
      <c r="O940" s="49" t="s">
        <v>814</v>
      </c>
      <c r="P940" s="46" t="s">
        <v>507</v>
      </c>
      <c r="Q940" s="35" t="str">
        <f>MID(Tabla1[[#This Row],[Aplicación]],14,1)</f>
        <v>2</v>
      </c>
      <c r="R940" s="35" t="s">
        <v>495</v>
      </c>
      <c r="S940" s="35" t="str">
        <f>MID(Tabla1[[#This Row],[Aplicación]],6,2)</f>
        <v>11</v>
      </c>
      <c r="T940" s="35" t="str">
        <f>VLOOKUP(Tabla1[[#This Row],[AREA]],Hoja1!A:B,2,FALSE)</f>
        <v>11. Salud pública y seguridad ciudadana</v>
      </c>
      <c r="U940" s="35" t="str">
        <f>MID(Tabla1[[#This Row],[Aplicación]],9,4)</f>
        <v>1631</v>
      </c>
      <c r="V940" s="35" t="str">
        <f>VLOOKUP(Tabla1[[#This Row],[PROGRAMA]],Hoja1!A:B,2,FALSE)</f>
        <v>1631. Limpieza viaria</v>
      </c>
      <c r="W940" s="35" t="str">
        <f>MID(Tabla1[[#This Row],[Aplicación]],14,2)</f>
        <v>22</v>
      </c>
      <c r="X940" s="35" t="str">
        <f>MID(Tabla1[[#This Row],[Aplicación]],14,6)</f>
        <v>22199</v>
      </c>
    </row>
    <row r="941" spans="1:24" x14ac:dyDescent="0.25">
      <c r="A941" s="45">
        <v>220210005614</v>
      </c>
      <c r="B941" s="46" t="s">
        <v>204</v>
      </c>
      <c r="C941" s="47">
        <v>44250</v>
      </c>
      <c r="D941" s="45">
        <v>22021002056</v>
      </c>
      <c r="E941" s="46" t="s">
        <v>876</v>
      </c>
      <c r="F941" s="48">
        <v>464.7</v>
      </c>
      <c r="G941" s="46" t="s">
        <v>274</v>
      </c>
      <c r="H941" s="46" t="s">
        <v>2005</v>
      </c>
      <c r="I941" s="45" t="s">
        <v>205</v>
      </c>
      <c r="J941" s="46" t="s">
        <v>127</v>
      </c>
      <c r="K941" s="46" t="s">
        <v>127</v>
      </c>
      <c r="L941" s="46" t="s">
        <v>15</v>
      </c>
      <c r="M941" s="46" t="s">
        <v>13</v>
      </c>
      <c r="N941" s="46" t="s">
        <v>14</v>
      </c>
      <c r="O941" s="49" t="s">
        <v>814</v>
      </c>
      <c r="P941" s="46" t="s">
        <v>507</v>
      </c>
      <c r="Q941" s="35" t="str">
        <f>MID(Tabla1[[#This Row],[Aplicación]],14,1)</f>
        <v>2</v>
      </c>
      <c r="R941" s="35" t="s">
        <v>495</v>
      </c>
      <c r="S941" s="35" t="str">
        <f>MID(Tabla1[[#This Row],[Aplicación]],6,2)</f>
        <v>11</v>
      </c>
      <c r="T941" s="35" t="str">
        <f>VLOOKUP(Tabla1[[#This Row],[AREA]],Hoja1!A:B,2,FALSE)</f>
        <v>11. Salud pública y seguridad ciudadana</v>
      </c>
      <c r="U941" s="35" t="str">
        <f>MID(Tabla1[[#This Row],[Aplicación]],9,4)</f>
        <v>1631</v>
      </c>
      <c r="V941" s="35" t="str">
        <f>VLOOKUP(Tabla1[[#This Row],[PROGRAMA]],Hoja1!A:B,2,FALSE)</f>
        <v>1631. Limpieza viaria</v>
      </c>
      <c r="W941" s="35" t="str">
        <f>MID(Tabla1[[#This Row],[Aplicación]],14,2)</f>
        <v>22</v>
      </c>
      <c r="X941" s="35" t="str">
        <f>MID(Tabla1[[#This Row],[Aplicación]],14,6)</f>
        <v>22110</v>
      </c>
    </row>
    <row r="942" spans="1:24" x14ac:dyDescent="0.25">
      <c r="A942" s="45">
        <v>220210000332</v>
      </c>
      <c r="B942" s="46" t="s">
        <v>9</v>
      </c>
      <c r="C942" s="47">
        <v>44217</v>
      </c>
      <c r="D942" s="45">
        <v>22021001225</v>
      </c>
      <c r="E942" s="46" t="s">
        <v>1163</v>
      </c>
      <c r="F942" s="48">
        <v>65.52</v>
      </c>
      <c r="G942" s="46" t="s">
        <v>240</v>
      </c>
      <c r="H942" s="46" t="s">
        <v>2006</v>
      </c>
      <c r="I942" s="45" t="s">
        <v>125</v>
      </c>
      <c r="J942" s="46" t="s">
        <v>565</v>
      </c>
      <c r="K942" s="46" t="s">
        <v>126</v>
      </c>
      <c r="L942" s="46" t="s">
        <v>15</v>
      </c>
      <c r="M942" s="46" t="s">
        <v>10</v>
      </c>
      <c r="N942" s="46" t="s">
        <v>11</v>
      </c>
      <c r="O942" s="49" t="s">
        <v>815</v>
      </c>
      <c r="P942" s="46" t="s">
        <v>507</v>
      </c>
      <c r="Q942" s="35" t="str">
        <f>MID(Tabla1[[#This Row],[Aplicación]],14,1)</f>
        <v>2</v>
      </c>
      <c r="R942" s="35" t="s">
        <v>495</v>
      </c>
      <c r="S942" s="35" t="str">
        <f>MID(Tabla1[[#This Row],[Aplicación]],6,2)</f>
        <v>06</v>
      </c>
      <c r="T942" s="35" t="str">
        <f>VLOOKUP(Tabla1[[#This Row],[AREA]],Hoja1!A:B,2,FALSE)</f>
        <v>06. Educación, infancia, juventud e igualdad</v>
      </c>
      <c r="U942" s="35" t="str">
        <f>MID(Tabla1[[#This Row],[Aplicación]],9,4)</f>
        <v>3321</v>
      </c>
      <c r="V942" s="35" t="str">
        <f>VLOOKUP(Tabla1[[#This Row],[PROGRAMA]],Hoja1!A:B,2,FALSE)</f>
        <v>3321. Bibliotecas públicas</v>
      </c>
      <c r="W942" s="35" t="str">
        <f>MID(Tabla1[[#This Row],[Aplicación]],14,2)</f>
        <v>22</v>
      </c>
      <c r="X942" s="35" t="str">
        <f>MID(Tabla1[[#This Row],[Aplicación]],14,6)</f>
        <v>22001</v>
      </c>
    </row>
    <row r="943" spans="1:24" x14ac:dyDescent="0.25">
      <c r="A943" s="45">
        <v>220210009142</v>
      </c>
      <c r="B943" s="46" t="s">
        <v>9</v>
      </c>
      <c r="C943" s="47">
        <v>44267</v>
      </c>
      <c r="D943" s="45">
        <v>22021003378</v>
      </c>
      <c r="E943" s="46" t="s">
        <v>1478</v>
      </c>
      <c r="F943" s="48">
        <v>65.760000000000005</v>
      </c>
      <c r="G943" s="46" t="s">
        <v>101</v>
      </c>
      <c r="H943" s="46" t="s">
        <v>2007</v>
      </c>
      <c r="I943" s="45" t="s">
        <v>125</v>
      </c>
      <c r="J943" s="46" t="s">
        <v>127</v>
      </c>
      <c r="K943" s="46" t="s">
        <v>127</v>
      </c>
      <c r="L943" s="46" t="s">
        <v>15</v>
      </c>
      <c r="M943" s="46" t="s">
        <v>10</v>
      </c>
      <c r="N943" s="46" t="s">
        <v>11</v>
      </c>
      <c r="O943" s="49" t="s">
        <v>815</v>
      </c>
      <c r="P943" s="46" t="s">
        <v>507</v>
      </c>
      <c r="Q943" s="35" t="str">
        <f>MID(Tabla1[[#This Row],[Aplicación]],14,1)</f>
        <v>2</v>
      </c>
      <c r="R943" s="35" t="s">
        <v>495</v>
      </c>
      <c r="S943" s="35" t="str">
        <f>MID(Tabla1[[#This Row],[Aplicación]],6,2)</f>
        <v>03</v>
      </c>
      <c r="T943" s="35" t="str">
        <f>VLOOKUP(Tabla1[[#This Row],[AREA]],Hoja1!A:B,2,FALSE)</f>
        <v>03. Participación ciudadana y deportes</v>
      </c>
      <c r="U943" s="35" t="str">
        <f>MID(Tabla1[[#This Row],[Aplicación]],9,4)</f>
        <v>9241</v>
      </c>
      <c r="V943" s="35" t="str">
        <f>VLOOKUP(Tabla1[[#This Row],[PROGRAMA]],Hoja1!A:B,2,FALSE)</f>
        <v>9241. Participación ciudadana</v>
      </c>
      <c r="W943" s="35" t="str">
        <f>MID(Tabla1[[#This Row],[Aplicación]],14,2)</f>
        <v>21</v>
      </c>
      <c r="X943" s="35" t="str">
        <f>MID(Tabla1[[#This Row],[Aplicación]],14,6)</f>
        <v>212</v>
      </c>
    </row>
    <row r="944" spans="1:24" x14ac:dyDescent="0.25">
      <c r="A944" s="45">
        <v>220209000150</v>
      </c>
      <c r="B944" s="46" t="s">
        <v>9</v>
      </c>
      <c r="C944" s="47">
        <v>44198</v>
      </c>
      <c r="D944" s="45">
        <v>22021000220</v>
      </c>
      <c r="E944" s="46" t="s">
        <v>881</v>
      </c>
      <c r="F944" s="48">
        <v>1800</v>
      </c>
      <c r="G944" s="46" t="s">
        <v>2008</v>
      </c>
      <c r="H944" s="46" t="s">
        <v>1255</v>
      </c>
      <c r="I944" s="45" t="s">
        <v>125</v>
      </c>
      <c r="J944" s="46" t="s">
        <v>752</v>
      </c>
      <c r="K944" s="46" t="s">
        <v>127</v>
      </c>
      <c r="L944" s="46" t="s">
        <v>12</v>
      </c>
      <c r="M944" s="46" t="s">
        <v>13</v>
      </c>
      <c r="N944" s="46" t="s">
        <v>14</v>
      </c>
      <c r="O944" s="49" t="s">
        <v>814</v>
      </c>
      <c r="P944" s="46" t="s">
        <v>507</v>
      </c>
      <c r="Q944" s="35" t="str">
        <f>MID(Tabla1[[#This Row],[Aplicación]],14,1)</f>
        <v>2</v>
      </c>
      <c r="R944" s="35" t="s">
        <v>495</v>
      </c>
      <c r="S944" s="35" t="str">
        <f>MID(Tabla1[[#This Row],[Aplicación]],6,2)</f>
        <v>05</v>
      </c>
      <c r="T944" s="35" t="str">
        <f>VLOOKUP(Tabla1[[#This Row],[AREA]],Hoja1!A:B,2,FALSE)</f>
        <v>05. Innovación, desarrollo económico, empleo y comercio</v>
      </c>
      <c r="U944" s="35" t="str">
        <f>MID(Tabla1[[#This Row],[Aplicación]],9,4)</f>
        <v>4331</v>
      </c>
      <c r="V944" s="35" t="str">
        <f>VLOOKUP(Tabla1[[#This Row],[PROGRAMA]],Hoja1!A:B,2,FALSE)</f>
        <v>4331. Desarrollo empresarial</v>
      </c>
      <c r="W944" s="35" t="str">
        <f>MID(Tabla1[[#This Row],[Aplicación]],14,2)</f>
        <v>22</v>
      </c>
      <c r="X944" s="35" t="str">
        <f>MID(Tabla1[[#This Row],[Aplicación]],14,6)</f>
        <v>22799</v>
      </c>
    </row>
    <row r="945" spans="1:24" x14ac:dyDescent="0.25">
      <c r="A945" s="45">
        <v>220210002406</v>
      </c>
      <c r="B945" s="46" t="s">
        <v>9</v>
      </c>
      <c r="C945" s="47">
        <v>44235</v>
      </c>
      <c r="D945" s="45">
        <v>22021002303</v>
      </c>
      <c r="E945" s="46" t="s">
        <v>1310</v>
      </c>
      <c r="F945" s="48">
        <v>67.760000000000005</v>
      </c>
      <c r="G945" s="46" t="s">
        <v>2009</v>
      </c>
      <c r="H945" s="46" t="s">
        <v>2010</v>
      </c>
      <c r="I945" s="45" t="s">
        <v>125</v>
      </c>
      <c r="J945" s="46" t="s">
        <v>127</v>
      </c>
      <c r="K945" s="46" t="s">
        <v>127</v>
      </c>
      <c r="L945" s="46" t="s">
        <v>15</v>
      </c>
      <c r="M945" s="46" t="s">
        <v>10</v>
      </c>
      <c r="N945" s="46" t="s">
        <v>11</v>
      </c>
      <c r="O945" s="49" t="s">
        <v>815</v>
      </c>
      <c r="P945" s="46" t="s">
        <v>507</v>
      </c>
      <c r="Q945" s="35" t="str">
        <f>MID(Tabla1[[#This Row],[Aplicación]],14,1)</f>
        <v>2</v>
      </c>
      <c r="R945" s="35" t="s">
        <v>495</v>
      </c>
      <c r="S945" s="35" t="str">
        <f>MID(Tabla1[[#This Row],[Aplicación]],6,2)</f>
        <v>11</v>
      </c>
      <c r="T945" s="35" t="str">
        <f>VLOOKUP(Tabla1[[#This Row],[AREA]],Hoja1!A:B,2,FALSE)</f>
        <v>11. Salud pública y seguridad ciudadana</v>
      </c>
      <c r="U945" s="35" t="str">
        <f>MID(Tabla1[[#This Row],[Aplicación]],9,4)</f>
        <v>3111</v>
      </c>
      <c r="V945" s="35" t="str">
        <f>VLOOKUP(Tabla1[[#This Row],[PROGRAMA]],Hoja1!A:B,2,FALSE)</f>
        <v>3111. Protección de la salubridad pública</v>
      </c>
      <c r="W945" s="35" t="str">
        <f>MID(Tabla1[[#This Row],[Aplicación]],14,2)</f>
        <v>22</v>
      </c>
      <c r="X945" s="35" t="str">
        <f>MID(Tabla1[[#This Row],[Aplicación]],14,6)</f>
        <v>22199</v>
      </c>
    </row>
    <row r="946" spans="1:24" x14ac:dyDescent="0.25">
      <c r="A946" s="45">
        <v>220210004222</v>
      </c>
      <c r="B946" s="46" t="s">
        <v>9</v>
      </c>
      <c r="C946" s="47">
        <v>44245</v>
      </c>
      <c r="D946" s="45">
        <v>22021002838</v>
      </c>
      <c r="E946" s="46" t="s">
        <v>1392</v>
      </c>
      <c r="F946" s="48">
        <v>67.760000000000005</v>
      </c>
      <c r="G946" s="46" t="s">
        <v>2011</v>
      </c>
      <c r="H946" s="46" t="s">
        <v>2012</v>
      </c>
      <c r="I946" s="45" t="s">
        <v>125</v>
      </c>
      <c r="J946" s="46" t="s">
        <v>127</v>
      </c>
      <c r="K946" s="46" t="s">
        <v>127</v>
      </c>
      <c r="L946" s="46" t="s">
        <v>12</v>
      </c>
      <c r="M946" s="46" t="s">
        <v>10</v>
      </c>
      <c r="N946" s="46" t="s">
        <v>11</v>
      </c>
      <c r="O946" s="49" t="s">
        <v>815</v>
      </c>
      <c r="P946" s="46" t="s">
        <v>507</v>
      </c>
      <c r="Q946" s="35" t="str">
        <f>MID(Tabla1[[#This Row],[Aplicación]],14,1)</f>
        <v>2</v>
      </c>
      <c r="R946" s="35" t="s">
        <v>495</v>
      </c>
      <c r="S946" s="35" t="str">
        <f>MID(Tabla1[[#This Row],[Aplicación]],6,2)</f>
        <v>08</v>
      </c>
      <c r="T946" s="35" t="str">
        <f>VLOOKUP(Tabla1[[#This Row],[AREA]],Hoja1!A:B,2,FALSE)</f>
        <v>08. Movilidad y espacio urbano</v>
      </c>
      <c r="U946" s="35" t="str">
        <f>MID(Tabla1[[#This Row],[Aplicación]],9,4)</f>
        <v>1532</v>
      </c>
      <c r="V946" s="35" t="str">
        <f>VLOOKUP(Tabla1[[#This Row],[PROGRAMA]],Hoja1!A:B,2,FALSE)</f>
        <v>1532. Pavimentación vias públicas y otros servicios urbanísticos</v>
      </c>
      <c r="W946" s="35" t="str">
        <f>MID(Tabla1[[#This Row],[Aplicación]],14,2)</f>
        <v>21</v>
      </c>
      <c r="X946" s="35" t="str">
        <f>MID(Tabla1[[#This Row],[Aplicación]],14,6)</f>
        <v>214</v>
      </c>
    </row>
    <row r="947" spans="1:24" x14ac:dyDescent="0.25">
      <c r="A947" s="45">
        <v>220209000310</v>
      </c>
      <c r="B947" s="46" t="s">
        <v>9</v>
      </c>
      <c r="C947" s="47">
        <v>44198</v>
      </c>
      <c r="D947" s="45">
        <v>22021000263</v>
      </c>
      <c r="E947" s="46" t="s">
        <v>1382</v>
      </c>
      <c r="F947" s="48">
        <v>17424</v>
      </c>
      <c r="G947" s="46" t="s">
        <v>563</v>
      </c>
      <c r="H947" s="46" t="s">
        <v>2013</v>
      </c>
      <c r="I947" s="45" t="s">
        <v>125</v>
      </c>
      <c r="J947" s="46" t="s">
        <v>127</v>
      </c>
      <c r="K947" s="46" t="s">
        <v>127</v>
      </c>
      <c r="L947" s="46" t="s">
        <v>15</v>
      </c>
      <c r="M947" s="46" t="s">
        <v>13</v>
      </c>
      <c r="N947" s="46" t="s">
        <v>14</v>
      </c>
      <c r="O947" s="49" t="s">
        <v>803</v>
      </c>
      <c r="P947" s="46" t="s">
        <v>507</v>
      </c>
      <c r="Q947" s="35" t="str">
        <f>MID(Tabla1[[#This Row],[Aplicación]],14,1)</f>
        <v>2</v>
      </c>
      <c r="R947" s="35" t="s">
        <v>495</v>
      </c>
      <c r="S947" s="35" t="str">
        <f>MID(Tabla1[[#This Row],[Aplicación]],6,2)</f>
        <v>11</v>
      </c>
      <c r="T947" s="35" t="str">
        <f>VLOOKUP(Tabla1[[#This Row],[AREA]],Hoja1!A:B,2,FALSE)</f>
        <v>11. Salud pública y seguridad ciudadana</v>
      </c>
      <c r="U947" s="35" t="str">
        <f>MID(Tabla1[[#This Row],[Aplicación]],9,4)</f>
        <v>1631</v>
      </c>
      <c r="V947" s="35" t="str">
        <f>VLOOKUP(Tabla1[[#This Row],[PROGRAMA]],Hoja1!A:B,2,FALSE)</f>
        <v>1631. Limpieza viaria</v>
      </c>
      <c r="W947" s="35" t="str">
        <f>MID(Tabla1[[#This Row],[Aplicación]],14,2)</f>
        <v>21</v>
      </c>
      <c r="X947" s="35" t="str">
        <f>MID(Tabla1[[#This Row],[Aplicación]],14,6)</f>
        <v>214</v>
      </c>
    </row>
    <row r="948" spans="1:24" x14ac:dyDescent="0.25">
      <c r="A948" s="45">
        <v>220210000035</v>
      </c>
      <c r="B948" s="46" t="s">
        <v>32</v>
      </c>
      <c r="C948" s="47">
        <v>44215</v>
      </c>
      <c r="D948" s="45">
        <v>22021000715</v>
      </c>
      <c r="E948" s="46" t="s">
        <v>2014</v>
      </c>
      <c r="F948" s="48">
        <v>70.06</v>
      </c>
      <c r="G948" s="46" t="s">
        <v>524</v>
      </c>
      <c r="H948" s="46" t="s">
        <v>2015</v>
      </c>
      <c r="I948" s="45" t="s">
        <v>234</v>
      </c>
      <c r="J948" s="46" t="s">
        <v>600</v>
      </c>
      <c r="K948" s="46" t="s">
        <v>126</v>
      </c>
      <c r="L948" s="46" t="s">
        <v>12</v>
      </c>
      <c r="M948" s="46" t="s">
        <v>10</v>
      </c>
      <c r="N948" s="46" t="s">
        <v>11</v>
      </c>
      <c r="O948" s="49" t="s">
        <v>815</v>
      </c>
      <c r="P948" s="46" t="s">
        <v>507</v>
      </c>
      <c r="Q948" s="35" t="str">
        <f>MID(Tabla1[[#This Row],[Aplicación]],14,1)</f>
        <v>2</v>
      </c>
      <c r="R948" s="35" t="s">
        <v>495</v>
      </c>
      <c r="S948" s="35" t="str">
        <f>MID(Tabla1[[#This Row],[Aplicación]],6,2)</f>
        <v>11</v>
      </c>
      <c r="T948" s="35" t="str">
        <f>VLOOKUP(Tabla1[[#This Row],[AREA]],Hoja1!A:B,2,FALSE)</f>
        <v>11. Salud pública y seguridad ciudadana</v>
      </c>
      <c r="U948" s="35" t="str">
        <f>MID(Tabla1[[#This Row],[Aplicación]],9,4)</f>
        <v>1351</v>
      </c>
      <c r="V948" s="35" t="str">
        <f>VLOOKUP(Tabla1[[#This Row],[PROGRAMA]],Hoja1!A:B,2,FALSE)</f>
        <v>1351. Protección civil</v>
      </c>
      <c r="W948" s="35" t="str">
        <f>MID(Tabla1[[#This Row],[Aplicación]],14,2)</f>
        <v>22</v>
      </c>
      <c r="X948" s="35" t="str">
        <f>MID(Tabla1[[#This Row],[Aplicación]],14,6)</f>
        <v>224</v>
      </c>
    </row>
    <row r="949" spans="1:24" x14ac:dyDescent="0.25">
      <c r="A949" s="45">
        <v>220210000036</v>
      </c>
      <c r="B949" s="46" t="s">
        <v>32</v>
      </c>
      <c r="C949" s="47">
        <v>44215</v>
      </c>
      <c r="D949" s="45">
        <v>22021000717</v>
      </c>
      <c r="E949" s="46" t="s">
        <v>2014</v>
      </c>
      <c r="F949" s="48">
        <v>70.06</v>
      </c>
      <c r="G949" s="46" t="s">
        <v>524</v>
      </c>
      <c r="H949" s="46" t="s">
        <v>2016</v>
      </c>
      <c r="I949" s="45" t="s">
        <v>234</v>
      </c>
      <c r="J949" s="46" t="s">
        <v>600</v>
      </c>
      <c r="K949" s="46" t="s">
        <v>126</v>
      </c>
      <c r="L949" s="46" t="s">
        <v>12</v>
      </c>
      <c r="M949" s="46" t="s">
        <v>10</v>
      </c>
      <c r="N949" s="46" t="s">
        <v>11</v>
      </c>
      <c r="O949" s="49" t="s">
        <v>815</v>
      </c>
      <c r="P949" s="46" t="s">
        <v>507</v>
      </c>
      <c r="Q949" s="35" t="str">
        <f>MID(Tabla1[[#This Row],[Aplicación]],14,1)</f>
        <v>2</v>
      </c>
      <c r="R949" s="35" t="s">
        <v>495</v>
      </c>
      <c r="S949" s="35" t="str">
        <f>MID(Tabla1[[#This Row],[Aplicación]],6,2)</f>
        <v>11</v>
      </c>
      <c r="T949" s="35" t="str">
        <f>VLOOKUP(Tabla1[[#This Row],[AREA]],Hoja1!A:B,2,FALSE)</f>
        <v>11. Salud pública y seguridad ciudadana</v>
      </c>
      <c r="U949" s="35" t="str">
        <f>MID(Tabla1[[#This Row],[Aplicación]],9,4)</f>
        <v>1351</v>
      </c>
      <c r="V949" s="35" t="str">
        <f>VLOOKUP(Tabla1[[#This Row],[PROGRAMA]],Hoja1!A:B,2,FALSE)</f>
        <v>1351. Protección civil</v>
      </c>
      <c r="W949" s="35" t="str">
        <f>MID(Tabla1[[#This Row],[Aplicación]],14,2)</f>
        <v>22</v>
      </c>
      <c r="X949" s="35" t="str">
        <f>MID(Tabla1[[#This Row],[Aplicación]],14,6)</f>
        <v>224</v>
      </c>
    </row>
    <row r="950" spans="1:24" x14ac:dyDescent="0.25">
      <c r="A950" s="45">
        <v>220210000037</v>
      </c>
      <c r="B950" s="46" t="s">
        <v>32</v>
      </c>
      <c r="C950" s="47">
        <v>44215</v>
      </c>
      <c r="D950" s="45">
        <v>22021000719</v>
      </c>
      <c r="E950" s="46" t="s">
        <v>2014</v>
      </c>
      <c r="F950" s="48">
        <v>70.06</v>
      </c>
      <c r="G950" s="46" t="s">
        <v>524</v>
      </c>
      <c r="H950" s="46" t="s">
        <v>2017</v>
      </c>
      <c r="I950" s="45" t="s">
        <v>234</v>
      </c>
      <c r="J950" s="46" t="s">
        <v>600</v>
      </c>
      <c r="K950" s="46" t="s">
        <v>126</v>
      </c>
      <c r="L950" s="46" t="s">
        <v>12</v>
      </c>
      <c r="M950" s="46" t="s">
        <v>10</v>
      </c>
      <c r="N950" s="46" t="s">
        <v>11</v>
      </c>
      <c r="O950" s="49" t="s">
        <v>815</v>
      </c>
      <c r="P950" s="46" t="s">
        <v>507</v>
      </c>
      <c r="Q950" s="35" t="str">
        <f>MID(Tabla1[[#This Row],[Aplicación]],14,1)</f>
        <v>2</v>
      </c>
      <c r="R950" s="35" t="s">
        <v>495</v>
      </c>
      <c r="S950" s="35" t="str">
        <f>MID(Tabla1[[#This Row],[Aplicación]],6,2)</f>
        <v>11</v>
      </c>
      <c r="T950" s="35" t="str">
        <f>VLOOKUP(Tabla1[[#This Row],[AREA]],Hoja1!A:B,2,FALSE)</f>
        <v>11. Salud pública y seguridad ciudadana</v>
      </c>
      <c r="U950" s="35" t="str">
        <f>MID(Tabla1[[#This Row],[Aplicación]],9,4)</f>
        <v>1351</v>
      </c>
      <c r="V950" s="35" t="str">
        <f>VLOOKUP(Tabla1[[#This Row],[PROGRAMA]],Hoja1!A:B,2,FALSE)</f>
        <v>1351. Protección civil</v>
      </c>
      <c r="W950" s="35" t="str">
        <f>MID(Tabla1[[#This Row],[Aplicación]],14,2)</f>
        <v>22</v>
      </c>
      <c r="X950" s="35" t="str">
        <f>MID(Tabla1[[#This Row],[Aplicación]],14,6)</f>
        <v>224</v>
      </c>
    </row>
    <row r="951" spans="1:24" x14ac:dyDescent="0.25">
      <c r="A951" s="45">
        <v>220210004514</v>
      </c>
      <c r="B951" s="46" t="s">
        <v>32</v>
      </c>
      <c r="C951" s="47">
        <v>44246</v>
      </c>
      <c r="D951" s="45">
        <v>22021002756</v>
      </c>
      <c r="E951" s="46" t="s">
        <v>2014</v>
      </c>
      <c r="F951" s="48">
        <v>70.06</v>
      </c>
      <c r="G951" s="46" t="s">
        <v>524</v>
      </c>
      <c r="H951" s="46" t="s">
        <v>2018</v>
      </c>
      <c r="I951" s="45" t="s">
        <v>234</v>
      </c>
      <c r="J951" s="46" t="s">
        <v>600</v>
      </c>
      <c r="K951" s="46" t="s">
        <v>126</v>
      </c>
      <c r="L951" s="46" t="s">
        <v>12</v>
      </c>
      <c r="M951" s="46" t="s">
        <v>10</v>
      </c>
      <c r="N951" s="46" t="s">
        <v>11</v>
      </c>
      <c r="O951" s="49" t="s">
        <v>815</v>
      </c>
      <c r="P951" s="46" t="s">
        <v>507</v>
      </c>
      <c r="Q951" s="35" t="str">
        <f>MID(Tabla1[[#This Row],[Aplicación]],14,1)</f>
        <v>2</v>
      </c>
      <c r="R951" s="35" t="s">
        <v>495</v>
      </c>
      <c r="S951" s="35" t="str">
        <f>MID(Tabla1[[#This Row],[Aplicación]],6,2)</f>
        <v>11</v>
      </c>
      <c r="T951" s="35" t="str">
        <f>VLOOKUP(Tabla1[[#This Row],[AREA]],Hoja1!A:B,2,FALSE)</f>
        <v>11. Salud pública y seguridad ciudadana</v>
      </c>
      <c r="U951" s="35" t="str">
        <f>MID(Tabla1[[#This Row],[Aplicación]],9,4)</f>
        <v>1351</v>
      </c>
      <c r="V951" s="35" t="str">
        <f>VLOOKUP(Tabla1[[#This Row],[PROGRAMA]],Hoja1!A:B,2,FALSE)</f>
        <v>1351. Protección civil</v>
      </c>
      <c r="W951" s="35" t="str">
        <f>MID(Tabla1[[#This Row],[Aplicación]],14,2)</f>
        <v>22</v>
      </c>
      <c r="X951" s="35" t="str">
        <f>MID(Tabla1[[#This Row],[Aplicación]],14,6)</f>
        <v>224</v>
      </c>
    </row>
    <row r="952" spans="1:24" x14ac:dyDescent="0.25">
      <c r="A952" s="45">
        <v>220209000144</v>
      </c>
      <c r="B952" s="46" t="s">
        <v>9</v>
      </c>
      <c r="C952" s="47">
        <v>44198</v>
      </c>
      <c r="D952" s="45">
        <v>22021000214</v>
      </c>
      <c r="E952" s="46" t="s">
        <v>881</v>
      </c>
      <c r="F952" s="48">
        <v>1800</v>
      </c>
      <c r="G952" s="46" t="s">
        <v>2019</v>
      </c>
      <c r="H952" s="46" t="s">
        <v>1255</v>
      </c>
      <c r="I952" s="45" t="s">
        <v>125</v>
      </c>
      <c r="J952" s="46" t="s">
        <v>619</v>
      </c>
      <c r="K952" s="46" t="s">
        <v>127</v>
      </c>
      <c r="L952" s="46" t="s">
        <v>12</v>
      </c>
      <c r="M952" s="46" t="s">
        <v>13</v>
      </c>
      <c r="N952" s="46" t="s">
        <v>14</v>
      </c>
      <c r="O952" s="49" t="s">
        <v>814</v>
      </c>
      <c r="P952" s="46" t="s">
        <v>507</v>
      </c>
      <c r="Q952" s="35" t="str">
        <f>MID(Tabla1[[#This Row],[Aplicación]],14,1)</f>
        <v>2</v>
      </c>
      <c r="R952" s="35" t="s">
        <v>495</v>
      </c>
      <c r="S952" s="35" t="str">
        <f>MID(Tabla1[[#This Row],[Aplicación]],6,2)</f>
        <v>05</v>
      </c>
      <c r="T952" s="35" t="str">
        <f>VLOOKUP(Tabla1[[#This Row],[AREA]],Hoja1!A:B,2,FALSE)</f>
        <v>05. Innovación, desarrollo económico, empleo y comercio</v>
      </c>
      <c r="U952" s="35" t="str">
        <f>MID(Tabla1[[#This Row],[Aplicación]],9,4)</f>
        <v>4331</v>
      </c>
      <c r="V952" s="35" t="str">
        <f>VLOOKUP(Tabla1[[#This Row],[PROGRAMA]],Hoja1!A:B,2,FALSE)</f>
        <v>4331. Desarrollo empresarial</v>
      </c>
      <c r="W952" s="35" t="str">
        <f>MID(Tabla1[[#This Row],[Aplicación]],14,2)</f>
        <v>22</v>
      </c>
      <c r="X952" s="35" t="str">
        <f>MID(Tabla1[[#This Row],[Aplicación]],14,6)</f>
        <v>22799</v>
      </c>
    </row>
    <row r="953" spans="1:24" x14ac:dyDescent="0.25">
      <c r="A953" s="45">
        <v>220210002836</v>
      </c>
      <c r="B953" s="46" t="s">
        <v>9</v>
      </c>
      <c r="C953" s="47">
        <v>44238</v>
      </c>
      <c r="D953" s="45">
        <v>22021002238</v>
      </c>
      <c r="E953" s="46" t="s">
        <v>1491</v>
      </c>
      <c r="F953" s="48">
        <v>71.75</v>
      </c>
      <c r="G953" s="46" t="s">
        <v>569</v>
      </c>
      <c r="H953" s="46" t="s">
        <v>2020</v>
      </c>
      <c r="I953" s="45" t="s">
        <v>125</v>
      </c>
      <c r="J953" s="46" t="s">
        <v>681</v>
      </c>
      <c r="K953" s="46" t="s">
        <v>145</v>
      </c>
      <c r="L953" s="46" t="s">
        <v>15</v>
      </c>
      <c r="M953" s="46" t="s">
        <v>10</v>
      </c>
      <c r="N953" s="46" t="s">
        <v>11</v>
      </c>
      <c r="O953" s="49" t="s">
        <v>815</v>
      </c>
      <c r="P953" s="46" t="s">
        <v>507</v>
      </c>
      <c r="Q953" s="35" t="str">
        <f>MID(Tabla1[[#This Row],[Aplicación]],14,1)</f>
        <v>2</v>
      </c>
      <c r="R953" s="35" t="s">
        <v>495</v>
      </c>
      <c r="S953" s="35" t="str">
        <f>MID(Tabla1[[#This Row],[Aplicación]],6,2)</f>
        <v>11</v>
      </c>
      <c r="T953" s="35" t="str">
        <f>VLOOKUP(Tabla1[[#This Row],[AREA]],Hoja1!A:B,2,FALSE)</f>
        <v>11. Salud pública y seguridad ciudadana</v>
      </c>
      <c r="U953" s="35" t="str">
        <f>MID(Tabla1[[#This Row],[Aplicación]],9,4)</f>
        <v>1621</v>
      </c>
      <c r="V953" s="35" t="str">
        <f>VLOOKUP(Tabla1[[#This Row],[PROGRAMA]],Hoja1!A:B,2,FALSE)</f>
        <v>1621. Servicio de limpieza</v>
      </c>
      <c r="W953" s="35" t="str">
        <f>MID(Tabla1[[#This Row],[Aplicación]],14,2)</f>
        <v>21</v>
      </c>
      <c r="X953" s="35" t="str">
        <f>MID(Tabla1[[#This Row],[Aplicación]],14,6)</f>
        <v>219</v>
      </c>
    </row>
    <row r="954" spans="1:24" x14ac:dyDescent="0.25">
      <c r="A954" s="45">
        <v>220210007132</v>
      </c>
      <c r="B954" s="46" t="s">
        <v>9</v>
      </c>
      <c r="C954" s="47">
        <v>44260</v>
      </c>
      <c r="D954" s="45">
        <v>22021003233</v>
      </c>
      <c r="E954" s="46" t="s">
        <v>1340</v>
      </c>
      <c r="F954" s="48">
        <v>150</v>
      </c>
      <c r="G954" s="46" t="s">
        <v>277</v>
      </c>
      <c r="H954" s="46" t="s">
        <v>2021</v>
      </c>
      <c r="I954" s="45" t="s">
        <v>125</v>
      </c>
      <c r="J954" s="46" t="s">
        <v>127</v>
      </c>
      <c r="K954" s="46" t="s">
        <v>127</v>
      </c>
      <c r="L954" s="46" t="s">
        <v>15</v>
      </c>
      <c r="M954" s="46" t="s">
        <v>13</v>
      </c>
      <c r="N954" s="46" t="s">
        <v>14</v>
      </c>
      <c r="O954" s="49" t="s">
        <v>814</v>
      </c>
      <c r="P954" s="46" t="s">
        <v>507</v>
      </c>
      <c r="Q954" s="35" t="str">
        <f>MID(Tabla1[[#This Row],[Aplicación]],14,1)</f>
        <v>2</v>
      </c>
      <c r="R954" s="35" t="s">
        <v>495</v>
      </c>
      <c r="S954" s="35" t="str">
        <f>MID(Tabla1[[#This Row],[Aplicación]],6,2)</f>
        <v>11</v>
      </c>
      <c r="T954" s="35" t="str">
        <f>VLOOKUP(Tabla1[[#This Row],[AREA]],Hoja1!A:B,2,FALSE)</f>
        <v>11. Salud pública y seguridad ciudadana</v>
      </c>
      <c r="U954" s="35" t="str">
        <f>MID(Tabla1[[#This Row],[Aplicación]],9,4)</f>
        <v>1621</v>
      </c>
      <c r="V954" s="35" t="str">
        <f>VLOOKUP(Tabla1[[#This Row],[PROGRAMA]],Hoja1!A:B,2,FALSE)</f>
        <v>1621. Servicio de limpieza</v>
      </c>
      <c r="W954" s="35" t="str">
        <f>MID(Tabla1[[#This Row],[Aplicación]],14,2)</f>
        <v>22</v>
      </c>
      <c r="X954" s="35" t="str">
        <f>MID(Tabla1[[#This Row],[Aplicación]],14,6)</f>
        <v>22199</v>
      </c>
    </row>
    <row r="955" spans="1:24" x14ac:dyDescent="0.25">
      <c r="A955" s="45">
        <v>220210002835</v>
      </c>
      <c r="B955" s="46" t="s">
        <v>9</v>
      </c>
      <c r="C955" s="47">
        <v>44238</v>
      </c>
      <c r="D955" s="45">
        <v>22021002236</v>
      </c>
      <c r="E955" s="46" t="s">
        <v>1491</v>
      </c>
      <c r="F955" s="48">
        <v>75.75</v>
      </c>
      <c r="G955" s="46" t="s">
        <v>2022</v>
      </c>
      <c r="H955" s="46" t="s">
        <v>2023</v>
      </c>
      <c r="I955" s="45" t="s">
        <v>125</v>
      </c>
      <c r="J955" s="46" t="s">
        <v>2024</v>
      </c>
      <c r="K955" s="46" t="s">
        <v>146</v>
      </c>
      <c r="L955" s="46" t="s">
        <v>15</v>
      </c>
      <c r="M955" s="46" t="s">
        <v>10</v>
      </c>
      <c r="N955" s="46" t="s">
        <v>11</v>
      </c>
      <c r="O955" s="49" t="s">
        <v>815</v>
      </c>
      <c r="P955" s="46" t="s">
        <v>507</v>
      </c>
      <c r="Q955" s="35" t="str">
        <f>MID(Tabla1[[#This Row],[Aplicación]],14,1)</f>
        <v>2</v>
      </c>
      <c r="R955" s="35" t="s">
        <v>495</v>
      </c>
      <c r="S955" s="35" t="str">
        <f>MID(Tabla1[[#This Row],[Aplicación]],6,2)</f>
        <v>11</v>
      </c>
      <c r="T955" s="35" t="str">
        <f>VLOOKUP(Tabla1[[#This Row],[AREA]],Hoja1!A:B,2,FALSE)</f>
        <v>11. Salud pública y seguridad ciudadana</v>
      </c>
      <c r="U955" s="35" t="str">
        <f>MID(Tabla1[[#This Row],[Aplicación]],9,4)</f>
        <v>1621</v>
      </c>
      <c r="V955" s="35" t="str">
        <f>VLOOKUP(Tabla1[[#This Row],[PROGRAMA]],Hoja1!A:B,2,FALSE)</f>
        <v>1621. Servicio de limpieza</v>
      </c>
      <c r="W955" s="35" t="str">
        <f>MID(Tabla1[[#This Row],[Aplicación]],14,2)</f>
        <v>21</v>
      </c>
      <c r="X955" s="35" t="str">
        <f>MID(Tabla1[[#This Row],[Aplicación]],14,6)</f>
        <v>219</v>
      </c>
    </row>
    <row r="956" spans="1:24" x14ac:dyDescent="0.25">
      <c r="A956" s="45">
        <v>220210004223</v>
      </c>
      <c r="B956" s="46" t="s">
        <v>9</v>
      </c>
      <c r="C956" s="47">
        <v>44245</v>
      </c>
      <c r="D956" s="45">
        <v>22021002839</v>
      </c>
      <c r="E956" s="46" t="s">
        <v>1392</v>
      </c>
      <c r="F956" s="48">
        <v>77.05</v>
      </c>
      <c r="G956" s="46" t="s">
        <v>2011</v>
      </c>
      <c r="H956" s="46" t="s">
        <v>2025</v>
      </c>
      <c r="I956" s="45" t="s">
        <v>125</v>
      </c>
      <c r="J956" s="46" t="s">
        <v>127</v>
      </c>
      <c r="K956" s="46" t="s">
        <v>127</v>
      </c>
      <c r="L956" s="46" t="s">
        <v>12</v>
      </c>
      <c r="M956" s="46" t="s">
        <v>10</v>
      </c>
      <c r="N956" s="46" t="s">
        <v>11</v>
      </c>
      <c r="O956" s="49" t="s">
        <v>815</v>
      </c>
      <c r="P956" s="46" t="s">
        <v>507</v>
      </c>
      <c r="Q956" s="35" t="str">
        <f>MID(Tabla1[[#This Row],[Aplicación]],14,1)</f>
        <v>2</v>
      </c>
      <c r="R956" s="35" t="s">
        <v>495</v>
      </c>
      <c r="S956" s="35" t="str">
        <f>MID(Tabla1[[#This Row],[Aplicación]],6,2)</f>
        <v>08</v>
      </c>
      <c r="T956" s="35" t="str">
        <f>VLOOKUP(Tabla1[[#This Row],[AREA]],Hoja1!A:B,2,FALSE)</f>
        <v>08. Movilidad y espacio urbano</v>
      </c>
      <c r="U956" s="35" t="str">
        <f>MID(Tabla1[[#This Row],[Aplicación]],9,4)</f>
        <v>1532</v>
      </c>
      <c r="V956" s="35" t="str">
        <f>VLOOKUP(Tabla1[[#This Row],[PROGRAMA]],Hoja1!A:B,2,FALSE)</f>
        <v>1532. Pavimentación vias públicas y otros servicios urbanísticos</v>
      </c>
      <c r="W956" s="35" t="str">
        <f>MID(Tabla1[[#This Row],[Aplicación]],14,2)</f>
        <v>21</v>
      </c>
      <c r="X956" s="35" t="str">
        <f>MID(Tabla1[[#This Row],[Aplicación]],14,6)</f>
        <v>214</v>
      </c>
    </row>
    <row r="957" spans="1:24" x14ac:dyDescent="0.25">
      <c r="A957" s="45">
        <v>220210008428</v>
      </c>
      <c r="B957" s="46" t="s">
        <v>9</v>
      </c>
      <c r="C957" s="47">
        <v>44266</v>
      </c>
      <c r="D957" s="45">
        <v>22021003178</v>
      </c>
      <c r="E957" s="46" t="s">
        <v>2026</v>
      </c>
      <c r="F957" s="48">
        <v>84.7</v>
      </c>
      <c r="G957" s="46" t="s">
        <v>183</v>
      </c>
      <c r="H957" s="46" t="s">
        <v>2027</v>
      </c>
      <c r="I957" s="45" t="s">
        <v>125</v>
      </c>
      <c r="J957" s="46" t="s">
        <v>654</v>
      </c>
      <c r="K957" s="46" t="s">
        <v>146</v>
      </c>
      <c r="L957" s="46" t="s">
        <v>12</v>
      </c>
      <c r="M957" s="46" t="s">
        <v>10</v>
      </c>
      <c r="N957" s="46" t="s">
        <v>11</v>
      </c>
      <c r="O957" s="49" t="s">
        <v>815</v>
      </c>
      <c r="P957" s="46" t="s">
        <v>507</v>
      </c>
      <c r="Q957" s="35" t="str">
        <f>MID(Tabla1[[#This Row],[Aplicación]],14,1)</f>
        <v>2</v>
      </c>
      <c r="R957" s="35" t="s">
        <v>495</v>
      </c>
      <c r="S957" s="35" t="str">
        <f>MID(Tabla1[[#This Row],[Aplicación]],6,2)</f>
        <v>10</v>
      </c>
      <c r="T957" s="35" t="str">
        <f>VLOOKUP(Tabla1[[#This Row],[AREA]],Hoja1!A:B,2,FALSE)</f>
        <v>10. Servicios sociales y mediación comunitaria</v>
      </c>
      <c r="U957" s="35" t="str">
        <f>MID(Tabla1[[#This Row],[Aplicación]],9,4)</f>
        <v>2412</v>
      </c>
      <c r="V957" s="35" t="str">
        <f>VLOOKUP(Tabla1[[#This Row],[PROGRAMA]],Hoja1!A:B,2,FALSE)</f>
        <v>2412. Formación para el empleo</v>
      </c>
      <c r="W957" s="35" t="str">
        <f>MID(Tabla1[[#This Row],[Aplicación]],14,2)</f>
        <v>22</v>
      </c>
      <c r="X957" s="35" t="str">
        <f>MID(Tabla1[[#This Row],[Aplicación]],14,6)</f>
        <v>22799</v>
      </c>
    </row>
    <row r="958" spans="1:24" x14ac:dyDescent="0.25">
      <c r="A958" s="45">
        <v>220209000576</v>
      </c>
      <c r="B958" s="46" t="s">
        <v>9</v>
      </c>
      <c r="C958" s="47">
        <v>44198</v>
      </c>
      <c r="D958" s="45">
        <v>22021000742</v>
      </c>
      <c r="E958" s="46" t="s">
        <v>1196</v>
      </c>
      <c r="F958" s="48">
        <v>178623.19</v>
      </c>
      <c r="G958" s="46" t="s">
        <v>221</v>
      </c>
      <c r="H958" s="46" t="s">
        <v>2028</v>
      </c>
      <c r="I958" s="45" t="s">
        <v>125</v>
      </c>
      <c r="J958" s="46" t="s">
        <v>565</v>
      </c>
      <c r="K958" s="46" t="s">
        <v>126</v>
      </c>
      <c r="L958" s="46" t="s">
        <v>12</v>
      </c>
      <c r="M958" s="46" t="s">
        <v>13</v>
      </c>
      <c r="N958" s="46" t="s">
        <v>14</v>
      </c>
      <c r="O958" s="49" t="s">
        <v>803</v>
      </c>
      <c r="P958" s="46" t="s">
        <v>507</v>
      </c>
      <c r="Q958" s="35" t="str">
        <f>MID(Tabla1[[#This Row],[Aplicación]],14,1)</f>
        <v>6</v>
      </c>
      <c r="R958" s="35" t="s">
        <v>496</v>
      </c>
      <c r="S958" s="35" t="str">
        <f>MID(Tabla1[[#This Row],[Aplicación]],6,2)</f>
        <v>08</v>
      </c>
      <c r="T958" s="35" t="str">
        <f>VLOOKUP(Tabla1[[#This Row],[AREA]],Hoja1!A:B,2,FALSE)</f>
        <v>08. Movilidad y espacio urbano</v>
      </c>
      <c r="U958" s="35" t="str">
        <f>MID(Tabla1[[#This Row],[Aplicación]],9,4)</f>
        <v>1341</v>
      </c>
      <c r="V958" s="35" t="str">
        <f>VLOOKUP(Tabla1[[#This Row],[PROGRAMA]],Hoja1!A:B,2,FALSE)</f>
        <v>1341. Movilidad</v>
      </c>
      <c r="W958" s="35" t="str">
        <f>MID(Tabla1[[#This Row],[Aplicación]],14,2)</f>
        <v>61</v>
      </c>
      <c r="X958" s="35" t="str">
        <f>MID(Tabla1[[#This Row],[Aplicación]],14,6)</f>
        <v>619</v>
      </c>
    </row>
    <row r="959" spans="1:24" x14ac:dyDescent="0.25">
      <c r="A959" s="45">
        <v>220209000774</v>
      </c>
      <c r="B959" s="46" t="s">
        <v>9</v>
      </c>
      <c r="C959" s="47">
        <v>44198</v>
      </c>
      <c r="D959" s="45">
        <v>22021000525</v>
      </c>
      <c r="E959" s="46" t="s">
        <v>1724</v>
      </c>
      <c r="F959" s="48">
        <v>173236.96</v>
      </c>
      <c r="G959" s="46" t="s">
        <v>111</v>
      </c>
      <c r="H959" s="46" t="s">
        <v>2029</v>
      </c>
      <c r="I959" s="45" t="s">
        <v>125</v>
      </c>
      <c r="J959" s="46" t="s">
        <v>127</v>
      </c>
      <c r="K959" s="46" t="s">
        <v>127</v>
      </c>
      <c r="L959" s="46" t="s">
        <v>12</v>
      </c>
      <c r="M959" s="46" t="s">
        <v>13</v>
      </c>
      <c r="N959" s="46" t="s">
        <v>14</v>
      </c>
      <c r="O959" s="49" t="s">
        <v>803</v>
      </c>
      <c r="P959" s="46" t="s">
        <v>507</v>
      </c>
      <c r="Q959" s="35" t="str">
        <f>MID(Tabla1[[#This Row],[Aplicación]],14,1)</f>
        <v>6</v>
      </c>
      <c r="R959" s="35" t="s">
        <v>496</v>
      </c>
      <c r="S959" s="35" t="str">
        <f>MID(Tabla1[[#This Row],[Aplicación]],6,2)</f>
        <v>07</v>
      </c>
      <c r="T959" s="35" t="str">
        <f>VLOOKUP(Tabla1[[#This Row],[AREA]],Hoja1!A:B,2,FALSE)</f>
        <v>07. Medio ambiente y desarrollo sostenible</v>
      </c>
      <c r="U959" s="35" t="str">
        <f>MID(Tabla1[[#This Row],[Aplicación]],9,4)</f>
        <v>1711</v>
      </c>
      <c r="V959" s="35" t="str">
        <f>VLOOKUP(Tabla1[[#This Row],[PROGRAMA]],Hoja1!A:B,2,FALSE)</f>
        <v>1711. Parques y jardines</v>
      </c>
      <c r="W959" s="35" t="str">
        <f>MID(Tabla1[[#This Row],[Aplicación]],14,2)</f>
        <v>61</v>
      </c>
      <c r="X959" s="35" t="str">
        <f>MID(Tabla1[[#This Row],[Aplicación]],14,6)</f>
        <v>619</v>
      </c>
    </row>
    <row r="960" spans="1:24" x14ac:dyDescent="0.25">
      <c r="A960" s="45">
        <v>220200039610</v>
      </c>
      <c r="B960" s="46" t="s">
        <v>9</v>
      </c>
      <c r="C960" s="47">
        <v>44284</v>
      </c>
      <c r="D960" s="45">
        <v>22019008560</v>
      </c>
      <c r="E960" s="46" t="s">
        <v>1487</v>
      </c>
      <c r="F960" s="48">
        <v>158464.95999999999</v>
      </c>
      <c r="G960" s="46" t="s">
        <v>2030</v>
      </c>
      <c r="H960" s="46" t="s">
        <v>2031</v>
      </c>
      <c r="I960" s="45" t="s">
        <v>125</v>
      </c>
      <c r="J960" s="46" t="s">
        <v>749</v>
      </c>
      <c r="K960" s="46" t="s">
        <v>127</v>
      </c>
      <c r="L960" s="46" t="s">
        <v>31</v>
      </c>
      <c r="M960" s="46" t="s">
        <v>13</v>
      </c>
      <c r="N960" s="46" t="s">
        <v>14</v>
      </c>
      <c r="O960" s="49" t="s">
        <v>803</v>
      </c>
      <c r="P960" s="46" t="s">
        <v>507</v>
      </c>
      <c r="Q960" s="35" t="str">
        <f>MID(Tabla1[[#This Row],[Aplicación]],14,1)</f>
        <v>6</v>
      </c>
      <c r="R960" s="35" t="s">
        <v>496</v>
      </c>
      <c r="S960" s="35" t="str">
        <f>MID(Tabla1[[#This Row],[Aplicación]],6,2)</f>
        <v>08</v>
      </c>
      <c r="T960" s="35" t="str">
        <f>VLOOKUP(Tabla1[[#This Row],[AREA]],Hoja1!A:B,2,FALSE)</f>
        <v>08. Movilidad y espacio urbano</v>
      </c>
      <c r="U960" s="35" t="str">
        <f>MID(Tabla1[[#This Row],[Aplicación]],9,4)</f>
        <v>1532</v>
      </c>
      <c r="V960" s="35" t="str">
        <f>VLOOKUP(Tabla1[[#This Row],[PROGRAMA]],Hoja1!A:B,2,FALSE)</f>
        <v>1532. Pavimentación vias públicas y otros servicios urbanísticos</v>
      </c>
      <c r="W960" s="35" t="str">
        <f>MID(Tabla1[[#This Row],[Aplicación]],14,2)</f>
        <v>61</v>
      </c>
      <c r="X960" s="35" t="str">
        <f>MID(Tabla1[[#This Row],[Aplicación]],14,6)</f>
        <v>619</v>
      </c>
    </row>
    <row r="961" spans="1:24" x14ac:dyDescent="0.25">
      <c r="A961" s="45">
        <v>220209000461</v>
      </c>
      <c r="B961" s="46" t="s">
        <v>9</v>
      </c>
      <c r="C961" s="47">
        <v>44198</v>
      </c>
      <c r="D961" s="45">
        <v>22021000312</v>
      </c>
      <c r="E961" s="46" t="s">
        <v>1197</v>
      </c>
      <c r="F961" s="48">
        <v>185040</v>
      </c>
      <c r="G961" s="46" t="s">
        <v>2032</v>
      </c>
      <c r="H961" s="46" t="s">
        <v>2033</v>
      </c>
      <c r="I961" s="45" t="s">
        <v>125</v>
      </c>
      <c r="J961" s="46" t="s">
        <v>127</v>
      </c>
      <c r="K961" s="46" t="s">
        <v>127</v>
      </c>
      <c r="L961" s="46" t="s">
        <v>12</v>
      </c>
      <c r="M961" s="46" t="s">
        <v>13</v>
      </c>
      <c r="N961" s="46" t="s">
        <v>14</v>
      </c>
      <c r="O961" s="49" t="s">
        <v>803</v>
      </c>
      <c r="P961" s="46" t="s">
        <v>507</v>
      </c>
      <c r="Q961" s="35" t="str">
        <f>MID(Tabla1[[#This Row],[Aplicación]],14,1)</f>
        <v>2</v>
      </c>
      <c r="R961" s="35" t="s">
        <v>495</v>
      </c>
      <c r="S961" s="35" t="str">
        <f>MID(Tabla1[[#This Row],[Aplicación]],6,2)</f>
        <v>06</v>
      </c>
      <c r="T961" s="35" t="str">
        <f>VLOOKUP(Tabla1[[#This Row],[AREA]],Hoja1!A:B,2,FALSE)</f>
        <v>06. Educación, infancia, juventud e igualdad</v>
      </c>
      <c r="U961" s="35" t="str">
        <f>MID(Tabla1[[#This Row],[Aplicación]],9,4)</f>
        <v>3231</v>
      </c>
      <c r="V961" s="35" t="str">
        <f>VLOOKUP(Tabla1[[#This Row],[PROGRAMA]],Hoja1!A:B,2,FALSE)</f>
        <v>3231. Escuelas infantiles</v>
      </c>
      <c r="W961" s="35" t="str">
        <f>MID(Tabla1[[#This Row],[Aplicación]],14,2)</f>
        <v>22</v>
      </c>
      <c r="X961" s="35" t="str">
        <f>MID(Tabla1[[#This Row],[Aplicación]],14,6)</f>
        <v>22799</v>
      </c>
    </row>
    <row r="962" spans="1:24" x14ac:dyDescent="0.25">
      <c r="A962" s="45">
        <v>220209000464</v>
      </c>
      <c r="B962" s="46" t="s">
        <v>9</v>
      </c>
      <c r="C962" s="47">
        <v>44198</v>
      </c>
      <c r="D962" s="45">
        <v>22021000315</v>
      </c>
      <c r="E962" s="46" t="s">
        <v>1197</v>
      </c>
      <c r="F962" s="48">
        <v>524840</v>
      </c>
      <c r="G962" s="46" t="s">
        <v>2032</v>
      </c>
      <c r="H962" s="46" t="s">
        <v>2034</v>
      </c>
      <c r="I962" s="45" t="s">
        <v>125</v>
      </c>
      <c r="J962" s="46" t="s">
        <v>127</v>
      </c>
      <c r="K962" s="46" t="s">
        <v>127</v>
      </c>
      <c r="L962" s="46" t="s">
        <v>12</v>
      </c>
      <c r="M962" s="46" t="s">
        <v>13</v>
      </c>
      <c r="N962" s="46" t="s">
        <v>14</v>
      </c>
      <c r="O962" s="49" t="s">
        <v>803</v>
      </c>
      <c r="P962" s="46" t="s">
        <v>507</v>
      </c>
      <c r="Q962" s="35" t="str">
        <f>MID(Tabla1[[#This Row],[Aplicación]],14,1)</f>
        <v>2</v>
      </c>
      <c r="R962" s="35" t="s">
        <v>495</v>
      </c>
      <c r="S962" s="35" t="str">
        <f>MID(Tabla1[[#This Row],[Aplicación]],6,2)</f>
        <v>06</v>
      </c>
      <c r="T962" s="35" t="str">
        <f>VLOOKUP(Tabla1[[#This Row],[AREA]],Hoja1!A:B,2,FALSE)</f>
        <v>06. Educación, infancia, juventud e igualdad</v>
      </c>
      <c r="U962" s="35" t="str">
        <f>MID(Tabla1[[#This Row],[Aplicación]],9,4)</f>
        <v>3231</v>
      </c>
      <c r="V962" s="35" t="str">
        <f>VLOOKUP(Tabla1[[#This Row],[PROGRAMA]],Hoja1!A:B,2,FALSE)</f>
        <v>3231. Escuelas infantiles</v>
      </c>
      <c r="W962" s="35" t="str">
        <f>MID(Tabla1[[#This Row],[Aplicación]],14,2)</f>
        <v>22</v>
      </c>
      <c r="X962" s="35" t="str">
        <f>MID(Tabla1[[#This Row],[Aplicación]],14,6)</f>
        <v>22799</v>
      </c>
    </row>
    <row r="963" spans="1:24" x14ac:dyDescent="0.25">
      <c r="A963" s="45">
        <v>220179000247</v>
      </c>
      <c r="B963" s="46" t="s">
        <v>9</v>
      </c>
      <c r="C963" s="47">
        <v>44198</v>
      </c>
      <c r="D963" s="45">
        <v>22021000119</v>
      </c>
      <c r="E963" s="46" t="s">
        <v>1589</v>
      </c>
      <c r="F963" s="48">
        <v>146713.46</v>
      </c>
      <c r="G963" s="46" t="s">
        <v>143</v>
      </c>
      <c r="H963" s="46" t="s">
        <v>23</v>
      </c>
      <c r="I963" s="45" t="s">
        <v>125</v>
      </c>
      <c r="J963" s="46" t="s">
        <v>627</v>
      </c>
      <c r="K963" s="46" t="s">
        <v>144</v>
      </c>
      <c r="L963" s="46" t="s">
        <v>19</v>
      </c>
      <c r="M963" s="46" t="s">
        <v>13</v>
      </c>
      <c r="N963" s="46" t="s">
        <v>14</v>
      </c>
      <c r="O963" s="49" t="s">
        <v>803</v>
      </c>
      <c r="P963" s="46" t="s">
        <v>507</v>
      </c>
      <c r="Q963" s="35" t="str">
        <f>MID(Tabla1[[#This Row],[Aplicación]],14,1)</f>
        <v>2</v>
      </c>
      <c r="R963" s="35" t="s">
        <v>495</v>
      </c>
      <c r="S963" s="35" t="str">
        <f>MID(Tabla1[[#This Row],[Aplicación]],6,2)</f>
        <v>08</v>
      </c>
      <c r="T963" s="35" t="str">
        <f>VLOOKUP(Tabla1[[#This Row],[AREA]],Hoja1!A:B,2,FALSE)</f>
        <v>08. Movilidad y espacio urbano</v>
      </c>
      <c r="U963" s="35" t="str">
        <f>MID(Tabla1[[#This Row],[Aplicación]],9,4)</f>
        <v>1341</v>
      </c>
      <c r="V963" s="35" t="str">
        <f>VLOOKUP(Tabla1[[#This Row],[PROGRAMA]],Hoja1!A:B,2,FALSE)</f>
        <v>1341. Movilidad</v>
      </c>
      <c r="W963" s="35" t="str">
        <f>MID(Tabla1[[#This Row],[Aplicación]],14,2)</f>
        <v>22</v>
      </c>
      <c r="X963" s="35" t="str">
        <f>MID(Tabla1[[#This Row],[Aplicación]],14,6)</f>
        <v>22799</v>
      </c>
    </row>
    <row r="964" spans="1:24" x14ac:dyDescent="0.25">
      <c r="A964" s="45">
        <v>220209000149</v>
      </c>
      <c r="B964" s="46" t="s">
        <v>9</v>
      </c>
      <c r="C964" s="47">
        <v>44198</v>
      </c>
      <c r="D964" s="45">
        <v>22021000219</v>
      </c>
      <c r="E964" s="46" t="s">
        <v>881</v>
      </c>
      <c r="F964" s="48">
        <v>3600</v>
      </c>
      <c r="G964" s="46" t="s">
        <v>173</v>
      </c>
      <c r="H964" s="46" t="s">
        <v>1255</v>
      </c>
      <c r="I964" s="45" t="s">
        <v>125</v>
      </c>
      <c r="J964" s="46" t="s">
        <v>709</v>
      </c>
      <c r="K964" s="46" t="s">
        <v>127</v>
      </c>
      <c r="L964" s="46" t="s">
        <v>12</v>
      </c>
      <c r="M964" s="46" t="s">
        <v>13</v>
      </c>
      <c r="N964" s="46" t="s">
        <v>14</v>
      </c>
      <c r="O964" s="49" t="s">
        <v>814</v>
      </c>
      <c r="P964" s="46" t="s">
        <v>507</v>
      </c>
      <c r="Q964" s="35" t="str">
        <f>MID(Tabla1[[#This Row],[Aplicación]],14,1)</f>
        <v>2</v>
      </c>
      <c r="R964" s="35" t="s">
        <v>495</v>
      </c>
      <c r="S964" s="35" t="str">
        <f>MID(Tabla1[[#This Row],[Aplicación]],6,2)</f>
        <v>05</v>
      </c>
      <c r="T964" s="35" t="str">
        <f>VLOOKUP(Tabla1[[#This Row],[AREA]],Hoja1!A:B,2,FALSE)</f>
        <v>05. Innovación, desarrollo económico, empleo y comercio</v>
      </c>
      <c r="U964" s="35" t="str">
        <f>MID(Tabla1[[#This Row],[Aplicación]],9,4)</f>
        <v>4331</v>
      </c>
      <c r="V964" s="35" t="str">
        <f>VLOOKUP(Tabla1[[#This Row],[PROGRAMA]],Hoja1!A:B,2,FALSE)</f>
        <v>4331. Desarrollo empresarial</v>
      </c>
      <c r="W964" s="35" t="str">
        <f>MID(Tabla1[[#This Row],[Aplicación]],14,2)</f>
        <v>22</v>
      </c>
      <c r="X964" s="35" t="str">
        <f>MID(Tabla1[[#This Row],[Aplicación]],14,6)</f>
        <v>22799</v>
      </c>
    </row>
    <row r="965" spans="1:24" x14ac:dyDescent="0.25">
      <c r="A965" s="45">
        <v>220209000577</v>
      </c>
      <c r="B965" s="46" t="s">
        <v>9</v>
      </c>
      <c r="C965" s="47">
        <v>44198</v>
      </c>
      <c r="D965" s="45">
        <v>22021000596</v>
      </c>
      <c r="E965" s="46" t="s">
        <v>2035</v>
      </c>
      <c r="F965" s="48">
        <v>7000</v>
      </c>
      <c r="G965" s="46" t="s">
        <v>47</v>
      </c>
      <c r="H965" s="46" t="s">
        <v>2036</v>
      </c>
      <c r="I965" s="45" t="s">
        <v>125</v>
      </c>
      <c r="J965" s="46" t="s">
        <v>148</v>
      </c>
      <c r="K965" s="46" t="s">
        <v>201</v>
      </c>
      <c r="L965" s="46" t="s">
        <v>15</v>
      </c>
      <c r="M965" s="46" t="s">
        <v>13</v>
      </c>
      <c r="N965" s="46" t="s">
        <v>14</v>
      </c>
      <c r="O965" s="49" t="s">
        <v>803</v>
      </c>
      <c r="P965" s="46" t="s">
        <v>507</v>
      </c>
      <c r="Q965" s="35" t="str">
        <f>MID(Tabla1[[#This Row],[Aplicación]],14,1)</f>
        <v>2</v>
      </c>
      <c r="R965" s="35" t="s">
        <v>495</v>
      </c>
      <c r="S965" s="35" t="str">
        <f>MID(Tabla1[[#This Row],[Aplicación]],6,2)</f>
        <v>01</v>
      </c>
      <c r="T965" s="35" t="str">
        <f>VLOOKUP(Tabla1[[#This Row],[AREA]],Hoja1!A:B,2,FALSE)</f>
        <v>01. Alcaldía</v>
      </c>
      <c r="U965" s="35" t="str">
        <f>MID(Tabla1[[#This Row],[Aplicación]],9,4)</f>
        <v>9205</v>
      </c>
      <c r="V965" s="35" t="str">
        <f>VLOOKUP(Tabla1[[#This Row],[PROGRAMA]],Hoja1!A:B,2,FALSE)</f>
        <v>9205. Imprenta municipal</v>
      </c>
      <c r="W965" s="35" t="str">
        <f>MID(Tabla1[[#This Row],[Aplicación]],14,2)</f>
        <v>22</v>
      </c>
      <c r="X965" s="35" t="str">
        <f>MID(Tabla1[[#This Row],[Aplicación]],14,6)</f>
        <v>22100</v>
      </c>
    </row>
    <row r="966" spans="1:24" x14ac:dyDescent="0.25">
      <c r="A966" s="45">
        <v>220210006978</v>
      </c>
      <c r="B966" s="46" t="s">
        <v>9</v>
      </c>
      <c r="C966" s="47">
        <v>44259</v>
      </c>
      <c r="D966" s="45">
        <v>22021003219</v>
      </c>
      <c r="E966" s="46" t="s">
        <v>1263</v>
      </c>
      <c r="F966" s="48">
        <v>84.94</v>
      </c>
      <c r="G966" s="46" t="s">
        <v>53</v>
      </c>
      <c r="H966" s="46" t="s">
        <v>2037</v>
      </c>
      <c r="I966" s="45" t="s">
        <v>125</v>
      </c>
      <c r="J966" s="46" t="s">
        <v>127</v>
      </c>
      <c r="K966" s="46" t="s">
        <v>127</v>
      </c>
      <c r="L966" s="46" t="s">
        <v>12</v>
      </c>
      <c r="M966" s="46" t="s">
        <v>10</v>
      </c>
      <c r="N966" s="46" t="s">
        <v>11</v>
      </c>
      <c r="O966" s="49" t="s">
        <v>815</v>
      </c>
      <c r="P966" s="46" t="s">
        <v>507</v>
      </c>
      <c r="Q966" s="35" t="str">
        <f>MID(Tabla1[[#This Row],[Aplicación]],14,1)</f>
        <v>2</v>
      </c>
      <c r="R966" s="35" t="s">
        <v>495</v>
      </c>
      <c r="S966" s="35" t="str">
        <f>MID(Tabla1[[#This Row],[Aplicación]],6,2)</f>
        <v>02</v>
      </c>
      <c r="T966" s="35" t="str">
        <f>VLOOKUP(Tabla1[[#This Row],[AREA]],Hoja1!A:B,2,FALSE)</f>
        <v>02. Planeamiento urbanístico y vivienda</v>
      </c>
      <c r="U966" s="35" t="str">
        <f>MID(Tabla1[[#This Row],[Aplicación]],9,4)</f>
        <v>9332</v>
      </c>
      <c r="V966" s="35" t="str">
        <f>VLOOKUP(Tabla1[[#This Row],[PROGRAMA]],Hoja1!A:B,2,FALSE)</f>
        <v>9332. Mantenimiento de edificios e instalaciones municipales</v>
      </c>
      <c r="W966" s="35" t="str">
        <f>MID(Tabla1[[#This Row],[Aplicación]],14,2)</f>
        <v>21</v>
      </c>
      <c r="X966" s="35" t="str">
        <f>MID(Tabla1[[#This Row],[Aplicación]],14,6)</f>
        <v>213</v>
      </c>
    </row>
    <row r="967" spans="1:24" x14ac:dyDescent="0.25">
      <c r="A967" s="45">
        <v>220210006566</v>
      </c>
      <c r="B967" s="46" t="s">
        <v>9</v>
      </c>
      <c r="C967" s="47">
        <v>44256</v>
      </c>
      <c r="D967" s="45">
        <v>22021003020</v>
      </c>
      <c r="E967" s="46" t="s">
        <v>1401</v>
      </c>
      <c r="F967" s="48">
        <v>87.12</v>
      </c>
      <c r="G967" s="46" t="s">
        <v>261</v>
      </c>
      <c r="H967" s="46" t="s">
        <v>2038</v>
      </c>
      <c r="I967" s="45" t="s">
        <v>125</v>
      </c>
      <c r="J967" s="46" t="s">
        <v>127</v>
      </c>
      <c r="K967" s="46" t="s">
        <v>127</v>
      </c>
      <c r="L967" s="46" t="s">
        <v>15</v>
      </c>
      <c r="M967" s="46" t="s">
        <v>10</v>
      </c>
      <c r="N967" s="46" t="s">
        <v>11</v>
      </c>
      <c r="O967" s="49" t="s">
        <v>815</v>
      </c>
      <c r="P967" s="46" t="s">
        <v>507</v>
      </c>
      <c r="Q967" s="35" t="str">
        <f>MID(Tabla1[[#This Row],[Aplicación]],14,1)</f>
        <v>2</v>
      </c>
      <c r="R967" s="35" t="s">
        <v>495</v>
      </c>
      <c r="S967" s="35" t="str">
        <f>MID(Tabla1[[#This Row],[Aplicación]],6,2)</f>
        <v>10</v>
      </c>
      <c r="T967" s="35" t="str">
        <f>VLOOKUP(Tabla1[[#This Row],[AREA]],Hoja1!A:B,2,FALSE)</f>
        <v>10. Servicios sociales y mediación comunitaria</v>
      </c>
      <c r="U967" s="35" t="str">
        <f>MID(Tabla1[[#This Row],[Aplicación]],9,4)</f>
        <v>2312</v>
      </c>
      <c r="V967" s="35" t="str">
        <f>VLOOKUP(Tabla1[[#This Row],[PROGRAMA]],Hoja1!A:B,2,FALSE)</f>
        <v>2312. Iniciativas sociales</v>
      </c>
      <c r="W967" s="35" t="str">
        <f>MID(Tabla1[[#This Row],[Aplicación]],14,2)</f>
        <v>22</v>
      </c>
      <c r="X967" s="35" t="str">
        <f>MID(Tabla1[[#This Row],[Aplicación]],14,6)</f>
        <v>22699</v>
      </c>
    </row>
    <row r="968" spans="1:24" x14ac:dyDescent="0.25">
      <c r="A968" s="45">
        <v>220210006010</v>
      </c>
      <c r="B968" s="46" t="s">
        <v>9</v>
      </c>
      <c r="C968" s="47">
        <v>44251</v>
      </c>
      <c r="D968" s="45">
        <v>22021002663</v>
      </c>
      <c r="E968" s="46" t="s">
        <v>1623</v>
      </c>
      <c r="F968" s="48">
        <v>89</v>
      </c>
      <c r="G968" s="46" t="s">
        <v>2039</v>
      </c>
      <c r="H968" s="46" t="s">
        <v>2040</v>
      </c>
      <c r="I968" s="45" t="s">
        <v>125</v>
      </c>
      <c r="J968" s="46" t="s">
        <v>751</v>
      </c>
      <c r="K968" s="46" t="s">
        <v>126</v>
      </c>
      <c r="L968" s="46" t="s">
        <v>15</v>
      </c>
      <c r="M968" s="46" t="s">
        <v>10</v>
      </c>
      <c r="N968" s="46" t="s">
        <v>11</v>
      </c>
      <c r="O968" s="49" t="s">
        <v>815</v>
      </c>
      <c r="P968" s="46" t="s">
        <v>507</v>
      </c>
      <c r="Q968" s="35" t="str">
        <f>MID(Tabla1[[#This Row],[Aplicación]],14,1)</f>
        <v>2</v>
      </c>
      <c r="R968" s="35" t="s">
        <v>495</v>
      </c>
      <c r="S968" s="35" t="str">
        <f>MID(Tabla1[[#This Row],[Aplicación]],6,2)</f>
        <v>01</v>
      </c>
      <c r="T968" s="35" t="str">
        <f>VLOOKUP(Tabla1[[#This Row],[AREA]],Hoja1!A:B,2,FALSE)</f>
        <v>01. Alcaldía</v>
      </c>
      <c r="U968" s="35" t="str">
        <f>MID(Tabla1[[#This Row],[Aplicación]],9,4)</f>
        <v>9207</v>
      </c>
      <c r="V968" s="35" t="str">
        <f>VLOOKUP(Tabla1[[#This Row],[PROGRAMA]],Hoja1!A:B,2,FALSE)</f>
        <v>9207. Gobierno y relaciones</v>
      </c>
      <c r="W968" s="35" t="str">
        <f>MID(Tabla1[[#This Row],[Aplicación]],14,2)</f>
        <v>22</v>
      </c>
      <c r="X968" s="35" t="str">
        <f>MID(Tabla1[[#This Row],[Aplicación]],14,6)</f>
        <v>22001</v>
      </c>
    </row>
    <row r="969" spans="1:24" x14ac:dyDescent="0.25">
      <c r="A969" s="45">
        <v>220210005188</v>
      </c>
      <c r="B969" s="46" t="s">
        <v>9</v>
      </c>
      <c r="C969" s="47">
        <v>44246</v>
      </c>
      <c r="D969" s="45">
        <v>22021001244</v>
      </c>
      <c r="E969" s="46" t="s">
        <v>1852</v>
      </c>
      <c r="F969" s="48">
        <v>25374.11</v>
      </c>
      <c r="G969" s="46" t="s">
        <v>211</v>
      </c>
      <c r="H969" s="46" t="s">
        <v>2041</v>
      </c>
      <c r="I969" s="45" t="s">
        <v>125</v>
      </c>
      <c r="J969" s="46" t="s">
        <v>662</v>
      </c>
      <c r="K969" s="46" t="s">
        <v>165</v>
      </c>
      <c r="L969" s="46" t="s">
        <v>12</v>
      </c>
      <c r="M969" s="46" t="s">
        <v>13</v>
      </c>
      <c r="N969" s="46" t="s">
        <v>14</v>
      </c>
      <c r="O969" s="49" t="s">
        <v>803</v>
      </c>
      <c r="P969" s="46" t="s">
        <v>507</v>
      </c>
      <c r="Q969" s="35" t="str">
        <f>MID(Tabla1[[#This Row],[Aplicación]],14,1)</f>
        <v>2</v>
      </c>
      <c r="R969" s="35" t="s">
        <v>495</v>
      </c>
      <c r="S969" s="35" t="str">
        <f>MID(Tabla1[[#This Row],[Aplicación]],6,2)</f>
        <v>11</v>
      </c>
      <c r="T969" s="35" t="str">
        <f>VLOOKUP(Tabla1[[#This Row],[AREA]],Hoja1!A:B,2,FALSE)</f>
        <v>11. Salud pública y seguridad ciudadana</v>
      </c>
      <c r="U969" s="35" t="str">
        <f>MID(Tabla1[[#This Row],[Aplicación]],9,4)</f>
        <v>3111</v>
      </c>
      <c r="V969" s="35" t="str">
        <f>VLOOKUP(Tabla1[[#This Row],[PROGRAMA]],Hoja1!A:B,2,FALSE)</f>
        <v>3111. Protección de la salubridad pública</v>
      </c>
      <c r="W969" s="35" t="str">
        <f>MID(Tabla1[[#This Row],[Aplicación]],14,2)</f>
        <v>22</v>
      </c>
      <c r="X969" s="35" t="str">
        <f>MID(Tabla1[[#This Row],[Aplicación]],14,6)</f>
        <v>22706</v>
      </c>
    </row>
    <row r="970" spans="1:24" x14ac:dyDescent="0.25">
      <c r="A970" s="45">
        <v>220210005471</v>
      </c>
      <c r="B970" s="46" t="s">
        <v>204</v>
      </c>
      <c r="C970" s="47">
        <v>44250</v>
      </c>
      <c r="D970" s="45">
        <v>22021001967</v>
      </c>
      <c r="E970" s="46" t="s">
        <v>1167</v>
      </c>
      <c r="F970" s="48">
        <v>1014.92</v>
      </c>
      <c r="G970" s="46" t="s">
        <v>246</v>
      </c>
      <c r="H970" s="46" t="s">
        <v>2042</v>
      </c>
      <c r="I970" s="45" t="s">
        <v>205</v>
      </c>
      <c r="J970" s="46" t="s">
        <v>127</v>
      </c>
      <c r="K970" s="46" t="s">
        <v>127</v>
      </c>
      <c r="L970" s="46" t="s">
        <v>15</v>
      </c>
      <c r="M970" s="46" t="s">
        <v>13</v>
      </c>
      <c r="N970" s="46" t="s">
        <v>14</v>
      </c>
      <c r="O970" s="49" t="s">
        <v>814</v>
      </c>
      <c r="P970" s="46" t="s">
        <v>507</v>
      </c>
      <c r="Q970" s="35" t="str">
        <f>MID(Tabla1[[#This Row],[Aplicación]],14,1)</f>
        <v>2</v>
      </c>
      <c r="R970" s="35" t="s">
        <v>495</v>
      </c>
      <c r="S970" s="35" t="str">
        <f>MID(Tabla1[[#This Row],[Aplicación]],6,2)</f>
        <v>11</v>
      </c>
      <c r="T970" s="35" t="str">
        <f>VLOOKUP(Tabla1[[#This Row],[AREA]],Hoja1!A:B,2,FALSE)</f>
        <v>11. Salud pública y seguridad ciudadana</v>
      </c>
      <c r="U970" s="35" t="str">
        <f>MID(Tabla1[[#This Row],[Aplicación]],9,4)</f>
        <v>1321</v>
      </c>
      <c r="V970" s="35" t="str">
        <f>VLOOKUP(Tabla1[[#This Row],[PROGRAMA]],Hoja1!A:B,2,FALSE)</f>
        <v>1321. Policía municipal</v>
      </c>
      <c r="W970" s="35" t="str">
        <f>MID(Tabla1[[#This Row],[Aplicación]],14,2)</f>
        <v>21</v>
      </c>
      <c r="X970" s="35" t="str">
        <f>MID(Tabla1[[#This Row],[Aplicación]],14,6)</f>
        <v>214</v>
      </c>
    </row>
    <row r="971" spans="1:24" x14ac:dyDescent="0.25">
      <c r="A971" s="45">
        <v>220210005489</v>
      </c>
      <c r="B971" s="46" t="s">
        <v>204</v>
      </c>
      <c r="C971" s="47">
        <v>44250</v>
      </c>
      <c r="D971" s="45">
        <v>22021001967</v>
      </c>
      <c r="E971" s="46" t="s">
        <v>1167</v>
      </c>
      <c r="F971" s="48">
        <v>1484.73</v>
      </c>
      <c r="G971" s="46" t="s">
        <v>246</v>
      </c>
      <c r="H971" s="46" t="s">
        <v>2043</v>
      </c>
      <c r="I971" s="45" t="s">
        <v>205</v>
      </c>
      <c r="J971" s="46" t="s">
        <v>127</v>
      </c>
      <c r="K971" s="46" t="s">
        <v>127</v>
      </c>
      <c r="L971" s="46" t="s">
        <v>15</v>
      </c>
      <c r="M971" s="46" t="s">
        <v>13</v>
      </c>
      <c r="N971" s="46" t="s">
        <v>14</v>
      </c>
      <c r="O971" s="49" t="s">
        <v>814</v>
      </c>
      <c r="P971" s="46" t="s">
        <v>507</v>
      </c>
      <c r="Q971" s="35" t="str">
        <f>MID(Tabla1[[#This Row],[Aplicación]],14,1)</f>
        <v>2</v>
      </c>
      <c r="R971" s="35" t="s">
        <v>495</v>
      </c>
      <c r="S971" s="35" t="str">
        <f>MID(Tabla1[[#This Row],[Aplicación]],6,2)</f>
        <v>11</v>
      </c>
      <c r="T971" s="35" t="str">
        <f>VLOOKUP(Tabla1[[#This Row],[AREA]],Hoja1!A:B,2,FALSE)</f>
        <v>11. Salud pública y seguridad ciudadana</v>
      </c>
      <c r="U971" s="35" t="str">
        <f>MID(Tabla1[[#This Row],[Aplicación]],9,4)</f>
        <v>1321</v>
      </c>
      <c r="V971" s="35" t="str">
        <f>VLOOKUP(Tabla1[[#This Row],[PROGRAMA]],Hoja1!A:B,2,FALSE)</f>
        <v>1321. Policía municipal</v>
      </c>
      <c r="W971" s="35" t="str">
        <f>MID(Tabla1[[#This Row],[Aplicación]],14,2)</f>
        <v>21</v>
      </c>
      <c r="X971" s="35" t="str">
        <f>MID(Tabla1[[#This Row],[Aplicación]],14,6)</f>
        <v>214</v>
      </c>
    </row>
    <row r="972" spans="1:24" x14ac:dyDescent="0.25">
      <c r="A972" s="45">
        <v>220210005480</v>
      </c>
      <c r="B972" s="46" t="s">
        <v>204</v>
      </c>
      <c r="C972" s="47">
        <v>44250</v>
      </c>
      <c r="D972" s="45">
        <v>22021001967</v>
      </c>
      <c r="E972" s="46" t="s">
        <v>1167</v>
      </c>
      <c r="F972" s="48">
        <v>183.92</v>
      </c>
      <c r="G972" s="46" t="s">
        <v>265</v>
      </c>
      <c r="H972" s="46" t="s">
        <v>2044</v>
      </c>
      <c r="I972" s="45" t="s">
        <v>205</v>
      </c>
      <c r="J972" s="46" t="s">
        <v>157</v>
      </c>
      <c r="K972" s="46" t="s">
        <v>157</v>
      </c>
      <c r="L972" s="46" t="s">
        <v>15</v>
      </c>
      <c r="M972" s="46" t="s">
        <v>13</v>
      </c>
      <c r="N972" s="46" t="s">
        <v>14</v>
      </c>
      <c r="O972" s="49" t="s">
        <v>814</v>
      </c>
      <c r="P972" s="46" t="s">
        <v>507</v>
      </c>
      <c r="Q972" s="35" t="str">
        <f>MID(Tabla1[[#This Row],[Aplicación]],14,1)</f>
        <v>2</v>
      </c>
      <c r="R972" s="35" t="s">
        <v>495</v>
      </c>
      <c r="S972" s="35" t="str">
        <f>MID(Tabla1[[#This Row],[Aplicación]],6,2)</f>
        <v>11</v>
      </c>
      <c r="T972" s="35" t="str">
        <f>VLOOKUP(Tabla1[[#This Row],[AREA]],Hoja1!A:B,2,FALSE)</f>
        <v>11. Salud pública y seguridad ciudadana</v>
      </c>
      <c r="U972" s="35" t="str">
        <f>MID(Tabla1[[#This Row],[Aplicación]],9,4)</f>
        <v>1321</v>
      </c>
      <c r="V972" s="35" t="str">
        <f>VLOOKUP(Tabla1[[#This Row],[PROGRAMA]],Hoja1!A:B,2,FALSE)</f>
        <v>1321. Policía municipal</v>
      </c>
      <c r="W972" s="35" t="str">
        <f>MID(Tabla1[[#This Row],[Aplicación]],14,2)</f>
        <v>21</v>
      </c>
      <c r="X972" s="35" t="str">
        <f>MID(Tabla1[[#This Row],[Aplicación]],14,6)</f>
        <v>214</v>
      </c>
    </row>
    <row r="973" spans="1:24" x14ac:dyDescent="0.25">
      <c r="A973" s="45">
        <v>220210005501</v>
      </c>
      <c r="B973" s="46" t="s">
        <v>204</v>
      </c>
      <c r="C973" s="47">
        <v>44250</v>
      </c>
      <c r="D973" s="45">
        <v>22021001967</v>
      </c>
      <c r="E973" s="46" t="s">
        <v>1167</v>
      </c>
      <c r="F973" s="48">
        <v>334.08</v>
      </c>
      <c r="G973" s="46" t="s">
        <v>265</v>
      </c>
      <c r="H973" s="46" t="s">
        <v>2045</v>
      </c>
      <c r="I973" s="45" t="s">
        <v>205</v>
      </c>
      <c r="J973" s="46" t="s">
        <v>157</v>
      </c>
      <c r="K973" s="46" t="s">
        <v>157</v>
      </c>
      <c r="L973" s="46" t="s">
        <v>15</v>
      </c>
      <c r="M973" s="46" t="s">
        <v>13</v>
      </c>
      <c r="N973" s="46" t="s">
        <v>14</v>
      </c>
      <c r="O973" s="49" t="s">
        <v>814</v>
      </c>
      <c r="P973" s="46" t="s">
        <v>507</v>
      </c>
      <c r="Q973" s="35" t="str">
        <f>MID(Tabla1[[#This Row],[Aplicación]],14,1)</f>
        <v>2</v>
      </c>
      <c r="R973" s="35" t="s">
        <v>495</v>
      </c>
      <c r="S973" s="35" t="str">
        <f>MID(Tabla1[[#This Row],[Aplicación]],6,2)</f>
        <v>11</v>
      </c>
      <c r="T973" s="35" t="str">
        <f>VLOOKUP(Tabla1[[#This Row],[AREA]],Hoja1!A:B,2,FALSE)</f>
        <v>11. Salud pública y seguridad ciudadana</v>
      </c>
      <c r="U973" s="35" t="str">
        <f>MID(Tabla1[[#This Row],[Aplicación]],9,4)</f>
        <v>1321</v>
      </c>
      <c r="V973" s="35" t="str">
        <f>VLOOKUP(Tabla1[[#This Row],[PROGRAMA]],Hoja1!A:B,2,FALSE)</f>
        <v>1321. Policía municipal</v>
      </c>
      <c r="W973" s="35" t="str">
        <f>MID(Tabla1[[#This Row],[Aplicación]],14,2)</f>
        <v>21</v>
      </c>
      <c r="X973" s="35" t="str">
        <f>MID(Tabla1[[#This Row],[Aplicación]],14,6)</f>
        <v>214</v>
      </c>
    </row>
    <row r="974" spans="1:24" x14ac:dyDescent="0.25">
      <c r="A974" s="45">
        <v>220210005546</v>
      </c>
      <c r="B974" s="46" t="s">
        <v>204</v>
      </c>
      <c r="C974" s="47">
        <v>44250</v>
      </c>
      <c r="D974" s="45">
        <v>22021002049</v>
      </c>
      <c r="E974" s="46" t="s">
        <v>1671</v>
      </c>
      <c r="F974" s="48">
        <v>2312.0100000000002</v>
      </c>
      <c r="G974" s="46" t="s">
        <v>265</v>
      </c>
      <c r="H974" s="46" t="s">
        <v>2046</v>
      </c>
      <c r="I974" s="45" t="s">
        <v>205</v>
      </c>
      <c r="J974" s="46" t="s">
        <v>157</v>
      </c>
      <c r="K974" s="46" t="s">
        <v>157</v>
      </c>
      <c r="L974" s="46" t="s">
        <v>15</v>
      </c>
      <c r="M974" s="46" t="s">
        <v>13</v>
      </c>
      <c r="N974" s="46" t="s">
        <v>14</v>
      </c>
      <c r="O974" s="49" t="s">
        <v>814</v>
      </c>
      <c r="P974" s="46" t="s">
        <v>507</v>
      </c>
      <c r="Q974" s="35" t="str">
        <f>MID(Tabla1[[#This Row],[Aplicación]],14,1)</f>
        <v>2</v>
      </c>
      <c r="R974" s="35" t="s">
        <v>495</v>
      </c>
      <c r="S974" s="35" t="str">
        <f>MID(Tabla1[[#This Row],[Aplicación]],6,2)</f>
        <v>11</v>
      </c>
      <c r="T974" s="35" t="str">
        <f>VLOOKUP(Tabla1[[#This Row],[AREA]],Hoja1!A:B,2,FALSE)</f>
        <v>11. Salud pública y seguridad ciudadana</v>
      </c>
      <c r="U974" s="35" t="str">
        <f>MID(Tabla1[[#This Row],[Aplicación]],9,4)</f>
        <v>1621</v>
      </c>
      <c r="V974" s="35" t="str">
        <f>VLOOKUP(Tabla1[[#This Row],[PROGRAMA]],Hoja1!A:B,2,FALSE)</f>
        <v>1621. Servicio de limpieza</v>
      </c>
      <c r="W974" s="35" t="str">
        <f>MID(Tabla1[[#This Row],[Aplicación]],14,2)</f>
        <v>22</v>
      </c>
      <c r="X974" s="35" t="str">
        <f>MID(Tabla1[[#This Row],[Aplicación]],14,6)</f>
        <v>22103</v>
      </c>
    </row>
    <row r="975" spans="1:24" x14ac:dyDescent="0.25">
      <c r="A975" s="45">
        <v>220210006487</v>
      </c>
      <c r="B975" s="46" t="s">
        <v>204</v>
      </c>
      <c r="C975" s="47">
        <v>44253</v>
      </c>
      <c r="D975" s="45">
        <v>22021002048</v>
      </c>
      <c r="E975" s="46" t="s">
        <v>890</v>
      </c>
      <c r="F975" s="48">
        <v>352.72</v>
      </c>
      <c r="G975" s="46" t="s">
        <v>265</v>
      </c>
      <c r="H975" s="46" t="s">
        <v>2047</v>
      </c>
      <c r="I975" s="45" t="s">
        <v>205</v>
      </c>
      <c r="J975" s="46" t="s">
        <v>157</v>
      </c>
      <c r="K975" s="46" t="s">
        <v>157</v>
      </c>
      <c r="L975" s="46" t="s">
        <v>15</v>
      </c>
      <c r="M975" s="46" t="s">
        <v>13</v>
      </c>
      <c r="N975" s="46" t="s">
        <v>14</v>
      </c>
      <c r="O975" s="49" t="s">
        <v>814</v>
      </c>
      <c r="P975" s="46" t="s">
        <v>507</v>
      </c>
      <c r="Q975" s="35" t="str">
        <f>MID(Tabla1[[#This Row],[Aplicación]],14,1)</f>
        <v>2</v>
      </c>
      <c r="R975" s="35" t="s">
        <v>495</v>
      </c>
      <c r="S975" s="35" t="str">
        <f>MID(Tabla1[[#This Row],[Aplicación]],6,2)</f>
        <v>11</v>
      </c>
      <c r="T975" s="35" t="str">
        <f>VLOOKUP(Tabla1[[#This Row],[AREA]],Hoja1!A:B,2,FALSE)</f>
        <v>11. Salud pública y seguridad ciudadana</v>
      </c>
      <c r="U975" s="35" t="str">
        <f>MID(Tabla1[[#This Row],[Aplicación]],9,4)</f>
        <v>1621</v>
      </c>
      <c r="V975" s="35" t="str">
        <f>VLOOKUP(Tabla1[[#This Row],[PROGRAMA]],Hoja1!A:B,2,FALSE)</f>
        <v>1621. Servicio de limpieza</v>
      </c>
      <c r="W975" s="35" t="str">
        <f>MID(Tabla1[[#This Row],[Aplicación]],14,2)</f>
        <v>21</v>
      </c>
      <c r="X975" s="35" t="str">
        <f>MID(Tabla1[[#This Row],[Aplicación]],14,6)</f>
        <v>214</v>
      </c>
    </row>
    <row r="976" spans="1:24" x14ac:dyDescent="0.25">
      <c r="A976" s="45">
        <v>220210006489</v>
      </c>
      <c r="B976" s="46" t="s">
        <v>204</v>
      </c>
      <c r="C976" s="47">
        <v>44253</v>
      </c>
      <c r="D976" s="45">
        <v>22021002049</v>
      </c>
      <c r="E976" s="46" t="s">
        <v>1671</v>
      </c>
      <c r="F976" s="48">
        <v>626.41999999999996</v>
      </c>
      <c r="G976" s="46" t="s">
        <v>265</v>
      </c>
      <c r="H976" s="46" t="s">
        <v>2048</v>
      </c>
      <c r="I976" s="45" t="s">
        <v>205</v>
      </c>
      <c r="J976" s="46" t="s">
        <v>157</v>
      </c>
      <c r="K976" s="46" t="s">
        <v>157</v>
      </c>
      <c r="L976" s="46" t="s">
        <v>15</v>
      </c>
      <c r="M976" s="46" t="s">
        <v>13</v>
      </c>
      <c r="N976" s="46" t="s">
        <v>14</v>
      </c>
      <c r="O976" s="49" t="s">
        <v>814</v>
      </c>
      <c r="P976" s="46" t="s">
        <v>507</v>
      </c>
      <c r="Q976" s="35" t="str">
        <f>MID(Tabla1[[#This Row],[Aplicación]],14,1)</f>
        <v>2</v>
      </c>
      <c r="R976" s="35" t="s">
        <v>495</v>
      </c>
      <c r="S976" s="35" t="str">
        <f>MID(Tabla1[[#This Row],[Aplicación]],6,2)</f>
        <v>11</v>
      </c>
      <c r="T976" s="35" t="str">
        <f>VLOOKUP(Tabla1[[#This Row],[AREA]],Hoja1!A:B,2,FALSE)</f>
        <v>11. Salud pública y seguridad ciudadana</v>
      </c>
      <c r="U976" s="35" t="str">
        <f>MID(Tabla1[[#This Row],[Aplicación]],9,4)</f>
        <v>1621</v>
      </c>
      <c r="V976" s="35" t="str">
        <f>VLOOKUP(Tabla1[[#This Row],[PROGRAMA]],Hoja1!A:B,2,FALSE)</f>
        <v>1621. Servicio de limpieza</v>
      </c>
      <c r="W976" s="35" t="str">
        <f>MID(Tabla1[[#This Row],[Aplicación]],14,2)</f>
        <v>22</v>
      </c>
      <c r="X976" s="35" t="str">
        <f>MID(Tabla1[[#This Row],[Aplicación]],14,6)</f>
        <v>22103</v>
      </c>
    </row>
    <row r="977" spans="1:24" x14ac:dyDescent="0.25">
      <c r="A977" s="45">
        <v>220210006504</v>
      </c>
      <c r="B977" s="46" t="s">
        <v>204</v>
      </c>
      <c r="C977" s="47">
        <v>44253</v>
      </c>
      <c r="D977" s="45">
        <v>22021002051</v>
      </c>
      <c r="E977" s="46" t="s">
        <v>2049</v>
      </c>
      <c r="F977" s="48">
        <v>36.299999999999997</v>
      </c>
      <c r="G977" s="46" t="s">
        <v>265</v>
      </c>
      <c r="H977" s="46" t="s">
        <v>2050</v>
      </c>
      <c r="I977" s="45" t="s">
        <v>205</v>
      </c>
      <c r="J977" s="46" t="s">
        <v>157</v>
      </c>
      <c r="K977" s="46" t="s">
        <v>157</v>
      </c>
      <c r="L977" s="46" t="s">
        <v>15</v>
      </c>
      <c r="M977" s="46" t="s">
        <v>13</v>
      </c>
      <c r="N977" s="46" t="s">
        <v>14</v>
      </c>
      <c r="O977" s="49" t="s">
        <v>814</v>
      </c>
      <c r="P977" s="46" t="s">
        <v>507</v>
      </c>
      <c r="Q977" s="35" t="str">
        <f>MID(Tabla1[[#This Row],[Aplicación]],14,1)</f>
        <v>2</v>
      </c>
      <c r="R977" s="35" t="s">
        <v>495</v>
      </c>
      <c r="S977" s="35" t="str">
        <f>MID(Tabla1[[#This Row],[Aplicación]],6,2)</f>
        <v>11</v>
      </c>
      <c r="T977" s="35" t="str">
        <f>VLOOKUP(Tabla1[[#This Row],[AREA]],Hoja1!A:B,2,FALSE)</f>
        <v>11. Salud pública y seguridad ciudadana</v>
      </c>
      <c r="U977" s="35" t="str">
        <f>MID(Tabla1[[#This Row],[Aplicación]],9,4)</f>
        <v>1621</v>
      </c>
      <c r="V977" s="35" t="str">
        <f>VLOOKUP(Tabla1[[#This Row],[PROGRAMA]],Hoja1!A:B,2,FALSE)</f>
        <v>1621. Servicio de limpieza</v>
      </c>
      <c r="W977" s="35" t="str">
        <f>MID(Tabla1[[#This Row],[Aplicación]],14,2)</f>
        <v>22</v>
      </c>
      <c r="X977" s="35" t="str">
        <f>MID(Tabla1[[#This Row],[Aplicación]],14,6)</f>
        <v>22110</v>
      </c>
    </row>
    <row r="978" spans="1:24" x14ac:dyDescent="0.25">
      <c r="A978" s="45">
        <v>220210006515</v>
      </c>
      <c r="B978" s="46" t="s">
        <v>204</v>
      </c>
      <c r="C978" s="47">
        <v>44253</v>
      </c>
      <c r="D978" s="45">
        <v>22021001967</v>
      </c>
      <c r="E978" s="46" t="s">
        <v>1167</v>
      </c>
      <c r="F978" s="48">
        <v>173.03</v>
      </c>
      <c r="G978" s="46" t="s">
        <v>265</v>
      </c>
      <c r="H978" s="46" t="s">
        <v>2043</v>
      </c>
      <c r="I978" s="45" t="s">
        <v>205</v>
      </c>
      <c r="J978" s="46" t="s">
        <v>157</v>
      </c>
      <c r="K978" s="46" t="s">
        <v>157</v>
      </c>
      <c r="L978" s="46" t="s">
        <v>15</v>
      </c>
      <c r="M978" s="46" t="s">
        <v>13</v>
      </c>
      <c r="N978" s="46" t="s">
        <v>14</v>
      </c>
      <c r="O978" s="49" t="s">
        <v>814</v>
      </c>
      <c r="P978" s="46" t="s">
        <v>507</v>
      </c>
      <c r="Q978" s="35" t="str">
        <f>MID(Tabla1[[#This Row],[Aplicación]],14,1)</f>
        <v>2</v>
      </c>
      <c r="R978" s="35" t="s">
        <v>495</v>
      </c>
      <c r="S978" s="35" t="str">
        <f>MID(Tabla1[[#This Row],[Aplicación]],6,2)</f>
        <v>11</v>
      </c>
      <c r="T978" s="35" t="str">
        <f>VLOOKUP(Tabla1[[#This Row],[AREA]],Hoja1!A:B,2,FALSE)</f>
        <v>11. Salud pública y seguridad ciudadana</v>
      </c>
      <c r="U978" s="35" t="str">
        <f>MID(Tabla1[[#This Row],[Aplicación]],9,4)</f>
        <v>1321</v>
      </c>
      <c r="V978" s="35" t="str">
        <f>VLOOKUP(Tabla1[[#This Row],[PROGRAMA]],Hoja1!A:B,2,FALSE)</f>
        <v>1321. Policía municipal</v>
      </c>
      <c r="W978" s="35" t="str">
        <f>MID(Tabla1[[#This Row],[Aplicación]],14,2)</f>
        <v>21</v>
      </c>
      <c r="X978" s="35" t="str">
        <f>MID(Tabla1[[#This Row],[Aplicación]],14,6)</f>
        <v>214</v>
      </c>
    </row>
    <row r="979" spans="1:24" x14ac:dyDescent="0.25">
      <c r="A979" s="45">
        <v>220210000545</v>
      </c>
      <c r="B979" s="46" t="s">
        <v>9</v>
      </c>
      <c r="C979" s="47">
        <v>44221</v>
      </c>
      <c r="D979" s="45">
        <v>22021001929</v>
      </c>
      <c r="E979" s="46" t="s">
        <v>1596</v>
      </c>
      <c r="F979" s="48">
        <v>387.2</v>
      </c>
      <c r="G979" s="46" t="s">
        <v>2051</v>
      </c>
      <c r="H979" s="46" t="s">
        <v>2052</v>
      </c>
      <c r="I979" s="45" t="s">
        <v>125</v>
      </c>
      <c r="J979" s="46" t="s">
        <v>127</v>
      </c>
      <c r="K979" s="46" t="s">
        <v>127</v>
      </c>
      <c r="L979" s="46" t="s">
        <v>12</v>
      </c>
      <c r="M979" s="46" t="s">
        <v>10</v>
      </c>
      <c r="N979" s="46" t="s">
        <v>11</v>
      </c>
      <c r="O979" s="49" t="s">
        <v>815</v>
      </c>
      <c r="P979" s="46" t="s">
        <v>507</v>
      </c>
      <c r="Q979" s="35" t="str">
        <f>MID(Tabla1[[#This Row],[Aplicación]],14,1)</f>
        <v>2</v>
      </c>
      <c r="R979" s="35" t="s">
        <v>495</v>
      </c>
      <c r="S979" s="35" t="str">
        <f>MID(Tabla1[[#This Row],[Aplicación]],6,2)</f>
        <v>11</v>
      </c>
      <c r="T979" s="35" t="str">
        <f>VLOOKUP(Tabla1[[#This Row],[AREA]],Hoja1!A:B,2,FALSE)</f>
        <v>11. Salud pública y seguridad ciudadana</v>
      </c>
      <c r="U979" s="35" t="str">
        <f>MID(Tabla1[[#This Row],[Aplicación]],9,4)</f>
        <v>1321</v>
      </c>
      <c r="V979" s="35" t="str">
        <f>VLOOKUP(Tabla1[[#This Row],[PROGRAMA]],Hoja1!A:B,2,FALSE)</f>
        <v>1321. Policía municipal</v>
      </c>
      <c r="W979" s="35" t="str">
        <f>MID(Tabla1[[#This Row],[Aplicación]],14,2)</f>
        <v>22</v>
      </c>
      <c r="X979" s="35" t="str">
        <f>MID(Tabla1[[#This Row],[Aplicación]],14,6)</f>
        <v>22699</v>
      </c>
    </row>
    <row r="980" spans="1:24" x14ac:dyDescent="0.25">
      <c r="A980" s="45">
        <v>220210000326</v>
      </c>
      <c r="B980" s="46" t="s">
        <v>9</v>
      </c>
      <c r="C980" s="47">
        <v>44217</v>
      </c>
      <c r="D980" s="45">
        <v>22021001106</v>
      </c>
      <c r="E980" s="46" t="s">
        <v>1471</v>
      </c>
      <c r="F980" s="48">
        <v>1500</v>
      </c>
      <c r="G980" s="46" t="s">
        <v>253</v>
      </c>
      <c r="H980" s="46" t="s">
        <v>2053</v>
      </c>
      <c r="I980" s="45" t="s">
        <v>125</v>
      </c>
      <c r="J980" s="46" t="s">
        <v>127</v>
      </c>
      <c r="K980" s="46" t="s">
        <v>127</v>
      </c>
      <c r="L980" s="46" t="s">
        <v>15</v>
      </c>
      <c r="M980" s="46" t="s">
        <v>10</v>
      </c>
      <c r="N980" s="46" t="s">
        <v>11</v>
      </c>
      <c r="O980" s="49" t="s">
        <v>815</v>
      </c>
      <c r="P980" s="46" t="s">
        <v>507</v>
      </c>
      <c r="Q980" s="35" t="str">
        <f>MID(Tabla1[[#This Row],[Aplicación]],14,1)</f>
        <v>2</v>
      </c>
      <c r="R980" s="35" t="s">
        <v>495</v>
      </c>
      <c r="S980" s="35" t="str">
        <f>MID(Tabla1[[#This Row],[Aplicación]],6,2)</f>
        <v>06</v>
      </c>
      <c r="T980" s="35" t="str">
        <f>VLOOKUP(Tabla1[[#This Row],[AREA]],Hoja1!A:B,2,FALSE)</f>
        <v>06. Educación, infancia, juventud e igualdad</v>
      </c>
      <c r="U980" s="35" t="str">
        <f>MID(Tabla1[[#This Row],[Aplicación]],9,4)</f>
        <v>3232</v>
      </c>
      <c r="V980" s="35" t="str">
        <f>VLOOKUP(Tabla1[[#This Row],[PROGRAMA]],Hoja1!A:B,2,FALSE)</f>
        <v>3232. Conservación y mantenimiento centros educación infantil y primaria</v>
      </c>
      <c r="W980" s="35" t="str">
        <f>MID(Tabla1[[#This Row],[Aplicación]],14,2)</f>
        <v>21</v>
      </c>
      <c r="X980" s="35" t="str">
        <f>MID(Tabla1[[#This Row],[Aplicación]],14,6)</f>
        <v>212</v>
      </c>
    </row>
    <row r="981" spans="1:24" x14ac:dyDescent="0.25">
      <c r="A981" s="45">
        <v>220210000486</v>
      </c>
      <c r="B981" s="46" t="s">
        <v>9</v>
      </c>
      <c r="C981" s="47">
        <v>44221</v>
      </c>
      <c r="D981" s="45">
        <v>22021001231</v>
      </c>
      <c r="E981" s="46" t="s">
        <v>1334</v>
      </c>
      <c r="F981" s="48">
        <v>1500</v>
      </c>
      <c r="G981" s="46" t="s">
        <v>253</v>
      </c>
      <c r="H981" s="46" t="s">
        <v>2054</v>
      </c>
      <c r="I981" s="45" t="s">
        <v>125</v>
      </c>
      <c r="J981" s="46" t="s">
        <v>127</v>
      </c>
      <c r="K981" s="46" t="s">
        <v>127</v>
      </c>
      <c r="L981" s="46" t="s">
        <v>15</v>
      </c>
      <c r="M981" s="46" t="s">
        <v>10</v>
      </c>
      <c r="N981" s="46" t="s">
        <v>11</v>
      </c>
      <c r="O981" s="49" t="s">
        <v>815</v>
      </c>
      <c r="P981" s="46" t="s">
        <v>507</v>
      </c>
      <c r="Q981" s="35" t="str">
        <f>MID(Tabla1[[#This Row],[Aplicación]],14,1)</f>
        <v>2</v>
      </c>
      <c r="R981" s="35" t="s">
        <v>495</v>
      </c>
      <c r="S981" s="35" t="str">
        <f>MID(Tabla1[[#This Row],[Aplicación]],6,2)</f>
        <v>07</v>
      </c>
      <c r="T981" s="35" t="str">
        <f>VLOOKUP(Tabla1[[#This Row],[AREA]],Hoja1!A:B,2,FALSE)</f>
        <v>07. Medio ambiente y desarrollo sostenible</v>
      </c>
      <c r="U981" s="35" t="str">
        <f>MID(Tabla1[[#This Row],[Aplicación]],9,4)</f>
        <v>1711</v>
      </c>
      <c r="V981" s="35" t="str">
        <f>VLOOKUP(Tabla1[[#This Row],[PROGRAMA]],Hoja1!A:B,2,FALSE)</f>
        <v>1711. Parques y jardines</v>
      </c>
      <c r="W981" s="35" t="str">
        <f>MID(Tabla1[[#This Row],[Aplicación]],14,2)</f>
        <v>22</v>
      </c>
      <c r="X981" s="35" t="str">
        <f>MID(Tabla1[[#This Row],[Aplicación]],14,6)</f>
        <v>22199</v>
      </c>
    </row>
    <row r="982" spans="1:24" x14ac:dyDescent="0.25">
      <c r="A982" s="45">
        <v>220210001015</v>
      </c>
      <c r="B982" s="46" t="s">
        <v>9</v>
      </c>
      <c r="C982" s="47">
        <v>44223</v>
      </c>
      <c r="D982" s="45">
        <v>22021001895</v>
      </c>
      <c r="E982" s="46" t="s">
        <v>873</v>
      </c>
      <c r="F982" s="48">
        <v>520.51</v>
      </c>
      <c r="G982" s="46" t="s">
        <v>253</v>
      </c>
      <c r="H982" s="46" t="s">
        <v>2055</v>
      </c>
      <c r="I982" s="45" t="s">
        <v>125</v>
      </c>
      <c r="J982" s="46" t="s">
        <v>127</v>
      </c>
      <c r="K982" s="46" t="s">
        <v>127</v>
      </c>
      <c r="L982" s="46" t="s">
        <v>15</v>
      </c>
      <c r="M982" s="46" t="s">
        <v>10</v>
      </c>
      <c r="N982" s="46" t="s">
        <v>11</v>
      </c>
      <c r="O982" s="49" t="s">
        <v>815</v>
      </c>
      <c r="P982" s="46" t="s">
        <v>507</v>
      </c>
      <c r="Q982" s="35" t="str">
        <f>MID(Tabla1[[#This Row],[Aplicación]],14,1)</f>
        <v>2</v>
      </c>
      <c r="R982" s="35" t="s">
        <v>495</v>
      </c>
      <c r="S982" s="35" t="str">
        <f>MID(Tabla1[[#This Row],[Aplicación]],6,2)</f>
        <v>10</v>
      </c>
      <c r="T982" s="35" t="str">
        <f>VLOOKUP(Tabla1[[#This Row],[AREA]],Hoja1!A:B,2,FALSE)</f>
        <v>10. Servicios sociales y mediación comunitaria</v>
      </c>
      <c r="U982" s="35" t="str">
        <f>MID(Tabla1[[#This Row],[Aplicación]],9,4)</f>
        <v>2412</v>
      </c>
      <c r="V982" s="35" t="str">
        <f>VLOOKUP(Tabla1[[#This Row],[PROGRAMA]],Hoja1!A:B,2,FALSE)</f>
        <v>2412. Formación para el empleo</v>
      </c>
      <c r="W982" s="35" t="str">
        <f>MID(Tabla1[[#This Row],[Aplicación]],14,2)</f>
        <v>22</v>
      </c>
      <c r="X982" s="35" t="str">
        <f>MID(Tabla1[[#This Row],[Aplicación]],14,6)</f>
        <v>22199</v>
      </c>
    </row>
    <row r="983" spans="1:24" x14ac:dyDescent="0.25">
      <c r="A983" s="45">
        <v>220210001031</v>
      </c>
      <c r="B983" s="46" t="s">
        <v>9</v>
      </c>
      <c r="C983" s="47">
        <v>44223</v>
      </c>
      <c r="D983" s="45">
        <v>22021001517</v>
      </c>
      <c r="E983" s="46" t="s">
        <v>1372</v>
      </c>
      <c r="F983" s="48">
        <v>2000</v>
      </c>
      <c r="G983" s="46" t="s">
        <v>2056</v>
      </c>
      <c r="H983" s="46" t="s">
        <v>2057</v>
      </c>
      <c r="I983" s="45" t="s">
        <v>125</v>
      </c>
      <c r="J983" s="46" t="s">
        <v>127</v>
      </c>
      <c r="K983" s="46" t="s">
        <v>127</v>
      </c>
      <c r="L983" s="46" t="s">
        <v>12</v>
      </c>
      <c r="M983" s="46" t="s">
        <v>10</v>
      </c>
      <c r="N983" s="46" t="s">
        <v>11</v>
      </c>
      <c r="O983" s="49" t="s">
        <v>815</v>
      </c>
      <c r="P983" s="46" t="s">
        <v>507</v>
      </c>
      <c r="Q983" s="35" t="str">
        <f>MID(Tabla1[[#This Row],[Aplicación]],14,1)</f>
        <v>2</v>
      </c>
      <c r="R983" s="35" t="s">
        <v>495</v>
      </c>
      <c r="S983" s="35" t="str">
        <f>MID(Tabla1[[#This Row],[Aplicación]],6,2)</f>
        <v>07</v>
      </c>
      <c r="T983" s="35" t="str">
        <f>VLOOKUP(Tabla1[[#This Row],[AREA]],Hoja1!A:B,2,FALSE)</f>
        <v>07. Medio ambiente y desarrollo sostenible</v>
      </c>
      <c r="U983" s="35" t="str">
        <f>MID(Tabla1[[#This Row],[Aplicación]],9,4)</f>
        <v>1711</v>
      </c>
      <c r="V983" s="35" t="str">
        <f>VLOOKUP(Tabla1[[#This Row],[PROGRAMA]],Hoja1!A:B,2,FALSE)</f>
        <v>1711. Parques y jardines</v>
      </c>
      <c r="W983" s="35" t="str">
        <f>MID(Tabla1[[#This Row],[Aplicación]],14,2)</f>
        <v>21</v>
      </c>
      <c r="X983" s="35" t="str">
        <f>MID(Tabla1[[#This Row],[Aplicación]],14,6)</f>
        <v>213</v>
      </c>
    </row>
    <row r="984" spans="1:24" x14ac:dyDescent="0.25">
      <c r="A984" s="45">
        <v>220210000493</v>
      </c>
      <c r="B984" s="46" t="s">
        <v>9</v>
      </c>
      <c r="C984" s="47">
        <v>44221</v>
      </c>
      <c r="D984" s="45">
        <v>22021001251</v>
      </c>
      <c r="E984" s="46" t="s">
        <v>2058</v>
      </c>
      <c r="F984" s="48">
        <v>4000</v>
      </c>
      <c r="G984" s="46" t="s">
        <v>115</v>
      </c>
      <c r="H984" s="46" t="s">
        <v>2059</v>
      </c>
      <c r="I984" s="45" t="s">
        <v>125</v>
      </c>
      <c r="J984" s="46" t="s">
        <v>127</v>
      </c>
      <c r="K984" s="46" t="s">
        <v>127</v>
      </c>
      <c r="L984" s="46" t="s">
        <v>15</v>
      </c>
      <c r="M984" s="46" t="s">
        <v>10</v>
      </c>
      <c r="N984" s="46" t="s">
        <v>11</v>
      </c>
      <c r="O984" s="49" t="s">
        <v>815</v>
      </c>
      <c r="P984" s="46" t="s">
        <v>507</v>
      </c>
      <c r="Q984" s="35" t="str">
        <f>MID(Tabla1[[#This Row],[Aplicación]],14,1)</f>
        <v>2</v>
      </c>
      <c r="R984" s="35" t="s">
        <v>495</v>
      </c>
      <c r="S984" s="35" t="str">
        <f>MID(Tabla1[[#This Row],[Aplicación]],6,2)</f>
        <v>07</v>
      </c>
      <c r="T984" s="35" t="str">
        <f>VLOOKUP(Tabla1[[#This Row],[AREA]],Hoja1!A:B,2,FALSE)</f>
        <v>07. Medio ambiente y desarrollo sostenible</v>
      </c>
      <c r="U984" s="35" t="str">
        <f>MID(Tabla1[[#This Row],[Aplicación]],9,4)</f>
        <v>1711</v>
      </c>
      <c r="V984" s="35" t="str">
        <f>VLOOKUP(Tabla1[[#This Row],[PROGRAMA]],Hoja1!A:B,2,FALSE)</f>
        <v>1711. Parques y jardines</v>
      </c>
      <c r="W984" s="35" t="str">
        <f>MID(Tabla1[[#This Row],[Aplicación]],14,2)</f>
        <v>22</v>
      </c>
      <c r="X984" s="35" t="str">
        <f>MID(Tabla1[[#This Row],[Aplicación]],14,6)</f>
        <v>22110</v>
      </c>
    </row>
    <row r="985" spans="1:24" x14ac:dyDescent="0.25">
      <c r="A985" s="45">
        <v>220210003979</v>
      </c>
      <c r="B985" s="46" t="s">
        <v>9</v>
      </c>
      <c r="C985" s="47">
        <v>44244</v>
      </c>
      <c r="D985" s="45">
        <v>22021002341</v>
      </c>
      <c r="E985" s="46" t="s">
        <v>2060</v>
      </c>
      <c r="F985" s="48">
        <v>1411</v>
      </c>
      <c r="G985" s="46" t="s">
        <v>115</v>
      </c>
      <c r="H985" s="46" t="s">
        <v>2061</v>
      </c>
      <c r="I985" s="45" t="s">
        <v>125</v>
      </c>
      <c r="J985" s="46" t="s">
        <v>127</v>
      </c>
      <c r="K985" s="46" t="s">
        <v>127</v>
      </c>
      <c r="L985" s="46" t="s">
        <v>15</v>
      </c>
      <c r="M985" s="46" t="s">
        <v>10</v>
      </c>
      <c r="N985" s="46" t="s">
        <v>11</v>
      </c>
      <c r="O985" s="49" t="s">
        <v>815</v>
      </c>
      <c r="P985" s="46" t="s">
        <v>507</v>
      </c>
      <c r="Q985" s="35" t="str">
        <f>MID(Tabla1[[#This Row],[Aplicación]],14,1)</f>
        <v>2</v>
      </c>
      <c r="R985" s="35" t="s">
        <v>495</v>
      </c>
      <c r="S985" s="35" t="str">
        <f>MID(Tabla1[[#This Row],[Aplicación]],6,2)</f>
        <v>07</v>
      </c>
      <c r="T985" s="35" t="str">
        <f>VLOOKUP(Tabla1[[#This Row],[AREA]],Hoja1!A:B,2,FALSE)</f>
        <v>07. Medio ambiente y desarrollo sostenible</v>
      </c>
      <c r="U985" s="35" t="str">
        <f>MID(Tabla1[[#This Row],[Aplicación]],9,4)</f>
        <v>1701</v>
      </c>
      <c r="V985" s="35" t="str">
        <f>VLOOKUP(Tabla1[[#This Row],[PROGRAMA]],Hoja1!A:B,2,FALSE)</f>
        <v>1701. Dirección del área de medio ambiente</v>
      </c>
      <c r="W985" s="35" t="str">
        <f>MID(Tabla1[[#This Row],[Aplicación]],14,2)</f>
        <v>22</v>
      </c>
      <c r="X985" s="35" t="str">
        <f>MID(Tabla1[[#This Row],[Aplicación]],14,6)</f>
        <v>22110</v>
      </c>
    </row>
    <row r="986" spans="1:24" x14ac:dyDescent="0.25">
      <c r="A986" s="45">
        <v>220209000186</v>
      </c>
      <c r="B986" s="46" t="s">
        <v>9</v>
      </c>
      <c r="C986" s="47">
        <v>44198</v>
      </c>
      <c r="D986" s="45">
        <v>22021000231</v>
      </c>
      <c r="E986" s="46" t="s">
        <v>1525</v>
      </c>
      <c r="F986" s="48">
        <v>743.59</v>
      </c>
      <c r="G986" s="46" t="s">
        <v>549</v>
      </c>
      <c r="H986" s="46" t="s">
        <v>2062</v>
      </c>
      <c r="I986" s="45" t="s">
        <v>125</v>
      </c>
      <c r="J986" s="46" t="s">
        <v>127</v>
      </c>
      <c r="K986" s="46" t="s">
        <v>127</v>
      </c>
      <c r="L986" s="46" t="s">
        <v>12</v>
      </c>
      <c r="M986" s="46" t="s">
        <v>13</v>
      </c>
      <c r="N986" s="46" t="s">
        <v>11</v>
      </c>
      <c r="O986" s="49" t="s">
        <v>814</v>
      </c>
      <c r="P986" s="46" t="s">
        <v>507</v>
      </c>
      <c r="Q986" s="35" t="str">
        <f>MID(Tabla1[[#This Row],[Aplicación]],14,1)</f>
        <v>2</v>
      </c>
      <c r="R986" s="35" t="s">
        <v>495</v>
      </c>
      <c r="S986" s="35" t="str">
        <f>MID(Tabla1[[#This Row],[Aplicación]],6,2)</f>
        <v>04</v>
      </c>
      <c r="T986" s="35" t="str">
        <f>VLOOKUP(Tabla1[[#This Row],[AREA]],Hoja1!A:B,2,FALSE)</f>
        <v>04. Planificación y recursos</v>
      </c>
      <c r="U986" s="35" t="str">
        <f>MID(Tabla1[[#This Row],[Aplicación]],9,4)</f>
        <v>3121</v>
      </c>
      <c r="V986" s="35" t="str">
        <f>VLOOKUP(Tabla1[[#This Row],[PROGRAMA]],Hoja1!A:B,2,FALSE)</f>
        <v>3121. Prevención y salud laboral</v>
      </c>
      <c r="W986" s="35" t="str">
        <f>MID(Tabla1[[#This Row],[Aplicación]],14,2)</f>
        <v>22</v>
      </c>
      <c r="X986" s="35" t="str">
        <f>MID(Tabla1[[#This Row],[Aplicación]],14,6)</f>
        <v>22706</v>
      </c>
    </row>
    <row r="987" spans="1:24" x14ac:dyDescent="0.25">
      <c r="A987" s="45">
        <v>220209000857</v>
      </c>
      <c r="B987" s="46" t="s">
        <v>9</v>
      </c>
      <c r="C987" s="47">
        <v>44198</v>
      </c>
      <c r="D987" s="45">
        <v>22021002279</v>
      </c>
      <c r="E987" s="46" t="s">
        <v>1525</v>
      </c>
      <c r="F987" s="48">
        <v>8179.41</v>
      </c>
      <c r="G987" s="46" t="s">
        <v>549</v>
      </c>
      <c r="H987" s="46" t="s">
        <v>2063</v>
      </c>
      <c r="I987" s="45" t="s">
        <v>125</v>
      </c>
      <c r="J987" s="46" t="s">
        <v>127</v>
      </c>
      <c r="K987" s="46" t="s">
        <v>127</v>
      </c>
      <c r="L987" s="46" t="s">
        <v>12</v>
      </c>
      <c r="M987" s="46" t="s">
        <v>13</v>
      </c>
      <c r="N987" s="46" t="s">
        <v>11</v>
      </c>
      <c r="O987" s="49" t="s">
        <v>814</v>
      </c>
      <c r="P987" s="46" t="s">
        <v>507</v>
      </c>
      <c r="Q987" s="35" t="str">
        <f>MID(Tabla1[[#This Row],[Aplicación]],14,1)</f>
        <v>2</v>
      </c>
      <c r="R987" s="35" t="s">
        <v>495</v>
      </c>
      <c r="S987" s="35" t="str">
        <f>MID(Tabla1[[#This Row],[Aplicación]],6,2)</f>
        <v>04</v>
      </c>
      <c r="T987" s="35" t="str">
        <f>VLOOKUP(Tabla1[[#This Row],[AREA]],Hoja1!A:B,2,FALSE)</f>
        <v>04. Planificación y recursos</v>
      </c>
      <c r="U987" s="35" t="str">
        <f>MID(Tabla1[[#This Row],[Aplicación]],9,4)</f>
        <v>3121</v>
      </c>
      <c r="V987" s="35" t="str">
        <f>VLOOKUP(Tabla1[[#This Row],[PROGRAMA]],Hoja1!A:B,2,FALSE)</f>
        <v>3121. Prevención y salud laboral</v>
      </c>
      <c r="W987" s="35" t="str">
        <f>MID(Tabla1[[#This Row],[Aplicación]],14,2)</f>
        <v>22</v>
      </c>
      <c r="X987" s="35" t="str">
        <f>MID(Tabla1[[#This Row],[Aplicación]],14,6)</f>
        <v>22706</v>
      </c>
    </row>
    <row r="988" spans="1:24" x14ac:dyDescent="0.25">
      <c r="A988" s="45">
        <v>220209000718</v>
      </c>
      <c r="B988" s="46" t="s">
        <v>9</v>
      </c>
      <c r="C988" s="47">
        <v>44198</v>
      </c>
      <c r="D988" s="45">
        <v>22021000455</v>
      </c>
      <c r="E988" s="46" t="s">
        <v>1415</v>
      </c>
      <c r="F988" s="48">
        <v>144459.65</v>
      </c>
      <c r="G988" s="46" t="s">
        <v>177</v>
      </c>
      <c r="H988" s="46" t="s">
        <v>2064</v>
      </c>
      <c r="I988" s="45" t="s">
        <v>125</v>
      </c>
      <c r="J988" s="46" t="s">
        <v>626</v>
      </c>
      <c r="K988" s="46" t="s">
        <v>178</v>
      </c>
      <c r="L988" s="46" t="s">
        <v>12</v>
      </c>
      <c r="M988" s="46" t="s">
        <v>13</v>
      </c>
      <c r="N988" s="46" t="s">
        <v>14</v>
      </c>
      <c r="O988" s="49" t="s">
        <v>803</v>
      </c>
      <c r="P988" s="46" t="s">
        <v>507</v>
      </c>
      <c r="Q988" s="35" t="str">
        <f>MID(Tabla1[[#This Row],[Aplicación]],14,1)</f>
        <v>2</v>
      </c>
      <c r="R988" s="35" t="s">
        <v>495</v>
      </c>
      <c r="S988" s="35" t="str">
        <f>MID(Tabla1[[#This Row],[Aplicación]],6,2)</f>
        <v>10</v>
      </c>
      <c r="T988" s="35" t="str">
        <f>VLOOKUP(Tabla1[[#This Row],[AREA]],Hoja1!A:B,2,FALSE)</f>
        <v>10. Servicios sociales y mediación comunitaria</v>
      </c>
      <c r="U988" s="35" t="str">
        <f>MID(Tabla1[[#This Row],[Aplicación]],9,4)</f>
        <v>2312</v>
      </c>
      <c r="V988" s="35" t="str">
        <f>VLOOKUP(Tabla1[[#This Row],[PROGRAMA]],Hoja1!A:B,2,FALSE)</f>
        <v>2312. Iniciativas sociales</v>
      </c>
      <c r="W988" s="35" t="str">
        <f>MID(Tabla1[[#This Row],[Aplicación]],14,2)</f>
        <v>22</v>
      </c>
      <c r="X988" s="35" t="str">
        <f>MID(Tabla1[[#This Row],[Aplicación]],14,6)</f>
        <v>22799</v>
      </c>
    </row>
    <row r="989" spans="1:24" x14ac:dyDescent="0.25">
      <c r="A989" s="45">
        <v>220209000670</v>
      </c>
      <c r="B989" s="46" t="s">
        <v>9</v>
      </c>
      <c r="C989" s="47">
        <v>44198</v>
      </c>
      <c r="D989" s="45">
        <v>22021000527</v>
      </c>
      <c r="E989" s="46" t="s">
        <v>1724</v>
      </c>
      <c r="F989" s="48">
        <v>106896.92</v>
      </c>
      <c r="G989" s="46" t="s">
        <v>2065</v>
      </c>
      <c r="H989" s="46" t="s">
        <v>2066</v>
      </c>
      <c r="I989" s="45" t="s">
        <v>125</v>
      </c>
      <c r="J989" s="46" t="s">
        <v>187</v>
      </c>
      <c r="K989" s="46" t="s">
        <v>187</v>
      </c>
      <c r="L989" s="46" t="s">
        <v>31</v>
      </c>
      <c r="M989" s="46" t="s">
        <v>13</v>
      </c>
      <c r="N989" s="46" t="s">
        <v>14</v>
      </c>
      <c r="O989" s="49" t="s">
        <v>803</v>
      </c>
      <c r="P989" s="46" t="s">
        <v>507</v>
      </c>
      <c r="Q989" s="35" t="str">
        <f>MID(Tabla1[[#This Row],[Aplicación]],14,1)</f>
        <v>6</v>
      </c>
      <c r="R989" s="35" t="s">
        <v>496</v>
      </c>
      <c r="S989" s="35" t="str">
        <f>MID(Tabla1[[#This Row],[Aplicación]],6,2)</f>
        <v>07</v>
      </c>
      <c r="T989" s="35" t="str">
        <f>VLOOKUP(Tabla1[[#This Row],[AREA]],Hoja1!A:B,2,FALSE)</f>
        <v>07. Medio ambiente y desarrollo sostenible</v>
      </c>
      <c r="U989" s="35" t="str">
        <f>MID(Tabla1[[#This Row],[Aplicación]],9,4)</f>
        <v>1711</v>
      </c>
      <c r="V989" s="35" t="str">
        <f>VLOOKUP(Tabla1[[#This Row],[PROGRAMA]],Hoja1!A:B,2,FALSE)</f>
        <v>1711. Parques y jardines</v>
      </c>
      <c r="W989" s="35" t="str">
        <f>MID(Tabla1[[#This Row],[Aplicación]],14,2)</f>
        <v>61</v>
      </c>
      <c r="X989" s="35" t="str">
        <f>MID(Tabla1[[#This Row],[Aplicación]],14,6)</f>
        <v>619</v>
      </c>
    </row>
    <row r="990" spans="1:24" x14ac:dyDescent="0.25">
      <c r="A990" s="45">
        <v>220210002864</v>
      </c>
      <c r="B990" s="46" t="s">
        <v>9</v>
      </c>
      <c r="C990" s="47">
        <v>44238</v>
      </c>
      <c r="D990" s="45">
        <v>22021002404</v>
      </c>
      <c r="E990" s="46" t="s">
        <v>1400</v>
      </c>
      <c r="F990" s="48">
        <v>89.24</v>
      </c>
      <c r="G990" s="46" t="s">
        <v>261</v>
      </c>
      <c r="H990" s="46" t="s">
        <v>2067</v>
      </c>
      <c r="I990" s="45" t="s">
        <v>125</v>
      </c>
      <c r="J990" s="46" t="s">
        <v>127</v>
      </c>
      <c r="K990" s="46" t="s">
        <v>127</v>
      </c>
      <c r="L990" s="46" t="s">
        <v>15</v>
      </c>
      <c r="M990" s="46" t="s">
        <v>10</v>
      </c>
      <c r="N990" s="46" t="s">
        <v>11</v>
      </c>
      <c r="O990" s="49" t="s">
        <v>815</v>
      </c>
      <c r="P990" s="46" t="s">
        <v>507</v>
      </c>
      <c r="Q990" s="35" t="str">
        <f>MID(Tabla1[[#This Row],[Aplicación]],14,1)</f>
        <v>2</v>
      </c>
      <c r="R990" s="35" t="s">
        <v>495</v>
      </c>
      <c r="S990" s="35" t="str">
        <f>MID(Tabla1[[#This Row],[Aplicación]],6,2)</f>
        <v>10</v>
      </c>
      <c r="T990" s="35" t="str">
        <f>VLOOKUP(Tabla1[[#This Row],[AREA]],Hoja1!A:B,2,FALSE)</f>
        <v>10. Servicios sociales y mediación comunitaria</v>
      </c>
      <c r="U990" s="35" t="str">
        <f>MID(Tabla1[[#This Row],[Aplicación]],9,4)</f>
        <v>2311</v>
      </c>
      <c r="V990" s="35" t="str">
        <f>VLOOKUP(Tabla1[[#This Row],[PROGRAMA]],Hoja1!A:B,2,FALSE)</f>
        <v>2311. Intervención social</v>
      </c>
      <c r="W990" s="35" t="str">
        <f>MID(Tabla1[[#This Row],[Aplicación]],14,2)</f>
        <v>22</v>
      </c>
      <c r="X990" s="35" t="str">
        <f>MID(Tabla1[[#This Row],[Aplicación]],14,6)</f>
        <v>22699</v>
      </c>
    </row>
    <row r="991" spans="1:24" x14ac:dyDescent="0.25">
      <c r="A991" s="45">
        <v>220210006015</v>
      </c>
      <c r="B991" s="46" t="s">
        <v>9</v>
      </c>
      <c r="C991" s="47">
        <v>44251</v>
      </c>
      <c r="D991" s="45">
        <v>22021002970</v>
      </c>
      <c r="E991" s="46" t="s">
        <v>1380</v>
      </c>
      <c r="F991" s="48">
        <v>89.54</v>
      </c>
      <c r="G991" s="46" t="s">
        <v>58</v>
      </c>
      <c r="H991" s="46" t="s">
        <v>2068</v>
      </c>
      <c r="I991" s="45" t="s">
        <v>125</v>
      </c>
      <c r="J991" s="46" t="s">
        <v>127</v>
      </c>
      <c r="K991" s="46" t="s">
        <v>127</v>
      </c>
      <c r="L991" s="46" t="s">
        <v>12</v>
      </c>
      <c r="M991" s="46" t="s">
        <v>10</v>
      </c>
      <c r="N991" s="46" t="s">
        <v>11</v>
      </c>
      <c r="O991" s="49" t="s">
        <v>815</v>
      </c>
      <c r="P991" s="46" t="s">
        <v>507</v>
      </c>
      <c r="Q991" s="35" t="str">
        <f>MID(Tabla1[[#This Row],[Aplicación]],14,1)</f>
        <v>2</v>
      </c>
      <c r="R991" s="35" t="s">
        <v>495</v>
      </c>
      <c r="S991" s="35" t="str">
        <f>MID(Tabla1[[#This Row],[Aplicación]],6,2)</f>
        <v>03</v>
      </c>
      <c r="T991" s="35" t="str">
        <f>VLOOKUP(Tabla1[[#This Row],[AREA]],Hoja1!A:B,2,FALSE)</f>
        <v>03. Participación ciudadana y deportes</v>
      </c>
      <c r="U991" s="35" t="str">
        <f>MID(Tabla1[[#This Row],[Aplicación]],9,4)</f>
        <v>9241</v>
      </c>
      <c r="V991" s="35" t="str">
        <f>VLOOKUP(Tabla1[[#This Row],[PROGRAMA]],Hoja1!A:B,2,FALSE)</f>
        <v>9241. Participación ciudadana</v>
      </c>
      <c r="W991" s="35" t="str">
        <f>MID(Tabla1[[#This Row],[Aplicación]],14,2)</f>
        <v>22</v>
      </c>
      <c r="X991" s="35" t="str">
        <f>MID(Tabla1[[#This Row],[Aplicación]],14,6)</f>
        <v>22699</v>
      </c>
    </row>
    <row r="992" spans="1:24" x14ac:dyDescent="0.25">
      <c r="A992" s="45">
        <v>220210010359</v>
      </c>
      <c r="B992" s="46" t="s">
        <v>9</v>
      </c>
      <c r="C992" s="47">
        <v>44273</v>
      </c>
      <c r="D992" s="45">
        <v>22021003470</v>
      </c>
      <c r="E992" s="46" t="s">
        <v>1314</v>
      </c>
      <c r="F992" s="48">
        <v>89.9</v>
      </c>
      <c r="G992" s="46" t="s">
        <v>753</v>
      </c>
      <c r="H992" s="46" t="s">
        <v>2069</v>
      </c>
      <c r="I992" s="45" t="s">
        <v>125</v>
      </c>
      <c r="J992" s="46" t="s">
        <v>579</v>
      </c>
      <c r="K992" s="46" t="s">
        <v>579</v>
      </c>
      <c r="L992" s="46" t="s">
        <v>15</v>
      </c>
      <c r="M992" s="46" t="s">
        <v>10</v>
      </c>
      <c r="N992" s="46" t="s">
        <v>11</v>
      </c>
      <c r="O992" s="49" t="s">
        <v>815</v>
      </c>
      <c r="P992" s="46" t="s">
        <v>507</v>
      </c>
      <c r="Q992" s="35" t="str">
        <f>MID(Tabla1[[#This Row],[Aplicación]],14,1)</f>
        <v>2</v>
      </c>
      <c r="R992" s="35" t="s">
        <v>495</v>
      </c>
      <c r="S992" s="35" t="str">
        <f>MID(Tabla1[[#This Row],[Aplicación]],6,2)</f>
        <v>01</v>
      </c>
      <c r="T992" s="35" t="str">
        <f>VLOOKUP(Tabla1[[#This Row],[AREA]],Hoja1!A:B,2,FALSE)</f>
        <v>01. Alcaldía</v>
      </c>
      <c r="U992" s="35" t="str">
        <f>MID(Tabla1[[#This Row],[Aplicación]],9,4)</f>
        <v>9206</v>
      </c>
      <c r="V992" s="35" t="str">
        <f>VLOOKUP(Tabla1[[#This Row],[PROGRAMA]],Hoja1!A:B,2,FALSE)</f>
        <v>9206. Archivo municipal</v>
      </c>
      <c r="W992" s="35" t="str">
        <f>MID(Tabla1[[#This Row],[Aplicación]],14,2)</f>
        <v>22</v>
      </c>
      <c r="X992" s="35" t="str">
        <f>MID(Tabla1[[#This Row],[Aplicación]],14,6)</f>
        <v>22199</v>
      </c>
    </row>
    <row r="993" spans="1:24" x14ac:dyDescent="0.25">
      <c r="A993" s="45">
        <v>220210006948</v>
      </c>
      <c r="B993" s="46" t="s">
        <v>9</v>
      </c>
      <c r="C993" s="47">
        <v>44259</v>
      </c>
      <c r="D993" s="45">
        <v>22021003054</v>
      </c>
      <c r="E993" s="46" t="s">
        <v>969</v>
      </c>
      <c r="F993" s="48">
        <v>93.17</v>
      </c>
      <c r="G993" s="46" t="s">
        <v>254</v>
      </c>
      <c r="H993" s="46" t="s">
        <v>2070</v>
      </c>
      <c r="I993" s="45" t="s">
        <v>125</v>
      </c>
      <c r="J993" s="46" t="s">
        <v>127</v>
      </c>
      <c r="K993" s="46" t="s">
        <v>127</v>
      </c>
      <c r="L993" s="46" t="s">
        <v>15</v>
      </c>
      <c r="M993" s="46" t="s">
        <v>10</v>
      </c>
      <c r="N993" s="46" t="s">
        <v>11</v>
      </c>
      <c r="O993" s="49" t="s">
        <v>815</v>
      </c>
      <c r="P993" s="46" t="s">
        <v>507</v>
      </c>
      <c r="Q993" s="35" t="str">
        <f>MID(Tabla1[[#This Row],[Aplicación]],14,1)</f>
        <v>2</v>
      </c>
      <c r="R993" s="35" t="s">
        <v>495</v>
      </c>
      <c r="S993" s="35" t="str">
        <f>MID(Tabla1[[#This Row],[Aplicación]],6,2)</f>
        <v>06</v>
      </c>
      <c r="T993" s="35" t="str">
        <f>VLOOKUP(Tabla1[[#This Row],[AREA]],Hoja1!A:B,2,FALSE)</f>
        <v>06. Educación, infancia, juventud e igualdad</v>
      </c>
      <c r="U993" s="35" t="str">
        <f>MID(Tabla1[[#This Row],[Aplicación]],9,4)</f>
        <v>2315</v>
      </c>
      <c r="V993" s="35" t="str">
        <f>VLOOKUP(Tabla1[[#This Row],[PROGRAMA]],Hoja1!A:B,2,FALSE)</f>
        <v>2315. Políticas de Igualdad e infancia</v>
      </c>
      <c r="W993" s="35" t="str">
        <f>MID(Tabla1[[#This Row],[Aplicación]],14,2)</f>
        <v>21</v>
      </c>
      <c r="X993" s="35" t="str">
        <f>MID(Tabla1[[#This Row],[Aplicación]],14,6)</f>
        <v>213</v>
      </c>
    </row>
    <row r="994" spans="1:24" x14ac:dyDescent="0.25">
      <c r="A994" s="45">
        <v>220210002887</v>
      </c>
      <c r="B994" s="46" t="s">
        <v>9</v>
      </c>
      <c r="C994" s="47">
        <v>44238</v>
      </c>
      <c r="D994" s="45">
        <v>22021002345</v>
      </c>
      <c r="E994" s="46" t="s">
        <v>1175</v>
      </c>
      <c r="F994" s="48">
        <v>100</v>
      </c>
      <c r="G994" s="46" t="s">
        <v>53</v>
      </c>
      <c r="H994" s="46" t="s">
        <v>2071</v>
      </c>
      <c r="I994" s="45" t="s">
        <v>125</v>
      </c>
      <c r="J994" s="46" t="s">
        <v>127</v>
      </c>
      <c r="K994" s="46" t="s">
        <v>127</v>
      </c>
      <c r="L994" s="46" t="s">
        <v>15</v>
      </c>
      <c r="M994" s="46" t="s">
        <v>10</v>
      </c>
      <c r="N994" s="46" t="s">
        <v>11</v>
      </c>
      <c r="O994" s="49" t="s">
        <v>815</v>
      </c>
      <c r="P994" s="46" t="s">
        <v>507</v>
      </c>
      <c r="Q994" s="35" t="str">
        <f>MID(Tabla1[[#This Row],[Aplicación]],14,1)</f>
        <v>2</v>
      </c>
      <c r="R994" s="35" t="s">
        <v>495</v>
      </c>
      <c r="S994" s="35" t="str">
        <f>MID(Tabla1[[#This Row],[Aplicación]],6,2)</f>
        <v>06</v>
      </c>
      <c r="T994" s="35" t="str">
        <f>VLOOKUP(Tabla1[[#This Row],[AREA]],Hoja1!A:B,2,FALSE)</f>
        <v>06. Educación, infancia, juventud e igualdad</v>
      </c>
      <c r="U994" s="35" t="str">
        <f>MID(Tabla1[[#This Row],[Aplicación]],9,4)</f>
        <v>2314</v>
      </c>
      <c r="V994" s="35" t="str">
        <f>VLOOKUP(Tabla1[[#This Row],[PROGRAMA]],Hoja1!A:B,2,FALSE)</f>
        <v>2314. Centro de programas juveniles</v>
      </c>
      <c r="W994" s="35" t="str">
        <f>MID(Tabla1[[#This Row],[Aplicación]],14,2)</f>
        <v>22</v>
      </c>
      <c r="X994" s="35" t="str">
        <f>MID(Tabla1[[#This Row],[Aplicación]],14,6)</f>
        <v>22799</v>
      </c>
    </row>
    <row r="995" spans="1:24" x14ac:dyDescent="0.25">
      <c r="A995" s="45">
        <v>220210006563</v>
      </c>
      <c r="B995" s="46" t="s">
        <v>9</v>
      </c>
      <c r="C995" s="47">
        <v>44256</v>
      </c>
      <c r="D995" s="45">
        <v>22021003025</v>
      </c>
      <c r="E995" s="46" t="s">
        <v>2072</v>
      </c>
      <c r="F995" s="48">
        <v>100</v>
      </c>
      <c r="G995" s="46" t="s">
        <v>268</v>
      </c>
      <c r="H995" s="46" t="s">
        <v>2073</v>
      </c>
      <c r="I995" s="45" t="s">
        <v>125</v>
      </c>
      <c r="J995" s="46" t="s">
        <v>127</v>
      </c>
      <c r="K995" s="46" t="s">
        <v>127</v>
      </c>
      <c r="L995" s="46" t="s">
        <v>15</v>
      </c>
      <c r="M995" s="46" t="s">
        <v>10</v>
      </c>
      <c r="N995" s="46" t="s">
        <v>11</v>
      </c>
      <c r="O995" s="49" t="s">
        <v>815</v>
      </c>
      <c r="P995" s="46" t="s">
        <v>507</v>
      </c>
      <c r="Q995" s="35" t="str">
        <f>MID(Tabla1[[#This Row],[Aplicación]],14,1)</f>
        <v>2</v>
      </c>
      <c r="R995" s="35" t="s">
        <v>495</v>
      </c>
      <c r="S995" s="35" t="str">
        <f>MID(Tabla1[[#This Row],[Aplicación]],6,2)</f>
        <v>10</v>
      </c>
      <c r="T995" s="35" t="str">
        <f>VLOOKUP(Tabla1[[#This Row],[AREA]],Hoja1!A:B,2,FALSE)</f>
        <v>10. Servicios sociales y mediación comunitaria</v>
      </c>
      <c r="U995" s="35" t="str">
        <f>MID(Tabla1[[#This Row],[Aplicación]],9,4)</f>
        <v>2412</v>
      </c>
      <c r="V995" s="35" t="str">
        <f>VLOOKUP(Tabla1[[#This Row],[PROGRAMA]],Hoja1!A:B,2,FALSE)</f>
        <v>2412. Formación para el empleo</v>
      </c>
      <c r="W995" s="35" t="str">
        <f>MID(Tabla1[[#This Row],[Aplicación]],14,2)</f>
        <v>22</v>
      </c>
      <c r="X995" s="35" t="str">
        <f>MID(Tabla1[[#This Row],[Aplicación]],14,6)</f>
        <v>22110</v>
      </c>
    </row>
    <row r="996" spans="1:24" x14ac:dyDescent="0.25">
      <c r="A996" s="45">
        <v>220209000578</v>
      </c>
      <c r="B996" s="46" t="s">
        <v>9</v>
      </c>
      <c r="C996" s="47">
        <v>44198</v>
      </c>
      <c r="D996" s="45">
        <v>22021000597</v>
      </c>
      <c r="E996" s="46" t="s">
        <v>2074</v>
      </c>
      <c r="F996" s="48">
        <v>80000</v>
      </c>
      <c r="G996" s="46" t="s">
        <v>47</v>
      </c>
      <c r="H996" s="46" t="s">
        <v>2075</v>
      </c>
      <c r="I996" s="45" t="s">
        <v>125</v>
      </c>
      <c r="J996" s="46" t="s">
        <v>148</v>
      </c>
      <c r="K996" s="46" t="s">
        <v>201</v>
      </c>
      <c r="L996" s="46" t="s">
        <v>15</v>
      </c>
      <c r="M996" s="46" t="s">
        <v>13</v>
      </c>
      <c r="N996" s="46" t="s">
        <v>14</v>
      </c>
      <c r="O996" s="49" t="s">
        <v>803</v>
      </c>
      <c r="P996" s="46" t="s">
        <v>507</v>
      </c>
      <c r="Q996" s="35" t="str">
        <f>MID(Tabla1[[#This Row],[Aplicación]],14,1)</f>
        <v>2</v>
      </c>
      <c r="R996" s="35" t="s">
        <v>495</v>
      </c>
      <c r="S996" s="35" t="str">
        <f>MID(Tabla1[[#This Row],[Aplicación]],6,2)</f>
        <v>09</v>
      </c>
      <c r="T996" s="35" t="str">
        <f>VLOOKUP(Tabla1[[#This Row],[AREA]],Hoja1!A:B,2,FALSE)</f>
        <v>09. Cultura y turismo</v>
      </c>
      <c r="U996" s="35" t="str">
        <f>MID(Tabla1[[#This Row],[Aplicación]],9,4)</f>
        <v>3341</v>
      </c>
      <c r="V996" s="35" t="str">
        <f>VLOOKUP(Tabla1[[#This Row],[PROGRAMA]],Hoja1!A:B,2,FALSE)</f>
        <v>3341. Coordinación de políticas culturales</v>
      </c>
      <c r="W996" s="35" t="str">
        <f>MID(Tabla1[[#This Row],[Aplicación]],14,2)</f>
        <v>22</v>
      </c>
      <c r="X996" s="35" t="str">
        <f>MID(Tabla1[[#This Row],[Aplicación]],14,6)</f>
        <v>22100</v>
      </c>
    </row>
    <row r="997" spans="1:24" x14ac:dyDescent="0.25">
      <c r="A997" s="45">
        <v>220209000579</v>
      </c>
      <c r="B997" s="46" t="s">
        <v>9</v>
      </c>
      <c r="C997" s="47">
        <v>44198</v>
      </c>
      <c r="D997" s="45">
        <v>22021000598</v>
      </c>
      <c r="E997" s="46" t="s">
        <v>2076</v>
      </c>
      <c r="F997" s="48">
        <v>95000</v>
      </c>
      <c r="G997" s="46" t="s">
        <v>47</v>
      </c>
      <c r="H997" s="46" t="s">
        <v>2077</v>
      </c>
      <c r="I997" s="45" t="s">
        <v>125</v>
      </c>
      <c r="J997" s="46" t="s">
        <v>148</v>
      </c>
      <c r="K997" s="46" t="s">
        <v>201</v>
      </c>
      <c r="L997" s="46" t="s">
        <v>15</v>
      </c>
      <c r="M997" s="46" t="s">
        <v>13</v>
      </c>
      <c r="N997" s="46" t="s">
        <v>14</v>
      </c>
      <c r="O997" s="49" t="s">
        <v>803</v>
      </c>
      <c r="P997" s="46" t="s">
        <v>507</v>
      </c>
      <c r="Q997" s="35" t="str">
        <f>MID(Tabla1[[#This Row],[Aplicación]],14,1)</f>
        <v>2</v>
      </c>
      <c r="R997" s="35" t="s">
        <v>495</v>
      </c>
      <c r="S997" s="35" t="str">
        <f>MID(Tabla1[[#This Row],[Aplicación]],6,2)</f>
        <v>11</v>
      </c>
      <c r="T997" s="35" t="str">
        <f>VLOOKUP(Tabla1[[#This Row],[AREA]],Hoja1!A:B,2,FALSE)</f>
        <v>11. Salud pública y seguridad ciudadana</v>
      </c>
      <c r="U997" s="35" t="str">
        <f>MID(Tabla1[[#This Row],[Aplicación]],9,4)</f>
        <v>1321</v>
      </c>
      <c r="V997" s="35" t="str">
        <f>VLOOKUP(Tabla1[[#This Row],[PROGRAMA]],Hoja1!A:B,2,FALSE)</f>
        <v>1321. Policía municipal</v>
      </c>
      <c r="W997" s="35" t="str">
        <f>MID(Tabla1[[#This Row],[Aplicación]],14,2)</f>
        <v>22</v>
      </c>
      <c r="X997" s="35" t="str">
        <f>MID(Tabla1[[#This Row],[Aplicación]],14,6)</f>
        <v>22100</v>
      </c>
    </row>
    <row r="998" spans="1:24" x14ac:dyDescent="0.25">
      <c r="A998" s="45">
        <v>220200074069</v>
      </c>
      <c r="B998" s="46" t="s">
        <v>9</v>
      </c>
      <c r="C998" s="47">
        <v>44284</v>
      </c>
      <c r="D998" s="45">
        <v>22019007497</v>
      </c>
      <c r="E998" s="46" t="s">
        <v>1404</v>
      </c>
      <c r="F998" s="48">
        <v>106231.78</v>
      </c>
      <c r="G998" s="46" t="s">
        <v>1980</v>
      </c>
      <c r="H998" s="46" t="s">
        <v>2078</v>
      </c>
      <c r="I998" s="45" t="s">
        <v>125</v>
      </c>
      <c r="J998" s="46" t="s">
        <v>1982</v>
      </c>
      <c r="K998" s="46" t="s">
        <v>1554</v>
      </c>
      <c r="L998" s="46" t="s">
        <v>31</v>
      </c>
      <c r="M998" s="46" t="s">
        <v>13</v>
      </c>
      <c r="N998" s="46" t="s">
        <v>14</v>
      </c>
      <c r="O998" s="49" t="s">
        <v>803</v>
      </c>
      <c r="P998" s="46" t="s">
        <v>507</v>
      </c>
      <c r="Q998" s="35" t="str">
        <f>MID(Tabla1[[#This Row],[Aplicación]],14,1)</f>
        <v>6</v>
      </c>
      <c r="R998" s="35" t="s">
        <v>496</v>
      </c>
      <c r="S998" s="35" t="str">
        <f>MID(Tabla1[[#This Row],[Aplicación]],6,2)</f>
        <v>05</v>
      </c>
      <c r="T998" s="35" t="str">
        <f>VLOOKUP(Tabla1[[#This Row],[AREA]],Hoja1!A:B,2,FALSE)</f>
        <v>05. Innovación, desarrollo económico, empleo y comercio</v>
      </c>
      <c r="U998" s="35" t="str">
        <f>MID(Tabla1[[#This Row],[Aplicación]],9,4)</f>
        <v>9339</v>
      </c>
      <c r="V998" s="35" t="str">
        <f>VLOOKUP(Tabla1[[#This Row],[PROGRAMA]],Hoja1!A:B,2,FALSE)</f>
        <v>9339. Patrimonio I.F.S. área 05</v>
      </c>
      <c r="W998" s="35" t="str">
        <f>MID(Tabla1[[#This Row],[Aplicación]],14,2)</f>
        <v>63</v>
      </c>
      <c r="X998" s="35" t="str">
        <f>MID(Tabla1[[#This Row],[Aplicación]],14,6)</f>
        <v>632</v>
      </c>
    </row>
    <row r="999" spans="1:24" x14ac:dyDescent="0.25">
      <c r="A999" s="45">
        <v>220209000134</v>
      </c>
      <c r="B999" s="46" t="s">
        <v>9</v>
      </c>
      <c r="C999" s="47">
        <v>44198</v>
      </c>
      <c r="D999" s="45">
        <v>22021000116</v>
      </c>
      <c r="E999" s="46" t="s">
        <v>840</v>
      </c>
      <c r="F999" s="48">
        <v>100885.53</v>
      </c>
      <c r="G999" s="46" t="s">
        <v>174</v>
      </c>
      <c r="H999" s="46" t="s">
        <v>1983</v>
      </c>
      <c r="I999" s="45" t="s">
        <v>125</v>
      </c>
      <c r="J999" s="46" t="s">
        <v>126</v>
      </c>
      <c r="K999" s="46" t="s">
        <v>126</v>
      </c>
      <c r="L999" s="46" t="s">
        <v>12</v>
      </c>
      <c r="M999" s="46" t="s">
        <v>13</v>
      </c>
      <c r="N999" s="46" t="s">
        <v>14</v>
      </c>
      <c r="O999" s="49" t="s">
        <v>803</v>
      </c>
      <c r="P999" s="46" t="s">
        <v>507</v>
      </c>
      <c r="Q999" s="35" t="str">
        <f>MID(Tabla1[[#This Row],[Aplicación]],14,1)</f>
        <v>2</v>
      </c>
      <c r="R999" s="35" t="s">
        <v>495</v>
      </c>
      <c r="S999" s="35" t="str">
        <f>MID(Tabla1[[#This Row],[Aplicación]],6,2)</f>
        <v>07</v>
      </c>
      <c r="T999" s="35" t="str">
        <f>VLOOKUP(Tabla1[[#This Row],[AREA]],Hoja1!A:B,2,FALSE)</f>
        <v>07. Medio ambiente y desarrollo sostenible</v>
      </c>
      <c r="U999" s="35" t="str">
        <f>MID(Tabla1[[#This Row],[Aplicación]],9,4)</f>
        <v>1711</v>
      </c>
      <c r="V999" s="35" t="str">
        <f>VLOOKUP(Tabla1[[#This Row],[PROGRAMA]],Hoja1!A:B,2,FALSE)</f>
        <v>1711. Parques y jardines</v>
      </c>
      <c r="W999" s="35" t="str">
        <f>MID(Tabla1[[#This Row],[Aplicación]],14,2)</f>
        <v>22</v>
      </c>
      <c r="X999" s="35" t="str">
        <f>MID(Tabla1[[#This Row],[Aplicación]],14,6)</f>
        <v>22799</v>
      </c>
    </row>
    <row r="1000" spans="1:24" x14ac:dyDescent="0.25">
      <c r="A1000" s="45">
        <v>220210009399</v>
      </c>
      <c r="B1000" s="46" t="s">
        <v>9</v>
      </c>
      <c r="C1000" s="47">
        <v>44270</v>
      </c>
      <c r="D1000" s="45">
        <v>22021003412</v>
      </c>
      <c r="E1000" s="46" t="s">
        <v>2079</v>
      </c>
      <c r="F1000" s="48">
        <v>100</v>
      </c>
      <c r="G1000" s="46" t="s">
        <v>247</v>
      </c>
      <c r="H1000" s="46" t="s">
        <v>2080</v>
      </c>
      <c r="I1000" s="45" t="s">
        <v>125</v>
      </c>
      <c r="J1000" s="46" t="s">
        <v>127</v>
      </c>
      <c r="K1000" s="46" t="s">
        <v>127</v>
      </c>
      <c r="L1000" s="46" t="s">
        <v>12</v>
      </c>
      <c r="M1000" s="46" t="s">
        <v>10</v>
      </c>
      <c r="N1000" s="46" t="s">
        <v>11</v>
      </c>
      <c r="O1000" s="49" t="s">
        <v>815</v>
      </c>
      <c r="P1000" s="46" t="s">
        <v>507</v>
      </c>
      <c r="Q1000" s="35" t="str">
        <f>MID(Tabla1[[#This Row],[Aplicación]],14,1)</f>
        <v>2</v>
      </c>
      <c r="R1000" s="35" t="s">
        <v>495</v>
      </c>
      <c r="S1000" s="35" t="str">
        <f>MID(Tabla1[[#This Row],[Aplicación]],6,2)</f>
        <v>11</v>
      </c>
      <c r="T1000" s="35" t="str">
        <f>VLOOKUP(Tabla1[[#This Row],[AREA]],Hoja1!A:B,2,FALSE)</f>
        <v>11. Salud pública y seguridad ciudadana</v>
      </c>
      <c r="U1000" s="35" t="str">
        <f>MID(Tabla1[[#This Row],[Aplicación]],9,4)</f>
        <v>1321</v>
      </c>
      <c r="V1000" s="35" t="str">
        <f>VLOOKUP(Tabla1[[#This Row],[PROGRAMA]],Hoja1!A:B,2,FALSE)</f>
        <v>1321. Policía municipal</v>
      </c>
      <c r="W1000" s="35" t="str">
        <f>MID(Tabla1[[#This Row],[Aplicación]],14,2)</f>
        <v>22</v>
      </c>
      <c r="X1000" s="35" t="str">
        <f>MID(Tabla1[[#This Row],[Aplicación]],14,6)</f>
        <v>223</v>
      </c>
    </row>
    <row r="1001" spans="1:24" x14ac:dyDescent="0.25">
      <c r="A1001" s="45">
        <v>220209000580</v>
      </c>
      <c r="B1001" s="46" t="s">
        <v>9</v>
      </c>
      <c r="C1001" s="47">
        <v>44198</v>
      </c>
      <c r="D1001" s="45">
        <v>22021000599</v>
      </c>
      <c r="E1001" s="46" t="s">
        <v>2081</v>
      </c>
      <c r="F1001" s="48">
        <v>350000</v>
      </c>
      <c r="G1001" s="46" t="s">
        <v>47</v>
      </c>
      <c r="H1001" s="46" t="s">
        <v>2082</v>
      </c>
      <c r="I1001" s="45" t="s">
        <v>125</v>
      </c>
      <c r="J1001" s="46" t="s">
        <v>148</v>
      </c>
      <c r="K1001" s="46" t="s">
        <v>201</v>
      </c>
      <c r="L1001" s="46" t="s">
        <v>15</v>
      </c>
      <c r="M1001" s="46" t="s">
        <v>13</v>
      </c>
      <c r="N1001" s="46" t="s">
        <v>14</v>
      </c>
      <c r="O1001" s="49" t="s">
        <v>803</v>
      </c>
      <c r="P1001" s="46" t="s">
        <v>507</v>
      </c>
      <c r="Q1001" s="35" t="str">
        <f>MID(Tabla1[[#This Row],[Aplicación]],14,1)</f>
        <v>2</v>
      </c>
      <c r="R1001" s="35" t="s">
        <v>495</v>
      </c>
      <c r="S1001" s="35" t="str">
        <f>MID(Tabla1[[#This Row],[Aplicación]],6,2)</f>
        <v>07</v>
      </c>
      <c r="T1001" s="35" t="str">
        <f>VLOOKUP(Tabla1[[#This Row],[AREA]],Hoja1!A:B,2,FALSE)</f>
        <v>07. Medio ambiente y desarrollo sostenible</v>
      </c>
      <c r="U1001" s="35" t="str">
        <f>MID(Tabla1[[#This Row],[Aplicación]],9,4)</f>
        <v>1711</v>
      </c>
      <c r="V1001" s="35" t="str">
        <f>VLOOKUP(Tabla1[[#This Row],[PROGRAMA]],Hoja1!A:B,2,FALSE)</f>
        <v>1711. Parques y jardines</v>
      </c>
      <c r="W1001" s="35" t="str">
        <f>MID(Tabla1[[#This Row],[Aplicación]],14,2)</f>
        <v>22</v>
      </c>
      <c r="X1001" s="35" t="str">
        <f>MID(Tabla1[[#This Row],[Aplicación]],14,6)</f>
        <v>22100</v>
      </c>
    </row>
    <row r="1002" spans="1:24" x14ac:dyDescent="0.25">
      <c r="A1002" s="45">
        <v>220210013223</v>
      </c>
      <c r="B1002" s="46" t="s">
        <v>9</v>
      </c>
      <c r="C1002" s="47">
        <v>44286</v>
      </c>
      <c r="D1002" s="45">
        <v>22021003700</v>
      </c>
      <c r="E1002" s="46" t="s">
        <v>1334</v>
      </c>
      <c r="F1002" s="48">
        <v>100</v>
      </c>
      <c r="G1002" s="46" t="s">
        <v>261</v>
      </c>
      <c r="H1002" s="46" t="s">
        <v>2083</v>
      </c>
      <c r="I1002" s="45" t="s">
        <v>125</v>
      </c>
      <c r="J1002" s="46" t="s">
        <v>127</v>
      </c>
      <c r="K1002" s="46" t="s">
        <v>127</v>
      </c>
      <c r="L1002" s="46" t="s">
        <v>15</v>
      </c>
      <c r="M1002" s="46" t="s">
        <v>10</v>
      </c>
      <c r="N1002" s="46" t="s">
        <v>11</v>
      </c>
      <c r="O1002" s="49" t="s">
        <v>815</v>
      </c>
      <c r="P1002" s="46" t="s">
        <v>507</v>
      </c>
      <c r="Q1002" s="35" t="str">
        <f>MID(Tabla1[[#This Row],[Aplicación]],14,1)</f>
        <v>2</v>
      </c>
      <c r="R1002" s="35" t="s">
        <v>495</v>
      </c>
      <c r="S1002" s="35" t="str">
        <f>MID(Tabla1[[#This Row],[Aplicación]],6,2)</f>
        <v>07</v>
      </c>
      <c r="T1002" s="35" t="str">
        <f>VLOOKUP(Tabla1[[#This Row],[AREA]],Hoja1!A:B,2,FALSE)</f>
        <v>07. Medio ambiente y desarrollo sostenible</v>
      </c>
      <c r="U1002" s="35" t="str">
        <f>MID(Tabla1[[#This Row],[Aplicación]],9,4)</f>
        <v>1711</v>
      </c>
      <c r="V1002" s="35" t="str">
        <f>VLOOKUP(Tabla1[[#This Row],[PROGRAMA]],Hoja1!A:B,2,FALSE)</f>
        <v>1711. Parques y jardines</v>
      </c>
      <c r="W1002" s="35" t="str">
        <f>MID(Tabla1[[#This Row],[Aplicación]],14,2)</f>
        <v>22</v>
      </c>
      <c r="X1002" s="35" t="str">
        <f>MID(Tabla1[[#This Row],[Aplicación]],14,6)</f>
        <v>22199</v>
      </c>
    </row>
    <row r="1003" spans="1:24" x14ac:dyDescent="0.25">
      <c r="A1003" s="45">
        <v>220210007171</v>
      </c>
      <c r="B1003" s="46" t="s">
        <v>9</v>
      </c>
      <c r="C1003" s="47">
        <v>44263</v>
      </c>
      <c r="D1003" s="45">
        <v>22021002773</v>
      </c>
      <c r="E1003" s="46" t="s">
        <v>1314</v>
      </c>
      <c r="F1003" s="48">
        <v>28.59</v>
      </c>
      <c r="G1003" s="46" t="s">
        <v>256</v>
      </c>
      <c r="H1003" s="46" t="s">
        <v>2084</v>
      </c>
      <c r="I1003" s="45" t="s">
        <v>125</v>
      </c>
      <c r="J1003" s="46" t="s">
        <v>127</v>
      </c>
      <c r="K1003" s="46" t="s">
        <v>127</v>
      </c>
      <c r="L1003" s="46" t="s">
        <v>15</v>
      </c>
      <c r="M1003" s="46" t="s">
        <v>13</v>
      </c>
      <c r="N1003" s="46" t="s">
        <v>11</v>
      </c>
      <c r="O1003" s="49" t="s">
        <v>814</v>
      </c>
      <c r="P1003" s="46" t="s">
        <v>507</v>
      </c>
      <c r="Q1003" s="35" t="str">
        <f>MID(Tabla1[[#This Row],[Aplicación]],14,1)</f>
        <v>2</v>
      </c>
      <c r="R1003" s="35" t="s">
        <v>495</v>
      </c>
      <c r="S1003" s="35" t="str">
        <f>MID(Tabla1[[#This Row],[Aplicación]],6,2)</f>
        <v>01</v>
      </c>
      <c r="T1003" s="35" t="str">
        <f>VLOOKUP(Tabla1[[#This Row],[AREA]],Hoja1!A:B,2,FALSE)</f>
        <v>01. Alcaldía</v>
      </c>
      <c r="U1003" s="35" t="str">
        <f>MID(Tabla1[[#This Row],[Aplicación]],9,4)</f>
        <v>9206</v>
      </c>
      <c r="V1003" s="35" t="str">
        <f>VLOOKUP(Tabla1[[#This Row],[PROGRAMA]],Hoja1!A:B,2,FALSE)</f>
        <v>9206. Archivo municipal</v>
      </c>
      <c r="W1003" s="35" t="str">
        <f>MID(Tabla1[[#This Row],[Aplicación]],14,2)</f>
        <v>22</v>
      </c>
      <c r="X1003" s="35" t="str">
        <f>MID(Tabla1[[#This Row],[Aplicación]],14,6)</f>
        <v>22199</v>
      </c>
    </row>
    <row r="1004" spans="1:24" x14ac:dyDescent="0.25">
      <c r="A1004" s="45">
        <v>220210003212</v>
      </c>
      <c r="B1004" s="46" t="s">
        <v>204</v>
      </c>
      <c r="C1004" s="47">
        <v>44239</v>
      </c>
      <c r="D1004" s="45">
        <v>22021002088</v>
      </c>
      <c r="E1004" s="46" t="s">
        <v>1478</v>
      </c>
      <c r="F1004" s="48">
        <v>188.36</v>
      </c>
      <c r="G1004" s="46" t="s">
        <v>256</v>
      </c>
      <c r="H1004" s="46" t="s">
        <v>2085</v>
      </c>
      <c r="I1004" s="45" t="s">
        <v>205</v>
      </c>
      <c r="J1004" s="46" t="s">
        <v>127</v>
      </c>
      <c r="K1004" s="46" t="s">
        <v>127</v>
      </c>
      <c r="L1004" s="46" t="s">
        <v>15</v>
      </c>
      <c r="M1004" s="46" t="s">
        <v>13</v>
      </c>
      <c r="N1004" s="46" t="s">
        <v>16</v>
      </c>
      <c r="O1004" s="49" t="s">
        <v>814</v>
      </c>
      <c r="P1004" s="46" t="s">
        <v>507</v>
      </c>
      <c r="Q1004" s="35" t="str">
        <f>MID(Tabla1[[#This Row],[Aplicación]],14,1)</f>
        <v>2</v>
      </c>
      <c r="R1004" s="35" t="s">
        <v>495</v>
      </c>
      <c r="S1004" s="35" t="str">
        <f>MID(Tabla1[[#This Row],[Aplicación]],6,2)</f>
        <v>03</v>
      </c>
      <c r="T1004" s="35" t="str">
        <f>VLOOKUP(Tabla1[[#This Row],[AREA]],Hoja1!A:B,2,FALSE)</f>
        <v>03. Participación ciudadana y deportes</v>
      </c>
      <c r="U1004" s="35" t="str">
        <f>MID(Tabla1[[#This Row],[Aplicación]],9,4)</f>
        <v>9241</v>
      </c>
      <c r="V1004" s="35" t="str">
        <f>VLOOKUP(Tabla1[[#This Row],[PROGRAMA]],Hoja1!A:B,2,FALSE)</f>
        <v>9241. Participación ciudadana</v>
      </c>
      <c r="W1004" s="35" t="str">
        <f>MID(Tabla1[[#This Row],[Aplicación]],14,2)</f>
        <v>21</v>
      </c>
      <c r="X1004" s="35" t="str">
        <f>MID(Tabla1[[#This Row],[Aplicación]],14,6)</f>
        <v>212</v>
      </c>
    </row>
    <row r="1005" spans="1:24" x14ac:dyDescent="0.25">
      <c r="A1005" s="45">
        <v>220210003285</v>
      </c>
      <c r="B1005" s="46" t="s">
        <v>204</v>
      </c>
      <c r="C1005" s="47">
        <v>44239</v>
      </c>
      <c r="D1005" s="45">
        <v>22021002225</v>
      </c>
      <c r="E1005" s="46" t="s">
        <v>1574</v>
      </c>
      <c r="F1005" s="48">
        <v>48.44</v>
      </c>
      <c r="G1005" s="46" t="s">
        <v>256</v>
      </c>
      <c r="H1005" s="46" t="s">
        <v>2086</v>
      </c>
      <c r="I1005" s="45" t="s">
        <v>205</v>
      </c>
      <c r="J1005" s="46" t="s">
        <v>127</v>
      </c>
      <c r="K1005" s="46" t="s">
        <v>127</v>
      </c>
      <c r="L1005" s="46" t="s">
        <v>15</v>
      </c>
      <c r="M1005" s="46" t="s">
        <v>13</v>
      </c>
      <c r="N1005" s="46" t="s">
        <v>16</v>
      </c>
      <c r="O1005" s="49" t="s">
        <v>814</v>
      </c>
      <c r="P1005" s="46" t="s">
        <v>507</v>
      </c>
      <c r="Q1005" s="35" t="str">
        <f>MID(Tabla1[[#This Row],[Aplicación]],14,1)</f>
        <v>2</v>
      </c>
      <c r="R1005" s="35" t="s">
        <v>495</v>
      </c>
      <c r="S1005" s="35" t="str">
        <f>MID(Tabla1[[#This Row],[Aplicación]],6,2)</f>
        <v>06</v>
      </c>
      <c r="T1005" s="35" t="str">
        <f>VLOOKUP(Tabla1[[#This Row],[AREA]],Hoja1!A:B,2,FALSE)</f>
        <v>06. Educación, infancia, juventud e igualdad</v>
      </c>
      <c r="U1005" s="35" t="str">
        <f>MID(Tabla1[[#This Row],[Aplicación]],9,4)</f>
        <v>3231</v>
      </c>
      <c r="V1005" s="35" t="str">
        <f>VLOOKUP(Tabla1[[#This Row],[PROGRAMA]],Hoja1!A:B,2,FALSE)</f>
        <v>3231. Escuelas infantiles</v>
      </c>
      <c r="W1005" s="35" t="str">
        <f>MID(Tabla1[[#This Row],[Aplicación]],14,2)</f>
        <v>21</v>
      </c>
      <c r="X1005" s="35" t="str">
        <f>MID(Tabla1[[#This Row],[Aplicación]],14,6)</f>
        <v>212</v>
      </c>
    </row>
    <row r="1006" spans="1:24" x14ac:dyDescent="0.25">
      <c r="A1006" s="45">
        <v>220210003289</v>
      </c>
      <c r="B1006" s="46" t="s">
        <v>204</v>
      </c>
      <c r="C1006" s="47">
        <v>44239</v>
      </c>
      <c r="D1006" s="45">
        <v>22021001039</v>
      </c>
      <c r="E1006" s="46" t="s">
        <v>844</v>
      </c>
      <c r="F1006" s="48">
        <v>145.56</v>
      </c>
      <c r="G1006" s="46" t="s">
        <v>256</v>
      </c>
      <c r="H1006" s="46" t="s">
        <v>2087</v>
      </c>
      <c r="I1006" s="45" t="s">
        <v>205</v>
      </c>
      <c r="J1006" s="46" t="s">
        <v>127</v>
      </c>
      <c r="K1006" s="46" t="s">
        <v>127</v>
      </c>
      <c r="L1006" s="46" t="s">
        <v>15</v>
      </c>
      <c r="M1006" s="46" t="s">
        <v>13</v>
      </c>
      <c r="N1006" s="46" t="s">
        <v>14</v>
      </c>
      <c r="O1006" s="49" t="s">
        <v>814</v>
      </c>
      <c r="P1006" s="46" t="s">
        <v>507</v>
      </c>
      <c r="Q1006" s="35" t="str">
        <f>MID(Tabla1[[#This Row],[Aplicación]],14,1)</f>
        <v>2</v>
      </c>
      <c r="R1006" s="35" t="s">
        <v>495</v>
      </c>
      <c r="S1006" s="35" t="str">
        <f>MID(Tabla1[[#This Row],[Aplicación]],6,2)</f>
        <v>10</v>
      </c>
      <c r="T1006" s="35" t="str">
        <f>VLOOKUP(Tabla1[[#This Row],[AREA]],Hoja1!A:B,2,FALSE)</f>
        <v>10. Servicios sociales y mediación comunitaria</v>
      </c>
      <c r="U1006" s="35" t="str">
        <f>MID(Tabla1[[#This Row],[Aplicación]],9,4)</f>
        <v>2312</v>
      </c>
      <c r="V1006" s="35" t="str">
        <f>VLOOKUP(Tabla1[[#This Row],[PROGRAMA]],Hoja1!A:B,2,FALSE)</f>
        <v>2312. Iniciativas sociales</v>
      </c>
      <c r="W1006" s="35" t="str">
        <f>MID(Tabla1[[#This Row],[Aplicación]],14,2)</f>
        <v>21</v>
      </c>
      <c r="X1006" s="35" t="str">
        <f>MID(Tabla1[[#This Row],[Aplicación]],14,6)</f>
        <v>212</v>
      </c>
    </row>
    <row r="1007" spans="1:24" x14ac:dyDescent="0.25">
      <c r="A1007" s="45">
        <v>220210004556</v>
      </c>
      <c r="B1007" s="46" t="s">
        <v>204</v>
      </c>
      <c r="C1007" s="47">
        <v>44246</v>
      </c>
      <c r="D1007" s="45">
        <v>22021002228</v>
      </c>
      <c r="E1007" s="46" t="s">
        <v>1471</v>
      </c>
      <c r="F1007" s="48">
        <v>63.34</v>
      </c>
      <c r="G1007" s="46" t="s">
        <v>256</v>
      </c>
      <c r="H1007" s="46" t="s">
        <v>2088</v>
      </c>
      <c r="I1007" s="45" t="s">
        <v>205</v>
      </c>
      <c r="J1007" s="46" t="s">
        <v>127</v>
      </c>
      <c r="K1007" s="46" t="s">
        <v>127</v>
      </c>
      <c r="L1007" s="46" t="s">
        <v>15</v>
      </c>
      <c r="M1007" s="46" t="s">
        <v>13</v>
      </c>
      <c r="N1007" s="46" t="s">
        <v>14</v>
      </c>
      <c r="O1007" s="49" t="s">
        <v>814</v>
      </c>
      <c r="P1007" s="46" t="s">
        <v>507</v>
      </c>
      <c r="Q1007" s="35" t="str">
        <f>MID(Tabla1[[#This Row],[Aplicación]],14,1)</f>
        <v>2</v>
      </c>
      <c r="R1007" s="35" t="s">
        <v>495</v>
      </c>
      <c r="S1007" s="35" t="str">
        <f>MID(Tabla1[[#This Row],[Aplicación]],6,2)</f>
        <v>06</v>
      </c>
      <c r="T1007" s="35" t="str">
        <f>VLOOKUP(Tabla1[[#This Row],[AREA]],Hoja1!A:B,2,FALSE)</f>
        <v>06. Educación, infancia, juventud e igualdad</v>
      </c>
      <c r="U1007" s="35" t="str">
        <f>MID(Tabla1[[#This Row],[Aplicación]],9,4)</f>
        <v>3232</v>
      </c>
      <c r="V1007" s="35" t="str">
        <f>VLOOKUP(Tabla1[[#This Row],[PROGRAMA]],Hoja1!A:B,2,FALSE)</f>
        <v>3232. Conservación y mantenimiento centros educación infantil y primaria</v>
      </c>
      <c r="W1007" s="35" t="str">
        <f>MID(Tabla1[[#This Row],[Aplicación]],14,2)</f>
        <v>21</v>
      </c>
      <c r="X1007" s="35" t="str">
        <f>MID(Tabla1[[#This Row],[Aplicación]],14,6)</f>
        <v>212</v>
      </c>
    </row>
    <row r="1008" spans="1:24" x14ac:dyDescent="0.25">
      <c r="A1008" s="45">
        <v>220210005213</v>
      </c>
      <c r="B1008" s="46" t="s">
        <v>204</v>
      </c>
      <c r="C1008" s="47">
        <v>44249</v>
      </c>
      <c r="D1008" s="45">
        <v>22021002143</v>
      </c>
      <c r="E1008" s="46" t="s">
        <v>1328</v>
      </c>
      <c r="F1008" s="48">
        <v>173.77</v>
      </c>
      <c r="G1008" s="46" t="s">
        <v>256</v>
      </c>
      <c r="H1008" s="46" t="s">
        <v>2089</v>
      </c>
      <c r="I1008" s="45" t="s">
        <v>205</v>
      </c>
      <c r="J1008" s="46" t="s">
        <v>127</v>
      </c>
      <c r="K1008" s="46" t="s">
        <v>127</v>
      </c>
      <c r="L1008" s="46" t="s">
        <v>15</v>
      </c>
      <c r="M1008" s="46" t="s">
        <v>13</v>
      </c>
      <c r="N1008" s="46" t="s">
        <v>14</v>
      </c>
      <c r="O1008" s="49" t="s">
        <v>814</v>
      </c>
      <c r="P1008" s="46" t="s">
        <v>507</v>
      </c>
      <c r="Q1008" s="35" t="str">
        <f>MID(Tabla1[[#This Row],[Aplicación]],14,1)</f>
        <v>2</v>
      </c>
      <c r="R1008" s="35" t="s">
        <v>495</v>
      </c>
      <c r="S1008" s="35" t="str">
        <f>MID(Tabla1[[#This Row],[Aplicación]],6,2)</f>
        <v>10</v>
      </c>
      <c r="T1008" s="35" t="str">
        <f>VLOOKUP(Tabla1[[#This Row],[AREA]],Hoja1!A:B,2,FALSE)</f>
        <v>10. Servicios sociales y mediación comunitaria</v>
      </c>
      <c r="U1008" s="35" t="str">
        <f>MID(Tabla1[[#This Row],[Aplicación]],9,4)</f>
        <v>2311</v>
      </c>
      <c r="V1008" s="35" t="str">
        <f>VLOOKUP(Tabla1[[#This Row],[PROGRAMA]],Hoja1!A:B,2,FALSE)</f>
        <v>2311. Intervención social</v>
      </c>
      <c r="W1008" s="35" t="str">
        <f>MID(Tabla1[[#This Row],[Aplicación]],14,2)</f>
        <v>21</v>
      </c>
      <c r="X1008" s="35" t="str">
        <f>MID(Tabla1[[#This Row],[Aplicación]],14,6)</f>
        <v>212</v>
      </c>
    </row>
    <row r="1009" spans="1:24" x14ac:dyDescent="0.25">
      <c r="A1009" s="45">
        <v>220210005213</v>
      </c>
      <c r="B1009" s="46" t="s">
        <v>204</v>
      </c>
      <c r="C1009" s="47">
        <v>44249</v>
      </c>
      <c r="D1009" s="45">
        <v>22021002144</v>
      </c>
      <c r="E1009" s="46" t="s">
        <v>1328</v>
      </c>
      <c r="F1009" s="48">
        <v>191.61</v>
      </c>
      <c r="G1009" s="46" t="s">
        <v>256</v>
      </c>
      <c r="H1009" s="46" t="s">
        <v>2089</v>
      </c>
      <c r="I1009" s="45" t="s">
        <v>205</v>
      </c>
      <c r="J1009" s="46" t="s">
        <v>127</v>
      </c>
      <c r="K1009" s="46" t="s">
        <v>127</v>
      </c>
      <c r="L1009" s="46" t="s">
        <v>15</v>
      </c>
      <c r="M1009" s="46" t="s">
        <v>13</v>
      </c>
      <c r="N1009" s="46" t="s">
        <v>14</v>
      </c>
      <c r="O1009" s="49" t="s">
        <v>814</v>
      </c>
      <c r="P1009" s="46" t="s">
        <v>507</v>
      </c>
      <c r="Q1009" s="35" t="str">
        <f>MID(Tabla1[[#This Row],[Aplicación]],14,1)</f>
        <v>2</v>
      </c>
      <c r="R1009" s="35" t="s">
        <v>495</v>
      </c>
      <c r="S1009" s="35" t="str">
        <f>MID(Tabla1[[#This Row],[Aplicación]],6,2)</f>
        <v>10</v>
      </c>
      <c r="T1009" s="35" t="str">
        <f>VLOOKUP(Tabla1[[#This Row],[AREA]],Hoja1!A:B,2,FALSE)</f>
        <v>10. Servicios sociales y mediación comunitaria</v>
      </c>
      <c r="U1009" s="35" t="str">
        <f>MID(Tabla1[[#This Row],[Aplicación]],9,4)</f>
        <v>2311</v>
      </c>
      <c r="V1009" s="35" t="str">
        <f>VLOOKUP(Tabla1[[#This Row],[PROGRAMA]],Hoja1!A:B,2,FALSE)</f>
        <v>2311. Intervención social</v>
      </c>
      <c r="W1009" s="35" t="str">
        <f>MID(Tabla1[[#This Row],[Aplicación]],14,2)</f>
        <v>21</v>
      </c>
      <c r="X1009" s="35" t="str">
        <f>MID(Tabla1[[#This Row],[Aplicación]],14,6)</f>
        <v>212</v>
      </c>
    </row>
    <row r="1010" spans="1:24" x14ac:dyDescent="0.25">
      <c r="A1010" s="45">
        <v>220210002867</v>
      </c>
      <c r="B1010" s="46" t="s">
        <v>9</v>
      </c>
      <c r="C1010" s="47">
        <v>44238</v>
      </c>
      <c r="D1010" s="45">
        <v>22021002571</v>
      </c>
      <c r="E1010" s="46" t="s">
        <v>1220</v>
      </c>
      <c r="F1010" s="48">
        <v>114.71</v>
      </c>
      <c r="G1010" s="46" t="s">
        <v>53</v>
      </c>
      <c r="H1010" s="46" t="s">
        <v>2090</v>
      </c>
      <c r="I1010" s="45" t="s">
        <v>125</v>
      </c>
      <c r="J1010" s="46" t="s">
        <v>127</v>
      </c>
      <c r="K1010" s="46" t="s">
        <v>127</v>
      </c>
      <c r="L1010" s="46" t="s">
        <v>12</v>
      </c>
      <c r="M1010" s="46" t="s">
        <v>10</v>
      </c>
      <c r="N1010" s="46" t="s">
        <v>11</v>
      </c>
      <c r="O1010" s="49" t="s">
        <v>815</v>
      </c>
      <c r="P1010" s="46" t="s">
        <v>507</v>
      </c>
      <c r="Q1010" s="35" t="str">
        <f>MID(Tabla1[[#This Row],[Aplicación]],14,1)</f>
        <v>2</v>
      </c>
      <c r="R1010" s="35" t="s">
        <v>495</v>
      </c>
      <c r="S1010" s="35" t="str">
        <f>MID(Tabla1[[#This Row],[Aplicación]],6,2)</f>
        <v>03</v>
      </c>
      <c r="T1010" s="35" t="str">
        <f>VLOOKUP(Tabla1[[#This Row],[AREA]],Hoja1!A:B,2,FALSE)</f>
        <v>03. Participación ciudadana y deportes</v>
      </c>
      <c r="U1010" s="35" t="str">
        <f>MID(Tabla1[[#This Row],[Aplicación]],9,4)</f>
        <v>9241</v>
      </c>
      <c r="V1010" s="35" t="str">
        <f>VLOOKUP(Tabla1[[#This Row],[PROGRAMA]],Hoja1!A:B,2,FALSE)</f>
        <v>9241. Participación ciudadana</v>
      </c>
      <c r="W1010" s="35" t="str">
        <f>MID(Tabla1[[#This Row],[Aplicación]],14,2)</f>
        <v>21</v>
      </c>
      <c r="X1010" s="35" t="str">
        <f>MID(Tabla1[[#This Row],[Aplicación]],14,6)</f>
        <v>213</v>
      </c>
    </row>
    <row r="1011" spans="1:24" x14ac:dyDescent="0.25">
      <c r="A1011" s="45">
        <v>220210002398</v>
      </c>
      <c r="B1011" s="46" t="s">
        <v>9</v>
      </c>
      <c r="C1011" s="47">
        <v>44235</v>
      </c>
      <c r="D1011" s="45">
        <v>22021002353</v>
      </c>
      <c r="E1011" s="46" t="s">
        <v>2091</v>
      </c>
      <c r="F1011" s="48">
        <v>109.17</v>
      </c>
      <c r="G1011" s="46" t="s">
        <v>2092</v>
      </c>
      <c r="H1011" s="46" t="s">
        <v>2093</v>
      </c>
      <c r="I1011" s="45" t="s">
        <v>125</v>
      </c>
      <c r="J1011" s="46" t="s">
        <v>127</v>
      </c>
      <c r="K1011" s="46" t="s">
        <v>127</v>
      </c>
      <c r="L1011" s="46" t="s">
        <v>12</v>
      </c>
      <c r="M1011" s="46" t="s">
        <v>10</v>
      </c>
      <c r="N1011" s="46" t="s">
        <v>11</v>
      </c>
      <c r="O1011" s="49" t="s">
        <v>815</v>
      </c>
      <c r="P1011" s="46" t="s">
        <v>507</v>
      </c>
      <c r="Q1011" s="35" t="str">
        <f>MID(Tabla1[[#This Row],[Aplicación]],14,1)</f>
        <v>2</v>
      </c>
      <c r="R1011" s="35" t="s">
        <v>495</v>
      </c>
      <c r="S1011" s="35" t="str">
        <f>MID(Tabla1[[#This Row],[Aplicación]],6,2)</f>
        <v>08</v>
      </c>
      <c r="T1011" s="35" t="str">
        <f>VLOOKUP(Tabla1[[#This Row],[AREA]],Hoja1!A:B,2,FALSE)</f>
        <v>08. Movilidad y espacio urbano</v>
      </c>
      <c r="U1011" s="35" t="str">
        <f>MID(Tabla1[[#This Row],[Aplicación]],9,4)</f>
        <v>1651</v>
      </c>
      <c r="V1011" s="35" t="str">
        <f>VLOOKUP(Tabla1[[#This Row],[PROGRAMA]],Hoja1!A:B,2,FALSE)</f>
        <v>1651. Alumbrado público</v>
      </c>
      <c r="W1011" s="35" t="str">
        <f>MID(Tabla1[[#This Row],[Aplicación]],14,2)</f>
        <v>21</v>
      </c>
      <c r="X1011" s="35" t="str">
        <f>MID(Tabla1[[#This Row],[Aplicación]],14,6)</f>
        <v>214</v>
      </c>
    </row>
    <row r="1012" spans="1:24" x14ac:dyDescent="0.25">
      <c r="A1012" s="45">
        <v>220210006058</v>
      </c>
      <c r="B1012" s="46" t="s">
        <v>9</v>
      </c>
      <c r="C1012" s="47">
        <v>44251</v>
      </c>
      <c r="D1012" s="45">
        <v>22021002911</v>
      </c>
      <c r="E1012" s="46" t="s">
        <v>1873</v>
      </c>
      <c r="F1012" s="48">
        <v>312.85000000000002</v>
      </c>
      <c r="G1012" s="46" t="s">
        <v>53</v>
      </c>
      <c r="H1012" s="46" t="s">
        <v>2094</v>
      </c>
      <c r="I1012" s="45" t="s">
        <v>125</v>
      </c>
      <c r="J1012" s="46" t="s">
        <v>127</v>
      </c>
      <c r="K1012" s="46" t="s">
        <v>127</v>
      </c>
      <c r="L1012" s="46" t="s">
        <v>12</v>
      </c>
      <c r="M1012" s="46" t="s">
        <v>10</v>
      </c>
      <c r="N1012" s="46" t="s">
        <v>11</v>
      </c>
      <c r="O1012" s="49" t="s">
        <v>815</v>
      </c>
      <c r="P1012" s="46" t="s">
        <v>507</v>
      </c>
      <c r="Q1012" s="35" t="str">
        <f>MID(Tabla1[[#This Row],[Aplicación]],14,1)</f>
        <v>2</v>
      </c>
      <c r="R1012" s="35" t="s">
        <v>495</v>
      </c>
      <c r="S1012" s="35" t="str">
        <f>MID(Tabla1[[#This Row],[Aplicación]],6,2)</f>
        <v>11</v>
      </c>
      <c r="T1012" s="35" t="str">
        <f>VLOOKUP(Tabla1[[#This Row],[AREA]],Hoja1!A:B,2,FALSE)</f>
        <v>11. Salud pública y seguridad ciudadana</v>
      </c>
      <c r="U1012" s="35" t="str">
        <f>MID(Tabla1[[#This Row],[Aplicación]],9,4)</f>
        <v>3111</v>
      </c>
      <c r="V1012" s="35" t="str">
        <f>VLOOKUP(Tabla1[[#This Row],[PROGRAMA]],Hoja1!A:B,2,FALSE)</f>
        <v>3111. Protección de la salubridad pública</v>
      </c>
      <c r="W1012" s="35" t="str">
        <f>MID(Tabla1[[#This Row],[Aplicación]],14,2)</f>
        <v>21</v>
      </c>
      <c r="X1012" s="35" t="str">
        <f>MID(Tabla1[[#This Row],[Aplicación]],14,6)</f>
        <v>213</v>
      </c>
    </row>
    <row r="1013" spans="1:24" x14ac:dyDescent="0.25">
      <c r="A1013" s="45">
        <v>220210005457</v>
      </c>
      <c r="B1013" s="46" t="s">
        <v>9</v>
      </c>
      <c r="C1013" s="47">
        <v>44250</v>
      </c>
      <c r="D1013" s="45">
        <v>22021002579</v>
      </c>
      <c r="E1013" s="46" t="s">
        <v>2095</v>
      </c>
      <c r="F1013" s="48">
        <v>114.95</v>
      </c>
      <c r="G1013" s="46" t="s">
        <v>2096</v>
      </c>
      <c r="H1013" s="46" t="s">
        <v>2097</v>
      </c>
      <c r="I1013" s="45" t="s">
        <v>125</v>
      </c>
      <c r="J1013" s="46" t="s">
        <v>127</v>
      </c>
      <c r="K1013" s="46" t="s">
        <v>127</v>
      </c>
      <c r="L1013" s="46" t="s">
        <v>15</v>
      </c>
      <c r="M1013" s="46" t="s">
        <v>10</v>
      </c>
      <c r="N1013" s="46" t="s">
        <v>11</v>
      </c>
      <c r="O1013" s="49" t="s">
        <v>815</v>
      </c>
      <c r="P1013" s="46" t="s">
        <v>507</v>
      </c>
      <c r="Q1013" s="35" t="str">
        <f>MID(Tabla1[[#This Row],[Aplicación]],14,1)</f>
        <v>2</v>
      </c>
      <c r="R1013" s="35" t="s">
        <v>495</v>
      </c>
      <c r="S1013" s="35" t="str">
        <f>MID(Tabla1[[#This Row],[Aplicación]],6,2)</f>
        <v>02</v>
      </c>
      <c r="T1013" s="35" t="str">
        <f>VLOOKUP(Tabla1[[#This Row],[AREA]],Hoja1!A:B,2,FALSE)</f>
        <v>02. Planeamiento urbanístico y vivienda</v>
      </c>
      <c r="U1013" s="35" t="str">
        <f>MID(Tabla1[[#This Row],[Aplicación]],9,4)</f>
        <v>1501</v>
      </c>
      <c r="V1013" s="35" t="str">
        <f>VLOOKUP(Tabla1[[#This Row],[PROGRAMA]],Hoja1!A:B,2,FALSE)</f>
        <v>1501. Dirección del área de urbanismo</v>
      </c>
      <c r="W1013" s="35" t="str">
        <f>MID(Tabla1[[#This Row],[Aplicación]],14,2)</f>
        <v>22</v>
      </c>
      <c r="X1013" s="35" t="str">
        <f>MID(Tabla1[[#This Row],[Aplicación]],14,6)</f>
        <v>22699</v>
      </c>
    </row>
    <row r="1014" spans="1:24" x14ac:dyDescent="0.25">
      <c r="A1014" s="45">
        <v>220209000693</v>
      </c>
      <c r="B1014" s="46" t="s">
        <v>9</v>
      </c>
      <c r="C1014" s="47">
        <v>44198</v>
      </c>
      <c r="D1014" s="45">
        <v>22021000437</v>
      </c>
      <c r="E1014" s="46" t="s">
        <v>1161</v>
      </c>
      <c r="F1014" s="48">
        <v>96000</v>
      </c>
      <c r="G1014" s="46" t="s">
        <v>39</v>
      </c>
      <c r="H1014" s="46" t="s">
        <v>2098</v>
      </c>
      <c r="I1014" s="45" t="s">
        <v>125</v>
      </c>
      <c r="J1014" s="46" t="s">
        <v>126</v>
      </c>
      <c r="K1014" s="46" t="s">
        <v>126</v>
      </c>
      <c r="L1014" s="46" t="s">
        <v>15</v>
      </c>
      <c r="M1014" s="46" t="s">
        <v>13</v>
      </c>
      <c r="N1014" s="46" t="s">
        <v>14</v>
      </c>
      <c r="O1014" s="49" t="s">
        <v>803</v>
      </c>
      <c r="P1014" s="46" t="s">
        <v>507</v>
      </c>
      <c r="Q1014" s="35" t="str">
        <f>MID(Tabla1[[#This Row],[Aplicación]],14,1)</f>
        <v>2</v>
      </c>
      <c r="R1014" s="35" t="s">
        <v>495</v>
      </c>
      <c r="S1014" s="35" t="str">
        <f>MID(Tabla1[[#This Row],[Aplicación]],6,2)</f>
        <v>11</v>
      </c>
      <c r="T1014" s="35" t="str">
        <f>VLOOKUP(Tabla1[[#This Row],[AREA]],Hoja1!A:B,2,FALSE)</f>
        <v>11. Salud pública y seguridad ciudadana</v>
      </c>
      <c r="U1014" s="35" t="str">
        <f>MID(Tabla1[[#This Row],[Aplicación]],9,4)</f>
        <v>1321</v>
      </c>
      <c r="V1014" s="35" t="str">
        <f>VLOOKUP(Tabla1[[#This Row],[PROGRAMA]],Hoja1!A:B,2,FALSE)</f>
        <v>1321. Policía municipal</v>
      </c>
      <c r="W1014" s="35" t="str">
        <f>MID(Tabla1[[#This Row],[Aplicación]],14,2)</f>
        <v>22</v>
      </c>
      <c r="X1014" s="35" t="str">
        <f>MID(Tabla1[[#This Row],[Aplicación]],14,6)</f>
        <v>22103</v>
      </c>
    </row>
    <row r="1015" spans="1:24" x14ac:dyDescent="0.25">
      <c r="A1015" s="45">
        <v>220209000702</v>
      </c>
      <c r="B1015" s="46" t="s">
        <v>9</v>
      </c>
      <c r="C1015" s="47">
        <v>44198</v>
      </c>
      <c r="D1015" s="45">
        <v>22021000443</v>
      </c>
      <c r="E1015" s="46" t="s">
        <v>1247</v>
      </c>
      <c r="F1015" s="48">
        <v>88812.5</v>
      </c>
      <c r="G1015" s="46" t="s">
        <v>56</v>
      </c>
      <c r="H1015" s="46" t="s">
        <v>2099</v>
      </c>
      <c r="I1015" s="45" t="s">
        <v>125</v>
      </c>
      <c r="J1015" s="46" t="s">
        <v>127</v>
      </c>
      <c r="K1015" s="46" t="s">
        <v>127</v>
      </c>
      <c r="L1015" s="46" t="s">
        <v>12</v>
      </c>
      <c r="M1015" s="46" t="s">
        <v>13</v>
      </c>
      <c r="N1015" s="46" t="s">
        <v>14</v>
      </c>
      <c r="O1015" s="49" t="s">
        <v>803</v>
      </c>
      <c r="P1015" s="46" t="s">
        <v>507</v>
      </c>
      <c r="Q1015" s="35" t="str">
        <f>MID(Tabla1[[#This Row],[Aplicación]],14,1)</f>
        <v>2</v>
      </c>
      <c r="R1015" s="35" t="s">
        <v>495</v>
      </c>
      <c r="S1015" s="35" t="str">
        <f>MID(Tabla1[[#This Row],[Aplicación]],6,2)</f>
        <v>10</v>
      </c>
      <c r="T1015" s="35" t="str">
        <f>VLOOKUP(Tabla1[[#This Row],[AREA]],Hoja1!A:B,2,FALSE)</f>
        <v>10. Servicios sociales y mediación comunitaria</v>
      </c>
      <c r="U1015" s="35" t="str">
        <f>MID(Tabla1[[#This Row],[Aplicación]],9,4)</f>
        <v>2311</v>
      </c>
      <c r="V1015" s="35" t="str">
        <f>VLOOKUP(Tabla1[[#This Row],[PROGRAMA]],Hoja1!A:B,2,FALSE)</f>
        <v>2311. Intervención social</v>
      </c>
      <c r="W1015" s="35" t="str">
        <f>MID(Tabla1[[#This Row],[Aplicación]],14,2)</f>
        <v>22</v>
      </c>
      <c r="X1015" s="35" t="str">
        <f>MID(Tabla1[[#This Row],[Aplicación]],14,6)</f>
        <v>22799</v>
      </c>
    </row>
    <row r="1016" spans="1:24" x14ac:dyDescent="0.25">
      <c r="A1016" s="45">
        <v>220199000443</v>
      </c>
      <c r="B1016" s="46" t="s">
        <v>9</v>
      </c>
      <c r="C1016" s="47">
        <v>44198</v>
      </c>
      <c r="D1016" s="45">
        <v>22021000153</v>
      </c>
      <c r="E1016" s="46" t="s">
        <v>1166</v>
      </c>
      <c r="F1016" s="48">
        <v>84736.94</v>
      </c>
      <c r="G1016" s="46" t="s">
        <v>166</v>
      </c>
      <c r="H1016" s="46" t="s">
        <v>628</v>
      </c>
      <c r="I1016" s="45" t="s">
        <v>125</v>
      </c>
      <c r="J1016" s="46" t="s">
        <v>126</v>
      </c>
      <c r="K1016" s="46" t="s">
        <v>126</v>
      </c>
      <c r="L1016" s="46" t="s">
        <v>12</v>
      </c>
      <c r="M1016" s="46" t="s">
        <v>13</v>
      </c>
      <c r="N1016" s="46" t="s">
        <v>14</v>
      </c>
      <c r="O1016" s="49" t="s">
        <v>803</v>
      </c>
      <c r="P1016" s="46" t="s">
        <v>507</v>
      </c>
      <c r="Q1016" s="35" t="str">
        <f>MID(Tabla1[[#This Row],[Aplicación]],14,1)</f>
        <v>2</v>
      </c>
      <c r="R1016" s="35" t="s">
        <v>495</v>
      </c>
      <c r="S1016" s="35" t="str">
        <f>MID(Tabla1[[#This Row],[Aplicación]],6,2)</f>
        <v>03</v>
      </c>
      <c r="T1016" s="35" t="str">
        <f>VLOOKUP(Tabla1[[#This Row],[AREA]],Hoja1!A:B,2,FALSE)</f>
        <v>03. Participación ciudadana y deportes</v>
      </c>
      <c r="U1016" s="35" t="str">
        <f>MID(Tabla1[[#This Row],[Aplicación]],9,4)</f>
        <v>9241</v>
      </c>
      <c r="V1016" s="35" t="str">
        <f>VLOOKUP(Tabla1[[#This Row],[PROGRAMA]],Hoja1!A:B,2,FALSE)</f>
        <v>9241. Participación ciudadana</v>
      </c>
      <c r="W1016" s="35" t="str">
        <f>MID(Tabla1[[#This Row],[Aplicación]],14,2)</f>
        <v>22</v>
      </c>
      <c r="X1016" s="35" t="str">
        <f>MID(Tabla1[[#This Row],[Aplicación]],14,6)</f>
        <v>22799</v>
      </c>
    </row>
    <row r="1017" spans="1:24" x14ac:dyDescent="0.25">
      <c r="A1017" s="45">
        <v>220210001365</v>
      </c>
      <c r="B1017" s="46" t="s">
        <v>9</v>
      </c>
      <c r="C1017" s="47">
        <v>44228</v>
      </c>
      <c r="D1017" s="45">
        <v>22021001965</v>
      </c>
      <c r="E1017" s="46" t="s">
        <v>969</v>
      </c>
      <c r="F1017" s="48">
        <v>125.43</v>
      </c>
      <c r="G1017" s="46" t="s">
        <v>304</v>
      </c>
      <c r="H1017" s="46" t="s">
        <v>2100</v>
      </c>
      <c r="I1017" s="45" t="s">
        <v>125</v>
      </c>
      <c r="J1017" s="46" t="s">
        <v>674</v>
      </c>
      <c r="K1017" s="46" t="s">
        <v>127</v>
      </c>
      <c r="L1017" s="46" t="s">
        <v>12</v>
      </c>
      <c r="M1017" s="46" t="s">
        <v>10</v>
      </c>
      <c r="N1017" s="46" t="s">
        <v>11</v>
      </c>
      <c r="O1017" s="49" t="s">
        <v>815</v>
      </c>
      <c r="P1017" s="46" t="s">
        <v>507</v>
      </c>
      <c r="Q1017" s="35" t="str">
        <f>MID(Tabla1[[#This Row],[Aplicación]],14,1)</f>
        <v>2</v>
      </c>
      <c r="R1017" s="35" t="s">
        <v>495</v>
      </c>
      <c r="S1017" s="35" t="str">
        <f>MID(Tabla1[[#This Row],[Aplicación]],6,2)</f>
        <v>06</v>
      </c>
      <c r="T1017" s="35" t="str">
        <f>VLOOKUP(Tabla1[[#This Row],[AREA]],Hoja1!A:B,2,FALSE)</f>
        <v>06. Educación, infancia, juventud e igualdad</v>
      </c>
      <c r="U1017" s="35" t="str">
        <f>MID(Tabla1[[#This Row],[Aplicación]],9,4)</f>
        <v>2315</v>
      </c>
      <c r="V1017" s="35" t="str">
        <f>VLOOKUP(Tabla1[[#This Row],[PROGRAMA]],Hoja1!A:B,2,FALSE)</f>
        <v>2315. Políticas de Igualdad e infancia</v>
      </c>
      <c r="W1017" s="35" t="str">
        <f>MID(Tabla1[[#This Row],[Aplicación]],14,2)</f>
        <v>21</v>
      </c>
      <c r="X1017" s="35" t="str">
        <f>MID(Tabla1[[#This Row],[Aplicación]],14,6)</f>
        <v>213</v>
      </c>
    </row>
    <row r="1018" spans="1:24" x14ac:dyDescent="0.25">
      <c r="A1018" s="45">
        <v>220210002409</v>
      </c>
      <c r="B1018" s="46" t="s">
        <v>9</v>
      </c>
      <c r="C1018" s="47">
        <v>44235</v>
      </c>
      <c r="D1018" s="45">
        <v>22021002312</v>
      </c>
      <c r="E1018" s="46" t="s">
        <v>1328</v>
      </c>
      <c r="F1018" s="48">
        <v>118.25</v>
      </c>
      <c r="G1018" s="46" t="s">
        <v>87</v>
      </c>
      <c r="H1018" s="46" t="s">
        <v>2101</v>
      </c>
      <c r="I1018" s="45" t="s">
        <v>125</v>
      </c>
      <c r="J1018" s="46" t="s">
        <v>127</v>
      </c>
      <c r="K1018" s="46" t="s">
        <v>127</v>
      </c>
      <c r="L1018" s="46" t="s">
        <v>15</v>
      </c>
      <c r="M1018" s="46" t="s">
        <v>10</v>
      </c>
      <c r="N1018" s="46" t="s">
        <v>11</v>
      </c>
      <c r="O1018" s="49" t="s">
        <v>815</v>
      </c>
      <c r="P1018" s="46" t="s">
        <v>507</v>
      </c>
      <c r="Q1018" s="35" t="str">
        <f>MID(Tabla1[[#This Row],[Aplicación]],14,1)</f>
        <v>2</v>
      </c>
      <c r="R1018" s="35" t="s">
        <v>495</v>
      </c>
      <c r="S1018" s="35" t="str">
        <f>MID(Tabla1[[#This Row],[Aplicación]],6,2)</f>
        <v>10</v>
      </c>
      <c r="T1018" s="35" t="str">
        <f>VLOOKUP(Tabla1[[#This Row],[AREA]],Hoja1!A:B,2,FALSE)</f>
        <v>10. Servicios sociales y mediación comunitaria</v>
      </c>
      <c r="U1018" s="35" t="str">
        <f>MID(Tabla1[[#This Row],[Aplicación]],9,4)</f>
        <v>2311</v>
      </c>
      <c r="V1018" s="35" t="str">
        <f>VLOOKUP(Tabla1[[#This Row],[PROGRAMA]],Hoja1!A:B,2,FALSE)</f>
        <v>2311. Intervención social</v>
      </c>
      <c r="W1018" s="35" t="str">
        <f>MID(Tabla1[[#This Row],[Aplicación]],14,2)</f>
        <v>21</v>
      </c>
      <c r="X1018" s="35" t="str">
        <f>MID(Tabla1[[#This Row],[Aplicación]],14,6)</f>
        <v>212</v>
      </c>
    </row>
    <row r="1019" spans="1:24" x14ac:dyDescent="0.25">
      <c r="A1019" s="45">
        <v>220210007124</v>
      </c>
      <c r="B1019" s="46" t="s">
        <v>9</v>
      </c>
      <c r="C1019" s="47">
        <v>44260</v>
      </c>
      <c r="D1019" s="45">
        <v>22021003194</v>
      </c>
      <c r="E1019" s="46" t="s">
        <v>969</v>
      </c>
      <c r="F1019" s="48">
        <v>152.46</v>
      </c>
      <c r="G1019" s="46" t="s">
        <v>304</v>
      </c>
      <c r="H1019" s="46" t="s">
        <v>2102</v>
      </c>
      <c r="I1019" s="45" t="s">
        <v>125</v>
      </c>
      <c r="J1019" s="46" t="s">
        <v>674</v>
      </c>
      <c r="K1019" s="46" t="s">
        <v>127</v>
      </c>
      <c r="L1019" s="46" t="s">
        <v>12</v>
      </c>
      <c r="M1019" s="46" t="s">
        <v>10</v>
      </c>
      <c r="N1019" s="46" t="s">
        <v>11</v>
      </c>
      <c r="O1019" s="49" t="s">
        <v>815</v>
      </c>
      <c r="P1019" s="46" t="s">
        <v>507</v>
      </c>
      <c r="Q1019" s="35" t="str">
        <f>MID(Tabla1[[#This Row],[Aplicación]],14,1)</f>
        <v>2</v>
      </c>
      <c r="R1019" s="35" t="s">
        <v>495</v>
      </c>
      <c r="S1019" s="35" t="str">
        <f>MID(Tabla1[[#This Row],[Aplicación]],6,2)</f>
        <v>06</v>
      </c>
      <c r="T1019" s="35" t="str">
        <f>VLOOKUP(Tabla1[[#This Row],[AREA]],Hoja1!A:B,2,FALSE)</f>
        <v>06. Educación, infancia, juventud e igualdad</v>
      </c>
      <c r="U1019" s="35" t="str">
        <f>MID(Tabla1[[#This Row],[Aplicación]],9,4)</f>
        <v>2315</v>
      </c>
      <c r="V1019" s="35" t="str">
        <f>VLOOKUP(Tabla1[[#This Row],[PROGRAMA]],Hoja1!A:B,2,FALSE)</f>
        <v>2315. Políticas de Igualdad e infancia</v>
      </c>
      <c r="W1019" s="35" t="str">
        <f>MID(Tabla1[[#This Row],[Aplicación]],14,2)</f>
        <v>21</v>
      </c>
      <c r="X1019" s="35" t="str">
        <f>MID(Tabla1[[#This Row],[Aplicación]],14,6)</f>
        <v>213</v>
      </c>
    </row>
    <row r="1020" spans="1:24" x14ac:dyDescent="0.25">
      <c r="A1020" s="45">
        <v>220209000831</v>
      </c>
      <c r="B1020" s="46" t="s">
        <v>9</v>
      </c>
      <c r="C1020" s="47">
        <v>44198</v>
      </c>
      <c r="D1020" s="45">
        <v>22021001163</v>
      </c>
      <c r="E1020" s="46" t="s">
        <v>2103</v>
      </c>
      <c r="F1020" s="48">
        <v>76777.8</v>
      </c>
      <c r="G1020" s="46" t="s">
        <v>175</v>
      </c>
      <c r="H1020" s="46" t="s">
        <v>2104</v>
      </c>
      <c r="I1020" s="45" t="s">
        <v>125</v>
      </c>
      <c r="J1020" s="46" t="s">
        <v>127</v>
      </c>
      <c r="K1020" s="46" t="s">
        <v>127</v>
      </c>
      <c r="L1020" s="46" t="s">
        <v>12</v>
      </c>
      <c r="M1020" s="46" t="s">
        <v>13</v>
      </c>
      <c r="N1020" s="46" t="s">
        <v>14</v>
      </c>
      <c r="O1020" s="49" t="s">
        <v>803</v>
      </c>
      <c r="P1020" s="46" t="s">
        <v>507</v>
      </c>
      <c r="Q1020" s="35" t="str">
        <f>MID(Tabla1[[#This Row],[Aplicación]],14,1)</f>
        <v>2</v>
      </c>
      <c r="R1020" s="35" t="s">
        <v>495</v>
      </c>
      <c r="S1020" s="35" t="str">
        <f>MID(Tabla1[[#This Row],[Aplicación]],6,2)</f>
        <v>07</v>
      </c>
      <c r="T1020" s="35" t="str">
        <f>VLOOKUP(Tabla1[[#This Row],[AREA]],Hoja1!A:B,2,FALSE)</f>
        <v>07. Medio ambiente y desarrollo sostenible</v>
      </c>
      <c r="U1020" s="35" t="str">
        <f>MID(Tabla1[[#This Row],[Aplicación]],9,4)</f>
        <v>1711</v>
      </c>
      <c r="V1020" s="35" t="str">
        <f>VLOOKUP(Tabla1[[#This Row],[PROGRAMA]],Hoja1!A:B,2,FALSE)</f>
        <v>1711. Parques y jardines</v>
      </c>
      <c r="W1020" s="35" t="str">
        <f>MID(Tabla1[[#This Row],[Aplicación]],14,2)</f>
        <v>22</v>
      </c>
      <c r="X1020" s="35" t="str">
        <f>MID(Tabla1[[#This Row],[Aplicación]],14,6)</f>
        <v>22700</v>
      </c>
    </row>
    <row r="1021" spans="1:24" x14ac:dyDescent="0.25">
      <c r="A1021" s="45">
        <v>220199000586</v>
      </c>
      <c r="B1021" s="46" t="s">
        <v>9</v>
      </c>
      <c r="C1021" s="47">
        <v>44198</v>
      </c>
      <c r="D1021" s="45">
        <v>22021000160</v>
      </c>
      <c r="E1021" s="46" t="s">
        <v>1220</v>
      </c>
      <c r="F1021" s="48">
        <v>496.73</v>
      </c>
      <c r="G1021" s="46" t="s">
        <v>163</v>
      </c>
      <c r="H1021" s="46" t="s">
        <v>676</v>
      </c>
      <c r="I1021" s="45" t="s">
        <v>125</v>
      </c>
      <c r="J1021" s="46" t="s">
        <v>127</v>
      </c>
      <c r="K1021" s="46" t="s">
        <v>126</v>
      </c>
      <c r="L1021" s="46" t="s">
        <v>12</v>
      </c>
      <c r="M1021" s="46" t="s">
        <v>13</v>
      </c>
      <c r="N1021" s="46" t="s">
        <v>16</v>
      </c>
      <c r="O1021" s="49" t="s">
        <v>803</v>
      </c>
      <c r="P1021" s="46" t="s">
        <v>507</v>
      </c>
      <c r="Q1021" s="35" t="str">
        <f>MID(Tabla1[[#This Row],[Aplicación]],14,1)</f>
        <v>2</v>
      </c>
      <c r="R1021" s="35" t="s">
        <v>495</v>
      </c>
      <c r="S1021" s="35" t="str">
        <f>MID(Tabla1[[#This Row],[Aplicación]],6,2)</f>
        <v>03</v>
      </c>
      <c r="T1021" s="35" t="str">
        <f>VLOOKUP(Tabla1[[#This Row],[AREA]],Hoja1!A:B,2,FALSE)</f>
        <v>03. Participación ciudadana y deportes</v>
      </c>
      <c r="U1021" s="35" t="str">
        <f>MID(Tabla1[[#This Row],[Aplicación]],9,4)</f>
        <v>9241</v>
      </c>
      <c r="V1021" s="35" t="str">
        <f>VLOOKUP(Tabla1[[#This Row],[PROGRAMA]],Hoja1!A:B,2,FALSE)</f>
        <v>9241. Participación ciudadana</v>
      </c>
      <c r="W1021" s="35" t="str">
        <f>MID(Tabla1[[#This Row],[Aplicación]],14,2)</f>
        <v>21</v>
      </c>
      <c r="X1021" s="35" t="str">
        <f>MID(Tabla1[[#This Row],[Aplicación]],14,6)</f>
        <v>213</v>
      </c>
    </row>
    <row r="1022" spans="1:24" x14ac:dyDescent="0.25">
      <c r="A1022" s="45">
        <v>220209000581</v>
      </c>
      <c r="B1022" s="46" t="s">
        <v>9</v>
      </c>
      <c r="C1022" s="47">
        <v>44198</v>
      </c>
      <c r="D1022" s="45">
        <v>22021000600</v>
      </c>
      <c r="E1022" s="46" t="s">
        <v>2105</v>
      </c>
      <c r="F1022" s="48">
        <v>450000</v>
      </c>
      <c r="G1022" s="46" t="s">
        <v>47</v>
      </c>
      <c r="H1022" s="46" t="s">
        <v>2106</v>
      </c>
      <c r="I1022" s="45" t="s">
        <v>125</v>
      </c>
      <c r="J1022" s="46" t="s">
        <v>148</v>
      </c>
      <c r="K1022" s="46" t="s">
        <v>201</v>
      </c>
      <c r="L1022" s="46" t="s">
        <v>15</v>
      </c>
      <c r="M1022" s="46" t="s">
        <v>13</v>
      </c>
      <c r="N1022" s="46" t="s">
        <v>14</v>
      </c>
      <c r="O1022" s="49" t="s">
        <v>803</v>
      </c>
      <c r="P1022" s="46" t="s">
        <v>507</v>
      </c>
      <c r="Q1022" s="35" t="str">
        <f>MID(Tabla1[[#This Row],[Aplicación]],14,1)</f>
        <v>2</v>
      </c>
      <c r="R1022" s="35" t="s">
        <v>495</v>
      </c>
      <c r="S1022" s="35" t="str">
        <f>MID(Tabla1[[#This Row],[Aplicación]],6,2)</f>
        <v>06</v>
      </c>
      <c r="T1022" s="35" t="str">
        <f>VLOOKUP(Tabla1[[#This Row],[AREA]],Hoja1!A:B,2,FALSE)</f>
        <v>06. Educación, infancia, juventud e igualdad</v>
      </c>
      <c r="U1022" s="35" t="str">
        <f>MID(Tabla1[[#This Row],[Aplicación]],9,4)</f>
        <v>3232</v>
      </c>
      <c r="V1022" s="35" t="str">
        <f>VLOOKUP(Tabla1[[#This Row],[PROGRAMA]],Hoja1!A:B,2,FALSE)</f>
        <v>3232. Conservación y mantenimiento centros educación infantil y primaria</v>
      </c>
      <c r="W1022" s="35" t="str">
        <f>MID(Tabla1[[#This Row],[Aplicación]],14,2)</f>
        <v>22</v>
      </c>
      <c r="X1022" s="35" t="str">
        <f>MID(Tabla1[[#This Row],[Aplicación]],14,6)</f>
        <v>22100</v>
      </c>
    </row>
    <row r="1023" spans="1:24" x14ac:dyDescent="0.25">
      <c r="A1023" s="45">
        <v>220210002846</v>
      </c>
      <c r="B1023" s="46" t="s">
        <v>9</v>
      </c>
      <c r="C1023" s="47">
        <v>44238</v>
      </c>
      <c r="D1023" s="45">
        <v>22021002246</v>
      </c>
      <c r="E1023" s="46" t="s">
        <v>1220</v>
      </c>
      <c r="F1023" s="48">
        <v>5012.55</v>
      </c>
      <c r="G1023" s="46" t="s">
        <v>163</v>
      </c>
      <c r="H1023" s="46" t="s">
        <v>2107</v>
      </c>
      <c r="I1023" s="45" t="s">
        <v>125</v>
      </c>
      <c r="J1023" s="46" t="s">
        <v>127</v>
      </c>
      <c r="K1023" s="46" t="s">
        <v>126</v>
      </c>
      <c r="L1023" s="46" t="s">
        <v>12</v>
      </c>
      <c r="M1023" s="46" t="s">
        <v>13</v>
      </c>
      <c r="N1023" s="46" t="s">
        <v>16</v>
      </c>
      <c r="O1023" s="49" t="s">
        <v>803</v>
      </c>
      <c r="P1023" s="46" t="s">
        <v>507</v>
      </c>
      <c r="Q1023" s="35" t="str">
        <f>MID(Tabla1[[#This Row],[Aplicación]],14,1)</f>
        <v>2</v>
      </c>
      <c r="R1023" s="35" t="s">
        <v>495</v>
      </c>
      <c r="S1023" s="35" t="str">
        <f>MID(Tabla1[[#This Row],[Aplicación]],6,2)</f>
        <v>03</v>
      </c>
      <c r="T1023" s="35" t="str">
        <f>VLOOKUP(Tabla1[[#This Row],[AREA]],Hoja1!A:B,2,FALSE)</f>
        <v>03. Participación ciudadana y deportes</v>
      </c>
      <c r="U1023" s="35" t="str">
        <f>MID(Tabla1[[#This Row],[Aplicación]],9,4)</f>
        <v>9241</v>
      </c>
      <c r="V1023" s="35" t="str">
        <f>VLOOKUP(Tabla1[[#This Row],[PROGRAMA]],Hoja1!A:B,2,FALSE)</f>
        <v>9241. Participación ciudadana</v>
      </c>
      <c r="W1023" s="35" t="str">
        <f>MID(Tabla1[[#This Row],[Aplicación]],14,2)</f>
        <v>21</v>
      </c>
      <c r="X1023" s="35" t="str">
        <f>MID(Tabla1[[#This Row],[Aplicación]],14,6)</f>
        <v>213</v>
      </c>
    </row>
    <row r="1024" spans="1:24" x14ac:dyDescent="0.25">
      <c r="A1024" s="45">
        <v>220209000582</v>
      </c>
      <c r="B1024" s="46" t="s">
        <v>9</v>
      </c>
      <c r="C1024" s="47">
        <v>44198</v>
      </c>
      <c r="D1024" s="45">
        <v>22021000601</v>
      </c>
      <c r="E1024" s="46" t="s">
        <v>2108</v>
      </c>
      <c r="F1024" s="48">
        <v>50000</v>
      </c>
      <c r="G1024" s="46" t="s">
        <v>47</v>
      </c>
      <c r="H1024" s="46" t="s">
        <v>2109</v>
      </c>
      <c r="I1024" s="45" t="s">
        <v>125</v>
      </c>
      <c r="J1024" s="46" t="s">
        <v>148</v>
      </c>
      <c r="K1024" s="46" t="s">
        <v>201</v>
      </c>
      <c r="L1024" s="46" t="s">
        <v>15</v>
      </c>
      <c r="M1024" s="46" t="s">
        <v>13</v>
      </c>
      <c r="N1024" s="46" t="s">
        <v>14</v>
      </c>
      <c r="O1024" s="49" t="s">
        <v>803</v>
      </c>
      <c r="P1024" s="46" t="s">
        <v>507</v>
      </c>
      <c r="Q1024" s="35" t="str">
        <f>MID(Tabla1[[#This Row],[Aplicación]],14,1)</f>
        <v>2</v>
      </c>
      <c r="R1024" s="35" t="s">
        <v>495</v>
      </c>
      <c r="S1024" s="35" t="str">
        <f>MID(Tabla1[[#This Row],[Aplicación]],6,2)</f>
        <v>06</v>
      </c>
      <c r="T1024" s="35" t="str">
        <f>VLOOKUP(Tabla1[[#This Row],[AREA]],Hoja1!A:B,2,FALSE)</f>
        <v>06. Educación, infancia, juventud e igualdad</v>
      </c>
      <c r="U1024" s="35" t="str">
        <f>MID(Tabla1[[#This Row],[Aplicación]],9,4)</f>
        <v>3231</v>
      </c>
      <c r="V1024" s="35" t="str">
        <f>VLOOKUP(Tabla1[[#This Row],[PROGRAMA]],Hoja1!A:B,2,FALSE)</f>
        <v>3231. Escuelas infantiles</v>
      </c>
      <c r="W1024" s="35" t="str">
        <f>MID(Tabla1[[#This Row],[Aplicación]],14,2)</f>
        <v>22</v>
      </c>
      <c r="X1024" s="35" t="str">
        <f>MID(Tabla1[[#This Row],[Aplicación]],14,6)</f>
        <v>22100</v>
      </c>
    </row>
    <row r="1025" spans="1:24" x14ac:dyDescent="0.25">
      <c r="A1025" s="45">
        <v>220209000675</v>
      </c>
      <c r="B1025" s="46" t="s">
        <v>9</v>
      </c>
      <c r="C1025" s="47">
        <v>44198</v>
      </c>
      <c r="D1025" s="45">
        <v>22021000532</v>
      </c>
      <c r="E1025" s="46" t="s">
        <v>1724</v>
      </c>
      <c r="F1025" s="48">
        <v>74790.03</v>
      </c>
      <c r="G1025" s="46" t="s">
        <v>2065</v>
      </c>
      <c r="H1025" s="46" t="s">
        <v>2110</v>
      </c>
      <c r="I1025" s="45" t="s">
        <v>125</v>
      </c>
      <c r="J1025" s="46" t="s">
        <v>187</v>
      </c>
      <c r="K1025" s="46" t="s">
        <v>187</v>
      </c>
      <c r="L1025" s="46" t="s">
        <v>31</v>
      </c>
      <c r="M1025" s="46" t="s">
        <v>13</v>
      </c>
      <c r="N1025" s="46" t="s">
        <v>14</v>
      </c>
      <c r="O1025" s="49" t="s">
        <v>803</v>
      </c>
      <c r="P1025" s="46" t="s">
        <v>507</v>
      </c>
      <c r="Q1025" s="35" t="str">
        <f>MID(Tabla1[[#This Row],[Aplicación]],14,1)</f>
        <v>6</v>
      </c>
      <c r="R1025" s="35" t="s">
        <v>496</v>
      </c>
      <c r="S1025" s="35" t="str">
        <f>MID(Tabla1[[#This Row],[Aplicación]],6,2)</f>
        <v>07</v>
      </c>
      <c r="T1025" s="35" t="str">
        <f>VLOOKUP(Tabla1[[#This Row],[AREA]],Hoja1!A:B,2,FALSE)</f>
        <v>07. Medio ambiente y desarrollo sostenible</v>
      </c>
      <c r="U1025" s="35" t="str">
        <f>MID(Tabla1[[#This Row],[Aplicación]],9,4)</f>
        <v>1711</v>
      </c>
      <c r="V1025" s="35" t="str">
        <f>VLOOKUP(Tabla1[[#This Row],[PROGRAMA]],Hoja1!A:B,2,FALSE)</f>
        <v>1711. Parques y jardines</v>
      </c>
      <c r="W1025" s="35" t="str">
        <f>MID(Tabla1[[#This Row],[Aplicación]],14,2)</f>
        <v>61</v>
      </c>
      <c r="X1025" s="35" t="str">
        <f>MID(Tabla1[[#This Row],[Aplicación]],14,6)</f>
        <v>619</v>
      </c>
    </row>
    <row r="1026" spans="1:24" x14ac:dyDescent="0.25">
      <c r="A1026" s="45">
        <v>220210000329</v>
      </c>
      <c r="B1026" s="46" t="s">
        <v>9</v>
      </c>
      <c r="C1026" s="47">
        <v>44217</v>
      </c>
      <c r="D1026" s="45">
        <v>22021001217</v>
      </c>
      <c r="E1026" s="46" t="s">
        <v>1163</v>
      </c>
      <c r="F1026" s="48">
        <v>129.63</v>
      </c>
      <c r="G1026" s="46" t="s">
        <v>281</v>
      </c>
      <c r="H1026" s="46" t="s">
        <v>2111</v>
      </c>
      <c r="I1026" s="45" t="s">
        <v>125</v>
      </c>
      <c r="J1026" s="46" t="s">
        <v>126</v>
      </c>
      <c r="K1026" s="46" t="s">
        <v>126</v>
      </c>
      <c r="L1026" s="46" t="s">
        <v>15</v>
      </c>
      <c r="M1026" s="46" t="s">
        <v>10</v>
      </c>
      <c r="N1026" s="46" t="s">
        <v>11</v>
      </c>
      <c r="O1026" s="49" t="s">
        <v>815</v>
      </c>
      <c r="P1026" s="46" t="s">
        <v>507</v>
      </c>
      <c r="Q1026" s="35" t="str">
        <f>MID(Tabla1[[#This Row],[Aplicación]],14,1)</f>
        <v>2</v>
      </c>
      <c r="R1026" s="35" t="s">
        <v>495</v>
      </c>
      <c r="S1026" s="35" t="str">
        <f>MID(Tabla1[[#This Row],[Aplicación]],6,2)</f>
        <v>06</v>
      </c>
      <c r="T1026" s="35" t="str">
        <f>VLOOKUP(Tabla1[[#This Row],[AREA]],Hoja1!A:B,2,FALSE)</f>
        <v>06. Educación, infancia, juventud e igualdad</v>
      </c>
      <c r="U1026" s="35" t="str">
        <f>MID(Tabla1[[#This Row],[Aplicación]],9,4)</f>
        <v>3321</v>
      </c>
      <c r="V1026" s="35" t="str">
        <f>VLOOKUP(Tabla1[[#This Row],[PROGRAMA]],Hoja1!A:B,2,FALSE)</f>
        <v>3321. Bibliotecas públicas</v>
      </c>
      <c r="W1026" s="35" t="str">
        <f>MID(Tabla1[[#This Row],[Aplicación]],14,2)</f>
        <v>22</v>
      </c>
      <c r="X1026" s="35" t="str">
        <f>MID(Tabla1[[#This Row],[Aplicación]],14,6)</f>
        <v>22001</v>
      </c>
    </row>
    <row r="1027" spans="1:24" x14ac:dyDescent="0.25">
      <c r="A1027" s="45">
        <v>220210001018</v>
      </c>
      <c r="B1027" s="46" t="s">
        <v>9</v>
      </c>
      <c r="C1027" s="47">
        <v>44223</v>
      </c>
      <c r="D1027" s="45">
        <v>22021002015</v>
      </c>
      <c r="E1027" s="46" t="s">
        <v>2112</v>
      </c>
      <c r="F1027" s="48">
        <v>132.13</v>
      </c>
      <c r="G1027" s="46" t="s">
        <v>772</v>
      </c>
      <c r="H1027" s="46" t="s">
        <v>2113</v>
      </c>
      <c r="I1027" s="45" t="s">
        <v>125</v>
      </c>
      <c r="J1027" s="46" t="s">
        <v>126</v>
      </c>
      <c r="K1027" s="46" t="s">
        <v>126</v>
      </c>
      <c r="L1027" s="46" t="s">
        <v>15</v>
      </c>
      <c r="M1027" s="46" t="s">
        <v>10</v>
      </c>
      <c r="N1027" s="46" t="s">
        <v>11</v>
      </c>
      <c r="O1027" s="49" t="s">
        <v>815</v>
      </c>
      <c r="P1027" s="46" t="s">
        <v>507</v>
      </c>
      <c r="Q1027" s="35" t="str">
        <f>MID(Tabla1[[#This Row],[Aplicación]],14,1)</f>
        <v>2</v>
      </c>
      <c r="R1027" s="35" t="s">
        <v>495</v>
      </c>
      <c r="S1027" s="35" t="str">
        <f>MID(Tabla1[[#This Row],[Aplicación]],6,2)</f>
        <v>10</v>
      </c>
      <c r="T1027" s="35" t="str">
        <f>VLOOKUP(Tabla1[[#This Row],[AREA]],Hoja1!A:B,2,FALSE)</f>
        <v>10. Servicios sociales y mediación comunitaria</v>
      </c>
      <c r="U1027" s="35" t="str">
        <f>MID(Tabla1[[#This Row],[Aplicación]],9,4)</f>
        <v>2311</v>
      </c>
      <c r="V1027" s="35" t="str">
        <f>VLOOKUP(Tabla1[[#This Row],[PROGRAMA]],Hoja1!A:B,2,FALSE)</f>
        <v>2311. Intervención social</v>
      </c>
      <c r="W1027" s="35" t="str">
        <f>MID(Tabla1[[#This Row],[Aplicación]],14,2)</f>
        <v>22</v>
      </c>
      <c r="X1027" s="35" t="str">
        <f>MID(Tabla1[[#This Row],[Aplicación]],14,6)</f>
        <v>22200</v>
      </c>
    </row>
    <row r="1028" spans="1:24" x14ac:dyDescent="0.25">
      <c r="A1028" s="45">
        <v>220209000234</v>
      </c>
      <c r="B1028" s="46" t="s">
        <v>9</v>
      </c>
      <c r="C1028" s="47">
        <v>44198</v>
      </c>
      <c r="D1028" s="45">
        <v>22021000727</v>
      </c>
      <c r="E1028" s="46" t="s">
        <v>1286</v>
      </c>
      <c r="F1028" s="48">
        <v>73852.47</v>
      </c>
      <c r="G1028" s="46" t="s">
        <v>1934</v>
      </c>
      <c r="H1028" s="46" t="s">
        <v>2114</v>
      </c>
      <c r="I1028" s="45" t="s">
        <v>125</v>
      </c>
      <c r="J1028" s="46" t="s">
        <v>565</v>
      </c>
      <c r="K1028" s="46" t="s">
        <v>126</v>
      </c>
      <c r="L1028" s="46" t="s">
        <v>12</v>
      </c>
      <c r="M1028" s="46" t="s">
        <v>13</v>
      </c>
      <c r="N1028" s="46" t="s">
        <v>14</v>
      </c>
      <c r="O1028" s="49" t="s">
        <v>803</v>
      </c>
      <c r="P1028" s="46" t="s">
        <v>507</v>
      </c>
      <c r="Q1028" s="35" t="str">
        <f>MID(Tabla1[[#This Row],[Aplicación]],14,1)</f>
        <v>6</v>
      </c>
      <c r="R1028" s="35" t="s">
        <v>496</v>
      </c>
      <c r="S1028" s="35" t="str">
        <f>MID(Tabla1[[#This Row],[Aplicación]],6,2)</f>
        <v>04</v>
      </c>
      <c r="T1028" s="35" t="str">
        <f>VLOOKUP(Tabla1[[#This Row],[AREA]],Hoja1!A:B,2,FALSE)</f>
        <v>04. Planificación y recursos</v>
      </c>
      <c r="U1028" s="35" t="str">
        <f>MID(Tabla1[[#This Row],[Aplicación]],9,4)</f>
        <v>9204</v>
      </c>
      <c r="V1028" s="35" t="str">
        <f>VLOOKUP(Tabla1[[#This Row],[PROGRAMA]],Hoja1!A:B,2,FALSE)</f>
        <v>9204. Tecnologías de la información y comunicación</v>
      </c>
      <c r="W1028" s="35" t="str">
        <f>MID(Tabla1[[#This Row],[Aplicación]],14,2)</f>
        <v>64</v>
      </c>
      <c r="X1028" s="35" t="str">
        <f>MID(Tabla1[[#This Row],[Aplicación]],14,6)</f>
        <v>641</v>
      </c>
    </row>
    <row r="1029" spans="1:24" x14ac:dyDescent="0.25">
      <c r="A1029" s="45">
        <v>220210009593</v>
      </c>
      <c r="B1029" s="46" t="s">
        <v>9</v>
      </c>
      <c r="C1029" s="47">
        <v>44271</v>
      </c>
      <c r="D1029" s="45">
        <v>22021003430</v>
      </c>
      <c r="E1029" s="46" t="s">
        <v>1660</v>
      </c>
      <c r="F1029" s="48">
        <v>136.5</v>
      </c>
      <c r="G1029" s="46" t="s">
        <v>1939</v>
      </c>
      <c r="H1029" s="46" t="s">
        <v>2115</v>
      </c>
      <c r="I1029" s="45" t="s">
        <v>125</v>
      </c>
      <c r="J1029" s="46" t="s">
        <v>146</v>
      </c>
      <c r="K1029" s="46" t="s">
        <v>146</v>
      </c>
      <c r="L1029" s="46" t="s">
        <v>12</v>
      </c>
      <c r="M1029" s="46" t="s">
        <v>10</v>
      </c>
      <c r="N1029" s="46" t="s">
        <v>11</v>
      </c>
      <c r="O1029" s="49" t="s">
        <v>815</v>
      </c>
      <c r="P1029" s="46" t="s">
        <v>507</v>
      </c>
      <c r="Q1029" s="35" t="str">
        <f>MID(Tabla1[[#This Row],[Aplicación]],14,1)</f>
        <v>2</v>
      </c>
      <c r="R1029" s="35" t="s">
        <v>495</v>
      </c>
      <c r="S1029" s="35" t="str">
        <f>MID(Tabla1[[#This Row],[Aplicación]],6,2)</f>
        <v>04</v>
      </c>
      <c r="T1029" s="35" t="str">
        <f>VLOOKUP(Tabla1[[#This Row],[AREA]],Hoja1!A:B,2,FALSE)</f>
        <v>04. Planificación y recursos</v>
      </c>
      <c r="U1029" s="35" t="str">
        <f>MID(Tabla1[[#This Row],[Aplicación]],9,4)</f>
        <v>9202</v>
      </c>
      <c r="V1029" s="35" t="str">
        <f>VLOOKUP(Tabla1[[#This Row],[PROGRAMA]],Hoja1!A:B,2,FALSE)</f>
        <v>9202. Gestión de recursos humanos</v>
      </c>
      <c r="W1029" s="35" t="str">
        <f>MID(Tabla1[[#This Row],[Aplicación]],14,2)</f>
        <v>22</v>
      </c>
      <c r="X1029" s="35" t="str">
        <f>MID(Tabla1[[#This Row],[Aplicación]],14,6)</f>
        <v>22607</v>
      </c>
    </row>
    <row r="1030" spans="1:24" x14ac:dyDescent="0.25">
      <c r="A1030" s="45">
        <v>220210001562</v>
      </c>
      <c r="B1030" s="46" t="s">
        <v>9</v>
      </c>
      <c r="C1030" s="47">
        <v>44229</v>
      </c>
      <c r="D1030" s="45">
        <v>22021000124</v>
      </c>
      <c r="E1030" s="46" t="s">
        <v>1984</v>
      </c>
      <c r="F1030" s="48">
        <v>72329.7</v>
      </c>
      <c r="G1030" s="46" t="s">
        <v>111</v>
      </c>
      <c r="H1030" s="46" t="s">
        <v>2116</v>
      </c>
      <c r="I1030" s="45" t="s">
        <v>125</v>
      </c>
      <c r="J1030" s="46" t="s">
        <v>127</v>
      </c>
      <c r="K1030" s="46" t="s">
        <v>127</v>
      </c>
      <c r="L1030" s="46" t="s">
        <v>12</v>
      </c>
      <c r="M1030" s="46" t="s">
        <v>13</v>
      </c>
      <c r="N1030" s="46" t="s">
        <v>14</v>
      </c>
      <c r="O1030" s="49" t="s">
        <v>803</v>
      </c>
      <c r="P1030" s="46" t="s">
        <v>507</v>
      </c>
      <c r="Q1030" s="35" t="str">
        <f>MID(Tabla1[[#This Row],[Aplicación]],14,1)</f>
        <v>2</v>
      </c>
      <c r="R1030" s="35" t="s">
        <v>495</v>
      </c>
      <c r="S1030" s="35" t="str">
        <f>MID(Tabla1[[#This Row],[Aplicación]],6,2)</f>
        <v>11</v>
      </c>
      <c r="T1030" s="35" t="str">
        <f>VLOOKUP(Tabla1[[#This Row],[AREA]],Hoja1!A:B,2,FALSE)</f>
        <v>11. Salud pública y seguridad ciudadana</v>
      </c>
      <c r="U1030" s="35" t="str">
        <f>MID(Tabla1[[#This Row],[Aplicación]],9,4)</f>
        <v>1621</v>
      </c>
      <c r="V1030" s="35" t="str">
        <f>VLOOKUP(Tabla1[[#This Row],[PROGRAMA]],Hoja1!A:B,2,FALSE)</f>
        <v>1621. Servicio de limpieza</v>
      </c>
      <c r="W1030" s="35" t="str">
        <f>MID(Tabla1[[#This Row],[Aplicación]],14,2)</f>
        <v>22</v>
      </c>
      <c r="X1030" s="35" t="str">
        <f>MID(Tabla1[[#This Row],[Aplicación]],14,6)</f>
        <v>22799</v>
      </c>
    </row>
    <row r="1031" spans="1:24" x14ac:dyDescent="0.25">
      <c r="A1031" s="45">
        <v>220210012932</v>
      </c>
      <c r="B1031" s="46" t="s">
        <v>9</v>
      </c>
      <c r="C1031" s="47">
        <v>44284</v>
      </c>
      <c r="D1031" s="45">
        <v>22021003672</v>
      </c>
      <c r="E1031" s="46" t="s">
        <v>1660</v>
      </c>
      <c r="F1031" s="48">
        <v>136.5</v>
      </c>
      <c r="G1031" s="46" t="s">
        <v>2117</v>
      </c>
      <c r="H1031" s="46" t="s">
        <v>2118</v>
      </c>
      <c r="I1031" s="45" t="s">
        <v>125</v>
      </c>
      <c r="J1031" s="46" t="s">
        <v>127</v>
      </c>
      <c r="K1031" s="46" t="s">
        <v>127</v>
      </c>
      <c r="L1031" s="46" t="s">
        <v>12</v>
      </c>
      <c r="M1031" s="46" t="s">
        <v>10</v>
      </c>
      <c r="N1031" s="46" t="s">
        <v>11</v>
      </c>
      <c r="O1031" s="49" t="s">
        <v>815</v>
      </c>
      <c r="P1031" s="46" t="s">
        <v>507</v>
      </c>
      <c r="Q1031" s="35" t="str">
        <f>MID(Tabla1[[#This Row],[Aplicación]],14,1)</f>
        <v>2</v>
      </c>
      <c r="R1031" s="35" t="s">
        <v>495</v>
      </c>
      <c r="S1031" s="35" t="str">
        <f>MID(Tabla1[[#This Row],[Aplicación]],6,2)</f>
        <v>04</v>
      </c>
      <c r="T1031" s="35" t="str">
        <f>VLOOKUP(Tabla1[[#This Row],[AREA]],Hoja1!A:B,2,FALSE)</f>
        <v>04. Planificación y recursos</v>
      </c>
      <c r="U1031" s="35" t="str">
        <f>MID(Tabla1[[#This Row],[Aplicación]],9,4)</f>
        <v>9202</v>
      </c>
      <c r="V1031" s="35" t="str">
        <f>VLOOKUP(Tabla1[[#This Row],[PROGRAMA]],Hoja1!A:B,2,FALSE)</f>
        <v>9202. Gestión de recursos humanos</v>
      </c>
      <c r="W1031" s="35" t="str">
        <f>MID(Tabla1[[#This Row],[Aplicación]],14,2)</f>
        <v>22</v>
      </c>
      <c r="X1031" s="35" t="str">
        <f>MID(Tabla1[[#This Row],[Aplicación]],14,6)</f>
        <v>22607</v>
      </c>
    </row>
    <row r="1032" spans="1:24" x14ac:dyDescent="0.25">
      <c r="A1032" s="45">
        <v>220209000583</v>
      </c>
      <c r="B1032" s="46" t="s">
        <v>9</v>
      </c>
      <c r="C1032" s="47">
        <v>44198</v>
      </c>
      <c r="D1032" s="45">
        <v>22021000602</v>
      </c>
      <c r="E1032" s="46" t="s">
        <v>2119</v>
      </c>
      <c r="F1032" s="48">
        <v>4000</v>
      </c>
      <c r="G1032" s="46" t="s">
        <v>47</v>
      </c>
      <c r="H1032" s="46" t="s">
        <v>2120</v>
      </c>
      <c r="I1032" s="45" t="s">
        <v>125</v>
      </c>
      <c r="J1032" s="46" t="s">
        <v>148</v>
      </c>
      <c r="K1032" s="46" t="s">
        <v>201</v>
      </c>
      <c r="L1032" s="46" t="s">
        <v>15</v>
      </c>
      <c r="M1032" s="46" t="s">
        <v>13</v>
      </c>
      <c r="N1032" s="46" t="s">
        <v>14</v>
      </c>
      <c r="O1032" s="49" t="s">
        <v>803</v>
      </c>
      <c r="P1032" s="46" t="s">
        <v>507</v>
      </c>
      <c r="Q1032" s="35" t="str">
        <f>MID(Tabla1[[#This Row],[Aplicación]],14,1)</f>
        <v>2</v>
      </c>
      <c r="R1032" s="35" t="s">
        <v>495</v>
      </c>
      <c r="S1032" s="35" t="str">
        <f>MID(Tabla1[[#This Row],[Aplicación]],6,2)</f>
        <v>06</v>
      </c>
      <c r="T1032" s="35" t="str">
        <f>VLOOKUP(Tabla1[[#This Row],[AREA]],Hoja1!A:B,2,FALSE)</f>
        <v>06. Educación, infancia, juventud e igualdad</v>
      </c>
      <c r="U1032" s="35" t="str">
        <f>MID(Tabla1[[#This Row],[Aplicación]],9,4)</f>
        <v>2315</v>
      </c>
      <c r="V1032" s="35" t="str">
        <f>VLOOKUP(Tabla1[[#This Row],[PROGRAMA]],Hoja1!A:B,2,FALSE)</f>
        <v>2315. Políticas de Igualdad e infancia</v>
      </c>
      <c r="W1032" s="35" t="str">
        <f>MID(Tabla1[[#This Row],[Aplicación]],14,2)</f>
        <v>22</v>
      </c>
      <c r="X1032" s="35" t="str">
        <f>MID(Tabla1[[#This Row],[Aplicación]],14,6)</f>
        <v>22100</v>
      </c>
    </row>
    <row r="1033" spans="1:24" x14ac:dyDescent="0.25">
      <c r="A1033" s="45">
        <v>220209000669</v>
      </c>
      <c r="B1033" s="46" t="s">
        <v>9</v>
      </c>
      <c r="C1033" s="47">
        <v>44198</v>
      </c>
      <c r="D1033" s="45">
        <v>22021000420</v>
      </c>
      <c r="E1033" s="46" t="s">
        <v>2121</v>
      </c>
      <c r="F1033" s="48">
        <v>62149.83</v>
      </c>
      <c r="G1033" s="46" t="s">
        <v>2122</v>
      </c>
      <c r="H1033" s="46" t="s">
        <v>2123</v>
      </c>
      <c r="I1033" s="45" t="s">
        <v>125</v>
      </c>
      <c r="J1033" s="46" t="s">
        <v>127</v>
      </c>
      <c r="K1033" s="46" t="s">
        <v>127</v>
      </c>
      <c r="L1033" s="46" t="s">
        <v>12</v>
      </c>
      <c r="M1033" s="46" t="s">
        <v>13</v>
      </c>
      <c r="N1033" s="46" t="s">
        <v>14</v>
      </c>
      <c r="O1033" s="49" t="s">
        <v>803</v>
      </c>
      <c r="P1033" s="46" t="s">
        <v>507</v>
      </c>
      <c r="Q1033" s="35" t="str">
        <f>MID(Tabla1[[#This Row],[Aplicación]],14,1)</f>
        <v>2</v>
      </c>
      <c r="R1033" s="35" t="s">
        <v>495</v>
      </c>
      <c r="S1033" s="35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35" t="str">
        <f>MID(Tabla1[[#This Row],[Aplicación]],9,4)</f>
        <v>1361</v>
      </c>
      <c r="V1033" s="35" t="str">
        <f>VLOOKUP(Tabla1[[#This Row],[PROGRAMA]],Hoja1!A:B,2,FALSE)</f>
        <v>1361. Prevención y extinción de incencios</v>
      </c>
      <c r="W1033" s="35" t="str">
        <f>MID(Tabla1[[#This Row],[Aplicación]],14,2)</f>
        <v>22</v>
      </c>
      <c r="X1033" s="35" t="str">
        <f>MID(Tabla1[[#This Row],[Aplicación]],14,6)</f>
        <v>22700</v>
      </c>
    </row>
    <row r="1034" spans="1:24" x14ac:dyDescent="0.25">
      <c r="A1034" s="45">
        <v>220210012881</v>
      </c>
      <c r="B1034" s="46" t="s">
        <v>9</v>
      </c>
      <c r="C1034" s="47">
        <v>44284</v>
      </c>
      <c r="D1034" s="45">
        <v>22021003664</v>
      </c>
      <c r="E1034" s="46" t="s">
        <v>1596</v>
      </c>
      <c r="F1034" s="48">
        <v>137.5</v>
      </c>
      <c r="G1034" s="46" t="s">
        <v>2124</v>
      </c>
      <c r="H1034" s="46" t="s">
        <v>2125</v>
      </c>
      <c r="I1034" s="45" t="s">
        <v>125</v>
      </c>
      <c r="J1034" s="46" t="s">
        <v>2126</v>
      </c>
      <c r="K1034" s="50" t="s">
        <v>180</v>
      </c>
      <c r="L1034" s="46" t="s">
        <v>12</v>
      </c>
      <c r="M1034" s="46" t="s">
        <v>10</v>
      </c>
      <c r="N1034" s="46" t="s">
        <v>11</v>
      </c>
      <c r="O1034" s="49" t="s">
        <v>815</v>
      </c>
      <c r="P1034" s="46" t="s">
        <v>507</v>
      </c>
      <c r="Q1034" s="35" t="str">
        <f>MID(Tabla1[[#This Row],[Aplicación]],14,1)</f>
        <v>2</v>
      </c>
      <c r="R1034" s="35" t="s">
        <v>495</v>
      </c>
      <c r="S1034" s="35" t="str">
        <f>MID(Tabla1[[#This Row],[Aplicación]],6,2)</f>
        <v>11</v>
      </c>
      <c r="T1034" s="35" t="str">
        <f>VLOOKUP(Tabla1[[#This Row],[AREA]],Hoja1!A:B,2,FALSE)</f>
        <v>11. Salud pública y seguridad ciudadana</v>
      </c>
      <c r="U1034" s="35" t="str">
        <f>MID(Tabla1[[#This Row],[Aplicación]],9,4)</f>
        <v>1321</v>
      </c>
      <c r="V1034" s="35" t="str">
        <f>VLOOKUP(Tabla1[[#This Row],[PROGRAMA]],Hoja1!A:B,2,FALSE)</f>
        <v>1321. Policía municipal</v>
      </c>
      <c r="W1034" s="35" t="str">
        <f>MID(Tabla1[[#This Row],[Aplicación]],14,2)</f>
        <v>22</v>
      </c>
      <c r="X1034" s="35" t="str">
        <f>MID(Tabla1[[#This Row],[Aplicación]],14,6)</f>
        <v>22699</v>
      </c>
    </row>
    <row r="1035" spans="1:24" x14ac:dyDescent="0.25">
      <c r="A1035" s="45">
        <v>220210012884</v>
      </c>
      <c r="B1035" s="46" t="s">
        <v>9</v>
      </c>
      <c r="C1035" s="47">
        <v>44284</v>
      </c>
      <c r="D1035" s="45">
        <v>22021003670</v>
      </c>
      <c r="E1035" s="46" t="s">
        <v>1167</v>
      </c>
      <c r="F1035" s="48">
        <v>138.82</v>
      </c>
      <c r="G1035" s="46" t="s">
        <v>528</v>
      </c>
      <c r="H1035" s="46" t="s">
        <v>2127</v>
      </c>
      <c r="I1035" s="45" t="s">
        <v>125</v>
      </c>
      <c r="J1035" s="46" t="s">
        <v>127</v>
      </c>
      <c r="K1035" s="46" t="s">
        <v>127</v>
      </c>
      <c r="L1035" s="46" t="s">
        <v>12</v>
      </c>
      <c r="M1035" s="46" t="s">
        <v>10</v>
      </c>
      <c r="N1035" s="46" t="s">
        <v>11</v>
      </c>
      <c r="O1035" s="49" t="s">
        <v>815</v>
      </c>
      <c r="P1035" s="46" t="s">
        <v>507</v>
      </c>
      <c r="Q1035" s="35" t="str">
        <f>MID(Tabla1[[#This Row],[Aplicación]],14,1)</f>
        <v>2</v>
      </c>
      <c r="R1035" s="35" t="s">
        <v>495</v>
      </c>
      <c r="S1035" s="35" t="str">
        <f>MID(Tabla1[[#This Row],[Aplicación]],6,2)</f>
        <v>11</v>
      </c>
      <c r="T1035" s="35" t="str">
        <f>VLOOKUP(Tabla1[[#This Row],[AREA]],Hoja1!A:B,2,FALSE)</f>
        <v>11. Salud pública y seguridad ciudadana</v>
      </c>
      <c r="U1035" s="35" t="str">
        <f>MID(Tabla1[[#This Row],[Aplicación]],9,4)</f>
        <v>1321</v>
      </c>
      <c r="V1035" s="35" t="str">
        <f>VLOOKUP(Tabla1[[#This Row],[PROGRAMA]],Hoja1!A:B,2,FALSE)</f>
        <v>1321. Policía municipal</v>
      </c>
      <c r="W1035" s="35" t="str">
        <f>MID(Tabla1[[#This Row],[Aplicación]],14,2)</f>
        <v>21</v>
      </c>
      <c r="X1035" s="35" t="str">
        <f>MID(Tabla1[[#This Row],[Aplicación]],14,6)</f>
        <v>214</v>
      </c>
    </row>
    <row r="1036" spans="1:24" x14ac:dyDescent="0.25">
      <c r="A1036" s="45">
        <v>220209000584</v>
      </c>
      <c r="B1036" s="46" t="s">
        <v>9</v>
      </c>
      <c r="C1036" s="47">
        <v>44198</v>
      </c>
      <c r="D1036" s="45">
        <v>22021000603</v>
      </c>
      <c r="E1036" s="46" t="s">
        <v>2128</v>
      </c>
      <c r="F1036" s="48">
        <v>83000</v>
      </c>
      <c r="G1036" s="46" t="s">
        <v>47</v>
      </c>
      <c r="H1036" s="46" t="s">
        <v>2129</v>
      </c>
      <c r="I1036" s="45" t="s">
        <v>125</v>
      </c>
      <c r="J1036" s="46" t="s">
        <v>148</v>
      </c>
      <c r="K1036" s="46" t="s">
        <v>201</v>
      </c>
      <c r="L1036" s="46" t="s">
        <v>15</v>
      </c>
      <c r="M1036" s="46" t="s">
        <v>13</v>
      </c>
      <c r="N1036" s="46" t="s">
        <v>14</v>
      </c>
      <c r="O1036" s="49" t="s">
        <v>803</v>
      </c>
      <c r="P1036" s="46" t="s">
        <v>507</v>
      </c>
      <c r="Q1036" s="35" t="str">
        <f>MID(Tabla1[[#This Row],[Aplicación]],14,1)</f>
        <v>2</v>
      </c>
      <c r="R1036" s="35" t="s">
        <v>495</v>
      </c>
      <c r="S1036" s="35" t="str">
        <f>MID(Tabla1[[#This Row],[Aplicación]],6,2)</f>
        <v>10</v>
      </c>
      <c r="T1036" s="35" t="str">
        <f>VLOOKUP(Tabla1[[#This Row],[AREA]],Hoja1!A:B,2,FALSE)</f>
        <v>10. Servicios sociales y mediación comunitaria</v>
      </c>
      <c r="U1036" s="35" t="str">
        <f>MID(Tabla1[[#This Row],[Aplicación]],9,4)</f>
        <v>2312</v>
      </c>
      <c r="V1036" s="35" t="str">
        <f>VLOOKUP(Tabla1[[#This Row],[PROGRAMA]],Hoja1!A:B,2,FALSE)</f>
        <v>2312. Iniciativas sociales</v>
      </c>
      <c r="W1036" s="35" t="str">
        <f>MID(Tabla1[[#This Row],[Aplicación]],14,2)</f>
        <v>22</v>
      </c>
      <c r="X1036" s="35" t="str">
        <f>MID(Tabla1[[#This Row],[Aplicación]],14,6)</f>
        <v>22100</v>
      </c>
    </row>
    <row r="1037" spans="1:24" x14ac:dyDescent="0.25">
      <c r="A1037" s="45">
        <v>220209000585</v>
      </c>
      <c r="B1037" s="46" t="s">
        <v>9</v>
      </c>
      <c r="C1037" s="47">
        <v>44198</v>
      </c>
      <c r="D1037" s="45">
        <v>22021000604</v>
      </c>
      <c r="E1037" s="46" t="s">
        <v>2128</v>
      </c>
      <c r="F1037" s="48">
        <v>72000</v>
      </c>
      <c r="G1037" s="46" t="s">
        <v>47</v>
      </c>
      <c r="H1037" s="46" t="s">
        <v>2130</v>
      </c>
      <c r="I1037" s="45" t="s">
        <v>125</v>
      </c>
      <c r="J1037" s="46" t="s">
        <v>148</v>
      </c>
      <c r="K1037" s="46" t="s">
        <v>201</v>
      </c>
      <c r="L1037" s="46" t="s">
        <v>15</v>
      </c>
      <c r="M1037" s="46" t="s">
        <v>13</v>
      </c>
      <c r="N1037" s="46" t="s">
        <v>14</v>
      </c>
      <c r="O1037" s="49" t="s">
        <v>803</v>
      </c>
      <c r="P1037" s="46" t="s">
        <v>507</v>
      </c>
      <c r="Q1037" s="35" t="str">
        <f>MID(Tabla1[[#This Row],[Aplicación]],14,1)</f>
        <v>2</v>
      </c>
      <c r="R1037" s="35" t="s">
        <v>495</v>
      </c>
      <c r="S1037" s="35" t="str">
        <f>MID(Tabla1[[#This Row],[Aplicación]],6,2)</f>
        <v>10</v>
      </c>
      <c r="T1037" s="35" t="str">
        <f>VLOOKUP(Tabla1[[#This Row],[AREA]],Hoja1!A:B,2,FALSE)</f>
        <v>10. Servicios sociales y mediación comunitaria</v>
      </c>
      <c r="U1037" s="35" t="str">
        <f>MID(Tabla1[[#This Row],[Aplicación]],9,4)</f>
        <v>2312</v>
      </c>
      <c r="V1037" s="35" t="str">
        <f>VLOOKUP(Tabla1[[#This Row],[PROGRAMA]],Hoja1!A:B,2,FALSE)</f>
        <v>2312. Iniciativas sociales</v>
      </c>
      <c r="W1037" s="35" t="str">
        <f>MID(Tabla1[[#This Row],[Aplicación]],14,2)</f>
        <v>22</v>
      </c>
      <c r="X1037" s="35" t="str">
        <f>MID(Tabla1[[#This Row],[Aplicación]],14,6)</f>
        <v>22100</v>
      </c>
    </row>
    <row r="1038" spans="1:24" x14ac:dyDescent="0.25">
      <c r="A1038" s="45">
        <v>220209000213</v>
      </c>
      <c r="B1038" s="46" t="s">
        <v>9</v>
      </c>
      <c r="C1038" s="47">
        <v>44198</v>
      </c>
      <c r="D1038" s="45">
        <v>22021000711</v>
      </c>
      <c r="E1038" s="46" t="s">
        <v>1286</v>
      </c>
      <c r="F1038" s="48">
        <v>58569.3</v>
      </c>
      <c r="G1038" s="46" t="s">
        <v>2131</v>
      </c>
      <c r="H1038" s="46" t="s">
        <v>2132</v>
      </c>
      <c r="I1038" s="45" t="s">
        <v>125</v>
      </c>
      <c r="J1038" s="46" t="s">
        <v>126</v>
      </c>
      <c r="K1038" s="46" t="s">
        <v>126</v>
      </c>
      <c r="L1038" s="46" t="s">
        <v>15</v>
      </c>
      <c r="M1038" s="46" t="s">
        <v>13</v>
      </c>
      <c r="N1038" s="46" t="s">
        <v>14</v>
      </c>
      <c r="O1038" s="49" t="s">
        <v>803</v>
      </c>
      <c r="P1038" s="46" t="s">
        <v>507</v>
      </c>
      <c r="Q1038" s="35" t="str">
        <f>MID(Tabla1[[#This Row],[Aplicación]],14,1)</f>
        <v>6</v>
      </c>
      <c r="R1038" s="35" t="s">
        <v>496</v>
      </c>
      <c r="S1038" s="35" t="str">
        <f>MID(Tabla1[[#This Row],[Aplicación]],6,2)</f>
        <v>04</v>
      </c>
      <c r="T1038" s="35" t="str">
        <f>VLOOKUP(Tabla1[[#This Row],[AREA]],Hoja1!A:B,2,FALSE)</f>
        <v>04. Planificación y recursos</v>
      </c>
      <c r="U1038" s="35" t="str">
        <f>MID(Tabla1[[#This Row],[Aplicación]],9,4)</f>
        <v>9204</v>
      </c>
      <c r="V1038" s="35" t="str">
        <f>VLOOKUP(Tabla1[[#This Row],[PROGRAMA]],Hoja1!A:B,2,FALSE)</f>
        <v>9204. Tecnologías de la información y comunicación</v>
      </c>
      <c r="W1038" s="35" t="str">
        <f>MID(Tabla1[[#This Row],[Aplicación]],14,2)</f>
        <v>64</v>
      </c>
      <c r="X1038" s="35" t="str">
        <f>MID(Tabla1[[#This Row],[Aplicación]],14,6)</f>
        <v>641</v>
      </c>
    </row>
    <row r="1039" spans="1:24" x14ac:dyDescent="0.25">
      <c r="A1039" s="45">
        <v>220210002461</v>
      </c>
      <c r="B1039" s="46" t="s">
        <v>32</v>
      </c>
      <c r="C1039" s="47">
        <v>44235</v>
      </c>
      <c r="D1039" s="45">
        <v>22021002240</v>
      </c>
      <c r="E1039" s="46" t="s">
        <v>1964</v>
      </c>
      <c r="F1039" s="48">
        <v>56366.16</v>
      </c>
      <c r="G1039" s="46" t="s">
        <v>172</v>
      </c>
      <c r="H1039" s="46" t="s">
        <v>2133</v>
      </c>
      <c r="I1039" s="45" t="s">
        <v>234</v>
      </c>
      <c r="J1039" s="46" t="s">
        <v>127</v>
      </c>
      <c r="K1039" s="46" t="s">
        <v>127</v>
      </c>
      <c r="L1039" s="46" t="s">
        <v>12</v>
      </c>
      <c r="M1039" s="46" t="s">
        <v>13</v>
      </c>
      <c r="N1039" s="46" t="s">
        <v>14</v>
      </c>
      <c r="O1039" s="49" t="s">
        <v>803</v>
      </c>
      <c r="P1039" s="46" t="s">
        <v>507</v>
      </c>
      <c r="Q1039" s="35" t="str">
        <f>MID(Tabla1[[#This Row],[Aplicación]],14,1)</f>
        <v>2</v>
      </c>
      <c r="R1039" s="35" t="s">
        <v>495</v>
      </c>
      <c r="S1039" s="35" t="str">
        <f>MID(Tabla1[[#This Row],[Aplicación]],6,2)</f>
        <v>04</v>
      </c>
      <c r="T1039" s="35" t="str">
        <f>VLOOKUP(Tabla1[[#This Row],[AREA]],Hoja1!A:B,2,FALSE)</f>
        <v>04. Planificación y recursos</v>
      </c>
      <c r="U1039" s="35" t="str">
        <f>MID(Tabla1[[#This Row],[Aplicación]],9,4)</f>
        <v>9231</v>
      </c>
      <c r="V1039" s="35" t="str">
        <f>VLOOKUP(Tabla1[[#This Row],[PROGRAMA]],Hoja1!A:B,2,FALSE)</f>
        <v>9231. Información, registro y gestión del padrón</v>
      </c>
      <c r="W1039" s="35" t="str">
        <f>MID(Tabla1[[#This Row],[Aplicación]],14,2)</f>
        <v>22</v>
      </c>
      <c r="X1039" s="35" t="str">
        <f>MID(Tabla1[[#This Row],[Aplicación]],14,6)</f>
        <v>22200</v>
      </c>
    </row>
    <row r="1040" spans="1:24" x14ac:dyDescent="0.25">
      <c r="A1040" s="45">
        <v>220210009140</v>
      </c>
      <c r="B1040" s="46" t="s">
        <v>9</v>
      </c>
      <c r="C1040" s="47">
        <v>44267</v>
      </c>
      <c r="D1040" s="45">
        <v>22021003376</v>
      </c>
      <c r="E1040" s="46" t="s">
        <v>1478</v>
      </c>
      <c r="F1040" s="48">
        <v>140.25</v>
      </c>
      <c r="G1040" s="46" t="s">
        <v>87</v>
      </c>
      <c r="H1040" s="46" t="s">
        <v>2134</v>
      </c>
      <c r="I1040" s="45" t="s">
        <v>125</v>
      </c>
      <c r="J1040" s="46" t="s">
        <v>127</v>
      </c>
      <c r="K1040" s="46" t="s">
        <v>127</v>
      </c>
      <c r="L1040" s="46" t="s">
        <v>15</v>
      </c>
      <c r="M1040" s="46" t="s">
        <v>10</v>
      </c>
      <c r="N1040" s="46" t="s">
        <v>11</v>
      </c>
      <c r="O1040" s="49" t="s">
        <v>815</v>
      </c>
      <c r="P1040" s="46" t="s">
        <v>507</v>
      </c>
      <c r="Q1040" s="35" t="str">
        <f>MID(Tabla1[[#This Row],[Aplicación]],14,1)</f>
        <v>2</v>
      </c>
      <c r="R1040" s="35" t="s">
        <v>495</v>
      </c>
      <c r="S1040" s="35" t="str">
        <f>MID(Tabla1[[#This Row],[Aplicación]],6,2)</f>
        <v>03</v>
      </c>
      <c r="T1040" s="35" t="str">
        <f>VLOOKUP(Tabla1[[#This Row],[AREA]],Hoja1!A:B,2,FALSE)</f>
        <v>03. Participación ciudadana y deportes</v>
      </c>
      <c r="U1040" s="35" t="str">
        <f>MID(Tabla1[[#This Row],[Aplicación]],9,4)</f>
        <v>9241</v>
      </c>
      <c r="V1040" s="35" t="str">
        <f>VLOOKUP(Tabla1[[#This Row],[PROGRAMA]],Hoja1!A:B,2,FALSE)</f>
        <v>9241. Participación ciudadana</v>
      </c>
      <c r="W1040" s="35" t="str">
        <f>MID(Tabla1[[#This Row],[Aplicación]],14,2)</f>
        <v>21</v>
      </c>
      <c r="X1040" s="35" t="str">
        <f>MID(Tabla1[[#This Row],[Aplicación]],14,6)</f>
        <v>212</v>
      </c>
    </row>
    <row r="1041" spans="1:24" x14ac:dyDescent="0.25">
      <c r="A1041" s="45">
        <v>220209000818</v>
      </c>
      <c r="B1041" s="46" t="s">
        <v>9</v>
      </c>
      <c r="C1041" s="47">
        <v>44198</v>
      </c>
      <c r="D1041" s="45">
        <v>22021000755</v>
      </c>
      <c r="E1041" s="46" t="s">
        <v>883</v>
      </c>
      <c r="F1041" s="48">
        <v>18150</v>
      </c>
      <c r="G1041" s="46" t="s">
        <v>179</v>
      </c>
      <c r="H1041" s="46" t="s">
        <v>3248</v>
      </c>
      <c r="I1041" s="45" t="s">
        <v>125</v>
      </c>
      <c r="J1041" s="46" t="s">
        <v>180</v>
      </c>
      <c r="K1041" s="46" t="s">
        <v>180</v>
      </c>
      <c r="L1041" s="46" t="s">
        <v>12</v>
      </c>
      <c r="M1041" s="46" t="s">
        <v>10</v>
      </c>
      <c r="N1041" s="46" t="s">
        <v>11</v>
      </c>
      <c r="O1041" s="49" t="s">
        <v>815</v>
      </c>
      <c r="P1041" s="46" t="s">
        <v>507</v>
      </c>
      <c r="Q1041" s="35" t="str">
        <f>MID(Tabla1[[#This Row],[Aplicación]],14,1)</f>
        <v>2</v>
      </c>
      <c r="R1041" s="35" t="s">
        <v>495</v>
      </c>
      <c r="S1041" s="35" t="str">
        <f>MID(Tabla1[[#This Row],[Aplicación]],6,2)</f>
        <v>11</v>
      </c>
      <c r="T1041" s="35" t="str">
        <f>VLOOKUP(Tabla1[[#This Row],[AREA]],Hoja1!A:B,2,FALSE)</f>
        <v>11. Salud pública y seguridad ciudadana</v>
      </c>
      <c r="U1041" s="35" t="str">
        <f>MID(Tabla1[[#This Row],[Aplicación]],9,4)</f>
        <v>1621</v>
      </c>
      <c r="V1041" s="35" t="str">
        <f>VLOOKUP(Tabla1[[#This Row],[PROGRAMA]],Hoja1!A:B,2,FALSE)</f>
        <v>1621. Servicio de limpieza</v>
      </c>
      <c r="W1041" s="35" t="str">
        <f>MID(Tabla1[[#This Row],[Aplicación]],14,2)</f>
        <v>22</v>
      </c>
      <c r="X1041" s="35" t="str">
        <f>MID(Tabla1[[#This Row],[Aplicación]],14,6)</f>
        <v>22700</v>
      </c>
    </row>
    <row r="1042" spans="1:24" x14ac:dyDescent="0.25">
      <c r="A1042" s="45">
        <v>220209000660</v>
      </c>
      <c r="B1042" s="46" t="s">
        <v>9</v>
      </c>
      <c r="C1042" s="47">
        <v>44198</v>
      </c>
      <c r="D1042" s="45">
        <v>22021000418</v>
      </c>
      <c r="E1042" s="46" t="s">
        <v>1648</v>
      </c>
      <c r="F1042" s="48">
        <v>53699.8</v>
      </c>
      <c r="G1042" s="46" t="s">
        <v>189</v>
      </c>
      <c r="H1042" s="46" t="s">
        <v>2136</v>
      </c>
      <c r="I1042" s="45" t="s">
        <v>125</v>
      </c>
      <c r="J1042" s="46" t="s">
        <v>146</v>
      </c>
      <c r="K1042" s="46" t="s">
        <v>146</v>
      </c>
      <c r="L1042" s="46" t="s">
        <v>12</v>
      </c>
      <c r="M1042" s="46" t="s">
        <v>13</v>
      </c>
      <c r="N1042" s="46" t="s">
        <v>14</v>
      </c>
      <c r="O1042" s="49" t="s">
        <v>803</v>
      </c>
      <c r="P1042" s="46" t="s">
        <v>507</v>
      </c>
      <c r="Q1042" s="35" t="str">
        <f>MID(Tabla1[[#This Row],[Aplicación]],14,1)</f>
        <v>2</v>
      </c>
      <c r="R1042" s="35" t="s">
        <v>495</v>
      </c>
      <c r="S1042" s="35" t="str">
        <f>MID(Tabla1[[#This Row],[Aplicación]],6,2)</f>
        <v>09</v>
      </c>
      <c r="T1042" s="35" t="str">
        <f>VLOOKUP(Tabla1[[#This Row],[AREA]],Hoja1!A:B,2,FALSE)</f>
        <v>09. Cultura y turismo</v>
      </c>
      <c r="U1042" s="35" t="str">
        <f>MID(Tabla1[[#This Row],[Aplicación]],9,4)</f>
        <v>3341</v>
      </c>
      <c r="V1042" s="35" t="str">
        <f>VLOOKUP(Tabla1[[#This Row],[PROGRAMA]],Hoja1!A:B,2,FALSE)</f>
        <v>3341. Coordinación de políticas culturales</v>
      </c>
      <c r="W1042" s="35" t="str">
        <f>MID(Tabla1[[#This Row],[Aplicación]],14,2)</f>
        <v>22</v>
      </c>
      <c r="X1042" s="35" t="str">
        <f>MID(Tabla1[[#This Row],[Aplicación]],14,6)</f>
        <v>22799</v>
      </c>
    </row>
    <row r="1043" spans="1:24" x14ac:dyDescent="0.25">
      <c r="A1043" s="45">
        <v>220200063456</v>
      </c>
      <c r="B1043" s="46" t="s">
        <v>9</v>
      </c>
      <c r="C1043" s="47">
        <v>44284</v>
      </c>
      <c r="D1043" s="45">
        <v>22020007127</v>
      </c>
      <c r="E1043" s="46" t="s">
        <v>2137</v>
      </c>
      <c r="F1043" s="48">
        <v>145.19999999999999</v>
      </c>
      <c r="G1043" s="46" t="s">
        <v>2138</v>
      </c>
      <c r="H1043" s="46" t="s">
        <v>2139</v>
      </c>
      <c r="I1043" s="45" t="s">
        <v>125</v>
      </c>
      <c r="J1043" s="46" t="s">
        <v>127</v>
      </c>
      <c r="K1043" s="46" t="s">
        <v>127</v>
      </c>
      <c r="L1043" s="46" t="s">
        <v>12</v>
      </c>
      <c r="M1043" s="46" t="s">
        <v>10</v>
      </c>
      <c r="N1043" s="46" t="s">
        <v>11</v>
      </c>
      <c r="O1043" s="49" t="s">
        <v>815</v>
      </c>
      <c r="P1043" s="46" t="s">
        <v>507</v>
      </c>
      <c r="Q1043" s="35" t="str">
        <f>MID(Tabla1[[#This Row],[Aplicación]],14,1)</f>
        <v>6</v>
      </c>
      <c r="R1043" s="35" t="s">
        <v>496</v>
      </c>
      <c r="S1043" s="35" t="str">
        <f>MID(Tabla1[[#This Row],[Aplicación]],6,2)</f>
        <v>02</v>
      </c>
      <c r="T1043" s="35" t="str">
        <f>VLOOKUP(Tabla1[[#This Row],[AREA]],Hoja1!A:B,2,FALSE)</f>
        <v>02. Planeamiento urbanístico y vivienda</v>
      </c>
      <c r="U1043" s="35" t="str">
        <f>MID(Tabla1[[#This Row],[Aplicación]],9,4)</f>
        <v>9332</v>
      </c>
      <c r="V1043" s="35" t="str">
        <f>VLOOKUP(Tabla1[[#This Row],[PROGRAMA]],Hoja1!A:B,2,FALSE)</f>
        <v>9332. Mantenimiento de edificios e instalaciones municipales</v>
      </c>
      <c r="W1043" s="35" t="str">
        <f>MID(Tabla1[[#This Row],[Aplicación]],14,2)</f>
        <v>63</v>
      </c>
      <c r="X1043" s="35" t="str">
        <f>MID(Tabla1[[#This Row],[Aplicación]],14,6)</f>
        <v>634</v>
      </c>
    </row>
    <row r="1044" spans="1:24" x14ac:dyDescent="0.25">
      <c r="A1044" s="45">
        <v>220199000118</v>
      </c>
      <c r="B1044" s="46" t="s">
        <v>9</v>
      </c>
      <c r="C1044" s="47">
        <v>44198</v>
      </c>
      <c r="D1044" s="45">
        <v>22021000126</v>
      </c>
      <c r="E1044" s="46" t="s">
        <v>827</v>
      </c>
      <c r="F1044" s="48">
        <v>53431.6</v>
      </c>
      <c r="G1044" s="46" t="s">
        <v>198</v>
      </c>
      <c r="H1044" s="46" t="s">
        <v>2140</v>
      </c>
      <c r="I1044" s="45" t="s">
        <v>125</v>
      </c>
      <c r="J1044" s="46" t="s">
        <v>127</v>
      </c>
      <c r="K1044" s="46" t="s">
        <v>127</v>
      </c>
      <c r="L1044" s="46" t="s">
        <v>12</v>
      </c>
      <c r="M1044" s="46" t="s">
        <v>13</v>
      </c>
      <c r="N1044" s="46" t="s">
        <v>14</v>
      </c>
      <c r="O1044" s="49" t="s">
        <v>803</v>
      </c>
      <c r="P1044" s="46" t="s">
        <v>507</v>
      </c>
      <c r="Q1044" s="35" t="str">
        <f>MID(Tabla1[[#This Row],[Aplicación]],14,1)</f>
        <v>2</v>
      </c>
      <c r="R1044" s="35" t="s">
        <v>495</v>
      </c>
      <c r="S1044" s="35" t="str">
        <f>MID(Tabla1[[#This Row],[Aplicación]],6,2)</f>
        <v>04</v>
      </c>
      <c r="T1044" s="35" t="str">
        <f>VLOOKUP(Tabla1[[#This Row],[AREA]],Hoja1!A:B,2,FALSE)</f>
        <v>04. Planificación y recursos</v>
      </c>
      <c r="U1044" s="35" t="str">
        <f>MID(Tabla1[[#This Row],[Aplicación]],9,4)</f>
        <v>9204</v>
      </c>
      <c r="V1044" s="35" t="str">
        <f>VLOOKUP(Tabla1[[#This Row],[PROGRAMA]],Hoja1!A:B,2,FALSE)</f>
        <v>9204. Tecnologías de la información y comunicación</v>
      </c>
      <c r="W1044" s="35" t="str">
        <f>MID(Tabla1[[#This Row],[Aplicación]],14,2)</f>
        <v>21</v>
      </c>
      <c r="X1044" s="35" t="str">
        <f>MID(Tabla1[[#This Row],[Aplicación]],14,6)</f>
        <v>216</v>
      </c>
    </row>
    <row r="1045" spans="1:24" x14ac:dyDescent="0.25">
      <c r="A1045" s="45">
        <v>220209000619</v>
      </c>
      <c r="B1045" s="46" t="s">
        <v>9</v>
      </c>
      <c r="C1045" s="47">
        <v>44198</v>
      </c>
      <c r="D1045" s="45">
        <v>22021000744</v>
      </c>
      <c r="E1045" s="46" t="s">
        <v>1286</v>
      </c>
      <c r="F1045" s="48">
        <v>119955.77</v>
      </c>
      <c r="G1045" s="46" t="s">
        <v>198</v>
      </c>
      <c r="H1045" s="46" t="s">
        <v>2141</v>
      </c>
      <c r="I1045" s="45" t="s">
        <v>125</v>
      </c>
      <c r="J1045" s="46" t="s">
        <v>127</v>
      </c>
      <c r="K1045" s="46" t="s">
        <v>127</v>
      </c>
      <c r="L1045" s="46" t="s">
        <v>12</v>
      </c>
      <c r="M1045" s="46" t="s">
        <v>13</v>
      </c>
      <c r="N1045" s="46" t="s">
        <v>14</v>
      </c>
      <c r="O1045" s="49" t="s">
        <v>803</v>
      </c>
      <c r="P1045" s="46" t="s">
        <v>507</v>
      </c>
      <c r="Q1045" s="35" t="str">
        <f>MID(Tabla1[[#This Row],[Aplicación]],14,1)</f>
        <v>6</v>
      </c>
      <c r="R1045" s="35" t="s">
        <v>496</v>
      </c>
      <c r="S1045" s="35" t="str">
        <f>MID(Tabla1[[#This Row],[Aplicación]],6,2)</f>
        <v>04</v>
      </c>
      <c r="T1045" s="35" t="str">
        <f>VLOOKUP(Tabla1[[#This Row],[AREA]],Hoja1!A:B,2,FALSE)</f>
        <v>04. Planificación y recursos</v>
      </c>
      <c r="U1045" s="35" t="str">
        <f>MID(Tabla1[[#This Row],[Aplicación]],9,4)</f>
        <v>9204</v>
      </c>
      <c r="V1045" s="35" t="str">
        <f>VLOOKUP(Tabla1[[#This Row],[PROGRAMA]],Hoja1!A:B,2,FALSE)</f>
        <v>9204. Tecnologías de la información y comunicación</v>
      </c>
      <c r="W1045" s="35" t="str">
        <f>MID(Tabla1[[#This Row],[Aplicación]],14,2)</f>
        <v>64</v>
      </c>
      <c r="X1045" s="35" t="str">
        <f>MID(Tabla1[[#This Row],[Aplicación]],14,6)</f>
        <v>641</v>
      </c>
    </row>
    <row r="1046" spans="1:24" x14ac:dyDescent="0.25">
      <c r="A1046" s="45">
        <v>220209000776</v>
      </c>
      <c r="B1046" s="46" t="s">
        <v>9</v>
      </c>
      <c r="C1046" s="47">
        <v>44198</v>
      </c>
      <c r="D1046" s="45">
        <v>22021000497</v>
      </c>
      <c r="E1046" s="46" t="s">
        <v>827</v>
      </c>
      <c r="F1046" s="48">
        <v>459792.96</v>
      </c>
      <c r="G1046" s="46" t="s">
        <v>198</v>
      </c>
      <c r="H1046" s="46" t="s">
        <v>2142</v>
      </c>
      <c r="I1046" s="45" t="s">
        <v>125</v>
      </c>
      <c r="J1046" s="46" t="s">
        <v>127</v>
      </c>
      <c r="K1046" s="46" t="s">
        <v>127</v>
      </c>
      <c r="L1046" s="46" t="s">
        <v>12</v>
      </c>
      <c r="M1046" s="46" t="s">
        <v>13</v>
      </c>
      <c r="N1046" s="46" t="s">
        <v>14</v>
      </c>
      <c r="O1046" s="49" t="s">
        <v>803</v>
      </c>
      <c r="P1046" s="46" t="s">
        <v>507</v>
      </c>
      <c r="Q1046" s="35" t="str">
        <f>MID(Tabla1[[#This Row],[Aplicación]],14,1)</f>
        <v>2</v>
      </c>
      <c r="R1046" s="35" t="s">
        <v>495</v>
      </c>
      <c r="S1046" s="35" t="str">
        <f>MID(Tabla1[[#This Row],[Aplicación]],6,2)</f>
        <v>04</v>
      </c>
      <c r="T1046" s="35" t="str">
        <f>VLOOKUP(Tabla1[[#This Row],[AREA]],Hoja1!A:B,2,FALSE)</f>
        <v>04. Planificación y recursos</v>
      </c>
      <c r="U1046" s="35" t="str">
        <f>MID(Tabla1[[#This Row],[Aplicación]],9,4)</f>
        <v>9204</v>
      </c>
      <c r="V1046" s="35" t="str">
        <f>VLOOKUP(Tabla1[[#This Row],[PROGRAMA]],Hoja1!A:B,2,FALSE)</f>
        <v>9204. Tecnologías de la información y comunicación</v>
      </c>
      <c r="W1046" s="35" t="str">
        <f>MID(Tabla1[[#This Row],[Aplicación]],14,2)</f>
        <v>21</v>
      </c>
      <c r="X1046" s="35" t="str">
        <f>MID(Tabla1[[#This Row],[Aplicación]],14,6)</f>
        <v>216</v>
      </c>
    </row>
    <row r="1047" spans="1:24" x14ac:dyDescent="0.25">
      <c r="A1047" s="45">
        <v>220210005488</v>
      </c>
      <c r="B1047" s="46" t="s">
        <v>32</v>
      </c>
      <c r="C1047" s="47">
        <v>44250</v>
      </c>
      <c r="D1047" s="45">
        <v>22021002900</v>
      </c>
      <c r="E1047" s="46" t="s">
        <v>827</v>
      </c>
      <c r="F1047" s="48">
        <v>42768.71</v>
      </c>
      <c r="G1047" s="46" t="s">
        <v>198</v>
      </c>
      <c r="H1047" s="46" t="s">
        <v>2143</v>
      </c>
      <c r="I1047" s="45" t="s">
        <v>234</v>
      </c>
      <c r="J1047" s="46" t="s">
        <v>127</v>
      </c>
      <c r="K1047" s="46" t="s">
        <v>127</v>
      </c>
      <c r="L1047" s="46" t="s">
        <v>12</v>
      </c>
      <c r="M1047" s="46" t="s">
        <v>13</v>
      </c>
      <c r="N1047" s="46" t="s">
        <v>14</v>
      </c>
      <c r="O1047" s="49" t="s">
        <v>803</v>
      </c>
      <c r="P1047" s="46" t="s">
        <v>507</v>
      </c>
      <c r="Q1047" s="35" t="str">
        <f>MID(Tabla1[[#This Row],[Aplicación]],14,1)</f>
        <v>2</v>
      </c>
      <c r="R1047" s="35" t="s">
        <v>495</v>
      </c>
      <c r="S1047" s="35" t="str">
        <f>MID(Tabla1[[#This Row],[Aplicación]],6,2)</f>
        <v>04</v>
      </c>
      <c r="T1047" s="35" t="str">
        <f>VLOOKUP(Tabla1[[#This Row],[AREA]],Hoja1!A:B,2,FALSE)</f>
        <v>04. Planificación y recursos</v>
      </c>
      <c r="U1047" s="35" t="str">
        <f>MID(Tabla1[[#This Row],[Aplicación]],9,4)</f>
        <v>9204</v>
      </c>
      <c r="V1047" s="35" t="str">
        <f>VLOOKUP(Tabla1[[#This Row],[PROGRAMA]],Hoja1!A:B,2,FALSE)</f>
        <v>9204. Tecnologías de la información y comunicación</v>
      </c>
      <c r="W1047" s="35" t="str">
        <f>MID(Tabla1[[#This Row],[Aplicación]],14,2)</f>
        <v>21</v>
      </c>
      <c r="X1047" s="35" t="str">
        <f>MID(Tabla1[[#This Row],[Aplicación]],14,6)</f>
        <v>216</v>
      </c>
    </row>
    <row r="1048" spans="1:24" x14ac:dyDescent="0.25">
      <c r="A1048" s="45">
        <v>220210008466</v>
      </c>
      <c r="B1048" s="46" t="s">
        <v>204</v>
      </c>
      <c r="C1048" s="47">
        <v>44266</v>
      </c>
      <c r="D1048" s="45">
        <v>22021002144</v>
      </c>
      <c r="E1048" s="46" t="s">
        <v>1328</v>
      </c>
      <c r="F1048" s="48">
        <v>167.83</v>
      </c>
      <c r="G1048" s="46" t="s">
        <v>277</v>
      </c>
      <c r="H1048" s="46" t="s">
        <v>2144</v>
      </c>
      <c r="I1048" s="45" t="s">
        <v>205</v>
      </c>
      <c r="J1048" s="46" t="s">
        <v>127</v>
      </c>
      <c r="K1048" s="46" t="s">
        <v>127</v>
      </c>
      <c r="L1048" s="46" t="s">
        <v>15</v>
      </c>
      <c r="M1048" s="46" t="s">
        <v>13</v>
      </c>
      <c r="N1048" s="46" t="s">
        <v>14</v>
      </c>
      <c r="O1048" s="49" t="s">
        <v>814</v>
      </c>
      <c r="P1048" s="46" t="s">
        <v>507</v>
      </c>
      <c r="Q1048" s="35" t="str">
        <f>MID(Tabla1[[#This Row],[Aplicación]],14,1)</f>
        <v>2</v>
      </c>
      <c r="R1048" s="35" t="s">
        <v>495</v>
      </c>
      <c r="S1048" s="35" t="str">
        <f>MID(Tabla1[[#This Row],[Aplicación]],6,2)</f>
        <v>10</v>
      </c>
      <c r="T1048" s="35" t="str">
        <f>VLOOKUP(Tabla1[[#This Row],[AREA]],Hoja1!A:B,2,FALSE)</f>
        <v>10. Servicios sociales y mediación comunitaria</v>
      </c>
      <c r="U1048" s="35" t="str">
        <f>MID(Tabla1[[#This Row],[Aplicación]],9,4)</f>
        <v>2311</v>
      </c>
      <c r="V1048" s="35" t="str">
        <f>VLOOKUP(Tabla1[[#This Row],[PROGRAMA]],Hoja1!A:B,2,FALSE)</f>
        <v>2311. Intervención social</v>
      </c>
      <c r="W1048" s="35" t="str">
        <f>MID(Tabla1[[#This Row],[Aplicación]],14,2)</f>
        <v>21</v>
      </c>
      <c r="X1048" s="35" t="str">
        <f>MID(Tabla1[[#This Row],[Aplicación]],14,6)</f>
        <v>212</v>
      </c>
    </row>
    <row r="1049" spans="1:24" x14ac:dyDescent="0.25">
      <c r="A1049" s="45">
        <v>220209000692</v>
      </c>
      <c r="B1049" s="46" t="s">
        <v>9</v>
      </c>
      <c r="C1049" s="47">
        <v>44198</v>
      </c>
      <c r="D1049" s="45">
        <v>22021000436</v>
      </c>
      <c r="E1049" s="46" t="s">
        <v>2145</v>
      </c>
      <c r="F1049" s="48">
        <v>50000</v>
      </c>
      <c r="G1049" s="46" t="s">
        <v>39</v>
      </c>
      <c r="H1049" s="46" t="s">
        <v>2146</v>
      </c>
      <c r="I1049" s="45" t="s">
        <v>125</v>
      </c>
      <c r="J1049" s="46" t="s">
        <v>126</v>
      </c>
      <c r="K1049" s="46" t="s">
        <v>126</v>
      </c>
      <c r="L1049" s="46" t="s">
        <v>15</v>
      </c>
      <c r="M1049" s="46" t="s">
        <v>13</v>
      </c>
      <c r="N1049" s="46" t="s">
        <v>14</v>
      </c>
      <c r="O1049" s="49" t="s">
        <v>803</v>
      </c>
      <c r="P1049" s="46" t="s">
        <v>507</v>
      </c>
      <c r="Q1049" s="35" t="str">
        <f>MID(Tabla1[[#This Row],[Aplicación]],14,1)</f>
        <v>2</v>
      </c>
      <c r="R1049" s="35" t="s">
        <v>495</v>
      </c>
      <c r="S1049" s="35" t="str">
        <f>MID(Tabla1[[#This Row],[Aplicación]],6,2)</f>
        <v>07</v>
      </c>
      <c r="T1049" s="35" t="str">
        <f>VLOOKUP(Tabla1[[#This Row],[AREA]],Hoja1!A:B,2,FALSE)</f>
        <v>07. Medio ambiente y desarrollo sostenible</v>
      </c>
      <c r="U1049" s="35" t="str">
        <f>MID(Tabla1[[#This Row],[Aplicación]],9,4)</f>
        <v>1711</v>
      </c>
      <c r="V1049" s="35" t="str">
        <f>VLOOKUP(Tabla1[[#This Row],[PROGRAMA]],Hoja1!A:B,2,FALSE)</f>
        <v>1711. Parques y jardines</v>
      </c>
      <c r="W1049" s="35" t="str">
        <f>MID(Tabla1[[#This Row],[Aplicación]],14,2)</f>
        <v>22</v>
      </c>
      <c r="X1049" s="35" t="str">
        <f>MID(Tabla1[[#This Row],[Aplicación]],14,6)</f>
        <v>22103</v>
      </c>
    </row>
    <row r="1050" spans="1:24" x14ac:dyDescent="0.25">
      <c r="A1050" s="45">
        <v>220199000340</v>
      </c>
      <c r="B1050" s="46" t="s">
        <v>9</v>
      </c>
      <c r="C1050" s="47">
        <v>44198</v>
      </c>
      <c r="D1050" s="45">
        <v>22021000146</v>
      </c>
      <c r="E1050" s="46" t="s">
        <v>2147</v>
      </c>
      <c r="F1050" s="48">
        <v>9256.5</v>
      </c>
      <c r="G1050" s="46" t="s">
        <v>562</v>
      </c>
      <c r="H1050" s="46" t="s">
        <v>2148</v>
      </c>
      <c r="I1050" s="45" t="s">
        <v>125</v>
      </c>
      <c r="J1050" s="46" t="s">
        <v>751</v>
      </c>
      <c r="K1050" s="46" t="s">
        <v>126</v>
      </c>
      <c r="L1050" s="46" t="s">
        <v>12</v>
      </c>
      <c r="M1050" s="46" t="s">
        <v>13</v>
      </c>
      <c r="N1050" s="46" t="s">
        <v>14</v>
      </c>
      <c r="O1050" s="49" t="s">
        <v>803</v>
      </c>
      <c r="P1050" s="46" t="s">
        <v>507</v>
      </c>
      <c r="Q1050" s="35" t="str">
        <f>MID(Tabla1[[#This Row],[Aplicación]],14,1)</f>
        <v>2</v>
      </c>
      <c r="R1050" s="35" t="s">
        <v>495</v>
      </c>
      <c r="S1050" s="35" t="str">
        <f>MID(Tabla1[[#This Row],[Aplicación]],6,2)</f>
        <v>04</v>
      </c>
      <c r="T1050" s="35" t="str">
        <f>VLOOKUP(Tabla1[[#This Row],[AREA]],Hoja1!A:B,2,FALSE)</f>
        <v>04. Planificación y recursos</v>
      </c>
      <c r="U1050" s="35" t="str">
        <f>MID(Tabla1[[#This Row],[Aplicación]],9,4)</f>
        <v>9204</v>
      </c>
      <c r="V1050" s="35" t="str">
        <f>VLOOKUP(Tabla1[[#This Row],[PROGRAMA]],Hoja1!A:B,2,FALSE)</f>
        <v>9204. Tecnologías de la información y comunicación</v>
      </c>
      <c r="W1050" s="35" t="str">
        <f>MID(Tabla1[[#This Row],[Aplicación]],14,2)</f>
        <v>22</v>
      </c>
      <c r="X1050" s="35" t="str">
        <f>MID(Tabla1[[#This Row],[Aplicación]],14,6)</f>
        <v>22200</v>
      </c>
    </row>
    <row r="1051" spans="1:24" x14ac:dyDescent="0.25">
      <c r="A1051" s="45">
        <v>220199000654</v>
      </c>
      <c r="B1051" s="46" t="s">
        <v>9</v>
      </c>
      <c r="C1051" s="47">
        <v>44198</v>
      </c>
      <c r="D1051" s="45">
        <v>22021000167</v>
      </c>
      <c r="E1051" s="46" t="s">
        <v>2147</v>
      </c>
      <c r="F1051" s="48">
        <v>1028.5</v>
      </c>
      <c r="G1051" s="46" t="s">
        <v>562</v>
      </c>
      <c r="H1051" s="46" t="s">
        <v>2149</v>
      </c>
      <c r="I1051" s="45" t="s">
        <v>125</v>
      </c>
      <c r="J1051" s="46" t="s">
        <v>751</v>
      </c>
      <c r="K1051" s="46" t="s">
        <v>126</v>
      </c>
      <c r="L1051" s="46" t="s">
        <v>12</v>
      </c>
      <c r="M1051" s="46" t="s">
        <v>25</v>
      </c>
      <c r="N1051" s="46" t="s">
        <v>11</v>
      </c>
      <c r="O1051" s="49" t="s">
        <v>805</v>
      </c>
      <c r="P1051" s="46" t="s">
        <v>507</v>
      </c>
      <c r="Q1051" s="35" t="str">
        <f>MID(Tabla1[[#This Row],[Aplicación]],14,1)</f>
        <v>2</v>
      </c>
      <c r="R1051" s="35" t="s">
        <v>495</v>
      </c>
      <c r="S1051" s="35" t="str">
        <f>MID(Tabla1[[#This Row],[Aplicación]],6,2)</f>
        <v>04</v>
      </c>
      <c r="T1051" s="35" t="str">
        <f>VLOOKUP(Tabla1[[#This Row],[AREA]],Hoja1!A:B,2,FALSE)</f>
        <v>04. Planificación y recursos</v>
      </c>
      <c r="U1051" s="35" t="str">
        <f>MID(Tabla1[[#This Row],[Aplicación]],9,4)</f>
        <v>9204</v>
      </c>
      <c r="V1051" s="35" t="str">
        <f>VLOOKUP(Tabla1[[#This Row],[PROGRAMA]],Hoja1!A:B,2,FALSE)</f>
        <v>9204. Tecnologías de la información y comunicación</v>
      </c>
      <c r="W1051" s="35" t="str">
        <f>MID(Tabla1[[#This Row],[Aplicación]],14,2)</f>
        <v>22</v>
      </c>
      <c r="X1051" s="35" t="str">
        <f>MID(Tabla1[[#This Row],[Aplicación]],14,6)</f>
        <v>22200</v>
      </c>
    </row>
    <row r="1052" spans="1:24" x14ac:dyDescent="0.25">
      <c r="A1052" s="45">
        <v>220209000575</v>
      </c>
      <c r="B1052" s="46" t="s">
        <v>9</v>
      </c>
      <c r="C1052" s="47">
        <v>44198</v>
      </c>
      <c r="D1052" s="45">
        <v>22021000741</v>
      </c>
      <c r="E1052" s="46" t="s">
        <v>1196</v>
      </c>
      <c r="F1052" s="48">
        <v>49170.57</v>
      </c>
      <c r="G1052" s="46" t="s">
        <v>221</v>
      </c>
      <c r="H1052" s="46" t="s">
        <v>2150</v>
      </c>
      <c r="I1052" s="45" t="s">
        <v>125</v>
      </c>
      <c r="J1052" s="46" t="s">
        <v>565</v>
      </c>
      <c r="K1052" s="46" t="s">
        <v>126</v>
      </c>
      <c r="L1052" s="46" t="s">
        <v>12</v>
      </c>
      <c r="M1052" s="46" t="s">
        <v>13</v>
      </c>
      <c r="N1052" s="46" t="s">
        <v>14</v>
      </c>
      <c r="O1052" s="49" t="s">
        <v>803</v>
      </c>
      <c r="P1052" s="46" t="s">
        <v>507</v>
      </c>
      <c r="Q1052" s="35" t="str">
        <f>MID(Tabla1[[#This Row],[Aplicación]],14,1)</f>
        <v>6</v>
      </c>
      <c r="R1052" s="35" t="s">
        <v>496</v>
      </c>
      <c r="S1052" s="35" t="str">
        <f>MID(Tabla1[[#This Row],[Aplicación]],6,2)</f>
        <v>08</v>
      </c>
      <c r="T1052" s="35" t="str">
        <f>VLOOKUP(Tabla1[[#This Row],[AREA]],Hoja1!A:B,2,FALSE)</f>
        <v>08. Movilidad y espacio urbano</v>
      </c>
      <c r="U1052" s="35" t="str">
        <f>MID(Tabla1[[#This Row],[Aplicación]],9,4)</f>
        <v>1341</v>
      </c>
      <c r="V1052" s="35" t="str">
        <f>VLOOKUP(Tabla1[[#This Row],[PROGRAMA]],Hoja1!A:B,2,FALSE)</f>
        <v>1341. Movilidad</v>
      </c>
      <c r="W1052" s="35" t="str">
        <f>MID(Tabla1[[#This Row],[Aplicación]],14,2)</f>
        <v>61</v>
      </c>
      <c r="X1052" s="35" t="str">
        <f>MID(Tabla1[[#This Row],[Aplicación]],14,6)</f>
        <v>619</v>
      </c>
    </row>
    <row r="1053" spans="1:24" x14ac:dyDescent="0.25">
      <c r="A1053" s="45">
        <v>220210002868</v>
      </c>
      <c r="B1053" s="46" t="s">
        <v>9</v>
      </c>
      <c r="C1053" s="47">
        <v>44238</v>
      </c>
      <c r="D1053" s="45">
        <v>22021002572</v>
      </c>
      <c r="E1053" s="46" t="s">
        <v>1478</v>
      </c>
      <c r="F1053" s="48">
        <v>150.4</v>
      </c>
      <c r="G1053" s="46" t="s">
        <v>87</v>
      </c>
      <c r="H1053" s="46" t="s">
        <v>2151</v>
      </c>
      <c r="I1053" s="45" t="s">
        <v>125</v>
      </c>
      <c r="J1053" s="46" t="s">
        <v>127</v>
      </c>
      <c r="K1053" s="46" t="s">
        <v>127</v>
      </c>
      <c r="L1053" s="46" t="s">
        <v>15</v>
      </c>
      <c r="M1053" s="46" t="s">
        <v>10</v>
      </c>
      <c r="N1053" s="46" t="s">
        <v>11</v>
      </c>
      <c r="O1053" s="49" t="s">
        <v>815</v>
      </c>
      <c r="P1053" s="46" t="s">
        <v>507</v>
      </c>
      <c r="Q1053" s="35" t="str">
        <f>MID(Tabla1[[#This Row],[Aplicación]],14,1)</f>
        <v>2</v>
      </c>
      <c r="R1053" s="35" t="s">
        <v>495</v>
      </c>
      <c r="S1053" s="35" t="str">
        <f>MID(Tabla1[[#This Row],[Aplicación]],6,2)</f>
        <v>03</v>
      </c>
      <c r="T1053" s="35" t="str">
        <f>VLOOKUP(Tabla1[[#This Row],[AREA]],Hoja1!A:B,2,FALSE)</f>
        <v>03. Participación ciudadana y deportes</v>
      </c>
      <c r="U1053" s="35" t="str">
        <f>MID(Tabla1[[#This Row],[Aplicación]],9,4)</f>
        <v>9241</v>
      </c>
      <c r="V1053" s="35" t="str">
        <f>VLOOKUP(Tabla1[[#This Row],[PROGRAMA]],Hoja1!A:B,2,FALSE)</f>
        <v>9241. Participación ciudadana</v>
      </c>
      <c r="W1053" s="35" t="str">
        <f>MID(Tabla1[[#This Row],[Aplicación]],14,2)</f>
        <v>21</v>
      </c>
      <c r="X1053" s="35" t="str">
        <f>MID(Tabla1[[#This Row],[Aplicación]],14,6)</f>
        <v>212</v>
      </c>
    </row>
    <row r="1054" spans="1:24" x14ac:dyDescent="0.25">
      <c r="A1054" s="45">
        <v>220209000746</v>
      </c>
      <c r="B1054" s="46" t="s">
        <v>9</v>
      </c>
      <c r="C1054" s="47">
        <v>44198</v>
      </c>
      <c r="D1054" s="45">
        <v>22021000471</v>
      </c>
      <c r="E1054" s="46" t="s">
        <v>941</v>
      </c>
      <c r="F1054" s="48">
        <v>5964.36</v>
      </c>
      <c r="G1054" s="46" t="s">
        <v>70</v>
      </c>
      <c r="H1054" s="46" t="s">
        <v>2152</v>
      </c>
      <c r="I1054" s="45" t="s">
        <v>125</v>
      </c>
      <c r="J1054" s="46" t="s">
        <v>127</v>
      </c>
      <c r="K1054" s="46" t="s">
        <v>127</v>
      </c>
      <c r="L1054" s="46" t="s">
        <v>12</v>
      </c>
      <c r="M1054" s="46" t="s">
        <v>13</v>
      </c>
      <c r="N1054" s="46" t="s">
        <v>16</v>
      </c>
      <c r="O1054" s="49" t="s">
        <v>803</v>
      </c>
      <c r="P1054" s="46" t="s">
        <v>507</v>
      </c>
      <c r="Q1054" s="35" t="str">
        <f>MID(Tabla1[[#This Row],[Aplicación]],14,1)</f>
        <v>2</v>
      </c>
      <c r="R1054" s="35" t="s">
        <v>495</v>
      </c>
      <c r="S1054" s="35" t="str">
        <f>MID(Tabla1[[#This Row],[Aplicación]],6,2)</f>
        <v>06</v>
      </c>
      <c r="T1054" s="35" t="str">
        <f>VLOOKUP(Tabla1[[#This Row],[AREA]],Hoja1!A:B,2,FALSE)</f>
        <v>06. Educación, infancia, juventud e igualdad</v>
      </c>
      <c r="U1054" s="35" t="str">
        <f>MID(Tabla1[[#This Row],[Aplicación]],9,4)</f>
        <v>3232</v>
      </c>
      <c r="V1054" s="35" t="str">
        <f>VLOOKUP(Tabla1[[#This Row],[PROGRAMA]],Hoja1!A:B,2,FALSE)</f>
        <v>3232. Conservación y mantenimiento centros educación infantil y primaria</v>
      </c>
      <c r="W1054" s="35" t="str">
        <f>MID(Tabla1[[#This Row],[Aplicación]],14,2)</f>
        <v>21</v>
      </c>
      <c r="X1054" s="35" t="str">
        <f>MID(Tabla1[[#This Row],[Aplicación]],14,6)</f>
        <v>213</v>
      </c>
    </row>
    <row r="1055" spans="1:24" x14ac:dyDescent="0.25">
      <c r="A1055" s="45">
        <v>220209000750</v>
      </c>
      <c r="B1055" s="46" t="s">
        <v>9</v>
      </c>
      <c r="C1055" s="47">
        <v>44198</v>
      </c>
      <c r="D1055" s="45">
        <v>22021000475</v>
      </c>
      <c r="E1055" s="46" t="s">
        <v>1505</v>
      </c>
      <c r="F1055" s="48">
        <v>497.03</v>
      </c>
      <c r="G1055" s="46" t="s">
        <v>70</v>
      </c>
      <c r="H1055" s="46" t="s">
        <v>2153</v>
      </c>
      <c r="I1055" s="45" t="s">
        <v>125</v>
      </c>
      <c r="J1055" s="46" t="s">
        <v>127</v>
      </c>
      <c r="K1055" s="46" t="s">
        <v>127</v>
      </c>
      <c r="L1055" s="46" t="s">
        <v>12</v>
      </c>
      <c r="M1055" s="46" t="s">
        <v>13</v>
      </c>
      <c r="N1055" s="46" t="s">
        <v>16</v>
      </c>
      <c r="O1055" s="49" t="s">
        <v>803</v>
      </c>
      <c r="P1055" s="46" t="s">
        <v>507</v>
      </c>
      <c r="Q1055" s="35" t="str">
        <f>MID(Tabla1[[#This Row],[Aplicación]],14,1)</f>
        <v>2</v>
      </c>
      <c r="R1055" s="35" t="s">
        <v>495</v>
      </c>
      <c r="S1055" s="35" t="str">
        <f>MID(Tabla1[[#This Row],[Aplicación]],6,2)</f>
        <v>06</v>
      </c>
      <c r="T1055" s="35" t="str">
        <f>VLOOKUP(Tabla1[[#This Row],[AREA]],Hoja1!A:B,2,FALSE)</f>
        <v>06. Educación, infancia, juventud e igualdad</v>
      </c>
      <c r="U1055" s="35" t="str">
        <f>MID(Tabla1[[#This Row],[Aplicación]],9,4)</f>
        <v>3231</v>
      </c>
      <c r="V1055" s="35" t="str">
        <f>VLOOKUP(Tabla1[[#This Row],[PROGRAMA]],Hoja1!A:B,2,FALSE)</f>
        <v>3231. Escuelas infantiles</v>
      </c>
      <c r="W1055" s="35" t="str">
        <f>MID(Tabla1[[#This Row],[Aplicación]],14,2)</f>
        <v>21</v>
      </c>
      <c r="X1055" s="35" t="str">
        <f>MID(Tabla1[[#This Row],[Aplicación]],14,6)</f>
        <v>213</v>
      </c>
    </row>
    <row r="1056" spans="1:24" x14ac:dyDescent="0.25">
      <c r="A1056" s="45">
        <v>220209000753</v>
      </c>
      <c r="B1056" s="46" t="s">
        <v>9</v>
      </c>
      <c r="C1056" s="47">
        <v>44198</v>
      </c>
      <c r="D1056" s="45">
        <v>22021000478</v>
      </c>
      <c r="E1056" s="46" t="s">
        <v>1215</v>
      </c>
      <c r="F1056" s="48">
        <v>497.03</v>
      </c>
      <c r="G1056" s="46" t="s">
        <v>70</v>
      </c>
      <c r="H1056" s="46" t="s">
        <v>2154</v>
      </c>
      <c r="I1056" s="45" t="s">
        <v>125</v>
      </c>
      <c r="J1056" s="46" t="s">
        <v>127</v>
      </c>
      <c r="K1056" s="46" t="s">
        <v>127</v>
      </c>
      <c r="L1056" s="46" t="s">
        <v>12</v>
      </c>
      <c r="M1056" s="46" t="s">
        <v>13</v>
      </c>
      <c r="N1056" s="46" t="s">
        <v>16</v>
      </c>
      <c r="O1056" s="49" t="s">
        <v>803</v>
      </c>
      <c r="P1056" s="46" t="s">
        <v>507</v>
      </c>
      <c r="Q1056" s="35" t="str">
        <f>MID(Tabla1[[#This Row],[Aplicación]],14,1)</f>
        <v>2</v>
      </c>
      <c r="R1056" s="35" t="s">
        <v>495</v>
      </c>
      <c r="S1056" s="35" t="str">
        <f>MID(Tabla1[[#This Row],[Aplicación]],6,2)</f>
        <v>06</v>
      </c>
      <c r="T1056" s="35" t="str">
        <f>VLOOKUP(Tabla1[[#This Row],[AREA]],Hoja1!A:B,2,FALSE)</f>
        <v>06. Educación, infancia, juventud e igualdad</v>
      </c>
      <c r="U1056" s="35" t="str">
        <f>MID(Tabla1[[#This Row],[Aplicación]],9,4)</f>
        <v>2314</v>
      </c>
      <c r="V1056" s="35" t="str">
        <f>VLOOKUP(Tabla1[[#This Row],[PROGRAMA]],Hoja1!A:B,2,FALSE)</f>
        <v>2314. Centro de programas juveniles</v>
      </c>
      <c r="W1056" s="35" t="str">
        <f>MID(Tabla1[[#This Row],[Aplicación]],14,2)</f>
        <v>21</v>
      </c>
      <c r="X1056" s="35" t="str">
        <f>MID(Tabla1[[#This Row],[Aplicación]],14,6)</f>
        <v>213</v>
      </c>
    </row>
    <row r="1057" spans="1:24" x14ac:dyDescent="0.25">
      <c r="A1057" s="45">
        <v>220210003752</v>
      </c>
      <c r="B1057" s="46" t="s">
        <v>9</v>
      </c>
      <c r="C1057" s="47">
        <v>44243</v>
      </c>
      <c r="D1057" s="45">
        <v>22021002606</v>
      </c>
      <c r="E1057" s="46" t="s">
        <v>2155</v>
      </c>
      <c r="F1057" s="48">
        <v>900</v>
      </c>
      <c r="G1057" s="46" t="s">
        <v>304</v>
      </c>
      <c r="H1057" s="46" t="s">
        <v>2156</v>
      </c>
      <c r="I1057" s="45" t="s">
        <v>125</v>
      </c>
      <c r="J1057" s="46" t="s">
        <v>674</v>
      </c>
      <c r="K1057" s="46" t="s">
        <v>127</v>
      </c>
      <c r="L1057" s="46" t="s">
        <v>12</v>
      </c>
      <c r="M1057" s="46" t="s">
        <v>10</v>
      </c>
      <c r="N1057" s="46" t="s">
        <v>11</v>
      </c>
      <c r="O1057" s="49" t="s">
        <v>815</v>
      </c>
      <c r="P1057" s="46" t="s">
        <v>507</v>
      </c>
      <c r="Q1057" s="35" t="str">
        <f>MID(Tabla1[[#This Row],[Aplicación]],14,1)</f>
        <v>2</v>
      </c>
      <c r="R1057" s="35" t="s">
        <v>495</v>
      </c>
      <c r="S1057" s="35" t="str">
        <f>MID(Tabla1[[#This Row],[Aplicación]],6,2)</f>
        <v>11</v>
      </c>
      <c r="T1057" s="35" t="str">
        <f>VLOOKUP(Tabla1[[#This Row],[AREA]],Hoja1!A:B,2,FALSE)</f>
        <v>11. Salud pública y seguridad ciudadana</v>
      </c>
      <c r="U1057" s="35" t="str">
        <f>MID(Tabla1[[#This Row],[Aplicación]],9,4)</f>
        <v>1621</v>
      </c>
      <c r="V1057" s="35" t="str">
        <f>VLOOKUP(Tabla1[[#This Row],[PROGRAMA]],Hoja1!A:B,2,FALSE)</f>
        <v>1621. Servicio de limpieza</v>
      </c>
      <c r="W1057" s="35" t="str">
        <f>MID(Tabla1[[#This Row],[Aplicación]],14,2)</f>
        <v>21</v>
      </c>
      <c r="X1057" s="35" t="str">
        <f>MID(Tabla1[[#This Row],[Aplicación]],14,6)</f>
        <v>212</v>
      </c>
    </row>
    <row r="1058" spans="1:24" x14ac:dyDescent="0.25">
      <c r="A1058" s="45">
        <v>220210007131</v>
      </c>
      <c r="B1058" s="46" t="s">
        <v>9</v>
      </c>
      <c r="C1058" s="47">
        <v>44260</v>
      </c>
      <c r="D1058" s="45">
        <v>22021003000</v>
      </c>
      <c r="E1058" s="46" t="s">
        <v>944</v>
      </c>
      <c r="F1058" s="48">
        <v>157.5</v>
      </c>
      <c r="G1058" s="46" t="s">
        <v>2157</v>
      </c>
      <c r="H1058" s="46" t="s">
        <v>2158</v>
      </c>
      <c r="I1058" s="45" t="s">
        <v>125</v>
      </c>
      <c r="J1058" s="46" t="s">
        <v>127</v>
      </c>
      <c r="K1058" s="46" t="s">
        <v>127</v>
      </c>
      <c r="L1058" s="46" t="s">
        <v>15</v>
      </c>
      <c r="M1058" s="46" t="s">
        <v>10</v>
      </c>
      <c r="N1058" s="46" t="s">
        <v>11</v>
      </c>
      <c r="O1058" s="49" t="s">
        <v>815</v>
      </c>
      <c r="P1058" s="46" t="s">
        <v>507</v>
      </c>
      <c r="Q1058" s="35" t="str">
        <f>MID(Tabla1[[#This Row],[Aplicación]],14,1)</f>
        <v>2</v>
      </c>
      <c r="R1058" s="35" t="s">
        <v>495</v>
      </c>
      <c r="S1058" s="35" t="str">
        <f>MID(Tabla1[[#This Row],[Aplicación]],6,2)</f>
        <v>11</v>
      </c>
      <c r="T1058" s="35" t="str">
        <f>VLOOKUP(Tabla1[[#This Row],[AREA]],Hoja1!A:B,2,FALSE)</f>
        <v>11. Salud pública y seguridad ciudadana</v>
      </c>
      <c r="U1058" s="35" t="str">
        <f>MID(Tabla1[[#This Row],[Aplicación]],9,4)</f>
        <v>1621</v>
      </c>
      <c r="V1058" s="35" t="str">
        <f>VLOOKUP(Tabla1[[#This Row],[PROGRAMA]],Hoja1!A:B,2,FALSE)</f>
        <v>1621. Servicio de limpieza</v>
      </c>
      <c r="W1058" s="35" t="str">
        <f>MID(Tabla1[[#This Row],[Aplicación]],14,2)</f>
        <v>21</v>
      </c>
      <c r="X1058" s="35" t="str">
        <f>MID(Tabla1[[#This Row],[Aplicación]],14,6)</f>
        <v>213</v>
      </c>
    </row>
    <row r="1059" spans="1:24" x14ac:dyDescent="0.25">
      <c r="A1059" s="45">
        <v>220210002407</v>
      </c>
      <c r="B1059" s="46" t="s">
        <v>9</v>
      </c>
      <c r="C1059" s="47">
        <v>44235</v>
      </c>
      <c r="D1059" s="45">
        <v>22021002305</v>
      </c>
      <c r="E1059" s="46" t="s">
        <v>2159</v>
      </c>
      <c r="F1059" s="48">
        <v>162.78</v>
      </c>
      <c r="G1059" s="46" t="s">
        <v>1945</v>
      </c>
      <c r="H1059" s="46" t="s">
        <v>2160</v>
      </c>
      <c r="I1059" s="45" t="s">
        <v>125</v>
      </c>
      <c r="J1059" s="46" t="s">
        <v>127</v>
      </c>
      <c r="K1059" s="46" t="s">
        <v>127</v>
      </c>
      <c r="L1059" s="46" t="s">
        <v>12</v>
      </c>
      <c r="M1059" s="46" t="s">
        <v>10</v>
      </c>
      <c r="N1059" s="46" t="s">
        <v>11</v>
      </c>
      <c r="O1059" s="49" t="s">
        <v>815</v>
      </c>
      <c r="P1059" s="46" t="s">
        <v>507</v>
      </c>
      <c r="Q1059" s="35" t="str">
        <f>MID(Tabla1[[#This Row],[Aplicación]],14,1)</f>
        <v>2</v>
      </c>
      <c r="R1059" s="35" t="s">
        <v>495</v>
      </c>
      <c r="S1059" s="35" t="str">
        <f>MID(Tabla1[[#This Row],[Aplicación]],6,2)</f>
        <v>11</v>
      </c>
      <c r="T1059" s="35" t="str">
        <f>VLOOKUP(Tabla1[[#This Row],[AREA]],Hoja1!A:B,2,FALSE)</f>
        <v>11. Salud pública y seguridad ciudadana</v>
      </c>
      <c r="U1059" s="35" t="str">
        <f>MID(Tabla1[[#This Row],[Aplicación]],9,4)</f>
        <v>3111</v>
      </c>
      <c r="V1059" s="35" t="str">
        <f>VLOOKUP(Tabla1[[#This Row],[PROGRAMA]],Hoja1!A:B,2,FALSE)</f>
        <v>3111. Protección de la salubridad pública</v>
      </c>
      <c r="W1059" s="35" t="str">
        <f>MID(Tabla1[[#This Row],[Aplicación]],14,2)</f>
        <v>21</v>
      </c>
      <c r="X1059" s="35" t="str">
        <f>MID(Tabla1[[#This Row],[Aplicación]],14,6)</f>
        <v>214</v>
      </c>
    </row>
    <row r="1060" spans="1:24" x14ac:dyDescent="0.25">
      <c r="A1060" s="45">
        <v>220210013178</v>
      </c>
      <c r="B1060" s="46" t="s">
        <v>9</v>
      </c>
      <c r="C1060" s="47">
        <v>44286</v>
      </c>
      <c r="D1060" s="45">
        <v>22021003693</v>
      </c>
      <c r="E1060" s="46" t="s">
        <v>2161</v>
      </c>
      <c r="F1060" s="48">
        <v>165.2</v>
      </c>
      <c r="G1060" s="46" t="s">
        <v>2162</v>
      </c>
      <c r="H1060" s="46" t="s">
        <v>2163</v>
      </c>
      <c r="I1060" s="45" t="s">
        <v>125</v>
      </c>
      <c r="J1060" s="46" t="s">
        <v>127</v>
      </c>
      <c r="K1060" s="46" t="s">
        <v>127</v>
      </c>
      <c r="L1060" s="46" t="s">
        <v>12</v>
      </c>
      <c r="M1060" s="46" t="s">
        <v>10</v>
      </c>
      <c r="N1060" s="46" t="s">
        <v>11</v>
      </c>
      <c r="O1060" s="49" t="s">
        <v>815</v>
      </c>
      <c r="P1060" s="46" t="s">
        <v>507</v>
      </c>
      <c r="Q1060" s="35" t="str">
        <f>MID(Tabla1[[#This Row],[Aplicación]],14,1)</f>
        <v>2</v>
      </c>
      <c r="R1060" s="35" t="s">
        <v>495</v>
      </c>
      <c r="S1060" s="35" t="str">
        <f>MID(Tabla1[[#This Row],[Aplicación]],6,2)</f>
        <v>11</v>
      </c>
      <c r="T1060" s="35" t="str">
        <f>VLOOKUP(Tabla1[[#This Row],[AREA]],Hoja1!A:B,2,FALSE)</f>
        <v>11. Salud pública y seguridad ciudadana</v>
      </c>
      <c r="U1060" s="35" t="str">
        <f>MID(Tabla1[[#This Row],[Aplicación]],9,4)</f>
        <v>1621</v>
      </c>
      <c r="V1060" s="35" t="str">
        <f>VLOOKUP(Tabla1[[#This Row],[PROGRAMA]],Hoja1!A:B,2,FALSE)</f>
        <v>1621. Servicio de limpieza</v>
      </c>
      <c r="W1060" s="35" t="str">
        <f>MID(Tabla1[[#This Row],[Aplicación]],14,2)</f>
        <v>22</v>
      </c>
      <c r="X1060" s="35" t="str">
        <f>MID(Tabla1[[#This Row],[Aplicación]],14,6)</f>
        <v>22699</v>
      </c>
    </row>
    <row r="1061" spans="1:24" x14ac:dyDescent="0.25">
      <c r="A1061" s="45">
        <v>220210007172</v>
      </c>
      <c r="B1061" s="46" t="s">
        <v>9</v>
      </c>
      <c r="C1061" s="47">
        <v>44263</v>
      </c>
      <c r="D1061" s="45">
        <v>22021003181</v>
      </c>
      <c r="E1061" s="46" t="s">
        <v>1438</v>
      </c>
      <c r="F1061" s="48">
        <v>165.77</v>
      </c>
      <c r="G1061" s="46" t="s">
        <v>2164</v>
      </c>
      <c r="H1061" s="46" t="s">
        <v>2165</v>
      </c>
      <c r="I1061" s="45" t="s">
        <v>125</v>
      </c>
      <c r="J1061" s="46" t="s">
        <v>127</v>
      </c>
      <c r="K1061" s="46" t="s">
        <v>127</v>
      </c>
      <c r="L1061" s="46" t="s">
        <v>15</v>
      </c>
      <c r="M1061" s="46" t="s">
        <v>10</v>
      </c>
      <c r="N1061" s="46" t="s">
        <v>11</v>
      </c>
      <c r="O1061" s="49" t="s">
        <v>815</v>
      </c>
      <c r="P1061" s="46" t="s">
        <v>507</v>
      </c>
      <c r="Q1061" s="35" t="str">
        <f>MID(Tabla1[[#This Row],[Aplicación]],14,1)</f>
        <v>2</v>
      </c>
      <c r="R1061" s="35" t="s">
        <v>495</v>
      </c>
      <c r="S1061" s="35" t="str">
        <f>MID(Tabla1[[#This Row],[Aplicación]],6,2)</f>
        <v>01</v>
      </c>
      <c r="T1061" s="35" t="str">
        <f>VLOOKUP(Tabla1[[#This Row],[AREA]],Hoja1!A:B,2,FALSE)</f>
        <v>01. Alcaldía</v>
      </c>
      <c r="U1061" s="35" t="str">
        <f>MID(Tabla1[[#This Row],[Aplicación]],9,4)</f>
        <v>9206</v>
      </c>
      <c r="V1061" s="35" t="str">
        <f>VLOOKUP(Tabla1[[#This Row],[PROGRAMA]],Hoja1!A:B,2,FALSE)</f>
        <v>9206. Archivo municipal</v>
      </c>
      <c r="W1061" s="35" t="str">
        <f>MID(Tabla1[[#This Row],[Aplicación]],14,2)</f>
        <v>22</v>
      </c>
      <c r="X1061" s="35" t="str">
        <f>MID(Tabla1[[#This Row],[Aplicación]],14,6)</f>
        <v>22001</v>
      </c>
    </row>
    <row r="1062" spans="1:24" x14ac:dyDescent="0.25">
      <c r="A1062" s="45">
        <v>220210007183</v>
      </c>
      <c r="B1062" s="46" t="s">
        <v>9</v>
      </c>
      <c r="C1062" s="47">
        <v>44263</v>
      </c>
      <c r="D1062" s="45">
        <v>22021003268</v>
      </c>
      <c r="E1062" s="46" t="s">
        <v>1183</v>
      </c>
      <c r="F1062" s="48">
        <v>72.599999999999994</v>
      </c>
      <c r="G1062" s="46" t="s">
        <v>279</v>
      </c>
      <c r="H1062" s="46" t="s">
        <v>2166</v>
      </c>
      <c r="I1062" s="45" t="s">
        <v>125</v>
      </c>
      <c r="J1062" s="46" t="s">
        <v>127</v>
      </c>
      <c r="K1062" s="46" t="s">
        <v>127</v>
      </c>
      <c r="L1062" s="46" t="s">
        <v>15</v>
      </c>
      <c r="M1062" s="46" t="s">
        <v>10</v>
      </c>
      <c r="N1062" s="46" t="s">
        <v>11</v>
      </c>
      <c r="O1062" s="49" t="s">
        <v>815</v>
      </c>
      <c r="P1062" s="46" t="s">
        <v>507</v>
      </c>
      <c r="Q1062" s="35" t="str">
        <f>MID(Tabla1[[#This Row],[Aplicación]],14,1)</f>
        <v>2</v>
      </c>
      <c r="R1062" s="35" t="s">
        <v>495</v>
      </c>
      <c r="S1062" s="35" t="str">
        <f>MID(Tabla1[[#This Row],[Aplicación]],6,2)</f>
        <v>11</v>
      </c>
      <c r="T1062" s="35" t="str">
        <f>VLOOKUP(Tabla1[[#This Row],[AREA]],Hoja1!A:B,2,FALSE)</f>
        <v>11. Salud pública y seguridad ciudadana</v>
      </c>
      <c r="U1062" s="35" t="str">
        <f>MID(Tabla1[[#This Row],[Aplicación]],9,4)</f>
        <v>1361</v>
      </c>
      <c r="V1062" s="35" t="str">
        <f>VLOOKUP(Tabla1[[#This Row],[PROGRAMA]],Hoja1!A:B,2,FALSE)</f>
        <v>1361. Prevención y extinción de incencios</v>
      </c>
      <c r="W1062" s="35" t="str">
        <f>MID(Tabla1[[#This Row],[Aplicación]],14,2)</f>
        <v>22</v>
      </c>
      <c r="X1062" s="35" t="str">
        <f>MID(Tabla1[[#This Row],[Aplicación]],14,6)</f>
        <v>22199</v>
      </c>
    </row>
    <row r="1063" spans="1:24" x14ac:dyDescent="0.25">
      <c r="A1063" s="45">
        <v>220210008449</v>
      </c>
      <c r="B1063" s="46" t="s">
        <v>9</v>
      </c>
      <c r="C1063" s="47">
        <v>44266</v>
      </c>
      <c r="D1063" s="45">
        <v>22021003340</v>
      </c>
      <c r="E1063" s="46" t="s">
        <v>1478</v>
      </c>
      <c r="F1063" s="48">
        <v>170.61</v>
      </c>
      <c r="G1063" s="46" t="s">
        <v>2167</v>
      </c>
      <c r="H1063" s="46" t="s">
        <v>2168</v>
      </c>
      <c r="I1063" s="45" t="s">
        <v>125</v>
      </c>
      <c r="J1063" s="46" t="s">
        <v>664</v>
      </c>
      <c r="K1063" s="46" t="s">
        <v>127</v>
      </c>
      <c r="L1063" s="46" t="s">
        <v>15</v>
      </c>
      <c r="M1063" s="46" t="s">
        <v>10</v>
      </c>
      <c r="N1063" s="46" t="s">
        <v>11</v>
      </c>
      <c r="O1063" s="49" t="s">
        <v>815</v>
      </c>
      <c r="P1063" s="46" t="s">
        <v>507</v>
      </c>
      <c r="Q1063" s="35" t="str">
        <f>MID(Tabla1[[#This Row],[Aplicación]],14,1)</f>
        <v>2</v>
      </c>
      <c r="R1063" s="35" t="s">
        <v>495</v>
      </c>
      <c r="S1063" s="35" t="str">
        <f>MID(Tabla1[[#This Row],[Aplicación]],6,2)</f>
        <v>03</v>
      </c>
      <c r="T1063" s="35" t="str">
        <f>VLOOKUP(Tabla1[[#This Row],[AREA]],Hoja1!A:B,2,FALSE)</f>
        <v>03. Participación ciudadana y deportes</v>
      </c>
      <c r="U1063" s="35" t="str">
        <f>MID(Tabla1[[#This Row],[Aplicación]],9,4)</f>
        <v>9241</v>
      </c>
      <c r="V1063" s="35" t="str">
        <f>VLOOKUP(Tabla1[[#This Row],[PROGRAMA]],Hoja1!A:B,2,FALSE)</f>
        <v>9241. Participación ciudadana</v>
      </c>
      <c r="W1063" s="35" t="str">
        <f>MID(Tabla1[[#This Row],[Aplicación]],14,2)</f>
        <v>21</v>
      </c>
      <c r="X1063" s="35" t="str">
        <f>MID(Tabla1[[#This Row],[Aplicación]],14,6)</f>
        <v>212</v>
      </c>
    </row>
    <row r="1064" spans="1:24" x14ac:dyDescent="0.25">
      <c r="A1064" s="45">
        <v>220210002862</v>
      </c>
      <c r="B1064" s="46" t="s">
        <v>9</v>
      </c>
      <c r="C1064" s="47">
        <v>44238</v>
      </c>
      <c r="D1064" s="45">
        <v>22021002381</v>
      </c>
      <c r="E1064" s="46" t="s">
        <v>2169</v>
      </c>
      <c r="F1064" s="48">
        <v>116.16</v>
      </c>
      <c r="G1064" s="46" t="s">
        <v>2170</v>
      </c>
      <c r="H1064" s="46" t="s">
        <v>2171</v>
      </c>
      <c r="I1064" s="45" t="s">
        <v>125</v>
      </c>
      <c r="J1064" s="46" t="s">
        <v>127</v>
      </c>
      <c r="K1064" s="46" t="s">
        <v>127</v>
      </c>
      <c r="L1064" s="46" t="s">
        <v>15</v>
      </c>
      <c r="M1064" s="46" t="s">
        <v>10</v>
      </c>
      <c r="N1064" s="46" t="s">
        <v>11</v>
      </c>
      <c r="O1064" s="49" t="s">
        <v>815</v>
      </c>
      <c r="P1064" s="46" t="s">
        <v>507</v>
      </c>
      <c r="Q1064" s="35" t="str">
        <f>MID(Tabla1[[#This Row],[Aplicación]],14,1)</f>
        <v>2</v>
      </c>
      <c r="R1064" s="35" t="s">
        <v>495</v>
      </c>
      <c r="S1064" s="35" t="str">
        <f>MID(Tabla1[[#This Row],[Aplicación]],6,2)</f>
        <v>10</v>
      </c>
      <c r="T1064" s="35" t="str">
        <f>VLOOKUP(Tabla1[[#This Row],[AREA]],Hoja1!A:B,2,FALSE)</f>
        <v>10. Servicios sociales y mediación comunitaria</v>
      </c>
      <c r="U1064" s="35" t="str">
        <f>MID(Tabla1[[#This Row],[Aplicación]],9,4)</f>
        <v>2312</v>
      </c>
      <c r="V1064" s="35" t="str">
        <f>VLOOKUP(Tabla1[[#This Row],[PROGRAMA]],Hoja1!A:B,2,FALSE)</f>
        <v>2312. Iniciativas sociales</v>
      </c>
      <c r="W1064" s="35" t="str">
        <f>MID(Tabla1[[#This Row],[Aplicación]],14,2)</f>
        <v>22</v>
      </c>
      <c r="X1064" s="35" t="str">
        <f>MID(Tabla1[[#This Row],[Aplicación]],14,6)</f>
        <v>22199</v>
      </c>
    </row>
    <row r="1065" spans="1:24" x14ac:dyDescent="0.25">
      <c r="A1065" s="45">
        <v>220210001386</v>
      </c>
      <c r="B1065" s="46" t="s">
        <v>9</v>
      </c>
      <c r="C1065" s="47">
        <v>44228</v>
      </c>
      <c r="D1065" s="45">
        <v>22021002145</v>
      </c>
      <c r="E1065" s="46" t="s">
        <v>1177</v>
      </c>
      <c r="F1065" s="48">
        <v>185.13</v>
      </c>
      <c r="G1065" s="46" t="s">
        <v>2172</v>
      </c>
      <c r="H1065" s="46" t="s">
        <v>2173</v>
      </c>
      <c r="I1065" s="45" t="s">
        <v>125</v>
      </c>
      <c r="J1065" s="46" t="s">
        <v>2174</v>
      </c>
      <c r="K1065" s="46" t="s">
        <v>2175</v>
      </c>
      <c r="L1065" s="46" t="s">
        <v>12</v>
      </c>
      <c r="M1065" s="46" t="s">
        <v>10</v>
      </c>
      <c r="N1065" s="46" t="s">
        <v>11</v>
      </c>
      <c r="O1065" s="49" t="s">
        <v>815</v>
      </c>
      <c r="P1065" s="46" t="s">
        <v>507</v>
      </c>
      <c r="Q1065" s="35" t="str">
        <f>MID(Tabla1[[#This Row],[Aplicación]],14,1)</f>
        <v>2</v>
      </c>
      <c r="R1065" s="35" t="s">
        <v>495</v>
      </c>
      <c r="S1065" s="35" t="str">
        <f>MID(Tabla1[[#This Row],[Aplicación]],6,2)</f>
        <v>09</v>
      </c>
      <c r="T1065" s="35" t="str">
        <f>VLOOKUP(Tabla1[[#This Row],[AREA]],Hoja1!A:B,2,FALSE)</f>
        <v>09. Cultura y turismo</v>
      </c>
      <c r="U1065" s="35" t="str">
        <f>MID(Tabla1[[#This Row],[Aplicación]],9,4)</f>
        <v>3341</v>
      </c>
      <c r="V1065" s="35" t="str">
        <f>VLOOKUP(Tabla1[[#This Row],[PROGRAMA]],Hoja1!A:B,2,FALSE)</f>
        <v>3341. Coordinación de políticas culturales</v>
      </c>
      <c r="W1065" s="35" t="str">
        <f>MID(Tabla1[[#This Row],[Aplicación]],14,2)</f>
        <v>22</v>
      </c>
      <c r="X1065" s="35" t="str">
        <f>MID(Tabla1[[#This Row],[Aplicación]],14,6)</f>
        <v>22699</v>
      </c>
    </row>
    <row r="1066" spans="1:24" x14ac:dyDescent="0.25">
      <c r="A1066" s="45">
        <v>220210006016</v>
      </c>
      <c r="B1066" s="46" t="s">
        <v>9</v>
      </c>
      <c r="C1066" s="47">
        <v>44251</v>
      </c>
      <c r="D1066" s="45">
        <v>22021002971</v>
      </c>
      <c r="E1066" s="46" t="s">
        <v>1761</v>
      </c>
      <c r="F1066" s="48">
        <v>194.5</v>
      </c>
      <c r="G1066" s="46" t="s">
        <v>2176</v>
      </c>
      <c r="H1066" s="46" t="s">
        <v>2177</v>
      </c>
      <c r="I1066" s="45" t="s">
        <v>125</v>
      </c>
      <c r="J1066" s="46" t="s">
        <v>127</v>
      </c>
      <c r="K1066" s="46" t="s">
        <v>127</v>
      </c>
      <c r="L1066" s="46" t="s">
        <v>15</v>
      </c>
      <c r="M1066" s="46" t="s">
        <v>10</v>
      </c>
      <c r="N1066" s="46" t="s">
        <v>11</v>
      </c>
      <c r="O1066" s="49" t="s">
        <v>815</v>
      </c>
      <c r="P1066" s="46" t="s">
        <v>507</v>
      </c>
      <c r="Q1066" s="35" t="str">
        <f>MID(Tabla1[[#This Row],[Aplicación]],14,1)</f>
        <v>2</v>
      </c>
      <c r="R1066" s="35" t="s">
        <v>495</v>
      </c>
      <c r="S1066" s="35" t="str">
        <f>MID(Tabla1[[#This Row],[Aplicación]],6,2)</f>
        <v>03</v>
      </c>
      <c r="T1066" s="35" t="str">
        <f>VLOOKUP(Tabla1[[#This Row],[AREA]],Hoja1!A:B,2,FALSE)</f>
        <v>03. Participación ciudadana y deportes</v>
      </c>
      <c r="U1066" s="35" t="str">
        <f>MID(Tabla1[[#This Row],[Aplicación]],9,4)</f>
        <v>9241</v>
      </c>
      <c r="V1066" s="35" t="str">
        <f>VLOOKUP(Tabla1[[#This Row],[PROGRAMA]],Hoja1!A:B,2,FALSE)</f>
        <v>9241. Participación ciudadana</v>
      </c>
      <c r="W1066" s="35" t="str">
        <f>MID(Tabla1[[#This Row],[Aplicación]],14,2)</f>
        <v>22</v>
      </c>
      <c r="X1066" s="35" t="str">
        <f>MID(Tabla1[[#This Row],[Aplicación]],14,6)</f>
        <v>22199</v>
      </c>
    </row>
    <row r="1067" spans="1:24" x14ac:dyDescent="0.25">
      <c r="A1067" s="45">
        <v>220209000586</v>
      </c>
      <c r="B1067" s="46" t="s">
        <v>9</v>
      </c>
      <c r="C1067" s="47">
        <v>44198</v>
      </c>
      <c r="D1067" s="45">
        <v>22021000605</v>
      </c>
      <c r="E1067" s="46" t="s">
        <v>2178</v>
      </c>
      <c r="F1067" s="48">
        <v>13500</v>
      </c>
      <c r="G1067" s="46" t="s">
        <v>47</v>
      </c>
      <c r="H1067" s="46" t="s">
        <v>2179</v>
      </c>
      <c r="I1067" s="45" t="s">
        <v>125</v>
      </c>
      <c r="J1067" s="46" t="s">
        <v>148</v>
      </c>
      <c r="K1067" s="46" t="s">
        <v>201</v>
      </c>
      <c r="L1067" s="46" t="s">
        <v>15</v>
      </c>
      <c r="M1067" s="46" t="s">
        <v>13</v>
      </c>
      <c r="N1067" s="46" t="s">
        <v>14</v>
      </c>
      <c r="O1067" s="49" t="s">
        <v>803</v>
      </c>
      <c r="P1067" s="46" t="s">
        <v>507</v>
      </c>
      <c r="Q1067" s="35" t="str">
        <f>MID(Tabla1[[#This Row],[Aplicación]],14,1)</f>
        <v>2</v>
      </c>
      <c r="R1067" s="35" t="s">
        <v>495</v>
      </c>
      <c r="S1067" s="35" t="str">
        <f>MID(Tabla1[[#This Row],[Aplicación]],6,2)</f>
        <v>10</v>
      </c>
      <c r="T1067" s="35" t="str">
        <f>VLOOKUP(Tabla1[[#This Row],[AREA]],Hoja1!A:B,2,FALSE)</f>
        <v>10. Servicios sociales y mediación comunitaria</v>
      </c>
      <c r="U1067" s="35" t="str">
        <f>MID(Tabla1[[#This Row],[Aplicación]],9,4)</f>
        <v>2412</v>
      </c>
      <c r="V1067" s="35" t="str">
        <f>VLOOKUP(Tabla1[[#This Row],[PROGRAMA]],Hoja1!A:B,2,FALSE)</f>
        <v>2412. Formación para el empleo</v>
      </c>
      <c r="W1067" s="35" t="str">
        <f>MID(Tabla1[[#This Row],[Aplicación]],14,2)</f>
        <v>22</v>
      </c>
      <c r="X1067" s="35" t="str">
        <f>MID(Tabla1[[#This Row],[Aplicación]],14,6)</f>
        <v>22100</v>
      </c>
    </row>
    <row r="1068" spans="1:24" x14ac:dyDescent="0.25">
      <c r="A1068" s="45">
        <v>220210006037</v>
      </c>
      <c r="B1068" s="46" t="s">
        <v>9</v>
      </c>
      <c r="C1068" s="47">
        <v>44251</v>
      </c>
      <c r="D1068" s="45">
        <v>22021002918</v>
      </c>
      <c r="E1068" s="46" t="s">
        <v>2180</v>
      </c>
      <c r="F1068" s="48">
        <v>199.65</v>
      </c>
      <c r="G1068" s="46" t="s">
        <v>592</v>
      </c>
      <c r="H1068" s="46" t="s">
        <v>2181</v>
      </c>
      <c r="I1068" s="45" t="s">
        <v>125</v>
      </c>
      <c r="J1068" s="46" t="s">
        <v>127</v>
      </c>
      <c r="K1068" s="46" t="s">
        <v>127</v>
      </c>
      <c r="L1068" s="46" t="s">
        <v>12</v>
      </c>
      <c r="M1068" s="46" t="s">
        <v>10</v>
      </c>
      <c r="N1068" s="46" t="s">
        <v>11</v>
      </c>
      <c r="O1068" s="49" t="s">
        <v>815</v>
      </c>
      <c r="P1068" s="46" t="s">
        <v>507</v>
      </c>
      <c r="Q1068" s="35" t="str">
        <f>MID(Tabla1[[#This Row],[Aplicación]],14,1)</f>
        <v>2</v>
      </c>
      <c r="R1068" s="35" t="s">
        <v>495</v>
      </c>
      <c r="S1068" s="35" t="str">
        <f>MID(Tabla1[[#This Row],[Aplicación]],6,2)</f>
        <v>04</v>
      </c>
      <c r="T1068" s="35" t="str">
        <f>VLOOKUP(Tabla1[[#This Row],[AREA]],Hoja1!A:B,2,FALSE)</f>
        <v>04. Planificación y recursos</v>
      </c>
      <c r="U1068" s="35" t="str">
        <f>MID(Tabla1[[#This Row],[Aplicación]],9,4)</f>
        <v>9231</v>
      </c>
      <c r="V1068" s="35" t="str">
        <f>VLOOKUP(Tabla1[[#This Row],[PROGRAMA]],Hoja1!A:B,2,FALSE)</f>
        <v>9231. Información, registro y gestión del padrón</v>
      </c>
      <c r="W1068" s="35" t="str">
        <f>MID(Tabla1[[#This Row],[Aplicación]],14,2)</f>
        <v>22</v>
      </c>
      <c r="X1068" s="35" t="str">
        <f>MID(Tabla1[[#This Row],[Aplicación]],14,6)</f>
        <v>22699</v>
      </c>
    </row>
    <row r="1069" spans="1:24" x14ac:dyDescent="0.25">
      <c r="A1069" s="45">
        <v>220210004219</v>
      </c>
      <c r="B1069" s="46" t="s">
        <v>9</v>
      </c>
      <c r="C1069" s="47">
        <v>44245</v>
      </c>
      <c r="D1069" s="45">
        <v>22021002627</v>
      </c>
      <c r="E1069" s="46" t="s">
        <v>1503</v>
      </c>
      <c r="F1069" s="48">
        <v>355.52</v>
      </c>
      <c r="G1069" s="46" t="s">
        <v>53</v>
      </c>
      <c r="H1069" s="46" t="s">
        <v>2182</v>
      </c>
      <c r="I1069" s="45" t="s">
        <v>125</v>
      </c>
      <c r="J1069" s="46" t="s">
        <v>127</v>
      </c>
      <c r="K1069" s="46" t="s">
        <v>127</v>
      </c>
      <c r="L1069" s="46" t="s">
        <v>12</v>
      </c>
      <c r="M1069" s="46" t="s">
        <v>10</v>
      </c>
      <c r="N1069" s="46" t="s">
        <v>11</v>
      </c>
      <c r="O1069" s="49" t="s">
        <v>815</v>
      </c>
      <c r="P1069" s="46" t="s">
        <v>507</v>
      </c>
      <c r="Q1069" s="35" t="str">
        <f>MID(Tabla1[[#This Row],[Aplicación]],14,1)</f>
        <v>2</v>
      </c>
      <c r="R1069" s="35" t="s">
        <v>495</v>
      </c>
      <c r="S1069" s="35" t="str">
        <f>MID(Tabla1[[#This Row],[Aplicación]],6,2)</f>
        <v>05</v>
      </c>
      <c r="T1069" s="35" t="str">
        <f>VLOOKUP(Tabla1[[#This Row],[AREA]],Hoja1!A:B,2,FALSE)</f>
        <v>05. Innovación, desarrollo económico, empleo y comercio</v>
      </c>
      <c r="U1069" s="35" t="str">
        <f>MID(Tabla1[[#This Row],[Aplicación]],9,4)</f>
        <v>4331</v>
      </c>
      <c r="V1069" s="35" t="str">
        <f>VLOOKUP(Tabla1[[#This Row],[PROGRAMA]],Hoja1!A:B,2,FALSE)</f>
        <v>4331. Desarrollo empresarial</v>
      </c>
      <c r="W1069" s="35" t="str">
        <f>MID(Tabla1[[#This Row],[Aplicación]],14,2)</f>
        <v>21</v>
      </c>
      <c r="X1069" s="35" t="str">
        <f>MID(Tabla1[[#This Row],[Aplicación]],14,6)</f>
        <v>213</v>
      </c>
    </row>
    <row r="1070" spans="1:24" x14ac:dyDescent="0.25">
      <c r="A1070" s="45">
        <v>220199000589</v>
      </c>
      <c r="B1070" s="46" t="s">
        <v>9</v>
      </c>
      <c r="C1070" s="47">
        <v>44198</v>
      </c>
      <c r="D1070" s="45">
        <v>22021000163</v>
      </c>
      <c r="E1070" s="46" t="s">
        <v>1220</v>
      </c>
      <c r="F1070" s="48">
        <v>77.37</v>
      </c>
      <c r="G1070" s="46" t="s">
        <v>206</v>
      </c>
      <c r="H1070" s="46" t="s">
        <v>726</v>
      </c>
      <c r="I1070" s="45" t="s">
        <v>125</v>
      </c>
      <c r="J1070" s="46" t="s">
        <v>664</v>
      </c>
      <c r="K1070" s="46" t="s">
        <v>127</v>
      </c>
      <c r="L1070" s="46" t="s">
        <v>12</v>
      </c>
      <c r="M1070" s="46" t="s">
        <v>13</v>
      </c>
      <c r="N1070" s="46" t="s">
        <v>16</v>
      </c>
      <c r="O1070" s="49" t="s">
        <v>803</v>
      </c>
      <c r="P1070" s="46" t="s">
        <v>507</v>
      </c>
      <c r="Q1070" s="35" t="str">
        <f>MID(Tabla1[[#This Row],[Aplicación]],14,1)</f>
        <v>2</v>
      </c>
      <c r="R1070" s="35" t="s">
        <v>495</v>
      </c>
      <c r="S1070" s="35" t="str">
        <f>MID(Tabla1[[#This Row],[Aplicación]],6,2)</f>
        <v>03</v>
      </c>
      <c r="T1070" s="35" t="str">
        <f>VLOOKUP(Tabla1[[#This Row],[AREA]],Hoja1!A:B,2,FALSE)</f>
        <v>03. Participación ciudadana y deportes</v>
      </c>
      <c r="U1070" s="35" t="str">
        <f>MID(Tabla1[[#This Row],[Aplicación]],9,4)</f>
        <v>9241</v>
      </c>
      <c r="V1070" s="35" t="str">
        <f>VLOOKUP(Tabla1[[#This Row],[PROGRAMA]],Hoja1!A:B,2,FALSE)</f>
        <v>9241. Participación ciudadana</v>
      </c>
      <c r="W1070" s="35" t="str">
        <f>MID(Tabla1[[#This Row],[Aplicación]],14,2)</f>
        <v>21</v>
      </c>
      <c r="X1070" s="35" t="str">
        <f>MID(Tabla1[[#This Row],[Aplicación]],14,6)</f>
        <v>213</v>
      </c>
    </row>
    <row r="1071" spans="1:24" x14ac:dyDescent="0.25">
      <c r="A1071" s="45">
        <v>220210002850</v>
      </c>
      <c r="B1071" s="46" t="s">
        <v>9</v>
      </c>
      <c r="C1071" s="47">
        <v>44238</v>
      </c>
      <c r="D1071" s="45">
        <v>22021002250</v>
      </c>
      <c r="E1071" s="46" t="s">
        <v>1220</v>
      </c>
      <c r="F1071" s="48">
        <v>780.75</v>
      </c>
      <c r="G1071" s="46" t="s">
        <v>206</v>
      </c>
      <c r="H1071" s="46" t="s">
        <v>2183</v>
      </c>
      <c r="I1071" s="45" t="s">
        <v>125</v>
      </c>
      <c r="J1071" s="46" t="s">
        <v>664</v>
      </c>
      <c r="K1071" s="46" t="s">
        <v>127</v>
      </c>
      <c r="L1071" s="46" t="s">
        <v>12</v>
      </c>
      <c r="M1071" s="46" t="s">
        <v>13</v>
      </c>
      <c r="N1071" s="46" t="s">
        <v>16</v>
      </c>
      <c r="O1071" s="49" t="s">
        <v>803</v>
      </c>
      <c r="P1071" s="46" t="s">
        <v>507</v>
      </c>
      <c r="Q1071" s="35" t="str">
        <f>MID(Tabla1[[#This Row],[Aplicación]],14,1)</f>
        <v>2</v>
      </c>
      <c r="R1071" s="35" t="s">
        <v>495</v>
      </c>
      <c r="S1071" s="35" t="str">
        <f>MID(Tabla1[[#This Row],[Aplicación]],6,2)</f>
        <v>03</v>
      </c>
      <c r="T1071" s="35" t="str">
        <f>VLOOKUP(Tabla1[[#This Row],[AREA]],Hoja1!A:B,2,FALSE)</f>
        <v>03. Participación ciudadana y deportes</v>
      </c>
      <c r="U1071" s="35" t="str">
        <f>MID(Tabla1[[#This Row],[Aplicación]],9,4)</f>
        <v>9241</v>
      </c>
      <c r="V1071" s="35" t="str">
        <f>VLOOKUP(Tabla1[[#This Row],[PROGRAMA]],Hoja1!A:B,2,FALSE)</f>
        <v>9241. Participación ciudadana</v>
      </c>
      <c r="W1071" s="35" t="str">
        <f>MID(Tabla1[[#This Row],[Aplicación]],14,2)</f>
        <v>21</v>
      </c>
      <c r="X1071" s="35" t="str">
        <f>MID(Tabla1[[#This Row],[Aplicación]],14,6)</f>
        <v>213</v>
      </c>
    </row>
    <row r="1072" spans="1:24" x14ac:dyDescent="0.25">
      <c r="A1072" s="45">
        <v>220210005247</v>
      </c>
      <c r="B1072" s="46" t="s">
        <v>204</v>
      </c>
      <c r="C1072" s="47">
        <v>44249</v>
      </c>
      <c r="D1072" s="45">
        <v>22021002228</v>
      </c>
      <c r="E1072" s="46" t="s">
        <v>1471</v>
      </c>
      <c r="F1072" s="48">
        <v>213.59</v>
      </c>
      <c r="G1072" s="46" t="s">
        <v>2184</v>
      </c>
      <c r="H1072" s="46" t="s">
        <v>2185</v>
      </c>
      <c r="I1072" s="45" t="s">
        <v>205</v>
      </c>
      <c r="J1072" s="46" t="s">
        <v>674</v>
      </c>
      <c r="K1072" s="46" t="s">
        <v>127</v>
      </c>
      <c r="L1072" s="46" t="s">
        <v>15</v>
      </c>
      <c r="M1072" s="46" t="s">
        <v>10</v>
      </c>
      <c r="N1072" s="46" t="s">
        <v>11</v>
      </c>
      <c r="O1072" s="49" t="s">
        <v>815</v>
      </c>
      <c r="P1072" s="46" t="s">
        <v>507</v>
      </c>
      <c r="Q1072" s="35" t="str">
        <f>MID(Tabla1[[#This Row],[Aplicación]],14,1)</f>
        <v>2</v>
      </c>
      <c r="R1072" s="35" t="s">
        <v>495</v>
      </c>
      <c r="S1072" s="35" t="str">
        <f>MID(Tabla1[[#This Row],[Aplicación]],6,2)</f>
        <v>06</v>
      </c>
      <c r="T1072" s="35" t="str">
        <f>VLOOKUP(Tabla1[[#This Row],[AREA]],Hoja1!A:B,2,FALSE)</f>
        <v>06. Educación, infancia, juventud e igualdad</v>
      </c>
      <c r="U1072" s="35" t="str">
        <f>MID(Tabla1[[#This Row],[Aplicación]],9,4)</f>
        <v>3232</v>
      </c>
      <c r="V1072" s="35" t="str">
        <f>VLOOKUP(Tabla1[[#This Row],[PROGRAMA]],Hoja1!A:B,2,FALSE)</f>
        <v>3232. Conservación y mantenimiento centros educación infantil y primaria</v>
      </c>
      <c r="W1072" s="35" t="str">
        <f>MID(Tabla1[[#This Row],[Aplicación]],14,2)</f>
        <v>21</v>
      </c>
      <c r="X1072" s="35" t="str">
        <f>MID(Tabla1[[#This Row],[Aplicación]],14,6)</f>
        <v>212</v>
      </c>
    </row>
    <row r="1073" spans="1:24" x14ac:dyDescent="0.25">
      <c r="A1073" s="45">
        <v>220210005276</v>
      </c>
      <c r="B1073" s="46" t="s">
        <v>204</v>
      </c>
      <c r="C1073" s="47">
        <v>44249</v>
      </c>
      <c r="D1073" s="45">
        <v>22021002211</v>
      </c>
      <c r="E1073" s="46" t="s">
        <v>1802</v>
      </c>
      <c r="F1073" s="48">
        <v>45980</v>
      </c>
      <c r="G1073" s="46" t="s">
        <v>101</v>
      </c>
      <c r="H1073" s="46" t="s">
        <v>2186</v>
      </c>
      <c r="I1073" s="45" t="s">
        <v>205</v>
      </c>
      <c r="J1073" s="46" t="s">
        <v>127</v>
      </c>
      <c r="K1073" s="46" t="s">
        <v>127</v>
      </c>
      <c r="L1073" s="46" t="s">
        <v>12</v>
      </c>
      <c r="M1073" s="46" t="s">
        <v>13</v>
      </c>
      <c r="N1073" s="46" t="s">
        <v>14</v>
      </c>
      <c r="O1073" s="49" t="s">
        <v>803</v>
      </c>
      <c r="P1073" s="46" t="s">
        <v>507</v>
      </c>
      <c r="Q1073" s="35" t="str">
        <f>MID(Tabla1[[#This Row],[Aplicación]],14,1)</f>
        <v>2</v>
      </c>
      <c r="R1073" s="35" t="s">
        <v>495</v>
      </c>
      <c r="S1073" s="35" t="str">
        <f>MID(Tabla1[[#This Row],[Aplicación]],6,2)</f>
        <v>06</v>
      </c>
      <c r="T1073" s="35" t="str">
        <f>VLOOKUP(Tabla1[[#This Row],[AREA]],Hoja1!A:B,2,FALSE)</f>
        <v>06. Educación, infancia, juventud e igualdad</v>
      </c>
      <c r="U1073" s="35" t="str">
        <f>MID(Tabla1[[#This Row],[Aplicación]],9,4)</f>
        <v>3232</v>
      </c>
      <c r="V1073" s="35" t="str">
        <f>VLOOKUP(Tabla1[[#This Row],[PROGRAMA]],Hoja1!A:B,2,FALSE)</f>
        <v>3232. Conservación y mantenimiento centros educación infantil y primaria</v>
      </c>
      <c r="W1073" s="35" t="str">
        <f>MID(Tabla1[[#This Row],[Aplicación]],14,2)</f>
        <v>22</v>
      </c>
      <c r="X1073" s="35" t="str">
        <f>MID(Tabla1[[#This Row],[Aplicación]],14,6)</f>
        <v>22799</v>
      </c>
    </row>
    <row r="1074" spans="1:24" x14ac:dyDescent="0.25">
      <c r="A1074" s="45">
        <v>220200034852</v>
      </c>
      <c r="B1074" s="46" t="s">
        <v>9</v>
      </c>
      <c r="C1074" s="47">
        <v>44284</v>
      </c>
      <c r="D1074" s="45">
        <v>22019008819</v>
      </c>
      <c r="E1074" s="46" t="s">
        <v>1474</v>
      </c>
      <c r="F1074" s="48">
        <v>44210.95</v>
      </c>
      <c r="G1074" s="46" t="s">
        <v>2187</v>
      </c>
      <c r="H1074" s="46" t="s">
        <v>2188</v>
      </c>
      <c r="I1074" s="45" t="s">
        <v>125</v>
      </c>
      <c r="J1074" s="46" t="s">
        <v>146</v>
      </c>
      <c r="K1074" s="46" t="s">
        <v>146</v>
      </c>
      <c r="L1074" s="46" t="s">
        <v>31</v>
      </c>
      <c r="M1074" s="46" t="s">
        <v>13</v>
      </c>
      <c r="N1074" s="46" t="s">
        <v>14</v>
      </c>
      <c r="O1074" s="49" t="s">
        <v>803</v>
      </c>
      <c r="P1074" s="46" t="s">
        <v>507</v>
      </c>
      <c r="Q1074" s="35" t="str">
        <f>MID(Tabla1[[#This Row],[Aplicación]],14,1)</f>
        <v>6</v>
      </c>
      <c r="R1074" s="35" t="s">
        <v>496</v>
      </c>
      <c r="S1074" s="35" t="str">
        <f>MID(Tabla1[[#This Row],[Aplicación]],6,2)</f>
        <v>08</v>
      </c>
      <c r="T1074" s="35" t="str">
        <f>VLOOKUP(Tabla1[[#This Row],[AREA]],Hoja1!A:B,2,FALSE)</f>
        <v>08. Movilidad y espacio urbano</v>
      </c>
      <c r="U1074" s="35" t="str">
        <f>MID(Tabla1[[#This Row],[Aplicación]],9,4)</f>
        <v>1651</v>
      </c>
      <c r="V1074" s="35" t="str">
        <f>VLOOKUP(Tabla1[[#This Row],[PROGRAMA]],Hoja1!A:B,2,FALSE)</f>
        <v>1651. Alumbrado público</v>
      </c>
      <c r="W1074" s="35" t="str">
        <f>MID(Tabla1[[#This Row],[Aplicación]],14,2)</f>
        <v>61</v>
      </c>
      <c r="X1074" s="35" t="str">
        <f>MID(Tabla1[[#This Row],[Aplicación]],14,6)</f>
        <v>619</v>
      </c>
    </row>
    <row r="1075" spans="1:24" x14ac:dyDescent="0.25">
      <c r="A1075" s="45">
        <v>220209000720</v>
      </c>
      <c r="B1075" s="46" t="s">
        <v>9</v>
      </c>
      <c r="C1075" s="47">
        <v>44198</v>
      </c>
      <c r="D1075" s="45">
        <v>22021000457</v>
      </c>
      <c r="E1075" s="46" t="s">
        <v>2189</v>
      </c>
      <c r="F1075" s="48">
        <v>43297.08</v>
      </c>
      <c r="G1075" s="46" t="s">
        <v>177</v>
      </c>
      <c r="H1075" s="46" t="s">
        <v>2190</v>
      </c>
      <c r="I1075" s="45" t="s">
        <v>125</v>
      </c>
      <c r="J1075" s="46" t="s">
        <v>626</v>
      </c>
      <c r="K1075" s="46" t="s">
        <v>178</v>
      </c>
      <c r="L1075" s="46" t="s">
        <v>12</v>
      </c>
      <c r="M1075" s="46" t="s">
        <v>13</v>
      </c>
      <c r="N1075" s="46" t="s">
        <v>14</v>
      </c>
      <c r="O1075" s="49" t="s">
        <v>803</v>
      </c>
      <c r="P1075" s="46" t="s">
        <v>507</v>
      </c>
      <c r="Q1075" s="35" t="str">
        <f>MID(Tabla1[[#This Row],[Aplicación]],14,1)</f>
        <v>2</v>
      </c>
      <c r="R1075" s="35" t="s">
        <v>495</v>
      </c>
      <c r="S1075" s="35" t="str">
        <f>MID(Tabla1[[#This Row],[Aplicación]],6,2)</f>
        <v>05</v>
      </c>
      <c r="T1075" s="35" t="str">
        <f>VLOOKUP(Tabla1[[#This Row],[AREA]],Hoja1!A:B,2,FALSE)</f>
        <v>05. Innovación, desarrollo económico, empleo y comercio</v>
      </c>
      <c r="U1075" s="35" t="str">
        <f>MID(Tabla1[[#This Row],[Aplicación]],9,4)</f>
        <v>4331</v>
      </c>
      <c r="V1075" s="35" t="str">
        <f>VLOOKUP(Tabla1[[#This Row],[PROGRAMA]],Hoja1!A:B,2,FALSE)</f>
        <v>4331. Desarrollo empresarial</v>
      </c>
      <c r="W1075" s="35" t="str">
        <f>MID(Tabla1[[#This Row],[Aplicación]],14,2)</f>
        <v>22</v>
      </c>
      <c r="X1075" s="35" t="str">
        <f>MID(Tabla1[[#This Row],[Aplicación]],14,6)</f>
        <v>22700</v>
      </c>
    </row>
    <row r="1076" spans="1:24" x14ac:dyDescent="0.25">
      <c r="A1076" s="45">
        <v>220209000686</v>
      </c>
      <c r="B1076" s="46" t="s">
        <v>9</v>
      </c>
      <c r="C1076" s="47">
        <v>44198</v>
      </c>
      <c r="D1076" s="45">
        <v>22021000430</v>
      </c>
      <c r="E1076" s="46" t="s">
        <v>1166</v>
      </c>
      <c r="F1076" s="48">
        <v>40277.06</v>
      </c>
      <c r="G1076" s="46" t="s">
        <v>2191</v>
      </c>
      <c r="H1076" s="46" t="s">
        <v>2192</v>
      </c>
      <c r="I1076" s="45" t="s">
        <v>125</v>
      </c>
      <c r="J1076" s="46" t="s">
        <v>127</v>
      </c>
      <c r="K1076" s="46" t="s">
        <v>127</v>
      </c>
      <c r="L1076" s="46" t="s">
        <v>12</v>
      </c>
      <c r="M1076" s="46" t="s">
        <v>13</v>
      </c>
      <c r="N1076" s="46" t="s">
        <v>14</v>
      </c>
      <c r="O1076" s="49" t="s">
        <v>803</v>
      </c>
      <c r="P1076" s="46" t="s">
        <v>507</v>
      </c>
      <c r="Q1076" s="35" t="str">
        <f>MID(Tabla1[[#This Row],[Aplicación]],14,1)</f>
        <v>2</v>
      </c>
      <c r="R1076" s="35" t="s">
        <v>495</v>
      </c>
      <c r="S1076" s="35" t="str">
        <f>MID(Tabla1[[#This Row],[Aplicación]],6,2)</f>
        <v>03</v>
      </c>
      <c r="T1076" s="35" t="str">
        <f>VLOOKUP(Tabla1[[#This Row],[AREA]],Hoja1!A:B,2,FALSE)</f>
        <v>03. Participación ciudadana y deportes</v>
      </c>
      <c r="U1076" s="35" t="str">
        <f>MID(Tabla1[[#This Row],[Aplicación]],9,4)</f>
        <v>9241</v>
      </c>
      <c r="V1076" s="35" t="str">
        <f>VLOOKUP(Tabla1[[#This Row],[PROGRAMA]],Hoja1!A:B,2,FALSE)</f>
        <v>9241. Participación ciudadana</v>
      </c>
      <c r="W1076" s="35" t="str">
        <f>MID(Tabla1[[#This Row],[Aplicación]],14,2)</f>
        <v>22</v>
      </c>
      <c r="X1076" s="35" t="str">
        <f>MID(Tabla1[[#This Row],[Aplicación]],14,6)</f>
        <v>22799</v>
      </c>
    </row>
    <row r="1077" spans="1:24" x14ac:dyDescent="0.25">
      <c r="A1077" s="45">
        <v>220210004122</v>
      </c>
      <c r="B1077" s="46" t="s">
        <v>204</v>
      </c>
      <c r="C1077" s="47">
        <v>44244</v>
      </c>
      <c r="D1077" s="45">
        <v>22021002146</v>
      </c>
      <c r="E1077" s="46" t="s">
        <v>1410</v>
      </c>
      <c r="F1077" s="48">
        <v>47.88</v>
      </c>
      <c r="G1077" s="46" t="s">
        <v>264</v>
      </c>
      <c r="H1077" s="46" t="s">
        <v>2193</v>
      </c>
      <c r="I1077" s="45" t="s">
        <v>205</v>
      </c>
      <c r="J1077" s="46" t="s">
        <v>127</v>
      </c>
      <c r="K1077" s="46" t="s">
        <v>127</v>
      </c>
      <c r="L1077" s="46" t="s">
        <v>15</v>
      </c>
      <c r="M1077" s="46" t="s">
        <v>13</v>
      </c>
      <c r="N1077" s="46" t="s">
        <v>14</v>
      </c>
      <c r="O1077" s="49" t="s">
        <v>814</v>
      </c>
      <c r="P1077" s="46" t="s">
        <v>507</v>
      </c>
      <c r="Q1077" s="35" t="str">
        <f>MID(Tabla1[[#This Row],[Aplicación]],14,1)</f>
        <v>2</v>
      </c>
      <c r="R1077" s="35" t="s">
        <v>495</v>
      </c>
      <c r="S1077" s="35" t="str">
        <f>MID(Tabla1[[#This Row],[Aplicación]],6,2)</f>
        <v>07</v>
      </c>
      <c r="T1077" s="35" t="str">
        <f>VLOOKUP(Tabla1[[#This Row],[AREA]],Hoja1!A:B,2,FALSE)</f>
        <v>07. Medio ambiente y desarrollo sostenible</v>
      </c>
      <c r="U1077" s="35" t="str">
        <f>MID(Tabla1[[#This Row],[Aplicación]],9,4)</f>
        <v>1711</v>
      </c>
      <c r="V1077" s="35" t="str">
        <f>VLOOKUP(Tabla1[[#This Row],[PROGRAMA]],Hoja1!A:B,2,FALSE)</f>
        <v>1711. Parques y jardines</v>
      </c>
      <c r="W1077" s="35" t="str">
        <f>MID(Tabla1[[#This Row],[Aplicación]],14,2)</f>
        <v>21</v>
      </c>
      <c r="X1077" s="35" t="str">
        <f>MID(Tabla1[[#This Row],[Aplicación]],14,6)</f>
        <v>214</v>
      </c>
    </row>
    <row r="1078" spans="1:24" x14ac:dyDescent="0.25">
      <c r="A1078" s="45">
        <v>220210004565</v>
      </c>
      <c r="B1078" s="46" t="s">
        <v>204</v>
      </c>
      <c r="C1078" s="47">
        <v>44246</v>
      </c>
      <c r="D1078" s="45">
        <v>22021002146</v>
      </c>
      <c r="E1078" s="46" t="s">
        <v>1410</v>
      </c>
      <c r="F1078" s="48">
        <v>26.62</v>
      </c>
      <c r="G1078" s="46" t="s">
        <v>264</v>
      </c>
      <c r="H1078" s="46" t="s">
        <v>2194</v>
      </c>
      <c r="I1078" s="45" t="s">
        <v>205</v>
      </c>
      <c r="J1078" s="46" t="s">
        <v>127</v>
      </c>
      <c r="K1078" s="46" t="s">
        <v>127</v>
      </c>
      <c r="L1078" s="46" t="s">
        <v>15</v>
      </c>
      <c r="M1078" s="46" t="s">
        <v>13</v>
      </c>
      <c r="N1078" s="46" t="s">
        <v>14</v>
      </c>
      <c r="O1078" s="49" t="s">
        <v>814</v>
      </c>
      <c r="P1078" s="46" t="s">
        <v>507</v>
      </c>
      <c r="Q1078" s="35" t="str">
        <f>MID(Tabla1[[#This Row],[Aplicación]],14,1)</f>
        <v>2</v>
      </c>
      <c r="R1078" s="35" t="s">
        <v>495</v>
      </c>
      <c r="S1078" s="35" t="str">
        <f>MID(Tabla1[[#This Row],[Aplicación]],6,2)</f>
        <v>07</v>
      </c>
      <c r="T1078" s="35" t="str">
        <f>VLOOKUP(Tabla1[[#This Row],[AREA]],Hoja1!A:B,2,FALSE)</f>
        <v>07. Medio ambiente y desarrollo sostenible</v>
      </c>
      <c r="U1078" s="35" t="str">
        <f>MID(Tabla1[[#This Row],[Aplicación]],9,4)</f>
        <v>1711</v>
      </c>
      <c r="V1078" s="35" t="str">
        <f>VLOOKUP(Tabla1[[#This Row],[PROGRAMA]],Hoja1!A:B,2,FALSE)</f>
        <v>1711. Parques y jardines</v>
      </c>
      <c r="W1078" s="35" t="str">
        <f>MID(Tabla1[[#This Row],[Aplicación]],14,2)</f>
        <v>21</v>
      </c>
      <c r="X1078" s="35" t="str">
        <f>MID(Tabla1[[#This Row],[Aplicación]],14,6)</f>
        <v>214</v>
      </c>
    </row>
    <row r="1079" spans="1:24" x14ac:dyDescent="0.25">
      <c r="A1079" s="45">
        <v>220210005499</v>
      </c>
      <c r="B1079" s="46" t="s">
        <v>204</v>
      </c>
      <c r="C1079" s="47">
        <v>44250</v>
      </c>
      <c r="D1079" s="45">
        <v>22021001967</v>
      </c>
      <c r="E1079" s="46" t="s">
        <v>1167</v>
      </c>
      <c r="F1079" s="48">
        <v>220.99</v>
      </c>
      <c r="G1079" s="46" t="s">
        <v>264</v>
      </c>
      <c r="H1079" s="46" t="s">
        <v>2195</v>
      </c>
      <c r="I1079" s="45" t="s">
        <v>205</v>
      </c>
      <c r="J1079" s="46" t="s">
        <v>127</v>
      </c>
      <c r="K1079" s="46" t="s">
        <v>127</v>
      </c>
      <c r="L1079" s="46" t="s">
        <v>15</v>
      </c>
      <c r="M1079" s="46" t="s">
        <v>13</v>
      </c>
      <c r="N1079" s="46" t="s">
        <v>14</v>
      </c>
      <c r="O1079" s="49" t="s">
        <v>814</v>
      </c>
      <c r="P1079" s="46" t="s">
        <v>507</v>
      </c>
      <c r="Q1079" s="35" t="str">
        <f>MID(Tabla1[[#This Row],[Aplicación]],14,1)</f>
        <v>2</v>
      </c>
      <c r="R1079" s="35" t="s">
        <v>495</v>
      </c>
      <c r="S1079" s="35" t="str">
        <f>MID(Tabla1[[#This Row],[Aplicación]],6,2)</f>
        <v>11</v>
      </c>
      <c r="T1079" s="35" t="str">
        <f>VLOOKUP(Tabla1[[#This Row],[AREA]],Hoja1!A:B,2,FALSE)</f>
        <v>11. Salud pública y seguridad ciudadana</v>
      </c>
      <c r="U1079" s="35" t="str">
        <f>MID(Tabla1[[#This Row],[Aplicación]],9,4)</f>
        <v>1321</v>
      </c>
      <c r="V1079" s="35" t="str">
        <f>VLOOKUP(Tabla1[[#This Row],[PROGRAMA]],Hoja1!A:B,2,FALSE)</f>
        <v>1321. Policía municipal</v>
      </c>
      <c r="W1079" s="35" t="str">
        <f>MID(Tabla1[[#This Row],[Aplicación]],14,2)</f>
        <v>21</v>
      </c>
      <c r="X1079" s="35" t="str">
        <f>MID(Tabla1[[#This Row],[Aplicación]],14,6)</f>
        <v>214</v>
      </c>
    </row>
    <row r="1080" spans="1:24" x14ac:dyDescent="0.25">
      <c r="A1080" s="45">
        <v>220210005519</v>
      </c>
      <c r="B1080" s="46" t="s">
        <v>204</v>
      </c>
      <c r="C1080" s="47">
        <v>44250</v>
      </c>
      <c r="D1080" s="45">
        <v>22021002048</v>
      </c>
      <c r="E1080" s="46" t="s">
        <v>890</v>
      </c>
      <c r="F1080" s="48">
        <v>208.42</v>
      </c>
      <c r="G1080" s="46" t="s">
        <v>273</v>
      </c>
      <c r="H1080" s="46" t="s">
        <v>2196</v>
      </c>
      <c r="I1080" s="45" t="s">
        <v>205</v>
      </c>
      <c r="J1080" s="46" t="s">
        <v>127</v>
      </c>
      <c r="K1080" s="46" t="s">
        <v>127</v>
      </c>
      <c r="L1080" s="46" t="s">
        <v>15</v>
      </c>
      <c r="M1080" s="46" t="s">
        <v>13</v>
      </c>
      <c r="N1080" s="46" t="s">
        <v>14</v>
      </c>
      <c r="O1080" s="49" t="s">
        <v>814</v>
      </c>
      <c r="P1080" s="46" t="s">
        <v>507</v>
      </c>
      <c r="Q1080" s="35" t="str">
        <f>MID(Tabla1[[#This Row],[Aplicación]],14,1)</f>
        <v>2</v>
      </c>
      <c r="R1080" s="35" t="s">
        <v>495</v>
      </c>
      <c r="S1080" s="35" t="str">
        <f>MID(Tabla1[[#This Row],[Aplicación]],6,2)</f>
        <v>11</v>
      </c>
      <c r="T1080" s="35" t="str">
        <f>VLOOKUP(Tabla1[[#This Row],[AREA]],Hoja1!A:B,2,FALSE)</f>
        <v>11. Salud pública y seguridad ciudadana</v>
      </c>
      <c r="U1080" s="35" t="str">
        <f>MID(Tabla1[[#This Row],[Aplicación]],9,4)</f>
        <v>1621</v>
      </c>
      <c r="V1080" s="35" t="str">
        <f>VLOOKUP(Tabla1[[#This Row],[PROGRAMA]],Hoja1!A:B,2,FALSE)</f>
        <v>1621. Servicio de limpieza</v>
      </c>
      <c r="W1080" s="35" t="str">
        <f>MID(Tabla1[[#This Row],[Aplicación]],14,2)</f>
        <v>21</v>
      </c>
      <c r="X1080" s="35" t="str">
        <f>MID(Tabla1[[#This Row],[Aplicación]],14,6)</f>
        <v>214</v>
      </c>
    </row>
    <row r="1081" spans="1:24" x14ac:dyDescent="0.25">
      <c r="A1081" s="45">
        <v>220210005588</v>
      </c>
      <c r="B1081" s="46" t="s">
        <v>204</v>
      </c>
      <c r="C1081" s="47">
        <v>44250</v>
      </c>
      <c r="D1081" s="45">
        <v>22021002048</v>
      </c>
      <c r="E1081" s="46" t="s">
        <v>890</v>
      </c>
      <c r="F1081" s="48">
        <v>257.16000000000003</v>
      </c>
      <c r="G1081" s="46" t="s">
        <v>273</v>
      </c>
      <c r="H1081" s="46" t="s">
        <v>2197</v>
      </c>
      <c r="I1081" s="45" t="s">
        <v>205</v>
      </c>
      <c r="J1081" s="46" t="s">
        <v>127</v>
      </c>
      <c r="K1081" s="46" t="s">
        <v>127</v>
      </c>
      <c r="L1081" s="46" t="s">
        <v>15</v>
      </c>
      <c r="M1081" s="46" t="s">
        <v>13</v>
      </c>
      <c r="N1081" s="46" t="s">
        <v>14</v>
      </c>
      <c r="O1081" s="49" t="s">
        <v>814</v>
      </c>
      <c r="P1081" s="46" t="s">
        <v>507</v>
      </c>
      <c r="Q1081" s="35" t="str">
        <f>MID(Tabla1[[#This Row],[Aplicación]],14,1)</f>
        <v>2</v>
      </c>
      <c r="R1081" s="35" t="s">
        <v>495</v>
      </c>
      <c r="S1081" s="35" t="str">
        <f>MID(Tabla1[[#This Row],[Aplicación]],6,2)</f>
        <v>11</v>
      </c>
      <c r="T1081" s="35" t="str">
        <f>VLOOKUP(Tabla1[[#This Row],[AREA]],Hoja1!A:B,2,FALSE)</f>
        <v>11. Salud pública y seguridad ciudadana</v>
      </c>
      <c r="U1081" s="35" t="str">
        <f>MID(Tabla1[[#This Row],[Aplicación]],9,4)</f>
        <v>1621</v>
      </c>
      <c r="V1081" s="35" t="str">
        <f>VLOOKUP(Tabla1[[#This Row],[PROGRAMA]],Hoja1!A:B,2,FALSE)</f>
        <v>1621. Servicio de limpieza</v>
      </c>
      <c r="W1081" s="35" t="str">
        <f>MID(Tabla1[[#This Row],[Aplicación]],14,2)</f>
        <v>21</v>
      </c>
      <c r="X1081" s="35" t="str">
        <f>MID(Tabla1[[#This Row],[Aplicación]],14,6)</f>
        <v>214</v>
      </c>
    </row>
    <row r="1082" spans="1:24" x14ac:dyDescent="0.25">
      <c r="A1082" s="45">
        <v>220209000587</v>
      </c>
      <c r="B1082" s="46" t="s">
        <v>9</v>
      </c>
      <c r="C1082" s="47">
        <v>44198</v>
      </c>
      <c r="D1082" s="45">
        <v>22021000606</v>
      </c>
      <c r="E1082" s="46" t="s">
        <v>2198</v>
      </c>
      <c r="F1082" s="48">
        <v>5000</v>
      </c>
      <c r="G1082" s="46" t="s">
        <v>47</v>
      </c>
      <c r="H1082" s="46" t="s">
        <v>2199</v>
      </c>
      <c r="I1082" s="45" t="s">
        <v>125</v>
      </c>
      <c r="J1082" s="46" t="s">
        <v>148</v>
      </c>
      <c r="K1082" s="46" t="s">
        <v>201</v>
      </c>
      <c r="L1082" s="46" t="s">
        <v>15</v>
      </c>
      <c r="M1082" s="46" t="s">
        <v>13</v>
      </c>
      <c r="N1082" s="46" t="s">
        <v>16</v>
      </c>
      <c r="O1082" s="49" t="s">
        <v>803</v>
      </c>
      <c r="P1082" s="46" t="s">
        <v>507</v>
      </c>
      <c r="Q1082" s="35" t="str">
        <f>MID(Tabla1[[#This Row],[Aplicación]],14,1)</f>
        <v>2</v>
      </c>
      <c r="R1082" s="35" t="s">
        <v>495</v>
      </c>
      <c r="S1082" s="35" t="str">
        <f>MID(Tabla1[[#This Row],[Aplicación]],6,2)</f>
        <v>06</v>
      </c>
      <c r="T1082" s="35" t="str">
        <f>VLOOKUP(Tabla1[[#This Row],[AREA]],Hoja1!A:B,2,FALSE)</f>
        <v>06. Educación, infancia, juventud e igualdad</v>
      </c>
      <c r="U1082" s="35" t="str">
        <f>MID(Tabla1[[#This Row],[Aplicación]],9,4)</f>
        <v>3321</v>
      </c>
      <c r="V1082" s="35" t="str">
        <f>VLOOKUP(Tabla1[[#This Row],[PROGRAMA]],Hoja1!A:B,2,FALSE)</f>
        <v>3321. Bibliotecas públicas</v>
      </c>
      <c r="W1082" s="35" t="str">
        <f>MID(Tabla1[[#This Row],[Aplicación]],14,2)</f>
        <v>22</v>
      </c>
      <c r="X1082" s="35" t="str">
        <f>MID(Tabla1[[#This Row],[Aplicación]],14,6)</f>
        <v>22100</v>
      </c>
    </row>
    <row r="1083" spans="1:24" x14ac:dyDescent="0.25">
      <c r="A1083" s="45">
        <v>220209000588</v>
      </c>
      <c r="B1083" s="46" t="s">
        <v>9</v>
      </c>
      <c r="C1083" s="47">
        <v>44198</v>
      </c>
      <c r="D1083" s="45">
        <v>22021000607</v>
      </c>
      <c r="E1083" s="46" t="s">
        <v>2200</v>
      </c>
      <c r="F1083" s="48">
        <v>21200</v>
      </c>
      <c r="G1083" s="46" t="s">
        <v>47</v>
      </c>
      <c r="H1083" s="46" t="s">
        <v>2201</v>
      </c>
      <c r="I1083" s="45" t="s">
        <v>125</v>
      </c>
      <c r="J1083" s="46" t="s">
        <v>148</v>
      </c>
      <c r="K1083" s="46" t="s">
        <v>201</v>
      </c>
      <c r="L1083" s="46" t="s">
        <v>15</v>
      </c>
      <c r="M1083" s="46" t="s">
        <v>13</v>
      </c>
      <c r="N1083" s="46" t="s">
        <v>14</v>
      </c>
      <c r="O1083" s="49" t="s">
        <v>803</v>
      </c>
      <c r="P1083" s="46" t="s">
        <v>507</v>
      </c>
      <c r="Q1083" s="35" t="str">
        <f>MID(Tabla1[[#This Row],[Aplicación]],14,1)</f>
        <v>2</v>
      </c>
      <c r="R1083" s="35" t="s">
        <v>495</v>
      </c>
      <c r="S1083" s="35" t="str">
        <f>MID(Tabla1[[#This Row],[Aplicación]],6,2)</f>
        <v>10</v>
      </c>
      <c r="T1083" s="35" t="str">
        <f>VLOOKUP(Tabla1[[#This Row],[AREA]],Hoja1!A:B,2,FALSE)</f>
        <v>10. Servicios sociales y mediación comunitaria</v>
      </c>
      <c r="U1083" s="35" t="str">
        <f>MID(Tabla1[[#This Row],[Aplicación]],9,4)</f>
        <v>2311</v>
      </c>
      <c r="V1083" s="35" t="str">
        <f>VLOOKUP(Tabla1[[#This Row],[PROGRAMA]],Hoja1!A:B,2,FALSE)</f>
        <v>2311. Intervención social</v>
      </c>
      <c r="W1083" s="35" t="str">
        <f>MID(Tabla1[[#This Row],[Aplicación]],14,2)</f>
        <v>22</v>
      </c>
      <c r="X1083" s="35" t="str">
        <f>MID(Tabla1[[#This Row],[Aplicación]],14,6)</f>
        <v>22100</v>
      </c>
    </row>
    <row r="1084" spans="1:24" x14ac:dyDescent="0.25">
      <c r="A1084" s="45">
        <v>220209000559</v>
      </c>
      <c r="B1084" s="46" t="s">
        <v>9</v>
      </c>
      <c r="C1084" s="47">
        <v>44198</v>
      </c>
      <c r="D1084" s="45">
        <v>22021000590</v>
      </c>
      <c r="E1084" s="46" t="s">
        <v>827</v>
      </c>
      <c r="F1084" s="48">
        <v>37893.620000000003</v>
      </c>
      <c r="G1084" s="46" t="s">
        <v>134</v>
      </c>
      <c r="H1084" s="46" t="s">
        <v>2202</v>
      </c>
      <c r="I1084" s="45" t="s">
        <v>125</v>
      </c>
      <c r="J1084" s="46" t="s">
        <v>659</v>
      </c>
      <c r="K1084" s="46" t="s">
        <v>127</v>
      </c>
      <c r="L1084" s="46" t="s">
        <v>12</v>
      </c>
      <c r="M1084" s="46" t="s">
        <v>13</v>
      </c>
      <c r="N1084" s="46" t="s">
        <v>14</v>
      </c>
      <c r="O1084" s="49" t="s">
        <v>803</v>
      </c>
      <c r="P1084" s="46" t="s">
        <v>507</v>
      </c>
      <c r="Q1084" s="35" t="str">
        <f>MID(Tabla1[[#This Row],[Aplicación]],14,1)</f>
        <v>2</v>
      </c>
      <c r="R1084" s="35" t="s">
        <v>495</v>
      </c>
      <c r="S1084" s="35" t="str">
        <f>MID(Tabla1[[#This Row],[Aplicación]],6,2)</f>
        <v>04</v>
      </c>
      <c r="T1084" s="35" t="str">
        <f>VLOOKUP(Tabla1[[#This Row],[AREA]],Hoja1!A:B,2,FALSE)</f>
        <v>04. Planificación y recursos</v>
      </c>
      <c r="U1084" s="35" t="str">
        <f>MID(Tabla1[[#This Row],[Aplicación]],9,4)</f>
        <v>9204</v>
      </c>
      <c r="V1084" s="35" t="str">
        <f>VLOOKUP(Tabla1[[#This Row],[PROGRAMA]],Hoja1!A:B,2,FALSE)</f>
        <v>9204. Tecnologías de la información y comunicación</v>
      </c>
      <c r="W1084" s="35" t="str">
        <f>MID(Tabla1[[#This Row],[Aplicación]],14,2)</f>
        <v>21</v>
      </c>
      <c r="X1084" s="35" t="str">
        <f>MID(Tabla1[[#This Row],[Aplicación]],14,6)</f>
        <v>216</v>
      </c>
    </row>
    <row r="1085" spans="1:24" x14ac:dyDescent="0.25">
      <c r="A1085" s="45">
        <v>220200047933</v>
      </c>
      <c r="B1085" s="46" t="s">
        <v>9</v>
      </c>
      <c r="C1085" s="47">
        <v>44284</v>
      </c>
      <c r="D1085" s="45">
        <v>22019005727</v>
      </c>
      <c r="E1085" s="46" t="s">
        <v>2203</v>
      </c>
      <c r="F1085" s="48">
        <v>36384.699999999997</v>
      </c>
      <c r="G1085" s="46" t="s">
        <v>2204</v>
      </c>
      <c r="H1085" s="46" t="s">
        <v>2205</v>
      </c>
      <c r="I1085" s="45" t="s">
        <v>125</v>
      </c>
      <c r="J1085" s="46" t="s">
        <v>165</v>
      </c>
      <c r="K1085" s="46" t="s">
        <v>165</v>
      </c>
      <c r="L1085" s="46" t="s">
        <v>12</v>
      </c>
      <c r="M1085" s="46" t="s">
        <v>13</v>
      </c>
      <c r="N1085" s="46" t="s">
        <v>14</v>
      </c>
      <c r="O1085" s="49" t="s">
        <v>803</v>
      </c>
      <c r="P1085" s="46" t="s">
        <v>507</v>
      </c>
      <c r="Q1085" s="35" t="str">
        <f>MID(Tabla1[[#This Row],[Aplicación]],14,1)</f>
        <v>6</v>
      </c>
      <c r="R1085" s="35" t="s">
        <v>496</v>
      </c>
      <c r="S1085" s="35" t="str">
        <f>MID(Tabla1[[#This Row],[Aplicación]],6,2)</f>
        <v>02</v>
      </c>
      <c r="T1085" s="35" t="str">
        <f>VLOOKUP(Tabla1[[#This Row],[AREA]],Hoja1!A:B,2,FALSE)</f>
        <v>02. Planeamiento urbanístico y vivienda</v>
      </c>
      <c r="U1085" s="35" t="str">
        <f>MID(Tabla1[[#This Row],[Aplicación]],9,4)</f>
        <v>1511</v>
      </c>
      <c r="V1085" s="35" t="str">
        <f>VLOOKUP(Tabla1[[#This Row],[PROGRAMA]],Hoja1!A:B,2,FALSE)</f>
        <v>1511. Planficación y gestión del urbanismo</v>
      </c>
      <c r="W1085" s="35" t="str">
        <f>MID(Tabla1[[#This Row],[Aplicación]],14,2)</f>
        <v>61</v>
      </c>
      <c r="X1085" s="35" t="str">
        <f>MID(Tabla1[[#This Row],[Aplicación]],14,6)</f>
        <v>619</v>
      </c>
    </row>
    <row r="1086" spans="1:24" x14ac:dyDescent="0.25">
      <c r="A1086" s="45">
        <v>220200073894</v>
      </c>
      <c r="B1086" s="46" t="s">
        <v>9</v>
      </c>
      <c r="C1086" s="47">
        <v>44284</v>
      </c>
      <c r="D1086" s="45">
        <v>22019007657</v>
      </c>
      <c r="E1086" s="46" t="s">
        <v>1936</v>
      </c>
      <c r="F1086" s="48">
        <v>35513.14</v>
      </c>
      <c r="G1086" s="46" t="s">
        <v>2206</v>
      </c>
      <c r="H1086" s="46" t="s">
        <v>2207</v>
      </c>
      <c r="I1086" s="45" t="s">
        <v>125</v>
      </c>
      <c r="J1086" s="46" t="s">
        <v>127</v>
      </c>
      <c r="K1086" s="46" t="s">
        <v>127</v>
      </c>
      <c r="L1086" s="46" t="s">
        <v>31</v>
      </c>
      <c r="M1086" s="46" t="s">
        <v>13</v>
      </c>
      <c r="N1086" s="46" t="s">
        <v>16</v>
      </c>
      <c r="O1086" s="49" t="s">
        <v>803</v>
      </c>
      <c r="P1086" s="46" t="s">
        <v>507</v>
      </c>
      <c r="Q1086" s="35" t="str">
        <f>MID(Tabla1[[#This Row],[Aplicación]],14,1)</f>
        <v>6</v>
      </c>
      <c r="R1086" s="35" t="s">
        <v>496</v>
      </c>
      <c r="S1086" s="35" t="str">
        <f>MID(Tabla1[[#This Row],[Aplicación]],6,2)</f>
        <v>11</v>
      </c>
      <c r="T1086" s="35" t="str">
        <f>VLOOKUP(Tabla1[[#This Row],[AREA]],Hoja1!A:B,2,FALSE)</f>
        <v>11. Salud pública y seguridad ciudadana</v>
      </c>
      <c r="U1086" s="35" t="str">
        <f>MID(Tabla1[[#This Row],[Aplicación]],9,4)</f>
        <v>1361</v>
      </c>
      <c r="V1086" s="35" t="str">
        <f>VLOOKUP(Tabla1[[#This Row],[PROGRAMA]],Hoja1!A:B,2,FALSE)</f>
        <v>1361. Prevención y extinción de incencios</v>
      </c>
      <c r="W1086" s="35" t="str">
        <f>MID(Tabla1[[#This Row],[Aplicación]],14,2)</f>
        <v>63</v>
      </c>
      <c r="X1086" s="35" t="str">
        <f>MID(Tabla1[[#This Row],[Aplicación]],14,6)</f>
        <v>632</v>
      </c>
    </row>
    <row r="1087" spans="1:24" x14ac:dyDescent="0.25">
      <c r="A1087" s="45">
        <v>220209000060</v>
      </c>
      <c r="B1087" s="46" t="s">
        <v>9</v>
      </c>
      <c r="C1087" s="47">
        <v>44198</v>
      </c>
      <c r="D1087" s="45">
        <v>22021000196</v>
      </c>
      <c r="E1087" s="46" t="s">
        <v>1569</v>
      </c>
      <c r="F1087" s="48">
        <v>9395.6</v>
      </c>
      <c r="G1087" s="46" t="s">
        <v>526</v>
      </c>
      <c r="H1087" s="46" t="s">
        <v>655</v>
      </c>
      <c r="I1087" s="45" t="s">
        <v>125</v>
      </c>
      <c r="J1087" s="46" t="s">
        <v>656</v>
      </c>
      <c r="K1087" s="46" t="s">
        <v>201</v>
      </c>
      <c r="L1087" s="46" t="s">
        <v>15</v>
      </c>
      <c r="M1087" s="46" t="s">
        <v>13</v>
      </c>
      <c r="N1087" s="46" t="s">
        <v>16</v>
      </c>
      <c r="O1087" s="49" t="s">
        <v>803</v>
      </c>
      <c r="P1087" s="46" t="s">
        <v>507</v>
      </c>
      <c r="Q1087" s="35" t="str">
        <f>MID(Tabla1[[#This Row],[Aplicación]],14,1)</f>
        <v>2</v>
      </c>
      <c r="R1087" s="35" t="s">
        <v>495</v>
      </c>
      <c r="S1087" s="35" t="str">
        <f>MID(Tabla1[[#This Row],[Aplicación]],6,2)</f>
        <v>04</v>
      </c>
      <c r="T1087" s="35" t="str">
        <f>VLOOKUP(Tabla1[[#This Row],[AREA]],Hoja1!A:B,2,FALSE)</f>
        <v>04. Planificación y recursos</v>
      </c>
      <c r="U1087" s="35" t="str">
        <f>MID(Tabla1[[#This Row],[Aplicación]],9,4)</f>
        <v>9204</v>
      </c>
      <c r="V1087" s="35" t="str">
        <f>VLOOKUP(Tabla1[[#This Row],[PROGRAMA]],Hoja1!A:B,2,FALSE)</f>
        <v>9204. Tecnologías de la información y comunicación</v>
      </c>
      <c r="W1087" s="35" t="str">
        <f>MID(Tabla1[[#This Row],[Aplicación]],14,2)</f>
        <v>22</v>
      </c>
      <c r="X1087" s="35" t="str">
        <f>MID(Tabla1[[#This Row],[Aplicación]],14,6)</f>
        <v>22002</v>
      </c>
    </row>
    <row r="1088" spans="1:24" x14ac:dyDescent="0.25">
      <c r="A1088" s="45">
        <v>220209000708</v>
      </c>
      <c r="B1088" s="46" t="s">
        <v>9</v>
      </c>
      <c r="C1088" s="47">
        <v>44198</v>
      </c>
      <c r="D1088" s="45">
        <v>22021000445</v>
      </c>
      <c r="E1088" s="46" t="s">
        <v>1569</v>
      </c>
      <c r="F1088" s="48">
        <v>17000</v>
      </c>
      <c r="G1088" s="46" t="s">
        <v>526</v>
      </c>
      <c r="H1088" s="46" t="s">
        <v>2208</v>
      </c>
      <c r="I1088" s="45" t="s">
        <v>125</v>
      </c>
      <c r="J1088" s="46" t="s">
        <v>656</v>
      </c>
      <c r="K1088" s="46" t="s">
        <v>201</v>
      </c>
      <c r="L1088" s="46" t="s">
        <v>15</v>
      </c>
      <c r="M1088" s="46" t="s">
        <v>13</v>
      </c>
      <c r="N1088" s="46" t="s">
        <v>16</v>
      </c>
      <c r="O1088" s="49" t="s">
        <v>803</v>
      </c>
      <c r="P1088" s="46" t="s">
        <v>507</v>
      </c>
      <c r="Q1088" s="35" t="str">
        <f>MID(Tabla1[[#This Row],[Aplicación]],14,1)</f>
        <v>2</v>
      </c>
      <c r="R1088" s="35" t="s">
        <v>495</v>
      </c>
      <c r="S1088" s="35" t="str">
        <f>MID(Tabla1[[#This Row],[Aplicación]],6,2)</f>
        <v>04</v>
      </c>
      <c r="T1088" s="35" t="str">
        <f>VLOOKUP(Tabla1[[#This Row],[AREA]],Hoja1!A:B,2,FALSE)</f>
        <v>04. Planificación y recursos</v>
      </c>
      <c r="U1088" s="35" t="str">
        <f>MID(Tabla1[[#This Row],[Aplicación]],9,4)</f>
        <v>9204</v>
      </c>
      <c r="V1088" s="35" t="str">
        <f>VLOOKUP(Tabla1[[#This Row],[PROGRAMA]],Hoja1!A:B,2,FALSE)</f>
        <v>9204. Tecnologías de la información y comunicación</v>
      </c>
      <c r="W1088" s="35" t="str">
        <f>MID(Tabla1[[#This Row],[Aplicación]],14,2)</f>
        <v>22</v>
      </c>
      <c r="X1088" s="35" t="str">
        <f>MID(Tabla1[[#This Row],[Aplicación]],14,6)</f>
        <v>22002</v>
      </c>
    </row>
    <row r="1089" spans="1:24" x14ac:dyDescent="0.25">
      <c r="A1089" s="45">
        <v>220209000589</v>
      </c>
      <c r="B1089" s="46" t="s">
        <v>9</v>
      </c>
      <c r="C1089" s="47">
        <v>44198</v>
      </c>
      <c r="D1089" s="45">
        <v>22021000608</v>
      </c>
      <c r="E1089" s="46" t="s">
        <v>2200</v>
      </c>
      <c r="F1089" s="48">
        <v>8800</v>
      </c>
      <c r="G1089" s="46" t="s">
        <v>47</v>
      </c>
      <c r="H1089" s="46" t="s">
        <v>2209</v>
      </c>
      <c r="I1089" s="45" t="s">
        <v>125</v>
      </c>
      <c r="J1089" s="46" t="s">
        <v>148</v>
      </c>
      <c r="K1089" s="46" t="s">
        <v>201</v>
      </c>
      <c r="L1089" s="46" t="s">
        <v>15</v>
      </c>
      <c r="M1089" s="46" t="s">
        <v>13</v>
      </c>
      <c r="N1089" s="46" t="s">
        <v>14</v>
      </c>
      <c r="O1089" s="49" t="s">
        <v>803</v>
      </c>
      <c r="P1089" s="46" t="s">
        <v>507</v>
      </c>
      <c r="Q1089" s="35" t="str">
        <f>MID(Tabla1[[#This Row],[Aplicación]],14,1)</f>
        <v>2</v>
      </c>
      <c r="R1089" s="35" t="s">
        <v>495</v>
      </c>
      <c r="S1089" s="35" t="str">
        <f>MID(Tabla1[[#This Row],[Aplicación]],6,2)</f>
        <v>10</v>
      </c>
      <c r="T1089" s="35" t="str">
        <f>VLOOKUP(Tabla1[[#This Row],[AREA]],Hoja1!A:B,2,FALSE)</f>
        <v>10. Servicios sociales y mediación comunitaria</v>
      </c>
      <c r="U1089" s="35" t="str">
        <f>MID(Tabla1[[#This Row],[Aplicación]],9,4)</f>
        <v>2311</v>
      </c>
      <c r="V1089" s="35" t="str">
        <f>VLOOKUP(Tabla1[[#This Row],[PROGRAMA]],Hoja1!A:B,2,FALSE)</f>
        <v>2311. Intervención social</v>
      </c>
      <c r="W1089" s="35" t="str">
        <f>MID(Tabla1[[#This Row],[Aplicación]],14,2)</f>
        <v>22</v>
      </c>
      <c r="X1089" s="35" t="str">
        <f>MID(Tabla1[[#This Row],[Aplicación]],14,6)</f>
        <v>22100</v>
      </c>
    </row>
    <row r="1090" spans="1:24" x14ac:dyDescent="0.25">
      <c r="A1090" s="45">
        <v>220209000590</v>
      </c>
      <c r="B1090" s="46" t="s">
        <v>9</v>
      </c>
      <c r="C1090" s="47">
        <v>44198</v>
      </c>
      <c r="D1090" s="45">
        <v>22021000609</v>
      </c>
      <c r="E1090" s="46" t="s">
        <v>2210</v>
      </c>
      <c r="F1090" s="48">
        <v>2000</v>
      </c>
      <c r="G1090" s="46" t="s">
        <v>47</v>
      </c>
      <c r="H1090" s="46" t="s">
        <v>2211</v>
      </c>
      <c r="I1090" s="45" t="s">
        <v>125</v>
      </c>
      <c r="J1090" s="46" t="s">
        <v>148</v>
      </c>
      <c r="K1090" s="46" t="s">
        <v>201</v>
      </c>
      <c r="L1090" s="46" t="s">
        <v>15</v>
      </c>
      <c r="M1090" s="46" t="s">
        <v>13</v>
      </c>
      <c r="N1090" s="46" t="s">
        <v>14</v>
      </c>
      <c r="O1090" s="49" t="s">
        <v>803</v>
      </c>
      <c r="P1090" s="46" t="s">
        <v>507</v>
      </c>
      <c r="Q1090" s="35" t="str">
        <f>MID(Tabla1[[#This Row],[Aplicación]],14,1)</f>
        <v>2</v>
      </c>
      <c r="R1090" s="35" t="s">
        <v>495</v>
      </c>
      <c r="S1090" s="35" t="str">
        <f>MID(Tabla1[[#This Row],[Aplicación]],6,2)</f>
        <v>09</v>
      </c>
      <c r="T1090" s="35" t="str">
        <f>VLOOKUP(Tabla1[[#This Row],[AREA]],Hoja1!A:B,2,FALSE)</f>
        <v>09. Cultura y turismo</v>
      </c>
      <c r="U1090" s="35" t="str">
        <f>MID(Tabla1[[#This Row],[Aplicación]],9,4)</f>
        <v>4321</v>
      </c>
      <c r="V1090" s="35" t="str">
        <f>VLOOKUP(Tabla1[[#This Row],[PROGRAMA]],Hoja1!A:B,2,FALSE)</f>
        <v>4321. Turismo</v>
      </c>
      <c r="W1090" s="35" t="str">
        <f>MID(Tabla1[[#This Row],[Aplicación]],14,2)</f>
        <v>22</v>
      </c>
      <c r="X1090" s="35" t="str">
        <f>MID(Tabla1[[#This Row],[Aplicación]],14,6)</f>
        <v>22100</v>
      </c>
    </row>
    <row r="1091" spans="1:24" x14ac:dyDescent="0.25">
      <c r="A1091" s="45">
        <v>220209000591</v>
      </c>
      <c r="B1091" s="46" t="s">
        <v>9</v>
      </c>
      <c r="C1091" s="47">
        <v>44198</v>
      </c>
      <c r="D1091" s="45">
        <v>22021000610</v>
      </c>
      <c r="E1091" s="46" t="s">
        <v>2212</v>
      </c>
      <c r="F1091" s="48">
        <v>85000</v>
      </c>
      <c r="G1091" s="46" t="s">
        <v>47</v>
      </c>
      <c r="H1091" s="46" t="s">
        <v>2213</v>
      </c>
      <c r="I1091" s="45" t="s">
        <v>125</v>
      </c>
      <c r="J1091" s="46" t="s">
        <v>148</v>
      </c>
      <c r="K1091" s="46" t="s">
        <v>201</v>
      </c>
      <c r="L1091" s="46" t="s">
        <v>15</v>
      </c>
      <c r="M1091" s="46" t="s">
        <v>13</v>
      </c>
      <c r="N1091" s="46" t="s">
        <v>16</v>
      </c>
      <c r="O1091" s="49" t="s">
        <v>803</v>
      </c>
      <c r="P1091" s="46" t="s">
        <v>507</v>
      </c>
      <c r="Q1091" s="35" t="str">
        <f>MID(Tabla1[[#This Row],[Aplicación]],14,1)</f>
        <v>2</v>
      </c>
      <c r="R1091" s="35" t="s">
        <v>495</v>
      </c>
      <c r="S1091" s="35" t="str">
        <f>MID(Tabla1[[#This Row],[Aplicación]],6,2)</f>
        <v>04</v>
      </c>
      <c r="T1091" s="35" t="str">
        <f>VLOOKUP(Tabla1[[#This Row],[AREA]],Hoja1!A:B,2,FALSE)</f>
        <v>04. Planificación y recursos</v>
      </c>
      <c r="U1091" s="35" t="str">
        <f>MID(Tabla1[[#This Row],[Aplicación]],9,4)</f>
        <v>9204</v>
      </c>
      <c r="V1091" s="35" t="str">
        <f>VLOOKUP(Tabla1[[#This Row],[PROGRAMA]],Hoja1!A:B,2,FALSE)</f>
        <v>9204. Tecnologías de la información y comunicación</v>
      </c>
      <c r="W1091" s="35" t="str">
        <f>MID(Tabla1[[#This Row],[Aplicación]],14,2)</f>
        <v>22</v>
      </c>
      <c r="X1091" s="35" t="str">
        <f>MID(Tabla1[[#This Row],[Aplicación]],14,6)</f>
        <v>22100</v>
      </c>
    </row>
    <row r="1092" spans="1:24" x14ac:dyDescent="0.25">
      <c r="A1092" s="45">
        <v>220209000592</v>
      </c>
      <c r="B1092" s="46" t="s">
        <v>9</v>
      </c>
      <c r="C1092" s="47">
        <v>44198</v>
      </c>
      <c r="D1092" s="45">
        <v>22021000611</v>
      </c>
      <c r="E1092" s="46" t="s">
        <v>2214</v>
      </c>
      <c r="F1092" s="48">
        <v>20000</v>
      </c>
      <c r="G1092" s="46" t="s">
        <v>47</v>
      </c>
      <c r="H1092" s="46" t="s">
        <v>2215</v>
      </c>
      <c r="I1092" s="45" t="s">
        <v>125</v>
      </c>
      <c r="J1092" s="46" t="s">
        <v>148</v>
      </c>
      <c r="K1092" s="46" t="s">
        <v>201</v>
      </c>
      <c r="L1092" s="46" t="s">
        <v>15</v>
      </c>
      <c r="M1092" s="46" t="s">
        <v>13</v>
      </c>
      <c r="N1092" s="46" t="s">
        <v>14</v>
      </c>
      <c r="O1092" s="49" t="s">
        <v>803</v>
      </c>
      <c r="P1092" s="46" t="s">
        <v>507</v>
      </c>
      <c r="Q1092" s="35" t="str">
        <f>MID(Tabla1[[#This Row],[Aplicación]],14,1)</f>
        <v>2</v>
      </c>
      <c r="R1092" s="35" t="s">
        <v>495</v>
      </c>
      <c r="S1092" s="35" t="str">
        <f>MID(Tabla1[[#This Row],[Aplicación]],6,2)</f>
        <v>07</v>
      </c>
      <c r="T1092" s="35" t="str">
        <f>VLOOKUP(Tabla1[[#This Row],[AREA]],Hoja1!A:B,2,FALSE)</f>
        <v>07. Medio ambiente y desarrollo sostenible</v>
      </c>
      <c r="U1092" s="35" t="str">
        <f>MID(Tabla1[[#This Row],[Aplicación]],9,4)</f>
        <v>1721</v>
      </c>
      <c r="V1092" s="35" t="str">
        <f>VLOOKUP(Tabla1[[#This Row],[PROGRAMA]],Hoja1!A:B,2,FALSE)</f>
        <v>1721. Protección del medio ambiente</v>
      </c>
      <c r="W1092" s="35" t="str">
        <f>MID(Tabla1[[#This Row],[Aplicación]],14,2)</f>
        <v>22</v>
      </c>
      <c r="X1092" s="35" t="str">
        <f>MID(Tabla1[[#This Row],[Aplicación]],14,6)</f>
        <v>22100</v>
      </c>
    </row>
    <row r="1093" spans="1:24" x14ac:dyDescent="0.25">
      <c r="A1093" s="45">
        <v>220209000593</v>
      </c>
      <c r="B1093" s="46" t="s">
        <v>9</v>
      </c>
      <c r="C1093" s="47">
        <v>44198</v>
      </c>
      <c r="D1093" s="45">
        <v>22021000552</v>
      </c>
      <c r="E1093" s="46" t="s">
        <v>2216</v>
      </c>
      <c r="F1093" s="48">
        <v>41000</v>
      </c>
      <c r="G1093" s="46" t="s">
        <v>47</v>
      </c>
      <c r="H1093" s="46" t="s">
        <v>2217</v>
      </c>
      <c r="I1093" s="45" t="s">
        <v>125</v>
      </c>
      <c r="J1093" s="46" t="s">
        <v>148</v>
      </c>
      <c r="K1093" s="46" t="s">
        <v>201</v>
      </c>
      <c r="L1093" s="46" t="s">
        <v>15</v>
      </c>
      <c r="M1093" s="46" t="s">
        <v>13</v>
      </c>
      <c r="N1093" s="46" t="s">
        <v>14</v>
      </c>
      <c r="O1093" s="49" t="s">
        <v>803</v>
      </c>
      <c r="P1093" s="46" t="s">
        <v>507</v>
      </c>
      <c r="Q1093" s="35" t="str">
        <f>MID(Tabla1[[#This Row],[Aplicación]],14,1)</f>
        <v>2</v>
      </c>
      <c r="R1093" s="35" t="s">
        <v>495</v>
      </c>
      <c r="S1093" s="35" t="str">
        <f>MID(Tabla1[[#This Row],[Aplicación]],6,2)</f>
        <v>11</v>
      </c>
      <c r="T1093" s="35" t="str">
        <f>VLOOKUP(Tabla1[[#This Row],[AREA]],Hoja1!A:B,2,FALSE)</f>
        <v>11. Salud pública y seguridad ciudadana</v>
      </c>
      <c r="U1093" s="35" t="str">
        <f>MID(Tabla1[[#This Row],[Aplicación]],9,4)</f>
        <v>1361</v>
      </c>
      <c r="V1093" s="35" t="str">
        <f>VLOOKUP(Tabla1[[#This Row],[PROGRAMA]],Hoja1!A:B,2,FALSE)</f>
        <v>1361. Prevención y extinción de incencios</v>
      </c>
      <c r="W1093" s="35" t="str">
        <f>MID(Tabla1[[#This Row],[Aplicación]],14,2)</f>
        <v>22</v>
      </c>
      <c r="X1093" s="35" t="str">
        <f>MID(Tabla1[[#This Row],[Aplicación]],14,6)</f>
        <v>22100</v>
      </c>
    </row>
    <row r="1094" spans="1:24" x14ac:dyDescent="0.25">
      <c r="A1094" s="45">
        <v>220209000594</v>
      </c>
      <c r="B1094" s="46" t="s">
        <v>9</v>
      </c>
      <c r="C1094" s="47">
        <v>44198</v>
      </c>
      <c r="D1094" s="45">
        <v>22021000612</v>
      </c>
      <c r="E1094" s="46" t="s">
        <v>2218</v>
      </c>
      <c r="F1094" s="48">
        <v>13700</v>
      </c>
      <c r="G1094" s="46" t="s">
        <v>47</v>
      </c>
      <c r="H1094" s="46" t="s">
        <v>2219</v>
      </c>
      <c r="I1094" s="45" t="s">
        <v>125</v>
      </c>
      <c r="J1094" s="46" t="s">
        <v>148</v>
      </c>
      <c r="K1094" s="46" t="s">
        <v>201</v>
      </c>
      <c r="L1094" s="46" t="s">
        <v>15</v>
      </c>
      <c r="M1094" s="46" t="s">
        <v>13</v>
      </c>
      <c r="N1094" s="46" t="s">
        <v>14</v>
      </c>
      <c r="O1094" s="49" t="s">
        <v>803</v>
      </c>
      <c r="P1094" s="46" t="s">
        <v>507</v>
      </c>
      <c r="Q1094" s="35" t="str">
        <f>MID(Tabla1[[#This Row],[Aplicación]],14,1)</f>
        <v>2</v>
      </c>
      <c r="R1094" s="35" t="s">
        <v>495</v>
      </c>
      <c r="S1094" s="35" t="str">
        <f>MID(Tabla1[[#This Row],[Aplicación]],6,2)</f>
        <v>07</v>
      </c>
      <c r="T1094" s="35" t="str">
        <f>VLOOKUP(Tabla1[[#This Row],[AREA]],Hoja1!A:B,2,FALSE)</f>
        <v>07. Medio ambiente y desarrollo sostenible</v>
      </c>
      <c r="U1094" s="35" t="str">
        <f>MID(Tabla1[[#This Row],[Aplicación]],9,4)</f>
        <v>1701</v>
      </c>
      <c r="V1094" s="35" t="str">
        <f>VLOOKUP(Tabla1[[#This Row],[PROGRAMA]],Hoja1!A:B,2,FALSE)</f>
        <v>1701. Dirección del área de medio ambiente</v>
      </c>
      <c r="W1094" s="35" t="str">
        <f>MID(Tabla1[[#This Row],[Aplicación]],14,2)</f>
        <v>22</v>
      </c>
      <c r="X1094" s="35" t="str">
        <f>MID(Tabla1[[#This Row],[Aplicación]],14,6)</f>
        <v>22100</v>
      </c>
    </row>
    <row r="1095" spans="1:24" x14ac:dyDescent="0.25">
      <c r="A1095" s="45">
        <v>220209000595</v>
      </c>
      <c r="B1095" s="46" t="s">
        <v>9</v>
      </c>
      <c r="C1095" s="47">
        <v>44198</v>
      </c>
      <c r="D1095" s="45">
        <v>22021000613</v>
      </c>
      <c r="E1095" s="46" t="s">
        <v>2218</v>
      </c>
      <c r="F1095" s="48">
        <v>8000</v>
      </c>
      <c r="G1095" s="46" t="s">
        <v>47</v>
      </c>
      <c r="H1095" s="46" t="s">
        <v>2220</v>
      </c>
      <c r="I1095" s="45" t="s">
        <v>125</v>
      </c>
      <c r="J1095" s="46" t="s">
        <v>148</v>
      </c>
      <c r="K1095" s="46" t="s">
        <v>201</v>
      </c>
      <c r="L1095" s="46" t="s">
        <v>15</v>
      </c>
      <c r="M1095" s="46" t="s">
        <v>13</v>
      </c>
      <c r="N1095" s="46" t="s">
        <v>14</v>
      </c>
      <c r="O1095" s="49" t="s">
        <v>803</v>
      </c>
      <c r="P1095" s="46" t="s">
        <v>507</v>
      </c>
      <c r="Q1095" s="35" t="str">
        <f>MID(Tabla1[[#This Row],[Aplicación]],14,1)</f>
        <v>2</v>
      </c>
      <c r="R1095" s="35" t="s">
        <v>495</v>
      </c>
      <c r="S1095" s="35" t="str">
        <f>MID(Tabla1[[#This Row],[Aplicación]],6,2)</f>
        <v>07</v>
      </c>
      <c r="T1095" s="35" t="str">
        <f>VLOOKUP(Tabla1[[#This Row],[AREA]],Hoja1!A:B,2,FALSE)</f>
        <v>07. Medio ambiente y desarrollo sostenible</v>
      </c>
      <c r="U1095" s="35" t="str">
        <f>MID(Tabla1[[#This Row],[Aplicación]],9,4)</f>
        <v>1701</v>
      </c>
      <c r="V1095" s="35" t="str">
        <f>VLOOKUP(Tabla1[[#This Row],[PROGRAMA]],Hoja1!A:B,2,FALSE)</f>
        <v>1701. Dirección del área de medio ambiente</v>
      </c>
      <c r="W1095" s="35" t="str">
        <f>MID(Tabla1[[#This Row],[Aplicación]],14,2)</f>
        <v>22</v>
      </c>
      <c r="X1095" s="35" t="str">
        <f>MID(Tabla1[[#This Row],[Aplicación]],14,6)</f>
        <v>22100</v>
      </c>
    </row>
    <row r="1096" spans="1:24" x14ac:dyDescent="0.25">
      <c r="A1096" s="45">
        <v>220209000596</v>
      </c>
      <c r="B1096" s="46" t="s">
        <v>9</v>
      </c>
      <c r="C1096" s="47">
        <v>44198</v>
      </c>
      <c r="D1096" s="45">
        <v>22021000614</v>
      </c>
      <c r="E1096" s="46" t="s">
        <v>2221</v>
      </c>
      <c r="F1096" s="48">
        <v>35000</v>
      </c>
      <c r="G1096" s="46" t="s">
        <v>47</v>
      </c>
      <c r="H1096" s="46" t="s">
        <v>2222</v>
      </c>
      <c r="I1096" s="45" t="s">
        <v>125</v>
      </c>
      <c r="J1096" s="46" t="s">
        <v>148</v>
      </c>
      <c r="K1096" s="46" t="s">
        <v>201</v>
      </c>
      <c r="L1096" s="46" t="s">
        <v>15</v>
      </c>
      <c r="M1096" s="46" t="s">
        <v>13</v>
      </c>
      <c r="N1096" s="46" t="s">
        <v>14</v>
      </c>
      <c r="O1096" s="49" t="s">
        <v>803</v>
      </c>
      <c r="P1096" s="46" t="s">
        <v>507</v>
      </c>
      <c r="Q1096" s="35" t="str">
        <f>MID(Tabla1[[#This Row],[Aplicación]],14,1)</f>
        <v>2</v>
      </c>
      <c r="R1096" s="35" t="s">
        <v>495</v>
      </c>
      <c r="S1096" s="35" t="str">
        <f>MID(Tabla1[[#This Row],[Aplicación]],6,2)</f>
        <v>11</v>
      </c>
      <c r="T1096" s="35" t="str">
        <f>VLOOKUP(Tabla1[[#This Row],[AREA]],Hoja1!A:B,2,FALSE)</f>
        <v>11. Salud pública y seguridad ciudadana</v>
      </c>
      <c r="U1096" s="35" t="str">
        <f>MID(Tabla1[[#This Row],[Aplicación]],9,4)</f>
        <v>1621</v>
      </c>
      <c r="V1096" s="35" t="str">
        <f>VLOOKUP(Tabla1[[#This Row],[PROGRAMA]],Hoja1!A:B,2,FALSE)</f>
        <v>1621. Servicio de limpieza</v>
      </c>
      <c r="W1096" s="35" t="str">
        <f>MID(Tabla1[[#This Row],[Aplicación]],14,2)</f>
        <v>22</v>
      </c>
      <c r="X1096" s="35" t="str">
        <f>MID(Tabla1[[#This Row],[Aplicación]],14,6)</f>
        <v>22100</v>
      </c>
    </row>
    <row r="1097" spans="1:24" x14ac:dyDescent="0.25">
      <c r="A1097" s="45">
        <v>220209000597</v>
      </c>
      <c r="B1097" s="46" t="s">
        <v>9</v>
      </c>
      <c r="C1097" s="47">
        <v>44198</v>
      </c>
      <c r="D1097" s="45">
        <v>22021000615</v>
      </c>
      <c r="E1097" s="46" t="s">
        <v>2223</v>
      </c>
      <c r="F1097" s="48">
        <v>55000</v>
      </c>
      <c r="G1097" s="46" t="s">
        <v>47</v>
      </c>
      <c r="H1097" s="46" t="s">
        <v>2224</v>
      </c>
      <c r="I1097" s="45" t="s">
        <v>125</v>
      </c>
      <c r="J1097" s="46" t="s">
        <v>148</v>
      </c>
      <c r="K1097" s="46" t="s">
        <v>201</v>
      </c>
      <c r="L1097" s="46" t="s">
        <v>15</v>
      </c>
      <c r="M1097" s="46" t="s">
        <v>13</v>
      </c>
      <c r="N1097" s="46" t="s">
        <v>14</v>
      </c>
      <c r="O1097" s="49" t="s">
        <v>803</v>
      </c>
      <c r="P1097" s="46" t="s">
        <v>507</v>
      </c>
      <c r="Q1097" s="35" t="str">
        <f>MID(Tabla1[[#This Row],[Aplicación]],14,1)</f>
        <v>2</v>
      </c>
      <c r="R1097" s="35" t="s">
        <v>495</v>
      </c>
      <c r="S1097" s="35" t="str">
        <f>MID(Tabla1[[#This Row],[Aplicación]],6,2)</f>
        <v>11</v>
      </c>
      <c r="T1097" s="35" t="str">
        <f>VLOOKUP(Tabla1[[#This Row],[AREA]],Hoja1!A:B,2,FALSE)</f>
        <v>11. Salud pública y seguridad ciudadana</v>
      </c>
      <c r="U1097" s="35" t="str">
        <f>MID(Tabla1[[#This Row],[Aplicación]],9,4)</f>
        <v>1631</v>
      </c>
      <c r="V1097" s="35" t="str">
        <f>VLOOKUP(Tabla1[[#This Row],[PROGRAMA]],Hoja1!A:B,2,FALSE)</f>
        <v>1631. Limpieza viaria</v>
      </c>
      <c r="W1097" s="35" t="str">
        <f>MID(Tabla1[[#This Row],[Aplicación]],14,2)</f>
        <v>22</v>
      </c>
      <c r="X1097" s="35" t="str">
        <f>MID(Tabla1[[#This Row],[Aplicación]],14,6)</f>
        <v>22100</v>
      </c>
    </row>
    <row r="1098" spans="1:24" x14ac:dyDescent="0.25">
      <c r="A1098" s="45">
        <v>220209000598</v>
      </c>
      <c r="B1098" s="46" t="s">
        <v>9</v>
      </c>
      <c r="C1098" s="47">
        <v>44198</v>
      </c>
      <c r="D1098" s="45">
        <v>22021000616</v>
      </c>
      <c r="E1098" s="46" t="s">
        <v>2225</v>
      </c>
      <c r="F1098" s="48">
        <v>2590000</v>
      </c>
      <c r="G1098" s="46" t="s">
        <v>47</v>
      </c>
      <c r="H1098" s="46" t="s">
        <v>2226</v>
      </c>
      <c r="I1098" s="45" t="s">
        <v>125</v>
      </c>
      <c r="J1098" s="46" t="s">
        <v>148</v>
      </c>
      <c r="K1098" s="46" t="s">
        <v>201</v>
      </c>
      <c r="L1098" s="46" t="s">
        <v>15</v>
      </c>
      <c r="M1098" s="46" t="s">
        <v>13</v>
      </c>
      <c r="N1098" s="46" t="s">
        <v>14</v>
      </c>
      <c r="O1098" s="49" t="s">
        <v>803</v>
      </c>
      <c r="P1098" s="46" t="s">
        <v>507</v>
      </c>
      <c r="Q1098" s="35" t="str">
        <f>MID(Tabla1[[#This Row],[Aplicación]],14,1)</f>
        <v>2</v>
      </c>
      <c r="R1098" s="35" t="s">
        <v>495</v>
      </c>
      <c r="S1098" s="35" t="str">
        <f>MID(Tabla1[[#This Row],[Aplicación]],6,2)</f>
        <v>08</v>
      </c>
      <c r="T1098" s="35" t="str">
        <f>VLOOKUP(Tabla1[[#This Row],[AREA]],Hoja1!A:B,2,FALSE)</f>
        <v>08. Movilidad y espacio urbano</v>
      </c>
      <c r="U1098" s="35" t="str">
        <f>MID(Tabla1[[#This Row],[Aplicación]],9,4)</f>
        <v>1651</v>
      </c>
      <c r="V1098" s="35" t="str">
        <f>VLOOKUP(Tabla1[[#This Row],[PROGRAMA]],Hoja1!A:B,2,FALSE)</f>
        <v>1651. Alumbrado público</v>
      </c>
      <c r="W1098" s="35" t="str">
        <f>MID(Tabla1[[#This Row],[Aplicación]],14,2)</f>
        <v>22</v>
      </c>
      <c r="X1098" s="35" t="str">
        <f>MID(Tabla1[[#This Row],[Aplicación]],14,6)</f>
        <v>22100</v>
      </c>
    </row>
    <row r="1099" spans="1:24" x14ac:dyDescent="0.25">
      <c r="A1099" s="45">
        <v>220209000599</v>
      </c>
      <c r="B1099" s="46" t="s">
        <v>9</v>
      </c>
      <c r="C1099" s="47">
        <v>44198</v>
      </c>
      <c r="D1099" s="45">
        <v>22021000617</v>
      </c>
      <c r="E1099" s="46" t="s">
        <v>2227</v>
      </c>
      <c r="F1099" s="48">
        <v>16000</v>
      </c>
      <c r="G1099" s="46" t="s">
        <v>47</v>
      </c>
      <c r="H1099" s="46" t="s">
        <v>2228</v>
      </c>
      <c r="I1099" s="45" t="s">
        <v>125</v>
      </c>
      <c r="J1099" s="46" t="s">
        <v>148</v>
      </c>
      <c r="K1099" s="46" t="s">
        <v>201</v>
      </c>
      <c r="L1099" s="46" t="s">
        <v>15</v>
      </c>
      <c r="M1099" s="46" t="s">
        <v>13</v>
      </c>
      <c r="N1099" s="46" t="s">
        <v>14</v>
      </c>
      <c r="O1099" s="49" t="s">
        <v>803</v>
      </c>
      <c r="P1099" s="46" t="s">
        <v>507</v>
      </c>
      <c r="Q1099" s="35" t="str">
        <f>MID(Tabla1[[#This Row],[Aplicación]],14,1)</f>
        <v>2</v>
      </c>
      <c r="R1099" s="35" t="s">
        <v>495</v>
      </c>
      <c r="S1099" s="35" t="str">
        <f>MID(Tabla1[[#This Row],[Aplicación]],6,2)</f>
        <v>11</v>
      </c>
      <c r="T1099" s="35" t="str">
        <f>VLOOKUP(Tabla1[[#This Row],[AREA]],Hoja1!A:B,2,FALSE)</f>
        <v>11. Salud pública y seguridad ciudadana</v>
      </c>
      <c r="U1099" s="35" t="str">
        <f>MID(Tabla1[[#This Row],[Aplicación]],9,4)</f>
        <v>3111</v>
      </c>
      <c r="V1099" s="35" t="str">
        <f>VLOOKUP(Tabla1[[#This Row],[PROGRAMA]],Hoja1!A:B,2,FALSE)</f>
        <v>3111. Protección de la salubridad pública</v>
      </c>
      <c r="W1099" s="35" t="str">
        <f>MID(Tabla1[[#This Row],[Aplicación]],14,2)</f>
        <v>22</v>
      </c>
      <c r="X1099" s="35" t="str">
        <f>MID(Tabla1[[#This Row],[Aplicación]],14,6)</f>
        <v>22100</v>
      </c>
    </row>
    <row r="1100" spans="1:24" x14ac:dyDescent="0.25">
      <c r="A1100" s="45">
        <v>220210004546</v>
      </c>
      <c r="B1100" s="46" t="s">
        <v>204</v>
      </c>
      <c r="C1100" s="47">
        <v>44246</v>
      </c>
      <c r="D1100" s="45">
        <v>22021001275</v>
      </c>
      <c r="E1100" s="46" t="s">
        <v>1334</v>
      </c>
      <c r="F1100" s="48">
        <v>116.23</v>
      </c>
      <c r="G1100" s="46" t="s">
        <v>270</v>
      </c>
      <c r="H1100" s="46" t="s">
        <v>1461</v>
      </c>
      <c r="I1100" s="45" t="s">
        <v>205</v>
      </c>
      <c r="J1100" s="46" t="s">
        <v>127</v>
      </c>
      <c r="K1100" s="46" t="s">
        <v>127</v>
      </c>
      <c r="L1100" s="46" t="s">
        <v>15</v>
      </c>
      <c r="M1100" s="46" t="s">
        <v>13</v>
      </c>
      <c r="N1100" s="46" t="s">
        <v>14</v>
      </c>
      <c r="O1100" s="49" t="s">
        <v>814</v>
      </c>
      <c r="P1100" s="46" t="s">
        <v>507</v>
      </c>
      <c r="Q1100" s="35" t="str">
        <f>MID(Tabla1[[#This Row],[Aplicación]],14,1)</f>
        <v>2</v>
      </c>
      <c r="R1100" s="35" t="s">
        <v>495</v>
      </c>
      <c r="S1100" s="35" t="str">
        <f>MID(Tabla1[[#This Row],[Aplicación]],6,2)</f>
        <v>07</v>
      </c>
      <c r="T1100" s="35" t="str">
        <f>VLOOKUP(Tabla1[[#This Row],[AREA]],Hoja1!A:B,2,FALSE)</f>
        <v>07. Medio ambiente y desarrollo sostenible</v>
      </c>
      <c r="U1100" s="35" t="str">
        <f>MID(Tabla1[[#This Row],[Aplicación]],9,4)</f>
        <v>1711</v>
      </c>
      <c r="V1100" s="35" t="str">
        <f>VLOOKUP(Tabla1[[#This Row],[PROGRAMA]],Hoja1!A:B,2,FALSE)</f>
        <v>1711. Parques y jardines</v>
      </c>
      <c r="W1100" s="35" t="str">
        <f>MID(Tabla1[[#This Row],[Aplicación]],14,2)</f>
        <v>22</v>
      </c>
      <c r="X1100" s="35" t="str">
        <f>MID(Tabla1[[#This Row],[Aplicación]],14,6)</f>
        <v>22199</v>
      </c>
    </row>
    <row r="1101" spans="1:24" x14ac:dyDescent="0.25">
      <c r="A1101" s="45">
        <v>220210005542</v>
      </c>
      <c r="B1101" s="46" t="s">
        <v>204</v>
      </c>
      <c r="C1101" s="47">
        <v>44250</v>
      </c>
      <c r="D1101" s="45">
        <v>22021002052</v>
      </c>
      <c r="E1101" s="46" t="s">
        <v>1340</v>
      </c>
      <c r="F1101" s="48">
        <v>907.93</v>
      </c>
      <c r="G1101" s="46" t="s">
        <v>270</v>
      </c>
      <c r="H1101" s="46" t="s">
        <v>2229</v>
      </c>
      <c r="I1101" s="45" t="s">
        <v>205</v>
      </c>
      <c r="J1101" s="46" t="s">
        <v>127</v>
      </c>
      <c r="K1101" s="46" t="s">
        <v>127</v>
      </c>
      <c r="L1101" s="46" t="s">
        <v>15</v>
      </c>
      <c r="M1101" s="46" t="s">
        <v>13</v>
      </c>
      <c r="N1101" s="46" t="s">
        <v>14</v>
      </c>
      <c r="O1101" s="49" t="s">
        <v>814</v>
      </c>
      <c r="P1101" s="46" t="s">
        <v>507</v>
      </c>
      <c r="Q1101" s="35" t="str">
        <f>MID(Tabla1[[#This Row],[Aplicación]],14,1)</f>
        <v>2</v>
      </c>
      <c r="R1101" s="35" t="s">
        <v>495</v>
      </c>
      <c r="S1101" s="35" t="str">
        <f>MID(Tabla1[[#This Row],[Aplicación]],6,2)</f>
        <v>11</v>
      </c>
      <c r="T1101" s="35" t="str">
        <f>VLOOKUP(Tabla1[[#This Row],[AREA]],Hoja1!A:B,2,FALSE)</f>
        <v>11. Salud pública y seguridad ciudadana</v>
      </c>
      <c r="U1101" s="35" t="str">
        <f>MID(Tabla1[[#This Row],[Aplicación]],9,4)</f>
        <v>1621</v>
      </c>
      <c r="V1101" s="35" t="str">
        <f>VLOOKUP(Tabla1[[#This Row],[PROGRAMA]],Hoja1!A:B,2,FALSE)</f>
        <v>1621. Servicio de limpieza</v>
      </c>
      <c r="W1101" s="35" t="str">
        <f>MID(Tabla1[[#This Row],[Aplicación]],14,2)</f>
        <v>22</v>
      </c>
      <c r="X1101" s="35" t="str">
        <f>MID(Tabla1[[#This Row],[Aplicación]],14,6)</f>
        <v>22199</v>
      </c>
    </row>
    <row r="1102" spans="1:24" x14ac:dyDescent="0.25">
      <c r="A1102" s="45">
        <v>220210005616</v>
      </c>
      <c r="B1102" s="46" t="s">
        <v>204</v>
      </c>
      <c r="C1102" s="47">
        <v>44250</v>
      </c>
      <c r="D1102" s="45">
        <v>22021002057</v>
      </c>
      <c r="E1102" s="46" t="s">
        <v>1715</v>
      </c>
      <c r="F1102" s="48">
        <v>156.82</v>
      </c>
      <c r="G1102" s="46" t="s">
        <v>270</v>
      </c>
      <c r="H1102" s="46" t="s">
        <v>2230</v>
      </c>
      <c r="I1102" s="45" t="s">
        <v>205</v>
      </c>
      <c r="J1102" s="46" t="s">
        <v>127</v>
      </c>
      <c r="K1102" s="46" t="s">
        <v>127</v>
      </c>
      <c r="L1102" s="46" t="s">
        <v>15</v>
      </c>
      <c r="M1102" s="46" t="s">
        <v>13</v>
      </c>
      <c r="N1102" s="46" t="s">
        <v>14</v>
      </c>
      <c r="O1102" s="49" t="s">
        <v>814</v>
      </c>
      <c r="P1102" s="46" t="s">
        <v>507</v>
      </c>
      <c r="Q1102" s="35" t="str">
        <f>MID(Tabla1[[#This Row],[Aplicación]],14,1)</f>
        <v>2</v>
      </c>
      <c r="R1102" s="35" t="s">
        <v>495</v>
      </c>
      <c r="S1102" s="35" t="str">
        <f>MID(Tabla1[[#This Row],[Aplicación]],6,2)</f>
        <v>11</v>
      </c>
      <c r="T1102" s="35" t="str">
        <f>VLOOKUP(Tabla1[[#This Row],[AREA]],Hoja1!A:B,2,FALSE)</f>
        <v>11. Salud pública y seguridad ciudadana</v>
      </c>
      <c r="U1102" s="35" t="str">
        <f>MID(Tabla1[[#This Row],[Aplicación]],9,4)</f>
        <v>1631</v>
      </c>
      <c r="V1102" s="35" t="str">
        <f>VLOOKUP(Tabla1[[#This Row],[PROGRAMA]],Hoja1!A:B,2,FALSE)</f>
        <v>1631. Limpieza viaria</v>
      </c>
      <c r="W1102" s="35" t="str">
        <f>MID(Tabla1[[#This Row],[Aplicación]],14,2)</f>
        <v>22</v>
      </c>
      <c r="X1102" s="35" t="str">
        <f>MID(Tabla1[[#This Row],[Aplicación]],14,6)</f>
        <v>22199</v>
      </c>
    </row>
    <row r="1103" spans="1:24" x14ac:dyDescent="0.25">
      <c r="A1103" s="45">
        <v>220209000033</v>
      </c>
      <c r="B1103" s="46" t="s">
        <v>9</v>
      </c>
      <c r="C1103" s="47">
        <v>44198</v>
      </c>
      <c r="D1103" s="45">
        <v>22021000185</v>
      </c>
      <c r="E1103" s="46" t="s">
        <v>1415</v>
      </c>
      <c r="F1103" s="48">
        <v>35310</v>
      </c>
      <c r="G1103" s="46" t="s">
        <v>158</v>
      </c>
      <c r="H1103" s="46" t="s">
        <v>663</v>
      </c>
      <c r="I1103" s="45" t="s">
        <v>125</v>
      </c>
      <c r="J1103" s="46" t="s">
        <v>664</v>
      </c>
      <c r="K1103" s="46" t="s">
        <v>127</v>
      </c>
      <c r="L1103" s="46" t="s">
        <v>12</v>
      </c>
      <c r="M1103" s="46" t="s">
        <v>13</v>
      </c>
      <c r="N1103" s="46" t="s">
        <v>14</v>
      </c>
      <c r="O1103" s="49" t="s">
        <v>803</v>
      </c>
      <c r="P1103" s="46" t="s">
        <v>507</v>
      </c>
      <c r="Q1103" s="35" t="str">
        <f>MID(Tabla1[[#This Row],[Aplicación]],14,1)</f>
        <v>2</v>
      </c>
      <c r="R1103" s="35" t="s">
        <v>495</v>
      </c>
      <c r="S1103" s="35" t="str">
        <f>MID(Tabla1[[#This Row],[Aplicación]],6,2)</f>
        <v>10</v>
      </c>
      <c r="T1103" s="35" t="str">
        <f>VLOOKUP(Tabla1[[#This Row],[AREA]],Hoja1!A:B,2,FALSE)</f>
        <v>10. Servicios sociales y mediación comunitaria</v>
      </c>
      <c r="U1103" s="35" t="str">
        <f>MID(Tabla1[[#This Row],[Aplicación]],9,4)</f>
        <v>2312</v>
      </c>
      <c r="V1103" s="35" t="str">
        <f>VLOOKUP(Tabla1[[#This Row],[PROGRAMA]],Hoja1!A:B,2,FALSE)</f>
        <v>2312. Iniciativas sociales</v>
      </c>
      <c r="W1103" s="35" t="str">
        <f>MID(Tabla1[[#This Row],[Aplicación]],14,2)</f>
        <v>22</v>
      </c>
      <c r="X1103" s="35" t="str">
        <f>MID(Tabla1[[#This Row],[Aplicación]],14,6)</f>
        <v>22799</v>
      </c>
    </row>
    <row r="1104" spans="1:24" x14ac:dyDescent="0.25">
      <c r="A1104" s="45">
        <v>220209000792</v>
      </c>
      <c r="B1104" s="46" t="s">
        <v>9</v>
      </c>
      <c r="C1104" s="47">
        <v>44198</v>
      </c>
      <c r="D1104" s="45">
        <v>22021000507</v>
      </c>
      <c r="E1104" s="46" t="s">
        <v>982</v>
      </c>
      <c r="F1104" s="48">
        <v>217.8</v>
      </c>
      <c r="G1104" s="46" t="s">
        <v>217</v>
      </c>
      <c r="H1104" s="46" t="s">
        <v>2231</v>
      </c>
      <c r="I1104" s="45" t="s">
        <v>125</v>
      </c>
      <c r="J1104" s="46" t="s">
        <v>127</v>
      </c>
      <c r="K1104" s="46" t="s">
        <v>127</v>
      </c>
      <c r="L1104" s="46" t="s">
        <v>12</v>
      </c>
      <c r="M1104" s="46" t="s">
        <v>10</v>
      </c>
      <c r="N1104" s="46" t="s">
        <v>11</v>
      </c>
      <c r="O1104" s="49" t="s">
        <v>815</v>
      </c>
      <c r="P1104" s="46" t="s">
        <v>507</v>
      </c>
      <c r="Q1104" s="35" t="str">
        <f>MID(Tabla1[[#This Row],[Aplicación]],14,1)</f>
        <v>2</v>
      </c>
      <c r="R1104" s="35" t="s">
        <v>495</v>
      </c>
      <c r="S1104" s="35" t="str">
        <f>MID(Tabla1[[#This Row],[Aplicación]],6,2)</f>
        <v>10</v>
      </c>
      <c r="T1104" s="35" t="str">
        <f>VLOOKUP(Tabla1[[#This Row],[AREA]],Hoja1!A:B,2,FALSE)</f>
        <v>10. Servicios sociales y mediación comunitaria</v>
      </c>
      <c r="U1104" s="35" t="str">
        <f>MID(Tabla1[[#This Row],[Aplicación]],9,4)</f>
        <v>2312</v>
      </c>
      <c r="V1104" s="35" t="str">
        <f>VLOOKUP(Tabla1[[#This Row],[PROGRAMA]],Hoja1!A:B,2,FALSE)</f>
        <v>2312. Iniciativas sociales</v>
      </c>
      <c r="W1104" s="35" t="str">
        <f>MID(Tabla1[[#This Row],[Aplicación]],14,2)</f>
        <v>21</v>
      </c>
      <c r="X1104" s="35" t="str">
        <f>MID(Tabla1[[#This Row],[Aplicación]],14,6)</f>
        <v>213</v>
      </c>
    </row>
    <row r="1105" spans="1:24" x14ac:dyDescent="0.25">
      <c r="A1105" s="45">
        <v>220209000793</v>
      </c>
      <c r="B1105" s="46" t="s">
        <v>9</v>
      </c>
      <c r="C1105" s="47">
        <v>44198</v>
      </c>
      <c r="D1105" s="45">
        <v>22021000508</v>
      </c>
      <c r="E1105" s="46" t="s">
        <v>982</v>
      </c>
      <c r="F1105" s="48">
        <v>217.8</v>
      </c>
      <c r="G1105" s="46" t="s">
        <v>217</v>
      </c>
      <c r="H1105" s="46" t="s">
        <v>2232</v>
      </c>
      <c r="I1105" s="45" t="s">
        <v>125</v>
      </c>
      <c r="J1105" s="46" t="s">
        <v>127</v>
      </c>
      <c r="K1105" s="46" t="s">
        <v>127</v>
      </c>
      <c r="L1105" s="46" t="s">
        <v>12</v>
      </c>
      <c r="M1105" s="46" t="s">
        <v>10</v>
      </c>
      <c r="N1105" s="46" t="s">
        <v>11</v>
      </c>
      <c r="O1105" s="49" t="s">
        <v>815</v>
      </c>
      <c r="P1105" s="46" t="s">
        <v>507</v>
      </c>
      <c r="Q1105" s="35" t="str">
        <f>MID(Tabla1[[#This Row],[Aplicación]],14,1)</f>
        <v>2</v>
      </c>
      <c r="R1105" s="35" t="s">
        <v>495</v>
      </c>
      <c r="S1105" s="35" t="str">
        <f>MID(Tabla1[[#This Row],[Aplicación]],6,2)</f>
        <v>10</v>
      </c>
      <c r="T1105" s="35" t="str">
        <f>VLOOKUP(Tabla1[[#This Row],[AREA]],Hoja1!A:B,2,FALSE)</f>
        <v>10. Servicios sociales y mediación comunitaria</v>
      </c>
      <c r="U1105" s="35" t="str">
        <f>MID(Tabla1[[#This Row],[Aplicación]],9,4)</f>
        <v>2312</v>
      </c>
      <c r="V1105" s="35" t="str">
        <f>VLOOKUP(Tabla1[[#This Row],[PROGRAMA]],Hoja1!A:B,2,FALSE)</f>
        <v>2312. Iniciativas sociales</v>
      </c>
      <c r="W1105" s="35" t="str">
        <f>MID(Tabla1[[#This Row],[Aplicación]],14,2)</f>
        <v>21</v>
      </c>
      <c r="X1105" s="35" t="str">
        <f>MID(Tabla1[[#This Row],[Aplicación]],14,6)</f>
        <v>213</v>
      </c>
    </row>
    <row r="1106" spans="1:24" x14ac:dyDescent="0.25">
      <c r="A1106" s="45">
        <v>220210001020</v>
      </c>
      <c r="B1106" s="46" t="s">
        <v>9</v>
      </c>
      <c r="C1106" s="47">
        <v>44223</v>
      </c>
      <c r="D1106" s="45">
        <v>22021002018</v>
      </c>
      <c r="E1106" s="46" t="s">
        <v>1596</v>
      </c>
      <c r="F1106" s="48">
        <v>219.2</v>
      </c>
      <c r="G1106" s="46" t="s">
        <v>248</v>
      </c>
      <c r="H1106" s="46" t="s">
        <v>2233</v>
      </c>
      <c r="I1106" s="45" t="s">
        <v>125</v>
      </c>
      <c r="J1106" s="46" t="s">
        <v>146</v>
      </c>
      <c r="K1106" s="46" t="s">
        <v>146</v>
      </c>
      <c r="L1106" s="46" t="s">
        <v>15</v>
      </c>
      <c r="M1106" s="46" t="s">
        <v>10</v>
      </c>
      <c r="N1106" s="46" t="s">
        <v>11</v>
      </c>
      <c r="O1106" s="49" t="s">
        <v>815</v>
      </c>
      <c r="P1106" s="46" t="s">
        <v>507</v>
      </c>
      <c r="Q1106" s="35" t="str">
        <f>MID(Tabla1[[#This Row],[Aplicación]],14,1)</f>
        <v>2</v>
      </c>
      <c r="R1106" s="35" t="s">
        <v>495</v>
      </c>
      <c r="S1106" s="35" t="str">
        <f>MID(Tabla1[[#This Row],[Aplicación]],6,2)</f>
        <v>11</v>
      </c>
      <c r="T1106" s="35" t="str">
        <f>VLOOKUP(Tabla1[[#This Row],[AREA]],Hoja1!A:B,2,FALSE)</f>
        <v>11. Salud pública y seguridad ciudadana</v>
      </c>
      <c r="U1106" s="35" t="str">
        <f>MID(Tabla1[[#This Row],[Aplicación]],9,4)</f>
        <v>1321</v>
      </c>
      <c r="V1106" s="35" t="str">
        <f>VLOOKUP(Tabla1[[#This Row],[PROGRAMA]],Hoja1!A:B,2,FALSE)</f>
        <v>1321. Policía municipal</v>
      </c>
      <c r="W1106" s="35" t="str">
        <f>MID(Tabla1[[#This Row],[Aplicación]],14,2)</f>
        <v>22</v>
      </c>
      <c r="X1106" s="35" t="str">
        <f>MID(Tabla1[[#This Row],[Aplicación]],14,6)</f>
        <v>22699</v>
      </c>
    </row>
    <row r="1107" spans="1:24" x14ac:dyDescent="0.25">
      <c r="A1107" s="45">
        <v>220210010047</v>
      </c>
      <c r="B1107" s="46" t="s">
        <v>9</v>
      </c>
      <c r="C1107" s="47">
        <v>44272</v>
      </c>
      <c r="D1107" s="45">
        <v>22021003396</v>
      </c>
      <c r="E1107" s="46" t="s">
        <v>866</v>
      </c>
      <c r="F1107" s="48">
        <v>223.27</v>
      </c>
      <c r="G1107" s="46" t="s">
        <v>2234</v>
      </c>
      <c r="H1107" s="46" t="s">
        <v>2235</v>
      </c>
      <c r="I1107" s="45" t="s">
        <v>125</v>
      </c>
      <c r="J1107" s="46" t="s">
        <v>2236</v>
      </c>
      <c r="K1107" s="46" t="s">
        <v>146</v>
      </c>
      <c r="L1107" s="46" t="s">
        <v>15</v>
      </c>
      <c r="M1107" s="46" t="s">
        <v>10</v>
      </c>
      <c r="N1107" s="46" t="s">
        <v>11</v>
      </c>
      <c r="O1107" s="49" t="s">
        <v>815</v>
      </c>
      <c r="P1107" s="46" t="s">
        <v>507</v>
      </c>
      <c r="Q1107" s="35" t="str">
        <f>MID(Tabla1[[#This Row],[Aplicación]],14,1)</f>
        <v>2</v>
      </c>
      <c r="R1107" s="35" t="s">
        <v>495</v>
      </c>
      <c r="S1107" s="35" t="str">
        <f>MID(Tabla1[[#This Row],[Aplicación]],6,2)</f>
        <v>07</v>
      </c>
      <c r="T1107" s="35" t="str">
        <f>VLOOKUP(Tabla1[[#This Row],[AREA]],Hoja1!A:B,2,FALSE)</f>
        <v>07. Medio ambiente y desarrollo sostenible</v>
      </c>
      <c r="U1107" s="35" t="str">
        <f>MID(Tabla1[[#This Row],[Aplicación]],9,4)</f>
        <v>1721</v>
      </c>
      <c r="V1107" s="35" t="str">
        <f>VLOOKUP(Tabla1[[#This Row],[PROGRAMA]],Hoja1!A:B,2,FALSE)</f>
        <v>1721. Protección del medio ambiente</v>
      </c>
      <c r="W1107" s="35" t="str">
        <f>MID(Tabla1[[#This Row],[Aplicación]],14,2)</f>
        <v>22</v>
      </c>
      <c r="X1107" s="35" t="str">
        <f>MID(Tabla1[[#This Row],[Aplicación]],14,6)</f>
        <v>22199</v>
      </c>
    </row>
    <row r="1108" spans="1:24" x14ac:dyDescent="0.25">
      <c r="A1108" s="45">
        <v>220210006959</v>
      </c>
      <c r="B1108" s="46" t="s">
        <v>9</v>
      </c>
      <c r="C1108" s="47">
        <v>44259</v>
      </c>
      <c r="D1108" s="45">
        <v>22021003151</v>
      </c>
      <c r="E1108" s="46" t="s">
        <v>1401</v>
      </c>
      <c r="F1108" s="48">
        <v>223.85</v>
      </c>
      <c r="G1108" s="46" t="s">
        <v>81</v>
      </c>
      <c r="H1108" s="46" t="s">
        <v>2237</v>
      </c>
      <c r="I1108" s="45" t="s">
        <v>125</v>
      </c>
      <c r="J1108" s="46" t="s">
        <v>127</v>
      </c>
      <c r="K1108" s="46" t="s">
        <v>127</v>
      </c>
      <c r="L1108" s="46" t="s">
        <v>15</v>
      </c>
      <c r="M1108" s="46" t="s">
        <v>10</v>
      </c>
      <c r="N1108" s="46" t="s">
        <v>11</v>
      </c>
      <c r="O1108" s="49" t="s">
        <v>815</v>
      </c>
      <c r="P1108" s="46" t="s">
        <v>507</v>
      </c>
      <c r="Q1108" s="35" t="str">
        <f>MID(Tabla1[[#This Row],[Aplicación]],14,1)</f>
        <v>2</v>
      </c>
      <c r="R1108" s="35" t="s">
        <v>495</v>
      </c>
      <c r="S1108" s="35" t="str">
        <f>MID(Tabla1[[#This Row],[Aplicación]],6,2)</f>
        <v>10</v>
      </c>
      <c r="T1108" s="35" t="str">
        <f>VLOOKUP(Tabla1[[#This Row],[AREA]],Hoja1!A:B,2,FALSE)</f>
        <v>10. Servicios sociales y mediación comunitaria</v>
      </c>
      <c r="U1108" s="35" t="str">
        <f>MID(Tabla1[[#This Row],[Aplicación]],9,4)</f>
        <v>2312</v>
      </c>
      <c r="V1108" s="35" t="str">
        <f>VLOOKUP(Tabla1[[#This Row],[PROGRAMA]],Hoja1!A:B,2,FALSE)</f>
        <v>2312. Iniciativas sociales</v>
      </c>
      <c r="W1108" s="35" t="str">
        <f>MID(Tabla1[[#This Row],[Aplicación]],14,2)</f>
        <v>22</v>
      </c>
      <c r="X1108" s="35" t="str">
        <f>MID(Tabla1[[#This Row],[Aplicación]],14,6)</f>
        <v>22699</v>
      </c>
    </row>
    <row r="1109" spans="1:24" x14ac:dyDescent="0.25">
      <c r="A1109" s="45">
        <v>220210005624</v>
      </c>
      <c r="B1109" s="46" t="s">
        <v>32</v>
      </c>
      <c r="C1109" s="47">
        <v>44250</v>
      </c>
      <c r="D1109" s="45">
        <v>22021003008</v>
      </c>
      <c r="E1109" s="46" t="s">
        <v>1220</v>
      </c>
      <c r="F1109" s="48">
        <v>223.85</v>
      </c>
      <c r="G1109" s="46" t="s">
        <v>1972</v>
      </c>
      <c r="H1109" s="46" t="s">
        <v>2238</v>
      </c>
      <c r="I1109" s="45" t="s">
        <v>234</v>
      </c>
      <c r="J1109" s="46" t="s">
        <v>613</v>
      </c>
      <c r="K1109" s="46" t="s">
        <v>127</v>
      </c>
      <c r="L1109" s="46" t="s">
        <v>12</v>
      </c>
      <c r="M1109" s="46" t="s">
        <v>10</v>
      </c>
      <c r="N1109" s="46" t="s">
        <v>11</v>
      </c>
      <c r="O1109" s="49" t="s">
        <v>815</v>
      </c>
      <c r="P1109" s="46" t="s">
        <v>507</v>
      </c>
      <c r="Q1109" s="35" t="str">
        <f>MID(Tabla1[[#This Row],[Aplicación]],14,1)</f>
        <v>2</v>
      </c>
      <c r="R1109" s="35" t="s">
        <v>495</v>
      </c>
      <c r="S1109" s="35" t="str">
        <f>MID(Tabla1[[#This Row],[Aplicación]],6,2)</f>
        <v>03</v>
      </c>
      <c r="T1109" s="35" t="str">
        <f>VLOOKUP(Tabla1[[#This Row],[AREA]],Hoja1!A:B,2,FALSE)</f>
        <v>03. Participación ciudadana y deportes</v>
      </c>
      <c r="U1109" s="35" t="str">
        <f>MID(Tabla1[[#This Row],[Aplicación]],9,4)</f>
        <v>9241</v>
      </c>
      <c r="V1109" s="35" t="str">
        <f>VLOOKUP(Tabla1[[#This Row],[PROGRAMA]],Hoja1!A:B,2,FALSE)</f>
        <v>9241. Participación ciudadana</v>
      </c>
      <c r="W1109" s="35" t="str">
        <f>MID(Tabla1[[#This Row],[Aplicación]],14,2)</f>
        <v>21</v>
      </c>
      <c r="X1109" s="35" t="str">
        <f>MID(Tabla1[[#This Row],[Aplicación]],14,6)</f>
        <v>213</v>
      </c>
    </row>
    <row r="1110" spans="1:24" x14ac:dyDescent="0.25">
      <c r="A1110" s="45">
        <v>220210008645</v>
      </c>
      <c r="B1110" s="46" t="s">
        <v>32</v>
      </c>
      <c r="C1110" s="47">
        <v>44266</v>
      </c>
      <c r="D1110" s="45">
        <v>22021003290</v>
      </c>
      <c r="E1110" s="46" t="s">
        <v>1660</v>
      </c>
      <c r="F1110" s="48">
        <v>224</v>
      </c>
      <c r="G1110" s="46" t="s">
        <v>2239</v>
      </c>
      <c r="H1110" s="46" t="s">
        <v>2240</v>
      </c>
      <c r="I1110" s="45" t="s">
        <v>234</v>
      </c>
      <c r="J1110" s="46" t="s">
        <v>629</v>
      </c>
      <c r="K1110" s="46" t="s">
        <v>127</v>
      </c>
      <c r="L1110" s="46" t="s">
        <v>12</v>
      </c>
      <c r="M1110" s="46" t="s">
        <v>10</v>
      </c>
      <c r="N1110" s="46" t="s">
        <v>11</v>
      </c>
      <c r="O1110" s="49" t="s">
        <v>815</v>
      </c>
      <c r="P1110" s="46" t="s">
        <v>507</v>
      </c>
      <c r="Q1110" s="35" t="str">
        <f>MID(Tabla1[[#This Row],[Aplicación]],14,1)</f>
        <v>2</v>
      </c>
      <c r="R1110" s="35" t="s">
        <v>495</v>
      </c>
      <c r="S1110" s="35" t="str">
        <f>MID(Tabla1[[#This Row],[Aplicación]],6,2)</f>
        <v>04</v>
      </c>
      <c r="T1110" s="35" t="str">
        <f>VLOOKUP(Tabla1[[#This Row],[AREA]],Hoja1!A:B,2,FALSE)</f>
        <v>04. Planificación y recursos</v>
      </c>
      <c r="U1110" s="35" t="str">
        <f>MID(Tabla1[[#This Row],[Aplicación]],9,4)</f>
        <v>9202</v>
      </c>
      <c r="V1110" s="35" t="str">
        <f>VLOOKUP(Tabla1[[#This Row],[PROGRAMA]],Hoja1!A:B,2,FALSE)</f>
        <v>9202. Gestión de recursos humanos</v>
      </c>
      <c r="W1110" s="35" t="str">
        <f>MID(Tabla1[[#This Row],[Aplicación]],14,2)</f>
        <v>22</v>
      </c>
      <c r="X1110" s="35" t="str">
        <f>MID(Tabla1[[#This Row],[Aplicación]],14,6)</f>
        <v>22607</v>
      </c>
    </row>
    <row r="1111" spans="1:24" x14ac:dyDescent="0.25">
      <c r="A1111" s="45">
        <v>220199000764</v>
      </c>
      <c r="B1111" s="46" t="s">
        <v>9</v>
      </c>
      <c r="C1111" s="47">
        <v>44198</v>
      </c>
      <c r="D1111" s="45">
        <v>22021000176</v>
      </c>
      <c r="E1111" s="46" t="s">
        <v>1415</v>
      </c>
      <c r="F1111" s="48">
        <v>763282.96</v>
      </c>
      <c r="G1111" s="46" t="s">
        <v>593</v>
      </c>
      <c r="H1111" s="46" t="s">
        <v>604</v>
      </c>
      <c r="I1111" s="45" t="s">
        <v>125</v>
      </c>
      <c r="J1111" s="46" t="s">
        <v>126</v>
      </c>
      <c r="K1111" s="46" t="s">
        <v>126</v>
      </c>
      <c r="L1111" s="46" t="s">
        <v>12</v>
      </c>
      <c r="M1111" s="46" t="s">
        <v>13</v>
      </c>
      <c r="N1111" s="46" t="s">
        <v>14</v>
      </c>
      <c r="O1111" s="49" t="s">
        <v>803</v>
      </c>
      <c r="P1111" s="46" t="s">
        <v>507</v>
      </c>
      <c r="Q1111" s="35" t="str">
        <f>MID(Tabla1[[#This Row],[Aplicación]],14,1)</f>
        <v>2</v>
      </c>
      <c r="R1111" s="35" t="s">
        <v>495</v>
      </c>
      <c r="S1111" s="35" t="str">
        <f>MID(Tabla1[[#This Row],[Aplicación]],6,2)</f>
        <v>10</v>
      </c>
      <c r="T1111" s="35" t="str">
        <f>VLOOKUP(Tabla1[[#This Row],[AREA]],Hoja1!A:B,2,FALSE)</f>
        <v>10. Servicios sociales y mediación comunitaria</v>
      </c>
      <c r="U1111" s="35" t="str">
        <f>MID(Tabla1[[#This Row],[Aplicación]],9,4)</f>
        <v>2312</v>
      </c>
      <c r="V1111" s="35" t="str">
        <f>VLOOKUP(Tabla1[[#This Row],[PROGRAMA]],Hoja1!A:B,2,FALSE)</f>
        <v>2312. Iniciativas sociales</v>
      </c>
      <c r="W1111" s="35" t="str">
        <f>MID(Tabla1[[#This Row],[Aplicación]],14,2)</f>
        <v>22</v>
      </c>
      <c r="X1111" s="35" t="str">
        <f>MID(Tabla1[[#This Row],[Aplicación]],14,6)</f>
        <v>22799</v>
      </c>
    </row>
    <row r="1112" spans="1:24" x14ac:dyDescent="0.25">
      <c r="A1112" s="45">
        <v>220199000765</v>
      </c>
      <c r="B1112" s="46" t="s">
        <v>9</v>
      </c>
      <c r="C1112" s="47">
        <v>44198</v>
      </c>
      <c r="D1112" s="45">
        <v>22021000177</v>
      </c>
      <c r="E1112" s="46" t="s">
        <v>1415</v>
      </c>
      <c r="F1112" s="48">
        <v>109040.42</v>
      </c>
      <c r="G1112" s="46" t="s">
        <v>593</v>
      </c>
      <c r="H1112" s="46" t="s">
        <v>631</v>
      </c>
      <c r="I1112" s="45" t="s">
        <v>125</v>
      </c>
      <c r="J1112" s="46" t="s">
        <v>126</v>
      </c>
      <c r="K1112" s="46" t="s">
        <v>126</v>
      </c>
      <c r="L1112" s="46" t="s">
        <v>12</v>
      </c>
      <c r="M1112" s="46" t="s">
        <v>13</v>
      </c>
      <c r="N1112" s="46" t="s">
        <v>14</v>
      </c>
      <c r="O1112" s="49" t="s">
        <v>803</v>
      </c>
      <c r="P1112" s="46" t="s">
        <v>507</v>
      </c>
      <c r="Q1112" s="35" t="str">
        <f>MID(Tabla1[[#This Row],[Aplicación]],14,1)</f>
        <v>2</v>
      </c>
      <c r="R1112" s="35" t="s">
        <v>495</v>
      </c>
      <c r="S1112" s="35" t="str">
        <f>MID(Tabla1[[#This Row],[Aplicación]],6,2)</f>
        <v>10</v>
      </c>
      <c r="T1112" s="35" t="str">
        <f>VLOOKUP(Tabla1[[#This Row],[AREA]],Hoja1!A:B,2,FALSE)</f>
        <v>10. Servicios sociales y mediación comunitaria</v>
      </c>
      <c r="U1112" s="35" t="str">
        <f>MID(Tabla1[[#This Row],[Aplicación]],9,4)</f>
        <v>2312</v>
      </c>
      <c r="V1112" s="35" t="str">
        <f>VLOOKUP(Tabla1[[#This Row],[PROGRAMA]],Hoja1!A:B,2,FALSE)</f>
        <v>2312. Iniciativas sociales</v>
      </c>
      <c r="W1112" s="35" t="str">
        <f>MID(Tabla1[[#This Row],[Aplicación]],14,2)</f>
        <v>22</v>
      </c>
      <c r="X1112" s="35" t="str">
        <f>MID(Tabla1[[#This Row],[Aplicación]],14,6)</f>
        <v>22799</v>
      </c>
    </row>
    <row r="1113" spans="1:24" x14ac:dyDescent="0.25">
      <c r="A1113" s="45">
        <v>220210001182</v>
      </c>
      <c r="B1113" s="46" t="s">
        <v>9</v>
      </c>
      <c r="C1113" s="47">
        <v>44225</v>
      </c>
      <c r="D1113" s="45">
        <v>22021001368</v>
      </c>
      <c r="E1113" s="46" t="s">
        <v>1183</v>
      </c>
      <c r="F1113" s="48">
        <v>232.13</v>
      </c>
      <c r="G1113" s="46" t="s">
        <v>2241</v>
      </c>
      <c r="H1113" s="46" t="s">
        <v>2242</v>
      </c>
      <c r="I1113" s="45" t="s">
        <v>125</v>
      </c>
      <c r="J1113" s="46" t="s">
        <v>127</v>
      </c>
      <c r="K1113" s="46" t="s">
        <v>127</v>
      </c>
      <c r="L1113" s="46" t="s">
        <v>15</v>
      </c>
      <c r="M1113" s="46" t="s">
        <v>10</v>
      </c>
      <c r="N1113" s="46" t="s">
        <v>11</v>
      </c>
      <c r="O1113" s="49" t="s">
        <v>815</v>
      </c>
      <c r="P1113" s="46" t="s">
        <v>507</v>
      </c>
      <c r="Q1113" s="35" t="str">
        <f>MID(Tabla1[[#This Row],[Aplicación]],14,1)</f>
        <v>2</v>
      </c>
      <c r="R1113" s="35" t="s">
        <v>495</v>
      </c>
      <c r="S1113" s="35" t="str">
        <f>MID(Tabla1[[#This Row],[Aplicación]],6,2)</f>
        <v>11</v>
      </c>
      <c r="T1113" s="35" t="str">
        <f>VLOOKUP(Tabla1[[#This Row],[AREA]],Hoja1!A:B,2,FALSE)</f>
        <v>11. Salud pública y seguridad ciudadana</v>
      </c>
      <c r="U1113" s="35" t="str">
        <f>MID(Tabla1[[#This Row],[Aplicación]],9,4)</f>
        <v>1361</v>
      </c>
      <c r="V1113" s="35" t="str">
        <f>VLOOKUP(Tabla1[[#This Row],[PROGRAMA]],Hoja1!A:B,2,FALSE)</f>
        <v>1361. Prevención y extinción de incencios</v>
      </c>
      <c r="W1113" s="35" t="str">
        <f>MID(Tabla1[[#This Row],[Aplicación]],14,2)</f>
        <v>22</v>
      </c>
      <c r="X1113" s="35" t="str">
        <f>MID(Tabla1[[#This Row],[Aplicación]],14,6)</f>
        <v>22199</v>
      </c>
    </row>
    <row r="1114" spans="1:24" x14ac:dyDescent="0.25">
      <c r="A1114" s="45">
        <v>220210000038</v>
      </c>
      <c r="B1114" s="46" t="s">
        <v>32</v>
      </c>
      <c r="C1114" s="47">
        <v>44215</v>
      </c>
      <c r="D1114" s="45">
        <v>22021000720</v>
      </c>
      <c r="E1114" s="46" t="s">
        <v>2014</v>
      </c>
      <c r="F1114" s="48">
        <v>233</v>
      </c>
      <c r="G1114" s="46" t="s">
        <v>2243</v>
      </c>
      <c r="H1114" s="46" t="s">
        <v>2244</v>
      </c>
      <c r="I1114" s="45" t="s">
        <v>234</v>
      </c>
      <c r="J1114" s="46" t="s">
        <v>127</v>
      </c>
      <c r="K1114" s="46" t="s">
        <v>127</v>
      </c>
      <c r="L1114" s="46" t="s">
        <v>12</v>
      </c>
      <c r="M1114" s="46" t="s">
        <v>10</v>
      </c>
      <c r="N1114" s="46" t="s">
        <v>11</v>
      </c>
      <c r="O1114" s="49" t="s">
        <v>815</v>
      </c>
      <c r="P1114" s="46" t="s">
        <v>507</v>
      </c>
      <c r="Q1114" s="35" t="str">
        <f>MID(Tabla1[[#This Row],[Aplicación]],14,1)</f>
        <v>2</v>
      </c>
      <c r="R1114" s="35" t="s">
        <v>495</v>
      </c>
      <c r="S1114" s="35" t="str">
        <f>MID(Tabla1[[#This Row],[Aplicación]],6,2)</f>
        <v>11</v>
      </c>
      <c r="T1114" s="35" t="str">
        <f>VLOOKUP(Tabla1[[#This Row],[AREA]],Hoja1!A:B,2,FALSE)</f>
        <v>11. Salud pública y seguridad ciudadana</v>
      </c>
      <c r="U1114" s="35" t="str">
        <f>MID(Tabla1[[#This Row],[Aplicación]],9,4)</f>
        <v>1351</v>
      </c>
      <c r="V1114" s="35" t="str">
        <f>VLOOKUP(Tabla1[[#This Row],[PROGRAMA]],Hoja1!A:B,2,FALSE)</f>
        <v>1351. Protección civil</v>
      </c>
      <c r="W1114" s="35" t="str">
        <f>MID(Tabla1[[#This Row],[Aplicación]],14,2)</f>
        <v>22</v>
      </c>
      <c r="X1114" s="35" t="str">
        <f>MID(Tabla1[[#This Row],[Aplicación]],14,6)</f>
        <v>224</v>
      </c>
    </row>
    <row r="1115" spans="1:24" x14ac:dyDescent="0.25">
      <c r="A1115" s="45">
        <v>220209000385</v>
      </c>
      <c r="B1115" s="46" t="s">
        <v>9</v>
      </c>
      <c r="C1115" s="47">
        <v>44198</v>
      </c>
      <c r="D1115" s="45">
        <v>22021000277</v>
      </c>
      <c r="E1115" s="46" t="s">
        <v>2145</v>
      </c>
      <c r="F1115" s="48">
        <v>35000</v>
      </c>
      <c r="G1115" s="46" t="s">
        <v>188</v>
      </c>
      <c r="H1115" s="46" t="s">
        <v>2245</v>
      </c>
      <c r="I1115" s="45" t="s">
        <v>125</v>
      </c>
      <c r="J1115" s="46" t="s">
        <v>126</v>
      </c>
      <c r="K1115" s="46" t="s">
        <v>126</v>
      </c>
      <c r="L1115" s="46" t="s">
        <v>15</v>
      </c>
      <c r="M1115" s="46" t="s">
        <v>13</v>
      </c>
      <c r="N1115" s="46" t="s">
        <v>14</v>
      </c>
      <c r="O1115" s="49" t="s">
        <v>803</v>
      </c>
      <c r="P1115" s="46" t="s">
        <v>507</v>
      </c>
      <c r="Q1115" s="35" t="str">
        <f>MID(Tabla1[[#This Row],[Aplicación]],14,1)</f>
        <v>2</v>
      </c>
      <c r="R1115" s="35" t="s">
        <v>495</v>
      </c>
      <c r="S1115" s="35" t="str">
        <f>MID(Tabla1[[#This Row],[Aplicación]],6,2)</f>
        <v>07</v>
      </c>
      <c r="T1115" s="35" t="str">
        <f>VLOOKUP(Tabla1[[#This Row],[AREA]],Hoja1!A:B,2,FALSE)</f>
        <v>07. Medio ambiente y desarrollo sostenible</v>
      </c>
      <c r="U1115" s="35" t="str">
        <f>MID(Tabla1[[#This Row],[Aplicación]],9,4)</f>
        <v>1711</v>
      </c>
      <c r="V1115" s="35" t="str">
        <f>VLOOKUP(Tabla1[[#This Row],[PROGRAMA]],Hoja1!A:B,2,FALSE)</f>
        <v>1711. Parques y jardines</v>
      </c>
      <c r="W1115" s="35" t="str">
        <f>MID(Tabla1[[#This Row],[Aplicación]],14,2)</f>
        <v>22</v>
      </c>
      <c r="X1115" s="35" t="str">
        <f>MID(Tabla1[[#This Row],[Aplicación]],14,6)</f>
        <v>22103</v>
      </c>
    </row>
    <row r="1116" spans="1:24" x14ac:dyDescent="0.25">
      <c r="A1116" s="45">
        <v>220209000600</v>
      </c>
      <c r="B1116" s="46" t="s">
        <v>9</v>
      </c>
      <c r="C1116" s="47">
        <v>44198</v>
      </c>
      <c r="D1116" s="45">
        <v>22021000618</v>
      </c>
      <c r="E1116" s="46" t="s">
        <v>1364</v>
      </c>
      <c r="F1116" s="48">
        <v>5500</v>
      </c>
      <c r="G1116" s="46" t="s">
        <v>47</v>
      </c>
      <c r="H1116" s="46" t="s">
        <v>2246</v>
      </c>
      <c r="I1116" s="45" t="s">
        <v>125</v>
      </c>
      <c r="J1116" s="46" t="s">
        <v>148</v>
      </c>
      <c r="K1116" s="46" t="s">
        <v>201</v>
      </c>
      <c r="L1116" s="46" t="s">
        <v>15</v>
      </c>
      <c r="M1116" s="46" t="s">
        <v>13</v>
      </c>
      <c r="N1116" s="46" t="s">
        <v>14</v>
      </c>
      <c r="O1116" s="49" t="s">
        <v>803</v>
      </c>
      <c r="P1116" s="46" t="s">
        <v>507</v>
      </c>
      <c r="Q1116" s="35" t="str">
        <f>MID(Tabla1[[#This Row],[Aplicación]],14,1)</f>
        <v>2</v>
      </c>
      <c r="R1116" s="35" t="s">
        <v>495</v>
      </c>
      <c r="S1116" s="35" t="str">
        <f>MID(Tabla1[[#This Row],[Aplicación]],6,2)</f>
        <v>05</v>
      </c>
      <c r="T1116" s="35" t="str">
        <f>VLOOKUP(Tabla1[[#This Row],[AREA]],Hoja1!A:B,2,FALSE)</f>
        <v>05. Innovación, desarrollo económico, empleo y comercio</v>
      </c>
      <c r="U1116" s="35" t="str">
        <f>MID(Tabla1[[#This Row],[Aplicación]],9,4)</f>
        <v>4315</v>
      </c>
      <c r="V1116" s="35" t="str">
        <f>VLOOKUP(Tabla1[[#This Row],[PROGRAMA]],Hoja1!A:B,2,FALSE)</f>
        <v>4315. Actuaciones en materia de consumo</v>
      </c>
      <c r="W1116" s="35" t="str">
        <f>MID(Tabla1[[#This Row],[Aplicación]],14,2)</f>
        <v>22</v>
      </c>
      <c r="X1116" s="35" t="str">
        <f>MID(Tabla1[[#This Row],[Aplicación]],14,6)</f>
        <v>22100</v>
      </c>
    </row>
    <row r="1117" spans="1:24" x14ac:dyDescent="0.25">
      <c r="A1117" s="45">
        <v>220209000601</v>
      </c>
      <c r="B1117" s="46" t="s">
        <v>9</v>
      </c>
      <c r="C1117" s="47">
        <v>44198</v>
      </c>
      <c r="D1117" s="45">
        <v>22021000619</v>
      </c>
      <c r="E1117" s="46" t="s">
        <v>2247</v>
      </c>
      <c r="F1117" s="48">
        <v>480000</v>
      </c>
      <c r="G1117" s="46" t="s">
        <v>47</v>
      </c>
      <c r="H1117" s="46" t="s">
        <v>2248</v>
      </c>
      <c r="I1117" s="45" t="s">
        <v>125</v>
      </c>
      <c r="J1117" s="46" t="s">
        <v>148</v>
      </c>
      <c r="K1117" s="46" t="s">
        <v>201</v>
      </c>
      <c r="L1117" s="46" t="s">
        <v>15</v>
      </c>
      <c r="M1117" s="46" t="s">
        <v>13</v>
      </c>
      <c r="N1117" s="46" t="s">
        <v>14</v>
      </c>
      <c r="O1117" s="49" t="s">
        <v>803</v>
      </c>
      <c r="P1117" s="46" t="s">
        <v>507</v>
      </c>
      <c r="Q1117" s="35" t="str">
        <f>MID(Tabla1[[#This Row],[Aplicación]],14,1)</f>
        <v>2</v>
      </c>
      <c r="R1117" s="35" t="s">
        <v>495</v>
      </c>
      <c r="S1117" s="35" t="str">
        <f>MID(Tabla1[[#This Row],[Aplicación]],6,2)</f>
        <v>03</v>
      </c>
      <c r="T1117" s="35" t="str">
        <f>VLOOKUP(Tabla1[[#This Row],[AREA]],Hoja1!A:B,2,FALSE)</f>
        <v>03. Participación ciudadana y deportes</v>
      </c>
      <c r="U1117" s="35" t="str">
        <f>MID(Tabla1[[#This Row],[Aplicación]],9,4)</f>
        <v>9241</v>
      </c>
      <c r="V1117" s="35" t="str">
        <f>VLOOKUP(Tabla1[[#This Row],[PROGRAMA]],Hoja1!A:B,2,FALSE)</f>
        <v>9241. Participación ciudadana</v>
      </c>
      <c r="W1117" s="35" t="str">
        <f>MID(Tabla1[[#This Row],[Aplicación]],14,2)</f>
        <v>22</v>
      </c>
      <c r="X1117" s="35" t="str">
        <f>MID(Tabla1[[#This Row],[Aplicación]],14,6)</f>
        <v>22100</v>
      </c>
    </row>
    <row r="1118" spans="1:24" x14ac:dyDescent="0.25">
      <c r="A1118" s="45">
        <v>220210010362</v>
      </c>
      <c r="B1118" s="46" t="s">
        <v>9</v>
      </c>
      <c r="C1118" s="47">
        <v>44273</v>
      </c>
      <c r="D1118" s="45">
        <v>22021003343</v>
      </c>
      <c r="E1118" s="46" t="s">
        <v>1452</v>
      </c>
      <c r="F1118" s="48">
        <v>405.31</v>
      </c>
      <c r="G1118" s="46" t="s">
        <v>53</v>
      </c>
      <c r="H1118" s="46" t="s">
        <v>2249</v>
      </c>
      <c r="I1118" s="45" t="s">
        <v>125</v>
      </c>
      <c r="J1118" s="46" t="s">
        <v>127</v>
      </c>
      <c r="K1118" s="46" t="s">
        <v>127</v>
      </c>
      <c r="L1118" s="46" t="s">
        <v>12</v>
      </c>
      <c r="M1118" s="46" t="s">
        <v>10</v>
      </c>
      <c r="N1118" s="46" t="s">
        <v>11</v>
      </c>
      <c r="O1118" s="49" t="s">
        <v>815</v>
      </c>
      <c r="P1118" s="46" t="s">
        <v>507</v>
      </c>
      <c r="Q1118" s="35" t="str">
        <f>MID(Tabla1[[#This Row],[Aplicación]],14,1)</f>
        <v>2</v>
      </c>
      <c r="R1118" s="35" t="s">
        <v>495</v>
      </c>
      <c r="S1118" s="35" t="str">
        <f>MID(Tabla1[[#This Row],[Aplicación]],6,2)</f>
        <v>08</v>
      </c>
      <c r="T1118" s="35" t="str">
        <f>VLOOKUP(Tabla1[[#This Row],[AREA]],Hoja1!A:B,2,FALSE)</f>
        <v>08. Movilidad y espacio urbano</v>
      </c>
      <c r="U1118" s="35" t="str">
        <f>MID(Tabla1[[#This Row],[Aplicación]],9,4)</f>
        <v>1651</v>
      </c>
      <c r="V1118" s="35" t="str">
        <f>VLOOKUP(Tabla1[[#This Row],[PROGRAMA]],Hoja1!A:B,2,FALSE)</f>
        <v>1651. Alumbrado público</v>
      </c>
      <c r="W1118" s="35" t="str">
        <f>MID(Tabla1[[#This Row],[Aplicación]],14,2)</f>
        <v>21</v>
      </c>
      <c r="X1118" s="35" t="str">
        <f>MID(Tabla1[[#This Row],[Aplicación]],14,6)</f>
        <v>213</v>
      </c>
    </row>
    <row r="1119" spans="1:24" x14ac:dyDescent="0.25">
      <c r="A1119" s="45">
        <v>220210003756</v>
      </c>
      <c r="B1119" s="46" t="s">
        <v>9</v>
      </c>
      <c r="C1119" s="47">
        <v>44243</v>
      </c>
      <c r="D1119" s="45">
        <v>22021002620</v>
      </c>
      <c r="E1119" s="46" t="s">
        <v>926</v>
      </c>
      <c r="F1119" s="48">
        <v>882.82</v>
      </c>
      <c r="G1119" s="46" t="s">
        <v>53</v>
      </c>
      <c r="H1119" s="46" t="s">
        <v>2250</v>
      </c>
      <c r="I1119" s="45" t="s">
        <v>125</v>
      </c>
      <c r="J1119" s="46" t="s">
        <v>127</v>
      </c>
      <c r="K1119" s="46" t="s">
        <v>127</v>
      </c>
      <c r="L1119" s="46" t="s">
        <v>12</v>
      </c>
      <c r="M1119" s="46" t="s">
        <v>10</v>
      </c>
      <c r="N1119" s="46" t="s">
        <v>11</v>
      </c>
      <c r="O1119" s="49" t="s">
        <v>815</v>
      </c>
      <c r="P1119" s="46" t="s">
        <v>507</v>
      </c>
      <c r="Q1119" s="35" t="str">
        <f>MID(Tabla1[[#This Row],[Aplicación]],14,1)</f>
        <v>2</v>
      </c>
      <c r="R1119" s="35" t="s">
        <v>495</v>
      </c>
      <c r="S1119" s="35" t="str">
        <f>MID(Tabla1[[#This Row],[Aplicación]],6,2)</f>
        <v>08</v>
      </c>
      <c r="T1119" s="35" t="str">
        <f>VLOOKUP(Tabla1[[#This Row],[AREA]],Hoja1!A:B,2,FALSE)</f>
        <v>08. Movilidad y espacio urbano</v>
      </c>
      <c r="U1119" s="35" t="str">
        <f>MID(Tabla1[[#This Row],[Aplicación]],9,4)</f>
        <v>1532</v>
      </c>
      <c r="V1119" s="35" t="str">
        <f>VLOOKUP(Tabla1[[#This Row],[PROGRAMA]],Hoja1!A:B,2,FALSE)</f>
        <v>1532. Pavimentación vias públicas y otros servicios urbanísticos</v>
      </c>
      <c r="W1119" s="35" t="str">
        <f>MID(Tabla1[[#This Row],[Aplicación]],14,2)</f>
        <v>21</v>
      </c>
      <c r="X1119" s="35" t="str">
        <f>MID(Tabla1[[#This Row],[Aplicación]],14,6)</f>
        <v>213</v>
      </c>
    </row>
    <row r="1120" spans="1:24" x14ac:dyDescent="0.25">
      <c r="A1120" s="45">
        <v>220210002395</v>
      </c>
      <c r="B1120" s="46" t="s">
        <v>9</v>
      </c>
      <c r="C1120" s="47">
        <v>44235</v>
      </c>
      <c r="D1120" s="45">
        <v>22021002363</v>
      </c>
      <c r="E1120" s="46" t="s">
        <v>1344</v>
      </c>
      <c r="F1120" s="48">
        <v>240.19</v>
      </c>
      <c r="G1120" s="46" t="s">
        <v>261</v>
      </c>
      <c r="H1120" s="46" t="s">
        <v>2251</v>
      </c>
      <c r="I1120" s="45" t="s">
        <v>125</v>
      </c>
      <c r="J1120" s="46" t="s">
        <v>127</v>
      </c>
      <c r="K1120" s="46" t="s">
        <v>127</v>
      </c>
      <c r="L1120" s="46" t="s">
        <v>15</v>
      </c>
      <c r="M1120" s="46" t="s">
        <v>10</v>
      </c>
      <c r="N1120" s="46" t="s">
        <v>11</v>
      </c>
      <c r="O1120" s="49" t="s">
        <v>815</v>
      </c>
      <c r="P1120" s="46" t="s">
        <v>507</v>
      </c>
      <c r="Q1120" s="35" t="str">
        <f>MID(Tabla1[[#This Row],[Aplicación]],14,1)</f>
        <v>2</v>
      </c>
      <c r="R1120" s="35" t="s">
        <v>495</v>
      </c>
      <c r="S1120" s="35" t="str">
        <f>MID(Tabla1[[#This Row],[Aplicación]],6,2)</f>
        <v>04</v>
      </c>
      <c r="T1120" s="35" t="str">
        <f>VLOOKUP(Tabla1[[#This Row],[AREA]],Hoja1!A:B,2,FALSE)</f>
        <v>04. Planificación y recursos</v>
      </c>
      <c r="U1120" s="35" t="str">
        <f>MID(Tabla1[[#This Row],[Aplicación]],9,4)</f>
        <v>9341</v>
      </c>
      <c r="V1120" s="35" t="str">
        <f>VLOOKUP(Tabla1[[#This Row],[PROGRAMA]],Hoja1!A:B,2,FALSE)</f>
        <v>9341. Tesorería y recaudación</v>
      </c>
      <c r="W1120" s="35" t="str">
        <f>MID(Tabla1[[#This Row],[Aplicación]],14,2)</f>
        <v>22</v>
      </c>
      <c r="X1120" s="35" t="str">
        <f>MID(Tabla1[[#This Row],[Aplicación]],14,6)</f>
        <v>22000</v>
      </c>
    </row>
    <row r="1121" spans="1:24" x14ac:dyDescent="0.25">
      <c r="A1121" s="45">
        <v>220210006976</v>
      </c>
      <c r="B1121" s="46" t="s">
        <v>9</v>
      </c>
      <c r="C1121" s="47">
        <v>44259</v>
      </c>
      <c r="D1121" s="45">
        <v>22021003229</v>
      </c>
      <c r="E1121" s="46" t="s">
        <v>1336</v>
      </c>
      <c r="F1121" s="48">
        <v>240.79</v>
      </c>
      <c r="G1121" s="46" t="s">
        <v>2252</v>
      </c>
      <c r="H1121" s="46" t="s">
        <v>2253</v>
      </c>
      <c r="I1121" s="45" t="s">
        <v>125</v>
      </c>
      <c r="J1121" s="46" t="s">
        <v>2254</v>
      </c>
      <c r="K1121" s="46" t="s">
        <v>146</v>
      </c>
      <c r="L1121" s="46" t="s">
        <v>15</v>
      </c>
      <c r="M1121" s="46" t="s">
        <v>10</v>
      </c>
      <c r="N1121" s="46" t="s">
        <v>11</v>
      </c>
      <c r="O1121" s="49" t="s">
        <v>815</v>
      </c>
      <c r="P1121" s="46" t="s">
        <v>507</v>
      </c>
      <c r="Q1121" s="35" t="str">
        <f>MID(Tabla1[[#This Row],[Aplicación]],14,1)</f>
        <v>2</v>
      </c>
      <c r="R1121" s="35" t="s">
        <v>495</v>
      </c>
      <c r="S1121" s="35" t="str">
        <f>MID(Tabla1[[#This Row],[Aplicación]],6,2)</f>
        <v>02</v>
      </c>
      <c r="T1121" s="35" t="str">
        <f>VLOOKUP(Tabla1[[#This Row],[AREA]],Hoja1!A:B,2,FALSE)</f>
        <v>02. Planeamiento urbanístico y vivienda</v>
      </c>
      <c r="U1121" s="35" t="str">
        <f>MID(Tabla1[[#This Row],[Aplicación]],9,4)</f>
        <v>9332</v>
      </c>
      <c r="V1121" s="35" t="str">
        <f>VLOOKUP(Tabla1[[#This Row],[PROGRAMA]],Hoja1!A:B,2,FALSE)</f>
        <v>9332. Mantenimiento de edificios e instalaciones municipales</v>
      </c>
      <c r="W1121" s="35" t="str">
        <f>MID(Tabla1[[#This Row],[Aplicación]],14,2)</f>
        <v>21</v>
      </c>
      <c r="X1121" s="35" t="str">
        <f>MID(Tabla1[[#This Row],[Aplicación]],14,6)</f>
        <v>212</v>
      </c>
    </row>
    <row r="1122" spans="1:24" x14ac:dyDescent="0.25">
      <c r="A1122" s="45">
        <v>220200020954</v>
      </c>
      <c r="B1122" s="46" t="s">
        <v>9</v>
      </c>
      <c r="C1122" s="47">
        <v>44284</v>
      </c>
      <c r="D1122" s="45">
        <v>22020000876</v>
      </c>
      <c r="E1122" s="46" t="s">
        <v>1542</v>
      </c>
      <c r="F1122" s="48">
        <v>34638.559999999998</v>
      </c>
      <c r="G1122" s="46" t="s">
        <v>624</v>
      </c>
      <c r="H1122" s="46" t="s">
        <v>693</v>
      </c>
      <c r="I1122" s="45" t="s">
        <v>125</v>
      </c>
      <c r="J1122" s="46" t="s">
        <v>126</v>
      </c>
      <c r="K1122" s="46" t="s">
        <v>126</v>
      </c>
      <c r="L1122" s="46" t="s">
        <v>31</v>
      </c>
      <c r="M1122" s="46" t="s">
        <v>13</v>
      </c>
      <c r="N1122" s="46" t="s">
        <v>14</v>
      </c>
      <c r="O1122" s="49" t="s">
        <v>803</v>
      </c>
      <c r="P1122" s="46" t="s">
        <v>507</v>
      </c>
      <c r="Q1122" s="35" t="str">
        <f>MID(Tabla1[[#This Row],[Aplicación]],14,1)</f>
        <v>6</v>
      </c>
      <c r="R1122" s="35" t="s">
        <v>496</v>
      </c>
      <c r="S1122" s="35" t="str">
        <f>MID(Tabla1[[#This Row],[Aplicación]],6,2)</f>
        <v>05</v>
      </c>
      <c r="T1122" s="35" t="str">
        <f>VLOOKUP(Tabla1[[#This Row],[AREA]],Hoja1!A:B,2,FALSE)</f>
        <v>05. Innovación, desarrollo económico, empleo y comercio</v>
      </c>
      <c r="U1122" s="35" t="str">
        <f>MID(Tabla1[[#This Row],[Aplicación]],9,4)</f>
        <v>4331</v>
      </c>
      <c r="V1122" s="35" t="str">
        <f>VLOOKUP(Tabla1[[#This Row],[PROGRAMA]],Hoja1!A:B,2,FALSE)</f>
        <v>4331. Desarrollo empresarial</v>
      </c>
      <c r="W1122" s="35" t="str">
        <f>MID(Tabla1[[#This Row],[Aplicación]],14,2)</f>
        <v>60</v>
      </c>
      <c r="X1122" s="35" t="str">
        <f>MID(Tabla1[[#This Row],[Aplicación]],14,6)</f>
        <v>609</v>
      </c>
    </row>
    <row r="1123" spans="1:24" x14ac:dyDescent="0.25">
      <c r="A1123" s="45">
        <v>220209000463</v>
      </c>
      <c r="B1123" s="46" t="s">
        <v>9</v>
      </c>
      <c r="C1123" s="47">
        <v>44198</v>
      </c>
      <c r="D1123" s="45">
        <v>22021000314</v>
      </c>
      <c r="E1123" s="46" t="s">
        <v>1197</v>
      </c>
      <c r="F1123" s="48">
        <v>191840</v>
      </c>
      <c r="G1123" s="46" t="s">
        <v>142</v>
      </c>
      <c r="H1123" s="46" t="s">
        <v>2255</v>
      </c>
      <c r="I1123" s="45" t="s">
        <v>125</v>
      </c>
      <c r="J1123" s="46" t="s">
        <v>127</v>
      </c>
      <c r="K1123" s="46" t="s">
        <v>127</v>
      </c>
      <c r="L1123" s="46" t="s">
        <v>12</v>
      </c>
      <c r="M1123" s="46" t="s">
        <v>13</v>
      </c>
      <c r="N1123" s="46" t="s">
        <v>14</v>
      </c>
      <c r="O1123" s="49" t="s">
        <v>803</v>
      </c>
      <c r="P1123" s="46" t="s">
        <v>507</v>
      </c>
      <c r="Q1123" s="35" t="str">
        <f>MID(Tabla1[[#This Row],[Aplicación]],14,1)</f>
        <v>2</v>
      </c>
      <c r="R1123" s="35" t="s">
        <v>495</v>
      </c>
      <c r="S1123" s="35" t="str">
        <f>MID(Tabla1[[#This Row],[Aplicación]],6,2)</f>
        <v>06</v>
      </c>
      <c r="T1123" s="35" t="str">
        <f>VLOOKUP(Tabla1[[#This Row],[AREA]],Hoja1!A:B,2,FALSE)</f>
        <v>06. Educación, infancia, juventud e igualdad</v>
      </c>
      <c r="U1123" s="35" t="str">
        <f>MID(Tabla1[[#This Row],[Aplicación]],9,4)</f>
        <v>3231</v>
      </c>
      <c r="V1123" s="35" t="str">
        <f>VLOOKUP(Tabla1[[#This Row],[PROGRAMA]],Hoja1!A:B,2,FALSE)</f>
        <v>3231. Escuelas infantiles</v>
      </c>
      <c r="W1123" s="35" t="str">
        <f>MID(Tabla1[[#This Row],[Aplicación]],14,2)</f>
        <v>22</v>
      </c>
      <c r="X1123" s="35" t="str">
        <f>MID(Tabla1[[#This Row],[Aplicación]],14,6)</f>
        <v>22799</v>
      </c>
    </row>
    <row r="1124" spans="1:24" x14ac:dyDescent="0.25">
      <c r="A1124" s="45">
        <v>220210010045</v>
      </c>
      <c r="B1124" s="46" t="s">
        <v>9</v>
      </c>
      <c r="C1124" s="47">
        <v>44272</v>
      </c>
      <c r="D1124" s="45">
        <v>22021003452</v>
      </c>
      <c r="E1124" s="46" t="s">
        <v>2256</v>
      </c>
      <c r="F1124" s="48">
        <v>245.04</v>
      </c>
      <c r="G1124" s="46" t="s">
        <v>2257</v>
      </c>
      <c r="H1124" s="46" t="s">
        <v>2258</v>
      </c>
      <c r="I1124" s="45" t="s">
        <v>125</v>
      </c>
      <c r="J1124" s="46" t="s">
        <v>2259</v>
      </c>
      <c r="K1124" s="46" t="s">
        <v>127</v>
      </c>
      <c r="L1124" s="46" t="s">
        <v>15</v>
      </c>
      <c r="M1124" s="46" t="s">
        <v>10</v>
      </c>
      <c r="N1124" s="46" t="s">
        <v>11</v>
      </c>
      <c r="O1124" s="49" t="s">
        <v>815</v>
      </c>
      <c r="P1124" s="46" t="s">
        <v>507</v>
      </c>
      <c r="Q1124" s="35" t="str">
        <f>MID(Tabla1[[#This Row],[Aplicación]],14,1)</f>
        <v>2</v>
      </c>
      <c r="R1124" s="35" t="s">
        <v>495</v>
      </c>
      <c r="S1124" s="35" t="str">
        <f>MID(Tabla1[[#This Row],[Aplicación]],6,2)</f>
        <v>04</v>
      </c>
      <c r="T1124" s="35" t="str">
        <f>VLOOKUP(Tabla1[[#This Row],[AREA]],Hoja1!A:B,2,FALSE)</f>
        <v>04. Planificación y recursos</v>
      </c>
      <c r="U1124" s="35" t="str">
        <f>MID(Tabla1[[#This Row],[Aplicación]],9,4)</f>
        <v>3121</v>
      </c>
      <c r="V1124" s="35" t="str">
        <f>VLOOKUP(Tabla1[[#This Row],[PROGRAMA]],Hoja1!A:B,2,FALSE)</f>
        <v>3121. Prevención y salud laboral</v>
      </c>
      <c r="W1124" s="35" t="str">
        <f>MID(Tabla1[[#This Row],[Aplicación]],14,2)</f>
        <v>22</v>
      </c>
      <c r="X1124" s="35" t="str">
        <f>MID(Tabla1[[#This Row],[Aplicación]],14,6)</f>
        <v>22199</v>
      </c>
    </row>
    <row r="1125" spans="1:24" x14ac:dyDescent="0.25">
      <c r="A1125" s="45">
        <v>220210010371</v>
      </c>
      <c r="B1125" s="46" t="s">
        <v>9</v>
      </c>
      <c r="C1125" s="47">
        <v>44274</v>
      </c>
      <c r="D1125" s="45">
        <v>22021003410</v>
      </c>
      <c r="E1125" s="46" t="s">
        <v>2260</v>
      </c>
      <c r="F1125" s="48">
        <v>252.67</v>
      </c>
      <c r="G1125" s="46" t="s">
        <v>268</v>
      </c>
      <c r="H1125" s="46" t="s">
        <v>2261</v>
      </c>
      <c r="I1125" s="45" t="s">
        <v>125</v>
      </c>
      <c r="J1125" s="46" t="s">
        <v>127</v>
      </c>
      <c r="K1125" s="46" t="s">
        <v>127</v>
      </c>
      <c r="L1125" s="46" t="s">
        <v>15</v>
      </c>
      <c r="M1125" s="46" t="s">
        <v>10</v>
      </c>
      <c r="N1125" s="46" t="s">
        <v>11</v>
      </c>
      <c r="O1125" s="49" t="s">
        <v>815</v>
      </c>
      <c r="P1125" s="46" t="s">
        <v>507</v>
      </c>
      <c r="Q1125" s="35" t="str">
        <f>MID(Tabla1[[#This Row],[Aplicación]],14,1)</f>
        <v>2</v>
      </c>
      <c r="R1125" s="35" t="s">
        <v>495</v>
      </c>
      <c r="S1125" s="35" t="str">
        <f>MID(Tabla1[[#This Row],[Aplicación]],6,2)</f>
        <v>01</v>
      </c>
      <c r="T1125" s="35" t="str">
        <f>VLOOKUP(Tabla1[[#This Row],[AREA]],Hoja1!A:B,2,FALSE)</f>
        <v>01. Alcaldía</v>
      </c>
      <c r="U1125" s="35" t="str">
        <f>MID(Tabla1[[#This Row],[Aplicación]],9,4)</f>
        <v>9203</v>
      </c>
      <c r="V1125" s="35" t="str">
        <f>VLOOKUP(Tabla1[[#This Row],[PROGRAMA]],Hoja1!A:B,2,FALSE)</f>
        <v>9203. Unidad de régimen interior</v>
      </c>
      <c r="W1125" s="35" t="str">
        <f>MID(Tabla1[[#This Row],[Aplicación]],14,2)</f>
        <v>22</v>
      </c>
      <c r="X1125" s="35" t="str">
        <f>MID(Tabla1[[#This Row],[Aplicación]],14,6)</f>
        <v>22110</v>
      </c>
    </row>
    <row r="1126" spans="1:24" x14ac:dyDescent="0.25">
      <c r="A1126" s="45">
        <v>220210002397</v>
      </c>
      <c r="B1126" s="46" t="s">
        <v>9</v>
      </c>
      <c r="C1126" s="47">
        <v>44235</v>
      </c>
      <c r="D1126" s="45">
        <v>22021002393</v>
      </c>
      <c r="E1126" s="46" t="s">
        <v>1487</v>
      </c>
      <c r="F1126" s="48">
        <v>253.68</v>
      </c>
      <c r="G1126" s="46" t="s">
        <v>2262</v>
      </c>
      <c r="H1126" s="46" t="s">
        <v>2263</v>
      </c>
      <c r="I1126" s="45" t="s">
        <v>125</v>
      </c>
      <c r="J1126" s="46" t="s">
        <v>127</v>
      </c>
      <c r="K1126" s="46" t="s">
        <v>127</v>
      </c>
      <c r="L1126" s="46" t="s">
        <v>12</v>
      </c>
      <c r="M1126" s="46" t="s">
        <v>10</v>
      </c>
      <c r="N1126" s="46" t="s">
        <v>11</v>
      </c>
      <c r="O1126" s="49" t="s">
        <v>815</v>
      </c>
      <c r="P1126" s="46" t="s">
        <v>507</v>
      </c>
      <c r="Q1126" s="35" t="str">
        <f>MID(Tabla1[[#This Row],[Aplicación]],14,1)</f>
        <v>6</v>
      </c>
      <c r="R1126" s="35" t="s">
        <v>496</v>
      </c>
      <c r="S1126" s="35" t="str">
        <f>MID(Tabla1[[#This Row],[Aplicación]],6,2)</f>
        <v>08</v>
      </c>
      <c r="T1126" s="35" t="str">
        <f>VLOOKUP(Tabla1[[#This Row],[AREA]],Hoja1!A:B,2,FALSE)</f>
        <v>08. Movilidad y espacio urbano</v>
      </c>
      <c r="U1126" s="35" t="str">
        <f>MID(Tabla1[[#This Row],[Aplicación]],9,4)</f>
        <v>1532</v>
      </c>
      <c r="V1126" s="35" t="str">
        <f>VLOOKUP(Tabla1[[#This Row],[PROGRAMA]],Hoja1!A:B,2,FALSE)</f>
        <v>1532. Pavimentación vias públicas y otros servicios urbanísticos</v>
      </c>
      <c r="W1126" s="35" t="str">
        <f>MID(Tabla1[[#This Row],[Aplicación]],14,2)</f>
        <v>61</v>
      </c>
      <c r="X1126" s="35" t="str">
        <f>MID(Tabla1[[#This Row],[Aplicación]],14,6)</f>
        <v>619</v>
      </c>
    </row>
    <row r="1127" spans="1:24" x14ac:dyDescent="0.25">
      <c r="A1127" s="45">
        <v>220210000544</v>
      </c>
      <c r="B1127" s="46" t="s">
        <v>9</v>
      </c>
      <c r="C1127" s="47">
        <v>44221</v>
      </c>
      <c r="D1127" s="45">
        <v>22021001926</v>
      </c>
      <c r="E1127" s="46" t="s">
        <v>1988</v>
      </c>
      <c r="F1127" s="48">
        <v>260.2</v>
      </c>
      <c r="G1127" s="46" t="s">
        <v>168</v>
      </c>
      <c r="H1127" s="46" t="s">
        <v>2264</v>
      </c>
      <c r="I1127" s="45" t="s">
        <v>125</v>
      </c>
      <c r="J1127" s="46" t="s">
        <v>169</v>
      </c>
      <c r="K1127" s="46" t="s">
        <v>169</v>
      </c>
      <c r="L1127" s="46" t="s">
        <v>12</v>
      </c>
      <c r="M1127" s="46" t="s">
        <v>10</v>
      </c>
      <c r="N1127" s="46" t="s">
        <v>11</v>
      </c>
      <c r="O1127" s="49" t="s">
        <v>815</v>
      </c>
      <c r="P1127" s="46" t="s">
        <v>507</v>
      </c>
      <c r="Q1127" s="35" t="str">
        <f>MID(Tabla1[[#This Row],[Aplicación]],14,1)</f>
        <v>2</v>
      </c>
      <c r="R1127" s="35" t="s">
        <v>495</v>
      </c>
      <c r="S1127" s="35" t="str">
        <f>MID(Tabla1[[#This Row],[Aplicación]],6,2)</f>
        <v>11</v>
      </c>
      <c r="T1127" s="35" t="str">
        <f>VLOOKUP(Tabla1[[#This Row],[AREA]],Hoja1!A:B,2,FALSE)</f>
        <v>11. Salud pública y seguridad ciudadana</v>
      </c>
      <c r="U1127" s="35" t="str">
        <f>MID(Tabla1[[#This Row],[Aplicación]],9,4)</f>
        <v>1321</v>
      </c>
      <c r="V1127" s="35" t="str">
        <f>VLOOKUP(Tabla1[[#This Row],[PROGRAMA]],Hoja1!A:B,2,FALSE)</f>
        <v>1321. Policía municipal</v>
      </c>
      <c r="W1127" s="35" t="str">
        <f>MID(Tabla1[[#This Row],[Aplicación]],14,2)</f>
        <v>22</v>
      </c>
      <c r="X1127" s="35" t="str">
        <f>MID(Tabla1[[#This Row],[Aplicación]],14,6)</f>
        <v>22799</v>
      </c>
    </row>
    <row r="1128" spans="1:24" x14ac:dyDescent="0.25">
      <c r="A1128" s="45">
        <v>220210006032</v>
      </c>
      <c r="B1128" s="46" t="s">
        <v>9</v>
      </c>
      <c r="C1128" s="47">
        <v>44251</v>
      </c>
      <c r="D1128" s="45">
        <v>22021003000</v>
      </c>
      <c r="E1128" s="46" t="s">
        <v>944</v>
      </c>
      <c r="F1128" s="48">
        <v>268.5</v>
      </c>
      <c r="G1128" s="46" t="s">
        <v>2157</v>
      </c>
      <c r="H1128" s="46" t="s">
        <v>2265</v>
      </c>
      <c r="I1128" s="45" t="s">
        <v>125</v>
      </c>
      <c r="J1128" s="46" t="s">
        <v>127</v>
      </c>
      <c r="K1128" s="46" t="s">
        <v>127</v>
      </c>
      <c r="L1128" s="46" t="s">
        <v>15</v>
      </c>
      <c r="M1128" s="46" t="s">
        <v>10</v>
      </c>
      <c r="N1128" s="46" t="s">
        <v>11</v>
      </c>
      <c r="O1128" s="49" t="s">
        <v>815</v>
      </c>
      <c r="P1128" s="46" t="s">
        <v>507</v>
      </c>
      <c r="Q1128" s="35" t="str">
        <f>MID(Tabla1[[#This Row],[Aplicación]],14,1)</f>
        <v>2</v>
      </c>
      <c r="R1128" s="35" t="s">
        <v>495</v>
      </c>
      <c r="S1128" s="35" t="str">
        <f>MID(Tabla1[[#This Row],[Aplicación]],6,2)</f>
        <v>11</v>
      </c>
      <c r="T1128" s="35" t="str">
        <f>VLOOKUP(Tabla1[[#This Row],[AREA]],Hoja1!A:B,2,FALSE)</f>
        <v>11. Salud pública y seguridad ciudadana</v>
      </c>
      <c r="U1128" s="35" t="str">
        <f>MID(Tabla1[[#This Row],[Aplicación]],9,4)</f>
        <v>1621</v>
      </c>
      <c r="V1128" s="35" t="str">
        <f>VLOOKUP(Tabla1[[#This Row],[PROGRAMA]],Hoja1!A:B,2,FALSE)</f>
        <v>1621. Servicio de limpieza</v>
      </c>
      <c r="W1128" s="35" t="str">
        <f>MID(Tabla1[[#This Row],[Aplicación]],14,2)</f>
        <v>21</v>
      </c>
      <c r="X1128" s="35" t="str">
        <f>MID(Tabla1[[#This Row],[Aplicación]],14,6)</f>
        <v>213</v>
      </c>
    </row>
    <row r="1129" spans="1:24" x14ac:dyDescent="0.25">
      <c r="A1129" s="45">
        <v>220210010675</v>
      </c>
      <c r="B1129" s="46" t="s">
        <v>9</v>
      </c>
      <c r="C1129" s="47">
        <v>44278</v>
      </c>
      <c r="D1129" s="45">
        <v>22021003568</v>
      </c>
      <c r="E1129" s="46" t="s">
        <v>2266</v>
      </c>
      <c r="F1129" s="48">
        <v>275</v>
      </c>
      <c r="G1129" s="46" t="s">
        <v>2267</v>
      </c>
      <c r="H1129" s="46" t="s">
        <v>2268</v>
      </c>
      <c r="I1129" s="45" t="s">
        <v>125</v>
      </c>
      <c r="J1129" s="46" t="s">
        <v>127</v>
      </c>
      <c r="K1129" s="46" t="s">
        <v>127</v>
      </c>
      <c r="L1129" s="46" t="s">
        <v>12</v>
      </c>
      <c r="M1129" s="46" t="s">
        <v>10</v>
      </c>
      <c r="N1129" s="46" t="s">
        <v>11</v>
      </c>
      <c r="O1129" s="49" t="s">
        <v>815</v>
      </c>
      <c r="P1129" s="46" t="s">
        <v>507</v>
      </c>
      <c r="Q1129" s="35" t="str">
        <f>MID(Tabla1[[#This Row],[Aplicación]],14,1)</f>
        <v>2</v>
      </c>
      <c r="R1129" s="35" t="s">
        <v>495</v>
      </c>
      <c r="S1129" s="35" t="str">
        <f>MID(Tabla1[[#This Row],[Aplicación]],6,2)</f>
        <v>11</v>
      </c>
      <c r="T1129" s="35" t="str">
        <f>VLOOKUP(Tabla1[[#This Row],[AREA]],Hoja1!A:B,2,FALSE)</f>
        <v>11. Salud pública y seguridad ciudadana</v>
      </c>
      <c r="U1129" s="35" t="str">
        <f>MID(Tabla1[[#This Row],[Aplicación]],9,4)</f>
        <v>3111</v>
      </c>
      <c r="V1129" s="35" t="str">
        <f>VLOOKUP(Tabla1[[#This Row],[PROGRAMA]],Hoja1!A:B,2,FALSE)</f>
        <v>3111. Protección de la salubridad pública</v>
      </c>
      <c r="W1129" s="35" t="str">
        <f>MID(Tabla1[[#This Row],[Aplicación]],14,2)</f>
        <v>22</v>
      </c>
      <c r="X1129" s="35" t="str">
        <f>MID(Tabla1[[#This Row],[Aplicación]],14,6)</f>
        <v>22799</v>
      </c>
    </row>
    <row r="1130" spans="1:24" x14ac:dyDescent="0.25">
      <c r="A1130" s="45">
        <v>220210002869</v>
      </c>
      <c r="B1130" s="46" t="s">
        <v>9</v>
      </c>
      <c r="C1130" s="47">
        <v>44238</v>
      </c>
      <c r="D1130" s="45">
        <v>22021002575</v>
      </c>
      <c r="E1130" s="46" t="s">
        <v>1267</v>
      </c>
      <c r="F1130" s="48">
        <v>275.8</v>
      </c>
      <c r="G1130" s="46" t="s">
        <v>584</v>
      </c>
      <c r="H1130" s="46" t="s">
        <v>2269</v>
      </c>
      <c r="I1130" s="45" t="s">
        <v>125</v>
      </c>
      <c r="J1130" s="46" t="s">
        <v>740</v>
      </c>
      <c r="K1130" s="46" t="s">
        <v>165</v>
      </c>
      <c r="L1130" s="46" t="s">
        <v>12</v>
      </c>
      <c r="M1130" s="46" t="s">
        <v>10</v>
      </c>
      <c r="N1130" s="46" t="s">
        <v>11</v>
      </c>
      <c r="O1130" s="49" t="s">
        <v>815</v>
      </c>
      <c r="P1130" s="46" t="s">
        <v>507</v>
      </c>
      <c r="Q1130" s="35" t="str">
        <f>MID(Tabla1[[#This Row],[Aplicación]],14,1)</f>
        <v>2</v>
      </c>
      <c r="R1130" s="35" t="s">
        <v>495</v>
      </c>
      <c r="S1130" s="35" t="str">
        <f>MID(Tabla1[[#This Row],[Aplicación]],6,2)</f>
        <v>03</v>
      </c>
      <c r="T1130" s="35" t="str">
        <f>VLOOKUP(Tabla1[[#This Row],[AREA]],Hoja1!A:B,2,FALSE)</f>
        <v>03. Participación ciudadana y deportes</v>
      </c>
      <c r="U1130" s="35" t="str">
        <f>MID(Tabla1[[#This Row],[Aplicación]],9,4)</f>
        <v>9241</v>
      </c>
      <c r="V1130" s="35" t="str">
        <f>VLOOKUP(Tabla1[[#This Row],[PROGRAMA]],Hoja1!A:B,2,FALSE)</f>
        <v>9241. Participación ciudadana</v>
      </c>
      <c r="W1130" s="35" t="str">
        <f>MID(Tabla1[[#This Row],[Aplicación]],14,2)</f>
        <v>22</v>
      </c>
      <c r="X1130" s="35" t="str">
        <f>MID(Tabla1[[#This Row],[Aplicación]],14,6)</f>
        <v>22602</v>
      </c>
    </row>
    <row r="1131" spans="1:24" x14ac:dyDescent="0.25">
      <c r="A1131" s="45">
        <v>220209000602</v>
      </c>
      <c r="B1131" s="46" t="s">
        <v>9</v>
      </c>
      <c r="C1131" s="47">
        <v>44198</v>
      </c>
      <c r="D1131" s="45">
        <v>22021000620</v>
      </c>
      <c r="E1131" s="46" t="s">
        <v>2270</v>
      </c>
      <c r="F1131" s="48">
        <v>210000</v>
      </c>
      <c r="G1131" s="46" t="s">
        <v>47</v>
      </c>
      <c r="H1131" s="46" t="s">
        <v>2271</v>
      </c>
      <c r="I1131" s="45" t="s">
        <v>125</v>
      </c>
      <c r="J1131" s="46" t="s">
        <v>148</v>
      </c>
      <c r="K1131" s="46" t="s">
        <v>201</v>
      </c>
      <c r="L1131" s="46" t="s">
        <v>15</v>
      </c>
      <c r="M1131" s="46" t="s">
        <v>13</v>
      </c>
      <c r="N1131" s="46" t="s">
        <v>14</v>
      </c>
      <c r="O1131" s="49" t="s">
        <v>803</v>
      </c>
      <c r="P1131" s="46" t="s">
        <v>507</v>
      </c>
      <c r="Q1131" s="35" t="str">
        <f>MID(Tabla1[[#This Row],[Aplicación]],14,1)</f>
        <v>2</v>
      </c>
      <c r="R1131" s="35" t="s">
        <v>495</v>
      </c>
      <c r="S1131" s="35" t="str">
        <f>MID(Tabla1[[#This Row],[Aplicación]],6,2)</f>
        <v>08</v>
      </c>
      <c r="T1131" s="35" t="str">
        <f>VLOOKUP(Tabla1[[#This Row],[AREA]],Hoja1!A:B,2,FALSE)</f>
        <v>08. Movilidad y espacio urbano</v>
      </c>
      <c r="U1131" s="35" t="str">
        <f>MID(Tabla1[[#This Row],[Aplicación]],9,4)</f>
        <v>1341</v>
      </c>
      <c r="V1131" s="35" t="str">
        <f>VLOOKUP(Tabla1[[#This Row],[PROGRAMA]],Hoja1!A:B,2,FALSE)</f>
        <v>1341. Movilidad</v>
      </c>
      <c r="W1131" s="35" t="str">
        <f>MID(Tabla1[[#This Row],[Aplicación]],14,2)</f>
        <v>22</v>
      </c>
      <c r="X1131" s="35" t="str">
        <f>MID(Tabla1[[#This Row],[Aplicación]],14,6)</f>
        <v>22100</v>
      </c>
    </row>
    <row r="1132" spans="1:24" x14ac:dyDescent="0.25">
      <c r="A1132" s="45">
        <v>220209000603</v>
      </c>
      <c r="B1132" s="46" t="s">
        <v>9</v>
      </c>
      <c r="C1132" s="47">
        <v>44198</v>
      </c>
      <c r="D1132" s="45">
        <v>22021000621</v>
      </c>
      <c r="E1132" s="46" t="s">
        <v>2272</v>
      </c>
      <c r="F1132" s="48">
        <v>65000</v>
      </c>
      <c r="G1132" s="46" t="s">
        <v>47</v>
      </c>
      <c r="H1132" s="46" t="s">
        <v>2273</v>
      </c>
      <c r="I1132" s="45" t="s">
        <v>125</v>
      </c>
      <c r="J1132" s="46" t="s">
        <v>148</v>
      </c>
      <c r="K1132" s="46" t="s">
        <v>201</v>
      </c>
      <c r="L1132" s="46" t="s">
        <v>15</v>
      </c>
      <c r="M1132" s="46" t="s">
        <v>13</v>
      </c>
      <c r="N1132" s="46" t="s">
        <v>14</v>
      </c>
      <c r="O1132" s="49" t="s">
        <v>803</v>
      </c>
      <c r="P1132" s="46" t="s">
        <v>507</v>
      </c>
      <c r="Q1132" s="35" t="str">
        <f>MID(Tabla1[[#This Row],[Aplicación]],14,1)</f>
        <v>2</v>
      </c>
      <c r="R1132" s="35" t="s">
        <v>495</v>
      </c>
      <c r="S1132" s="35" t="str">
        <f>MID(Tabla1[[#This Row],[Aplicación]],6,2)</f>
        <v>06</v>
      </c>
      <c r="T1132" s="35" t="str">
        <f>VLOOKUP(Tabla1[[#This Row],[AREA]],Hoja1!A:B,2,FALSE)</f>
        <v>06. Educación, infancia, juventud e igualdad</v>
      </c>
      <c r="U1132" s="35" t="str">
        <f>MID(Tabla1[[#This Row],[Aplicación]],9,4)</f>
        <v>2314</v>
      </c>
      <c r="V1132" s="35" t="str">
        <f>VLOOKUP(Tabla1[[#This Row],[PROGRAMA]],Hoja1!A:B,2,FALSE)</f>
        <v>2314. Centro de programas juveniles</v>
      </c>
      <c r="W1132" s="35" t="str">
        <f>MID(Tabla1[[#This Row],[Aplicación]],14,2)</f>
        <v>22</v>
      </c>
      <c r="X1132" s="35" t="str">
        <f>MID(Tabla1[[#This Row],[Aplicación]],14,6)</f>
        <v>22100</v>
      </c>
    </row>
    <row r="1133" spans="1:24" x14ac:dyDescent="0.25">
      <c r="A1133" s="45">
        <v>220210001917</v>
      </c>
      <c r="B1133" s="46" t="s">
        <v>9</v>
      </c>
      <c r="C1133" s="47">
        <v>44231</v>
      </c>
      <c r="D1133" s="45">
        <v>22021002097</v>
      </c>
      <c r="E1133" s="46" t="s">
        <v>1267</v>
      </c>
      <c r="F1133" s="48">
        <v>276</v>
      </c>
      <c r="G1133" s="46" t="s">
        <v>2274</v>
      </c>
      <c r="H1133" s="46" t="s">
        <v>2275</v>
      </c>
      <c r="I1133" s="45" t="s">
        <v>125</v>
      </c>
      <c r="J1133" s="46" t="s">
        <v>677</v>
      </c>
      <c r="K1133" s="46" t="s">
        <v>127</v>
      </c>
      <c r="L1133" s="46" t="s">
        <v>15</v>
      </c>
      <c r="M1133" s="46" t="s">
        <v>10</v>
      </c>
      <c r="N1133" s="46" t="s">
        <v>11</v>
      </c>
      <c r="O1133" s="49" t="s">
        <v>815</v>
      </c>
      <c r="P1133" s="46" t="s">
        <v>507</v>
      </c>
      <c r="Q1133" s="35" t="str">
        <f>MID(Tabla1[[#This Row],[Aplicación]],14,1)</f>
        <v>2</v>
      </c>
      <c r="R1133" s="35" t="s">
        <v>495</v>
      </c>
      <c r="S1133" s="35" t="str">
        <f>MID(Tabla1[[#This Row],[Aplicación]],6,2)</f>
        <v>03</v>
      </c>
      <c r="T1133" s="35" t="str">
        <f>VLOOKUP(Tabla1[[#This Row],[AREA]],Hoja1!A:B,2,FALSE)</f>
        <v>03. Participación ciudadana y deportes</v>
      </c>
      <c r="U1133" s="35" t="str">
        <f>MID(Tabla1[[#This Row],[Aplicación]],9,4)</f>
        <v>9241</v>
      </c>
      <c r="V1133" s="35" t="str">
        <f>VLOOKUP(Tabla1[[#This Row],[PROGRAMA]],Hoja1!A:B,2,FALSE)</f>
        <v>9241. Participación ciudadana</v>
      </c>
      <c r="W1133" s="35" t="str">
        <f>MID(Tabla1[[#This Row],[Aplicación]],14,2)</f>
        <v>22</v>
      </c>
      <c r="X1133" s="35" t="str">
        <f>MID(Tabla1[[#This Row],[Aplicación]],14,6)</f>
        <v>22602</v>
      </c>
    </row>
    <row r="1134" spans="1:24" x14ac:dyDescent="0.25">
      <c r="A1134" s="45">
        <v>220209000525</v>
      </c>
      <c r="B1134" s="46" t="s">
        <v>9</v>
      </c>
      <c r="C1134" s="47">
        <v>44198</v>
      </c>
      <c r="D1134" s="45">
        <v>22021000563</v>
      </c>
      <c r="E1134" s="46" t="s">
        <v>2276</v>
      </c>
      <c r="F1134" s="48">
        <v>9610.64</v>
      </c>
      <c r="G1134" s="46" t="s">
        <v>175</v>
      </c>
      <c r="H1134" s="46" t="s">
        <v>2277</v>
      </c>
      <c r="I1134" s="45" t="s">
        <v>125</v>
      </c>
      <c r="J1134" s="46" t="s">
        <v>127</v>
      </c>
      <c r="K1134" s="46" t="s">
        <v>127</v>
      </c>
      <c r="L1134" s="46" t="s">
        <v>12</v>
      </c>
      <c r="M1134" s="46" t="s">
        <v>13</v>
      </c>
      <c r="N1134" s="46" t="s">
        <v>14</v>
      </c>
      <c r="O1134" s="49" t="s">
        <v>803</v>
      </c>
      <c r="P1134" s="46" t="s">
        <v>507</v>
      </c>
      <c r="Q1134" s="35" t="str">
        <f>MID(Tabla1[[#This Row],[Aplicación]],14,1)</f>
        <v>2</v>
      </c>
      <c r="R1134" s="35" t="s">
        <v>495</v>
      </c>
      <c r="S1134" s="35" t="str">
        <f>MID(Tabla1[[#This Row],[Aplicación]],6,2)</f>
        <v>06</v>
      </c>
      <c r="T1134" s="35" t="str">
        <f>VLOOKUP(Tabla1[[#This Row],[AREA]],Hoja1!A:B,2,FALSE)</f>
        <v>06. Educación, infancia, juventud e igualdad</v>
      </c>
      <c r="U1134" s="35" t="str">
        <f>MID(Tabla1[[#This Row],[Aplicación]],9,4)</f>
        <v>3261</v>
      </c>
      <c r="V1134" s="35" t="str">
        <f>VLOOKUP(Tabla1[[#This Row],[PROGRAMA]],Hoja1!A:B,2,FALSE)</f>
        <v>3261. Servicios complementarios de educación</v>
      </c>
      <c r="W1134" s="35" t="str">
        <f>MID(Tabla1[[#This Row],[Aplicación]],14,2)</f>
        <v>22</v>
      </c>
      <c r="X1134" s="35" t="str">
        <f>MID(Tabla1[[#This Row],[Aplicación]],14,6)</f>
        <v>22700</v>
      </c>
    </row>
    <row r="1135" spans="1:24" x14ac:dyDescent="0.25">
      <c r="A1135" s="45">
        <v>220209000526</v>
      </c>
      <c r="B1135" s="46" t="s">
        <v>9</v>
      </c>
      <c r="C1135" s="47">
        <v>44198</v>
      </c>
      <c r="D1135" s="45">
        <v>22021000564</v>
      </c>
      <c r="E1135" s="46" t="s">
        <v>2278</v>
      </c>
      <c r="F1135" s="48">
        <v>213098.75</v>
      </c>
      <c r="G1135" s="46" t="s">
        <v>175</v>
      </c>
      <c r="H1135" s="46" t="s">
        <v>2279</v>
      </c>
      <c r="I1135" s="45" t="s">
        <v>125</v>
      </c>
      <c r="J1135" s="46" t="s">
        <v>127</v>
      </c>
      <c r="K1135" s="46" t="s">
        <v>127</v>
      </c>
      <c r="L1135" s="46" t="s">
        <v>12</v>
      </c>
      <c r="M1135" s="46" t="s">
        <v>13</v>
      </c>
      <c r="N1135" s="46" t="s">
        <v>14</v>
      </c>
      <c r="O1135" s="49" t="s">
        <v>803</v>
      </c>
      <c r="P1135" s="46" t="s">
        <v>507</v>
      </c>
      <c r="Q1135" s="35" t="str">
        <f>MID(Tabla1[[#This Row],[Aplicación]],14,1)</f>
        <v>2</v>
      </c>
      <c r="R1135" s="35" t="s">
        <v>495</v>
      </c>
      <c r="S1135" s="35" t="str">
        <f>MID(Tabla1[[#This Row],[Aplicación]],6,2)</f>
        <v>06</v>
      </c>
      <c r="T1135" s="35" t="str">
        <f>VLOOKUP(Tabla1[[#This Row],[AREA]],Hoja1!A:B,2,FALSE)</f>
        <v>06. Educación, infancia, juventud e igualdad</v>
      </c>
      <c r="U1135" s="35" t="str">
        <f>MID(Tabla1[[#This Row],[Aplicación]],9,4)</f>
        <v>3231</v>
      </c>
      <c r="V1135" s="35" t="str">
        <f>VLOOKUP(Tabla1[[#This Row],[PROGRAMA]],Hoja1!A:B,2,FALSE)</f>
        <v>3231. Escuelas infantiles</v>
      </c>
      <c r="W1135" s="35" t="str">
        <f>MID(Tabla1[[#This Row],[Aplicación]],14,2)</f>
        <v>22</v>
      </c>
      <c r="X1135" s="35" t="str">
        <f>MID(Tabla1[[#This Row],[Aplicación]],14,6)</f>
        <v>22700</v>
      </c>
    </row>
    <row r="1136" spans="1:24" x14ac:dyDescent="0.25">
      <c r="A1136" s="45">
        <v>220209000554</v>
      </c>
      <c r="B1136" s="46" t="s">
        <v>9</v>
      </c>
      <c r="C1136" s="47">
        <v>44198</v>
      </c>
      <c r="D1136" s="45">
        <v>22021000585</v>
      </c>
      <c r="E1136" s="46" t="s">
        <v>2280</v>
      </c>
      <c r="F1136" s="48">
        <v>6165.6</v>
      </c>
      <c r="G1136" s="46" t="s">
        <v>175</v>
      </c>
      <c r="H1136" s="46" t="s">
        <v>2281</v>
      </c>
      <c r="I1136" s="45" t="s">
        <v>125</v>
      </c>
      <c r="J1136" s="46" t="s">
        <v>127</v>
      </c>
      <c r="K1136" s="46" t="s">
        <v>127</v>
      </c>
      <c r="L1136" s="46" t="s">
        <v>12</v>
      </c>
      <c r="M1136" s="46" t="s">
        <v>13</v>
      </c>
      <c r="N1136" s="46" t="s">
        <v>14</v>
      </c>
      <c r="O1136" s="49" t="s">
        <v>803</v>
      </c>
      <c r="P1136" s="46" t="s">
        <v>507</v>
      </c>
      <c r="Q1136" s="35" t="str">
        <f>MID(Tabla1[[#This Row],[Aplicación]],14,1)</f>
        <v>2</v>
      </c>
      <c r="R1136" s="35" t="s">
        <v>495</v>
      </c>
      <c r="S1136" s="35" t="str">
        <f>MID(Tabla1[[#This Row],[Aplicación]],6,2)</f>
        <v>06</v>
      </c>
      <c r="T1136" s="35" t="str">
        <f>VLOOKUP(Tabla1[[#This Row],[AREA]],Hoja1!A:B,2,FALSE)</f>
        <v>06. Educación, infancia, juventud e igualdad</v>
      </c>
      <c r="U1136" s="35" t="str">
        <f>MID(Tabla1[[#This Row],[Aplicación]],9,4)</f>
        <v>2315</v>
      </c>
      <c r="V1136" s="35" t="str">
        <f>VLOOKUP(Tabla1[[#This Row],[PROGRAMA]],Hoja1!A:B,2,FALSE)</f>
        <v>2315. Políticas de Igualdad e infancia</v>
      </c>
      <c r="W1136" s="35" t="str">
        <f>MID(Tabla1[[#This Row],[Aplicación]],14,2)</f>
        <v>22</v>
      </c>
      <c r="X1136" s="35" t="str">
        <f>MID(Tabla1[[#This Row],[Aplicación]],14,6)</f>
        <v>22700</v>
      </c>
    </row>
    <row r="1137" spans="1:24" x14ac:dyDescent="0.25">
      <c r="A1137" s="45">
        <v>220209000555</v>
      </c>
      <c r="B1137" s="46" t="s">
        <v>9</v>
      </c>
      <c r="C1137" s="47">
        <v>44198</v>
      </c>
      <c r="D1137" s="45">
        <v>22021000586</v>
      </c>
      <c r="E1137" s="46" t="s">
        <v>1978</v>
      </c>
      <c r="F1137" s="48">
        <v>55569.06</v>
      </c>
      <c r="G1137" s="46" t="s">
        <v>175</v>
      </c>
      <c r="H1137" s="46" t="s">
        <v>2282</v>
      </c>
      <c r="I1137" s="45" t="s">
        <v>125</v>
      </c>
      <c r="J1137" s="46" t="s">
        <v>127</v>
      </c>
      <c r="K1137" s="46" t="s">
        <v>127</v>
      </c>
      <c r="L1137" s="46" t="s">
        <v>12</v>
      </c>
      <c r="M1137" s="46" t="s">
        <v>13</v>
      </c>
      <c r="N1137" s="46" t="s">
        <v>14</v>
      </c>
      <c r="O1137" s="49" t="s">
        <v>803</v>
      </c>
      <c r="P1137" s="46" t="s">
        <v>507</v>
      </c>
      <c r="Q1137" s="35" t="str">
        <f>MID(Tabla1[[#This Row],[Aplicación]],14,1)</f>
        <v>2</v>
      </c>
      <c r="R1137" s="35" t="s">
        <v>495</v>
      </c>
      <c r="S1137" s="35" t="str">
        <f>MID(Tabla1[[#This Row],[Aplicación]],6,2)</f>
        <v>06</v>
      </c>
      <c r="T1137" s="35" t="str">
        <f>VLOOKUP(Tabla1[[#This Row],[AREA]],Hoja1!A:B,2,FALSE)</f>
        <v>06. Educación, infancia, juventud e igualdad</v>
      </c>
      <c r="U1137" s="35" t="str">
        <f>MID(Tabla1[[#This Row],[Aplicación]],9,4)</f>
        <v>2314</v>
      </c>
      <c r="V1137" s="35" t="str">
        <f>VLOOKUP(Tabla1[[#This Row],[PROGRAMA]],Hoja1!A:B,2,FALSE)</f>
        <v>2314. Centro de programas juveniles</v>
      </c>
      <c r="W1137" s="35" t="str">
        <f>MID(Tabla1[[#This Row],[Aplicación]],14,2)</f>
        <v>22</v>
      </c>
      <c r="X1137" s="35" t="str">
        <f>MID(Tabla1[[#This Row],[Aplicación]],14,6)</f>
        <v>22700</v>
      </c>
    </row>
    <row r="1138" spans="1:24" x14ac:dyDescent="0.25">
      <c r="A1138" s="45">
        <v>220209000562</v>
      </c>
      <c r="B1138" s="46" t="s">
        <v>9</v>
      </c>
      <c r="C1138" s="47">
        <v>44198</v>
      </c>
      <c r="D1138" s="45">
        <v>22021000592</v>
      </c>
      <c r="E1138" s="46" t="s">
        <v>2283</v>
      </c>
      <c r="F1138" s="48">
        <v>16679.509999999998</v>
      </c>
      <c r="G1138" s="46" t="s">
        <v>175</v>
      </c>
      <c r="H1138" s="46" t="s">
        <v>2284</v>
      </c>
      <c r="I1138" s="45" t="s">
        <v>125</v>
      </c>
      <c r="J1138" s="46" t="s">
        <v>127</v>
      </c>
      <c r="K1138" s="46" t="s">
        <v>127</v>
      </c>
      <c r="L1138" s="46" t="s">
        <v>12</v>
      </c>
      <c r="M1138" s="46" t="s">
        <v>13</v>
      </c>
      <c r="N1138" s="46" t="s">
        <v>14</v>
      </c>
      <c r="O1138" s="49" t="s">
        <v>803</v>
      </c>
      <c r="P1138" s="46" t="s">
        <v>507</v>
      </c>
      <c r="Q1138" s="35" t="str">
        <f>MID(Tabla1[[#This Row],[Aplicación]],14,1)</f>
        <v>2</v>
      </c>
      <c r="R1138" s="35" t="s">
        <v>495</v>
      </c>
      <c r="S1138" s="35" t="str">
        <f>MID(Tabla1[[#This Row],[Aplicación]],6,2)</f>
        <v>06</v>
      </c>
      <c r="T1138" s="35" t="str">
        <f>VLOOKUP(Tabla1[[#This Row],[AREA]],Hoja1!A:B,2,FALSE)</f>
        <v>06. Educación, infancia, juventud e igualdad</v>
      </c>
      <c r="U1138" s="35" t="str">
        <f>MID(Tabla1[[#This Row],[Aplicación]],9,4)</f>
        <v>3321</v>
      </c>
      <c r="V1138" s="35" t="str">
        <f>VLOOKUP(Tabla1[[#This Row],[PROGRAMA]],Hoja1!A:B,2,FALSE)</f>
        <v>3321. Bibliotecas públicas</v>
      </c>
      <c r="W1138" s="35" t="str">
        <f>MID(Tabla1[[#This Row],[Aplicación]],14,2)</f>
        <v>22</v>
      </c>
      <c r="X1138" s="35" t="str">
        <f>MID(Tabla1[[#This Row],[Aplicación]],14,6)</f>
        <v>22700</v>
      </c>
    </row>
    <row r="1139" spans="1:24" x14ac:dyDescent="0.25">
      <c r="A1139" s="45">
        <v>220209000604</v>
      </c>
      <c r="B1139" s="46" t="s">
        <v>9</v>
      </c>
      <c r="C1139" s="47">
        <v>44198</v>
      </c>
      <c r="D1139" s="45">
        <v>22021000622</v>
      </c>
      <c r="E1139" s="46" t="s">
        <v>2285</v>
      </c>
      <c r="F1139" s="48">
        <v>25000</v>
      </c>
      <c r="G1139" s="46" t="s">
        <v>47</v>
      </c>
      <c r="H1139" s="46" t="s">
        <v>2286</v>
      </c>
      <c r="I1139" s="45" t="s">
        <v>125</v>
      </c>
      <c r="J1139" s="46" t="s">
        <v>148</v>
      </c>
      <c r="K1139" s="46" t="s">
        <v>201</v>
      </c>
      <c r="L1139" s="46" t="s">
        <v>15</v>
      </c>
      <c r="M1139" s="46" t="s">
        <v>13</v>
      </c>
      <c r="N1139" s="46" t="s">
        <v>14</v>
      </c>
      <c r="O1139" s="49" t="s">
        <v>803</v>
      </c>
      <c r="P1139" s="46" t="s">
        <v>507</v>
      </c>
      <c r="Q1139" s="35" t="str">
        <f>MID(Tabla1[[#This Row],[Aplicación]],14,1)</f>
        <v>2</v>
      </c>
      <c r="R1139" s="35" t="s">
        <v>495</v>
      </c>
      <c r="S1139" s="35" t="str">
        <f>MID(Tabla1[[#This Row],[Aplicación]],6,2)</f>
        <v>05</v>
      </c>
      <c r="T1139" s="35" t="str">
        <f>VLOOKUP(Tabla1[[#This Row],[AREA]],Hoja1!A:B,2,FALSE)</f>
        <v>05. Innovación, desarrollo económico, empleo y comercio</v>
      </c>
      <c r="U1139" s="35" t="str">
        <f>MID(Tabla1[[#This Row],[Aplicación]],9,4)</f>
        <v>4331</v>
      </c>
      <c r="V1139" s="35" t="str">
        <f>VLOOKUP(Tabla1[[#This Row],[PROGRAMA]],Hoja1!A:B,2,FALSE)</f>
        <v>4331. Desarrollo empresarial</v>
      </c>
      <c r="W1139" s="35" t="str">
        <f>MID(Tabla1[[#This Row],[Aplicación]],14,2)</f>
        <v>22</v>
      </c>
      <c r="X1139" s="35" t="str">
        <f>MID(Tabla1[[#This Row],[Aplicación]],14,6)</f>
        <v>22100</v>
      </c>
    </row>
    <row r="1140" spans="1:24" x14ac:dyDescent="0.25">
      <c r="A1140" s="45">
        <v>220209000605</v>
      </c>
      <c r="B1140" s="46" t="s">
        <v>9</v>
      </c>
      <c r="C1140" s="47">
        <v>44198</v>
      </c>
      <c r="D1140" s="45">
        <v>22021000623</v>
      </c>
      <c r="E1140" s="46" t="s">
        <v>2285</v>
      </c>
      <c r="F1140" s="48">
        <v>25000</v>
      </c>
      <c r="G1140" s="46" t="s">
        <v>47</v>
      </c>
      <c r="H1140" s="46" t="s">
        <v>2287</v>
      </c>
      <c r="I1140" s="45" t="s">
        <v>125</v>
      </c>
      <c r="J1140" s="46" t="s">
        <v>148</v>
      </c>
      <c r="K1140" s="46" t="s">
        <v>201</v>
      </c>
      <c r="L1140" s="46" t="s">
        <v>15</v>
      </c>
      <c r="M1140" s="46" t="s">
        <v>13</v>
      </c>
      <c r="N1140" s="46" t="s">
        <v>14</v>
      </c>
      <c r="O1140" s="49" t="s">
        <v>803</v>
      </c>
      <c r="P1140" s="46" t="s">
        <v>507</v>
      </c>
      <c r="Q1140" s="35" t="str">
        <f>MID(Tabla1[[#This Row],[Aplicación]],14,1)</f>
        <v>2</v>
      </c>
      <c r="R1140" s="35" t="s">
        <v>495</v>
      </c>
      <c r="S1140" s="35" t="str">
        <f>MID(Tabla1[[#This Row],[Aplicación]],6,2)</f>
        <v>05</v>
      </c>
      <c r="T1140" s="35" t="str">
        <f>VLOOKUP(Tabla1[[#This Row],[AREA]],Hoja1!A:B,2,FALSE)</f>
        <v>05. Innovación, desarrollo económico, empleo y comercio</v>
      </c>
      <c r="U1140" s="35" t="str">
        <f>MID(Tabla1[[#This Row],[Aplicación]],9,4)</f>
        <v>4331</v>
      </c>
      <c r="V1140" s="35" t="str">
        <f>VLOOKUP(Tabla1[[#This Row],[PROGRAMA]],Hoja1!A:B,2,FALSE)</f>
        <v>4331. Desarrollo empresarial</v>
      </c>
      <c r="W1140" s="35" t="str">
        <f>MID(Tabla1[[#This Row],[Aplicación]],14,2)</f>
        <v>22</v>
      </c>
      <c r="X1140" s="35" t="str">
        <f>MID(Tabla1[[#This Row],[Aplicación]],14,6)</f>
        <v>22100</v>
      </c>
    </row>
    <row r="1141" spans="1:24" x14ac:dyDescent="0.25">
      <c r="A1141" s="45">
        <v>220209000606</v>
      </c>
      <c r="B1141" s="46" t="s">
        <v>9</v>
      </c>
      <c r="C1141" s="47">
        <v>44198</v>
      </c>
      <c r="D1141" s="45">
        <v>22021000624</v>
      </c>
      <c r="E1141" s="46" t="s">
        <v>2288</v>
      </c>
      <c r="F1141" s="48">
        <v>180000</v>
      </c>
      <c r="G1141" s="46" t="s">
        <v>47</v>
      </c>
      <c r="H1141" s="46" t="s">
        <v>2289</v>
      </c>
      <c r="I1141" s="45" t="s">
        <v>125</v>
      </c>
      <c r="J1141" s="46" t="s">
        <v>148</v>
      </c>
      <c r="K1141" s="46" t="s">
        <v>201</v>
      </c>
      <c r="L1141" s="46" t="s">
        <v>15</v>
      </c>
      <c r="M1141" s="46" t="s">
        <v>13</v>
      </c>
      <c r="N1141" s="46" t="s">
        <v>14</v>
      </c>
      <c r="O1141" s="49" t="s">
        <v>803</v>
      </c>
      <c r="P1141" s="46" t="s">
        <v>507</v>
      </c>
      <c r="Q1141" s="35" t="str">
        <f>MID(Tabla1[[#This Row],[Aplicación]],14,1)</f>
        <v>2</v>
      </c>
      <c r="R1141" s="35" t="s">
        <v>495</v>
      </c>
      <c r="S1141" s="35" t="str">
        <f>MID(Tabla1[[#This Row],[Aplicación]],6,2)</f>
        <v>02</v>
      </c>
      <c r="T1141" s="35" t="str">
        <f>VLOOKUP(Tabla1[[#This Row],[AREA]],Hoja1!A:B,2,FALSE)</f>
        <v>02. Planeamiento urbanístico y vivienda</v>
      </c>
      <c r="U1141" s="35" t="str">
        <f>MID(Tabla1[[#This Row],[Aplicación]],9,4)</f>
        <v>9332</v>
      </c>
      <c r="V1141" s="35" t="str">
        <f>VLOOKUP(Tabla1[[#This Row],[PROGRAMA]],Hoja1!A:B,2,FALSE)</f>
        <v>9332. Mantenimiento de edificios e instalaciones municipales</v>
      </c>
      <c r="W1141" s="35" t="str">
        <f>MID(Tabla1[[#This Row],[Aplicación]],14,2)</f>
        <v>22</v>
      </c>
      <c r="X1141" s="35" t="str">
        <f>MID(Tabla1[[#This Row],[Aplicación]],14,6)</f>
        <v>22100</v>
      </c>
    </row>
    <row r="1142" spans="1:24" x14ac:dyDescent="0.25">
      <c r="A1142" s="45">
        <v>220199000766</v>
      </c>
      <c r="B1142" s="46" t="s">
        <v>9</v>
      </c>
      <c r="C1142" s="47">
        <v>44198</v>
      </c>
      <c r="D1142" s="45">
        <v>22021000178</v>
      </c>
      <c r="E1142" s="46" t="s">
        <v>1415</v>
      </c>
      <c r="F1142" s="48">
        <v>115082.24000000001</v>
      </c>
      <c r="G1142" s="46" t="s">
        <v>156</v>
      </c>
      <c r="H1142" s="46" t="s">
        <v>630</v>
      </c>
      <c r="I1142" s="45" t="s">
        <v>125</v>
      </c>
      <c r="J1142" s="46" t="s">
        <v>617</v>
      </c>
      <c r="K1142" s="46" t="s">
        <v>157</v>
      </c>
      <c r="L1142" s="46" t="s">
        <v>12</v>
      </c>
      <c r="M1142" s="46" t="s">
        <v>13</v>
      </c>
      <c r="N1142" s="46" t="s">
        <v>14</v>
      </c>
      <c r="O1142" s="49" t="s">
        <v>803</v>
      </c>
      <c r="P1142" s="46" t="s">
        <v>507</v>
      </c>
      <c r="Q1142" s="35" t="str">
        <f>MID(Tabla1[[#This Row],[Aplicación]],14,1)</f>
        <v>2</v>
      </c>
      <c r="R1142" s="35" t="s">
        <v>495</v>
      </c>
      <c r="S1142" s="35" t="str">
        <f>MID(Tabla1[[#This Row],[Aplicación]],6,2)</f>
        <v>10</v>
      </c>
      <c r="T1142" s="35" t="str">
        <f>VLOOKUP(Tabla1[[#This Row],[AREA]],Hoja1!A:B,2,FALSE)</f>
        <v>10. Servicios sociales y mediación comunitaria</v>
      </c>
      <c r="U1142" s="35" t="str">
        <f>MID(Tabla1[[#This Row],[Aplicación]],9,4)</f>
        <v>2312</v>
      </c>
      <c r="V1142" s="35" t="str">
        <f>VLOOKUP(Tabla1[[#This Row],[PROGRAMA]],Hoja1!A:B,2,FALSE)</f>
        <v>2312. Iniciativas sociales</v>
      </c>
      <c r="W1142" s="35" t="str">
        <f>MID(Tabla1[[#This Row],[Aplicación]],14,2)</f>
        <v>22</v>
      </c>
      <c r="X1142" s="35" t="str">
        <f>MID(Tabla1[[#This Row],[Aplicación]],14,6)</f>
        <v>22799</v>
      </c>
    </row>
    <row r="1143" spans="1:24" x14ac:dyDescent="0.25">
      <c r="A1143" s="45">
        <v>220199000767</v>
      </c>
      <c r="B1143" s="46" t="s">
        <v>9</v>
      </c>
      <c r="C1143" s="47">
        <v>44198</v>
      </c>
      <c r="D1143" s="45">
        <v>22021000179</v>
      </c>
      <c r="E1143" s="46" t="s">
        <v>1415</v>
      </c>
      <c r="F1143" s="48">
        <v>16440.32</v>
      </c>
      <c r="G1143" s="46" t="s">
        <v>156</v>
      </c>
      <c r="H1143" s="46" t="s">
        <v>672</v>
      </c>
      <c r="I1143" s="45" t="s">
        <v>125</v>
      </c>
      <c r="J1143" s="46" t="s">
        <v>617</v>
      </c>
      <c r="K1143" s="46" t="s">
        <v>157</v>
      </c>
      <c r="L1143" s="46" t="s">
        <v>12</v>
      </c>
      <c r="M1143" s="46" t="s">
        <v>13</v>
      </c>
      <c r="N1143" s="46" t="s">
        <v>14</v>
      </c>
      <c r="O1143" s="49" t="s">
        <v>803</v>
      </c>
      <c r="P1143" s="46" t="s">
        <v>507</v>
      </c>
      <c r="Q1143" s="35" t="str">
        <f>MID(Tabla1[[#This Row],[Aplicación]],14,1)</f>
        <v>2</v>
      </c>
      <c r="R1143" s="35" t="s">
        <v>495</v>
      </c>
      <c r="S1143" s="35" t="str">
        <f>MID(Tabla1[[#This Row],[Aplicación]],6,2)</f>
        <v>10</v>
      </c>
      <c r="T1143" s="35" t="str">
        <f>VLOOKUP(Tabla1[[#This Row],[AREA]],Hoja1!A:B,2,FALSE)</f>
        <v>10. Servicios sociales y mediación comunitaria</v>
      </c>
      <c r="U1143" s="35" t="str">
        <f>MID(Tabla1[[#This Row],[Aplicación]],9,4)</f>
        <v>2312</v>
      </c>
      <c r="V1143" s="35" t="str">
        <f>VLOOKUP(Tabla1[[#This Row],[PROGRAMA]],Hoja1!A:B,2,FALSE)</f>
        <v>2312. Iniciativas sociales</v>
      </c>
      <c r="W1143" s="35" t="str">
        <f>MID(Tabla1[[#This Row],[Aplicación]],14,2)</f>
        <v>22</v>
      </c>
      <c r="X1143" s="35" t="str">
        <f>MID(Tabla1[[#This Row],[Aplicación]],14,6)</f>
        <v>22799</v>
      </c>
    </row>
    <row r="1144" spans="1:24" x14ac:dyDescent="0.25">
      <c r="A1144" s="45">
        <v>220209000367</v>
      </c>
      <c r="B1144" s="46" t="s">
        <v>9</v>
      </c>
      <c r="C1144" s="47">
        <v>44198</v>
      </c>
      <c r="D1144" s="45">
        <v>22021000272</v>
      </c>
      <c r="E1144" s="46" t="s">
        <v>1247</v>
      </c>
      <c r="F1144" s="48">
        <v>1258400</v>
      </c>
      <c r="G1144" s="46" t="s">
        <v>156</v>
      </c>
      <c r="H1144" s="46" t="s">
        <v>2290</v>
      </c>
      <c r="I1144" s="45" t="s">
        <v>125</v>
      </c>
      <c r="J1144" s="46" t="s">
        <v>617</v>
      </c>
      <c r="K1144" s="46" t="s">
        <v>157</v>
      </c>
      <c r="L1144" s="46" t="s">
        <v>12</v>
      </c>
      <c r="M1144" s="46" t="s">
        <v>13</v>
      </c>
      <c r="N1144" s="46" t="s">
        <v>14</v>
      </c>
      <c r="O1144" s="49" t="s">
        <v>803</v>
      </c>
      <c r="P1144" s="46" t="s">
        <v>507</v>
      </c>
      <c r="Q1144" s="35" t="str">
        <f>MID(Tabla1[[#This Row],[Aplicación]],14,1)</f>
        <v>2</v>
      </c>
      <c r="R1144" s="35" t="s">
        <v>495</v>
      </c>
      <c r="S1144" s="35" t="str">
        <f>MID(Tabla1[[#This Row],[Aplicación]],6,2)</f>
        <v>10</v>
      </c>
      <c r="T1144" s="35" t="str">
        <f>VLOOKUP(Tabla1[[#This Row],[AREA]],Hoja1!A:B,2,FALSE)</f>
        <v>10. Servicios sociales y mediación comunitaria</v>
      </c>
      <c r="U1144" s="35" t="str">
        <f>MID(Tabla1[[#This Row],[Aplicación]],9,4)</f>
        <v>2311</v>
      </c>
      <c r="V1144" s="35" t="str">
        <f>VLOOKUP(Tabla1[[#This Row],[PROGRAMA]],Hoja1!A:B,2,FALSE)</f>
        <v>2311. Intervención social</v>
      </c>
      <c r="W1144" s="35" t="str">
        <f>MID(Tabla1[[#This Row],[Aplicación]],14,2)</f>
        <v>22</v>
      </c>
      <c r="X1144" s="35" t="str">
        <f>MID(Tabla1[[#This Row],[Aplicación]],14,6)</f>
        <v>22799</v>
      </c>
    </row>
    <row r="1145" spans="1:24" x14ac:dyDescent="0.25">
      <c r="A1145" s="45">
        <v>220210000517</v>
      </c>
      <c r="B1145" s="46" t="s">
        <v>9</v>
      </c>
      <c r="C1145" s="47">
        <v>44221</v>
      </c>
      <c r="D1145" s="45">
        <v>22021000769</v>
      </c>
      <c r="E1145" s="46" t="s">
        <v>2178</v>
      </c>
      <c r="F1145" s="48">
        <v>6000</v>
      </c>
      <c r="G1145" s="46" t="s">
        <v>47</v>
      </c>
      <c r="H1145" s="46" t="s">
        <v>2291</v>
      </c>
      <c r="I1145" s="45" t="s">
        <v>125</v>
      </c>
      <c r="J1145" s="46" t="s">
        <v>148</v>
      </c>
      <c r="K1145" s="46" t="s">
        <v>201</v>
      </c>
      <c r="L1145" s="46" t="s">
        <v>15</v>
      </c>
      <c r="M1145" s="46" t="s">
        <v>13</v>
      </c>
      <c r="N1145" s="46" t="s">
        <v>14</v>
      </c>
      <c r="O1145" s="49" t="s">
        <v>803</v>
      </c>
      <c r="P1145" s="46" t="s">
        <v>507</v>
      </c>
      <c r="Q1145" s="35" t="str">
        <f>MID(Tabla1[[#This Row],[Aplicación]],14,1)</f>
        <v>2</v>
      </c>
      <c r="R1145" s="35" t="s">
        <v>495</v>
      </c>
      <c r="S1145" s="35" t="str">
        <f>MID(Tabla1[[#This Row],[Aplicación]],6,2)</f>
        <v>10</v>
      </c>
      <c r="T1145" s="35" t="str">
        <f>VLOOKUP(Tabla1[[#This Row],[AREA]],Hoja1!A:B,2,FALSE)</f>
        <v>10. Servicios sociales y mediación comunitaria</v>
      </c>
      <c r="U1145" s="35" t="str">
        <f>MID(Tabla1[[#This Row],[Aplicación]],9,4)</f>
        <v>2412</v>
      </c>
      <c r="V1145" s="35" t="str">
        <f>VLOOKUP(Tabla1[[#This Row],[PROGRAMA]],Hoja1!A:B,2,FALSE)</f>
        <v>2412. Formación para el empleo</v>
      </c>
      <c r="W1145" s="35" t="str">
        <f>MID(Tabla1[[#This Row],[Aplicación]],14,2)</f>
        <v>22</v>
      </c>
      <c r="X1145" s="35" t="str">
        <f>MID(Tabla1[[#This Row],[Aplicación]],14,6)</f>
        <v>22100</v>
      </c>
    </row>
    <row r="1146" spans="1:24" x14ac:dyDescent="0.25">
      <c r="A1146" s="45">
        <v>220210004001</v>
      </c>
      <c r="B1146" s="46" t="s">
        <v>9</v>
      </c>
      <c r="C1146" s="47">
        <v>44244</v>
      </c>
      <c r="D1146" s="45">
        <v>22021002688</v>
      </c>
      <c r="E1146" s="46" t="s">
        <v>1215</v>
      </c>
      <c r="F1146" s="48">
        <v>278.61</v>
      </c>
      <c r="G1146" s="46" t="s">
        <v>772</v>
      </c>
      <c r="H1146" s="46" t="s">
        <v>2292</v>
      </c>
      <c r="I1146" s="45" t="s">
        <v>125</v>
      </c>
      <c r="J1146" s="46" t="s">
        <v>126</v>
      </c>
      <c r="K1146" s="46" t="s">
        <v>126</v>
      </c>
      <c r="L1146" s="46" t="s">
        <v>12</v>
      </c>
      <c r="M1146" s="46" t="s">
        <v>10</v>
      </c>
      <c r="N1146" s="46" t="s">
        <v>11</v>
      </c>
      <c r="O1146" s="49" t="s">
        <v>815</v>
      </c>
      <c r="P1146" s="46" t="s">
        <v>507</v>
      </c>
      <c r="Q1146" s="35" t="str">
        <f>MID(Tabla1[[#This Row],[Aplicación]],14,1)</f>
        <v>2</v>
      </c>
      <c r="R1146" s="35" t="s">
        <v>495</v>
      </c>
      <c r="S1146" s="35" t="str">
        <f>MID(Tabla1[[#This Row],[Aplicación]],6,2)</f>
        <v>06</v>
      </c>
      <c r="T1146" s="35" t="str">
        <f>VLOOKUP(Tabla1[[#This Row],[AREA]],Hoja1!A:B,2,FALSE)</f>
        <v>06. Educación, infancia, juventud e igualdad</v>
      </c>
      <c r="U1146" s="35" t="str">
        <f>MID(Tabla1[[#This Row],[Aplicación]],9,4)</f>
        <v>2314</v>
      </c>
      <c r="V1146" s="35" t="str">
        <f>VLOOKUP(Tabla1[[#This Row],[PROGRAMA]],Hoja1!A:B,2,FALSE)</f>
        <v>2314. Centro de programas juveniles</v>
      </c>
      <c r="W1146" s="35" t="str">
        <f>MID(Tabla1[[#This Row],[Aplicación]],14,2)</f>
        <v>21</v>
      </c>
      <c r="X1146" s="35" t="str">
        <f>MID(Tabla1[[#This Row],[Aplicación]],14,6)</f>
        <v>213</v>
      </c>
    </row>
    <row r="1147" spans="1:24" x14ac:dyDescent="0.25">
      <c r="A1147" s="45">
        <v>220210008473</v>
      </c>
      <c r="B1147" s="46" t="s">
        <v>32</v>
      </c>
      <c r="C1147" s="47">
        <v>44266</v>
      </c>
      <c r="D1147" s="45">
        <v>22021003240</v>
      </c>
      <c r="E1147" s="46" t="s">
        <v>1660</v>
      </c>
      <c r="F1147" s="48">
        <v>287.39999999999998</v>
      </c>
      <c r="G1147" s="46" t="s">
        <v>318</v>
      </c>
      <c r="H1147" s="46" t="s">
        <v>2293</v>
      </c>
      <c r="I1147" s="45" t="s">
        <v>234</v>
      </c>
      <c r="J1147" s="46" t="s">
        <v>127</v>
      </c>
      <c r="K1147" s="46" t="s">
        <v>127</v>
      </c>
      <c r="L1147" s="46" t="s">
        <v>12</v>
      </c>
      <c r="M1147" s="46" t="s">
        <v>10</v>
      </c>
      <c r="N1147" s="46" t="s">
        <v>11</v>
      </c>
      <c r="O1147" s="49" t="s">
        <v>815</v>
      </c>
      <c r="P1147" s="46" t="s">
        <v>507</v>
      </c>
      <c r="Q1147" s="35" t="str">
        <f>MID(Tabla1[[#This Row],[Aplicación]],14,1)</f>
        <v>2</v>
      </c>
      <c r="R1147" s="35" t="s">
        <v>495</v>
      </c>
      <c r="S1147" s="35" t="str">
        <f>MID(Tabla1[[#This Row],[Aplicación]],6,2)</f>
        <v>04</v>
      </c>
      <c r="T1147" s="35" t="str">
        <f>VLOOKUP(Tabla1[[#This Row],[AREA]],Hoja1!A:B,2,FALSE)</f>
        <v>04. Planificación y recursos</v>
      </c>
      <c r="U1147" s="35" t="str">
        <f>MID(Tabla1[[#This Row],[Aplicación]],9,4)</f>
        <v>9202</v>
      </c>
      <c r="V1147" s="35" t="str">
        <f>VLOOKUP(Tabla1[[#This Row],[PROGRAMA]],Hoja1!A:B,2,FALSE)</f>
        <v>9202. Gestión de recursos humanos</v>
      </c>
      <c r="W1147" s="35" t="str">
        <f>MID(Tabla1[[#This Row],[Aplicación]],14,2)</f>
        <v>22</v>
      </c>
      <c r="X1147" s="35" t="str">
        <f>MID(Tabla1[[#This Row],[Aplicación]],14,6)</f>
        <v>22607</v>
      </c>
    </row>
    <row r="1148" spans="1:24" x14ac:dyDescent="0.25">
      <c r="A1148" s="45">
        <v>220210007167</v>
      </c>
      <c r="B1148" s="46" t="s">
        <v>9</v>
      </c>
      <c r="C1148" s="47">
        <v>44263</v>
      </c>
      <c r="D1148" s="45">
        <v>22021002766</v>
      </c>
      <c r="E1148" s="46" t="s">
        <v>1438</v>
      </c>
      <c r="F1148" s="48">
        <v>295.36</v>
      </c>
      <c r="G1148" s="46" t="s">
        <v>2294</v>
      </c>
      <c r="H1148" s="46" t="s">
        <v>2295</v>
      </c>
      <c r="I1148" s="45" t="s">
        <v>125</v>
      </c>
      <c r="J1148" s="46" t="s">
        <v>126</v>
      </c>
      <c r="K1148" s="46" t="s">
        <v>126</v>
      </c>
      <c r="L1148" s="46" t="s">
        <v>15</v>
      </c>
      <c r="M1148" s="46" t="s">
        <v>10</v>
      </c>
      <c r="N1148" s="46" t="s">
        <v>11</v>
      </c>
      <c r="O1148" s="49" t="s">
        <v>815</v>
      </c>
      <c r="P1148" s="46" t="s">
        <v>507</v>
      </c>
      <c r="Q1148" s="35" t="str">
        <f>MID(Tabla1[[#This Row],[Aplicación]],14,1)</f>
        <v>2</v>
      </c>
      <c r="R1148" s="35" t="s">
        <v>495</v>
      </c>
      <c r="S1148" s="35" t="str">
        <f>MID(Tabla1[[#This Row],[Aplicación]],6,2)</f>
        <v>01</v>
      </c>
      <c r="T1148" s="35" t="str">
        <f>VLOOKUP(Tabla1[[#This Row],[AREA]],Hoja1!A:B,2,FALSE)</f>
        <v>01. Alcaldía</v>
      </c>
      <c r="U1148" s="35" t="str">
        <f>MID(Tabla1[[#This Row],[Aplicación]],9,4)</f>
        <v>9206</v>
      </c>
      <c r="V1148" s="35" t="str">
        <f>VLOOKUP(Tabla1[[#This Row],[PROGRAMA]],Hoja1!A:B,2,FALSE)</f>
        <v>9206. Archivo municipal</v>
      </c>
      <c r="W1148" s="35" t="str">
        <f>MID(Tabla1[[#This Row],[Aplicación]],14,2)</f>
        <v>22</v>
      </c>
      <c r="X1148" s="35" t="str">
        <f>MID(Tabla1[[#This Row],[Aplicación]],14,6)</f>
        <v>22001</v>
      </c>
    </row>
    <row r="1149" spans="1:24" x14ac:dyDescent="0.25">
      <c r="A1149" s="45">
        <v>220210013185</v>
      </c>
      <c r="B1149" s="46" t="s">
        <v>9</v>
      </c>
      <c r="C1149" s="47">
        <v>44286</v>
      </c>
      <c r="D1149" s="45">
        <v>22021003716</v>
      </c>
      <c r="E1149" s="46" t="s">
        <v>2159</v>
      </c>
      <c r="F1149" s="48">
        <v>300</v>
      </c>
      <c r="G1149" s="46" t="s">
        <v>80</v>
      </c>
      <c r="H1149" s="46" t="s">
        <v>2296</v>
      </c>
      <c r="I1149" s="45" t="s">
        <v>125</v>
      </c>
      <c r="J1149" s="46" t="s">
        <v>127</v>
      </c>
      <c r="K1149" s="46" t="s">
        <v>127</v>
      </c>
      <c r="L1149" s="46" t="s">
        <v>12</v>
      </c>
      <c r="M1149" s="46" t="s">
        <v>10</v>
      </c>
      <c r="N1149" s="46" t="s">
        <v>11</v>
      </c>
      <c r="O1149" s="49" t="s">
        <v>815</v>
      </c>
      <c r="P1149" s="46" t="s">
        <v>507</v>
      </c>
      <c r="Q1149" s="35" t="str">
        <f>MID(Tabla1[[#This Row],[Aplicación]],14,1)</f>
        <v>2</v>
      </c>
      <c r="R1149" s="35" t="s">
        <v>495</v>
      </c>
      <c r="S1149" s="35" t="str">
        <f>MID(Tabla1[[#This Row],[Aplicación]],6,2)</f>
        <v>11</v>
      </c>
      <c r="T1149" s="35" t="str">
        <f>VLOOKUP(Tabla1[[#This Row],[AREA]],Hoja1!A:B,2,FALSE)</f>
        <v>11. Salud pública y seguridad ciudadana</v>
      </c>
      <c r="U1149" s="35" t="str">
        <f>MID(Tabla1[[#This Row],[Aplicación]],9,4)</f>
        <v>3111</v>
      </c>
      <c r="V1149" s="35" t="str">
        <f>VLOOKUP(Tabla1[[#This Row],[PROGRAMA]],Hoja1!A:B,2,FALSE)</f>
        <v>3111. Protección de la salubridad pública</v>
      </c>
      <c r="W1149" s="35" t="str">
        <f>MID(Tabla1[[#This Row],[Aplicación]],14,2)</f>
        <v>21</v>
      </c>
      <c r="X1149" s="35" t="str">
        <f>MID(Tabla1[[#This Row],[Aplicación]],14,6)</f>
        <v>214</v>
      </c>
    </row>
    <row r="1150" spans="1:24" x14ac:dyDescent="0.25">
      <c r="A1150" s="45">
        <v>220210000499</v>
      </c>
      <c r="B1150" s="46" t="s">
        <v>9</v>
      </c>
      <c r="C1150" s="47">
        <v>44221</v>
      </c>
      <c r="D1150" s="45">
        <v>22021001283</v>
      </c>
      <c r="E1150" s="46" t="s">
        <v>1410</v>
      </c>
      <c r="F1150" s="48">
        <v>300</v>
      </c>
      <c r="G1150" s="46" t="s">
        <v>2297</v>
      </c>
      <c r="H1150" s="46" t="s">
        <v>735</v>
      </c>
      <c r="I1150" s="45" t="s">
        <v>125</v>
      </c>
      <c r="J1150" s="46" t="s">
        <v>127</v>
      </c>
      <c r="K1150" s="46" t="s">
        <v>127</v>
      </c>
      <c r="L1150" s="46" t="s">
        <v>12</v>
      </c>
      <c r="M1150" s="46" t="s">
        <v>10</v>
      </c>
      <c r="N1150" s="46" t="s">
        <v>11</v>
      </c>
      <c r="O1150" s="49" t="s">
        <v>815</v>
      </c>
      <c r="P1150" s="46" t="s">
        <v>507</v>
      </c>
      <c r="Q1150" s="35" t="str">
        <f>MID(Tabla1[[#This Row],[Aplicación]],14,1)</f>
        <v>2</v>
      </c>
      <c r="R1150" s="35" t="s">
        <v>495</v>
      </c>
      <c r="S1150" s="35" t="str">
        <f>MID(Tabla1[[#This Row],[Aplicación]],6,2)</f>
        <v>07</v>
      </c>
      <c r="T1150" s="35" t="str">
        <f>VLOOKUP(Tabla1[[#This Row],[AREA]],Hoja1!A:B,2,FALSE)</f>
        <v>07. Medio ambiente y desarrollo sostenible</v>
      </c>
      <c r="U1150" s="35" t="str">
        <f>MID(Tabla1[[#This Row],[Aplicación]],9,4)</f>
        <v>1711</v>
      </c>
      <c r="V1150" s="35" t="str">
        <f>VLOOKUP(Tabla1[[#This Row],[PROGRAMA]],Hoja1!A:B,2,FALSE)</f>
        <v>1711. Parques y jardines</v>
      </c>
      <c r="W1150" s="35" t="str">
        <f>MID(Tabla1[[#This Row],[Aplicación]],14,2)</f>
        <v>21</v>
      </c>
      <c r="X1150" s="35" t="str">
        <f>MID(Tabla1[[#This Row],[Aplicación]],14,6)</f>
        <v>214</v>
      </c>
    </row>
    <row r="1151" spans="1:24" x14ac:dyDescent="0.25">
      <c r="A1151" s="45">
        <v>220210000517</v>
      </c>
      <c r="B1151" s="46" t="s">
        <v>9</v>
      </c>
      <c r="C1151" s="47">
        <v>44221</v>
      </c>
      <c r="D1151" s="45">
        <v>22021000768</v>
      </c>
      <c r="E1151" s="46" t="s">
        <v>2178</v>
      </c>
      <c r="F1151" s="48">
        <v>2625</v>
      </c>
      <c r="G1151" s="46" t="s">
        <v>47</v>
      </c>
      <c r="H1151" s="46" t="s">
        <v>2291</v>
      </c>
      <c r="I1151" s="45" t="s">
        <v>125</v>
      </c>
      <c r="J1151" s="46" t="s">
        <v>148</v>
      </c>
      <c r="K1151" s="46" t="s">
        <v>201</v>
      </c>
      <c r="L1151" s="46" t="s">
        <v>15</v>
      </c>
      <c r="M1151" s="46" t="s">
        <v>13</v>
      </c>
      <c r="N1151" s="46" t="s">
        <v>14</v>
      </c>
      <c r="O1151" s="49" t="s">
        <v>803</v>
      </c>
      <c r="P1151" s="46" t="s">
        <v>507</v>
      </c>
      <c r="Q1151" s="35" t="str">
        <f>MID(Tabla1[[#This Row],[Aplicación]],14,1)</f>
        <v>2</v>
      </c>
      <c r="R1151" s="35" t="s">
        <v>495</v>
      </c>
      <c r="S1151" s="35" t="str">
        <f>MID(Tabla1[[#This Row],[Aplicación]],6,2)</f>
        <v>10</v>
      </c>
      <c r="T1151" s="35" t="str">
        <f>VLOOKUP(Tabla1[[#This Row],[AREA]],Hoja1!A:B,2,FALSE)</f>
        <v>10. Servicios sociales y mediación comunitaria</v>
      </c>
      <c r="U1151" s="35" t="str">
        <f>MID(Tabla1[[#This Row],[Aplicación]],9,4)</f>
        <v>2412</v>
      </c>
      <c r="V1151" s="35" t="str">
        <f>VLOOKUP(Tabla1[[#This Row],[PROGRAMA]],Hoja1!A:B,2,FALSE)</f>
        <v>2412. Formación para el empleo</v>
      </c>
      <c r="W1151" s="35" t="str">
        <f>MID(Tabla1[[#This Row],[Aplicación]],14,2)</f>
        <v>22</v>
      </c>
      <c r="X1151" s="35" t="str">
        <f>MID(Tabla1[[#This Row],[Aplicación]],14,6)</f>
        <v>22100</v>
      </c>
    </row>
    <row r="1152" spans="1:24" x14ac:dyDescent="0.25">
      <c r="A1152" s="45">
        <v>220209000791</v>
      </c>
      <c r="B1152" s="46" t="s">
        <v>9</v>
      </c>
      <c r="C1152" s="47">
        <v>44198</v>
      </c>
      <c r="D1152" s="45">
        <v>22021000506</v>
      </c>
      <c r="E1152" s="46" t="s">
        <v>2298</v>
      </c>
      <c r="F1152" s="48">
        <v>85474.3</v>
      </c>
      <c r="G1152" s="46" t="s">
        <v>181</v>
      </c>
      <c r="H1152" s="46" t="s">
        <v>2299</v>
      </c>
      <c r="I1152" s="45" t="s">
        <v>125</v>
      </c>
      <c r="J1152" s="46" t="s">
        <v>675</v>
      </c>
      <c r="K1152" s="46" t="s">
        <v>127</v>
      </c>
      <c r="L1152" s="46" t="s">
        <v>12</v>
      </c>
      <c r="M1152" s="46" t="s">
        <v>13</v>
      </c>
      <c r="N1152" s="46" t="s">
        <v>14</v>
      </c>
      <c r="O1152" s="49" t="s">
        <v>803</v>
      </c>
      <c r="P1152" s="46" t="s">
        <v>507</v>
      </c>
      <c r="Q1152" s="35" t="str">
        <f>MID(Tabla1[[#This Row],[Aplicación]],14,1)</f>
        <v>2</v>
      </c>
      <c r="R1152" s="35" t="s">
        <v>495</v>
      </c>
      <c r="S1152" s="35" t="str">
        <f>MID(Tabla1[[#This Row],[Aplicación]],6,2)</f>
        <v>03</v>
      </c>
      <c r="T1152" s="35" t="str">
        <f>VLOOKUP(Tabla1[[#This Row],[AREA]],Hoja1!A:B,2,FALSE)</f>
        <v>03. Participación ciudadana y deportes</v>
      </c>
      <c r="U1152" s="35" t="str">
        <f>MID(Tabla1[[#This Row],[Aplicación]],9,4)</f>
        <v>9241</v>
      </c>
      <c r="V1152" s="35" t="str">
        <f>VLOOKUP(Tabla1[[#This Row],[PROGRAMA]],Hoja1!A:B,2,FALSE)</f>
        <v>9241. Participación ciudadana</v>
      </c>
      <c r="W1152" s="35" t="str">
        <f>MID(Tabla1[[#This Row],[Aplicación]],14,2)</f>
        <v>22</v>
      </c>
      <c r="X1152" s="35" t="str">
        <f>MID(Tabla1[[#This Row],[Aplicación]],14,6)</f>
        <v>22701</v>
      </c>
    </row>
    <row r="1153" spans="1:24" x14ac:dyDescent="0.25">
      <c r="A1153" s="45">
        <v>220210002866</v>
      </c>
      <c r="B1153" s="46" t="s">
        <v>9</v>
      </c>
      <c r="C1153" s="47">
        <v>44238</v>
      </c>
      <c r="D1153" s="45">
        <v>22021002492</v>
      </c>
      <c r="E1153" s="46" t="s">
        <v>1187</v>
      </c>
      <c r="F1153" s="48">
        <v>300</v>
      </c>
      <c r="G1153" s="46" t="s">
        <v>2300</v>
      </c>
      <c r="H1153" s="46" t="s">
        <v>2301</v>
      </c>
      <c r="I1153" s="45" t="s">
        <v>125</v>
      </c>
      <c r="J1153" s="46" t="s">
        <v>127</v>
      </c>
      <c r="K1153" s="46" t="s">
        <v>127</v>
      </c>
      <c r="L1153" s="46" t="s">
        <v>12</v>
      </c>
      <c r="M1153" s="46" t="s">
        <v>10</v>
      </c>
      <c r="N1153" s="46" t="s">
        <v>11</v>
      </c>
      <c r="O1153" s="49" t="s">
        <v>815</v>
      </c>
      <c r="P1153" s="46" t="s">
        <v>507</v>
      </c>
      <c r="Q1153" s="35" t="str">
        <f>MID(Tabla1[[#This Row],[Aplicación]],14,1)</f>
        <v>2</v>
      </c>
      <c r="R1153" s="35" t="s">
        <v>495</v>
      </c>
      <c r="S1153" s="35" t="str">
        <f>MID(Tabla1[[#This Row],[Aplicación]],6,2)</f>
        <v>06</v>
      </c>
      <c r="T1153" s="35" t="str">
        <f>VLOOKUP(Tabla1[[#This Row],[AREA]],Hoja1!A:B,2,FALSE)</f>
        <v>06. Educación, infancia, juventud e igualdad</v>
      </c>
      <c r="U1153" s="35" t="str">
        <f>MID(Tabla1[[#This Row],[Aplicación]],9,4)</f>
        <v>2315</v>
      </c>
      <c r="V1153" s="35" t="str">
        <f>VLOOKUP(Tabla1[[#This Row],[PROGRAMA]],Hoja1!A:B,2,FALSE)</f>
        <v>2315. Políticas de Igualdad e infancia</v>
      </c>
      <c r="W1153" s="35" t="str">
        <f>MID(Tabla1[[#This Row],[Aplicación]],14,2)</f>
        <v>22</v>
      </c>
      <c r="X1153" s="35" t="str">
        <f>MID(Tabla1[[#This Row],[Aplicación]],14,6)</f>
        <v>22611</v>
      </c>
    </row>
    <row r="1154" spans="1:24" x14ac:dyDescent="0.25">
      <c r="A1154" s="45">
        <v>220210000517</v>
      </c>
      <c r="B1154" s="46" t="s">
        <v>9</v>
      </c>
      <c r="C1154" s="47">
        <v>44221</v>
      </c>
      <c r="D1154" s="45">
        <v>22021000767</v>
      </c>
      <c r="E1154" s="46" t="s">
        <v>2178</v>
      </c>
      <c r="F1154" s="48">
        <v>2625</v>
      </c>
      <c r="G1154" s="46" t="s">
        <v>47</v>
      </c>
      <c r="H1154" s="46" t="s">
        <v>2291</v>
      </c>
      <c r="I1154" s="45" t="s">
        <v>125</v>
      </c>
      <c r="J1154" s="46" t="s">
        <v>148</v>
      </c>
      <c r="K1154" s="46" t="s">
        <v>201</v>
      </c>
      <c r="L1154" s="46" t="s">
        <v>15</v>
      </c>
      <c r="M1154" s="46" t="s">
        <v>13</v>
      </c>
      <c r="N1154" s="46" t="s">
        <v>14</v>
      </c>
      <c r="O1154" s="49" t="s">
        <v>803</v>
      </c>
      <c r="P1154" s="46" t="s">
        <v>507</v>
      </c>
      <c r="Q1154" s="35" t="str">
        <f>MID(Tabla1[[#This Row],[Aplicación]],14,1)</f>
        <v>2</v>
      </c>
      <c r="R1154" s="35" t="s">
        <v>495</v>
      </c>
      <c r="S1154" s="35" t="str">
        <f>MID(Tabla1[[#This Row],[Aplicación]],6,2)</f>
        <v>10</v>
      </c>
      <c r="T1154" s="35" t="str">
        <f>VLOOKUP(Tabla1[[#This Row],[AREA]],Hoja1!A:B,2,FALSE)</f>
        <v>10. Servicios sociales y mediación comunitaria</v>
      </c>
      <c r="U1154" s="35" t="str">
        <f>MID(Tabla1[[#This Row],[Aplicación]],9,4)</f>
        <v>2412</v>
      </c>
      <c r="V1154" s="35" t="str">
        <f>VLOOKUP(Tabla1[[#This Row],[PROGRAMA]],Hoja1!A:B,2,FALSE)</f>
        <v>2412. Formación para el empleo</v>
      </c>
      <c r="W1154" s="35" t="str">
        <f>MID(Tabla1[[#This Row],[Aplicación]],14,2)</f>
        <v>22</v>
      </c>
      <c r="X1154" s="35" t="str">
        <f>MID(Tabla1[[#This Row],[Aplicación]],14,6)</f>
        <v>22100</v>
      </c>
    </row>
    <row r="1155" spans="1:24" x14ac:dyDescent="0.25">
      <c r="A1155" s="45">
        <v>220210000517</v>
      </c>
      <c r="B1155" s="46" t="s">
        <v>9</v>
      </c>
      <c r="C1155" s="47">
        <v>44221</v>
      </c>
      <c r="D1155" s="45">
        <v>22021000770</v>
      </c>
      <c r="E1155" s="46" t="s">
        <v>2178</v>
      </c>
      <c r="F1155" s="48">
        <v>2250</v>
      </c>
      <c r="G1155" s="46" t="s">
        <v>47</v>
      </c>
      <c r="H1155" s="46" t="s">
        <v>2291</v>
      </c>
      <c r="I1155" s="45" t="s">
        <v>125</v>
      </c>
      <c r="J1155" s="46" t="s">
        <v>148</v>
      </c>
      <c r="K1155" s="46" t="s">
        <v>201</v>
      </c>
      <c r="L1155" s="46" t="s">
        <v>15</v>
      </c>
      <c r="M1155" s="46" t="s">
        <v>13</v>
      </c>
      <c r="N1155" s="46" t="s">
        <v>14</v>
      </c>
      <c r="O1155" s="49" t="s">
        <v>803</v>
      </c>
      <c r="P1155" s="46" t="s">
        <v>507</v>
      </c>
      <c r="Q1155" s="35" t="str">
        <f>MID(Tabla1[[#This Row],[Aplicación]],14,1)</f>
        <v>2</v>
      </c>
      <c r="R1155" s="35" t="s">
        <v>495</v>
      </c>
      <c r="S1155" s="35" t="str">
        <f>MID(Tabla1[[#This Row],[Aplicación]],6,2)</f>
        <v>10</v>
      </c>
      <c r="T1155" s="35" t="str">
        <f>VLOOKUP(Tabla1[[#This Row],[AREA]],Hoja1!A:B,2,FALSE)</f>
        <v>10. Servicios sociales y mediación comunitaria</v>
      </c>
      <c r="U1155" s="35" t="str">
        <f>MID(Tabla1[[#This Row],[Aplicación]],9,4)</f>
        <v>2412</v>
      </c>
      <c r="V1155" s="35" t="str">
        <f>VLOOKUP(Tabla1[[#This Row],[PROGRAMA]],Hoja1!A:B,2,FALSE)</f>
        <v>2412. Formación para el empleo</v>
      </c>
      <c r="W1155" s="35" t="str">
        <f>MID(Tabla1[[#This Row],[Aplicación]],14,2)</f>
        <v>22</v>
      </c>
      <c r="X1155" s="35" t="str">
        <f>MID(Tabla1[[#This Row],[Aplicación]],14,6)</f>
        <v>22100</v>
      </c>
    </row>
    <row r="1156" spans="1:24" x14ac:dyDescent="0.25">
      <c r="A1156" s="45">
        <v>220210000522</v>
      </c>
      <c r="B1156" s="46" t="s">
        <v>501</v>
      </c>
      <c r="C1156" s="47">
        <v>44221</v>
      </c>
      <c r="D1156" s="45">
        <v>22021000605</v>
      </c>
      <c r="E1156" s="46" t="s">
        <v>2178</v>
      </c>
      <c r="F1156" s="48">
        <v>-13500</v>
      </c>
      <c r="G1156" s="46" t="s">
        <v>47</v>
      </c>
      <c r="H1156" s="46" t="s">
        <v>2179</v>
      </c>
      <c r="I1156" s="45" t="s">
        <v>125</v>
      </c>
      <c r="J1156" s="46" t="s">
        <v>148</v>
      </c>
      <c r="K1156" s="46" t="s">
        <v>201</v>
      </c>
      <c r="L1156" s="46" t="s">
        <v>15</v>
      </c>
      <c r="M1156" s="46" t="s">
        <v>13</v>
      </c>
      <c r="N1156" s="46" t="s">
        <v>14</v>
      </c>
      <c r="O1156" s="49" t="s">
        <v>803</v>
      </c>
      <c r="P1156" s="46" t="s">
        <v>507</v>
      </c>
      <c r="Q1156" s="35" t="str">
        <f>MID(Tabla1[[#This Row],[Aplicación]],14,1)</f>
        <v>2</v>
      </c>
      <c r="R1156" s="35" t="s">
        <v>495</v>
      </c>
      <c r="S1156" s="35" t="str">
        <f>MID(Tabla1[[#This Row],[Aplicación]],6,2)</f>
        <v>10</v>
      </c>
      <c r="T1156" s="35" t="str">
        <f>VLOOKUP(Tabla1[[#This Row],[AREA]],Hoja1!A:B,2,FALSE)</f>
        <v>10. Servicios sociales y mediación comunitaria</v>
      </c>
      <c r="U1156" s="35" t="str">
        <f>MID(Tabla1[[#This Row],[Aplicación]],9,4)</f>
        <v>2412</v>
      </c>
      <c r="V1156" s="35" t="str">
        <f>VLOOKUP(Tabla1[[#This Row],[PROGRAMA]],Hoja1!A:B,2,FALSE)</f>
        <v>2412. Formación para el empleo</v>
      </c>
      <c r="W1156" s="35" t="str">
        <f>MID(Tabla1[[#This Row],[Aplicación]],14,2)</f>
        <v>22</v>
      </c>
      <c r="X1156" s="35" t="str">
        <f>MID(Tabla1[[#This Row],[Aplicación]],14,6)</f>
        <v>22100</v>
      </c>
    </row>
    <row r="1157" spans="1:24" x14ac:dyDescent="0.25">
      <c r="A1157" s="45">
        <v>220210000524</v>
      </c>
      <c r="B1157" s="46" t="s">
        <v>9</v>
      </c>
      <c r="C1157" s="47">
        <v>44221</v>
      </c>
      <c r="D1157" s="45">
        <v>22021001878</v>
      </c>
      <c r="E1157" s="46" t="s">
        <v>2302</v>
      </c>
      <c r="F1157" s="48">
        <v>9000</v>
      </c>
      <c r="G1157" s="46" t="s">
        <v>47</v>
      </c>
      <c r="H1157" s="46" t="s">
        <v>2303</v>
      </c>
      <c r="I1157" s="45" t="s">
        <v>125</v>
      </c>
      <c r="J1157" s="46" t="s">
        <v>148</v>
      </c>
      <c r="K1157" s="46" t="s">
        <v>201</v>
      </c>
      <c r="L1157" s="46" t="s">
        <v>15</v>
      </c>
      <c r="M1157" s="46" t="s">
        <v>13</v>
      </c>
      <c r="N1157" s="46" t="s">
        <v>14</v>
      </c>
      <c r="O1157" s="49" t="s">
        <v>803</v>
      </c>
      <c r="P1157" s="46" t="s">
        <v>507</v>
      </c>
      <c r="Q1157" s="35" t="str">
        <f>MID(Tabla1[[#This Row],[Aplicación]],14,1)</f>
        <v>2</v>
      </c>
      <c r="R1157" s="35" t="s">
        <v>495</v>
      </c>
      <c r="S1157" s="35" t="str">
        <f>MID(Tabla1[[#This Row],[Aplicación]],6,2)</f>
        <v>05</v>
      </c>
      <c r="T1157" s="35" t="str">
        <f>VLOOKUP(Tabla1[[#This Row],[AREA]],Hoja1!A:B,2,FALSE)</f>
        <v>05. Innovación, desarrollo económico, empleo y comercio</v>
      </c>
      <c r="U1157" s="35" t="str">
        <f>MID(Tabla1[[#This Row],[Aplicación]],9,4)</f>
        <v>4314</v>
      </c>
      <c r="V1157" s="35" t="str">
        <f>VLOOKUP(Tabla1[[#This Row],[PROGRAMA]],Hoja1!A:B,2,FALSE)</f>
        <v>4314. Fomento del comercio</v>
      </c>
      <c r="W1157" s="35" t="str">
        <f>MID(Tabla1[[#This Row],[Aplicación]],14,2)</f>
        <v>22</v>
      </c>
      <c r="X1157" s="35" t="str">
        <f>MID(Tabla1[[#This Row],[Aplicación]],14,6)</f>
        <v>22100</v>
      </c>
    </row>
    <row r="1158" spans="1:24" x14ac:dyDescent="0.25">
      <c r="A1158" s="45">
        <v>220210007186</v>
      </c>
      <c r="B1158" s="46" t="s">
        <v>9</v>
      </c>
      <c r="C1158" s="47">
        <v>44263</v>
      </c>
      <c r="D1158" s="45">
        <v>22021002645</v>
      </c>
      <c r="E1158" s="46" t="s">
        <v>2200</v>
      </c>
      <c r="F1158" s="48">
        <v>14000</v>
      </c>
      <c r="G1158" s="46" t="s">
        <v>47</v>
      </c>
      <c r="H1158" s="46" t="s">
        <v>2304</v>
      </c>
      <c r="I1158" s="45" t="s">
        <v>125</v>
      </c>
      <c r="J1158" s="46" t="s">
        <v>148</v>
      </c>
      <c r="K1158" s="46" t="s">
        <v>201</v>
      </c>
      <c r="L1158" s="46" t="s">
        <v>15</v>
      </c>
      <c r="M1158" s="46" t="s">
        <v>13</v>
      </c>
      <c r="N1158" s="46" t="s">
        <v>14</v>
      </c>
      <c r="O1158" s="49" t="s">
        <v>803</v>
      </c>
      <c r="P1158" s="46" t="s">
        <v>507</v>
      </c>
      <c r="Q1158" s="35" t="str">
        <f>MID(Tabla1[[#This Row],[Aplicación]],14,1)</f>
        <v>2</v>
      </c>
      <c r="R1158" s="35" t="s">
        <v>495</v>
      </c>
      <c r="S1158" s="35" t="str">
        <f>MID(Tabla1[[#This Row],[Aplicación]],6,2)</f>
        <v>10</v>
      </c>
      <c r="T1158" s="35" t="str">
        <f>VLOOKUP(Tabla1[[#This Row],[AREA]],Hoja1!A:B,2,FALSE)</f>
        <v>10. Servicios sociales y mediación comunitaria</v>
      </c>
      <c r="U1158" s="35" t="str">
        <f>MID(Tabla1[[#This Row],[Aplicación]],9,4)</f>
        <v>2311</v>
      </c>
      <c r="V1158" s="35" t="str">
        <f>VLOOKUP(Tabla1[[#This Row],[PROGRAMA]],Hoja1!A:B,2,FALSE)</f>
        <v>2311. Intervención social</v>
      </c>
      <c r="W1158" s="35" t="str">
        <f>MID(Tabla1[[#This Row],[Aplicación]],14,2)</f>
        <v>22</v>
      </c>
      <c r="X1158" s="35" t="str">
        <f>MID(Tabla1[[#This Row],[Aplicación]],14,6)</f>
        <v>22100</v>
      </c>
    </row>
    <row r="1159" spans="1:24" x14ac:dyDescent="0.25">
      <c r="A1159" s="45">
        <v>220210006563</v>
      </c>
      <c r="B1159" s="46" t="s">
        <v>9</v>
      </c>
      <c r="C1159" s="47">
        <v>44256</v>
      </c>
      <c r="D1159" s="45">
        <v>22021003023</v>
      </c>
      <c r="E1159" s="46" t="s">
        <v>2072</v>
      </c>
      <c r="F1159" s="48">
        <v>300</v>
      </c>
      <c r="G1159" s="46" t="s">
        <v>268</v>
      </c>
      <c r="H1159" s="46" t="s">
        <v>2073</v>
      </c>
      <c r="I1159" s="45" t="s">
        <v>125</v>
      </c>
      <c r="J1159" s="46" t="s">
        <v>127</v>
      </c>
      <c r="K1159" s="46" t="s">
        <v>127</v>
      </c>
      <c r="L1159" s="46" t="s">
        <v>15</v>
      </c>
      <c r="M1159" s="46" t="s">
        <v>10</v>
      </c>
      <c r="N1159" s="46" t="s">
        <v>11</v>
      </c>
      <c r="O1159" s="49" t="s">
        <v>815</v>
      </c>
      <c r="P1159" s="46" t="s">
        <v>507</v>
      </c>
      <c r="Q1159" s="35" t="str">
        <f>MID(Tabla1[[#This Row],[Aplicación]],14,1)</f>
        <v>2</v>
      </c>
      <c r="R1159" s="35" t="s">
        <v>495</v>
      </c>
      <c r="S1159" s="35" t="str">
        <f>MID(Tabla1[[#This Row],[Aplicación]],6,2)</f>
        <v>10</v>
      </c>
      <c r="T1159" s="35" t="str">
        <f>VLOOKUP(Tabla1[[#This Row],[AREA]],Hoja1!A:B,2,FALSE)</f>
        <v>10. Servicios sociales y mediación comunitaria</v>
      </c>
      <c r="U1159" s="35" t="str">
        <f>MID(Tabla1[[#This Row],[Aplicación]],9,4)</f>
        <v>2412</v>
      </c>
      <c r="V1159" s="35" t="str">
        <f>VLOOKUP(Tabla1[[#This Row],[PROGRAMA]],Hoja1!A:B,2,FALSE)</f>
        <v>2412. Formación para el empleo</v>
      </c>
      <c r="W1159" s="35" t="str">
        <f>MID(Tabla1[[#This Row],[Aplicación]],14,2)</f>
        <v>22</v>
      </c>
      <c r="X1159" s="35" t="str">
        <f>MID(Tabla1[[#This Row],[Aplicación]],14,6)</f>
        <v>22110</v>
      </c>
    </row>
    <row r="1160" spans="1:24" x14ac:dyDescent="0.25">
      <c r="A1160" s="45">
        <v>220209000690</v>
      </c>
      <c r="B1160" s="46" t="s">
        <v>9</v>
      </c>
      <c r="C1160" s="47">
        <v>44198</v>
      </c>
      <c r="D1160" s="45">
        <v>22021000435</v>
      </c>
      <c r="E1160" s="46" t="s">
        <v>1809</v>
      </c>
      <c r="F1160" s="48">
        <v>52213.98</v>
      </c>
      <c r="G1160" s="46" t="s">
        <v>177</v>
      </c>
      <c r="H1160" s="46" t="s">
        <v>2305</v>
      </c>
      <c r="I1160" s="45" t="s">
        <v>125</v>
      </c>
      <c r="J1160" s="46" t="s">
        <v>626</v>
      </c>
      <c r="K1160" s="46" t="s">
        <v>178</v>
      </c>
      <c r="L1160" s="46" t="s">
        <v>12</v>
      </c>
      <c r="M1160" s="46" t="s">
        <v>13</v>
      </c>
      <c r="N1160" s="46" t="s">
        <v>14</v>
      </c>
      <c r="O1160" s="49" t="s">
        <v>803</v>
      </c>
      <c r="P1160" s="46" t="s">
        <v>507</v>
      </c>
      <c r="Q1160" s="35" t="str">
        <f>MID(Tabla1[[#This Row],[Aplicación]],14,1)</f>
        <v>2</v>
      </c>
      <c r="R1160" s="35" t="s">
        <v>495</v>
      </c>
      <c r="S1160" s="35" t="str">
        <f>MID(Tabla1[[#This Row],[Aplicación]],6,2)</f>
        <v>02</v>
      </c>
      <c r="T1160" s="35" t="str">
        <f>VLOOKUP(Tabla1[[#This Row],[AREA]],Hoja1!A:B,2,FALSE)</f>
        <v>02. Planeamiento urbanístico y vivienda</v>
      </c>
      <c r="U1160" s="35" t="str">
        <f>MID(Tabla1[[#This Row],[Aplicación]],9,4)</f>
        <v>9332</v>
      </c>
      <c r="V1160" s="35" t="str">
        <f>VLOOKUP(Tabla1[[#This Row],[PROGRAMA]],Hoja1!A:B,2,FALSE)</f>
        <v>9332. Mantenimiento de edificios e instalaciones municipales</v>
      </c>
      <c r="W1160" s="35" t="str">
        <f>MID(Tabla1[[#This Row],[Aplicación]],14,2)</f>
        <v>22</v>
      </c>
      <c r="X1160" s="35" t="str">
        <f>MID(Tabla1[[#This Row],[Aplicación]],14,6)</f>
        <v>22700</v>
      </c>
    </row>
    <row r="1161" spans="1:24" x14ac:dyDescent="0.25">
      <c r="A1161" s="45">
        <v>220210006563</v>
      </c>
      <c r="B1161" s="46" t="s">
        <v>9</v>
      </c>
      <c r="C1161" s="47">
        <v>44256</v>
      </c>
      <c r="D1161" s="45">
        <v>22021003026</v>
      </c>
      <c r="E1161" s="46" t="s">
        <v>2072</v>
      </c>
      <c r="F1161" s="48">
        <v>300</v>
      </c>
      <c r="G1161" s="46" t="s">
        <v>268</v>
      </c>
      <c r="H1161" s="46" t="s">
        <v>2073</v>
      </c>
      <c r="I1161" s="45" t="s">
        <v>125</v>
      </c>
      <c r="J1161" s="46" t="s">
        <v>127</v>
      </c>
      <c r="K1161" s="46" t="s">
        <v>127</v>
      </c>
      <c r="L1161" s="46" t="s">
        <v>15</v>
      </c>
      <c r="M1161" s="46" t="s">
        <v>10</v>
      </c>
      <c r="N1161" s="46" t="s">
        <v>11</v>
      </c>
      <c r="O1161" s="49" t="s">
        <v>815</v>
      </c>
      <c r="P1161" s="46" t="s">
        <v>507</v>
      </c>
      <c r="Q1161" s="35" t="str">
        <f>MID(Tabla1[[#This Row],[Aplicación]],14,1)</f>
        <v>2</v>
      </c>
      <c r="R1161" s="35" t="s">
        <v>495</v>
      </c>
      <c r="S1161" s="35" t="str">
        <f>MID(Tabla1[[#This Row],[Aplicación]],6,2)</f>
        <v>10</v>
      </c>
      <c r="T1161" s="35" t="str">
        <f>VLOOKUP(Tabla1[[#This Row],[AREA]],Hoja1!A:B,2,FALSE)</f>
        <v>10. Servicios sociales y mediación comunitaria</v>
      </c>
      <c r="U1161" s="35" t="str">
        <f>MID(Tabla1[[#This Row],[Aplicación]],9,4)</f>
        <v>2412</v>
      </c>
      <c r="V1161" s="35" t="str">
        <f>VLOOKUP(Tabla1[[#This Row],[PROGRAMA]],Hoja1!A:B,2,FALSE)</f>
        <v>2412. Formación para el empleo</v>
      </c>
      <c r="W1161" s="35" t="str">
        <f>MID(Tabla1[[#This Row],[Aplicación]],14,2)</f>
        <v>22</v>
      </c>
      <c r="X1161" s="35" t="str">
        <f>MID(Tabla1[[#This Row],[Aplicación]],14,6)</f>
        <v>22110</v>
      </c>
    </row>
    <row r="1162" spans="1:24" x14ac:dyDescent="0.25">
      <c r="A1162" s="45">
        <v>220210007121</v>
      </c>
      <c r="B1162" s="46" t="s">
        <v>9</v>
      </c>
      <c r="C1162" s="47">
        <v>44260</v>
      </c>
      <c r="D1162" s="45">
        <v>22021003183</v>
      </c>
      <c r="E1162" s="46" t="s">
        <v>2306</v>
      </c>
      <c r="F1162" s="48">
        <v>301.2</v>
      </c>
      <c r="G1162" s="46" t="s">
        <v>2307</v>
      </c>
      <c r="H1162" s="46" t="s">
        <v>2308</v>
      </c>
      <c r="I1162" s="45" t="s">
        <v>125</v>
      </c>
      <c r="J1162" s="46" t="s">
        <v>127</v>
      </c>
      <c r="K1162" s="46" t="s">
        <v>127</v>
      </c>
      <c r="L1162" s="46" t="s">
        <v>15</v>
      </c>
      <c r="M1162" s="46" t="s">
        <v>10</v>
      </c>
      <c r="N1162" s="46" t="s">
        <v>11</v>
      </c>
      <c r="O1162" s="49" t="s">
        <v>815</v>
      </c>
      <c r="P1162" s="46" t="s">
        <v>507</v>
      </c>
      <c r="Q1162" s="35" t="str">
        <f>MID(Tabla1[[#This Row],[Aplicación]],14,1)</f>
        <v>2</v>
      </c>
      <c r="R1162" s="35" t="s">
        <v>495</v>
      </c>
      <c r="S1162" s="35" t="str">
        <f>MID(Tabla1[[#This Row],[Aplicación]],6,2)</f>
        <v>10</v>
      </c>
      <c r="T1162" s="35" t="str">
        <f>VLOOKUP(Tabla1[[#This Row],[AREA]],Hoja1!A:B,2,FALSE)</f>
        <v>10. Servicios sociales y mediación comunitaria</v>
      </c>
      <c r="U1162" s="35" t="str">
        <f>MID(Tabla1[[#This Row],[Aplicación]],9,4)</f>
        <v>2412</v>
      </c>
      <c r="V1162" s="35" t="str">
        <f>VLOOKUP(Tabla1[[#This Row],[PROGRAMA]],Hoja1!A:B,2,FALSE)</f>
        <v>2412. Formación para el empleo</v>
      </c>
      <c r="W1162" s="35" t="str">
        <f>MID(Tabla1[[#This Row],[Aplicación]],14,2)</f>
        <v>22</v>
      </c>
      <c r="X1162" s="35" t="str">
        <f>MID(Tabla1[[#This Row],[Aplicación]],14,6)</f>
        <v>22001</v>
      </c>
    </row>
    <row r="1163" spans="1:24" x14ac:dyDescent="0.25">
      <c r="A1163" s="45">
        <v>220210007123</v>
      </c>
      <c r="B1163" s="46" t="s">
        <v>9</v>
      </c>
      <c r="C1163" s="47">
        <v>44260</v>
      </c>
      <c r="D1163" s="45">
        <v>22021003193</v>
      </c>
      <c r="E1163" s="46" t="s">
        <v>2309</v>
      </c>
      <c r="F1163" s="48">
        <v>302.5</v>
      </c>
      <c r="G1163" s="46" t="s">
        <v>2310</v>
      </c>
      <c r="H1163" s="46" t="s">
        <v>2311</v>
      </c>
      <c r="I1163" s="45" t="s">
        <v>125</v>
      </c>
      <c r="J1163" s="46" t="s">
        <v>127</v>
      </c>
      <c r="K1163" s="46" t="s">
        <v>127</v>
      </c>
      <c r="L1163" s="46" t="s">
        <v>15</v>
      </c>
      <c r="M1163" s="46" t="s">
        <v>10</v>
      </c>
      <c r="N1163" s="46" t="s">
        <v>11</v>
      </c>
      <c r="O1163" s="49" t="s">
        <v>815</v>
      </c>
      <c r="P1163" s="46" t="s">
        <v>507</v>
      </c>
      <c r="Q1163" s="35" t="str">
        <f>MID(Tabla1[[#This Row],[Aplicación]],14,1)</f>
        <v>2</v>
      </c>
      <c r="R1163" s="35" t="s">
        <v>495</v>
      </c>
      <c r="S1163" s="35" t="str">
        <f>MID(Tabla1[[#This Row],[Aplicación]],6,2)</f>
        <v>10</v>
      </c>
      <c r="T1163" s="35" t="str">
        <f>VLOOKUP(Tabla1[[#This Row],[AREA]],Hoja1!A:B,2,FALSE)</f>
        <v>10. Servicios sociales y mediación comunitaria</v>
      </c>
      <c r="U1163" s="35" t="str">
        <f>MID(Tabla1[[#This Row],[Aplicación]],9,4)</f>
        <v>2312</v>
      </c>
      <c r="V1163" s="35" t="str">
        <f>VLOOKUP(Tabla1[[#This Row],[PROGRAMA]],Hoja1!A:B,2,FALSE)</f>
        <v>2312. Iniciativas sociales</v>
      </c>
      <c r="W1163" s="35" t="str">
        <f>MID(Tabla1[[#This Row],[Aplicación]],14,2)</f>
        <v>22</v>
      </c>
      <c r="X1163" s="35" t="str">
        <f>MID(Tabla1[[#This Row],[Aplicación]],14,6)</f>
        <v>22617</v>
      </c>
    </row>
    <row r="1164" spans="1:24" x14ac:dyDescent="0.25">
      <c r="A1164" s="45">
        <v>220210008417</v>
      </c>
      <c r="B1164" s="46" t="s">
        <v>9</v>
      </c>
      <c r="C1164" s="47">
        <v>44266</v>
      </c>
      <c r="D1164" s="45">
        <v>22021002878</v>
      </c>
      <c r="E1164" s="46" t="s">
        <v>1310</v>
      </c>
      <c r="F1164" s="48">
        <v>302.74</v>
      </c>
      <c r="G1164" s="46" t="s">
        <v>297</v>
      </c>
      <c r="H1164" s="46" t="s">
        <v>2312</v>
      </c>
      <c r="I1164" s="45" t="s">
        <v>125</v>
      </c>
      <c r="J1164" s="46" t="s">
        <v>127</v>
      </c>
      <c r="K1164" s="46" t="s">
        <v>127</v>
      </c>
      <c r="L1164" s="46" t="s">
        <v>15</v>
      </c>
      <c r="M1164" s="46" t="s">
        <v>10</v>
      </c>
      <c r="N1164" s="46" t="s">
        <v>11</v>
      </c>
      <c r="O1164" s="49" t="s">
        <v>815</v>
      </c>
      <c r="P1164" s="46" t="s">
        <v>507</v>
      </c>
      <c r="Q1164" s="35" t="str">
        <f>MID(Tabla1[[#This Row],[Aplicación]],14,1)</f>
        <v>2</v>
      </c>
      <c r="R1164" s="35" t="s">
        <v>495</v>
      </c>
      <c r="S1164" s="35" t="str">
        <f>MID(Tabla1[[#This Row],[Aplicación]],6,2)</f>
        <v>11</v>
      </c>
      <c r="T1164" s="35" t="str">
        <f>VLOOKUP(Tabla1[[#This Row],[AREA]],Hoja1!A:B,2,FALSE)</f>
        <v>11. Salud pública y seguridad ciudadana</v>
      </c>
      <c r="U1164" s="35" t="str">
        <f>MID(Tabla1[[#This Row],[Aplicación]],9,4)</f>
        <v>3111</v>
      </c>
      <c r="V1164" s="35" t="str">
        <f>VLOOKUP(Tabla1[[#This Row],[PROGRAMA]],Hoja1!A:B,2,FALSE)</f>
        <v>3111. Protección de la salubridad pública</v>
      </c>
      <c r="W1164" s="35" t="str">
        <f>MID(Tabla1[[#This Row],[Aplicación]],14,2)</f>
        <v>22</v>
      </c>
      <c r="X1164" s="35" t="str">
        <f>MID(Tabla1[[#This Row],[Aplicación]],14,6)</f>
        <v>22199</v>
      </c>
    </row>
    <row r="1165" spans="1:24" x14ac:dyDescent="0.25">
      <c r="A1165" s="45">
        <v>220210000495</v>
      </c>
      <c r="B1165" s="46" t="s">
        <v>9</v>
      </c>
      <c r="C1165" s="47">
        <v>44221</v>
      </c>
      <c r="D1165" s="45">
        <v>22021001278</v>
      </c>
      <c r="E1165" s="46" t="s">
        <v>840</v>
      </c>
      <c r="F1165" s="48">
        <v>1000</v>
      </c>
      <c r="G1165" s="46" t="s">
        <v>53</v>
      </c>
      <c r="H1165" s="46" t="s">
        <v>2313</v>
      </c>
      <c r="I1165" s="45" t="s">
        <v>125</v>
      </c>
      <c r="J1165" s="46" t="s">
        <v>127</v>
      </c>
      <c r="K1165" s="46" t="s">
        <v>127</v>
      </c>
      <c r="L1165" s="46" t="s">
        <v>12</v>
      </c>
      <c r="M1165" s="46" t="s">
        <v>10</v>
      </c>
      <c r="N1165" s="46" t="s">
        <v>11</v>
      </c>
      <c r="O1165" s="49" t="s">
        <v>815</v>
      </c>
      <c r="P1165" s="46" t="s">
        <v>507</v>
      </c>
      <c r="Q1165" s="35" t="str">
        <f>MID(Tabla1[[#This Row],[Aplicación]],14,1)</f>
        <v>2</v>
      </c>
      <c r="R1165" s="35" t="s">
        <v>495</v>
      </c>
      <c r="S1165" s="35" t="str">
        <f>MID(Tabla1[[#This Row],[Aplicación]],6,2)</f>
        <v>07</v>
      </c>
      <c r="T1165" s="35" t="str">
        <f>VLOOKUP(Tabla1[[#This Row],[AREA]],Hoja1!A:B,2,FALSE)</f>
        <v>07. Medio ambiente y desarrollo sostenible</v>
      </c>
      <c r="U1165" s="35" t="str">
        <f>MID(Tabla1[[#This Row],[Aplicación]],9,4)</f>
        <v>1711</v>
      </c>
      <c r="V1165" s="35" t="str">
        <f>VLOOKUP(Tabla1[[#This Row],[PROGRAMA]],Hoja1!A:B,2,FALSE)</f>
        <v>1711. Parques y jardines</v>
      </c>
      <c r="W1165" s="35" t="str">
        <f>MID(Tabla1[[#This Row],[Aplicación]],14,2)</f>
        <v>22</v>
      </c>
      <c r="X1165" s="35" t="str">
        <f>MID(Tabla1[[#This Row],[Aplicación]],14,6)</f>
        <v>22799</v>
      </c>
    </row>
    <row r="1166" spans="1:24" x14ac:dyDescent="0.25">
      <c r="A1166" s="45">
        <v>220210000491</v>
      </c>
      <c r="B1166" s="46" t="s">
        <v>9</v>
      </c>
      <c r="C1166" s="47">
        <v>44221</v>
      </c>
      <c r="D1166" s="45">
        <v>22021001242</v>
      </c>
      <c r="E1166" s="46" t="s">
        <v>2309</v>
      </c>
      <c r="F1166" s="48">
        <v>338.8</v>
      </c>
      <c r="G1166" s="46" t="s">
        <v>2310</v>
      </c>
      <c r="H1166" s="46" t="s">
        <v>2314</v>
      </c>
      <c r="I1166" s="45" t="s">
        <v>125</v>
      </c>
      <c r="J1166" s="46" t="s">
        <v>127</v>
      </c>
      <c r="K1166" s="46" t="s">
        <v>127</v>
      </c>
      <c r="L1166" s="46" t="s">
        <v>15</v>
      </c>
      <c r="M1166" s="46" t="s">
        <v>10</v>
      </c>
      <c r="N1166" s="46" t="s">
        <v>11</v>
      </c>
      <c r="O1166" s="49" t="s">
        <v>815</v>
      </c>
      <c r="P1166" s="46" t="s">
        <v>507</v>
      </c>
      <c r="Q1166" s="35" t="str">
        <f>MID(Tabla1[[#This Row],[Aplicación]],14,1)</f>
        <v>2</v>
      </c>
      <c r="R1166" s="35" t="s">
        <v>495</v>
      </c>
      <c r="S1166" s="35" t="str">
        <f>MID(Tabla1[[#This Row],[Aplicación]],6,2)</f>
        <v>10</v>
      </c>
      <c r="T1166" s="35" t="str">
        <f>VLOOKUP(Tabla1[[#This Row],[AREA]],Hoja1!A:B,2,FALSE)</f>
        <v>10. Servicios sociales y mediación comunitaria</v>
      </c>
      <c r="U1166" s="35" t="str">
        <f>MID(Tabla1[[#This Row],[Aplicación]],9,4)</f>
        <v>2312</v>
      </c>
      <c r="V1166" s="35" t="str">
        <f>VLOOKUP(Tabla1[[#This Row],[PROGRAMA]],Hoja1!A:B,2,FALSE)</f>
        <v>2312. Iniciativas sociales</v>
      </c>
      <c r="W1166" s="35" t="str">
        <f>MID(Tabla1[[#This Row],[Aplicación]],14,2)</f>
        <v>22</v>
      </c>
      <c r="X1166" s="35" t="str">
        <f>MID(Tabla1[[#This Row],[Aplicación]],14,6)</f>
        <v>22617</v>
      </c>
    </row>
    <row r="1167" spans="1:24" x14ac:dyDescent="0.25">
      <c r="A1167" s="45">
        <v>220210008408</v>
      </c>
      <c r="B1167" s="46" t="s">
        <v>9</v>
      </c>
      <c r="C1167" s="47">
        <v>44266</v>
      </c>
      <c r="D1167" s="45">
        <v>22021003259</v>
      </c>
      <c r="E1167" s="46" t="s">
        <v>2315</v>
      </c>
      <c r="F1167" s="48">
        <v>342.65</v>
      </c>
      <c r="G1167" s="46" t="s">
        <v>262</v>
      </c>
      <c r="H1167" s="46" t="s">
        <v>2316</v>
      </c>
      <c r="I1167" s="45" t="s">
        <v>125</v>
      </c>
      <c r="J1167" s="46" t="s">
        <v>127</v>
      </c>
      <c r="K1167" s="46" t="s">
        <v>127</v>
      </c>
      <c r="L1167" s="46" t="s">
        <v>12</v>
      </c>
      <c r="M1167" s="46" t="s">
        <v>10</v>
      </c>
      <c r="N1167" s="46" t="s">
        <v>11</v>
      </c>
      <c r="O1167" s="49" t="s">
        <v>815</v>
      </c>
      <c r="P1167" s="46" t="s">
        <v>507</v>
      </c>
      <c r="Q1167" s="35" t="str">
        <f>MID(Tabla1[[#This Row],[Aplicación]],14,1)</f>
        <v>2</v>
      </c>
      <c r="R1167" s="35" t="s">
        <v>495</v>
      </c>
      <c r="S1167" s="35" t="str">
        <f>MID(Tabla1[[#This Row],[Aplicación]],6,2)</f>
        <v>01</v>
      </c>
      <c r="T1167" s="35" t="str">
        <f>VLOOKUP(Tabla1[[#This Row],[AREA]],Hoja1!A:B,2,FALSE)</f>
        <v>01. Alcaldía</v>
      </c>
      <c r="U1167" s="35" t="str">
        <f>MID(Tabla1[[#This Row],[Aplicación]],9,4)</f>
        <v>9203</v>
      </c>
      <c r="V1167" s="35" t="str">
        <f>VLOOKUP(Tabla1[[#This Row],[PROGRAMA]],Hoja1!A:B,2,FALSE)</f>
        <v>9203. Unidad de régimen interior</v>
      </c>
      <c r="W1167" s="35" t="str">
        <f>MID(Tabla1[[#This Row],[Aplicación]],14,2)</f>
        <v>21</v>
      </c>
      <c r="X1167" s="35" t="str">
        <f>MID(Tabla1[[#This Row],[Aplicación]],14,6)</f>
        <v>214</v>
      </c>
    </row>
    <row r="1168" spans="1:24" x14ac:dyDescent="0.25">
      <c r="A1168" s="45">
        <v>220210000487</v>
      </c>
      <c r="B1168" s="46" t="s">
        <v>9</v>
      </c>
      <c r="C1168" s="47">
        <v>44221</v>
      </c>
      <c r="D1168" s="45">
        <v>22021001233</v>
      </c>
      <c r="E1168" s="46" t="s">
        <v>1334</v>
      </c>
      <c r="F1168" s="48">
        <v>350</v>
      </c>
      <c r="G1168" s="46" t="s">
        <v>208</v>
      </c>
      <c r="H1168" s="46" t="s">
        <v>2317</v>
      </c>
      <c r="I1168" s="45" t="s">
        <v>125</v>
      </c>
      <c r="J1168" s="46" t="s">
        <v>127</v>
      </c>
      <c r="K1168" s="46" t="s">
        <v>127</v>
      </c>
      <c r="L1168" s="46" t="s">
        <v>15</v>
      </c>
      <c r="M1168" s="46" t="s">
        <v>10</v>
      </c>
      <c r="N1168" s="46" t="s">
        <v>11</v>
      </c>
      <c r="O1168" s="49" t="s">
        <v>815</v>
      </c>
      <c r="P1168" s="46" t="s">
        <v>507</v>
      </c>
      <c r="Q1168" s="35" t="str">
        <f>MID(Tabla1[[#This Row],[Aplicación]],14,1)</f>
        <v>2</v>
      </c>
      <c r="R1168" s="35" t="s">
        <v>495</v>
      </c>
      <c r="S1168" s="35" t="str">
        <f>MID(Tabla1[[#This Row],[Aplicación]],6,2)</f>
        <v>07</v>
      </c>
      <c r="T1168" s="35" t="str">
        <f>VLOOKUP(Tabla1[[#This Row],[AREA]],Hoja1!A:B,2,FALSE)</f>
        <v>07. Medio ambiente y desarrollo sostenible</v>
      </c>
      <c r="U1168" s="35" t="str">
        <f>MID(Tabla1[[#This Row],[Aplicación]],9,4)</f>
        <v>1711</v>
      </c>
      <c r="V1168" s="35" t="str">
        <f>VLOOKUP(Tabla1[[#This Row],[PROGRAMA]],Hoja1!A:B,2,FALSE)</f>
        <v>1711. Parques y jardines</v>
      </c>
      <c r="W1168" s="35" t="str">
        <f>MID(Tabla1[[#This Row],[Aplicación]],14,2)</f>
        <v>22</v>
      </c>
      <c r="X1168" s="35" t="str">
        <f>MID(Tabla1[[#This Row],[Aplicación]],14,6)</f>
        <v>22199</v>
      </c>
    </row>
    <row r="1169" spans="1:24" x14ac:dyDescent="0.25">
      <c r="A1169" s="45">
        <v>220210006964</v>
      </c>
      <c r="B1169" s="46" t="s">
        <v>9</v>
      </c>
      <c r="C1169" s="47">
        <v>44259</v>
      </c>
      <c r="D1169" s="45">
        <v>22021002015</v>
      </c>
      <c r="E1169" s="46" t="s">
        <v>2112</v>
      </c>
      <c r="F1169" s="48">
        <v>350</v>
      </c>
      <c r="G1169" s="46" t="s">
        <v>772</v>
      </c>
      <c r="H1169" s="46" t="s">
        <v>2318</v>
      </c>
      <c r="I1169" s="45" t="s">
        <v>125</v>
      </c>
      <c r="J1169" s="46" t="s">
        <v>126</v>
      </c>
      <c r="K1169" s="46" t="s">
        <v>126</v>
      </c>
      <c r="L1169" s="46" t="s">
        <v>15</v>
      </c>
      <c r="M1169" s="46" t="s">
        <v>10</v>
      </c>
      <c r="N1169" s="46" t="s">
        <v>11</v>
      </c>
      <c r="O1169" s="49" t="s">
        <v>815</v>
      </c>
      <c r="P1169" s="46" t="s">
        <v>507</v>
      </c>
      <c r="Q1169" s="35" t="str">
        <f>MID(Tabla1[[#This Row],[Aplicación]],14,1)</f>
        <v>2</v>
      </c>
      <c r="R1169" s="35" t="s">
        <v>495</v>
      </c>
      <c r="S1169" s="35" t="str">
        <f>MID(Tabla1[[#This Row],[Aplicación]],6,2)</f>
        <v>10</v>
      </c>
      <c r="T1169" s="35" t="str">
        <f>VLOOKUP(Tabla1[[#This Row],[AREA]],Hoja1!A:B,2,FALSE)</f>
        <v>10. Servicios sociales y mediación comunitaria</v>
      </c>
      <c r="U1169" s="35" t="str">
        <f>MID(Tabla1[[#This Row],[Aplicación]],9,4)</f>
        <v>2311</v>
      </c>
      <c r="V1169" s="35" t="str">
        <f>VLOOKUP(Tabla1[[#This Row],[PROGRAMA]],Hoja1!A:B,2,FALSE)</f>
        <v>2311. Intervención social</v>
      </c>
      <c r="W1169" s="35" t="str">
        <f>MID(Tabla1[[#This Row],[Aplicación]],14,2)</f>
        <v>22</v>
      </c>
      <c r="X1169" s="35" t="str">
        <f>MID(Tabla1[[#This Row],[Aplicación]],14,6)</f>
        <v>22200</v>
      </c>
    </row>
    <row r="1170" spans="1:24" x14ac:dyDescent="0.25">
      <c r="A1170" s="45">
        <v>220210012793</v>
      </c>
      <c r="B1170" s="46" t="s">
        <v>9</v>
      </c>
      <c r="C1170" s="47">
        <v>44280</v>
      </c>
      <c r="D1170" s="45">
        <v>22021003512</v>
      </c>
      <c r="E1170" s="46" t="s">
        <v>1187</v>
      </c>
      <c r="F1170" s="48">
        <v>350.9</v>
      </c>
      <c r="G1170" s="46" t="s">
        <v>2319</v>
      </c>
      <c r="H1170" s="46" t="s">
        <v>2320</v>
      </c>
      <c r="I1170" s="45" t="s">
        <v>125</v>
      </c>
      <c r="J1170" s="46" t="s">
        <v>127</v>
      </c>
      <c r="K1170" s="46" t="s">
        <v>127</v>
      </c>
      <c r="L1170" s="46" t="s">
        <v>12</v>
      </c>
      <c r="M1170" s="46" t="s">
        <v>10</v>
      </c>
      <c r="N1170" s="46" t="s">
        <v>11</v>
      </c>
      <c r="O1170" s="49" t="s">
        <v>815</v>
      </c>
      <c r="P1170" s="46" t="s">
        <v>507</v>
      </c>
      <c r="Q1170" s="35" t="str">
        <f>MID(Tabla1[[#This Row],[Aplicación]],14,1)</f>
        <v>2</v>
      </c>
      <c r="R1170" s="35" t="s">
        <v>495</v>
      </c>
      <c r="S1170" s="35" t="str">
        <f>MID(Tabla1[[#This Row],[Aplicación]],6,2)</f>
        <v>06</v>
      </c>
      <c r="T1170" s="35" t="str">
        <f>VLOOKUP(Tabla1[[#This Row],[AREA]],Hoja1!A:B,2,FALSE)</f>
        <v>06. Educación, infancia, juventud e igualdad</v>
      </c>
      <c r="U1170" s="35" t="str">
        <f>MID(Tabla1[[#This Row],[Aplicación]],9,4)</f>
        <v>2315</v>
      </c>
      <c r="V1170" s="35" t="str">
        <f>VLOOKUP(Tabla1[[#This Row],[PROGRAMA]],Hoja1!A:B,2,FALSE)</f>
        <v>2315. Políticas de Igualdad e infancia</v>
      </c>
      <c r="W1170" s="35" t="str">
        <f>MID(Tabla1[[#This Row],[Aplicación]],14,2)</f>
        <v>22</v>
      </c>
      <c r="X1170" s="35" t="str">
        <f>MID(Tabla1[[#This Row],[Aplicación]],14,6)</f>
        <v>22611</v>
      </c>
    </row>
    <row r="1171" spans="1:24" x14ac:dyDescent="0.25">
      <c r="A1171" s="45">
        <v>220210001383</v>
      </c>
      <c r="B1171" s="46" t="s">
        <v>9</v>
      </c>
      <c r="C1171" s="47">
        <v>44228</v>
      </c>
      <c r="D1171" s="45">
        <v>22021002086</v>
      </c>
      <c r="E1171" s="46" t="s">
        <v>869</v>
      </c>
      <c r="F1171" s="48">
        <v>1000</v>
      </c>
      <c r="G1171" s="46" t="s">
        <v>53</v>
      </c>
      <c r="H1171" s="46" t="s">
        <v>766</v>
      </c>
      <c r="I1171" s="45" t="s">
        <v>125</v>
      </c>
      <c r="J1171" s="46" t="s">
        <v>127</v>
      </c>
      <c r="K1171" s="46" t="s">
        <v>127</v>
      </c>
      <c r="L1171" s="46" t="s">
        <v>12</v>
      </c>
      <c r="M1171" s="46" t="s">
        <v>10</v>
      </c>
      <c r="N1171" s="46" t="s">
        <v>11</v>
      </c>
      <c r="O1171" s="49" t="s">
        <v>815</v>
      </c>
      <c r="P1171" s="46" t="s">
        <v>507</v>
      </c>
      <c r="Q1171" s="35" t="str">
        <f>MID(Tabla1[[#This Row],[Aplicación]],14,1)</f>
        <v>2</v>
      </c>
      <c r="R1171" s="35" t="s">
        <v>495</v>
      </c>
      <c r="S1171" s="35" t="str">
        <f>MID(Tabla1[[#This Row],[Aplicación]],6,2)</f>
        <v>07</v>
      </c>
      <c r="T1171" s="35" t="str">
        <f>VLOOKUP(Tabla1[[#This Row],[AREA]],Hoja1!A:B,2,FALSE)</f>
        <v>07. Medio ambiente y desarrollo sostenible</v>
      </c>
      <c r="U1171" s="35" t="str">
        <f>MID(Tabla1[[#This Row],[Aplicación]],9,4)</f>
        <v>1721</v>
      </c>
      <c r="V1171" s="35" t="str">
        <f>VLOOKUP(Tabla1[[#This Row],[PROGRAMA]],Hoja1!A:B,2,FALSE)</f>
        <v>1721. Protección del medio ambiente</v>
      </c>
      <c r="W1171" s="35" t="str">
        <f>MID(Tabla1[[#This Row],[Aplicación]],14,2)</f>
        <v>21</v>
      </c>
      <c r="X1171" s="35" t="str">
        <f>MID(Tabla1[[#This Row],[Aplicación]],14,6)</f>
        <v>213</v>
      </c>
    </row>
    <row r="1172" spans="1:24" x14ac:dyDescent="0.25">
      <c r="A1172" s="45">
        <v>220210000195</v>
      </c>
      <c r="B1172" s="46" t="s">
        <v>9</v>
      </c>
      <c r="C1172" s="47">
        <v>44216</v>
      </c>
      <c r="D1172" s="45">
        <v>22021000637</v>
      </c>
      <c r="E1172" s="46" t="s">
        <v>1189</v>
      </c>
      <c r="F1172" s="48">
        <v>356.95</v>
      </c>
      <c r="G1172" s="46" t="s">
        <v>2321</v>
      </c>
      <c r="H1172" s="46" t="s">
        <v>2322</v>
      </c>
      <c r="I1172" s="45" t="s">
        <v>125</v>
      </c>
      <c r="J1172" s="46" t="s">
        <v>127</v>
      </c>
      <c r="K1172" s="46" t="s">
        <v>127</v>
      </c>
      <c r="L1172" s="46" t="s">
        <v>12</v>
      </c>
      <c r="M1172" s="46" t="s">
        <v>10</v>
      </c>
      <c r="N1172" s="46" t="s">
        <v>11</v>
      </c>
      <c r="O1172" s="49" t="s">
        <v>815</v>
      </c>
      <c r="P1172" s="46" t="s">
        <v>507</v>
      </c>
      <c r="Q1172" s="35" t="str">
        <f>MID(Tabla1[[#This Row],[Aplicación]],14,1)</f>
        <v>2</v>
      </c>
      <c r="R1172" s="35" t="s">
        <v>495</v>
      </c>
      <c r="S1172" s="35" t="str">
        <f>MID(Tabla1[[#This Row],[Aplicación]],6,2)</f>
        <v>10</v>
      </c>
      <c r="T1172" s="35" t="str">
        <f>VLOOKUP(Tabla1[[#This Row],[AREA]],Hoja1!A:B,2,FALSE)</f>
        <v>10. Servicios sociales y mediación comunitaria</v>
      </c>
      <c r="U1172" s="35" t="str">
        <f>MID(Tabla1[[#This Row],[Aplicación]],9,4)</f>
        <v>2311</v>
      </c>
      <c r="V1172" s="35" t="str">
        <f>VLOOKUP(Tabla1[[#This Row],[PROGRAMA]],Hoja1!A:B,2,FALSE)</f>
        <v>2311. Intervención social</v>
      </c>
      <c r="W1172" s="35" t="str">
        <f>MID(Tabla1[[#This Row],[Aplicación]],14,2)</f>
        <v>22</v>
      </c>
      <c r="X1172" s="35" t="str">
        <f>MID(Tabla1[[#This Row],[Aplicación]],14,6)</f>
        <v>22700</v>
      </c>
    </row>
    <row r="1173" spans="1:24" x14ac:dyDescent="0.25">
      <c r="A1173" s="45">
        <v>220209000229</v>
      </c>
      <c r="B1173" s="46" t="s">
        <v>9</v>
      </c>
      <c r="C1173" s="47">
        <v>44198</v>
      </c>
      <c r="D1173" s="45">
        <v>22021000244</v>
      </c>
      <c r="E1173" s="46" t="s">
        <v>2323</v>
      </c>
      <c r="F1173" s="48">
        <v>48380</v>
      </c>
      <c r="G1173" s="46" t="s">
        <v>2324</v>
      </c>
      <c r="H1173" s="46" t="s">
        <v>2325</v>
      </c>
      <c r="I1173" s="45" t="s">
        <v>125</v>
      </c>
      <c r="J1173" s="46" t="s">
        <v>146</v>
      </c>
      <c r="K1173" s="46" t="s">
        <v>146</v>
      </c>
      <c r="L1173" s="46" t="s">
        <v>12</v>
      </c>
      <c r="M1173" s="46" t="s">
        <v>13</v>
      </c>
      <c r="N1173" s="46" t="s">
        <v>14</v>
      </c>
      <c r="O1173" s="49" t="s">
        <v>803</v>
      </c>
      <c r="P1173" s="46" t="s">
        <v>507</v>
      </c>
      <c r="Q1173" s="35" t="str">
        <f>MID(Tabla1[[#This Row],[Aplicación]],14,1)</f>
        <v>2</v>
      </c>
      <c r="R1173" s="35" t="s">
        <v>495</v>
      </c>
      <c r="S1173" s="35" t="str">
        <f>MID(Tabla1[[#This Row],[Aplicación]],6,2)</f>
        <v>07</v>
      </c>
      <c r="T1173" s="35" t="str">
        <f>VLOOKUP(Tabla1[[#This Row],[AREA]],Hoja1!A:B,2,FALSE)</f>
        <v>07. Medio ambiente y desarrollo sostenible</v>
      </c>
      <c r="U1173" s="35" t="str">
        <f>MID(Tabla1[[#This Row],[Aplicación]],9,4)</f>
        <v>1701</v>
      </c>
      <c r="V1173" s="35" t="str">
        <f>VLOOKUP(Tabla1[[#This Row],[PROGRAMA]],Hoja1!A:B,2,FALSE)</f>
        <v>1701. Dirección del área de medio ambiente</v>
      </c>
      <c r="W1173" s="35" t="str">
        <f>MID(Tabla1[[#This Row],[Aplicación]],14,2)</f>
        <v>22</v>
      </c>
      <c r="X1173" s="35" t="str">
        <f>MID(Tabla1[[#This Row],[Aplicación]],14,6)</f>
        <v>22706</v>
      </c>
    </row>
    <row r="1174" spans="1:24" x14ac:dyDescent="0.25">
      <c r="A1174" s="45">
        <v>220210003654</v>
      </c>
      <c r="B1174" s="46" t="s">
        <v>9</v>
      </c>
      <c r="C1174" s="47">
        <v>44243</v>
      </c>
      <c r="D1174" s="45">
        <v>22021002648</v>
      </c>
      <c r="E1174" s="46" t="s">
        <v>1183</v>
      </c>
      <c r="F1174" s="48">
        <v>363</v>
      </c>
      <c r="G1174" s="46" t="s">
        <v>2326</v>
      </c>
      <c r="H1174" s="46" t="s">
        <v>2327</v>
      </c>
      <c r="I1174" s="45" t="s">
        <v>125</v>
      </c>
      <c r="J1174" s="46" t="s">
        <v>749</v>
      </c>
      <c r="K1174" s="46" t="s">
        <v>127</v>
      </c>
      <c r="L1174" s="46" t="s">
        <v>15</v>
      </c>
      <c r="M1174" s="46" t="s">
        <v>10</v>
      </c>
      <c r="N1174" s="46" t="s">
        <v>11</v>
      </c>
      <c r="O1174" s="49" t="s">
        <v>815</v>
      </c>
      <c r="P1174" s="46" t="s">
        <v>507</v>
      </c>
      <c r="Q1174" s="35" t="str">
        <f>MID(Tabla1[[#This Row],[Aplicación]],14,1)</f>
        <v>2</v>
      </c>
      <c r="R1174" s="35" t="s">
        <v>495</v>
      </c>
      <c r="S1174" s="35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35" t="str">
        <f>MID(Tabla1[[#This Row],[Aplicación]],9,4)</f>
        <v>1361</v>
      </c>
      <c r="V1174" s="35" t="str">
        <f>VLOOKUP(Tabla1[[#This Row],[PROGRAMA]],Hoja1!A:B,2,FALSE)</f>
        <v>1361. Prevención y extinción de incencios</v>
      </c>
      <c r="W1174" s="35" t="str">
        <f>MID(Tabla1[[#This Row],[Aplicación]],14,2)</f>
        <v>22</v>
      </c>
      <c r="X1174" s="35" t="str">
        <f>MID(Tabla1[[#This Row],[Aplicación]],14,6)</f>
        <v>22199</v>
      </c>
    </row>
    <row r="1175" spans="1:24" x14ac:dyDescent="0.25">
      <c r="A1175" s="45">
        <v>220210007117</v>
      </c>
      <c r="B1175" s="46" t="s">
        <v>9</v>
      </c>
      <c r="C1175" s="47">
        <v>44260</v>
      </c>
      <c r="D1175" s="45">
        <v>22021003143</v>
      </c>
      <c r="E1175" s="46" t="s">
        <v>869</v>
      </c>
      <c r="F1175" s="48">
        <v>381.49</v>
      </c>
      <c r="G1175" s="46" t="s">
        <v>2328</v>
      </c>
      <c r="H1175" s="46" t="s">
        <v>2329</v>
      </c>
      <c r="I1175" s="45" t="s">
        <v>125</v>
      </c>
      <c r="J1175" s="46" t="s">
        <v>162</v>
      </c>
      <c r="K1175" s="46" t="s">
        <v>162</v>
      </c>
      <c r="L1175" s="46" t="s">
        <v>12</v>
      </c>
      <c r="M1175" s="46" t="s">
        <v>10</v>
      </c>
      <c r="N1175" s="46" t="s">
        <v>11</v>
      </c>
      <c r="O1175" s="49" t="s">
        <v>815</v>
      </c>
      <c r="P1175" s="46" t="s">
        <v>507</v>
      </c>
      <c r="Q1175" s="35" t="str">
        <f>MID(Tabla1[[#This Row],[Aplicación]],14,1)</f>
        <v>2</v>
      </c>
      <c r="R1175" s="35" t="s">
        <v>495</v>
      </c>
      <c r="S1175" s="35" t="str">
        <f>MID(Tabla1[[#This Row],[Aplicación]],6,2)</f>
        <v>07</v>
      </c>
      <c r="T1175" s="35" t="str">
        <f>VLOOKUP(Tabla1[[#This Row],[AREA]],Hoja1!A:B,2,FALSE)</f>
        <v>07. Medio ambiente y desarrollo sostenible</v>
      </c>
      <c r="U1175" s="35" t="str">
        <f>MID(Tabla1[[#This Row],[Aplicación]],9,4)</f>
        <v>1721</v>
      </c>
      <c r="V1175" s="35" t="str">
        <f>VLOOKUP(Tabla1[[#This Row],[PROGRAMA]],Hoja1!A:B,2,FALSE)</f>
        <v>1721. Protección del medio ambiente</v>
      </c>
      <c r="W1175" s="35" t="str">
        <f>MID(Tabla1[[#This Row],[Aplicación]],14,2)</f>
        <v>21</v>
      </c>
      <c r="X1175" s="35" t="str">
        <f>MID(Tabla1[[#This Row],[Aplicación]],14,6)</f>
        <v>213</v>
      </c>
    </row>
    <row r="1176" spans="1:24" x14ac:dyDescent="0.25">
      <c r="A1176" s="45">
        <v>220210008472</v>
      </c>
      <c r="B1176" s="46" t="s">
        <v>32</v>
      </c>
      <c r="C1176" s="47">
        <v>44266</v>
      </c>
      <c r="D1176" s="45">
        <v>22021003239</v>
      </c>
      <c r="E1176" s="46" t="s">
        <v>1660</v>
      </c>
      <c r="F1176" s="48">
        <v>387.4</v>
      </c>
      <c r="G1176" s="46" t="s">
        <v>2330</v>
      </c>
      <c r="H1176" s="46" t="s">
        <v>2331</v>
      </c>
      <c r="I1176" s="45" t="s">
        <v>234</v>
      </c>
      <c r="J1176" s="46" t="s">
        <v>127</v>
      </c>
      <c r="K1176" s="46" t="s">
        <v>127</v>
      </c>
      <c r="L1176" s="46" t="s">
        <v>12</v>
      </c>
      <c r="M1176" s="46" t="s">
        <v>10</v>
      </c>
      <c r="N1176" s="46" t="s">
        <v>11</v>
      </c>
      <c r="O1176" s="49" t="s">
        <v>815</v>
      </c>
      <c r="P1176" s="46" t="s">
        <v>507</v>
      </c>
      <c r="Q1176" s="35" t="str">
        <f>MID(Tabla1[[#This Row],[Aplicación]],14,1)</f>
        <v>2</v>
      </c>
      <c r="R1176" s="35" t="s">
        <v>495</v>
      </c>
      <c r="S1176" s="35" t="str">
        <f>MID(Tabla1[[#This Row],[Aplicación]],6,2)</f>
        <v>04</v>
      </c>
      <c r="T1176" s="35" t="str">
        <f>VLOOKUP(Tabla1[[#This Row],[AREA]],Hoja1!A:B,2,FALSE)</f>
        <v>04. Planificación y recursos</v>
      </c>
      <c r="U1176" s="35" t="str">
        <f>MID(Tabla1[[#This Row],[Aplicación]],9,4)</f>
        <v>9202</v>
      </c>
      <c r="V1176" s="35" t="str">
        <f>VLOOKUP(Tabla1[[#This Row],[PROGRAMA]],Hoja1!A:B,2,FALSE)</f>
        <v>9202. Gestión de recursos humanos</v>
      </c>
      <c r="W1176" s="35" t="str">
        <f>MID(Tabla1[[#This Row],[Aplicación]],14,2)</f>
        <v>22</v>
      </c>
      <c r="X1176" s="35" t="str">
        <f>MID(Tabla1[[#This Row],[Aplicación]],14,6)</f>
        <v>22607</v>
      </c>
    </row>
    <row r="1177" spans="1:24" x14ac:dyDescent="0.25">
      <c r="A1177" s="45">
        <v>220210001377</v>
      </c>
      <c r="B1177" s="46" t="s">
        <v>9</v>
      </c>
      <c r="C1177" s="47">
        <v>44228</v>
      </c>
      <c r="D1177" s="45">
        <v>22021002081</v>
      </c>
      <c r="E1177" s="46" t="s">
        <v>881</v>
      </c>
      <c r="F1177" s="48">
        <v>394.46</v>
      </c>
      <c r="G1177" s="46" t="s">
        <v>297</v>
      </c>
      <c r="H1177" s="46" t="s">
        <v>2332</v>
      </c>
      <c r="I1177" s="45" t="s">
        <v>125</v>
      </c>
      <c r="J1177" s="46" t="s">
        <v>127</v>
      </c>
      <c r="K1177" s="46" t="s">
        <v>127</v>
      </c>
      <c r="L1177" s="46" t="s">
        <v>12</v>
      </c>
      <c r="M1177" s="46" t="s">
        <v>10</v>
      </c>
      <c r="N1177" s="46" t="s">
        <v>11</v>
      </c>
      <c r="O1177" s="49" t="s">
        <v>815</v>
      </c>
      <c r="P1177" s="46" t="s">
        <v>507</v>
      </c>
      <c r="Q1177" s="35" t="str">
        <f>MID(Tabla1[[#This Row],[Aplicación]],14,1)</f>
        <v>2</v>
      </c>
      <c r="R1177" s="35" t="s">
        <v>495</v>
      </c>
      <c r="S1177" s="35" t="str">
        <f>MID(Tabla1[[#This Row],[Aplicación]],6,2)</f>
        <v>05</v>
      </c>
      <c r="T1177" s="35" t="str">
        <f>VLOOKUP(Tabla1[[#This Row],[AREA]],Hoja1!A:B,2,FALSE)</f>
        <v>05. Innovación, desarrollo económico, empleo y comercio</v>
      </c>
      <c r="U1177" s="35" t="str">
        <f>MID(Tabla1[[#This Row],[Aplicación]],9,4)</f>
        <v>4331</v>
      </c>
      <c r="V1177" s="35" t="str">
        <f>VLOOKUP(Tabla1[[#This Row],[PROGRAMA]],Hoja1!A:B,2,FALSE)</f>
        <v>4331. Desarrollo empresarial</v>
      </c>
      <c r="W1177" s="35" t="str">
        <f>MID(Tabla1[[#This Row],[Aplicación]],14,2)</f>
        <v>22</v>
      </c>
      <c r="X1177" s="35" t="str">
        <f>MID(Tabla1[[#This Row],[Aplicación]],14,6)</f>
        <v>22799</v>
      </c>
    </row>
    <row r="1178" spans="1:24" x14ac:dyDescent="0.25">
      <c r="A1178" s="45">
        <v>220210002883</v>
      </c>
      <c r="B1178" s="46" t="s">
        <v>9</v>
      </c>
      <c r="C1178" s="47">
        <v>44238</v>
      </c>
      <c r="D1178" s="45">
        <v>22021002529</v>
      </c>
      <c r="E1178" s="46" t="s">
        <v>950</v>
      </c>
      <c r="F1178" s="48">
        <v>398.8</v>
      </c>
      <c r="G1178" s="46" t="s">
        <v>1992</v>
      </c>
      <c r="H1178" s="46" t="s">
        <v>2333</v>
      </c>
      <c r="I1178" s="45" t="s">
        <v>125</v>
      </c>
      <c r="J1178" s="46" t="s">
        <v>634</v>
      </c>
      <c r="K1178" s="46" t="s">
        <v>127</v>
      </c>
      <c r="L1178" s="46" t="s">
        <v>12</v>
      </c>
      <c r="M1178" s="46" t="s">
        <v>10</v>
      </c>
      <c r="N1178" s="46" t="s">
        <v>11</v>
      </c>
      <c r="O1178" s="49" t="s">
        <v>815</v>
      </c>
      <c r="P1178" s="46" t="s">
        <v>507</v>
      </c>
      <c r="Q1178" s="35" t="str">
        <f>MID(Tabla1[[#This Row],[Aplicación]],14,1)</f>
        <v>2</v>
      </c>
      <c r="R1178" s="35" t="s">
        <v>495</v>
      </c>
      <c r="S1178" s="35" t="str">
        <f>MID(Tabla1[[#This Row],[Aplicación]],6,2)</f>
        <v>11</v>
      </c>
      <c r="T1178" s="35" t="str">
        <f>VLOOKUP(Tabla1[[#This Row],[AREA]],Hoja1!A:B,2,FALSE)</f>
        <v>11. Salud pública y seguridad ciudadana</v>
      </c>
      <c r="U1178" s="35" t="str">
        <f>MID(Tabla1[[#This Row],[Aplicación]],9,4)</f>
        <v>1321</v>
      </c>
      <c r="V1178" s="35" t="str">
        <f>VLOOKUP(Tabla1[[#This Row],[PROGRAMA]],Hoja1!A:B,2,FALSE)</f>
        <v>1321. Policía municipal</v>
      </c>
      <c r="W1178" s="35" t="str">
        <f>MID(Tabla1[[#This Row],[Aplicación]],14,2)</f>
        <v>21</v>
      </c>
      <c r="X1178" s="35" t="str">
        <f>MID(Tabla1[[#This Row],[Aplicación]],14,6)</f>
        <v>213</v>
      </c>
    </row>
    <row r="1179" spans="1:24" x14ac:dyDescent="0.25">
      <c r="A1179" s="45">
        <v>220210013171</v>
      </c>
      <c r="B1179" s="46" t="s">
        <v>9</v>
      </c>
      <c r="C1179" s="47">
        <v>44286</v>
      </c>
      <c r="D1179" s="45">
        <v>22021003577</v>
      </c>
      <c r="E1179" s="46" t="s">
        <v>1550</v>
      </c>
      <c r="F1179" s="48">
        <v>400</v>
      </c>
      <c r="G1179" s="46" t="s">
        <v>2334</v>
      </c>
      <c r="H1179" s="46" t="s">
        <v>2335</v>
      </c>
      <c r="I1179" s="45" t="s">
        <v>125</v>
      </c>
      <c r="J1179" s="46" t="s">
        <v>127</v>
      </c>
      <c r="K1179" s="46" t="s">
        <v>127</v>
      </c>
      <c r="L1179" s="46" t="s">
        <v>17</v>
      </c>
      <c r="M1179" s="46" t="s">
        <v>10</v>
      </c>
      <c r="N1179" s="46" t="s">
        <v>11</v>
      </c>
      <c r="O1179" s="49" t="s">
        <v>815</v>
      </c>
      <c r="P1179" s="46" t="s">
        <v>507</v>
      </c>
      <c r="Q1179" s="35" t="str">
        <f>MID(Tabla1[[#This Row],[Aplicación]],14,1)</f>
        <v>2</v>
      </c>
      <c r="R1179" s="35" t="s">
        <v>495</v>
      </c>
      <c r="S1179" s="35" t="str">
        <f>MID(Tabla1[[#This Row],[Aplicación]],6,2)</f>
        <v>06</v>
      </c>
      <c r="T1179" s="35" t="str">
        <f>VLOOKUP(Tabla1[[#This Row],[AREA]],Hoja1!A:B,2,FALSE)</f>
        <v>06. Educación, infancia, juventud e igualdad</v>
      </c>
      <c r="U1179" s="35" t="str">
        <f>MID(Tabla1[[#This Row],[Aplicación]],9,4)</f>
        <v>2315</v>
      </c>
      <c r="V1179" s="35" t="str">
        <f>VLOOKUP(Tabla1[[#This Row],[PROGRAMA]],Hoja1!A:B,2,FALSE)</f>
        <v>2315. Políticas de Igualdad e infancia</v>
      </c>
      <c r="W1179" s="35" t="str">
        <f>MID(Tabla1[[#This Row],[Aplicación]],14,2)</f>
        <v>22</v>
      </c>
      <c r="X1179" s="35" t="str">
        <f>MID(Tabla1[[#This Row],[Aplicación]],14,6)</f>
        <v>22799</v>
      </c>
    </row>
    <row r="1180" spans="1:24" x14ac:dyDescent="0.25">
      <c r="A1180" s="45">
        <v>220210012694</v>
      </c>
      <c r="B1180" s="46" t="s">
        <v>9</v>
      </c>
      <c r="C1180" s="47">
        <v>44280</v>
      </c>
      <c r="D1180" s="45">
        <v>22021003476</v>
      </c>
      <c r="E1180" s="46" t="s">
        <v>2336</v>
      </c>
      <c r="F1180" s="48">
        <v>401.72</v>
      </c>
      <c r="G1180" s="46" t="s">
        <v>2337</v>
      </c>
      <c r="H1180" s="46" t="s">
        <v>2338</v>
      </c>
      <c r="I1180" s="45" t="s">
        <v>125</v>
      </c>
      <c r="J1180" s="46" t="s">
        <v>2339</v>
      </c>
      <c r="K1180" s="46" t="s">
        <v>126</v>
      </c>
      <c r="L1180" s="46" t="s">
        <v>15</v>
      </c>
      <c r="M1180" s="46" t="s">
        <v>10</v>
      </c>
      <c r="N1180" s="46" t="s">
        <v>11</v>
      </c>
      <c r="O1180" s="49" t="s">
        <v>815</v>
      </c>
      <c r="P1180" s="46" t="s">
        <v>507</v>
      </c>
      <c r="Q1180" s="35" t="str">
        <f>MID(Tabla1[[#This Row],[Aplicación]],14,1)</f>
        <v>2</v>
      </c>
      <c r="R1180" s="35" t="s">
        <v>495</v>
      </c>
      <c r="S1180" s="35" t="str">
        <f>MID(Tabla1[[#This Row],[Aplicación]],6,2)</f>
        <v>11</v>
      </c>
      <c r="T1180" s="35" t="str">
        <f>VLOOKUP(Tabla1[[#This Row],[AREA]],Hoja1!A:B,2,FALSE)</f>
        <v>11. Salud pública y seguridad ciudadana</v>
      </c>
      <c r="U1180" s="35" t="str">
        <f>MID(Tabla1[[#This Row],[Aplicación]],9,4)</f>
        <v>1361</v>
      </c>
      <c r="V1180" s="35" t="str">
        <f>VLOOKUP(Tabla1[[#This Row],[PROGRAMA]],Hoja1!A:B,2,FALSE)</f>
        <v>1361. Prevención y extinción de incencios</v>
      </c>
      <c r="W1180" s="35" t="str">
        <f>MID(Tabla1[[#This Row],[Aplicación]],14,2)</f>
        <v>22</v>
      </c>
      <c r="X1180" s="35" t="str">
        <f>MID(Tabla1[[#This Row],[Aplicación]],14,6)</f>
        <v>22104</v>
      </c>
    </row>
    <row r="1181" spans="1:24" x14ac:dyDescent="0.25">
      <c r="A1181" s="45">
        <v>220209000151</v>
      </c>
      <c r="B1181" s="46" t="s">
        <v>9</v>
      </c>
      <c r="C1181" s="47">
        <v>44198</v>
      </c>
      <c r="D1181" s="45">
        <v>22021000221</v>
      </c>
      <c r="E1181" s="46" t="s">
        <v>881</v>
      </c>
      <c r="F1181" s="48">
        <v>5400</v>
      </c>
      <c r="G1181" s="46" t="s">
        <v>172</v>
      </c>
      <c r="H1181" s="46" t="s">
        <v>1255</v>
      </c>
      <c r="I1181" s="45" t="s">
        <v>125</v>
      </c>
      <c r="J1181" s="46" t="s">
        <v>127</v>
      </c>
      <c r="K1181" s="46" t="s">
        <v>127</v>
      </c>
      <c r="L1181" s="46" t="s">
        <v>12</v>
      </c>
      <c r="M1181" s="46" t="s">
        <v>13</v>
      </c>
      <c r="N1181" s="46" t="s">
        <v>14</v>
      </c>
      <c r="O1181" s="49" t="s">
        <v>814</v>
      </c>
      <c r="P1181" s="46" t="s">
        <v>507</v>
      </c>
      <c r="Q1181" s="35" t="str">
        <f>MID(Tabla1[[#This Row],[Aplicación]],14,1)</f>
        <v>2</v>
      </c>
      <c r="R1181" s="35" t="s">
        <v>495</v>
      </c>
      <c r="S1181" s="35" t="str">
        <f>MID(Tabla1[[#This Row],[Aplicación]],6,2)</f>
        <v>05</v>
      </c>
      <c r="T1181" s="35" t="str">
        <f>VLOOKUP(Tabla1[[#This Row],[AREA]],Hoja1!A:B,2,FALSE)</f>
        <v>05. Innovación, desarrollo económico, empleo y comercio</v>
      </c>
      <c r="U1181" s="35" t="str">
        <f>MID(Tabla1[[#This Row],[Aplicación]],9,4)</f>
        <v>4331</v>
      </c>
      <c r="V1181" s="35" t="str">
        <f>VLOOKUP(Tabla1[[#This Row],[PROGRAMA]],Hoja1!A:B,2,FALSE)</f>
        <v>4331. Desarrollo empresarial</v>
      </c>
      <c r="W1181" s="35" t="str">
        <f>MID(Tabla1[[#This Row],[Aplicación]],14,2)</f>
        <v>22</v>
      </c>
      <c r="X1181" s="35" t="str">
        <f>MID(Tabla1[[#This Row],[Aplicación]],14,6)</f>
        <v>22799</v>
      </c>
    </row>
    <row r="1182" spans="1:24" x14ac:dyDescent="0.25">
      <c r="A1182" s="45">
        <v>220210002881</v>
      </c>
      <c r="B1182" s="46" t="s">
        <v>9</v>
      </c>
      <c r="C1182" s="47">
        <v>44238</v>
      </c>
      <c r="D1182" s="45">
        <v>22021002392</v>
      </c>
      <c r="E1182" s="46" t="s">
        <v>950</v>
      </c>
      <c r="F1182" s="48">
        <v>1000</v>
      </c>
      <c r="G1182" s="46" t="s">
        <v>53</v>
      </c>
      <c r="H1182" s="46" t="s">
        <v>2340</v>
      </c>
      <c r="I1182" s="45" t="s">
        <v>125</v>
      </c>
      <c r="J1182" s="46" t="s">
        <v>127</v>
      </c>
      <c r="K1182" s="46" t="s">
        <v>127</v>
      </c>
      <c r="L1182" s="46" t="s">
        <v>12</v>
      </c>
      <c r="M1182" s="46" t="s">
        <v>10</v>
      </c>
      <c r="N1182" s="46" t="s">
        <v>11</v>
      </c>
      <c r="O1182" s="49" t="s">
        <v>815</v>
      </c>
      <c r="P1182" s="46" t="s">
        <v>507</v>
      </c>
      <c r="Q1182" s="35" t="str">
        <f>MID(Tabla1[[#This Row],[Aplicación]],14,1)</f>
        <v>2</v>
      </c>
      <c r="R1182" s="35" t="s">
        <v>495</v>
      </c>
      <c r="S1182" s="35" t="str">
        <f>MID(Tabla1[[#This Row],[Aplicación]],6,2)</f>
        <v>11</v>
      </c>
      <c r="T1182" s="35" t="str">
        <f>VLOOKUP(Tabla1[[#This Row],[AREA]],Hoja1!A:B,2,FALSE)</f>
        <v>11. Salud pública y seguridad ciudadana</v>
      </c>
      <c r="U1182" s="35" t="str">
        <f>MID(Tabla1[[#This Row],[Aplicación]],9,4)</f>
        <v>1321</v>
      </c>
      <c r="V1182" s="35" t="str">
        <f>VLOOKUP(Tabla1[[#This Row],[PROGRAMA]],Hoja1!A:B,2,FALSE)</f>
        <v>1321. Policía municipal</v>
      </c>
      <c r="W1182" s="35" t="str">
        <f>MID(Tabla1[[#This Row],[Aplicación]],14,2)</f>
        <v>21</v>
      </c>
      <c r="X1182" s="35" t="str">
        <f>MID(Tabla1[[#This Row],[Aplicación]],14,6)</f>
        <v>213</v>
      </c>
    </row>
    <row r="1183" spans="1:24" x14ac:dyDescent="0.25">
      <c r="A1183" s="45">
        <v>220210000515</v>
      </c>
      <c r="B1183" s="46" t="s">
        <v>9</v>
      </c>
      <c r="C1183" s="47">
        <v>44221</v>
      </c>
      <c r="D1183" s="45">
        <v>22021001702</v>
      </c>
      <c r="E1183" s="46" t="s">
        <v>1220</v>
      </c>
      <c r="F1183" s="48">
        <v>405.35</v>
      </c>
      <c r="G1183" s="46" t="s">
        <v>1972</v>
      </c>
      <c r="H1183" s="46" t="s">
        <v>2341</v>
      </c>
      <c r="I1183" s="45" t="s">
        <v>125</v>
      </c>
      <c r="J1183" s="46" t="s">
        <v>613</v>
      </c>
      <c r="K1183" s="46" t="s">
        <v>127</v>
      </c>
      <c r="L1183" s="46" t="s">
        <v>12</v>
      </c>
      <c r="M1183" s="46" t="s">
        <v>10</v>
      </c>
      <c r="N1183" s="46" t="s">
        <v>11</v>
      </c>
      <c r="O1183" s="49" t="s">
        <v>815</v>
      </c>
      <c r="P1183" s="46" t="s">
        <v>507</v>
      </c>
      <c r="Q1183" s="35" t="str">
        <f>MID(Tabla1[[#This Row],[Aplicación]],14,1)</f>
        <v>2</v>
      </c>
      <c r="R1183" s="35" t="s">
        <v>495</v>
      </c>
      <c r="S1183" s="35" t="str">
        <f>MID(Tabla1[[#This Row],[Aplicación]],6,2)</f>
        <v>03</v>
      </c>
      <c r="T1183" s="35" t="str">
        <f>VLOOKUP(Tabla1[[#This Row],[AREA]],Hoja1!A:B,2,FALSE)</f>
        <v>03. Participación ciudadana y deportes</v>
      </c>
      <c r="U1183" s="35" t="str">
        <f>MID(Tabla1[[#This Row],[Aplicación]],9,4)</f>
        <v>9241</v>
      </c>
      <c r="V1183" s="35" t="str">
        <f>VLOOKUP(Tabla1[[#This Row],[PROGRAMA]],Hoja1!A:B,2,FALSE)</f>
        <v>9241. Participación ciudadana</v>
      </c>
      <c r="W1183" s="35" t="str">
        <f>MID(Tabla1[[#This Row],[Aplicación]],14,2)</f>
        <v>21</v>
      </c>
      <c r="X1183" s="35" t="str">
        <f>MID(Tabla1[[#This Row],[Aplicación]],14,6)</f>
        <v>213</v>
      </c>
    </row>
    <row r="1184" spans="1:24" x14ac:dyDescent="0.25">
      <c r="A1184" s="45">
        <v>220210002885</v>
      </c>
      <c r="B1184" s="46" t="s">
        <v>9</v>
      </c>
      <c r="C1184" s="47">
        <v>44238</v>
      </c>
      <c r="D1184" s="45">
        <v>22021002152</v>
      </c>
      <c r="E1184" s="46" t="s">
        <v>881</v>
      </c>
      <c r="F1184" s="48">
        <v>5400</v>
      </c>
      <c r="G1184" s="46" t="s">
        <v>172</v>
      </c>
      <c r="H1184" s="46" t="s">
        <v>2342</v>
      </c>
      <c r="I1184" s="45" t="s">
        <v>125</v>
      </c>
      <c r="J1184" s="46" t="s">
        <v>127</v>
      </c>
      <c r="K1184" s="46" t="s">
        <v>127</v>
      </c>
      <c r="L1184" s="46" t="s">
        <v>12</v>
      </c>
      <c r="M1184" s="46" t="s">
        <v>13</v>
      </c>
      <c r="N1184" s="46" t="s">
        <v>14</v>
      </c>
      <c r="O1184" s="49" t="s">
        <v>814</v>
      </c>
      <c r="P1184" s="46" t="s">
        <v>507</v>
      </c>
      <c r="Q1184" s="35" t="str">
        <f>MID(Tabla1[[#This Row],[Aplicación]],14,1)</f>
        <v>2</v>
      </c>
      <c r="R1184" s="35" t="s">
        <v>495</v>
      </c>
      <c r="S1184" s="35" t="str">
        <f>MID(Tabla1[[#This Row],[Aplicación]],6,2)</f>
        <v>05</v>
      </c>
      <c r="T1184" s="35" t="str">
        <f>VLOOKUP(Tabla1[[#This Row],[AREA]],Hoja1!A:B,2,FALSE)</f>
        <v>05. Innovación, desarrollo económico, empleo y comercio</v>
      </c>
      <c r="U1184" s="35" t="str">
        <f>MID(Tabla1[[#This Row],[Aplicación]],9,4)</f>
        <v>4331</v>
      </c>
      <c r="V1184" s="35" t="str">
        <f>VLOOKUP(Tabla1[[#This Row],[PROGRAMA]],Hoja1!A:B,2,FALSE)</f>
        <v>4331. Desarrollo empresarial</v>
      </c>
      <c r="W1184" s="35" t="str">
        <f>MID(Tabla1[[#This Row],[Aplicación]],14,2)</f>
        <v>22</v>
      </c>
      <c r="X1184" s="35" t="str">
        <f>MID(Tabla1[[#This Row],[Aplicación]],14,6)</f>
        <v>22799</v>
      </c>
    </row>
    <row r="1185" spans="1:24" x14ac:dyDescent="0.25">
      <c r="A1185" s="45">
        <v>220210010676</v>
      </c>
      <c r="B1185" s="46" t="s">
        <v>9</v>
      </c>
      <c r="C1185" s="47">
        <v>44278</v>
      </c>
      <c r="D1185" s="45">
        <v>22021003570</v>
      </c>
      <c r="E1185" s="46" t="s">
        <v>1201</v>
      </c>
      <c r="F1185" s="48">
        <v>428.04</v>
      </c>
      <c r="G1185" s="46" t="s">
        <v>100</v>
      </c>
      <c r="H1185" s="46" t="s">
        <v>2343</v>
      </c>
      <c r="I1185" s="45" t="s">
        <v>125</v>
      </c>
      <c r="J1185" s="46" t="s">
        <v>730</v>
      </c>
      <c r="K1185" s="46" t="s">
        <v>126</v>
      </c>
      <c r="L1185" s="46" t="s">
        <v>15</v>
      </c>
      <c r="M1185" s="46" t="s">
        <v>10</v>
      </c>
      <c r="N1185" s="46" t="s">
        <v>11</v>
      </c>
      <c r="O1185" s="49" t="s">
        <v>815</v>
      </c>
      <c r="P1185" s="46" t="s">
        <v>507</v>
      </c>
      <c r="Q1185" s="35" t="str">
        <f>MID(Tabla1[[#This Row],[Aplicación]],14,1)</f>
        <v>2</v>
      </c>
      <c r="R1185" s="35" t="s">
        <v>495</v>
      </c>
      <c r="S1185" s="35" t="str">
        <f>MID(Tabla1[[#This Row],[Aplicación]],6,2)</f>
        <v>11</v>
      </c>
      <c r="T1185" s="35" t="str">
        <f>VLOOKUP(Tabla1[[#This Row],[AREA]],Hoja1!A:B,2,FALSE)</f>
        <v>11. Salud pública y seguridad ciudadana</v>
      </c>
      <c r="U1185" s="35" t="str">
        <f>MID(Tabla1[[#This Row],[Aplicación]],9,4)</f>
        <v>3111</v>
      </c>
      <c r="V1185" s="35" t="str">
        <f>VLOOKUP(Tabla1[[#This Row],[PROGRAMA]],Hoja1!A:B,2,FALSE)</f>
        <v>3111. Protección de la salubridad pública</v>
      </c>
      <c r="W1185" s="35" t="str">
        <f>MID(Tabla1[[#This Row],[Aplicación]],14,2)</f>
        <v>22</v>
      </c>
      <c r="X1185" s="35" t="str">
        <f>MID(Tabla1[[#This Row],[Aplicación]],14,6)</f>
        <v>22106</v>
      </c>
    </row>
    <row r="1186" spans="1:24" x14ac:dyDescent="0.25">
      <c r="A1186" s="45">
        <v>220209000783</v>
      </c>
      <c r="B1186" s="46" t="s">
        <v>9</v>
      </c>
      <c r="C1186" s="47">
        <v>44198</v>
      </c>
      <c r="D1186" s="45">
        <v>22021002466</v>
      </c>
      <c r="E1186" s="46" t="s">
        <v>881</v>
      </c>
      <c r="F1186" s="48">
        <v>10785.09</v>
      </c>
      <c r="G1186" s="46" t="s">
        <v>2344</v>
      </c>
      <c r="H1186" s="46" t="s">
        <v>2345</v>
      </c>
      <c r="I1186" s="45" t="s">
        <v>125</v>
      </c>
      <c r="J1186" s="46" t="s">
        <v>157</v>
      </c>
      <c r="K1186" s="46" t="s">
        <v>157</v>
      </c>
      <c r="L1186" s="46" t="s">
        <v>12</v>
      </c>
      <c r="M1186" s="46" t="s">
        <v>13</v>
      </c>
      <c r="N1186" s="46" t="s">
        <v>14</v>
      </c>
      <c r="O1186" s="49" t="s">
        <v>803</v>
      </c>
      <c r="P1186" s="46" t="s">
        <v>507</v>
      </c>
      <c r="Q1186" s="35" t="str">
        <f>MID(Tabla1[[#This Row],[Aplicación]],14,1)</f>
        <v>2</v>
      </c>
      <c r="R1186" s="35" t="s">
        <v>495</v>
      </c>
      <c r="S1186" s="35" t="str">
        <f>MID(Tabla1[[#This Row],[Aplicación]],6,2)</f>
        <v>05</v>
      </c>
      <c r="T1186" s="35" t="str">
        <f>VLOOKUP(Tabla1[[#This Row],[AREA]],Hoja1!A:B,2,FALSE)</f>
        <v>05. Innovación, desarrollo económico, empleo y comercio</v>
      </c>
      <c r="U1186" s="35" t="str">
        <f>MID(Tabla1[[#This Row],[Aplicación]],9,4)</f>
        <v>4331</v>
      </c>
      <c r="V1186" s="35" t="str">
        <f>VLOOKUP(Tabla1[[#This Row],[PROGRAMA]],Hoja1!A:B,2,FALSE)</f>
        <v>4331. Desarrollo empresarial</v>
      </c>
      <c r="W1186" s="35" t="str">
        <f>MID(Tabla1[[#This Row],[Aplicación]],14,2)</f>
        <v>22</v>
      </c>
      <c r="X1186" s="35" t="str">
        <f>MID(Tabla1[[#This Row],[Aplicación]],14,6)</f>
        <v>22799</v>
      </c>
    </row>
    <row r="1187" spans="1:24" x14ac:dyDescent="0.25">
      <c r="A1187" s="45">
        <v>220209000533</v>
      </c>
      <c r="B1187" s="46" t="s">
        <v>9</v>
      </c>
      <c r="C1187" s="47">
        <v>44198</v>
      </c>
      <c r="D1187" s="45">
        <v>22021000568</v>
      </c>
      <c r="E1187" s="46" t="s">
        <v>2346</v>
      </c>
      <c r="F1187" s="48">
        <v>2700</v>
      </c>
      <c r="G1187" s="46" t="s">
        <v>39</v>
      </c>
      <c r="H1187" s="46" t="s">
        <v>2347</v>
      </c>
      <c r="I1187" s="45" t="s">
        <v>125</v>
      </c>
      <c r="J1187" s="46" t="s">
        <v>126</v>
      </c>
      <c r="K1187" s="46" t="s">
        <v>126</v>
      </c>
      <c r="L1187" s="46" t="s">
        <v>15</v>
      </c>
      <c r="M1187" s="46" t="s">
        <v>13</v>
      </c>
      <c r="N1187" s="46" t="s">
        <v>16</v>
      </c>
      <c r="O1187" s="49" t="s">
        <v>803</v>
      </c>
      <c r="P1187" s="46" t="s">
        <v>507</v>
      </c>
      <c r="Q1187" s="35" t="str">
        <f>MID(Tabla1[[#This Row],[Aplicación]],14,1)</f>
        <v>2</v>
      </c>
      <c r="R1187" s="35" t="s">
        <v>495</v>
      </c>
      <c r="S1187" s="35" t="str">
        <f>MID(Tabla1[[#This Row],[Aplicación]],6,2)</f>
        <v>11</v>
      </c>
      <c r="T1187" s="35" t="str">
        <f>VLOOKUP(Tabla1[[#This Row],[AREA]],Hoja1!A:B,2,FALSE)</f>
        <v>11. Salud pública y seguridad ciudadana</v>
      </c>
      <c r="U1187" s="35" t="str">
        <f>MID(Tabla1[[#This Row],[Aplicación]],9,4)</f>
        <v>3111</v>
      </c>
      <c r="V1187" s="35" t="str">
        <f>VLOOKUP(Tabla1[[#This Row],[PROGRAMA]],Hoja1!A:B,2,FALSE)</f>
        <v>3111. Protección de la salubridad pública</v>
      </c>
      <c r="W1187" s="35" t="str">
        <f>MID(Tabla1[[#This Row],[Aplicación]],14,2)</f>
        <v>22</v>
      </c>
      <c r="X1187" s="35" t="str">
        <f>MID(Tabla1[[#This Row],[Aplicación]],14,6)</f>
        <v>22103</v>
      </c>
    </row>
    <row r="1188" spans="1:24" x14ac:dyDescent="0.25">
      <c r="A1188" s="45">
        <v>220210002852</v>
      </c>
      <c r="B1188" s="46" t="s">
        <v>9</v>
      </c>
      <c r="C1188" s="47">
        <v>44238</v>
      </c>
      <c r="D1188" s="45">
        <v>22021002252</v>
      </c>
      <c r="E1188" s="46" t="s">
        <v>1400</v>
      </c>
      <c r="F1188" s="48">
        <v>431.97</v>
      </c>
      <c r="G1188" s="46" t="s">
        <v>261</v>
      </c>
      <c r="H1188" s="46" t="s">
        <v>2348</v>
      </c>
      <c r="I1188" s="45" t="s">
        <v>125</v>
      </c>
      <c r="J1188" s="46" t="s">
        <v>127</v>
      </c>
      <c r="K1188" s="46" t="s">
        <v>127</v>
      </c>
      <c r="L1188" s="46" t="s">
        <v>15</v>
      </c>
      <c r="M1188" s="46" t="s">
        <v>10</v>
      </c>
      <c r="N1188" s="46" t="s">
        <v>11</v>
      </c>
      <c r="O1188" s="49" t="s">
        <v>815</v>
      </c>
      <c r="P1188" s="46" t="s">
        <v>507</v>
      </c>
      <c r="Q1188" s="35" t="str">
        <f>MID(Tabla1[[#This Row],[Aplicación]],14,1)</f>
        <v>2</v>
      </c>
      <c r="R1188" s="35" t="s">
        <v>495</v>
      </c>
      <c r="S1188" s="35" t="str">
        <f>MID(Tabla1[[#This Row],[Aplicación]],6,2)</f>
        <v>10</v>
      </c>
      <c r="T1188" s="35" t="str">
        <f>VLOOKUP(Tabla1[[#This Row],[AREA]],Hoja1!A:B,2,FALSE)</f>
        <v>10. Servicios sociales y mediación comunitaria</v>
      </c>
      <c r="U1188" s="35" t="str">
        <f>MID(Tabla1[[#This Row],[Aplicación]],9,4)</f>
        <v>2311</v>
      </c>
      <c r="V1188" s="35" t="str">
        <f>VLOOKUP(Tabla1[[#This Row],[PROGRAMA]],Hoja1!A:B,2,FALSE)</f>
        <v>2311. Intervención social</v>
      </c>
      <c r="W1188" s="35" t="str">
        <f>MID(Tabla1[[#This Row],[Aplicación]],14,2)</f>
        <v>22</v>
      </c>
      <c r="X1188" s="35" t="str">
        <f>MID(Tabla1[[#This Row],[Aplicación]],14,6)</f>
        <v>22699</v>
      </c>
    </row>
    <row r="1189" spans="1:24" x14ac:dyDescent="0.25">
      <c r="A1189" s="45">
        <v>220210000505</v>
      </c>
      <c r="B1189" s="46" t="s">
        <v>9</v>
      </c>
      <c r="C1189" s="47">
        <v>44221</v>
      </c>
      <c r="D1189" s="45">
        <v>22021001678</v>
      </c>
      <c r="E1189" s="46" t="s">
        <v>823</v>
      </c>
      <c r="F1189" s="48">
        <v>440</v>
      </c>
      <c r="G1189" s="46" t="s">
        <v>2349</v>
      </c>
      <c r="H1189" s="46" t="s">
        <v>2350</v>
      </c>
      <c r="I1189" s="45" t="s">
        <v>125</v>
      </c>
      <c r="J1189" s="46" t="s">
        <v>2259</v>
      </c>
      <c r="K1189" s="46" t="s">
        <v>127</v>
      </c>
      <c r="L1189" s="46" t="s">
        <v>12</v>
      </c>
      <c r="M1189" s="46" t="s">
        <v>10</v>
      </c>
      <c r="N1189" s="46" t="s">
        <v>11</v>
      </c>
      <c r="O1189" s="49" t="s">
        <v>815</v>
      </c>
      <c r="P1189" s="46" t="s">
        <v>507</v>
      </c>
      <c r="Q1189" s="35" t="str">
        <f>MID(Tabla1[[#This Row],[Aplicación]],14,1)</f>
        <v>2</v>
      </c>
      <c r="R1189" s="35" t="s">
        <v>495</v>
      </c>
      <c r="S1189" s="35" t="str">
        <f>MID(Tabla1[[#This Row],[Aplicación]],6,2)</f>
        <v>03</v>
      </c>
      <c r="T1189" s="35" t="str">
        <f>VLOOKUP(Tabla1[[#This Row],[AREA]],Hoja1!A:B,2,FALSE)</f>
        <v>03. Participación ciudadana y deportes</v>
      </c>
      <c r="U1189" s="35" t="str">
        <f>MID(Tabla1[[#This Row],[Aplicación]],9,4)</f>
        <v>9241</v>
      </c>
      <c r="V1189" s="35" t="str">
        <f>VLOOKUP(Tabla1[[#This Row],[PROGRAMA]],Hoja1!A:B,2,FALSE)</f>
        <v>9241. Participación ciudadana</v>
      </c>
      <c r="W1189" s="35" t="str">
        <f>MID(Tabla1[[#This Row],[Aplicación]],14,2)</f>
        <v>22</v>
      </c>
      <c r="X1189" s="35" t="str">
        <f>MID(Tabla1[[#This Row],[Aplicación]],14,6)</f>
        <v>22609</v>
      </c>
    </row>
    <row r="1190" spans="1:24" x14ac:dyDescent="0.25">
      <c r="A1190" s="45">
        <v>220210007178</v>
      </c>
      <c r="B1190" s="46" t="s">
        <v>9</v>
      </c>
      <c r="C1190" s="47">
        <v>44263</v>
      </c>
      <c r="D1190" s="45">
        <v>22021003247</v>
      </c>
      <c r="E1190" s="46" t="s">
        <v>823</v>
      </c>
      <c r="F1190" s="48">
        <v>440</v>
      </c>
      <c r="G1190" s="46" t="s">
        <v>71</v>
      </c>
      <c r="H1190" s="46" t="s">
        <v>2351</v>
      </c>
      <c r="I1190" s="45" t="s">
        <v>125</v>
      </c>
      <c r="J1190" s="46" t="s">
        <v>127</v>
      </c>
      <c r="K1190" s="46" t="s">
        <v>127</v>
      </c>
      <c r="L1190" s="46" t="s">
        <v>12</v>
      </c>
      <c r="M1190" s="46" t="s">
        <v>10</v>
      </c>
      <c r="N1190" s="46" t="s">
        <v>11</v>
      </c>
      <c r="O1190" s="49" t="s">
        <v>815</v>
      </c>
      <c r="P1190" s="46" t="s">
        <v>507</v>
      </c>
      <c r="Q1190" s="35" t="str">
        <f>MID(Tabla1[[#This Row],[Aplicación]],14,1)</f>
        <v>2</v>
      </c>
      <c r="R1190" s="35" t="s">
        <v>495</v>
      </c>
      <c r="S1190" s="35" t="str">
        <f>MID(Tabla1[[#This Row],[Aplicación]],6,2)</f>
        <v>03</v>
      </c>
      <c r="T1190" s="35" t="str">
        <f>VLOOKUP(Tabla1[[#This Row],[AREA]],Hoja1!A:B,2,FALSE)</f>
        <v>03. Participación ciudadana y deportes</v>
      </c>
      <c r="U1190" s="35" t="str">
        <f>MID(Tabla1[[#This Row],[Aplicación]],9,4)</f>
        <v>9241</v>
      </c>
      <c r="V1190" s="35" t="str">
        <f>VLOOKUP(Tabla1[[#This Row],[PROGRAMA]],Hoja1!A:B,2,FALSE)</f>
        <v>9241. Participación ciudadana</v>
      </c>
      <c r="W1190" s="35" t="str">
        <f>MID(Tabla1[[#This Row],[Aplicación]],14,2)</f>
        <v>22</v>
      </c>
      <c r="X1190" s="35" t="str">
        <f>MID(Tabla1[[#This Row],[Aplicación]],14,6)</f>
        <v>22609</v>
      </c>
    </row>
    <row r="1191" spans="1:24" x14ac:dyDescent="0.25">
      <c r="A1191" s="45">
        <v>220210006013</v>
      </c>
      <c r="B1191" s="46" t="s">
        <v>9</v>
      </c>
      <c r="C1191" s="47">
        <v>44251</v>
      </c>
      <c r="D1191" s="45">
        <v>22021002968</v>
      </c>
      <c r="E1191" s="46" t="s">
        <v>823</v>
      </c>
      <c r="F1191" s="48">
        <v>440</v>
      </c>
      <c r="G1191" s="46" t="s">
        <v>2352</v>
      </c>
      <c r="H1191" s="46" t="s">
        <v>2353</v>
      </c>
      <c r="I1191" s="45" t="s">
        <v>125</v>
      </c>
      <c r="J1191" s="46" t="s">
        <v>2354</v>
      </c>
      <c r="K1191" s="46" t="s">
        <v>127</v>
      </c>
      <c r="L1191" s="46" t="s">
        <v>12</v>
      </c>
      <c r="M1191" s="46" t="s">
        <v>10</v>
      </c>
      <c r="N1191" s="46" t="s">
        <v>11</v>
      </c>
      <c r="O1191" s="49" t="s">
        <v>815</v>
      </c>
      <c r="P1191" s="46" t="s">
        <v>507</v>
      </c>
      <c r="Q1191" s="35" t="str">
        <f>MID(Tabla1[[#This Row],[Aplicación]],14,1)</f>
        <v>2</v>
      </c>
      <c r="R1191" s="35" t="s">
        <v>495</v>
      </c>
      <c r="S1191" s="35" t="str">
        <f>MID(Tabla1[[#This Row],[Aplicación]],6,2)</f>
        <v>03</v>
      </c>
      <c r="T1191" s="35" t="str">
        <f>VLOOKUP(Tabla1[[#This Row],[AREA]],Hoja1!A:B,2,FALSE)</f>
        <v>03. Participación ciudadana y deportes</v>
      </c>
      <c r="U1191" s="35" t="str">
        <f>MID(Tabla1[[#This Row],[Aplicación]],9,4)</f>
        <v>9241</v>
      </c>
      <c r="V1191" s="35" t="str">
        <f>VLOOKUP(Tabla1[[#This Row],[PROGRAMA]],Hoja1!A:B,2,FALSE)</f>
        <v>9241. Participación ciudadana</v>
      </c>
      <c r="W1191" s="35" t="str">
        <f>MID(Tabla1[[#This Row],[Aplicación]],14,2)</f>
        <v>22</v>
      </c>
      <c r="X1191" s="35" t="str">
        <f>MID(Tabla1[[#This Row],[Aplicación]],14,6)</f>
        <v>22609</v>
      </c>
    </row>
    <row r="1192" spans="1:24" x14ac:dyDescent="0.25">
      <c r="A1192" s="45">
        <v>220210005267</v>
      </c>
      <c r="B1192" s="46" t="s">
        <v>9</v>
      </c>
      <c r="C1192" s="47">
        <v>44249</v>
      </c>
      <c r="D1192" s="45">
        <v>22021002919</v>
      </c>
      <c r="E1192" s="46" t="s">
        <v>1163</v>
      </c>
      <c r="F1192" s="48">
        <v>458.1</v>
      </c>
      <c r="G1192" s="46" t="s">
        <v>543</v>
      </c>
      <c r="H1192" s="46" t="s">
        <v>2355</v>
      </c>
      <c r="I1192" s="45" t="s">
        <v>125</v>
      </c>
      <c r="J1192" s="46" t="s">
        <v>126</v>
      </c>
      <c r="K1192" s="46" t="s">
        <v>126</v>
      </c>
      <c r="L1192" s="46" t="s">
        <v>15</v>
      </c>
      <c r="M1192" s="46" t="s">
        <v>10</v>
      </c>
      <c r="N1192" s="46" t="s">
        <v>11</v>
      </c>
      <c r="O1192" s="49" t="s">
        <v>815</v>
      </c>
      <c r="P1192" s="46" t="s">
        <v>507</v>
      </c>
      <c r="Q1192" s="35" t="str">
        <f>MID(Tabla1[[#This Row],[Aplicación]],14,1)</f>
        <v>2</v>
      </c>
      <c r="R1192" s="35" t="s">
        <v>495</v>
      </c>
      <c r="S1192" s="35" t="str">
        <f>MID(Tabla1[[#This Row],[Aplicación]],6,2)</f>
        <v>06</v>
      </c>
      <c r="T1192" s="35" t="str">
        <f>VLOOKUP(Tabla1[[#This Row],[AREA]],Hoja1!A:B,2,FALSE)</f>
        <v>06. Educación, infancia, juventud e igualdad</v>
      </c>
      <c r="U1192" s="35" t="str">
        <f>MID(Tabla1[[#This Row],[Aplicación]],9,4)</f>
        <v>3321</v>
      </c>
      <c r="V1192" s="35" t="str">
        <f>VLOOKUP(Tabla1[[#This Row],[PROGRAMA]],Hoja1!A:B,2,FALSE)</f>
        <v>3321. Bibliotecas públicas</v>
      </c>
      <c r="W1192" s="35" t="str">
        <f>MID(Tabla1[[#This Row],[Aplicación]],14,2)</f>
        <v>22</v>
      </c>
      <c r="X1192" s="35" t="str">
        <f>MID(Tabla1[[#This Row],[Aplicación]],14,6)</f>
        <v>22001</v>
      </c>
    </row>
    <row r="1193" spans="1:24" x14ac:dyDescent="0.25">
      <c r="A1193" s="45">
        <v>220209000271</v>
      </c>
      <c r="B1193" s="46" t="s">
        <v>9</v>
      </c>
      <c r="C1193" s="47">
        <v>44198</v>
      </c>
      <c r="D1193" s="45">
        <v>22021000253</v>
      </c>
      <c r="E1193" s="46" t="s">
        <v>881</v>
      </c>
      <c r="F1193" s="48">
        <v>471.9</v>
      </c>
      <c r="G1193" s="46" t="s">
        <v>2356</v>
      </c>
      <c r="H1193" s="46" t="s">
        <v>2357</v>
      </c>
      <c r="I1193" s="45" t="s">
        <v>125</v>
      </c>
      <c r="J1193" s="46" t="s">
        <v>127</v>
      </c>
      <c r="K1193" s="46" t="s">
        <v>127</v>
      </c>
      <c r="L1193" s="46" t="s">
        <v>12</v>
      </c>
      <c r="M1193" s="46" t="s">
        <v>13</v>
      </c>
      <c r="N1193" s="46" t="s">
        <v>14</v>
      </c>
      <c r="O1193" s="49" t="s">
        <v>803</v>
      </c>
      <c r="P1193" s="46" t="s">
        <v>507</v>
      </c>
      <c r="Q1193" s="35" t="str">
        <f>MID(Tabla1[[#This Row],[Aplicación]],14,1)</f>
        <v>2</v>
      </c>
      <c r="R1193" s="35" t="s">
        <v>495</v>
      </c>
      <c r="S1193" s="35" t="str">
        <f>MID(Tabla1[[#This Row],[Aplicación]],6,2)</f>
        <v>05</v>
      </c>
      <c r="T1193" s="35" t="str">
        <f>VLOOKUP(Tabla1[[#This Row],[AREA]],Hoja1!A:B,2,FALSE)</f>
        <v>05. Innovación, desarrollo económico, empleo y comercio</v>
      </c>
      <c r="U1193" s="35" t="str">
        <f>MID(Tabla1[[#This Row],[Aplicación]],9,4)</f>
        <v>4331</v>
      </c>
      <c r="V1193" s="35" t="str">
        <f>VLOOKUP(Tabla1[[#This Row],[PROGRAMA]],Hoja1!A:B,2,FALSE)</f>
        <v>4331. Desarrollo empresarial</v>
      </c>
      <c r="W1193" s="35" t="str">
        <f>MID(Tabla1[[#This Row],[Aplicación]],14,2)</f>
        <v>22</v>
      </c>
      <c r="X1193" s="35" t="str">
        <f>MID(Tabla1[[#This Row],[Aplicación]],14,6)</f>
        <v>22799</v>
      </c>
    </row>
    <row r="1194" spans="1:24" x14ac:dyDescent="0.25">
      <c r="A1194" s="45">
        <v>220210000207</v>
      </c>
      <c r="B1194" s="46" t="s">
        <v>9</v>
      </c>
      <c r="C1194" s="47">
        <v>44216</v>
      </c>
      <c r="D1194" s="45">
        <v>22021000952</v>
      </c>
      <c r="E1194" s="46" t="s">
        <v>1267</v>
      </c>
      <c r="F1194" s="48">
        <v>1512.5</v>
      </c>
      <c r="G1194" s="46" t="s">
        <v>2358</v>
      </c>
      <c r="H1194" s="46" t="s">
        <v>2359</v>
      </c>
      <c r="I1194" s="45" t="s">
        <v>125</v>
      </c>
      <c r="J1194" s="46" t="s">
        <v>127</v>
      </c>
      <c r="K1194" s="46" t="s">
        <v>127</v>
      </c>
      <c r="L1194" s="46" t="s">
        <v>12</v>
      </c>
      <c r="M1194" s="46" t="s">
        <v>13</v>
      </c>
      <c r="N1194" s="46" t="s">
        <v>14</v>
      </c>
      <c r="O1194" s="49" t="s">
        <v>814</v>
      </c>
      <c r="P1194" s="46" t="s">
        <v>507</v>
      </c>
      <c r="Q1194" s="35" t="str">
        <f>MID(Tabla1[[#This Row],[Aplicación]],14,1)</f>
        <v>2</v>
      </c>
      <c r="R1194" s="35" t="s">
        <v>495</v>
      </c>
      <c r="S1194" s="35" t="str">
        <f>MID(Tabla1[[#This Row],[Aplicación]],6,2)</f>
        <v>03</v>
      </c>
      <c r="T1194" s="35" t="str">
        <f>VLOOKUP(Tabla1[[#This Row],[AREA]],Hoja1!A:B,2,FALSE)</f>
        <v>03. Participación ciudadana y deportes</v>
      </c>
      <c r="U1194" s="35" t="str">
        <f>MID(Tabla1[[#This Row],[Aplicación]],9,4)</f>
        <v>9241</v>
      </c>
      <c r="V1194" s="35" t="str">
        <f>VLOOKUP(Tabla1[[#This Row],[PROGRAMA]],Hoja1!A:B,2,FALSE)</f>
        <v>9241. Participación ciudadana</v>
      </c>
      <c r="W1194" s="35" t="str">
        <f>MID(Tabla1[[#This Row],[Aplicación]],14,2)</f>
        <v>22</v>
      </c>
      <c r="X1194" s="35" t="str">
        <f>MID(Tabla1[[#This Row],[Aplicación]],14,6)</f>
        <v>22602</v>
      </c>
    </row>
    <row r="1195" spans="1:24" x14ac:dyDescent="0.25">
      <c r="A1195" s="45">
        <v>220210002696</v>
      </c>
      <c r="B1195" s="46" t="s">
        <v>9</v>
      </c>
      <c r="C1195" s="47">
        <v>44237</v>
      </c>
      <c r="D1195" s="45">
        <v>22021002186</v>
      </c>
      <c r="E1195" s="46" t="s">
        <v>881</v>
      </c>
      <c r="F1195" s="48">
        <v>471.9</v>
      </c>
      <c r="G1195" s="46" t="s">
        <v>2356</v>
      </c>
      <c r="H1195" s="46" t="s">
        <v>2360</v>
      </c>
      <c r="I1195" s="45" t="s">
        <v>125</v>
      </c>
      <c r="J1195" s="46" t="s">
        <v>127</v>
      </c>
      <c r="K1195" s="46" t="s">
        <v>127</v>
      </c>
      <c r="L1195" s="46" t="s">
        <v>12</v>
      </c>
      <c r="M1195" s="46" t="s">
        <v>13</v>
      </c>
      <c r="N1195" s="46" t="s">
        <v>16</v>
      </c>
      <c r="O1195" s="49" t="s">
        <v>803</v>
      </c>
      <c r="P1195" s="46" t="s">
        <v>507</v>
      </c>
      <c r="Q1195" s="35" t="str">
        <f>MID(Tabla1[[#This Row],[Aplicación]],14,1)</f>
        <v>2</v>
      </c>
      <c r="R1195" s="35" t="s">
        <v>495</v>
      </c>
      <c r="S1195" s="35" t="str">
        <f>MID(Tabla1[[#This Row],[Aplicación]],6,2)</f>
        <v>05</v>
      </c>
      <c r="T1195" s="35" t="str">
        <f>VLOOKUP(Tabla1[[#This Row],[AREA]],Hoja1!A:B,2,FALSE)</f>
        <v>05. Innovación, desarrollo económico, empleo y comercio</v>
      </c>
      <c r="U1195" s="35" t="str">
        <f>MID(Tabla1[[#This Row],[Aplicación]],9,4)</f>
        <v>4331</v>
      </c>
      <c r="V1195" s="35" t="str">
        <f>VLOOKUP(Tabla1[[#This Row],[PROGRAMA]],Hoja1!A:B,2,FALSE)</f>
        <v>4331. Desarrollo empresarial</v>
      </c>
      <c r="W1195" s="35" t="str">
        <f>MID(Tabla1[[#This Row],[Aplicación]],14,2)</f>
        <v>22</v>
      </c>
      <c r="X1195" s="35" t="str">
        <f>MID(Tabla1[[#This Row],[Aplicación]],14,6)</f>
        <v>22799</v>
      </c>
    </row>
    <row r="1196" spans="1:24" x14ac:dyDescent="0.25">
      <c r="A1196" s="45">
        <v>220210002697</v>
      </c>
      <c r="B1196" s="46" t="s">
        <v>9</v>
      </c>
      <c r="C1196" s="47">
        <v>44237</v>
      </c>
      <c r="D1196" s="45">
        <v>22021002187</v>
      </c>
      <c r="E1196" s="46" t="s">
        <v>881</v>
      </c>
      <c r="F1196" s="48">
        <v>471.9</v>
      </c>
      <c r="G1196" s="46" t="s">
        <v>2356</v>
      </c>
      <c r="H1196" s="46" t="s">
        <v>2361</v>
      </c>
      <c r="I1196" s="45" t="s">
        <v>125</v>
      </c>
      <c r="J1196" s="46" t="s">
        <v>127</v>
      </c>
      <c r="K1196" s="46" t="s">
        <v>127</v>
      </c>
      <c r="L1196" s="46" t="s">
        <v>12</v>
      </c>
      <c r="M1196" s="46" t="s">
        <v>13</v>
      </c>
      <c r="N1196" s="46" t="s">
        <v>16</v>
      </c>
      <c r="O1196" s="49" t="s">
        <v>803</v>
      </c>
      <c r="P1196" s="46" t="s">
        <v>507</v>
      </c>
      <c r="Q1196" s="35" t="str">
        <f>MID(Tabla1[[#This Row],[Aplicación]],14,1)</f>
        <v>2</v>
      </c>
      <c r="R1196" s="35" t="s">
        <v>495</v>
      </c>
      <c r="S1196" s="35" t="str">
        <f>MID(Tabla1[[#This Row],[Aplicación]],6,2)</f>
        <v>05</v>
      </c>
      <c r="T1196" s="35" t="str">
        <f>VLOOKUP(Tabla1[[#This Row],[AREA]],Hoja1!A:B,2,FALSE)</f>
        <v>05. Innovación, desarrollo económico, empleo y comercio</v>
      </c>
      <c r="U1196" s="35" t="str">
        <f>MID(Tabla1[[#This Row],[Aplicación]],9,4)</f>
        <v>4331</v>
      </c>
      <c r="V1196" s="35" t="str">
        <f>VLOOKUP(Tabla1[[#This Row],[PROGRAMA]],Hoja1!A:B,2,FALSE)</f>
        <v>4331. Desarrollo empresarial</v>
      </c>
      <c r="W1196" s="35" t="str">
        <f>MID(Tabla1[[#This Row],[Aplicación]],14,2)</f>
        <v>22</v>
      </c>
      <c r="X1196" s="35" t="str">
        <f>MID(Tabla1[[#This Row],[Aplicación]],14,6)</f>
        <v>22799</v>
      </c>
    </row>
    <row r="1197" spans="1:24" x14ac:dyDescent="0.25">
      <c r="A1197" s="45">
        <v>220210002402</v>
      </c>
      <c r="B1197" s="46" t="s">
        <v>9</v>
      </c>
      <c r="C1197" s="47">
        <v>44235</v>
      </c>
      <c r="D1197" s="45">
        <v>22021002183</v>
      </c>
      <c r="E1197" s="46" t="s">
        <v>823</v>
      </c>
      <c r="F1197" s="48">
        <v>484</v>
      </c>
      <c r="G1197" s="46" t="s">
        <v>2362</v>
      </c>
      <c r="H1197" s="46" t="s">
        <v>2363</v>
      </c>
      <c r="I1197" s="45" t="s">
        <v>125</v>
      </c>
      <c r="J1197" s="46" t="s">
        <v>127</v>
      </c>
      <c r="K1197" s="46" t="s">
        <v>127</v>
      </c>
      <c r="L1197" s="46" t="s">
        <v>12</v>
      </c>
      <c r="M1197" s="46" t="s">
        <v>10</v>
      </c>
      <c r="N1197" s="46" t="s">
        <v>11</v>
      </c>
      <c r="O1197" s="49" t="s">
        <v>815</v>
      </c>
      <c r="P1197" s="46" t="s">
        <v>507</v>
      </c>
      <c r="Q1197" s="35" t="str">
        <f>MID(Tabla1[[#This Row],[Aplicación]],14,1)</f>
        <v>2</v>
      </c>
      <c r="R1197" s="35" t="s">
        <v>495</v>
      </c>
      <c r="S1197" s="35" t="str">
        <f>MID(Tabla1[[#This Row],[Aplicación]],6,2)</f>
        <v>03</v>
      </c>
      <c r="T1197" s="35" t="str">
        <f>VLOOKUP(Tabla1[[#This Row],[AREA]],Hoja1!A:B,2,FALSE)</f>
        <v>03. Participación ciudadana y deportes</v>
      </c>
      <c r="U1197" s="35" t="str">
        <f>MID(Tabla1[[#This Row],[Aplicación]],9,4)</f>
        <v>9241</v>
      </c>
      <c r="V1197" s="35" t="str">
        <f>VLOOKUP(Tabla1[[#This Row],[PROGRAMA]],Hoja1!A:B,2,FALSE)</f>
        <v>9241. Participación ciudadana</v>
      </c>
      <c r="W1197" s="35" t="str">
        <f>MID(Tabla1[[#This Row],[Aplicación]],14,2)</f>
        <v>22</v>
      </c>
      <c r="X1197" s="35" t="str">
        <f>MID(Tabla1[[#This Row],[Aplicación]],14,6)</f>
        <v>22609</v>
      </c>
    </row>
    <row r="1198" spans="1:24" x14ac:dyDescent="0.25">
      <c r="A1198" s="45">
        <v>220210001392</v>
      </c>
      <c r="B1198" s="46" t="s">
        <v>9</v>
      </c>
      <c r="C1198" s="47">
        <v>44228</v>
      </c>
      <c r="D1198" s="45">
        <v>22021002180</v>
      </c>
      <c r="E1198" s="46" t="s">
        <v>950</v>
      </c>
      <c r="F1198" s="48">
        <v>484</v>
      </c>
      <c r="G1198" s="46" t="s">
        <v>2364</v>
      </c>
      <c r="H1198" s="46" t="s">
        <v>2365</v>
      </c>
      <c r="I1198" s="45" t="s">
        <v>125</v>
      </c>
      <c r="J1198" s="46" t="s">
        <v>2366</v>
      </c>
      <c r="K1198" s="46" t="s">
        <v>157</v>
      </c>
      <c r="L1198" s="46" t="s">
        <v>12</v>
      </c>
      <c r="M1198" s="46" t="s">
        <v>10</v>
      </c>
      <c r="N1198" s="46" t="s">
        <v>11</v>
      </c>
      <c r="O1198" s="49" t="s">
        <v>815</v>
      </c>
      <c r="P1198" s="46" t="s">
        <v>507</v>
      </c>
      <c r="Q1198" s="35" t="str">
        <f>MID(Tabla1[[#This Row],[Aplicación]],14,1)</f>
        <v>2</v>
      </c>
      <c r="R1198" s="35" t="s">
        <v>495</v>
      </c>
      <c r="S1198" s="35" t="str">
        <f>MID(Tabla1[[#This Row],[Aplicación]],6,2)</f>
        <v>11</v>
      </c>
      <c r="T1198" s="35" t="str">
        <f>VLOOKUP(Tabla1[[#This Row],[AREA]],Hoja1!A:B,2,FALSE)</f>
        <v>11. Salud pública y seguridad ciudadana</v>
      </c>
      <c r="U1198" s="35" t="str">
        <f>MID(Tabla1[[#This Row],[Aplicación]],9,4)</f>
        <v>1321</v>
      </c>
      <c r="V1198" s="35" t="str">
        <f>VLOOKUP(Tabla1[[#This Row],[PROGRAMA]],Hoja1!A:B,2,FALSE)</f>
        <v>1321. Policía municipal</v>
      </c>
      <c r="W1198" s="35" t="str">
        <f>MID(Tabla1[[#This Row],[Aplicación]],14,2)</f>
        <v>21</v>
      </c>
      <c r="X1198" s="35" t="str">
        <f>MID(Tabla1[[#This Row],[Aplicación]],14,6)</f>
        <v>213</v>
      </c>
    </row>
    <row r="1199" spans="1:24" x14ac:dyDescent="0.25">
      <c r="A1199" s="45">
        <v>220210007184</v>
      </c>
      <c r="B1199" s="46" t="s">
        <v>9</v>
      </c>
      <c r="C1199" s="47">
        <v>44263</v>
      </c>
      <c r="D1199" s="45">
        <v>22021003299</v>
      </c>
      <c r="E1199" s="46" t="s">
        <v>1183</v>
      </c>
      <c r="F1199" s="48">
        <v>485.21</v>
      </c>
      <c r="G1199" s="46" t="s">
        <v>2367</v>
      </c>
      <c r="H1199" s="46" t="s">
        <v>2368</v>
      </c>
      <c r="I1199" s="45" t="s">
        <v>125</v>
      </c>
      <c r="J1199" s="46" t="s">
        <v>127</v>
      </c>
      <c r="K1199" s="46" t="s">
        <v>127</v>
      </c>
      <c r="L1199" s="46" t="s">
        <v>15</v>
      </c>
      <c r="M1199" s="46" t="s">
        <v>10</v>
      </c>
      <c r="N1199" s="46" t="s">
        <v>11</v>
      </c>
      <c r="O1199" s="49" t="s">
        <v>815</v>
      </c>
      <c r="P1199" s="46" t="s">
        <v>507</v>
      </c>
      <c r="Q1199" s="35" t="str">
        <f>MID(Tabla1[[#This Row],[Aplicación]],14,1)</f>
        <v>2</v>
      </c>
      <c r="R1199" s="35" t="s">
        <v>495</v>
      </c>
      <c r="S1199" s="35" t="str">
        <f>MID(Tabla1[[#This Row],[Aplicación]],6,2)</f>
        <v>11</v>
      </c>
      <c r="T1199" s="35" t="str">
        <f>VLOOKUP(Tabla1[[#This Row],[AREA]],Hoja1!A:B,2,FALSE)</f>
        <v>11. Salud pública y seguridad ciudadana</v>
      </c>
      <c r="U1199" s="35" t="str">
        <f>MID(Tabla1[[#This Row],[Aplicación]],9,4)</f>
        <v>1361</v>
      </c>
      <c r="V1199" s="35" t="str">
        <f>VLOOKUP(Tabla1[[#This Row],[PROGRAMA]],Hoja1!A:B,2,FALSE)</f>
        <v>1361. Prevención y extinción de incencios</v>
      </c>
      <c r="W1199" s="35" t="str">
        <f>MID(Tabla1[[#This Row],[Aplicación]],14,2)</f>
        <v>22</v>
      </c>
      <c r="X1199" s="35" t="str">
        <f>MID(Tabla1[[#This Row],[Aplicación]],14,6)</f>
        <v>22199</v>
      </c>
    </row>
    <row r="1200" spans="1:24" x14ac:dyDescent="0.25">
      <c r="A1200" s="45">
        <v>220210010643</v>
      </c>
      <c r="B1200" s="46" t="s">
        <v>9</v>
      </c>
      <c r="C1200" s="47">
        <v>44278</v>
      </c>
      <c r="D1200" s="45">
        <v>22021003532</v>
      </c>
      <c r="E1200" s="46" t="s">
        <v>1183</v>
      </c>
      <c r="F1200" s="48">
        <v>490.05</v>
      </c>
      <c r="G1200" s="46" t="s">
        <v>2367</v>
      </c>
      <c r="H1200" s="46" t="s">
        <v>2369</v>
      </c>
      <c r="I1200" s="45" t="s">
        <v>125</v>
      </c>
      <c r="J1200" s="46" t="s">
        <v>127</v>
      </c>
      <c r="K1200" s="46" t="s">
        <v>127</v>
      </c>
      <c r="L1200" s="46" t="s">
        <v>15</v>
      </c>
      <c r="M1200" s="46" t="s">
        <v>10</v>
      </c>
      <c r="N1200" s="46" t="s">
        <v>11</v>
      </c>
      <c r="O1200" s="49" t="s">
        <v>815</v>
      </c>
      <c r="P1200" s="46" t="s">
        <v>507</v>
      </c>
      <c r="Q1200" s="35" t="str">
        <f>MID(Tabla1[[#This Row],[Aplicación]],14,1)</f>
        <v>2</v>
      </c>
      <c r="R1200" s="35" t="s">
        <v>495</v>
      </c>
      <c r="S1200" s="35" t="str">
        <f>MID(Tabla1[[#This Row],[Aplicación]],6,2)</f>
        <v>11</v>
      </c>
      <c r="T1200" s="35" t="str">
        <f>VLOOKUP(Tabla1[[#This Row],[AREA]],Hoja1!A:B,2,FALSE)</f>
        <v>11. Salud pública y seguridad ciudadana</v>
      </c>
      <c r="U1200" s="35" t="str">
        <f>MID(Tabla1[[#This Row],[Aplicación]],9,4)</f>
        <v>1361</v>
      </c>
      <c r="V1200" s="35" t="str">
        <f>VLOOKUP(Tabla1[[#This Row],[PROGRAMA]],Hoja1!A:B,2,FALSE)</f>
        <v>1361. Prevención y extinción de incencios</v>
      </c>
      <c r="W1200" s="35" t="str">
        <f>MID(Tabla1[[#This Row],[Aplicación]],14,2)</f>
        <v>22</v>
      </c>
      <c r="X1200" s="35" t="str">
        <f>MID(Tabla1[[#This Row],[Aplicación]],14,6)</f>
        <v>22199</v>
      </c>
    </row>
    <row r="1201" spans="1:24" x14ac:dyDescent="0.25">
      <c r="A1201" s="45">
        <v>220210000206</v>
      </c>
      <c r="B1201" s="46" t="s">
        <v>9</v>
      </c>
      <c r="C1201" s="47">
        <v>44216</v>
      </c>
      <c r="D1201" s="45">
        <v>22021000951</v>
      </c>
      <c r="E1201" s="46" t="s">
        <v>1267</v>
      </c>
      <c r="F1201" s="48">
        <v>907.5</v>
      </c>
      <c r="G1201" s="46" t="s">
        <v>2370</v>
      </c>
      <c r="H1201" s="46" t="s">
        <v>1437</v>
      </c>
      <c r="I1201" s="45" t="s">
        <v>125</v>
      </c>
      <c r="J1201" s="46" t="s">
        <v>127</v>
      </c>
      <c r="K1201" s="46" t="s">
        <v>127</v>
      </c>
      <c r="L1201" s="46" t="s">
        <v>12</v>
      </c>
      <c r="M1201" s="46" t="s">
        <v>13</v>
      </c>
      <c r="N1201" s="46" t="s">
        <v>14</v>
      </c>
      <c r="O1201" s="49" t="s">
        <v>814</v>
      </c>
      <c r="P1201" s="46" t="s">
        <v>507</v>
      </c>
      <c r="Q1201" s="35" t="str">
        <f>MID(Tabla1[[#This Row],[Aplicación]],14,1)</f>
        <v>2</v>
      </c>
      <c r="R1201" s="35" t="s">
        <v>495</v>
      </c>
      <c r="S1201" s="35" t="str">
        <f>MID(Tabla1[[#This Row],[Aplicación]],6,2)</f>
        <v>03</v>
      </c>
      <c r="T1201" s="35" t="str">
        <f>VLOOKUP(Tabla1[[#This Row],[AREA]],Hoja1!A:B,2,FALSE)</f>
        <v>03. Participación ciudadana y deportes</v>
      </c>
      <c r="U1201" s="35" t="str">
        <f>MID(Tabla1[[#This Row],[Aplicación]],9,4)</f>
        <v>9241</v>
      </c>
      <c r="V1201" s="35" t="str">
        <f>VLOOKUP(Tabla1[[#This Row],[PROGRAMA]],Hoja1!A:B,2,FALSE)</f>
        <v>9241. Participación ciudadana</v>
      </c>
      <c r="W1201" s="35" t="str">
        <f>MID(Tabla1[[#This Row],[Aplicación]],14,2)</f>
        <v>22</v>
      </c>
      <c r="X1201" s="35" t="str">
        <f>MID(Tabla1[[#This Row],[Aplicación]],14,6)</f>
        <v>22602</v>
      </c>
    </row>
    <row r="1202" spans="1:24" x14ac:dyDescent="0.25">
      <c r="A1202" s="45">
        <v>220210006036</v>
      </c>
      <c r="B1202" s="46" t="s">
        <v>9</v>
      </c>
      <c r="C1202" s="47">
        <v>44251</v>
      </c>
      <c r="D1202" s="45">
        <v>22021002993</v>
      </c>
      <c r="E1202" s="46" t="s">
        <v>1180</v>
      </c>
      <c r="F1202" s="48">
        <v>496.1</v>
      </c>
      <c r="G1202" s="46" t="s">
        <v>2371</v>
      </c>
      <c r="H1202" s="46" t="s">
        <v>2372</v>
      </c>
      <c r="I1202" s="45" t="s">
        <v>125</v>
      </c>
      <c r="J1202" s="46" t="s">
        <v>219</v>
      </c>
      <c r="K1202" s="46" t="s">
        <v>219</v>
      </c>
      <c r="L1202" s="46" t="s">
        <v>15</v>
      </c>
      <c r="M1202" s="46" t="s">
        <v>10</v>
      </c>
      <c r="N1202" s="46" t="s">
        <v>11</v>
      </c>
      <c r="O1202" s="49" t="s">
        <v>815</v>
      </c>
      <c r="P1202" s="46" t="s">
        <v>507</v>
      </c>
      <c r="Q1202" s="35" t="str">
        <f>MID(Tabla1[[#This Row],[Aplicación]],14,1)</f>
        <v>2</v>
      </c>
      <c r="R1202" s="35" t="s">
        <v>495</v>
      </c>
      <c r="S1202" s="35" t="str">
        <f>MID(Tabla1[[#This Row],[Aplicación]],6,2)</f>
        <v>08</v>
      </c>
      <c r="T1202" s="35" t="str">
        <f>VLOOKUP(Tabla1[[#This Row],[AREA]],Hoja1!A:B,2,FALSE)</f>
        <v>08. Movilidad y espacio urbano</v>
      </c>
      <c r="U1202" s="35" t="str">
        <f>MID(Tabla1[[#This Row],[Aplicación]],9,4)</f>
        <v>1532</v>
      </c>
      <c r="V1202" s="35" t="str">
        <f>VLOOKUP(Tabla1[[#This Row],[PROGRAMA]],Hoja1!A:B,2,FALSE)</f>
        <v>1532. Pavimentación vias públicas y otros servicios urbanísticos</v>
      </c>
      <c r="W1202" s="35" t="str">
        <f>MID(Tabla1[[#This Row],[Aplicación]],14,2)</f>
        <v>21</v>
      </c>
      <c r="X1202" s="35" t="str">
        <f>MID(Tabla1[[#This Row],[Aplicación]],14,6)</f>
        <v>210</v>
      </c>
    </row>
    <row r="1203" spans="1:24" x14ac:dyDescent="0.25">
      <c r="A1203" s="45">
        <v>220210012893</v>
      </c>
      <c r="B1203" s="46" t="s">
        <v>9</v>
      </c>
      <c r="C1203" s="47">
        <v>44284</v>
      </c>
      <c r="D1203" s="45">
        <v>22021003686</v>
      </c>
      <c r="E1203" s="46" t="s">
        <v>1802</v>
      </c>
      <c r="F1203" s="48">
        <v>497.27</v>
      </c>
      <c r="G1203" s="46" t="s">
        <v>2373</v>
      </c>
      <c r="H1203" s="46" t="s">
        <v>2374</v>
      </c>
      <c r="I1203" s="45" t="s">
        <v>125</v>
      </c>
      <c r="J1203" s="46" t="s">
        <v>127</v>
      </c>
      <c r="K1203" s="46" t="s">
        <v>127</v>
      </c>
      <c r="L1203" s="46" t="s">
        <v>12</v>
      </c>
      <c r="M1203" s="46" t="s">
        <v>10</v>
      </c>
      <c r="N1203" s="46" t="s">
        <v>11</v>
      </c>
      <c r="O1203" s="49" t="s">
        <v>815</v>
      </c>
      <c r="P1203" s="46" t="s">
        <v>507</v>
      </c>
      <c r="Q1203" s="35" t="str">
        <f>MID(Tabla1[[#This Row],[Aplicación]],14,1)</f>
        <v>2</v>
      </c>
      <c r="R1203" s="35" t="s">
        <v>495</v>
      </c>
      <c r="S1203" s="35" t="str">
        <f>MID(Tabla1[[#This Row],[Aplicación]],6,2)</f>
        <v>06</v>
      </c>
      <c r="T1203" s="35" t="str">
        <f>VLOOKUP(Tabla1[[#This Row],[AREA]],Hoja1!A:B,2,FALSE)</f>
        <v>06. Educación, infancia, juventud e igualdad</v>
      </c>
      <c r="U1203" s="35" t="str">
        <f>MID(Tabla1[[#This Row],[Aplicación]],9,4)</f>
        <v>3232</v>
      </c>
      <c r="V1203" s="35" t="str">
        <f>VLOOKUP(Tabla1[[#This Row],[PROGRAMA]],Hoja1!A:B,2,FALSE)</f>
        <v>3232. Conservación y mantenimiento centros educación infantil y primaria</v>
      </c>
      <c r="W1203" s="35" t="str">
        <f>MID(Tabla1[[#This Row],[Aplicación]],14,2)</f>
        <v>22</v>
      </c>
      <c r="X1203" s="35" t="str">
        <f>MID(Tabla1[[#This Row],[Aplicación]],14,6)</f>
        <v>22799</v>
      </c>
    </row>
    <row r="1204" spans="1:24" x14ac:dyDescent="0.25">
      <c r="A1204" s="45">
        <v>220210001384</v>
      </c>
      <c r="B1204" s="46" t="s">
        <v>9</v>
      </c>
      <c r="C1204" s="47">
        <v>44228</v>
      </c>
      <c r="D1204" s="45">
        <v>22021002092</v>
      </c>
      <c r="E1204" s="46" t="s">
        <v>2375</v>
      </c>
      <c r="F1204" s="48">
        <v>500</v>
      </c>
      <c r="G1204" s="46" t="s">
        <v>80</v>
      </c>
      <c r="H1204" s="46" t="s">
        <v>2376</v>
      </c>
      <c r="I1204" s="45" t="s">
        <v>125</v>
      </c>
      <c r="J1204" s="46" t="s">
        <v>127</v>
      </c>
      <c r="K1204" s="46" t="s">
        <v>127</v>
      </c>
      <c r="L1204" s="46" t="s">
        <v>12</v>
      </c>
      <c r="M1204" s="46" t="s">
        <v>10</v>
      </c>
      <c r="N1204" s="46" t="s">
        <v>11</v>
      </c>
      <c r="O1204" s="49" t="s">
        <v>815</v>
      </c>
      <c r="P1204" s="46" t="s">
        <v>507</v>
      </c>
      <c r="Q1204" s="35" t="str">
        <f>MID(Tabla1[[#This Row],[Aplicación]],14,1)</f>
        <v>2</v>
      </c>
      <c r="R1204" s="35" t="s">
        <v>495</v>
      </c>
      <c r="S1204" s="35" t="str">
        <f>MID(Tabla1[[#This Row],[Aplicación]],6,2)</f>
        <v>07</v>
      </c>
      <c r="T1204" s="35" t="str">
        <f>VLOOKUP(Tabla1[[#This Row],[AREA]],Hoja1!A:B,2,FALSE)</f>
        <v>07. Medio ambiente y desarrollo sostenible</v>
      </c>
      <c r="U1204" s="35" t="str">
        <f>MID(Tabla1[[#This Row],[Aplicación]],9,4)</f>
        <v>1721</v>
      </c>
      <c r="V1204" s="35" t="str">
        <f>VLOOKUP(Tabla1[[#This Row],[PROGRAMA]],Hoja1!A:B,2,FALSE)</f>
        <v>1721. Protección del medio ambiente</v>
      </c>
      <c r="W1204" s="35" t="str">
        <f>MID(Tabla1[[#This Row],[Aplicación]],14,2)</f>
        <v>21</v>
      </c>
      <c r="X1204" s="35" t="str">
        <f>MID(Tabla1[[#This Row],[Aplicación]],14,6)</f>
        <v>214</v>
      </c>
    </row>
    <row r="1205" spans="1:24" x14ac:dyDescent="0.25">
      <c r="A1205" s="45">
        <v>220209000736</v>
      </c>
      <c r="B1205" s="46" t="s">
        <v>9</v>
      </c>
      <c r="C1205" s="47">
        <v>44198</v>
      </c>
      <c r="D1205" s="45">
        <v>22021000468</v>
      </c>
      <c r="E1205" s="46" t="s">
        <v>1452</v>
      </c>
      <c r="F1205" s="48">
        <v>28239.81</v>
      </c>
      <c r="G1205" s="46" t="s">
        <v>2377</v>
      </c>
      <c r="H1205" s="46" t="s">
        <v>2378</v>
      </c>
      <c r="I1205" s="45" t="s">
        <v>125</v>
      </c>
      <c r="J1205" s="46" t="s">
        <v>698</v>
      </c>
      <c r="K1205" s="46" t="s">
        <v>126</v>
      </c>
      <c r="L1205" s="46" t="s">
        <v>15</v>
      </c>
      <c r="M1205" s="46" t="s">
        <v>13</v>
      </c>
      <c r="N1205" s="46" t="s">
        <v>14</v>
      </c>
      <c r="O1205" s="49" t="s">
        <v>803</v>
      </c>
      <c r="P1205" s="46" t="s">
        <v>507</v>
      </c>
      <c r="Q1205" s="35" t="str">
        <f>MID(Tabla1[[#This Row],[Aplicación]],14,1)</f>
        <v>2</v>
      </c>
      <c r="R1205" s="35" t="s">
        <v>495</v>
      </c>
      <c r="S1205" s="35" t="str">
        <f>MID(Tabla1[[#This Row],[Aplicación]],6,2)</f>
        <v>08</v>
      </c>
      <c r="T1205" s="35" t="str">
        <f>VLOOKUP(Tabla1[[#This Row],[AREA]],Hoja1!A:B,2,FALSE)</f>
        <v>08. Movilidad y espacio urbano</v>
      </c>
      <c r="U1205" s="35" t="str">
        <f>MID(Tabla1[[#This Row],[Aplicación]],9,4)</f>
        <v>1651</v>
      </c>
      <c r="V1205" s="35" t="str">
        <f>VLOOKUP(Tabla1[[#This Row],[PROGRAMA]],Hoja1!A:B,2,FALSE)</f>
        <v>1651. Alumbrado público</v>
      </c>
      <c r="W1205" s="35" t="str">
        <f>MID(Tabla1[[#This Row],[Aplicación]],14,2)</f>
        <v>21</v>
      </c>
      <c r="X1205" s="35" t="str">
        <f>MID(Tabla1[[#This Row],[Aplicación]],14,6)</f>
        <v>213</v>
      </c>
    </row>
    <row r="1206" spans="1:24" x14ac:dyDescent="0.25">
      <c r="A1206" s="45">
        <v>220210007185</v>
      </c>
      <c r="B1206" s="46" t="s">
        <v>9</v>
      </c>
      <c r="C1206" s="47">
        <v>44263</v>
      </c>
      <c r="D1206" s="45">
        <v>22021003357</v>
      </c>
      <c r="E1206" s="46" t="s">
        <v>1574</v>
      </c>
      <c r="F1206" s="48">
        <v>500</v>
      </c>
      <c r="G1206" s="46" t="s">
        <v>87</v>
      </c>
      <c r="H1206" s="46" t="s">
        <v>2379</v>
      </c>
      <c r="I1206" s="45" t="s">
        <v>125</v>
      </c>
      <c r="J1206" s="46" t="s">
        <v>127</v>
      </c>
      <c r="K1206" s="46" t="s">
        <v>127</v>
      </c>
      <c r="L1206" s="46" t="s">
        <v>15</v>
      </c>
      <c r="M1206" s="46" t="s">
        <v>10</v>
      </c>
      <c r="N1206" s="46" t="s">
        <v>11</v>
      </c>
      <c r="O1206" s="49" t="s">
        <v>815</v>
      </c>
      <c r="P1206" s="46" t="s">
        <v>507</v>
      </c>
      <c r="Q1206" s="35" t="str">
        <f>MID(Tabla1[[#This Row],[Aplicación]],14,1)</f>
        <v>2</v>
      </c>
      <c r="R1206" s="35" t="s">
        <v>495</v>
      </c>
      <c r="S1206" s="35" t="str">
        <f>MID(Tabla1[[#This Row],[Aplicación]],6,2)</f>
        <v>06</v>
      </c>
      <c r="T1206" s="35" t="str">
        <f>VLOOKUP(Tabla1[[#This Row],[AREA]],Hoja1!A:B,2,FALSE)</f>
        <v>06. Educación, infancia, juventud e igualdad</v>
      </c>
      <c r="U1206" s="35" t="str">
        <f>MID(Tabla1[[#This Row],[Aplicación]],9,4)</f>
        <v>3231</v>
      </c>
      <c r="V1206" s="35" t="str">
        <f>VLOOKUP(Tabla1[[#This Row],[PROGRAMA]],Hoja1!A:B,2,FALSE)</f>
        <v>3231. Escuelas infantiles</v>
      </c>
      <c r="W1206" s="35" t="str">
        <f>MID(Tabla1[[#This Row],[Aplicación]],14,2)</f>
        <v>21</v>
      </c>
      <c r="X1206" s="35" t="str">
        <f>MID(Tabla1[[#This Row],[Aplicación]],14,6)</f>
        <v>212</v>
      </c>
    </row>
    <row r="1207" spans="1:24" x14ac:dyDescent="0.25">
      <c r="A1207" s="45">
        <v>220210002601</v>
      </c>
      <c r="B1207" s="46" t="s">
        <v>9</v>
      </c>
      <c r="C1207" s="47">
        <v>44236</v>
      </c>
      <c r="D1207" s="45">
        <v>22021002182</v>
      </c>
      <c r="E1207" s="46" t="s">
        <v>1873</v>
      </c>
      <c r="F1207" s="48">
        <v>500</v>
      </c>
      <c r="G1207" s="46" t="s">
        <v>88</v>
      </c>
      <c r="H1207" s="46" t="s">
        <v>2380</v>
      </c>
      <c r="I1207" s="45" t="s">
        <v>125</v>
      </c>
      <c r="J1207" s="46" t="s">
        <v>661</v>
      </c>
      <c r="K1207" s="46" t="s">
        <v>127</v>
      </c>
      <c r="L1207" s="46" t="s">
        <v>12</v>
      </c>
      <c r="M1207" s="46" t="s">
        <v>10</v>
      </c>
      <c r="N1207" s="46" t="s">
        <v>11</v>
      </c>
      <c r="O1207" s="49" t="s">
        <v>815</v>
      </c>
      <c r="P1207" s="46" t="s">
        <v>507</v>
      </c>
      <c r="Q1207" s="35" t="str">
        <f>MID(Tabla1[[#This Row],[Aplicación]],14,1)</f>
        <v>2</v>
      </c>
      <c r="R1207" s="35" t="s">
        <v>495</v>
      </c>
      <c r="S1207" s="35" t="str">
        <f>MID(Tabla1[[#This Row],[Aplicación]],6,2)</f>
        <v>11</v>
      </c>
      <c r="T1207" s="35" t="str">
        <f>VLOOKUP(Tabla1[[#This Row],[AREA]],Hoja1!A:B,2,FALSE)</f>
        <v>11. Salud pública y seguridad ciudadana</v>
      </c>
      <c r="U1207" s="35" t="str">
        <f>MID(Tabla1[[#This Row],[Aplicación]],9,4)</f>
        <v>3111</v>
      </c>
      <c r="V1207" s="35" t="str">
        <f>VLOOKUP(Tabla1[[#This Row],[PROGRAMA]],Hoja1!A:B,2,FALSE)</f>
        <v>3111. Protección de la salubridad pública</v>
      </c>
      <c r="W1207" s="35" t="str">
        <f>MID(Tabla1[[#This Row],[Aplicación]],14,2)</f>
        <v>21</v>
      </c>
      <c r="X1207" s="35" t="str">
        <f>MID(Tabla1[[#This Row],[Aplicación]],14,6)</f>
        <v>213</v>
      </c>
    </row>
    <row r="1208" spans="1:24" x14ac:dyDescent="0.25">
      <c r="A1208" s="45">
        <v>220210007103</v>
      </c>
      <c r="B1208" s="46" t="s">
        <v>9</v>
      </c>
      <c r="C1208" s="47">
        <v>44260</v>
      </c>
      <c r="D1208" s="45">
        <v>22021003110</v>
      </c>
      <c r="E1208" s="46" t="s">
        <v>1596</v>
      </c>
      <c r="F1208" s="48">
        <v>500</v>
      </c>
      <c r="G1208" s="46" t="s">
        <v>261</v>
      </c>
      <c r="H1208" s="46" t="s">
        <v>2381</v>
      </c>
      <c r="I1208" s="45" t="s">
        <v>125</v>
      </c>
      <c r="J1208" s="46" t="s">
        <v>127</v>
      </c>
      <c r="K1208" s="46" t="s">
        <v>127</v>
      </c>
      <c r="L1208" s="46" t="s">
        <v>15</v>
      </c>
      <c r="M1208" s="46" t="s">
        <v>10</v>
      </c>
      <c r="N1208" s="46" t="s">
        <v>11</v>
      </c>
      <c r="O1208" s="49" t="s">
        <v>815</v>
      </c>
      <c r="P1208" s="46" t="s">
        <v>507</v>
      </c>
      <c r="Q1208" s="35" t="str">
        <f>MID(Tabla1[[#This Row],[Aplicación]],14,1)</f>
        <v>2</v>
      </c>
      <c r="R1208" s="35" t="s">
        <v>495</v>
      </c>
      <c r="S1208" s="35" t="str">
        <f>MID(Tabla1[[#This Row],[Aplicación]],6,2)</f>
        <v>11</v>
      </c>
      <c r="T1208" s="35" t="str">
        <f>VLOOKUP(Tabla1[[#This Row],[AREA]],Hoja1!A:B,2,FALSE)</f>
        <v>11. Salud pública y seguridad ciudadana</v>
      </c>
      <c r="U1208" s="35" t="str">
        <f>MID(Tabla1[[#This Row],[Aplicación]],9,4)</f>
        <v>1321</v>
      </c>
      <c r="V1208" s="35" t="str">
        <f>VLOOKUP(Tabla1[[#This Row],[PROGRAMA]],Hoja1!A:B,2,FALSE)</f>
        <v>1321. Policía municipal</v>
      </c>
      <c r="W1208" s="35" t="str">
        <f>MID(Tabla1[[#This Row],[Aplicación]],14,2)</f>
        <v>22</v>
      </c>
      <c r="X1208" s="35" t="str">
        <f>MID(Tabla1[[#This Row],[Aplicación]],14,6)</f>
        <v>22699</v>
      </c>
    </row>
    <row r="1209" spans="1:24" x14ac:dyDescent="0.25">
      <c r="A1209" s="45">
        <v>220210000408</v>
      </c>
      <c r="B1209" s="46" t="s">
        <v>32</v>
      </c>
      <c r="C1209" s="47">
        <v>44217</v>
      </c>
      <c r="D1209" s="45">
        <v>22021001260</v>
      </c>
      <c r="E1209" s="46" t="s">
        <v>2382</v>
      </c>
      <c r="F1209" s="48">
        <v>513.99</v>
      </c>
      <c r="G1209" s="46" t="s">
        <v>202</v>
      </c>
      <c r="H1209" s="46" t="s">
        <v>2383</v>
      </c>
      <c r="I1209" s="45" t="s">
        <v>234</v>
      </c>
      <c r="J1209" s="46" t="s">
        <v>203</v>
      </c>
      <c r="K1209" s="46" t="s">
        <v>203</v>
      </c>
      <c r="L1209" s="46" t="s">
        <v>12</v>
      </c>
      <c r="M1209" s="46" t="s">
        <v>10</v>
      </c>
      <c r="N1209" s="46" t="s">
        <v>11</v>
      </c>
      <c r="O1209" s="49" t="s">
        <v>815</v>
      </c>
      <c r="P1209" s="46" t="s">
        <v>507</v>
      </c>
      <c r="Q1209" s="35" t="str">
        <f>MID(Tabla1[[#This Row],[Aplicación]],14,1)</f>
        <v>2</v>
      </c>
      <c r="R1209" s="35" t="s">
        <v>495</v>
      </c>
      <c r="S1209" s="35" t="str">
        <f>MID(Tabla1[[#This Row],[Aplicación]],6,2)</f>
        <v>04</v>
      </c>
      <c r="T1209" s="35" t="str">
        <f>VLOOKUP(Tabla1[[#This Row],[AREA]],Hoja1!A:B,2,FALSE)</f>
        <v>04. Planificación y recursos</v>
      </c>
      <c r="U1209" s="35" t="str">
        <f>MID(Tabla1[[#This Row],[Aplicación]],9,4)</f>
        <v>9341</v>
      </c>
      <c r="V1209" s="35" t="str">
        <f>VLOOKUP(Tabla1[[#This Row],[PROGRAMA]],Hoja1!A:B,2,FALSE)</f>
        <v>9341. Tesorería y recaudación</v>
      </c>
      <c r="W1209" s="35" t="str">
        <f>MID(Tabla1[[#This Row],[Aplicación]],14,2)</f>
        <v>22</v>
      </c>
      <c r="X1209" s="35" t="str">
        <f>MID(Tabla1[[#This Row],[Aplicación]],14,6)</f>
        <v>22699</v>
      </c>
    </row>
    <row r="1210" spans="1:24" x14ac:dyDescent="0.25">
      <c r="A1210" s="45">
        <v>220210000502</v>
      </c>
      <c r="B1210" s="46" t="s">
        <v>9</v>
      </c>
      <c r="C1210" s="47">
        <v>44221</v>
      </c>
      <c r="D1210" s="45">
        <v>22021001674</v>
      </c>
      <c r="E1210" s="46" t="s">
        <v>1478</v>
      </c>
      <c r="F1210" s="48">
        <v>532.4</v>
      </c>
      <c r="G1210" s="46" t="s">
        <v>286</v>
      </c>
      <c r="H1210" s="46" t="s">
        <v>2384</v>
      </c>
      <c r="I1210" s="45" t="s">
        <v>125</v>
      </c>
      <c r="J1210" s="46" t="s">
        <v>127</v>
      </c>
      <c r="K1210" s="46" t="s">
        <v>127</v>
      </c>
      <c r="L1210" s="46" t="s">
        <v>12</v>
      </c>
      <c r="M1210" s="46" t="s">
        <v>10</v>
      </c>
      <c r="N1210" s="46" t="s">
        <v>11</v>
      </c>
      <c r="O1210" s="49" t="s">
        <v>815</v>
      </c>
      <c r="P1210" s="46" t="s">
        <v>507</v>
      </c>
      <c r="Q1210" s="35" t="str">
        <f>MID(Tabla1[[#This Row],[Aplicación]],14,1)</f>
        <v>2</v>
      </c>
      <c r="R1210" s="35" t="s">
        <v>495</v>
      </c>
      <c r="S1210" s="35" t="str">
        <f>MID(Tabla1[[#This Row],[Aplicación]],6,2)</f>
        <v>03</v>
      </c>
      <c r="T1210" s="35" t="str">
        <f>VLOOKUP(Tabla1[[#This Row],[AREA]],Hoja1!A:B,2,FALSE)</f>
        <v>03. Participación ciudadana y deportes</v>
      </c>
      <c r="U1210" s="35" t="str">
        <f>MID(Tabla1[[#This Row],[Aplicación]],9,4)</f>
        <v>9241</v>
      </c>
      <c r="V1210" s="35" t="str">
        <f>VLOOKUP(Tabla1[[#This Row],[PROGRAMA]],Hoja1!A:B,2,FALSE)</f>
        <v>9241. Participación ciudadana</v>
      </c>
      <c r="W1210" s="35" t="str">
        <f>MID(Tabla1[[#This Row],[Aplicación]],14,2)</f>
        <v>21</v>
      </c>
      <c r="X1210" s="35" t="str">
        <f>MID(Tabla1[[#This Row],[Aplicación]],14,6)</f>
        <v>212</v>
      </c>
    </row>
    <row r="1211" spans="1:24" x14ac:dyDescent="0.25">
      <c r="A1211" s="45">
        <v>220210002456</v>
      </c>
      <c r="B1211" s="46" t="s">
        <v>32</v>
      </c>
      <c r="C1211" s="47">
        <v>44235</v>
      </c>
      <c r="D1211" s="45">
        <v>22021002226</v>
      </c>
      <c r="E1211" s="46" t="s">
        <v>2385</v>
      </c>
      <c r="F1211" s="48">
        <v>533.20000000000005</v>
      </c>
      <c r="G1211" s="46" t="s">
        <v>684</v>
      </c>
      <c r="H1211" s="46" t="s">
        <v>2386</v>
      </c>
      <c r="I1211" s="45" t="s">
        <v>234</v>
      </c>
      <c r="J1211" s="46" t="s">
        <v>126</v>
      </c>
      <c r="K1211" s="46" t="s">
        <v>126</v>
      </c>
      <c r="L1211" s="46" t="s">
        <v>12</v>
      </c>
      <c r="M1211" s="46" t="s">
        <v>13</v>
      </c>
      <c r="N1211" s="46" t="s">
        <v>14</v>
      </c>
      <c r="O1211" s="49" t="s">
        <v>803</v>
      </c>
      <c r="P1211" s="46" t="s">
        <v>507</v>
      </c>
      <c r="Q1211" s="35" t="str">
        <f>MID(Tabla1[[#This Row],[Aplicación]],14,1)</f>
        <v>2</v>
      </c>
      <c r="R1211" s="35" t="s">
        <v>495</v>
      </c>
      <c r="S1211" s="35" t="str">
        <f>MID(Tabla1[[#This Row],[Aplicación]],6,2)</f>
        <v>10</v>
      </c>
      <c r="T1211" s="35" t="str">
        <f>VLOOKUP(Tabla1[[#This Row],[AREA]],Hoja1!A:B,2,FALSE)</f>
        <v>10. Servicios sociales y mediación comunitaria</v>
      </c>
      <c r="U1211" s="35" t="str">
        <f>MID(Tabla1[[#This Row],[Aplicación]],9,4)</f>
        <v>2312</v>
      </c>
      <c r="V1211" s="35" t="str">
        <f>VLOOKUP(Tabla1[[#This Row],[PROGRAMA]],Hoja1!A:B,2,FALSE)</f>
        <v>2312. Iniciativas sociales</v>
      </c>
      <c r="W1211" s="35" t="str">
        <f>MID(Tabla1[[#This Row],[Aplicación]],14,2)</f>
        <v>21</v>
      </c>
      <c r="X1211" s="35" t="str">
        <f>MID(Tabla1[[#This Row],[Aplicación]],14,6)</f>
        <v>216</v>
      </c>
    </row>
    <row r="1212" spans="1:24" x14ac:dyDescent="0.25">
      <c r="A1212" s="45">
        <v>220210000197</v>
      </c>
      <c r="B1212" s="46" t="s">
        <v>9</v>
      </c>
      <c r="C1212" s="47">
        <v>44216</v>
      </c>
      <c r="D1212" s="45">
        <v>22021000673</v>
      </c>
      <c r="E1212" s="46" t="s">
        <v>2387</v>
      </c>
      <c r="F1212" s="48">
        <v>391.87</v>
      </c>
      <c r="G1212" s="46" t="s">
        <v>235</v>
      </c>
      <c r="H1212" s="46" t="s">
        <v>2388</v>
      </c>
      <c r="I1212" s="45" t="s">
        <v>125</v>
      </c>
      <c r="J1212" s="46" t="s">
        <v>742</v>
      </c>
      <c r="K1212" s="46" t="s">
        <v>165</v>
      </c>
      <c r="L1212" s="46" t="s">
        <v>15</v>
      </c>
      <c r="M1212" s="46" t="s">
        <v>13</v>
      </c>
      <c r="N1212" s="46" t="s">
        <v>11</v>
      </c>
      <c r="O1212" s="49" t="s">
        <v>814</v>
      </c>
      <c r="P1212" s="46" t="s">
        <v>507</v>
      </c>
      <c r="Q1212" s="35" t="str">
        <f>MID(Tabla1[[#This Row],[Aplicación]],14,1)</f>
        <v>2</v>
      </c>
      <c r="R1212" s="35" t="s">
        <v>495</v>
      </c>
      <c r="S1212" s="35" t="str">
        <f>MID(Tabla1[[#This Row],[Aplicación]],6,2)</f>
        <v>09</v>
      </c>
      <c r="T1212" s="35" t="str">
        <f>VLOOKUP(Tabla1[[#This Row],[AREA]],Hoja1!A:B,2,FALSE)</f>
        <v>09. Cultura y turismo</v>
      </c>
      <c r="U1212" s="35" t="str">
        <f>MID(Tabla1[[#This Row],[Aplicación]],9,4)</f>
        <v>3341</v>
      </c>
      <c r="V1212" s="35" t="str">
        <f>VLOOKUP(Tabla1[[#This Row],[PROGRAMA]],Hoja1!A:B,2,FALSE)</f>
        <v>3341. Coordinación de políticas culturales</v>
      </c>
      <c r="W1212" s="35" t="str">
        <f>MID(Tabla1[[#This Row],[Aplicación]],14,2)</f>
        <v>22</v>
      </c>
      <c r="X1212" s="35" t="str">
        <f>MID(Tabla1[[#This Row],[Aplicación]],14,6)</f>
        <v>22199</v>
      </c>
    </row>
    <row r="1213" spans="1:24" x14ac:dyDescent="0.25">
      <c r="A1213" s="45">
        <v>220210001394</v>
      </c>
      <c r="B1213" s="46" t="s">
        <v>9</v>
      </c>
      <c r="C1213" s="47">
        <v>44228</v>
      </c>
      <c r="D1213" s="45">
        <v>22021002120</v>
      </c>
      <c r="E1213" s="46" t="s">
        <v>969</v>
      </c>
      <c r="F1213" s="48">
        <v>14.7</v>
      </c>
      <c r="G1213" s="46" t="s">
        <v>235</v>
      </c>
      <c r="H1213" s="46" t="s">
        <v>2389</v>
      </c>
      <c r="I1213" s="45" t="s">
        <v>125</v>
      </c>
      <c r="J1213" s="46" t="s">
        <v>742</v>
      </c>
      <c r="K1213" s="46" t="s">
        <v>165</v>
      </c>
      <c r="L1213" s="46" t="s">
        <v>12</v>
      </c>
      <c r="M1213" s="46" t="s">
        <v>13</v>
      </c>
      <c r="N1213" s="46" t="s">
        <v>11</v>
      </c>
      <c r="O1213" s="49" t="s">
        <v>814</v>
      </c>
      <c r="P1213" s="46" t="s">
        <v>507</v>
      </c>
      <c r="Q1213" s="35" t="str">
        <f>MID(Tabla1[[#This Row],[Aplicación]],14,1)</f>
        <v>2</v>
      </c>
      <c r="R1213" s="35" t="s">
        <v>495</v>
      </c>
      <c r="S1213" s="35" t="str">
        <f>MID(Tabla1[[#This Row],[Aplicación]],6,2)</f>
        <v>06</v>
      </c>
      <c r="T1213" s="35" t="str">
        <f>VLOOKUP(Tabla1[[#This Row],[AREA]],Hoja1!A:B,2,FALSE)</f>
        <v>06. Educación, infancia, juventud e igualdad</v>
      </c>
      <c r="U1213" s="35" t="str">
        <f>MID(Tabla1[[#This Row],[Aplicación]],9,4)</f>
        <v>2315</v>
      </c>
      <c r="V1213" s="35" t="str">
        <f>VLOOKUP(Tabla1[[#This Row],[PROGRAMA]],Hoja1!A:B,2,FALSE)</f>
        <v>2315. Políticas de Igualdad e infancia</v>
      </c>
      <c r="W1213" s="35" t="str">
        <f>MID(Tabla1[[#This Row],[Aplicación]],14,2)</f>
        <v>21</v>
      </c>
      <c r="X1213" s="35" t="str">
        <f>MID(Tabla1[[#This Row],[Aplicación]],14,6)</f>
        <v>213</v>
      </c>
    </row>
    <row r="1214" spans="1:24" x14ac:dyDescent="0.25">
      <c r="A1214" s="45">
        <v>220210013202</v>
      </c>
      <c r="B1214" s="46" t="s">
        <v>32</v>
      </c>
      <c r="C1214" s="47">
        <v>44286</v>
      </c>
      <c r="D1214" s="45">
        <v>22021003688</v>
      </c>
      <c r="E1214" s="46" t="s">
        <v>2390</v>
      </c>
      <c r="F1214" s="48">
        <v>115.91</v>
      </c>
      <c r="G1214" s="46" t="s">
        <v>235</v>
      </c>
      <c r="H1214" s="46" t="s">
        <v>2391</v>
      </c>
      <c r="I1214" s="45" t="s">
        <v>234</v>
      </c>
      <c r="J1214" s="46" t="s">
        <v>742</v>
      </c>
      <c r="K1214" s="46" t="s">
        <v>165</v>
      </c>
      <c r="L1214" s="46" t="s">
        <v>15</v>
      </c>
      <c r="M1214" s="46" t="s">
        <v>13</v>
      </c>
      <c r="N1214" s="46" t="s">
        <v>11</v>
      </c>
      <c r="O1214" s="49" t="s">
        <v>814</v>
      </c>
      <c r="P1214" s="46" t="s">
        <v>507</v>
      </c>
      <c r="Q1214" s="35" t="str">
        <f>MID(Tabla1[[#This Row],[Aplicación]],14,1)</f>
        <v>2</v>
      </c>
      <c r="R1214" s="35" t="s">
        <v>495</v>
      </c>
      <c r="S1214" s="35" t="str">
        <f>MID(Tabla1[[#This Row],[Aplicación]],6,2)</f>
        <v>09</v>
      </c>
      <c r="T1214" s="35" t="str">
        <f>VLOOKUP(Tabla1[[#This Row],[AREA]],Hoja1!A:B,2,FALSE)</f>
        <v>09. Cultura y turismo</v>
      </c>
      <c r="U1214" s="35" t="str">
        <f>MID(Tabla1[[#This Row],[Aplicación]],9,4)</f>
        <v>4321</v>
      </c>
      <c r="V1214" s="35" t="str">
        <f>VLOOKUP(Tabla1[[#This Row],[PROGRAMA]],Hoja1!A:B,2,FALSE)</f>
        <v>4321. Turismo</v>
      </c>
      <c r="W1214" s="35" t="str">
        <f>MID(Tabla1[[#This Row],[Aplicación]],14,2)</f>
        <v>21</v>
      </c>
      <c r="X1214" s="35" t="str">
        <f>MID(Tabla1[[#This Row],[Aplicación]],14,6)</f>
        <v>213</v>
      </c>
    </row>
    <row r="1215" spans="1:24" x14ac:dyDescent="0.25">
      <c r="A1215" s="45">
        <v>220210002485</v>
      </c>
      <c r="B1215" s="46" t="s">
        <v>204</v>
      </c>
      <c r="C1215" s="47">
        <v>44235</v>
      </c>
      <c r="D1215" s="45">
        <v>22021002228</v>
      </c>
      <c r="E1215" s="46" t="s">
        <v>1471</v>
      </c>
      <c r="F1215" s="48">
        <v>869.24</v>
      </c>
      <c r="G1215" s="46" t="s">
        <v>235</v>
      </c>
      <c r="H1215" s="46" t="s">
        <v>2392</v>
      </c>
      <c r="I1215" s="45" t="s">
        <v>205</v>
      </c>
      <c r="J1215" s="46" t="s">
        <v>742</v>
      </c>
      <c r="K1215" s="46" t="s">
        <v>165</v>
      </c>
      <c r="L1215" s="46" t="s">
        <v>15</v>
      </c>
      <c r="M1215" s="46" t="s">
        <v>13</v>
      </c>
      <c r="N1215" s="46" t="s">
        <v>16</v>
      </c>
      <c r="O1215" s="49" t="s">
        <v>814</v>
      </c>
      <c r="P1215" s="46" t="s">
        <v>507</v>
      </c>
      <c r="Q1215" s="35" t="str">
        <f>MID(Tabla1[[#This Row],[Aplicación]],14,1)</f>
        <v>2</v>
      </c>
      <c r="R1215" s="35" t="s">
        <v>495</v>
      </c>
      <c r="S1215" s="35" t="str">
        <f>MID(Tabla1[[#This Row],[Aplicación]],6,2)</f>
        <v>06</v>
      </c>
      <c r="T1215" s="35" t="str">
        <f>VLOOKUP(Tabla1[[#This Row],[AREA]],Hoja1!A:B,2,FALSE)</f>
        <v>06. Educación, infancia, juventud e igualdad</v>
      </c>
      <c r="U1215" s="35" t="str">
        <f>MID(Tabla1[[#This Row],[Aplicación]],9,4)</f>
        <v>3232</v>
      </c>
      <c r="V1215" s="35" t="str">
        <f>VLOOKUP(Tabla1[[#This Row],[PROGRAMA]],Hoja1!A:B,2,FALSE)</f>
        <v>3232. Conservación y mantenimiento centros educación infantil y primaria</v>
      </c>
      <c r="W1215" s="35" t="str">
        <f>MID(Tabla1[[#This Row],[Aplicación]],14,2)</f>
        <v>21</v>
      </c>
      <c r="X1215" s="35" t="str">
        <f>MID(Tabla1[[#This Row],[Aplicación]],14,6)</f>
        <v>212</v>
      </c>
    </row>
    <row r="1216" spans="1:24" x14ac:dyDescent="0.25">
      <c r="A1216" s="45">
        <v>220210002489</v>
      </c>
      <c r="B1216" s="46" t="s">
        <v>204</v>
      </c>
      <c r="C1216" s="47">
        <v>44235</v>
      </c>
      <c r="D1216" s="45">
        <v>22021002228</v>
      </c>
      <c r="E1216" s="46" t="s">
        <v>1471</v>
      </c>
      <c r="F1216" s="48">
        <v>63</v>
      </c>
      <c r="G1216" s="46" t="s">
        <v>235</v>
      </c>
      <c r="H1216" s="46" t="s">
        <v>2393</v>
      </c>
      <c r="I1216" s="45" t="s">
        <v>205</v>
      </c>
      <c r="J1216" s="46" t="s">
        <v>742</v>
      </c>
      <c r="K1216" s="46" t="s">
        <v>165</v>
      </c>
      <c r="L1216" s="46" t="s">
        <v>15</v>
      </c>
      <c r="M1216" s="46" t="s">
        <v>13</v>
      </c>
      <c r="N1216" s="46" t="s">
        <v>14</v>
      </c>
      <c r="O1216" s="49" t="s">
        <v>814</v>
      </c>
      <c r="P1216" s="46" t="s">
        <v>507</v>
      </c>
      <c r="Q1216" s="35" t="str">
        <f>MID(Tabla1[[#This Row],[Aplicación]],14,1)</f>
        <v>2</v>
      </c>
      <c r="R1216" s="35" t="s">
        <v>495</v>
      </c>
      <c r="S1216" s="35" t="str">
        <f>MID(Tabla1[[#This Row],[Aplicación]],6,2)</f>
        <v>06</v>
      </c>
      <c r="T1216" s="35" t="str">
        <f>VLOOKUP(Tabla1[[#This Row],[AREA]],Hoja1!A:B,2,FALSE)</f>
        <v>06. Educación, infancia, juventud e igualdad</v>
      </c>
      <c r="U1216" s="35" t="str">
        <f>MID(Tabla1[[#This Row],[Aplicación]],9,4)</f>
        <v>3232</v>
      </c>
      <c r="V1216" s="35" t="str">
        <f>VLOOKUP(Tabla1[[#This Row],[PROGRAMA]],Hoja1!A:B,2,FALSE)</f>
        <v>3232. Conservación y mantenimiento centros educación infantil y primaria</v>
      </c>
      <c r="W1216" s="35" t="str">
        <f>MID(Tabla1[[#This Row],[Aplicación]],14,2)</f>
        <v>21</v>
      </c>
      <c r="X1216" s="35" t="str">
        <f>MID(Tabla1[[#This Row],[Aplicación]],14,6)</f>
        <v>212</v>
      </c>
    </row>
    <row r="1217" spans="1:24" x14ac:dyDescent="0.25">
      <c r="A1217" s="45">
        <v>220210002984</v>
      </c>
      <c r="B1217" s="46" t="s">
        <v>204</v>
      </c>
      <c r="C1217" s="47">
        <v>44238</v>
      </c>
      <c r="D1217" s="45">
        <v>22021002088</v>
      </c>
      <c r="E1217" s="46" t="s">
        <v>1478</v>
      </c>
      <c r="F1217" s="48">
        <v>742.31</v>
      </c>
      <c r="G1217" s="46" t="s">
        <v>235</v>
      </c>
      <c r="H1217" s="46" t="s">
        <v>2394</v>
      </c>
      <c r="I1217" s="45" t="s">
        <v>205</v>
      </c>
      <c r="J1217" s="46" t="s">
        <v>742</v>
      </c>
      <c r="K1217" s="46" t="s">
        <v>165</v>
      </c>
      <c r="L1217" s="46" t="s">
        <v>15</v>
      </c>
      <c r="M1217" s="46" t="s">
        <v>13</v>
      </c>
      <c r="N1217" s="46" t="s">
        <v>16</v>
      </c>
      <c r="O1217" s="49" t="s">
        <v>814</v>
      </c>
      <c r="P1217" s="46" t="s">
        <v>507</v>
      </c>
      <c r="Q1217" s="35" t="str">
        <f>MID(Tabla1[[#This Row],[Aplicación]],14,1)</f>
        <v>2</v>
      </c>
      <c r="R1217" s="35" t="s">
        <v>495</v>
      </c>
      <c r="S1217" s="35" t="str">
        <f>MID(Tabla1[[#This Row],[Aplicación]],6,2)</f>
        <v>03</v>
      </c>
      <c r="T1217" s="35" t="str">
        <f>VLOOKUP(Tabla1[[#This Row],[AREA]],Hoja1!A:B,2,FALSE)</f>
        <v>03. Participación ciudadana y deportes</v>
      </c>
      <c r="U1217" s="35" t="str">
        <f>MID(Tabla1[[#This Row],[Aplicación]],9,4)</f>
        <v>9241</v>
      </c>
      <c r="V1217" s="35" t="str">
        <f>VLOOKUP(Tabla1[[#This Row],[PROGRAMA]],Hoja1!A:B,2,FALSE)</f>
        <v>9241. Participación ciudadana</v>
      </c>
      <c r="W1217" s="35" t="str">
        <f>MID(Tabla1[[#This Row],[Aplicación]],14,2)</f>
        <v>21</v>
      </c>
      <c r="X1217" s="35" t="str">
        <f>MID(Tabla1[[#This Row],[Aplicación]],14,6)</f>
        <v>212</v>
      </c>
    </row>
    <row r="1218" spans="1:24" x14ac:dyDescent="0.25">
      <c r="A1218" s="45">
        <v>220210002991</v>
      </c>
      <c r="B1218" s="46" t="s">
        <v>204</v>
      </c>
      <c r="C1218" s="47">
        <v>44238</v>
      </c>
      <c r="D1218" s="45">
        <v>22021002088</v>
      </c>
      <c r="E1218" s="46" t="s">
        <v>1478</v>
      </c>
      <c r="F1218" s="48">
        <v>37.03</v>
      </c>
      <c r="G1218" s="46" t="s">
        <v>235</v>
      </c>
      <c r="H1218" s="46" t="s">
        <v>2395</v>
      </c>
      <c r="I1218" s="45" t="s">
        <v>205</v>
      </c>
      <c r="J1218" s="46" t="s">
        <v>742</v>
      </c>
      <c r="K1218" s="46" t="s">
        <v>165</v>
      </c>
      <c r="L1218" s="46" t="s">
        <v>15</v>
      </c>
      <c r="M1218" s="46" t="s">
        <v>13</v>
      </c>
      <c r="N1218" s="46" t="s">
        <v>16</v>
      </c>
      <c r="O1218" s="49" t="s">
        <v>814</v>
      </c>
      <c r="P1218" s="46" t="s">
        <v>507</v>
      </c>
      <c r="Q1218" s="35" t="str">
        <f>MID(Tabla1[[#This Row],[Aplicación]],14,1)</f>
        <v>2</v>
      </c>
      <c r="R1218" s="35" t="s">
        <v>495</v>
      </c>
      <c r="S1218" s="35" t="str">
        <f>MID(Tabla1[[#This Row],[Aplicación]],6,2)</f>
        <v>03</v>
      </c>
      <c r="T1218" s="35" t="str">
        <f>VLOOKUP(Tabla1[[#This Row],[AREA]],Hoja1!A:B,2,FALSE)</f>
        <v>03. Participación ciudadana y deportes</v>
      </c>
      <c r="U1218" s="35" t="str">
        <f>MID(Tabla1[[#This Row],[Aplicación]],9,4)</f>
        <v>9241</v>
      </c>
      <c r="V1218" s="35" t="str">
        <f>VLOOKUP(Tabla1[[#This Row],[PROGRAMA]],Hoja1!A:B,2,FALSE)</f>
        <v>9241. Participación ciudadana</v>
      </c>
      <c r="W1218" s="35" t="str">
        <f>MID(Tabla1[[#This Row],[Aplicación]],14,2)</f>
        <v>21</v>
      </c>
      <c r="X1218" s="35" t="str">
        <f>MID(Tabla1[[#This Row],[Aplicación]],14,6)</f>
        <v>212</v>
      </c>
    </row>
    <row r="1219" spans="1:24" x14ac:dyDescent="0.25">
      <c r="A1219" s="45">
        <v>220210003080</v>
      </c>
      <c r="B1219" s="46" t="s">
        <v>204</v>
      </c>
      <c r="C1219" s="47">
        <v>44238</v>
      </c>
      <c r="D1219" s="45">
        <v>22021002228</v>
      </c>
      <c r="E1219" s="46" t="s">
        <v>1471</v>
      </c>
      <c r="F1219" s="48">
        <v>963.74</v>
      </c>
      <c r="G1219" s="46" t="s">
        <v>235</v>
      </c>
      <c r="H1219" s="46" t="s">
        <v>2396</v>
      </c>
      <c r="I1219" s="45" t="s">
        <v>205</v>
      </c>
      <c r="J1219" s="46" t="s">
        <v>742</v>
      </c>
      <c r="K1219" s="46" t="s">
        <v>165</v>
      </c>
      <c r="L1219" s="46" t="s">
        <v>15</v>
      </c>
      <c r="M1219" s="46" t="s">
        <v>13</v>
      </c>
      <c r="N1219" s="46" t="s">
        <v>14</v>
      </c>
      <c r="O1219" s="49" t="s">
        <v>814</v>
      </c>
      <c r="P1219" s="46" t="s">
        <v>507</v>
      </c>
      <c r="Q1219" s="35" t="str">
        <f>MID(Tabla1[[#This Row],[Aplicación]],14,1)</f>
        <v>2</v>
      </c>
      <c r="R1219" s="35" t="s">
        <v>495</v>
      </c>
      <c r="S1219" s="35" t="str">
        <f>MID(Tabla1[[#This Row],[Aplicación]],6,2)</f>
        <v>06</v>
      </c>
      <c r="T1219" s="35" t="str">
        <f>VLOOKUP(Tabla1[[#This Row],[AREA]],Hoja1!A:B,2,FALSE)</f>
        <v>06. Educación, infancia, juventud e igualdad</v>
      </c>
      <c r="U1219" s="35" t="str">
        <f>MID(Tabla1[[#This Row],[Aplicación]],9,4)</f>
        <v>3232</v>
      </c>
      <c r="V1219" s="35" t="str">
        <f>VLOOKUP(Tabla1[[#This Row],[PROGRAMA]],Hoja1!A:B,2,FALSE)</f>
        <v>3232. Conservación y mantenimiento centros educación infantil y primaria</v>
      </c>
      <c r="W1219" s="35" t="str">
        <f>MID(Tabla1[[#This Row],[Aplicación]],14,2)</f>
        <v>21</v>
      </c>
      <c r="X1219" s="35" t="str">
        <f>MID(Tabla1[[#This Row],[Aplicación]],14,6)</f>
        <v>212</v>
      </c>
    </row>
    <row r="1220" spans="1:24" x14ac:dyDescent="0.25">
      <c r="A1220" s="45">
        <v>220210003190</v>
      </c>
      <c r="B1220" s="46" t="s">
        <v>204</v>
      </c>
      <c r="C1220" s="47">
        <v>44239</v>
      </c>
      <c r="D1220" s="45">
        <v>22021001039</v>
      </c>
      <c r="E1220" s="46" t="s">
        <v>844</v>
      </c>
      <c r="F1220" s="48">
        <v>190.61</v>
      </c>
      <c r="G1220" s="46" t="s">
        <v>235</v>
      </c>
      <c r="H1220" s="46" t="s">
        <v>2397</v>
      </c>
      <c r="I1220" s="45" t="s">
        <v>205</v>
      </c>
      <c r="J1220" s="46" t="s">
        <v>742</v>
      </c>
      <c r="K1220" s="46" t="s">
        <v>165</v>
      </c>
      <c r="L1220" s="46" t="s">
        <v>15</v>
      </c>
      <c r="M1220" s="46" t="s">
        <v>13</v>
      </c>
      <c r="N1220" s="46" t="s">
        <v>14</v>
      </c>
      <c r="O1220" s="49" t="s">
        <v>814</v>
      </c>
      <c r="P1220" s="46" t="s">
        <v>507</v>
      </c>
      <c r="Q1220" s="35" t="str">
        <f>MID(Tabla1[[#This Row],[Aplicación]],14,1)</f>
        <v>2</v>
      </c>
      <c r="R1220" s="35" t="s">
        <v>495</v>
      </c>
      <c r="S1220" s="35" t="str">
        <f>MID(Tabla1[[#This Row],[Aplicación]],6,2)</f>
        <v>10</v>
      </c>
      <c r="T1220" s="35" t="str">
        <f>VLOOKUP(Tabla1[[#This Row],[AREA]],Hoja1!A:B,2,FALSE)</f>
        <v>10. Servicios sociales y mediación comunitaria</v>
      </c>
      <c r="U1220" s="35" t="str">
        <f>MID(Tabla1[[#This Row],[Aplicación]],9,4)</f>
        <v>2312</v>
      </c>
      <c r="V1220" s="35" t="str">
        <f>VLOOKUP(Tabla1[[#This Row],[PROGRAMA]],Hoja1!A:B,2,FALSE)</f>
        <v>2312. Iniciativas sociales</v>
      </c>
      <c r="W1220" s="35" t="str">
        <f>MID(Tabla1[[#This Row],[Aplicación]],14,2)</f>
        <v>21</v>
      </c>
      <c r="X1220" s="35" t="str">
        <f>MID(Tabla1[[#This Row],[Aplicación]],14,6)</f>
        <v>212</v>
      </c>
    </row>
    <row r="1221" spans="1:24" x14ac:dyDescent="0.25">
      <c r="A1221" s="45">
        <v>220210003192</v>
      </c>
      <c r="B1221" s="46" t="s">
        <v>204</v>
      </c>
      <c r="C1221" s="47">
        <v>44239</v>
      </c>
      <c r="D1221" s="45">
        <v>22021001038</v>
      </c>
      <c r="E1221" s="46" t="s">
        <v>844</v>
      </c>
      <c r="F1221" s="48">
        <v>19.75</v>
      </c>
      <c r="G1221" s="46" t="s">
        <v>235</v>
      </c>
      <c r="H1221" s="46" t="s">
        <v>2398</v>
      </c>
      <c r="I1221" s="45" t="s">
        <v>205</v>
      </c>
      <c r="J1221" s="46" t="s">
        <v>742</v>
      </c>
      <c r="K1221" s="46" t="s">
        <v>165</v>
      </c>
      <c r="L1221" s="46" t="s">
        <v>15</v>
      </c>
      <c r="M1221" s="46" t="s">
        <v>13</v>
      </c>
      <c r="N1221" s="46" t="s">
        <v>14</v>
      </c>
      <c r="O1221" s="49" t="s">
        <v>814</v>
      </c>
      <c r="P1221" s="46" t="s">
        <v>507</v>
      </c>
      <c r="Q1221" s="35" t="str">
        <f>MID(Tabla1[[#This Row],[Aplicación]],14,1)</f>
        <v>2</v>
      </c>
      <c r="R1221" s="35" t="s">
        <v>495</v>
      </c>
      <c r="S1221" s="35" t="str">
        <f>MID(Tabla1[[#This Row],[Aplicación]],6,2)</f>
        <v>10</v>
      </c>
      <c r="T1221" s="35" t="str">
        <f>VLOOKUP(Tabla1[[#This Row],[AREA]],Hoja1!A:B,2,FALSE)</f>
        <v>10. Servicios sociales y mediación comunitaria</v>
      </c>
      <c r="U1221" s="35" t="str">
        <f>MID(Tabla1[[#This Row],[Aplicación]],9,4)</f>
        <v>2312</v>
      </c>
      <c r="V1221" s="35" t="str">
        <f>VLOOKUP(Tabla1[[#This Row],[PROGRAMA]],Hoja1!A:B,2,FALSE)</f>
        <v>2312. Iniciativas sociales</v>
      </c>
      <c r="W1221" s="35" t="str">
        <f>MID(Tabla1[[#This Row],[Aplicación]],14,2)</f>
        <v>21</v>
      </c>
      <c r="X1221" s="35" t="str">
        <f>MID(Tabla1[[#This Row],[Aplicación]],14,6)</f>
        <v>212</v>
      </c>
    </row>
    <row r="1222" spans="1:24" x14ac:dyDescent="0.25">
      <c r="A1222" s="45">
        <v>220210003283</v>
      </c>
      <c r="B1222" s="46" t="s">
        <v>204</v>
      </c>
      <c r="C1222" s="47">
        <v>44239</v>
      </c>
      <c r="D1222" s="45">
        <v>22021002225</v>
      </c>
      <c r="E1222" s="46" t="s">
        <v>1574</v>
      </c>
      <c r="F1222" s="48">
        <v>277.91000000000003</v>
      </c>
      <c r="G1222" s="46" t="s">
        <v>235</v>
      </c>
      <c r="H1222" s="46" t="s">
        <v>2399</v>
      </c>
      <c r="I1222" s="45" t="s">
        <v>205</v>
      </c>
      <c r="J1222" s="46" t="s">
        <v>742</v>
      </c>
      <c r="K1222" s="46" t="s">
        <v>165</v>
      </c>
      <c r="L1222" s="46" t="s">
        <v>15</v>
      </c>
      <c r="M1222" s="46" t="s">
        <v>13</v>
      </c>
      <c r="N1222" s="46" t="s">
        <v>16</v>
      </c>
      <c r="O1222" s="49" t="s">
        <v>814</v>
      </c>
      <c r="P1222" s="46" t="s">
        <v>507</v>
      </c>
      <c r="Q1222" s="35" t="str">
        <f>MID(Tabla1[[#This Row],[Aplicación]],14,1)</f>
        <v>2</v>
      </c>
      <c r="R1222" s="35" t="s">
        <v>495</v>
      </c>
      <c r="S1222" s="35" t="str">
        <f>MID(Tabla1[[#This Row],[Aplicación]],6,2)</f>
        <v>06</v>
      </c>
      <c r="T1222" s="35" t="str">
        <f>VLOOKUP(Tabla1[[#This Row],[AREA]],Hoja1!A:B,2,FALSE)</f>
        <v>06. Educación, infancia, juventud e igualdad</v>
      </c>
      <c r="U1222" s="35" t="str">
        <f>MID(Tabla1[[#This Row],[Aplicación]],9,4)</f>
        <v>3231</v>
      </c>
      <c r="V1222" s="35" t="str">
        <f>VLOOKUP(Tabla1[[#This Row],[PROGRAMA]],Hoja1!A:B,2,FALSE)</f>
        <v>3231. Escuelas infantiles</v>
      </c>
      <c r="W1222" s="35" t="str">
        <f>MID(Tabla1[[#This Row],[Aplicación]],14,2)</f>
        <v>21</v>
      </c>
      <c r="X1222" s="35" t="str">
        <f>MID(Tabla1[[#This Row],[Aplicación]],14,6)</f>
        <v>212</v>
      </c>
    </row>
    <row r="1223" spans="1:24" x14ac:dyDescent="0.25">
      <c r="A1223" s="45">
        <v>220210005225</v>
      </c>
      <c r="B1223" s="46" t="s">
        <v>204</v>
      </c>
      <c r="C1223" s="47">
        <v>44249</v>
      </c>
      <c r="D1223" s="45">
        <v>22021002369</v>
      </c>
      <c r="E1223" s="46" t="s">
        <v>1336</v>
      </c>
      <c r="F1223" s="48">
        <v>220</v>
      </c>
      <c r="G1223" s="46" t="s">
        <v>235</v>
      </c>
      <c r="H1223" s="46" t="s">
        <v>2400</v>
      </c>
      <c r="I1223" s="45" t="s">
        <v>205</v>
      </c>
      <c r="J1223" s="46" t="s">
        <v>742</v>
      </c>
      <c r="K1223" s="46" t="s">
        <v>165</v>
      </c>
      <c r="L1223" s="46" t="s">
        <v>15</v>
      </c>
      <c r="M1223" s="46" t="s">
        <v>13</v>
      </c>
      <c r="N1223" s="46" t="s">
        <v>14</v>
      </c>
      <c r="O1223" s="49" t="s">
        <v>814</v>
      </c>
      <c r="P1223" s="46" t="s">
        <v>507</v>
      </c>
      <c r="Q1223" s="35" t="str">
        <f>MID(Tabla1[[#This Row],[Aplicación]],14,1)</f>
        <v>2</v>
      </c>
      <c r="R1223" s="35" t="s">
        <v>495</v>
      </c>
      <c r="S1223" s="35" t="str">
        <f>MID(Tabla1[[#This Row],[Aplicación]],6,2)</f>
        <v>02</v>
      </c>
      <c r="T1223" s="35" t="str">
        <f>VLOOKUP(Tabla1[[#This Row],[AREA]],Hoja1!A:B,2,FALSE)</f>
        <v>02. Planeamiento urbanístico y vivienda</v>
      </c>
      <c r="U1223" s="35" t="str">
        <f>MID(Tabla1[[#This Row],[Aplicación]],9,4)</f>
        <v>9332</v>
      </c>
      <c r="V1223" s="35" t="str">
        <f>VLOOKUP(Tabla1[[#This Row],[PROGRAMA]],Hoja1!A:B,2,FALSE)</f>
        <v>9332. Mantenimiento de edificios e instalaciones municipales</v>
      </c>
      <c r="W1223" s="35" t="str">
        <f>MID(Tabla1[[#This Row],[Aplicación]],14,2)</f>
        <v>21</v>
      </c>
      <c r="X1223" s="35" t="str">
        <f>MID(Tabla1[[#This Row],[Aplicación]],14,6)</f>
        <v>212</v>
      </c>
    </row>
    <row r="1224" spans="1:24" x14ac:dyDescent="0.25">
      <c r="A1224" s="45">
        <v>220210005245</v>
      </c>
      <c r="B1224" s="46" t="s">
        <v>204</v>
      </c>
      <c r="C1224" s="47">
        <v>44249</v>
      </c>
      <c r="D1224" s="45">
        <v>22021002228</v>
      </c>
      <c r="E1224" s="46" t="s">
        <v>1471</v>
      </c>
      <c r="F1224" s="48">
        <v>574.85</v>
      </c>
      <c r="G1224" s="46" t="s">
        <v>235</v>
      </c>
      <c r="H1224" s="46" t="s">
        <v>2401</v>
      </c>
      <c r="I1224" s="45" t="s">
        <v>205</v>
      </c>
      <c r="J1224" s="46" t="s">
        <v>742</v>
      </c>
      <c r="K1224" s="46" t="s">
        <v>165</v>
      </c>
      <c r="L1224" s="46" t="s">
        <v>15</v>
      </c>
      <c r="M1224" s="46" t="s">
        <v>13</v>
      </c>
      <c r="N1224" s="46" t="s">
        <v>16</v>
      </c>
      <c r="O1224" s="49" t="s">
        <v>814</v>
      </c>
      <c r="P1224" s="46" t="s">
        <v>507</v>
      </c>
      <c r="Q1224" s="35" t="str">
        <f>MID(Tabla1[[#This Row],[Aplicación]],14,1)</f>
        <v>2</v>
      </c>
      <c r="R1224" s="35" t="s">
        <v>495</v>
      </c>
      <c r="S1224" s="35" t="str">
        <f>MID(Tabla1[[#This Row],[Aplicación]],6,2)</f>
        <v>06</v>
      </c>
      <c r="T1224" s="35" t="str">
        <f>VLOOKUP(Tabla1[[#This Row],[AREA]],Hoja1!A:B,2,FALSE)</f>
        <v>06. Educación, infancia, juventud e igualdad</v>
      </c>
      <c r="U1224" s="35" t="str">
        <f>MID(Tabla1[[#This Row],[Aplicación]],9,4)</f>
        <v>3232</v>
      </c>
      <c r="V1224" s="35" t="str">
        <f>VLOOKUP(Tabla1[[#This Row],[PROGRAMA]],Hoja1!A:B,2,FALSE)</f>
        <v>3232. Conservación y mantenimiento centros educación infantil y primaria</v>
      </c>
      <c r="W1224" s="35" t="str">
        <f>MID(Tabla1[[#This Row],[Aplicación]],14,2)</f>
        <v>21</v>
      </c>
      <c r="X1224" s="35" t="str">
        <f>MID(Tabla1[[#This Row],[Aplicación]],14,6)</f>
        <v>212</v>
      </c>
    </row>
    <row r="1225" spans="1:24" x14ac:dyDescent="0.25">
      <c r="A1225" s="45">
        <v>220210005486</v>
      </c>
      <c r="B1225" s="46" t="s">
        <v>204</v>
      </c>
      <c r="C1225" s="47">
        <v>44250</v>
      </c>
      <c r="D1225" s="45">
        <v>22021001968</v>
      </c>
      <c r="E1225" s="46" t="s">
        <v>1388</v>
      </c>
      <c r="F1225" s="48">
        <v>47.34</v>
      </c>
      <c r="G1225" s="46" t="s">
        <v>235</v>
      </c>
      <c r="H1225" s="46" t="s">
        <v>2402</v>
      </c>
      <c r="I1225" s="45" t="s">
        <v>205</v>
      </c>
      <c r="J1225" s="46" t="s">
        <v>742</v>
      </c>
      <c r="K1225" s="46" t="s">
        <v>165</v>
      </c>
      <c r="L1225" s="46" t="s">
        <v>15</v>
      </c>
      <c r="M1225" s="46" t="s">
        <v>13</v>
      </c>
      <c r="N1225" s="46" t="s">
        <v>14</v>
      </c>
      <c r="O1225" s="49" t="s">
        <v>814</v>
      </c>
      <c r="P1225" s="46" t="s">
        <v>507</v>
      </c>
      <c r="Q1225" s="35" t="str">
        <f>MID(Tabla1[[#This Row],[Aplicación]],14,1)</f>
        <v>2</v>
      </c>
      <c r="R1225" s="35" t="s">
        <v>495</v>
      </c>
      <c r="S1225" s="35" t="str">
        <f>MID(Tabla1[[#This Row],[Aplicación]],6,2)</f>
        <v>11</v>
      </c>
      <c r="T1225" s="35" t="str">
        <f>VLOOKUP(Tabla1[[#This Row],[AREA]],Hoja1!A:B,2,FALSE)</f>
        <v>11. Salud pública y seguridad ciudadana</v>
      </c>
      <c r="U1225" s="35" t="str">
        <f>MID(Tabla1[[#This Row],[Aplicación]],9,4)</f>
        <v>1321</v>
      </c>
      <c r="V1225" s="35" t="str">
        <f>VLOOKUP(Tabla1[[#This Row],[PROGRAMA]],Hoja1!A:B,2,FALSE)</f>
        <v>1321. Policía municipal</v>
      </c>
      <c r="W1225" s="35" t="str">
        <f>MID(Tabla1[[#This Row],[Aplicación]],14,2)</f>
        <v>22</v>
      </c>
      <c r="X1225" s="35" t="str">
        <f>MID(Tabla1[[#This Row],[Aplicación]],14,6)</f>
        <v>22199</v>
      </c>
    </row>
    <row r="1226" spans="1:24" x14ac:dyDescent="0.25">
      <c r="A1226" s="45">
        <v>220210005507</v>
      </c>
      <c r="B1226" s="46" t="s">
        <v>204</v>
      </c>
      <c r="C1226" s="47">
        <v>44250</v>
      </c>
      <c r="D1226" s="45">
        <v>22021002006</v>
      </c>
      <c r="E1226" s="46" t="s">
        <v>1310</v>
      </c>
      <c r="F1226" s="48">
        <v>2.89</v>
      </c>
      <c r="G1226" s="46" t="s">
        <v>235</v>
      </c>
      <c r="H1226" s="46" t="s">
        <v>2403</v>
      </c>
      <c r="I1226" s="45" t="s">
        <v>205</v>
      </c>
      <c r="J1226" s="46" t="s">
        <v>742</v>
      </c>
      <c r="K1226" s="46" t="s">
        <v>165</v>
      </c>
      <c r="L1226" s="46" t="s">
        <v>15</v>
      </c>
      <c r="M1226" s="46" t="s">
        <v>13</v>
      </c>
      <c r="N1226" s="46" t="s">
        <v>14</v>
      </c>
      <c r="O1226" s="49" t="s">
        <v>814</v>
      </c>
      <c r="P1226" s="46" t="s">
        <v>507</v>
      </c>
      <c r="Q1226" s="35" t="str">
        <f>MID(Tabla1[[#This Row],[Aplicación]],14,1)</f>
        <v>2</v>
      </c>
      <c r="R1226" s="35" t="s">
        <v>495</v>
      </c>
      <c r="S1226" s="35" t="str">
        <f>MID(Tabla1[[#This Row],[Aplicación]],6,2)</f>
        <v>11</v>
      </c>
      <c r="T1226" s="35" t="str">
        <f>VLOOKUP(Tabla1[[#This Row],[AREA]],Hoja1!A:B,2,FALSE)</f>
        <v>11. Salud pública y seguridad ciudadana</v>
      </c>
      <c r="U1226" s="35" t="str">
        <f>MID(Tabla1[[#This Row],[Aplicación]],9,4)</f>
        <v>3111</v>
      </c>
      <c r="V1226" s="35" t="str">
        <f>VLOOKUP(Tabla1[[#This Row],[PROGRAMA]],Hoja1!A:B,2,FALSE)</f>
        <v>3111. Protección de la salubridad pública</v>
      </c>
      <c r="W1226" s="35" t="str">
        <f>MID(Tabla1[[#This Row],[Aplicación]],14,2)</f>
        <v>22</v>
      </c>
      <c r="X1226" s="35" t="str">
        <f>MID(Tabla1[[#This Row],[Aplicación]],14,6)</f>
        <v>22199</v>
      </c>
    </row>
    <row r="1227" spans="1:24" x14ac:dyDescent="0.25">
      <c r="A1227" s="45">
        <v>220210005549</v>
      </c>
      <c r="B1227" s="46" t="s">
        <v>204</v>
      </c>
      <c r="C1227" s="47">
        <v>44250</v>
      </c>
      <c r="D1227" s="45">
        <v>22021002052</v>
      </c>
      <c r="E1227" s="46" t="s">
        <v>1340</v>
      </c>
      <c r="F1227" s="48">
        <v>126.77</v>
      </c>
      <c r="G1227" s="46" t="s">
        <v>235</v>
      </c>
      <c r="H1227" s="46" t="s">
        <v>2404</v>
      </c>
      <c r="I1227" s="45" t="s">
        <v>205</v>
      </c>
      <c r="J1227" s="46" t="s">
        <v>742</v>
      </c>
      <c r="K1227" s="46" t="s">
        <v>165</v>
      </c>
      <c r="L1227" s="46" t="s">
        <v>15</v>
      </c>
      <c r="M1227" s="46" t="s">
        <v>13</v>
      </c>
      <c r="N1227" s="46" t="s">
        <v>14</v>
      </c>
      <c r="O1227" s="49" t="s">
        <v>814</v>
      </c>
      <c r="P1227" s="46" t="s">
        <v>507</v>
      </c>
      <c r="Q1227" s="35" t="str">
        <f>MID(Tabla1[[#This Row],[Aplicación]],14,1)</f>
        <v>2</v>
      </c>
      <c r="R1227" s="35" t="s">
        <v>495</v>
      </c>
      <c r="S1227" s="35" t="str">
        <f>MID(Tabla1[[#This Row],[Aplicación]],6,2)</f>
        <v>11</v>
      </c>
      <c r="T1227" s="35" t="str">
        <f>VLOOKUP(Tabla1[[#This Row],[AREA]],Hoja1!A:B,2,FALSE)</f>
        <v>11. Salud pública y seguridad ciudadana</v>
      </c>
      <c r="U1227" s="35" t="str">
        <f>MID(Tabla1[[#This Row],[Aplicación]],9,4)</f>
        <v>1621</v>
      </c>
      <c r="V1227" s="35" t="str">
        <f>VLOOKUP(Tabla1[[#This Row],[PROGRAMA]],Hoja1!A:B,2,FALSE)</f>
        <v>1621. Servicio de limpieza</v>
      </c>
      <c r="W1227" s="35" t="str">
        <f>MID(Tabla1[[#This Row],[Aplicación]],14,2)</f>
        <v>22</v>
      </c>
      <c r="X1227" s="35" t="str">
        <f>MID(Tabla1[[#This Row],[Aplicación]],14,6)</f>
        <v>22199</v>
      </c>
    </row>
    <row r="1228" spans="1:24" x14ac:dyDescent="0.25">
      <c r="A1228" s="45">
        <v>220210005553</v>
      </c>
      <c r="B1228" s="46" t="s">
        <v>204</v>
      </c>
      <c r="C1228" s="47">
        <v>44250</v>
      </c>
      <c r="D1228" s="45">
        <v>22021002052</v>
      </c>
      <c r="E1228" s="46" t="s">
        <v>1340</v>
      </c>
      <c r="F1228" s="48">
        <v>429.28</v>
      </c>
      <c r="G1228" s="46" t="s">
        <v>235</v>
      </c>
      <c r="H1228" s="46" t="s">
        <v>2405</v>
      </c>
      <c r="I1228" s="45" t="s">
        <v>205</v>
      </c>
      <c r="J1228" s="46" t="s">
        <v>742</v>
      </c>
      <c r="K1228" s="46" t="s">
        <v>165</v>
      </c>
      <c r="L1228" s="46" t="s">
        <v>15</v>
      </c>
      <c r="M1228" s="46" t="s">
        <v>13</v>
      </c>
      <c r="N1228" s="46" t="s">
        <v>14</v>
      </c>
      <c r="O1228" s="49" t="s">
        <v>814</v>
      </c>
      <c r="P1228" s="46" t="s">
        <v>507</v>
      </c>
      <c r="Q1228" s="35" t="str">
        <f>MID(Tabla1[[#This Row],[Aplicación]],14,1)</f>
        <v>2</v>
      </c>
      <c r="R1228" s="35" t="s">
        <v>495</v>
      </c>
      <c r="S1228" s="35" t="str">
        <f>MID(Tabla1[[#This Row],[Aplicación]],6,2)</f>
        <v>11</v>
      </c>
      <c r="T1228" s="35" t="str">
        <f>VLOOKUP(Tabla1[[#This Row],[AREA]],Hoja1!A:B,2,FALSE)</f>
        <v>11. Salud pública y seguridad ciudadana</v>
      </c>
      <c r="U1228" s="35" t="str">
        <f>MID(Tabla1[[#This Row],[Aplicación]],9,4)</f>
        <v>1621</v>
      </c>
      <c r="V1228" s="35" t="str">
        <f>VLOOKUP(Tabla1[[#This Row],[PROGRAMA]],Hoja1!A:B,2,FALSE)</f>
        <v>1621. Servicio de limpieza</v>
      </c>
      <c r="W1228" s="35" t="str">
        <f>MID(Tabla1[[#This Row],[Aplicación]],14,2)</f>
        <v>22</v>
      </c>
      <c r="X1228" s="35" t="str">
        <f>MID(Tabla1[[#This Row],[Aplicación]],14,6)</f>
        <v>22199</v>
      </c>
    </row>
    <row r="1229" spans="1:24" x14ac:dyDescent="0.25">
      <c r="A1229" s="45">
        <v>220210005555</v>
      </c>
      <c r="B1229" s="46" t="s">
        <v>204</v>
      </c>
      <c r="C1229" s="47">
        <v>44250</v>
      </c>
      <c r="D1229" s="45">
        <v>22021002052</v>
      </c>
      <c r="E1229" s="46" t="s">
        <v>1340</v>
      </c>
      <c r="F1229" s="48">
        <v>423.11</v>
      </c>
      <c r="G1229" s="46" t="s">
        <v>235</v>
      </c>
      <c r="H1229" s="46" t="s">
        <v>2406</v>
      </c>
      <c r="I1229" s="45" t="s">
        <v>205</v>
      </c>
      <c r="J1229" s="46" t="s">
        <v>742</v>
      </c>
      <c r="K1229" s="46" t="s">
        <v>165</v>
      </c>
      <c r="L1229" s="46" t="s">
        <v>15</v>
      </c>
      <c r="M1229" s="46" t="s">
        <v>13</v>
      </c>
      <c r="N1229" s="46" t="s">
        <v>14</v>
      </c>
      <c r="O1229" s="49" t="s">
        <v>814</v>
      </c>
      <c r="P1229" s="46" t="s">
        <v>507</v>
      </c>
      <c r="Q1229" s="35" t="str">
        <f>MID(Tabla1[[#This Row],[Aplicación]],14,1)</f>
        <v>2</v>
      </c>
      <c r="R1229" s="35" t="s">
        <v>495</v>
      </c>
      <c r="S1229" s="35" t="str">
        <f>MID(Tabla1[[#This Row],[Aplicación]],6,2)</f>
        <v>11</v>
      </c>
      <c r="T1229" s="35" t="str">
        <f>VLOOKUP(Tabla1[[#This Row],[AREA]],Hoja1!A:B,2,FALSE)</f>
        <v>11. Salud pública y seguridad ciudadana</v>
      </c>
      <c r="U1229" s="35" t="str">
        <f>MID(Tabla1[[#This Row],[Aplicación]],9,4)</f>
        <v>1621</v>
      </c>
      <c r="V1229" s="35" t="str">
        <f>VLOOKUP(Tabla1[[#This Row],[PROGRAMA]],Hoja1!A:B,2,FALSE)</f>
        <v>1621. Servicio de limpieza</v>
      </c>
      <c r="W1229" s="35" t="str">
        <f>MID(Tabla1[[#This Row],[Aplicación]],14,2)</f>
        <v>22</v>
      </c>
      <c r="X1229" s="35" t="str">
        <f>MID(Tabla1[[#This Row],[Aplicación]],14,6)</f>
        <v>22199</v>
      </c>
    </row>
    <row r="1230" spans="1:24" x14ac:dyDescent="0.25">
      <c r="A1230" s="45">
        <v>220210005571</v>
      </c>
      <c r="B1230" s="46" t="s">
        <v>204</v>
      </c>
      <c r="C1230" s="47">
        <v>44250</v>
      </c>
      <c r="D1230" s="45">
        <v>22021002088</v>
      </c>
      <c r="E1230" s="46" t="s">
        <v>1478</v>
      </c>
      <c r="F1230" s="48">
        <v>638.05999999999995</v>
      </c>
      <c r="G1230" s="46" t="s">
        <v>235</v>
      </c>
      <c r="H1230" s="46" t="s">
        <v>2407</v>
      </c>
      <c r="I1230" s="45" t="s">
        <v>205</v>
      </c>
      <c r="J1230" s="46" t="s">
        <v>742</v>
      </c>
      <c r="K1230" s="46" t="s">
        <v>165</v>
      </c>
      <c r="L1230" s="46" t="s">
        <v>15</v>
      </c>
      <c r="M1230" s="46" t="s">
        <v>13</v>
      </c>
      <c r="N1230" s="46" t="s">
        <v>16</v>
      </c>
      <c r="O1230" s="49" t="s">
        <v>814</v>
      </c>
      <c r="P1230" s="46" t="s">
        <v>507</v>
      </c>
      <c r="Q1230" s="35" t="str">
        <f>MID(Tabla1[[#This Row],[Aplicación]],14,1)</f>
        <v>2</v>
      </c>
      <c r="R1230" s="35" t="s">
        <v>495</v>
      </c>
      <c r="S1230" s="35" t="str">
        <f>MID(Tabla1[[#This Row],[Aplicación]],6,2)</f>
        <v>03</v>
      </c>
      <c r="T1230" s="35" t="str">
        <f>VLOOKUP(Tabla1[[#This Row],[AREA]],Hoja1!A:B,2,FALSE)</f>
        <v>03. Participación ciudadana y deportes</v>
      </c>
      <c r="U1230" s="35" t="str">
        <f>MID(Tabla1[[#This Row],[Aplicación]],9,4)</f>
        <v>9241</v>
      </c>
      <c r="V1230" s="35" t="str">
        <f>VLOOKUP(Tabla1[[#This Row],[PROGRAMA]],Hoja1!A:B,2,FALSE)</f>
        <v>9241. Participación ciudadana</v>
      </c>
      <c r="W1230" s="35" t="str">
        <f>MID(Tabla1[[#This Row],[Aplicación]],14,2)</f>
        <v>21</v>
      </c>
      <c r="X1230" s="35" t="str">
        <f>MID(Tabla1[[#This Row],[Aplicación]],14,6)</f>
        <v>212</v>
      </c>
    </row>
    <row r="1231" spans="1:24" x14ac:dyDescent="0.25">
      <c r="A1231" s="45">
        <v>220210005573</v>
      </c>
      <c r="B1231" s="46" t="s">
        <v>204</v>
      </c>
      <c r="C1231" s="47">
        <v>44250</v>
      </c>
      <c r="D1231" s="45">
        <v>22021002088</v>
      </c>
      <c r="E1231" s="46" t="s">
        <v>1478</v>
      </c>
      <c r="F1231" s="48">
        <v>23</v>
      </c>
      <c r="G1231" s="46" t="s">
        <v>235</v>
      </c>
      <c r="H1231" s="46" t="s">
        <v>2408</v>
      </c>
      <c r="I1231" s="45" t="s">
        <v>205</v>
      </c>
      <c r="J1231" s="46" t="s">
        <v>742</v>
      </c>
      <c r="K1231" s="46" t="s">
        <v>165</v>
      </c>
      <c r="L1231" s="46" t="s">
        <v>15</v>
      </c>
      <c r="M1231" s="46" t="s">
        <v>13</v>
      </c>
      <c r="N1231" s="46" t="s">
        <v>16</v>
      </c>
      <c r="O1231" s="49" t="s">
        <v>814</v>
      </c>
      <c r="P1231" s="46" t="s">
        <v>507</v>
      </c>
      <c r="Q1231" s="35" t="str">
        <f>MID(Tabla1[[#This Row],[Aplicación]],14,1)</f>
        <v>2</v>
      </c>
      <c r="R1231" s="35" t="s">
        <v>495</v>
      </c>
      <c r="S1231" s="35" t="str">
        <f>MID(Tabla1[[#This Row],[Aplicación]],6,2)</f>
        <v>03</v>
      </c>
      <c r="T1231" s="35" t="str">
        <f>VLOOKUP(Tabla1[[#This Row],[AREA]],Hoja1!A:B,2,FALSE)</f>
        <v>03. Participación ciudadana y deportes</v>
      </c>
      <c r="U1231" s="35" t="str">
        <f>MID(Tabla1[[#This Row],[Aplicación]],9,4)</f>
        <v>9241</v>
      </c>
      <c r="V1231" s="35" t="str">
        <f>VLOOKUP(Tabla1[[#This Row],[PROGRAMA]],Hoja1!A:B,2,FALSE)</f>
        <v>9241. Participación ciudadana</v>
      </c>
      <c r="W1231" s="35" t="str">
        <f>MID(Tabla1[[#This Row],[Aplicación]],14,2)</f>
        <v>21</v>
      </c>
      <c r="X1231" s="35" t="str">
        <f>MID(Tabla1[[#This Row],[Aplicación]],14,6)</f>
        <v>212</v>
      </c>
    </row>
    <row r="1232" spans="1:24" x14ac:dyDescent="0.25">
      <c r="A1232" s="45">
        <v>220210004020</v>
      </c>
      <c r="B1232" s="46" t="s">
        <v>9</v>
      </c>
      <c r="C1232" s="47">
        <v>44244</v>
      </c>
      <c r="D1232" s="45">
        <v>22021002502</v>
      </c>
      <c r="E1232" s="46" t="s">
        <v>969</v>
      </c>
      <c r="F1232" s="48">
        <v>1070.27</v>
      </c>
      <c r="G1232" s="46" t="s">
        <v>53</v>
      </c>
      <c r="H1232" s="46" t="s">
        <v>2409</v>
      </c>
      <c r="I1232" s="45" t="s">
        <v>125</v>
      </c>
      <c r="J1232" s="46" t="s">
        <v>127</v>
      </c>
      <c r="K1232" s="46" t="s">
        <v>127</v>
      </c>
      <c r="L1232" s="46" t="s">
        <v>12</v>
      </c>
      <c r="M1232" s="46" t="s">
        <v>10</v>
      </c>
      <c r="N1232" s="46" t="s">
        <v>11</v>
      </c>
      <c r="O1232" s="49" t="s">
        <v>815</v>
      </c>
      <c r="P1232" s="46" t="s">
        <v>507</v>
      </c>
      <c r="Q1232" s="35" t="str">
        <f>MID(Tabla1[[#This Row],[Aplicación]],14,1)</f>
        <v>2</v>
      </c>
      <c r="R1232" s="35" t="s">
        <v>495</v>
      </c>
      <c r="S1232" s="35" t="str">
        <f>MID(Tabla1[[#This Row],[Aplicación]],6,2)</f>
        <v>06</v>
      </c>
      <c r="T1232" s="35" t="str">
        <f>VLOOKUP(Tabla1[[#This Row],[AREA]],Hoja1!A:B,2,FALSE)</f>
        <v>06. Educación, infancia, juventud e igualdad</v>
      </c>
      <c r="U1232" s="35" t="str">
        <f>MID(Tabla1[[#This Row],[Aplicación]],9,4)</f>
        <v>2315</v>
      </c>
      <c r="V1232" s="35" t="str">
        <f>VLOOKUP(Tabla1[[#This Row],[PROGRAMA]],Hoja1!A:B,2,FALSE)</f>
        <v>2315. Políticas de Igualdad e infancia</v>
      </c>
      <c r="W1232" s="35" t="str">
        <f>MID(Tabla1[[#This Row],[Aplicación]],14,2)</f>
        <v>21</v>
      </c>
      <c r="X1232" s="35" t="str">
        <f>MID(Tabla1[[#This Row],[Aplicación]],14,6)</f>
        <v>213</v>
      </c>
    </row>
    <row r="1233" spans="1:24" x14ac:dyDescent="0.25">
      <c r="A1233" s="45">
        <v>220210005600</v>
      </c>
      <c r="B1233" s="46" t="s">
        <v>204</v>
      </c>
      <c r="C1233" s="47">
        <v>44250</v>
      </c>
      <c r="D1233" s="45">
        <v>22021002056</v>
      </c>
      <c r="E1233" s="46" t="s">
        <v>876</v>
      </c>
      <c r="F1233" s="48">
        <v>920.21</v>
      </c>
      <c r="G1233" s="46" t="s">
        <v>272</v>
      </c>
      <c r="H1233" s="46" t="s">
        <v>2410</v>
      </c>
      <c r="I1233" s="45" t="s">
        <v>205</v>
      </c>
      <c r="J1233" s="46" t="s">
        <v>127</v>
      </c>
      <c r="K1233" s="46" t="s">
        <v>127</v>
      </c>
      <c r="L1233" s="46" t="s">
        <v>15</v>
      </c>
      <c r="M1233" s="46" t="s">
        <v>13</v>
      </c>
      <c r="N1233" s="46" t="s">
        <v>14</v>
      </c>
      <c r="O1233" s="49" t="s">
        <v>814</v>
      </c>
      <c r="P1233" s="46" t="s">
        <v>507</v>
      </c>
      <c r="Q1233" s="35" t="str">
        <f>MID(Tabla1[[#This Row],[Aplicación]],14,1)</f>
        <v>2</v>
      </c>
      <c r="R1233" s="35" t="s">
        <v>495</v>
      </c>
      <c r="S1233" s="35" t="str">
        <f>MID(Tabla1[[#This Row],[Aplicación]],6,2)</f>
        <v>11</v>
      </c>
      <c r="T1233" s="35" t="str">
        <f>VLOOKUP(Tabla1[[#This Row],[AREA]],Hoja1!A:B,2,FALSE)</f>
        <v>11. Salud pública y seguridad ciudadana</v>
      </c>
      <c r="U1233" s="35" t="str">
        <f>MID(Tabla1[[#This Row],[Aplicación]],9,4)</f>
        <v>1631</v>
      </c>
      <c r="V1233" s="35" t="str">
        <f>VLOOKUP(Tabla1[[#This Row],[PROGRAMA]],Hoja1!A:B,2,FALSE)</f>
        <v>1631. Limpieza viaria</v>
      </c>
      <c r="W1233" s="35" t="str">
        <f>MID(Tabla1[[#This Row],[Aplicación]],14,2)</f>
        <v>22</v>
      </c>
      <c r="X1233" s="35" t="str">
        <f>MID(Tabla1[[#This Row],[Aplicación]],14,6)</f>
        <v>22110</v>
      </c>
    </row>
    <row r="1234" spans="1:24" x14ac:dyDescent="0.25">
      <c r="A1234" s="45">
        <v>220210005602</v>
      </c>
      <c r="B1234" s="46" t="s">
        <v>204</v>
      </c>
      <c r="C1234" s="47">
        <v>44250</v>
      </c>
      <c r="D1234" s="45">
        <v>22021002057</v>
      </c>
      <c r="E1234" s="46" t="s">
        <v>1715</v>
      </c>
      <c r="F1234" s="48">
        <v>1229.19</v>
      </c>
      <c r="G1234" s="46" t="s">
        <v>272</v>
      </c>
      <c r="H1234" s="46" t="s">
        <v>2411</v>
      </c>
      <c r="I1234" s="45" t="s">
        <v>205</v>
      </c>
      <c r="J1234" s="46" t="s">
        <v>127</v>
      </c>
      <c r="K1234" s="46" t="s">
        <v>127</v>
      </c>
      <c r="L1234" s="46" t="s">
        <v>15</v>
      </c>
      <c r="M1234" s="46" t="s">
        <v>13</v>
      </c>
      <c r="N1234" s="46" t="s">
        <v>14</v>
      </c>
      <c r="O1234" s="49" t="s">
        <v>814</v>
      </c>
      <c r="P1234" s="46" t="s">
        <v>507</v>
      </c>
      <c r="Q1234" s="35" t="str">
        <f>MID(Tabla1[[#This Row],[Aplicación]],14,1)</f>
        <v>2</v>
      </c>
      <c r="R1234" s="35" t="s">
        <v>495</v>
      </c>
      <c r="S1234" s="35" t="str">
        <f>MID(Tabla1[[#This Row],[Aplicación]],6,2)</f>
        <v>11</v>
      </c>
      <c r="T1234" s="35" t="str">
        <f>VLOOKUP(Tabla1[[#This Row],[AREA]],Hoja1!A:B,2,FALSE)</f>
        <v>11. Salud pública y seguridad ciudadana</v>
      </c>
      <c r="U1234" s="35" t="str">
        <f>MID(Tabla1[[#This Row],[Aplicación]],9,4)</f>
        <v>1631</v>
      </c>
      <c r="V1234" s="35" t="str">
        <f>VLOOKUP(Tabla1[[#This Row],[PROGRAMA]],Hoja1!A:B,2,FALSE)</f>
        <v>1631. Limpieza viaria</v>
      </c>
      <c r="W1234" s="35" t="str">
        <f>MID(Tabla1[[#This Row],[Aplicación]],14,2)</f>
        <v>22</v>
      </c>
      <c r="X1234" s="35" t="str">
        <f>MID(Tabla1[[#This Row],[Aplicación]],14,6)</f>
        <v>22199</v>
      </c>
    </row>
    <row r="1235" spans="1:24" x14ac:dyDescent="0.25">
      <c r="A1235" s="45">
        <v>220210005620</v>
      </c>
      <c r="B1235" s="46" t="s">
        <v>204</v>
      </c>
      <c r="C1235" s="47">
        <v>44250</v>
      </c>
      <c r="D1235" s="45">
        <v>22021002056</v>
      </c>
      <c r="E1235" s="46" t="s">
        <v>876</v>
      </c>
      <c r="F1235" s="48">
        <v>1266.27</v>
      </c>
      <c r="G1235" s="46" t="s">
        <v>272</v>
      </c>
      <c r="H1235" s="46" t="s">
        <v>2412</v>
      </c>
      <c r="I1235" s="45" t="s">
        <v>205</v>
      </c>
      <c r="J1235" s="46" t="s">
        <v>127</v>
      </c>
      <c r="K1235" s="46" t="s">
        <v>127</v>
      </c>
      <c r="L1235" s="46" t="s">
        <v>15</v>
      </c>
      <c r="M1235" s="46" t="s">
        <v>13</v>
      </c>
      <c r="N1235" s="46" t="s">
        <v>14</v>
      </c>
      <c r="O1235" s="49" t="s">
        <v>814</v>
      </c>
      <c r="P1235" s="46" t="s">
        <v>507</v>
      </c>
      <c r="Q1235" s="35" t="str">
        <f>MID(Tabla1[[#This Row],[Aplicación]],14,1)</f>
        <v>2</v>
      </c>
      <c r="R1235" s="35" t="s">
        <v>495</v>
      </c>
      <c r="S1235" s="35" t="str">
        <f>MID(Tabla1[[#This Row],[Aplicación]],6,2)</f>
        <v>11</v>
      </c>
      <c r="T1235" s="35" t="str">
        <f>VLOOKUP(Tabla1[[#This Row],[AREA]],Hoja1!A:B,2,FALSE)</f>
        <v>11. Salud pública y seguridad ciudadana</v>
      </c>
      <c r="U1235" s="35" t="str">
        <f>MID(Tabla1[[#This Row],[Aplicación]],9,4)</f>
        <v>1631</v>
      </c>
      <c r="V1235" s="35" t="str">
        <f>VLOOKUP(Tabla1[[#This Row],[PROGRAMA]],Hoja1!A:B,2,FALSE)</f>
        <v>1631. Limpieza viaria</v>
      </c>
      <c r="W1235" s="35" t="str">
        <f>MID(Tabla1[[#This Row],[Aplicación]],14,2)</f>
        <v>22</v>
      </c>
      <c r="X1235" s="35" t="str">
        <f>MID(Tabla1[[#This Row],[Aplicación]],14,6)</f>
        <v>22110</v>
      </c>
    </row>
    <row r="1236" spans="1:24" x14ac:dyDescent="0.25">
      <c r="A1236" s="45">
        <v>220210005622</v>
      </c>
      <c r="B1236" s="46" t="s">
        <v>204</v>
      </c>
      <c r="C1236" s="47">
        <v>44250</v>
      </c>
      <c r="D1236" s="45">
        <v>22021002057</v>
      </c>
      <c r="E1236" s="46" t="s">
        <v>1715</v>
      </c>
      <c r="F1236" s="48">
        <v>1054.6099999999999</v>
      </c>
      <c r="G1236" s="46" t="s">
        <v>272</v>
      </c>
      <c r="H1236" s="46" t="s">
        <v>2413</v>
      </c>
      <c r="I1236" s="45" t="s">
        <v>205</v>
      </c>
      <c r="J1236" s="46" t="s">
        <v>127</v>
      </c>
      <c r="K1236" s="46" t="s">
        <v>127</v>
      </c>
      <c r="L1236" s="46" t="s">
        <v>15</v>
      </c>
      <c r="M1236" s="46" t="s">
        <v>13</v>
      </c>
      <c r="N1236" s="46" t="s">
        <v>14</v>
      </c>
      <c r="O1236" s="49" t="s">
        <v>814</v>
      </c>
      <c r="P1236" s="46" t="s">
        <v>507</v>
      </c>
      <c r="Q1236" s="35" t="str">
        <f>MID(Tabla1[[#This Row],[Aplicación]],14,1)</f>
        <v>2</v>
      </c>
      <c r="R1236" s="35" t="s">
        <v>495</v>
      </c>
      <c r="S1236" s="35" t="str">
        <f>MID(Tabla1[[#This Row],[Aplicación]],6,2)</f>
        <v>11</v>
      </c>
      <c r="T1236" s="35" t="str">
        <f>VLOOKUP(Tabla1[[#This Row],[AREA]],Hoja1!A:B,2,FALSE)</f>
        <v>11. Salud pública y seguridad ciudadana</v>
      </c>
      <c r="U1236" s="35" t="str">
        <f>MID(Tabla1[[#This Row],[Aplicación]],9,4)</f>
        <v>1631</v>
      </c>
      <c r="V1236" s="35" t="str">
        <f>VLOOKUP(Tabla1[[#This Row],[PROGRAMA]],Hoja1!A:B,2,FALSE)</f>
        <v>1631. Limpieza viaria</v>
      </c>
      <c r="W1236" s="35" t="str">
        <f>MID(Tabla1[[#This Row],[Aplicación]],14,2)</f>
        <v>22</v>
      </c>
      <c r="X1236" s="35" t="str">
        <f>MID(Tabla1[[#This Row],[Aplicación]],14,6)</f>
        <v>22199</v>
      </c>
    </row>
    <row r="1237" spans="1:24" x14ac:dyDescent="0.25">
      <c r="A1237" s="45">
        <v>220210006518</v>
      </c>
      <c r="B1237" s="46" t="s">
        <v>204</v>
      </c>
      <c r="C1237" s="47">
        <v>44253</v>
      </c>
      <c r="D1237" s="45">
        <v>22021002052</v>
      </c>
      <c r="E1237" s="46" t="s">
        <v>1340</v>
      </c>
      <c r="F1237" s="48">
        <v>246.71</v>
      </c>
      <c r="G1237" s="46" t="s">
        <v>272</v>
      </c>
      <c r="H1237" s="46" t="s">
        <v>2001</v>
      </c>
      <c r="I1237" s="45" t="s">
        <v>205</v>
      </c>
      <c r="J1237" s="46" t="s">
        <v>127</v>
      </c>
      <c r="K1237" s="46" t="s">
        <v>127</v>
      </c>
      <c r="L1237" s="46" t="s">
        <v>15</v>
      </c>
      <c r="M1237" s="46" t="s">
        <v>13</v>
      </c>
      <c r="N1237" s="46" t="s">
        <v>14</v>
      </c>
      <c r="O1237" s="49" t="s">
        <v>814</v>
      </c>
      <c r="P1237" s="46" t="s">
        <v>507</v>
      </c>
      <c r="Q1237" s="35" t="str">
        <f>MID(Tabla1[[#This Row],[Aplicación]],14,1)</f>
        <v>2</v>
      </c>
      <c r="R1237" s="35" t="s">
        <v>495</v>
      </c>
      <c r="S1237" s="35" t="str">
        <f>MID(Tabla1[[#This Row],[Aplicación]],6,2)</f>
        <v>11</v>
      </c>
      <c r="T1237" s="35" t="str">
        <f>VLOOKUP(Tabla1[[#This Row],[AREA]],Hoja1!A:B,2,FALSE)</f>
        <v>11. Salud pública y seguridad ciudadana</v>
      </c>
      <c r="U1237" s="35" t="str">
        <f>MID(Tabla1[[#This Row],[Aplicación]],9,4)</f>
        <v>1621</v>
      </c>
      <c r="V1237" s="35" t="str">
        <f>VLOOKUP(Tabla1[[#This Row],[PROGRAMA]],Hoja1!A:B,2,FALSE)</f>
        <v>1621. Servicio de limpieza</v>
      </c>
      <c r="W1237" s="35" t="str">
        <f>MID(Tabla1[[#This Row],[Aplicación]],14,2)</f>
        <v>22</v>
      </c>
      <c r="X1237" s="35" t="str">
        <f>MID(Tabla1[[#This Row],[Aplicación]],14,6)</f>
        <v>22199</v>
      </c>
    </row>
    <row r="1238" spans="1:24" x14ac:dyDescent="0.25">
      <c r="A1238" s="45">
        <v>220209000448</v>
      </c>
      <c r="B1238" s="46" t="s">
        <v>9</v>
      </c>
      <c r="C1238" s="47">
        <v>44198</v>
      </c>
      <c r="D1238" s="45">
        <v>22021000307</v>
      </c>
      <c r="E1238" s="46" t="s">
        <v>2414</v>
      </c>
      <c r="F1238" s="48">
        <v>550</v>
      </c>
      <c r="G1238" s="46" t="s">
        <v>2415</v>
      </c>
      <c r="H1238" s="46" t="s">
        <v>2416</v>
      </c>
      <c r="I1238" s="45" t="s">
        <v>125</v>
      </c>
      <c r="J1238" s="46" t="s">
        <v>127</v>
      </c>
      <c r="K1238" s="46" t="s">
        <v>127</v>
      </c>
      <c r="L1238" s="46" t="s">
        <v>15</v>
      </c>
      <c r="M1238" s="46" t="s">
        <v>13</v>
      </c>
      <c r="N1238" s="46" t="s">
        <v>11</v>
      </c>
      <c r="O1238" s="49" t="s">
        <v>803</v>
      </c>
      <c r="P1238" s="46" t="s">
        <v>507</v>
      </c>
      <c r="Q1238" s="35" t="str">
        <f>MID(Tabla1[[#This Row],[Aplicación]],14,1)</f>
        <v>2</v>
      </c>
      <c r="R1238" s="35" t="s">
        <v>495</v>
      </c>
      <c r="S1238" s="35" t="str">
        <f>MID(Tabla1[[#This Row],[Aplicación]],6,2)</f>
        <v>10</v>
      </c>
      <c r="T1238" s="35" t="str">
        <f>VLOOKUP(Tabla1[[#This Row],[AREA]],Hoja1!A:B,2,FALSE)</f>
        <v>10. Servicios sociales y mediación comunitaria</v>
      </c>
      <c r="U1238" s="35" t="str">
        <f>MID(Tabla1[[#This Row],[Aplicación]],9,4)</f>
        <v>2311</v>
      </c>
      <c r="V1238" s="35" t="str">
        <f>VLOOKUP(Tabla1[[#This Row],[PROGRAMA]],Hoja1!A:B,2,FALSE)</f>
        <v>2311. Intervención social</v>
      </c>
      <c r="W1238" s="35" t="str">
        <f>MID(Tabla1[[#This Row],[Aplicación]],14,2)</f>
        <v>22</v>
      </c>
      <c r="X1238" s="35" t="str">
        <f>MID(Tabla1[[#This Row],[Aplicación]],14,6)</f>
        <v>22199</v>
      </c>
    </row>
    <row r="1239" spans="1:24" x14ac:dyDescent="0.25">
      <c r="A1239" s="45">
        <v>220209000390</v>
      </c>
      <c r="B1239" s="46" t="s">
        <v>9</v>
      </c>
      <c r="C1239" s="47">
        <v>44198</v>
      </c>
      <c r="D1239" s="45">
        <v>22021000282</v>
      </c>
      <c r="E1239" s="46" t="s">
        <v>1932</v>
      </c>
      <c r="F1239" s="48">
        <v>550</v>
      </c>
      <c r="G1239" s="46" t="s">
        <v>188</v>
      </c>
      <c r="H1239" s="46" t="s">
        <v>2417</v>
      </c>
      <c r="I1239" s="45" t="s">
        <v>125</v>
      </c>
      <c r="J1239" s="46" t="s">
        <v>126</v>
      </c>
      <c r="K1239" s="46" t="s">
        <v>126</v>
      </c>
      <c r="L1239" s="46" t="s">
        <v>15</v>
      </c>
      <c r="M1239" s="46" t="s">
        <v>13</v>
      </c>
      <c r="N1239" s="46" t="s">
        <v>14</v>
      </c>
      <c r="O1239" s="49" t="s">
        <v>803</v>
      </c>
      <c r="P1239" s="46" t="s">
        <v>507</v>
      </c>
      <c r="Q1239" s="35" t="str">
        <f>MID(Tabla1[[#This Row],[Aplicación]],14,1)</f>
        <v>2</v>
      </c>
      <c r="R1239" s="35" t="s">
        <v>495</v>
      </c>
      <c r="S1239" s="35" t="str">
        <f>MID(Tabla1[[#This Row],[Aplicación]],6,2)</f>
        <v>10</v>
      </c>
      <c r="T1239" s="35" t="str">
        <f>VLOOKUP(Tabla1[[#This Row],[AREA]],Hoja1!A:B,2,FALSE)</f>
        <v>10. Servicios sociales y mediación comunitaria</v>
      </c>
      <c r="U1239" s="35" t="str">
        <f>MID(Tabla1[[#This Row],[Aplicación]],9,4)</f>
        <v>2412</v>
      </c>
      <c r="V1239" s="35" t="str">
        <f>VLOOKUP(Tabla1[[#This Row],[PROGRAMA]],Hoja1!A:B,2,FALSE)</f>
        <v>2412. Formación para el empleo</v>
      </c>
      <c r="W1239" s="35" t="str">
        <f>MID(Tabla1[[#This Row],[Aplicación]],14,2)</f>
        <v>22</v>
      </c>
      <c r="X1239" s="35" t="str">
        <f>MID(Tabla1[[#This Row],[Aplicación]],14,6)</f>
        <v>22103</v>
      </c>
    </row>
    <row r="1240" spans="1:24" x14ac:dyDescent="0.25">
      <c r="A1240" s="45">
        <v>220210000407</v>
      </c>
      <c r="B1240" s="46" t="s">
        <v>32</v>
      </c>
      <c r="C1240" s="47">
        <v>44217</v>
      </c>
      <c r="D1240" s="45">
        <v>22021001259</v>
      </c>
      <c r="E1240" s="46" t="s">
        <v>2382</v>
      </c>
      <c r="F1240" s="48">
        <v>555.6</v>
      </c>
      <c r="G1240" s="46" t="s">
        <v>202</v>
      </c>
      <c r="H1240" s="46" t="s">
        <v>2418</v>
      </c>
      <c r="I1240" s="45" t="s">
        <v>234</v>
      </c>
      <c r="J1240" s="46" t="s">
        <v>203</v>
      </c>
      <c r="K1240" s="46" t="s">
        <v>203</v>
      </c>
      <c r="L1240" s="46" t="s">
        <v>12</v>
      </c>
      <c r="M1240" s="46" t="s">
        <v>10</v>
      </c>
      <c r="N1240" s="46" t="s">
        <v>11</v>
      </c>
      <c r="O1240" s="49" t="s">
        <v>815</v>
      </c>
      <c r="P1240" s="46" t="s">
        <v>507</v>
      </c>
      <c r="Q1240" s="35" t="str">
        <f>MID(Tabla1[[#This Row],[Aplicación]],14,1)</f>
        <v>2</v>
      </c>
      <c r="R1240" s="35" t="s">
        <v>495</v>
      </c>
      <c r="S1240" s="35" t="str">
        <f>MID(Tabla1[[#This Row],[Aplicación]],6,2)</f>
        <v>04</v>
      </c>
      <c r="T1240" s="35" t="str">
        <f>VLOOKUP(Tabla1[[#This Row],[AREA]],Hoja1!A:B,2,FALSE)</f>
        <v>04. Planificación y recursos</v>
      </c>
      <c r="U1240" s="35" t="str">
        <f>MID(Tabla1[[#This Row],[Aplicación]],9,4)</f>
        <v>9341</v>
      </c>
      <c r="V1240" s="35" t="str">
        <f>VLOOKUP(Tabla1[[#This Row],[PROGRAMA]],Hoja1!A:B,2,FALSE)</f>
        <v>9341. Tesorería y recaudación</v>
      </c>
      <c r="W1240" s="35" t="str">
        <f>MID(Tabla1[[#This Row],[Aplicación]],14,2)</f>
        <v>22</v>
      </c>
      <c r="X1240" s="35" t="str">
        <f>MID(Tabla1[[#This Row],[Aplicación]],14,6)</f>
        <v>22699</v>
      </c>
    </row>
    <row r="1241" spans="1:24" x14ac:dyDescent="0.25">
      <c r="A1241" s="45">
        <v>220210002410</v>
      </c>
      <c r="B1241" s="46" t="s">
        <v>9</v>
      </c>
      <c r="C1241" s="47">
        <v>44235</v>
      </c>
      <c r="D1241" s="45">
        <v>22021002315</v>
      </c>
      <c r="E1241" s="46" t="s">
        <v>1167</v>
      </c>
      <c r="F1241" s="48">
        <v>1868.55</v>
      </c>
      <c r="G1241" s="46" t="s">
        <v>262</v>
      </c>
      <c r="H1241" s="46" t="s">
        <v>2419</v>
      </c>
      <c r="I1241" s="45" t="s">
        <v>125</v>
      </c>
      <c r="J1241" s="46" t="s">
        <v>127</v>
      </c>
      <c r="K1241" s="46" t="s">
        <v>127</v>
      </c>
      <c r="L1241" s="46" t="s">
        <v>12</v>
      </c>
      <c r="M1241" s="46" t="s">
        <v>10</v>
      </c>
      <c r="N1241" s="46" t="s">
        <v>11</v>
      </c>
      <c r="O1241" s="49" t="s">
        <v>815</v>
      </c>
      <c r="P1241" s="46" t="s">
        <v>507</v>
      </c>
      <c r="Q1241" s="35" t="str">
        <f>MID(Tabla1[[#This Row],[Aplicación]],14,1)</f>
        <v>2</v>
      </c>
      <c r="R1241" s="35" t="s">
        <v>495</v>
      </c>
      <c r="S1241" s="35" t="str">
        <f>MID(Tabla1[[#This Row],[Aplicación]],6,2)</f>
        <v>11</v>
      </c>
      <c r="T1241" s="35" t="str">
        <f>VLOOKUP(Tabla1[[#This Row],[AREA]],Hoja1!A:B,2,FALSE)</f>
        <v>11. Salud pública y seguridad ciudadana</v>
      </c>
      <c r="U1241" s="35" t="str">
        <f>MID(Tabla1[[#This Row],[Aplicación]],9,4)</f>
        <v>1321</v>
      </c>
      <c r="V1241" s="35" t="str">
        <f>VLOOKUP(Tabla1[[#This Row],[PROGRAMA]],Hoja1!A:B,2,FALSE)</f>
        <v>1321. Policía municipal</v>
      </c>
      <c r="W1241" s="35" t="str">
        <f>MID(Tabla1[[#This Row],[Aplicación]],14,2)</f>
        <v>21</v>
      </c>
      <c r="X1241" s="35" t="str">
        <f>MID(Tabla1[[#This Row],[Aplicación]],14,6)</f>
        <v>214</v>
      </c>
    </row>
    <row r="1242" spans="1:24" x14ac:dyDescent="0.25">
      <c r="A1242" s="45">
        <v>220210006509</v>
      </c>
      <c r="B1242" s="46" t="s">
        <v>204</v>
      </c>
      <c r="C1242" s="47">
        <v>44253</v>
      </c>
      <c r="D1242" s="45">
        <v>22021002378</v>
      </c>
      <c r="E1242" s="46" t="s">
        <v>1228</v>
      </c>
      <c r="F1242" s="48">
        <v>227.14</v>
      </c>
      <c r="G1242" s="46" t="s">
        <v>262</v>
      </c>
      <c r="H1242" s="46" t="s">
        <v>2420</v>
      </c>
      <c r="I1242" s="45" t="s">
        <v>205</v>
      </c>
      <c r="J1242" s="46" t="s">
        <v>127</v>
      </c>
      <c r="K1242" s="46" t="s">
        <v>127</v>
      </c>
      <c r="L1242" s="46" t="s">
        <v>15</v>
      </c>
      <c r="M1242" s="46" t="s">
        <v>13</v>
      </c>
      <c r="N1242" s="46" t="s">
        <v>14</v>
      </c>
      <c r="O1242" s="49" t="s">
        <v>814</v>
      </c>
      <c r="P1242" s="46" t="s">
        <v>507</v>
      </c>
      <c r="Q1242" s="35" t="str">
        <f>MID(Tabla1[[#This Row],[Aplicación]],14,1)</f>
        <v>2</v>
      </c>
      <c r="R1242" s="35" t="s">
        <v>495</v>
      </c>
      <c r="S1242" s="35" t="str">
        <f>MID(Tabla1[[#This Row],[Aplicación]],6,2)</f>
        <v>02</v>
      </c>
      <c r="T1242" s="35" t="str">
        <f>VLOOKUP(Tabla1[[#This Row],[AREA]],Hoja1!A:B,2,FALSE)</f>
        <v>02. Planeamiento urbanístico y vivienda</v>
      </c>
      <c r="U1242" s="35" t="str">
        <f>MID(Tabla1[[#This Row],[Aplicación]],9,4)</f>
        <v>9332</v>
      </c>
      <c r="V1242" s="35" t="str">
        <f>VLOOKUP(Tabla1[[#This Row],[PROGRAMA]],Hoja1!A:B,2,FALSE)</f>
        <v>9332. Mantenimiento de edificios e instalaciones municipales</v>
      </c>
      <c r="W1242" s="35" t="str">
        <f>MID(Tabla1[[#This Row],[Aplicación]],14,2)</f>
        <v>21</v>
      </c>
      <c r="X1242" s="35" t="str">
        <f>MID(Tabla1[[#This Row],[Aplicación]],14,6)</f>
        <v>214</v>
      </c>
    </row>
    <row r="1243" spans="1:24" x14ac:dyDescent="0.25">
      <c r="A1243" s="45">
        <v>220210008571</v>
      </c>
      <c r="B1243" s="46" t="s">
        <v>204</v>
      </c>
      <c r="C1243" s="47">
        <v>44266</v>
      </c>
      <c r="D1243" s="45">
        <v>22021002228</v>
      </c>
      <c r="E1243" s="46" t="s">
        <v>1471</v>
      </c>
      <c r="F1243" s="48">
        <v>568.4</v>
      </c>
      <c r="G1243" s="46" t="s">
        <v>87</v>
      </c>
      <c r="H1243" s="46" t="s">
        <v>2421</v>
      </c>
      <c r="I1243" s="45" t="s">
        <v>205</v>
      </c>
      <c r="J1243" s="46" t="s">
        <v>127</v>
      </c>
      <c r="K1243" s="46" t="s">
        <v>127</v>
      </c>
      <c r="L1243" s="46" t="s">
        <v>15</v>
      </c>
      <c r="M1243" s="46" t="s">
        <v>10</v>
      </c>
      <c r="N1243" s="46" t="s">
        <v>11</v>
      </c>
      <c r="O1243" s="49" t="s">
        <v>815</v>
      </c>
      <c r="P1243" s="46" t="s">
        <v>507</v>
      </c>
      <c r="Q1243" s="35" t="str">
        <f>MID(Tabla1[[#This Row],[Aplicación]],14,1)</f>
        <v>2</v>
      </c>
      <c r="R1243" s="35" t="s">
        <v>495</v>
      </c>
      <c r="S1243" s="35" t="str">
        <f>MID(Tabla1[[#This Row],[Aplicación]],6,2)</f>
        <v>06</v>
      </c>
      <c r="T1243" s="35" t="str">
        <f>VLOOKUP(Tabla1[[#This Row],[AREA]],Hoja1!A:B,2,FALSE)</f>
        <v>06. Educación, infancia, juventud e igualdad</v>
      </c>
      <c r="U1243" s="35" t="str">
        <f>MID(Tabla1[[#This Row],[Aplicación]],9,4)</f>
        <v>3232</v>
      </c>
      <c r="V1243" s="35" t="str">
        <f>VLOOKUP(Tabla1[[#This Row],[PROGRAMA]],Hoja1!A:B,2,FALSE)</f>
        <v>3232. Conservación y mantenimiento centros educación infantil y primaria</v>
      </c>
      <c r="W1243" s="35" t="str">
        <f>MID(Tabla1[[#This Row],[Aplicación]],14,2)</f>
        <v>21</v>
      </c>
      <c r="X1243" s="35" t="str">
        <f>MID(Tabla1[[#This Row],[Aplicación]],14,6)</f>
        <v>212</v>
      </c>
    </row>
    <row r="1244" spans="1:24" x14ac:dyDescent="0.25">
      <c r="A1244" s="45">
        <v>220210003757</v>
      </c>
      <c r="B1244" s="46" t="s">
        <v>9</v>
      </c>
      <c r="C1244" s="47">
        <v>44243</v>
      </c>
      <c r="D1244" s="45">
        <v>22021002619</v>
      </c>
      <c r="E1244" s="46" t="s">
        <v>944</v>
      </c>
      <c r="F1244" s="48">
        <v>580.79999999999995</v>
      </c>
      <c r="G1244" s="46" t="s">
        <v>276</v>
      </c>
      <c r="H1244" s="46" t="s">
        <v>2422</v>
      </c>
      <c r="I1244" s="45" t="s">
        <v>125</v>
      </c>
      <c r="J1244" s="46" t="s">
        <v>713</v>
      </c>
      <c r="K1244" s="46" t="s">
        <v>126</v>
      </c>
      <c r="L1244" s="46" t="s">
        <v>12</v>
      </c>
      <c r="M1244" s="46" t="s">
        <v>10</v>
      </c>
      <c r="N1244" s="46" t="s">
        <v>11</v>
      </c>
      <c r="O1244" s="49" t="s">
        <v>815</v>
      </c>
      <c r="P1244" s="46" t="s">
        <v>507</v>
      </c>
      <c r="Q1244" s="35" t="str">
        <f>MID(Tabla1[[#This Row],[Aplicación]],14,1)</f>
        <v>2</v>
      </c>
      <c r="R1244" s="35" t="s">
        <v>495</v>
      </c>
      <c r="S1244" s="35" t="str">
        <f>MID(Tabla1[[#This Row],[Aplicación]],6,2)</f>
        <v>11</v>
      </c>
      <c r="T1244" s="35" t="str">
        <f>VLOOKUP(Tabla1[[#This Row],[AREA]],Hoja1!A:B,2,FALSE)</f>
        <v>11. Salud pública y seguridad ciudadana</v>
      </c>
      <c r="U1244" s="35" t="str">
        <f>MID(Tabla1[[#This Row],[Aplicación]],9,4)</f>
        <v>1621</v>
      </c>
      <c r="V1244" s="35" t="str">
        <f>VLOOKUP(Tabla1[[#This Row],[PROGRAMA]],Hoja1!A:B,2,FALSE)</f>
        <v>1621. Servicio de limpieza</v>
      </c>
      <c r="W1244" s="35" t="str">
        <f>MID(Tabla1[[#This Row],[Aplicación]],14,2)</f>
        <v>21</v>
      </c>
      <c r="X1244" s="35" t="str">
        <f>MID(Tabla1[[#This Row],[Aplicación]],14,6)</f>
        <v>213</v>
      </c>
    </row>
    <row r="1245" spans="1:24" x14ac:dyDescent="0.25">
      <c r="A1245" s="45">
        <v>220199000280</v>
      </c>
      <c r="B1245" s="46" t="s">
        <v>9</v>
      </c>
      <c r="C1245" s="47">
        <v>44198</v>
      </c>
      <c r="D1245" s="45">
        <v>22021000696</v>
      </c>
      <c r="E1245" s="46" t="s">
        <v>838</v>
      </c>
      <c r="F1245" s="48">
        <v>45375</v>
      </c>
      <c r="G1245" s="46" t="s">
        <v>570</v>
      </c>
      <c r="H1245" s="46" t="s">
        <v>641</v>
      </c>
      <c r="I1245" s="45" t="s">
        <v>125</v>
      </c>
      <c r="J1245" s="46" t="s">
        <v>146</v>
      </c>
      <c r="K1245" s="46" t="s">
        <v>146</v>
      </c>
      <c r="L1245" s="46" t="s">
        <v>12</v>
      </c>
      <c r="M1245" s="46" t="s">
        <v>13</v>
      </c>
      <c r="N1245" s="46" t="s">
        <v>14</v>
      </c>
      <c r="O1245" s="49" t="s">
        <v>803</v>
      </c>
      <c r="P1245" s="46" t="s">
        <v>507</v>
      </c>
      <c r="Q1245" s="35" t="str">
        <f>MID(Tabla1[[#This Row],[Aplicación]],14,1)</f>
        <v>6</v>
      </c>
      <c r="R1245" s="35" t="s">
        <v>496</v>
      </c>
      <c r="S1245" s="35" t="str">
        <f>MID(Tabla1[[#This Row],[Aplicación]],6,2)</f>
        <v>07</v>
      </c>
      <c r="T1245" s="35" t="str">
        <f>VLOOKUP(Tabla1[[#This Row],[AREA]],Hoja1!A:B,2,FALSE)</f>
        <v>07. Medio ambiente y desarrollo sostenible</v>
      </c>
      <c r="U1245" s="35" t="str">
        <f>MID(Tabla1[[#This Row],[Aplicación]],9,4)</f>
        <v>1711</v>
      </c>
      <c r="V1245" s="35" t="str">
        <f>VLOOKUP(Tabla1[[#This Row],[PROGRAMA]],Hoja1!A:B,2,FALSE)</f>
        <v>1711. Parques y jardines</v>
      </c>
      <c r="W1245" s="35" t="str">
        <f>MID(Tabla1[[#This Row],[Aplicación]],14,2)</f>
        <v>61</v>
      </c>
      <c r="X1245" s="35" t="str">
        <f>MID(Tabla1[[#This Row],[Aplicación]],14,6)</f>
        <v>610</v>
      </c>
    </row>
    <row r="1246" spans="1:24" x14ac:dyDescent="0.25">
      <c r="A1246" s="45">
        <v>220210006043</v>
      </c>
      <c r="B1246" s="46" t="s">
        <v>9</v>
      </c>
      <c r="C1246" s="47">
        <v>44251</v>
      </c>
      <c r="D1246" s="45">
        <v>22021002762</v>
      </c>
      <c r="E1246" s="46" t="s">
        <v>844</v>
      </c>
      <c r="F1246" s="48">
        <v>582.4</v>
      </c>
      <c r="G1246" s="46" t="s">
        <v>558</v>
      </c>
      <c r="H1246" s="46" t="s">
        <v>2423</v>
      </c>
      <c r="I1246" s="45" t="s">
        <v>125</v>
      </c>
      <c r="J1246" s="46" t="s">
        <v>127</v>
      </c>
      <c r="K1246" s="46" t="s">
        <v>127</v>
      </c>
      <c r="L1246" s="46" t="s">
        <v>15</v>
      </c>
      <c r="M1246" s="46" t="s">
        <v>10</v>
      </c>
      <c r="N1246" s="46" t="s">
        <v>11</v>
      </c>
      <c r="O1246" s="49" t="s">
        <v>815</v>
      </c>
      <c r="P1246" s="46" t="s">
        <v>507</v>
      </c>
      <c r="Q1246" s="35" t="str">
        <f>MID(Tabla1[[#This Row],[Aplicación]],14,1)</f>
        <v>2</v>
      </c>
      <c r="R1246" s="35" t="s">
        <v>495</v>
      </c>
      <c r="S1246" s="35" t="str">
        <f>MID(Tabla1[[#This Row],[Aplicación]],6,2)</f>
        <v>10</v>
      </c>
      <c r="T1246" s="35" t="str">
        <f>VLOOKUP(Tabla1[[#This Row],[AREA]],Hoja1!A:B,2,FALSE)</f>
        <v>10. Servicios sociales y mediación comunitaria</v>
      </c>
      <c r="U1246" s="35" t="str">
        <f>MID(Tabla1[[#This Row],[Aplicación]],9,4)</f>
        <v>2312</v>
      </c>
      <c r="V1246" s="35" t="str">
        <f>VLOOKUP(Tabla1[[#This Row],[PROGRAMA]],Hoja1!A:B,2,FALSE)</f>
        <v>2312. Iniciativas sociales</v>
      </c>
      <c r="W1246" s="35" t="str">
        <f>MID(Tabla1[[#This Row],[Aplicación]],14,2)</f>
        <v>21</v>
      </c>
      <c r="X1246" s="35" t="str">
        <f>MID(Tabla1[[#This Row],[Aplicación]],14,6)</f>
        <v>212</v>
      </c>
    </row>
    <row r="1247" spans="1:24" x14ac:dyDescent="0.25">
      <c r="A1247" s="45">
        <v>220210002357</v>
      </c>
      <c r="B1247" s="46" t="s">
        <v>9</v>
      </c>
      <c r="C1247" s="47">
        <v>44231</v>
      </c>
      <c r="D1247" s="45">
        <v>22021002077</v>
      </c>
      <c r="E1247" s="46" t="s">
        <v>1263</v>
      </c>
      <c r="F1247" s="48">
        <v>592.20000000000005</v>
      </c>
      <c r="G1247" s="46" t="s">
        <v>163</v>
      </c>
      <c r="H1247" s="46" t="s">
        <v>2424</v>
      </c>
      <c r="I1247" s="45" t="s">
        <v>125</v>
      </c>
      <c r="J1247" s="46" t="s">
        <v>127</v>
      </c>
      <c r="K1247" s="46" t="s">
        <v>126</v>
      </c>
      <c r="L1247" s="46" t="s">
        <v>12</v>
      </c>
      <c r="M1247" s="46" t="s">
        <v>10</v>
      </c>
      <c r="N1247" s="46" t="s">
        <v>11</v>
      </c>
      <c r="O1247" s="49" t="s">
        <v>815</v>
      </c>
      <c r="P1247" s="46" t="s">
        <v>507</v>
      </c>
      <c r="Q1247" s="35" t="str">
        <f>MID(Tabla1[[#This Row],[Aplicación]],14,1)</f>
        <v>2</v>
      </c>
      <c r="R1247" s="35" t="s">
        <v>495</v>
      </c>
      <c r="S1247" s="35" t="str">
        <f>MID(Tabla1[[#This Row],[Aplicación]],6,2)</f>
        <v>02</v>
      </c>
      <c r="T1247" s="35" t="str">
        <f>VLOOKUP(Tabla1[[#This Row],[AREA]],Hoja1!A:B,2,FALSE)</f>
        <v>02. Planeamiento urbanístico y vivienda</v>
      </c>
      <c r="U1247" s="35" t="str">
        <f>MID(Tabla1[[#This Row],[Aplicación]],9,4)</f>
        <v>9332</v>
      </c>
      <c r="V1247" s="35" t="str">
        <f>VLOOKUP(Tabla1[[#This Row],[PROGRAMA]],Hoja1!A:B,2,FALSE)</f>
        <v>9332. Mantenimiento de edificios e instalaciones municipales</v>
      </c>
      <c r="W1247" s="35" t="str">
        <f>MID(Tabla1[[#This Row],[Aplicación]],14,2)</f>
        <v>21</v>
      </c>
      <c r="X1247" s="35" t="str">
        <f>MID(Tabla1[[#This Row],[Aplicación]],14,6)</f>
        <v>213</v>
      </c>
    </row>
    <row r="1248" spans="1:24" x14ac:dyDescent="0.25">
      <c r="A1248" s="45">
        <v>220210001913</v>
      </c>
      <c r="B1248" s="46" t="s">
        <v>9</v>
      </c>
      <c r="C1248" s="47">
        <v>44231</v>
      </c>
      <c r="D1248" s="45">
        <v>22021002204</v>
      </c>
      <c r="E1248" s="46" t="s">
        <v>1183</v>
      </c>
      <c r="F1248" s="48">
        <v>595.32000000000005</v>
      </c>
      <c r="G1248" s="46" t="s">
        <v>2425</v>
      </c>
      <c r="H1248" s="46" t="s">
        <v>2426</v>
      </c>
      <c r="I1248" s="45" t="s">
        <v>125</v>
      </c>
      <c r="J1248" s="46" t="s">
        <v>674</v>
      </c>
      <c r="K1248" s="46" t="s">
        <v>127</v>
      </c>
      <c r="L1248" s="46" t="s">
        <v>15</v>
      </c>
      <c r="M1248" s="46" t="s">
        <v>10</v>
      </c>
      <c r="N1248" s="46" t="s">
        <v>11</v>
      </c>
      <c r="O1248" s="49" t="s">
        <v>815</v>
      </c>
      <c r="P1248" s="46" t="s">
        <v>507</v>
      </c>
      <c r="Q1248" s="35" t="str">
        <f>MID(Tabla1[[#This Row],[Aplicación]],14,1)</f>
        <v>2</v>
      </c>
      <c r="R1248" s="35" t="s">
        <v>495</v>
      </c>
      <c r="S1248" s="35" t="str">
        <f>MID(Tabla1[[#This Row],[Aplicación]],6,2)</f>
        <v>11</v>
      </c>
      <c r="T1248" s="35" t="str">
        <f>VLOOKUP(Tabla1[[#This Row],[AREA]],Hoja1!A:B,2,FALSE)</f>
        <v>11. Salud pública y seguridad ciudadana</v>
      </c>
      <c r="U1248" s="35" t="str">
        <f>MID(Tabla1[[#This Row],[Aplicación]],9,4)</f>
        <v>1361</v>
      </c>
      <c r="V1248" s="35" t="str">
        <f>VLOOKUP(Tabla1[[#This Row],[PROGRAMA]],Hoja1!A:B,2,FALSE)</f>
        <v>1361. Prevención y extinción de incencios</v>
      </c>
      <c r="W1248" s="35" t="str">
        <f>MID(Tabla1[[#This Row],[Aplicación]],14,2)</f>
        <v>22</v>
      </c>
      <c r="X1248" s="35" t="str">
        <f>MID(Tabla1[[#This Row],[Aplicación]],14,6)</f>
        <v>22199</v>
      </c>
    </row>
    <row r="1249" spans="1:24" x14ac:dyDescent="0.25">
      <c r="A1249" s="45">
        <v>220210008406</v>
      </c>
      <c r="B1249" s="46" t="s">
        <v>9</v>
      </c>
      <c r="C1249" s="47">
        <v>44266</v>
      </c>
      <c r="D1249" s="45">
        <v>22021003358</v>
      </c>
      <c r="E1249" s="46" t="s">
        <v>1183</v>
      </c>
      <c r="F1249" s="48">
        <v>600</v>
      </c>
      <c r="G1249" s="46" t="s">
        <v>300</v>
      </c>
      <c r="H1249" s="46" t="s">
        <v>2427</v>
      </c>
      <c r="I1249" s="45" t="s">
        <v>125</v>
      </c>
      <c r="J1249" s="46" t="s">
        <v>613</v>
      </c>
      <c r="K1249" s="46" t="s">
        <v>127</v>
      </c>
      <c r="L1249" s="46" t="s">
        <v>15</v>
      </c>
      <c r="M1249" s="46" t="s">
        <v>10</v>
      </c>
      <c r="N1249" s="46" t="s">
        <v>11</v>
      </c>
      <c r="O1249" s="49" t="s">
        <v>815</v>
      </c>
      <c r="P1249" s="46" t="s">
        <v>507</v>
      </c>
      <c r="Q1249" s="35" t="str">
        <f>MID(Tabla1[[#This Row],[Aplicación]],14,1)</f>
        <v>2</v>
      </c>
      <c r="R1249" s="35" t="s">
        <v>495</v>
      </c>
      <c r="S1249" s="35" t="str">
        <f>MID(Tabla1[[#This Row],[Aplicación]],6,2)</f>
        <v>11</v>
      </c>
      <c r="T1249" s="35" t="str">
        <f>VLOOKUP(Tabla1[[#This Row],[AREA]],Hoja1!A:B,2,FALSE)</f>
        <v>11. Salud pública y seguridad ciudadana</v>
      </c>
      <c r="U1249" s="35" t="str">
        <f>MID(Tabla1[[#This Row],[Aplicación]],9,4)</f>
        <v>1361</v>
      </c>
      <c r="V1249" s="35" t="str">
        <f>VLOOKUP(Tabla1[[#This Row],[PROGRAMA]],Hoja1!A:B,2,FALSE)</f>
        <v>1361. Prevención y extinción de incencios</v>
      </c>
      <c r="W1249" s="35" t="str">
        <f>MID(Tabla1[[#This Row],[Aplicación]],14,2)</f>
        <v>22</v>
      </c>
      <c r="X1249" s="35" t="str">
        <f>MID(Tabla1[[#This Row],[Aplicación]],14,6)</f>
        <v>22199</v>
      </c>
    </row>
    <row r="1250" spans="1:24" x14ac:dyDescent="0.25">
      <c r="A1250" s="45">
        <v>220210002413</v>
      </c>
      <c r="B1250" s="46" t="s">
        <v>9</v>
      </c>
      <c r="C1250" s="47">
        <v>44235</v>
      </c>
      <c r="D1250" s="45">
        <v>22021002347</v>
      </c>
      <c r="E1250" s="46" t="s">
        <v>950</v>
      </c>
      <c r="F1250" s="48">
        <v>600</v>
      </c>
      <c r="G1250" s="46" t="s">
        <v>314</v>
      </c>
      <c r="H1250" s="46" t="s">
        <v>2428</v>
      </c>
      <c r="I1250" s="45" t="s">
        <v>125</v>
      </c>
      <c r="J1250" s="46" t="s">
        <v>127</v>
      </c>
      <c r="K1250" s="46" t="s">
        <v>127</v>
      </c>
      <c r="L1250" s="46" t="s">
        <v>15</v>
      </c>
      <c r="M1250" s="46" t="s">
        <v>10</v>
      </c>
      <c r="N1250" s="46" t="s">
        <v>11</v>
      </c>
      <c r="O1250" s="49" t="s">
        <v>815</v>
      </c>
      <c r="P1250" s="46" t="s">
        <v>507</v>
      </c>
      <c r="Q1250" s="35" t="str">
        <f>MID(Tabla1[[#This Row],[Aplicación]],14,1)</f>
        <v>2</v>
      </c>
      <c r="R1250" s="35" t="s">
        <v>495</v>
      </c>
      <c r="S1250" s="35" t="str">
        <f>MID(Tabla1[[#This Row],[Aplicación]],6,2)</f>
        <v>11</v>
      </c>
      <c r="T1250" s="35" t="str">
        <f>VLOOKUP(Tabla1[[#This Row],[AREA]],Hoja1!A:B,2,FALSE)</f>
        <v>11. Salud pública y seguridad ciudadana</v>
      </c>
      <c r="U1250" s="35" t="str">
        <f>MID(Tabla1[[#This Row],[Aplicación]],9,4)</f>
        <v>1321</v>
      </c>
      <c r="V1250" s="35" t="str">
        <f>VLOOKUP(Tabla1[[#This Row],[PROGRAMA]],Hoja1!A:B,2,FALSE)</f>
        <v>1321. Policía municipal</v>
      </c>
      <c r="W1250" s="35" t="str">
        <f>MID(Tabla1[[#This Row],[Aplicación]],14,2)</f>
        <v>21</v>
      </c>
      <c r="X1250" s="35" t="str">
        <f>MID(Tabla1[[#This Row],[Aplicación]],14,6)</f>
        <v>213</v>
      </c>
    </row>
    <row r="1251" spans="1:24" x14ac:dyDescent="0.25">
      <c r="A1251" s="45">
        <v>220210001358</v>
      </c>
      <c r="B1251" s="46" t="s">
        <v>9</v>
      </c>
      <c r="C1251" s="47">
        <v>44228</v>
      </c>
      <c r="D1251" s="45">
        <v>22021001247</v>
      </c>
      <c r="E1251" s="46" t="s">
        <v>1382</v>
      </c>
      <c r="F1251" s="48">
        <v>600</v>
      </c>
      <c r="G1251" s="46" t="s">
        <v>116</v>
      </c>
      <c r="H1251" s="46" t="s">
        <v>2429</v>
      </c>
      <c r="I1251" s="45" t="s">
        <v>125</v>
      </c>
      <c r="J1251" s="46" t="s">
        <v>127</v>
      </c>
      <c r="K1251" s="46" t="s">
        <v>127</v>
      </c>
      <c r="L1251" s="46" t="s">
        <v>15</v>
      </c>
      <c r="M1251" s="46" t="s">
        <v>10</v>
      </c>
      <c r="N1251" s="46" t="s">
        <v>11</v>
      </c>
      <c r="O1251" s="49" t="s">
        <v>815</v>
      </c>
      <c r="P1251" s="46" t="s">
        <v>507</v>
      </c>
      <c r="Q1251" s="35" t="str">
        <f>MID(Tabla1[[#This Row],[Aplicación]],14,1)</f>
        <v>2</v>
      </c>
      <c r="R1251" s="35" t="s">
        <v>495</v>
      </c>
      <c r="S1251" s="35" t="str">
        <f>MID(Tabla1[[#This Row],[Aplicación]],6,2)</f>
        <v>11</v>
      </c>
      <c r="T1251" s="35" t="str">
        <f>VLOOKUP(Tabla1[[#This Row],[AREA]],Hoja1!A:B,2,FALSE)</f>
        <v>11. Salud pública y seguridad ciudadana</v>
      </c>
      <c r="U1251" s="35" t="str">
        <f>MID(Tabla1[[#This Row],[Aplicación]],9,4)</f>
        <v>1631</v>
      </c>
      <c r="V1251" s="35" t="str">
        <f>VLOOKUP(Tabla1[[#This Row],[PROGRAMA]],Hoja1!A:B,2,FALSE)</f>
        <v>1631. Limpieza viaria</v>
      </c>
      <c r="W1251" s="35" t="str">
        <f>MID(Tabla1[[#This Row],[Aplicación]],14,2)</f>
        <v>21</v>
      </c>
      <c r="X1251" s="35" t="str">
        <f>MID(Tabla1[[#This Row],[Aplicación]],14,6)</f>
        <v>214</v>
      </c>
    </row>
    <row r="1252" spans="1:24" x14ac:dyDescent="0.25">
      <c r="A1252" s="45">
        <v>220210006955</v>
      </c>
      <c r="B1252" s="46" t="s">
        <v>9</v>
      </c>
      <c r="C1252" s="47">
        <v>44259</v>
      </c>
      <c r="D1252" s="45">
        <v>22021003122</v>
      </c>
      <c r="E1252" s="46" t="s">
        <v>2430</v>
      </c>
      <c r="F1252" s="48">
        <v>604.52</v>
      </c>
      <c r="G1252" s="46" t="s">
        <v>757</v>
      </c>
      <c r="H1252" s="46" t="s">
        <v>2431</v>
      </c>
      <c r="I1252" s="45" t="s">
        <v>125</v>
      </c>
      <c r="J1252" s="46" t="s">
        <v>146</v>
      </c>
      <c r="K1252" s="46" t="s">
        <v>146</v>
      </c>
      <c r="L1252" s="46" t="s">
        <v>15</v>
      </c>
      <c r="M1252" s="46" t="s">
        <v>10</v>
      </c>
      <c r="N1252" s="46" t="s">
        <v>11</v>
      </c>
      <c r="O1252" s="49" t="s">
        <v>815</v>
      </c>
      <c r="P1252" s="46" t="s">
        <v>507</v>
      </c>
      <c r="Q1252" s="35" t="str">
        <f>MID(Tabla1[[#This Row],[Aplicación]],14,1)</f>
        <v>2</v>
      </c>
      <c r="R1252" s="35" t="s">
        <v>495</v>
      </c>
      <c r="S1252" s="35" t="str">
        <f>MID(Tabla1[[#This Row],[Aplicación]],6,2)</f>
        <v>04</v>
      </c>
      <c r="T1252" s="35" t="str">
        <f>VLOOKUP(Tabla1[[#This Row],[AREA]],Hoja1!A:B,2,FALSE)</f>
        <v>04. Planificación y recursos</v>
      </c>
      <c r="U1252" s="35" t="str">
        <f>MID(Tabla1[[#This Row],[Aplicación]],9,4)</f>
        <v>9231</v>
      </c>
      <c r="V1252" s="35" t="str">
        <f>VLOOKUP(Tabla1[[#This Row],[PROGRAMA]],Hoja1!A:B,2,FALSE)</f>
        <v>9231. Información, registro y gestión del padrón</v>
      </c>
      <c r="W1252" s="35" t="str">
        <f>MID(Tabla1[[#This Row],[Aplicación]],14,2)</f>
        <v>22</v>
      </c>
      <c r="X1252" s="35" t="str">
        <f>MID(Tabla1[[#This Row],[Aplicación]],14,6)</f>
        <v>22199</v>
      </c>
    </row>
    <row r="1253" spans="1:24" x14ac:dyDescent="0.25">
      <c r="A1253" s="45">
        <v>220210002432</v>
      </c>
      <c r="B1253" s="46" t="s">
        <v>9</v>
      </c>
      <c r="C1253" s="47">
        <v>44235</v>
      </c>
      <c r="D1253" s="45">
        <v>22021002272</v>
      </c>
      <c r="E1253" s="46" t="s">
        <v>1183</v>
      </c>
      <c r="F1253" s="48">
        <v>605</v>
      </c>
      <c r="G1253" s="46" t="s">
        <v>220</v>
      </c>
      <c r="H1253" s="46" t="s">
        <v>2432</v>
      </c>
      <c r="I1253" s="45" t="s">
        <v>125</v>
      </c>
      <c r="J1253" s="46" t="s">
        <v>127</v>
      </c>
      <c r="K1253" s="46" t="s">
        <v>127</v>
      </c>
      <c r="L1253" s="46" t="s">
        <v>15</v>
      </c>
      <c r="M1253" s="46" t="s">
        <v>10</v>
      </c>
      <c r="N1253" s="46" t="s">
        <v>11</v>
      </c>
      <c r="O1253" s="49" t="s">
        <v>815</v>
      </c>
      <c r="P1253" s="46" t="s">
        <v>507</v>
      </c>
      <c r="Q1253" s="35" t="str">
        <f>MID(Tabla1[[#This Row],[Aplicación]],14,1)</f>
        <v>2</v>
      </c>
      <c r="R1253" s="35" t="s">
        <v>495</v>
      </c>
      <c r="S1253" s="35" t="str">
        <f>MID(Tabla1[[#This Row],[Aplicación]],6,2)</f>
        <v>11</v>
      </c>
      <c r="T1253" s="35" t="str">
        <f>VLOOKUP(Tabla1[[#This Row],[AREA]],Hoja1!A:B,2,FALSE)</f>
        <v>11. Salud pública y seguridad ciudadana</v>
      </c>
      <c r="U1253" s="35" t="str">
        <f>MID(Tabla1[[#This Row],[Aplicación]],9,4)</f>
        <v>1361</v>
      </c>
      <c r="V1253" s="35" t="str">
        <f>VLOOKUP(Tabla1[[#This Row],[PROGRAMA]],Hoja1!A:B,2,FALSE)</f>
        <v>1361. Prevención y extinción de incencios</v>
      </c>
      <c r="W1253" s="35" t="str">
        <f>MID(Tabla1[[#This Row],[Aplicación]],14,2)</f>
        <v>22</v>
      </c>
      <c r="X1253" s="35" t="str">
        <f>MID(Tabla1[[#This Row],[Aplicación]],14,6)</f>
        <v>22199</v>
      </c>
    </row>
    <row r="1254" spans="1:24" x14ac:dyDescent="0.25">
      <c r="A1254" s="45">
        <v>220210009385</v>
      </c>
      <c r="B1254" s="46" t="s">
        <v>9</v>
      </c>
      <c r="C1254" s="47">
        <v>44270</v>
      </c>
      <c r="D1254" s="45">
        <v>22021003397</v>
      </c>
      <c r="E1254" s="46" t="s">
        <v>1183</v>
      </c>
      <c r="F1254" s="48">
        <v>605</v>
      </c>
      <c r="G1254" s="46" t="s">
        <v>2433</v>
      </c>
      <c r="H1254" s="46" t="s">
        <v>2434</v>
      </c>
      <c r="I1254" s="45" t="s">
        <v>125</v>
      </c>
      <c r="J1254" s="46" t="s">
        <v>777</v>
      </c>
      <c r="K1254" s="46" t="s">
        <v>127</v>
      </c>
      <c r="L1254" s="46" t="s">
        <v>15</v>
      </c>
      <c r="M1254" s="46" t="s">
        <v>10</v>
      </c>
      <c r="N1254" s="46" t="s">
        <v>11</v>
      </c>
      <c r="O1254" s="49" t="s">
        <v>815</v>
      </c>
      <c r="P1254" s="46" t="s">
        <v>507</v>
      </c>
      <c r="Q1254" s="35" t="str">
        <f>MID(Tabla1[[#This Row],[Aplicación]],14,1)</f>
        <v>2</v>
      </c>
      <c r="R1254" s="35" t="s">
        <v>495</v>
      </c>
      <c r="S1254" s="35" t="str">
        <f>MID(Tabla1[[#This Row],[Aplicación]],6,2)</f>
        <v>11</v>
      </c>
      <c r="T1254" s="35" t="str">
        <f>VLOOKUP(Tabla1[[#This Row],[AREA]],Hoja1!A:B,2,FALSE)</f>
        <v>11. Salud pública y seguridad ciudadana</v>
      </c>
      <c r="U1254" s="35" t="str">
        <f>MID(Tabla1[[#This Row],[Aplicación]],9,4)</f>
        <v>1361</v>
      </c>
      <c r="V1254" s="35" t="str">
        <f>VLOOKUP(Tabla1[[#This Row],[PROGRAMA]],Hoja1!A:B,2,FALSE)</f>
        <v>1361. Prevención y extinción de incencios</v>
      </c>
      <c r="W1254" s="35" t="str">
        <f>MID(Tabla1[[#This Row],[Aplicación]],14,2)</f>
        <v>22</v>
      </c>
      <c r="X1254" s="35" t="str">
        <f>MID(Tabla1[[#This Row],[Aplicación]],14,6)</f>
        <v>22199</v>
      </c>
    </row>
    <row r="1255" spans="1:24" x14ac:dyDescent="0.25">
      <c r="A1255" s="45">
        <v>220210000222</v>
      </c>
      <c r="B1255" s="46" t="s">
        <v>9</v>
      </c>
      <c r="C1255" s="47">
        <v>44216</v>
      </c>
      <c r="D1255" s="45">
        <v>22021000672</v>
      </c>
      <c r="E1255" s="46" t="s">
        <v>921</v>
      </c>
      <c r="F1255" s="48">
        <v>895.4</v>
      </c>
      <c r="G1255" s="46" t="s">
        <v>59</v>
      </c>
      <c r="H1255" s="46" t="s">
        <v>2435</v>
      </c>
      <c r="I1255" s="45" t="s">
        <v>125</v>
      </c>
      <c r="J1255" s="46" t="s">
        <v>127</v>
      </c>
      <c r="K1255" s="46" t="s">
        <v>127</v>
      </c>
      <c r="L1255" s="46" t="s">
        <v>12</v>
      </c>
      <c r="M1255" s="46" t="s">
        <v>10</v>
      </c>
      <c r="N1255" s="46" t="s">
        <v>11</v>
      </c>
      <c r="O1255" s="49" t="s">
        <v>815</v>
      </c>
      <c r="P1255" s="46" t="s">
        <v>507</v>
      </c>
      <c r="Q1255" s="35" t="str">
        <f>MID(Tabla1[[#This Row],[Aplicación]],14,1)</f>
        <v>2</v>
      </c>
      <c r="R1255" s="35" t="s">
        <v>495</v>
      </c>
      <c r="S1255" s="35" t="str">
        <f>MID(Tabla1[[#This Row],[Aplicación]],6,2)</f>
        <v>04</v>
      </c>
      <c r="T1255" s="35" t="str">
        <f>VLOOKUP(Tabla1[[#This Row],[AREA]],Hoja1!A:B,2,FALSE)</f>
        <v>04. Planificación y recursos</v>
      </c>
      <c r="U1255" s="35" t="str">
        <f>MID(Tabla1[[#This Row],[Aplicación]],9,4)</f>
        <v>9204</v>
      </c>
      <c r="V1255" s="35" t="str">
        <f>VLOOKUP(Tabla1[[#This Row],[PROGRAMA]],Hoja1!A:B,2,FALSE)</f>
        <v>9204. Tecnologías de la información y comunicación</v>
      </c>
      <c r="W1255" s="35" t="str">
        <f>MID(Tabla1[[#This Row],[Aplicación]],14,2)</f>
        <v>21</v>
      </c>
      <c r="X1255" s="35" t="str">
        <f>MID(Tabla1[[#This Row],[Aplicación]],14,6)</f>
        <v>213</v>
      </c>
    </row>
    <row r="1256" spans="1:24" x14ac:dyDescent="0.25">
      <c r="A1256" s="45">
        <v>220210002396</v>
      </c>
      <c r="B1256" s="46" t="s">
        <v>9</v>
      </c>
      <c r="C1256" s="47">
        <v>44235</v>
      </c>
      <c r="D1256" s="45">
        <v>22021002391</v>
      </c>
      <c r="E1256" s="46" t="s">
        <v>1326</v>
      </c>
      <c r="F1256" s="48">
        <v>605</v>
      </c>
      <c r="G1256" s="46" t="s">
        <v>87</v>
      </c>
      <c r="H1256" s="46" t="s">
        <v>2436</v>
      </c>
      <c r="I1256" s="45" t="s">
        <v>125</v>
      </c>
      <c r="J1256" s="46" t="s">
        <v>127</v>
      </c>
      <c r="K1256" s="46" t="s">
        <v>127</v>
      </c>
      <c r="L1256" s="46" t="s">
        <v>15</v>
      </c>
      <c r="M1256" s="46" t="s">
        <v>10</v>
      </c>
      <c r="N1256" s="46" t="s">
        <v>11</v>
      </c>
      <c r="O1256" s="49" t="s">
        <v>815</v>
      </c>
      <c r="P1256" s="46" t="s">
        <v>507</v>
      </c>
      <c r="Q1256" s="35" t="str">
        <f>MID(Tabla1[[#This Row],[Aplicación]],14,1)</f>
        <v>2</v>
      </c>
      <c r="R1256" s="35" t="s">
        <v>495</v>
      </c>
      <c r="S1256" s="35" t="str">
        <f>MID(Tabla1[[#This Row],[Aplicación]],6,2)</f>
        <v>08</v>
      </c>
      <c r="T1256" s="35" t="str">
        <f>VLOOKUP(Tabla1[[#This Row],[AREA]],Hoja1!A:B,2,FALSE)</f>
        <v>08. Movilidad y espacio urbano</v>
      </c>
      <c r="U1256" s="35" t="str">
        <f>MID(Tabla1[[#This Row],[Aplicación]],9,4)</f>
        <v>1651</v>
      </c>
      <c r="V1256" s="35" t="str">
        <f>VLOOKUP(Tabla1[[#This Row],[PROGRAMA]],Hoja1!A:B,2,FALSE)</f>
        <v>1651. Alumbrado público</v>
      </c>
      <c r="W1256" s="35" t="str">
        <f>MID(Tabla1[[#This Row],[Aplicación]],14,2)</f>
        <v>22</v>
      </c>
      <c r="X1256" s="35" t="str">
        <f>MID(Tabla1[[#This Row],[Aplicación]],14,6)</f>
        <v>22199</v>
      </c>
    </row>
    <row r="1257" spans="1:24" x14ac:dyDescent="0.25">
      <c r="A1257" s="45">
        <v>220210001387</v>
      </c>
      <c r="B1257" s="46" t="s">
        <v>9</v>
      </c>
      <c r="C1257" s="47">
        <v>44228</v>
      </c>
      <c r="D1257" s="45">
        <v>22021002170</v>
      </c>
      <c r="E1257" s="46" t="s">
        <v>944</v>
      </c>
      <c r="F1257" s="48">
        <v>3507</v>
      </c>
      <c r="G1257" s="46" t="s">
        <v>59</v>
      </c>
      <c r="H1257" s="46" t="s">
        <v>2437</v>
      </c>
      <c r="I1257" s="45" t="s">
        <v>125</v>
      </c>
      <c r="J1257" s="46" t="s">
        <v>127</v>
      </c>
      <c r="K1257" s="46" t="s">
        <v>127</v>
      </c>
      <c r="L1257" s="46" t="s">
        <v>12</v>
      </c>
      <c r="M1257" s="46" t="s">
        <v>10</v>
      </c>
      <c r="N1257" s="46" t="s">
        <v>11</v>
      </c>
      <c r="O1257" s="49" t="s">
        <v>815</v>
      </c>
      <c r="P1257" s="46" t="s">
        <v>507</v>
      </c>
      <c r="Q1257" s="35" t="str">
        <f>MID(Tabla1[[#This Row],[Aplicación]],14,1)</f>
        <v>2</v>
      </c>
      <c r="R1257" s="35" t="s">
        <v>495</v>
      </c>
      <c r="S1257" s="35" t="str">
        <f>MID(Tabla1[[#This Row],[Aplicación]],6,2)</f>
        <v>11</v>
      </c>
      <c r="T1257" s="35" t="str">
        <f>VLOOKUP(Tabla1[[#This Row],[AREA]],Hoja1!A:B,2,FALSE)</f>
        <v>11. Salud pública y seguridad ciudadana</v>
      </c>
      <c r="U1257" s="35" t="str">
        <f>MID(Tabla1[[#This Row],[Aplicación]],9,4)</f>
        <v>1621</v>
      </c>
      <c r="V1257" s="35" t="str">
        <f>VLOOKUP(Tabla1[[#This Row],[PROGRAMA]],Hoja1!A:B,2,FALSE)</f>
        <v>1621. Servicio de limpieza</v>
      </c>
      <c r="W1257" s="35" t="str">
        <f>MID(Tabla1[[#This Row],[Aplicación]],14,2)</f>
        <v>21</v>
      </c>
      <c r="X1257" s="35" t="str">
        <f>MID(Tabla1[[#This Row],[Aplicación]],14,6)</f>
        <v>213</v>
      </c>
    </row>
    <row r="1258" spans="1:24" x14ac:dyDescent="0.25">
      <c r="A1258" s="45">
        <v>220210004227</v>
      </c>
      <c r="B1258" s="46" t="s">
        <v>9</v>
      </c>
      <c r="C1258" s="47">
        <v>44245</v>
      </c>
      <c r="D1258" s="45">
        <v>22021002818</v>
      </c>
      <c r="E1258" s="46" t="s">
        <v>1503</v>
      </c>
      <c r="F1258" s="48">
        <v>4239.84</v>
      </c>
      <c r="G1258" s="46" t="s">
        <v>59</v>
      </c>
      <c r="H1258" s="46" t="s">
        <v>2438</v>
      </c>
      <c r="I1258" s="45" t="s">
        <v>125</v>
      </c>
      <c r="J1258" s="46" t="s">
        <v>127</v>
      </c>
      <c r="K1258" s="46" t="s">
        <v>127</v>
      </c>
      <c r="L1258" s="46" t="s">
        <v>12</v>
      </c>
      <c r="M1258" s="46" t="s">
        <v>10</v>
      </c>
      <c r="N1258" s="46" t="s">
        <v>11</v>
      </c>
      <c r="O1258" s="49" t="s">
        <v>815</v>
      </c>
      <c r="P1258" s="46" t="s">
        <v>507</v>
      </c>
      <c r="Q1258" s="35" t="str">
        <f>MID(Tabla1[[#This Row],[Aplicación]],14,1)</f>
        <v>2</v>
      </c>
      <c r="R1258" s="35" t="s">
        <v>495</v>
      </c>
      <c r="S1258" s="35" t="str">
        <f>MID(Tabla1[[#This Row],[Aplicación]],6,2)</f>
        <v>05</v>
      </c>
      <c r="T1258" s="35" t="str">
        <f>VLOOKUP(Tabla1[[#This Row],[AREA]],Hoja1!A:B,2,FALSE)</f>
        <v>05. Innovación, desarrollo económico, empleo y comercio</v>
      </c>
      <c r="U1258" s="35" t="str">
        <f>MID(Tabla1[[#This Row],[Aplicación]],9,4)</f>
        <v>4331</v>
      </c>
      <c r="V1258" s="35" t="str">
        <f>VLOOKUP(Tabla1[[#This Row],[PROGRAMA]],Hoja1!A:B,2,FALSE)</f>
        <v>4331. Desarrollo empresarial</v>
      </c>
      <c r="W1258" s="35" t="str">
        <f>MID(Tabla1[[#This Row],[Aplicación]],14,2)</f>
        <v>21</v>
      </c>
      <c r="X1258" s="35" t="str">
        <f>MID(Tabla1[[#This Row],[Aplicación]],14,6)</f>
        <v>213</v>
      </c>
    </row>
    <row r="1259" spans="1:24" x14ac:dyDescent="0.25">
      <c r="A1259" s="45">
        <v>220210004218</v>
      </c>
      <c r="B1259" s="46" t="s">
        <v>9</v>
      </c>
      <c r="C1259" s="47">
        <v>44245</v>
      </c>
      <c r="D1259" s="45">
        <v>22021002625</v>
      </c>
      <c r="E1259" s="46" t="s">
        <v>836</v>
      </c>
      <c r="F1259" s="48">
        <v>605</v>
      </c>
      <c r="G1259" s="46" t="s">
        <v>577</v>
      </c>
      <c r="H1259" s="46" t="s">
        <v>2439</v>
      </c>
      <c r="I1259" s="45" t="s">
        <v>125</v>
      </c>
      <c r="J1259" s="46" t="s">
        <v>146</v>
      </c>
      <c r="K1259" s="46" t="s">
        <v>146</v>
      </c>
      <c r="L1259" s="46" t="s">
        <v>12</v>
      </c>
      <c r="M1259" s="46" t="s">
        <v>10</v>
      </c>
      <c r="N1259" s="46" t="s">
        <v>11</v>
      </c>
      <c r="O1259" s="49" t="s">
        <v>815</v>
      </c>
      <c r="P1259" s="46" t="s">
        <v>507</v>
      </c>
      <c r="Q1259" s="35" t="str">
        <f>MID(Tabla1[[#This Row],[Aplicación]],14,1)</f>
        <v>2</v>
      </c>
      <c r="R1259" s="35" t="s">
        <v>495</v>
      </c>
      <c r="S1259" s="35" t="str">
        <f>MID(Tabla1[[#This Row],[Aplicación]],6,2)</f>
        <v>05</v>
      </c>
      <c r="T1259" s="35" t="str">
        <f>VLOOKUP(Tabla1[[#This Row],[AREA]],Hoja1!A:B,2,FALSE)</f>
        <v>05. Innovación, desarrollo económico, empleo y comercio</v>
      </c>
      <c r="U1259" s="35" t="str">
        <f>MID(Tabla1[[#This Row],[Aplicación]],9,4)</f>
        <v>4331</v>
      </c>
      <c r="V1259" s="35" t="str">
        <f>VLOOKUP(Tabla1[[#This Row],[PROGRAMA]],Hoja1!A:B,2,FALSE)</f>
        <v>4331. Desarrollo empresarial</v>
      </c>
      <c r="W1259" s="35" t="str">
        <f>MID(Tabla1[[#This Row],[Aplicación]],14,2)</f>
        <v>22</v>
      </c>
      <c r="X1259" s="35" t="str">
        <f>MID(Tabla1[[#This Row],[Aplicación]],14,6)</f>
        <v>22699</v>
      </c>
    </row>
    <row r="1260" spans="1:24" x14ac:dyDescent="0.25">
      <c r="A1260" s="45">
        <v>220210002408</v>
      </c>
      <c r="B1260" s="46" t="s">
        <v>9</v>
      </c>
      <c r="C1260" s="47">
        <v>44235</v>
      </c>
      <c r="D1260" s="45">
        <v>22021002307</v>
      </c>
      <c r="E1260" s="46" t="s">
        <v>2159</v>
      </c>
      <c r="F1260" s="48">
        <v>606.85</v>
      </c>
      <c r="G1260" s="46" t="s">
        <v>2011</v>
      </c>
      <c r="H1260" s="46" t="s">
        <v>2440</v>
      </c>
      <c r="I1260" s="45" t="s">
        <v>125</v>
      </c>
      <c r="J1260" s="46" t="s">
        <v>127</v>
      </c>
      <c r="K1260" s="46" t="s">
        <v>127</v>
      </c>
      <c r="L1260" s="46" t="s">
        <v>12</v>
      </c>
      <c r="M1260" s="46" t="s">
        <v>10</v>
      </c>
      <c r="N1260" s="46" t="s">
        <v>11</v>
      </c>
      <c r="O1260" s="49" t="s">
        <v>815</v>
      </c>
      <c r="P1260" s="46" t="s">
        <v>507</v>
      </c>
      <c r="Q1260" s="35" t="str">
        <f>MID(Tabla1[[#This Row],[Aplicación]],14,1)</f>
        <v>2</v>
      </c>
      <c r="R1260" s="35" t="s">
        <v>495</v>
      </c>
      <c r="S1260" s="35" t="str">
        <f>MID(Tabla1[[#This Row],[Aplicación]],6,2)</f>
        <v>11</v>
      </c>
      <c r="T1260" s="35" t="str">
        <f>VLOOKUP(Tabla1[[#This Row],[AREA]],Hoja1!A:B,2,FALSE)</f>
        <v>11. Salud pública y seguridad ciudadana</v>
      </c>
      <c r="U1260" s="35" t="str">
        <f>MID(Tabla1[[#This Row],[Aplicación]],9,4)</f>
        <v>3111</v>
      </c>
      <c r="V1260" s="35" t="str">
        <f>VLOOKUP(Tabla1[[#This Row],[PROGRAMA]],Hoja1!A:B,2,FALSE)</f>
        <v>3111. Protección de la salubridad pública</v>
      </c>
      <c r="W1260" s="35" t="str">
        <f>MID(Tabla1[[#This Row],[Aplicación]],14,2)</f>
        <v>21</v>
      </c>
      <c r="X1260" s="35" t="str">
        <f>MID(Tabla1[[#This Row],[Aplicación]],14,6)</f>
        <v>214</v>
      </c>
    </row>
    <row r="1261" spans="1:24" x14ac:dyDescent="0.25">
      <c r="A1261" s="45">
        <v>220210009596</v>
      </c>
      <c r="B1261" s="46" t="s">
        <v>9</v>
      </c>
      <c r="C1261" s="47">
        <v>44271</v>
      </c>
      <c r="D1261" s="45">
        <v>22021003420</v>
      </c>
      <c r="E1261" s="46" t="s">
        <v>1267</v>
      </c>
      <c r="F1261" s="48">
        <v>607.41999999999996</v>
      </c>
      <c r="G1261" s="46" t="s">
        <v>81</v>
      </c>
      <c r="H1261" s="46" t="s">
        <v>2441</v>
      </c>
      <c r="I1261" s="45" t="s">
        <v>125</v>
      </c>
      <c r="J1261" s="46" t="s">
        <v>127</v>
      </c>
      <c r="K1261" s="46" t="s">
        <v>127</v>
      </c>
      <c r="L1261" s="46" t="s">
        <v>12</v>
      </c>
      <c r="M1261" s="46" t="s">
        <v>10</v>
      </c>
      <c r="N1261" s="46" t="s">
        <v>11</v>
      </c>
      <c r="O1261" s="49" t="s">
        <v>815</v>
      </c>
      <c r="P1261" s="46" t="s">
        <v>507</v>
      </c>
      <c r="Q1261" s="35" t="str">
        <f>MID(Tabla1[[#This Row],[Aplicación]],14,1)</f>
        <v>2</v>
      </c>
      <c r="R1261" s="35" t="s">
        <v>495</v>
      </c>
      <c r="S1261" s="35" t="str">
        <f>MID(Tabla1[[#This Row],[Aplicación]],6,2)</f>
        <v>03</v>
      </c>
      <c r="T1261" s="35" t="str">
        <f>VLOOKUP(Tabla1[[#This Row],[AREA]],Hoja1!A:B,2,FALSE)</f>
        <v>03. Participación ciudadana y deportes</v>
      </c>
      <c r="U1261" s="35" t="str">
        <f>MID(Tabla1[[#This Row],[Aplicación]],9,4)</f>
        <v>9241</v>
      </c>
      <c r="V1261" s="35" t="str">
        <f>VLOOKUP(Tabla1[[#This Row],[PROGRAMA]],Hoja1!A:B,2,FALSE)</f>
        <v>9241. Participación ciudadana</v>
      </c>
      <c r="W1261" s="35" t="str">
        <f>MID(Tabla1[[#This Row],[Aplicación]],14,2)</f>
        <v>22</v>
      </c>
      <c r="X1261" s="35" t="str">
        <f>MID(Tabla1[[#This Row],[Aplicación]],14,6)</f>
        <v>22602</v>
      </c>
    </row>
    <row r="1262" spans="1:24" x14ac:dyDescent="0.25">
      <c r="A1262" s="45">
        <v>220210007168</v>
      </c>
      <c r="B1262" s="46" t="s">
        <v>9</v>
      </c>
      <c r="C1262" s="47">
        <v>44263</v>
      </c>
      <c r="D1262" s="45">
        <v>22021002768</v>
      </c>
      <c r="E1262" s="46" t="s">
        <v>1438</v>
      </c>
      <c r="F1262" s="48">
        <v>608</v>
      </c>
      <c r="G1262" s="46" t="s">
        <v>2442</v>
      </c>
      <c r="H1262" s="46" t="s">
        <v>2443</v>
      </c>
      <c r="I1262" s="45" t="s">
        <v>125</v>
      </c>
      <c r="J1262" s="46" t="s">
        <v>126</v>
      </c>
      <c r="K1262" s="46" t="s">
        <v>126</v>
      </c>
      <c r="L1262" s="46" t="s">
        <v>15</v>
      </c>
      <c r="M1262" s="46" t="s">
        <v>10</v>
      </c>
      <c r="N1262" s="46" t="s">
        <v>11</v>
      </c>
      <c r="O1262" s="49" t="s">
        <v>815</v>
      </c>
      <c r="P1262" s="46" t="s">
        <v>507</v>
      </c>
      <c r="Q1262" s="35" t="str">
        <f>MID(Tabla1[[#This Row],[Aplicación]],14,1)</f>
        <v>2</v>
      </c>
      <c r="R1262" s="35" t="s">
        <v>495</v>
      </c>
      <c r="S1262" s="35" t="str">
        <f>MID(Tabla1[[#This Row],[Aplicación]],6,2)</f>
        <v>01</v>
      </c>
      <c r="T1262" s="35" t="str">
        <f>VLOOKUP(Tabla1[[#This Row],[AREA]],Hoja1!A:B,2,FALSE)</f>
        <v>01. Alcaldía</v>
      </c>
      <c r="U1262" s="35" t="str">
        <f>MID(Tabla1[[#This Row],[Aplicación]],9,4)</f>
        <v>9206</v>
      </c>
      <c r="V1262" s="35" t="str">
        <f>VLOOKUP(Tabla1[[#This Row],[PROGRAMA]],Hoja1!A:B,2,FALSE)</f>
        <v>9206. Archivo municipal</v>
      </c>
      <c r="W1262" s="35" t="str">
        <f>MID(Tabla1[[#This Row],[Aplicación]],14,2)</f>
        <v>22</v>
      </c>
      <c r="X1262" s="35" t="str">
        <f>MID(Tabla1[[#This Row],[Aplicación]],14,6)</f>
        <v>22001</v>
      </c>
    </row>
    <row r="1263" spans="1:24" x14ac:dyDescent="0.25">
      <c r="A1263" s="45">
        <v>220209000320</v>
      </c>
      <c r="B1263" s="46" t="s">
        <v>9</v>
      </c>
      <c r="C1263" s="47">
        <v>44198</v>
      </c>
      <c r="D1263" s="45">
        <v>22021000266</v>
      </c>
      <c r="E1263" s="46" t="s">
        <v>2147</v>
      </c>
      <c r="F1263" s="48">
        <v>7199.5</v>
      </c>
      <c r="G1263" s="46" t="s">
        <v>86</v>
      </c>
      <c r="H1263" s="46" t="s">
        <v>2444</v>
      </c>
      <c r="I1263" s="45" t="s">
        <v>125</v>
      </c>
      <c r="J1263" s="46" t="s">
        <v>186</v>
      </c>
      <c r="K1263" s="46" t="s">
        <v>186</v>
      </c>
      <c r="L1263" s="46" t="s">
        <v>12</v>
      </c>
      <c r="M1263" s="46" t="s">
        <v>13</v>
      </c>
      <c r="N1263" s="46" t="s">
        <v>14</v>
      </c>
      <c r="O1263" s="49" t="s">
        <v>803</v>
      </c>
      <c r="P1263" s="46" t="s">
        <v>507</v>
      </c>
      <c r="Q1263" s="35" t="str">
        <f>MID(Tabla1[[#This Row],[Aplicación]],14,1)</f>
        <v>2</v>
      </c>
      <c r="R1263" s="35" t="s">
        <v>495</v>
      </c>
      <c r="S1263" s="35" t="str">
        <f>MID(Tabla1[[#This Row],[Aplicación]],6,2)</f>
        <v>04</v>
      </c>
      <c r="T1263" s="35" t="str">
        <f>VLOOKUP(Tabla1[[#This Row],[AREA]],Hoja1!A:B,2,FALSE)</f>
        <v>04. Planificación y recursos</v>
      </c>
      <c r="U1263" s="35" t="str">
        <f>MID(Tabla1[[#This Row],[Aplicación]],9,4)</f>
        <v>9204</v>
      </c>
      <c r="V1263" s="35" t="str">
        <f>VLOOKUP(Tabla1[[#This Row],[PROGRAMA]],Hoja1!A:B,2,FALSE)</f>
        <v>9204. Tecnologías de la información y comunicación</v>
      </c>
      <c r="W1263" s="35" t="str">
        <f>MID(Tabla1[[#This Row],[Aplicación]],14,2)</f>
        <v>22</v>
      </c>
      <c r="X1263" s="35" t="str">
        <f>MID(Tabla1[[#This Row],[Aplicación]],14,6)</f>
        <v>22200</v>
      </c>
    </row>
    <row r="1264" spans="1:24" x14ac:dyDescent="0.25">
      <c r="A1264" s="45">
        <v>220210000406</v>
      </c>
      <c r="B1264" s="46" t="s">
        <v>32</v>
      </c>
      <c r="C1264" s="47">
        <v>44217</v>
      </c>
      <c r="D1264" s="45">
        <v>22021001258</v>
      </c>
      <c r="E1264" s="46" t="s">
        <v>2382</v>
      </c>
      <c r="F1264" s="48">
        <v>620.30999999999995</v>
      </c>
      <c r="G1264" s="46" t="s">
        <v>202</v>
      </c>
      <c r="H1264" s="46" t="s">
        <v>2445</v>
      </c>
      <c r="I1264" s="45" t="s">
        <v>234</v>
      </c>
      <c r="J1264" s="46" t="s">
        <v>203</v>
      </c>
      <c r="K1264" s="46" t="s">
        <v>203</v>
      </c>
      <c r="L1264" s="46" t="s">
        <v>12</v>
      </c>
      <c r="M1264" s="46" t="s">
        <v>10</v>
      </c>
      <c r="N1264" s="46" t="s">
        <v>11</v>
      </c>
      <c r="O1264" s="49" t="s">
        <v>815</v>
      </c>
      <c r="P1264" s="46" t="s">
        <v>507</v>
      </c>
      <c r="Q1264" s="35" t="str">
        <f>MID(Tabla1[[#This Row],[Aplicación]],14,1)</f>
        <v>2</v>
      </c>
      <c r="R1264" s="35" t="s">
        <v>495</v>
      </c>
      <c r="S1264" s="35" t="str">
        <f>MID(Tabla1[[#This Row],[Aplicación]],6,2)</f>
        <v>04</v>
      </c>
      <c r="T1264" s="35" t="str">
        <f>VLOOKUP(Tabla1[[#This Row],[AREA]],Hoja1!A:B,2,FALSE)</f>
        <v>04. Planificación y recursos</v>
      </c>
      <c r="U1264" s="35" t="str">
        <f>MID(Tabla1[[#This Row],[Aplicación]],9,4)</f>
        <v>9341</v>
      </c>
      <c r="V1264" s="35" t="str">
        <f>VLOOKUP(Tabla1[[#This Row],[PROGRAMA]],Hoja1!A:B,2,FALSE)</f>
        <v>9341. Tesorería y recaudación</v>
      </c>
      <c r="W1264" s="35" t="str">
        <f>MID(Tabla1[[#This Row],[Aplicación]],14,2)</f>
        <v>22</v>
      </c>
      <c r="X1264" s="35" t="str">
        <f>MID(Tabla1[[#This Row],[Aplicación]],14,6)</f>
        <v>22699</v>
      </c>
    </row>
    <row r="1265" spans="1:24" x14ac:dyDescent="0.25">
      <c r="A1265" s="45">
        <v>220199000360</v>
      </c>
      <c r="B1265" s="46" t="s">
        <v>9</v>
      </c>
      <c r="C1265" s="47">
        <v>44198</v>
      </c>
      <c r="D1265" s="45">
        <v>22021000705</v>
      </c>
      <c r="E1265" s="46" t="s">
        <v>1196</v>
      </c>
      <c r="F1265" s="48">
        <v>116666.68</v>
      </c>
      <c r="G1265" s="46" t="s">
        <v>572</v>
      </c>
      <c r="H1265" s="46" t="s">
        <v>573</v>
      </c>
      <c r="I1265" s="45" t="s">
        <v>125</v>
      </c>
      <c r="J1265" s="46" t="s">
        <v>615</v>
      </c>
      <c r="K1265" s="46" t="s">
        <v>616</v>
      </c>
      <c r="L1265" s="46" t="s">
        <v>31</v>
      </c>
      <c r="M1265" s="46" t="s">
        <v>13</v>
      </c>
      <c r="N1265" s="46" t="s">
        <v>14</v>
      </c>
      <c r="O1265" s="49" t="s">
        <v>803</v>
      </c>
      <c r="P1265" s="46" t="s">
        <v>507</v>
      </c>
      <c r="Q1265" s="35" t="str">
        <f>MID(Tabla1[[#This Row],[Aplicación]],14,1)</f>
        <v>6</v>
      </c>
      <c r="R1265" s="35" t="s">
        <v>496</v>
      </c>
      <c r="S1265" s="35" t="str">
        <f>MID(Tabla1[[#This Row],[Aplicación]],6,2)</f>
        <v>08</v>
      </c>
      <c r="T1265" s="35" t="str">
        <f>VLOOKUP(Tabla1[[#This Row],[AREA]],Hoja1!A:B,2,FALSE)</f>
        <v>08. Movilidad y espacio urbano</v>
      </c>
      <c r="U1265" s="35" t="str">
        <f>MID(Tabla1[[#This Row],[Aplicación]],9,4)</f>
        <v>1341</v>
      </c>
      <c r="V1265" s="35" t="str">
        <f>VLOOKUP(Tabla1[[#This Row],[PROGRAMA]],Hoja1!A:B,2,FALSE)</f>
        <v>1341. Movilidad</v>
      </c>
      <c r="W1265" s="35" t="str">
        <f>MID(Tabla1[[#This Row],[Aplicación]],14,2)</f>
        <v>61</v>
      </c>
      <c r="X1265" s="35" t="str">
        <f>MID(Tabla1[[#This Row],[Aplicación]],14,6)</f>
        <v>619</v>
      </c>
    </row>
    <row r="1266" spans="1:24" x14ac:dyDescent="0.25">
      <c r="A1266" s="45">
        <v>220210007104</v>
      </c>
      <c r="B1266" s="46" t="s">
        <v>9</v>
      </c>
      <c r="C1266" s="47">
        <v>44260</v>
      </c>
      <c r="D1266" s="45">
        <v>22021003067</v>
      </c>
      <c r="E1266" s="46" t="s">
        <v>2315</v>
      </c>
      <c r="F1266" s="48">
        <v>657.49</v>
      </c>
      <c r="G1266" s="46" t="s">
        <v>262</v>
      </c>
      <c r="H1266" s="46" t="s">
        <v>2446</v>
      </c>
      <c r="I1266" s="45" t="s">
        <v>125</v>
      </c>
      <c r="J1266" s="46" t="s">
        <v>127</v>
      </c>
      <c r="K1266" s="46" t="s">
        <v>127</v>
      </c>
      <c r="L1266" s="46" t="s">
        <v>12</v>
      </c>
      <c r="M1266" s="46" t="s">
        <v>10</v>
      </c>
      <c r="N1266" s="46" t="s">
        <v>11</v>
      </c>
      <c r="O1266" s="49" t="s">
        <v>815</v>
      </c>
      <c r="P1266" s="46" t="s">
        <v>507</v>
      </c>
      <c r="Q1266" s="35" t="str">
        <f>MID(Tabla1[[#This Row],[Aplicación]],14,1)</f>
        <v>2</v>
      </c>
      <c r="R1266" s="35" t="s">
        <v>495</v>
      </c>
      <c r="S1266" s="35" t="str">
        <f>MID(Tabla1[[#This Row],[Aplicación]],6,2)</f>
        <v>01</v>
      </c>
      <c r="T1266" s="35" t="str">
        <f>VLOOKUP(Tabla1[[#This Row],[AREA]],Hoja1!A:B,2,FALSE)</f>
        <v>01. Alcaldía</v>
      </c>
      <c r="U1266" s="35" t="str">
        <f>MID(Tabla1[[#This Row],[Aplicación]],9,4)</f>
        <v>9203</v>
      </c>
      <c r="V1266" s="35" t="str">
        <f>VLOOKUP(Tabla1[[#This Row],[PROGRAMA]],Hoja1!A:B,2,FALSE)</f>
        <v>9203. Unidad de régimen interior</v>
      </c>
      <c r="W1266" s="35" t="str">
        <f>MID(Tabla1[[#This Row],[Aplicación]],14,2)</f>
        <v>21</v>
      </c>
      <c r="X1266" s="35" t="str">
        <f>MID(Tabla1[[#This Row],[Aplicación]],14,6)</f>
        <v>214</v>
      </c>
    </row>
    <row r="1267" spans="1:24" x14ac:dyDescent="0.25">
      <c r="A1267" s="45">
        <v>220210000528</v>
      </c>
      <c r="B1267" s="46" t="s">
        <v>9</v>
      </c>
      <c r="C1267" s="47">
        <v>44221</v>
      </c>
      <c r="D1267" s="45">
        <v>22021000897</v>
      </c>
      <c r="E1267" s="46" t="s">
        <v>1932</v>
      </c>
      <c r="F1267" s="48">
        <v>666.68</v>
      </c>
      <c r="G1267" s="46" t="s">
        <v>39</v>
      </c>
      <c r="H1267" s="46" t="s">
        <v>2447</v>
      </c>
      <c r="I1267" s="45" t="s">
        <v>125</v>
      </c>
      <c r="J1267" s="46" t="s">
        <v>126</v>
      </c>
      <c r="K1267" s="46" t="s">
        <v>126</v>
      </c>
      <c r="L1267" s="46" t="s">
        <v>15</v>
      </c>
      <c r="M1267" s="46" t="s">
        <v>13</v>
      </c>
      <c r="N1267" s="46" t="s">
        <v>14</v>
      </c>
      <c r="O1267" s="49" t="s">
        <v>803</v>
      </c>
      <c r="P1267" s="46" t="s">
        <v>507</v>
      </c>
      <c r="Q1267" s="35" t="str">
        <f>MID(Tabla1[[#This Row],[Aplicación]],14,1)</f>
        <v>2</v>
      </c>
      <c r="R1267" s="35" t="s">
        <v>495</v>
      </c>
      <c r="S1267" s="35" t="str">
        <f>MID(Tabla1[[#This Row],[Aplicación]],6,2)</f>
        <v>10</v>
      </c>
      <c r="T1267" s="35" t="str">
        <f>VLOOKUP(Tabla1[[#This Row],[AREA]],Hoja1!A:B,2,FALSE)</f>
        <v>10. Servicios sociales y mediación comunitaria</v>
      </c>
      <c r="U1267" s="35" t="str">
        <f>MID(Tabla1[[#This Row],[Aplicación]],9,4)</f>
        <v>2412</v>
      </c>
      <c r="V1267" s="35" t="str">
        <f>VLOOKUP(Tabla1[[#This Row],[PROGRAMA]],Hoja1!A:B,2,FALSE)</f>
        <v>2412. Formación para el empleo</v>
      </c>
      <c r="W1267" s="35" t="str">
        <f>MID(Tabla1[[#This Row],[Aplicación]],14,2)</f>
        <v>22</v>
      </c>
      <c r="X1267" s="35" t="str">
        <f>MID(Tabla1[[#This Row],[Aplicación]],14,6)</f>
        <v>22103</v>
      </c>
    </row>
    <row r="1268" spans="1:24" x14ac:dyDescent="0.25">
      <c r="A1268" s="45">
        <v>220210001380</v>
      </c>
      <c r="B1268" s="46" t="s">
        <v>9</v>
      </c>
      <c r="C1268" s="47">
        <v>44228</v>
      </c>
      <c r="D1268" s="45">
        <v>22021002090</v>
      </c>
      <c r="E1268" s="46" t="s">
        <v>2448</v>
      </c>
      <c r="F1268" s="48">
        <v>676.36</v>
      </c>
      <c r="G1268" s="46" t="s">
        <v>528</v>
      </c>
      <c r="H1268" s="46" t="s">
        <v>2449</v>
      </c>
      <c r="I1268" s="45" t="s">
        <v>125</v>
      </c>
      <c r="J1268" s="46" t="s">
        <v>127</v>
      </c>
      <c r="K1268" s="46" t="s">
        <v>127</v>
      </c>
      <c r="L1268" s="46" t="s">
        <v>15</v>
      </c>
      <c r="M1268" s="46" t="s">
        <v>10</v>
      </c>
      <c r="N1268" s="46" t="s">
        <v>11</v>
      </c>
      <c r="O1268" s="49" t="s">
        <v>815</v>
      </c>
      <c r="P1268" s="46" t="s">
        <v>507</v>
      </c>
      <c r="Q1268" s="35" t="str">
        <f>MID(Tabla1[[#This Row],[Aplicación]],14,1)</f>
        <v>2</v>
      </c>
      <c r="R1268" s="35" t="s">
        <v>495</v>
      </c>
      <c r="S1268" s="35" t="str">
        <f>MID(Tabla1[[#This Row],[Aplicación]],6,2)</f>
        <v>05</v>
      </c>
      <c r="T1268" s="35" t="str">
        <f>VLOOKUP(Tabla1[[#This Row],[AREA]],Hoja1!A:B,2,FALSE)</f>
        <v>05. Innovación, desarrollo económico, empleo y comercio</v>
      </c>
      <c r="U1268" s="35" t="str">
        <f>MID(Tabla1[[#This Row],[Aplicación]],9,4)</f>
        <v>4331</v>
      </c>
      <c r="V1268" s="35" t="str">
        <f>VLOOKUP(Tabla1[[#This Row],[PROGRAMA]],Hoja1!A:B,2,FALSE)</f>
        <v>4331. Desarrollo empresarial</v>
      </c>
      <c r="W1268" s="35" t="str">
        <f>MID(Tabla1[[#This Row],[Aplicación]],14,2)</f>
        <v>20</v>
      </c>
      <c r="X1268" s="35" t="str">
        <f>MID(Tabla1[[#This Row],[Aplicación]],14,6)</f>
        <v>204</v>
      </c>
    </row>
    <row r="1269" spans="1:24" x14ac:dyDescent="0.25">
      <c r="A1269" s="45">
        <v>220210000204</v>
      </c>
      <c r="B1269" s="46" t="s">
        <v>9</v>
      </c>
      <c r="C1269" s="47">
        <v>44216</v>
      </c>
      <c r="D1269" s="45">
        <v>22021000949</v>
      </c>
      <c r="E1269" s="46" t="s">
        <v>1267</v>
      </c>
      <c r="F1269" s="48">
        <v>1815</v>
      </c>
      <c r="G1269" s="46" t="s">
        <v>2450</v>
      </c>
      <c r="H1269" s="46" t="s">
        <v>1437</v>
      </c>
      <c r="I1269" s="45" t="s">
        <v>125</v>
      </c>
      <c r="J1269" s="46" t="s">
        <v>127</v>
      </c>
      <c r="K1269" s="46" t="s">
        <v>127</v>
      </c>
      <c r="L1269" s="46" t="s">
        <v>12</v>
      </c>
      <c r="M1269" s="46" t="s">
        <v>13</v>
      </c>
      <c r="N1269" s="46" t="s">
        <v>14</v>
      </c>
      <c r="O1269" s="49" t="s">
        <v>814</v>
      </c>
      <c r="P1269" s="46" t="s">
        <v>507</v>
      </c>
      <c r="Q1269" s="35" t="str">
        <f>MID(Tabla1[[#This Row],[Aplicación]],14,1)</f>
        <v>2</v>
      </c>
      <c r="R1269" s="35" t="s">
        <v>495</v>
      </c>
      <c r="S1269" s="35" t="str">
        <f>MID(Tabla1[[#This Row],[Aplicación]],6,2)</f>
        <v>03</v>
      </c>
      <c r="T1269" s="35" t="str">
        <f>VLOOKUP(Tabla1[[#This Row],[AREA]],Hoja1!A:B,2,FALSE)</f>
        <v>03. Participación ciudadana y deportes</v>
      </c>
      <c r="U1269" s="35" t="str">
        <f>MID(Tabla1[[#This Row],[Aplicación]],9,4)</f>
        <v>9241</v>
      </c>
      <c r="V1269" s="35" t="str">
        <f>VLOOKUP(Tabla1[[#This Row],[PROGRAMA]],Hoja1!A:B,2,FALSE)</f>
        <v>9241. Participación ciudadana</v>
      </c>
      <c r="W1269" s="35" t="str">
        <f>MID(Tabla1[[#This Row],[Aplicación]],14,2)</f>
        <v>22</v>
      </c>
      <c r="X1269" s="35" t="str">
        <f>MID(Tabla1[[#This Row],[Aplicación]],14,6)</f>
        <v>22602</v>
      </c>
    </row>
    <row r="1270" spans="1:24" x14ac:dyDescent="0.25">
      <c r="A1270" s="45">
        <v>220210000541</v>
      </c>
      <c r="B1270" s="46" t="s">
        <v>9</v>
      </c>
      <c r="C1270" s="47">
        <v>44221</v>
      </c>
      <c r="D1270" s="45">
        <v>22021001187</v>
      </c>
      <c r="E1270" s="46" t="s">
        <v>1617</v>
      </c>
      <c r="F1270" s="48">
        <v>1500</v>
      </c>
      <c r="G1270" s="46" t="s">
        <v>2450</v>
      </c>
      <c r="H1270" s="46" t="s">
        <v>2451</v>
      </c>
      <c r="I1270" s="45" t="s">
        <v>125</v>
      </c>
      <c r="J1270" s="46" t="s">
        <v>127</v>
      </c>
      <c r="K1270" s="46" t="s">
        <v>127</v>
      </c>
      <c r="L1270" s="46" t="s">
        <v>12</v>
      </c>
      <c r="M1270" s="46" t="s">
        <v>13</v>
      </c>
      <c r="N1270" s="46" t="s">
        <v>11</v>
      </c>
      <c r="O1270" s="49" t="s">
        <v>814</v>
      </c>
      <c r="P1270" s="46" t="s">
        <v>507</v>
      </c>
      <c r="Q1270" s="35" t="str">
        <f>MID(Tabla1[[#This Row],[Aplicación]],14,1)</f>
        <v>2</v>
      </c>
      <c r="R1270" s="35" t="s">
        <v>495</v>
      </c>
      <c r="S1270" s="35" t="str">
        <f>MID(Tabla1[[#This Row],[Aplicación]],6,2)</f>
        <v>05</v>
      </c>
      <c r="T1270" s="35" t="str">
        <f>VLOOKUP(Tabla1[[#This Row],[AREA]],Hoja1!A:B,2,FALSE)</f>
        <v>05. Innovación, desarrollo económico, empleo y comercio</v>
      </c>
      <c r="U1270" s="35" t="str">
        <f>MID(Tabla1[[#This Row],[Aplicación]],9,4)</f>
        <v>4331</v>
      </c>
      <c r="V1270" s="35" t="str">
        <f>VLOOKUP(Tabla1[[#This Row],[PROGRAMA]],Hoja1!A:B,2,FALSE)</f>
        <v>4331. Desarrollo empresarial</v>
      </c>
      <c r="W1270" s="35" t="str">
        <f>MID(Tabla1[[#This Row],[Aplicación]],14,2)</f>
        <v>22</v>
      </c>
      <c r="X1270" s="35" t="str">
        <f>MID(Tabla1[[#This Row],[Aplicación]],14,6)</f>
        <v>22602</v>
      </c>
    </row>
    <row r="1271" spans="1:24" x14ac:dyDescent="0.25">
      <c r="A1271" s="45">
        <v>220210004225</v>
      </c>
      <c r="B1271" s="46" t="s">
        <v>9</v>
      </c>
      <c r="C1271" s="47">
        <v>44245</v>
      </c>
      <c r="D1271" s="45">
        <v>22021002821</v>
      </c>
      <c r="E1271" s="46" t="s">
        <v>980</v>
      </c>
      <c r="F1271" s="48">
        <v>677.6</v>
      </c>
      <c r="G1271" s="46" t="s">
        <v>1848</v>
      </c>
      <c r="H1271" s="46" t="s">
        <v>2452</v>
      </c>
      <c r="I1271" s="45" t="s">
        <v>125</v>
      </c>
      <c r="J1271" s="46" t="s">
        <v>127</v>
      </c>
      <c r="K1271" s="46" t="s">
        <v>127</v>
      </c>
      <c r="L1271" s="46" t="s">
        <v>15</v>
      </c>
      <c r="M1271" s="46" t="s">
        <v>10</v>
      </c>
      <c r="N1271" s="46" t="s">
        <v>11</v>
      </c>
      <c r="O1271" s="49" t="s">
        <v>815</v>
      </c>
      <c r="P1271" s="46" t="s">
        <v>507</v>
      </c>
      <c r="Q1271" s="35" t="str">
        <f>MID(Tabla1[[#This Row],[Aplicación]],14,1)</f>
        <v>2</v>
      </c>
      <c r="R1271" s="35" t="s">
        <v>495</v>
      </c>
      <c r="S1271" s="35" t="str">
        <f>MID(Tabla1[[#This Row],[Aplicación]],6,2)</f>
        <v>11</v>
      </c>
      <c r="T1271" s="35" t="str">
        <f>VLOOKUP(Tabla1[[#This Row],[AREA]],Hoja1!A:B,2,FALSE)</f>
        <v>11. Salud pública y seguridad ciudadana</v>
      </c>
      <c r="U1271" s="35" t="str">
        <f>MID(Tabla1[[#This Row],[Aplicación]],9,4)</f>
        <v>1361</v>
      </c>
      <c r="V1271" s="35" t="str">
        <f>VLOOKUP(Tabla1[[#This Row],[PROGRAMA]],Hoja1!A:B,2,FALSE)</f>
        <v>1361. Prevención y extinción de incencios</v>
      </c>
      <c r="W1271" s="35" t="str">
        <f>MID(Tabla1[[#This Row],[Aplicación]],14,2)</f>
        <v>21</v>
      </c>
      <c r="X1271" s="35" t="str">
        <f>MID(Tabla1[[#This Row],[Aplicación]],14,6)</f>
        <v>213</v>
      </c>
    </row>
    <row r="1272" spans="1:24" x14ac:dyDescent="0.25">
      <c r="A1272" s="45">
        <v>220210012885</v>
      </c>
      <c r="B1272" s="46" t="s">
        <v>9</v>
      </c>
      <c r="C1272" s="47">
        <v>44284</v>
      </c>
      <c r="D1272" s="45">
        <v>22021003637</v>
      </c>
      <c r="E1272" s="46" t="s">
        <v>2414</v>
      </c>
      <c r="F1272" s="48">
        <v>174.24</v>
      </c>
      <c r="G1272" s="46" t="s">
        <v>2170</v>
      </c>
      <c r="H1272" s="46" t="s">
        <v>2453</v>
      </c>
      <c r="I1272" s="45" t="s">
        <v>125</v>
      </c>
      <c r="J1272" s="46" t="s">
        <v>127</v>
      </c>
      <c r="K1272" s="46" t="s">
        <v>127</v>
      </c>
      <c r="L1272" s="46" t="s">
        <v>15</v>
      </c>
      <c r="M1272" s="46" t="s">
        <v>10</v>
      </c>
      <c r="N1272" s="46" t="s">
        <v>11</v>
      </c>
      <c r="O1272" s="49" t="s">
        <v>815</v>
      </c>
      <c r="P1272" s="46" t="s">
        <v>507</v>
      </c>
      <c r="Q1272" s="35" t="str">
        <f>MID(Tabla1[[#This Row],[Aplicación]],14,1)</f>
        <v>2</v>
      </c>
      <c r="R1272" s="35" t="s">
        <v>495</v>
      </c>
      <c r="S1272" s="35" t="str">
        <f>MID(Tabla1[[#This Row],[Aplicación]],6,2)</f>
        <v>10</v>
      </c>
      <c r="T1272" s="35" t="str">
        <f>VLOOKUP(Tabla1[[#This Row],[AREA]],Hoja1!A:B,2,FALSE)</f>
        <v>10. Servicios sociales y mediación comunitaria</v>
      </c>
      <c r="U1272" s="35" t="str">
        <f>MID(Tabla1[[#This Row],[Aplicación]],9,4)</f>
        <v>2311</v>
      </c>
      <c r="V1272" s="35" t="str">
        <f>VLOOKUP(Tabla1[[#This Row],[PROGRAMA]],Hoja1!A:B,2,FALSE)</f>
        <v>2311. Intervención social</v>
      </c>
      <c r="W1272" s="35" t="str">
        <f>MID(Tabla1[[#This Row],[Aplicación]],14,2)</f>
        <v>22</v>
      </c>
      <c r="X1272" s="35" t="str">
        <f>MID(Tabla1[[#This Row],[Aplicación]],14,6)</f>
        <v>22199</v>
      </c>
    </row>
    <row r="1273" spans="1:24" x14ac:dyDescent="0.25">
      <c r="A1273" s="45">
        <v>220209000118</v>
      </c>
      <c r="B1273" s="46" t="s">
        <v>9</v>
      </c>
      <c r="C1273" s="47">
        <v>44198</v>
      </c>
      <c r="D1273" s="45">
        <v>22021000104</v>
      </c>
      <c r="E1273" s="46" t="s">
        <v>881</v>
      </c>
      <c r="F1273" s="48">
        <v>695.19</v>
      </c>
      <c r="G1273" s="46" t="s">
        <v>2356</v>
      </c>
      <c r="H1273" s="46" t="s">
        <v>2454</v>
      </c>
      <c r="I1273" s="45" t="s">
        <v>125</v>
      </c>
      <c r="J1273" s="46" t="s">
        <v>127</v>
      </c>
      <c r="K1273" s="46" t="s">
        <v>127</v>
      </c>
      <c r="L1273" s="46" t="s">
        <v>12</v>
      </c>
      <c r="M1273" s="46" t="s">
        <v>13</v>
      </c>
      <c r="N1273" s="46" t="s">
        <v>14</v>
      </c>
      <c r="O1273" s="49" t="s">
        <v>803</v>
      </c>
      <c r="P1273" s="46" t="s">
        <v>507</v>
      </c>
      <c r="Q1273" s="35" t="str">
        <f>MID(Tabla1[[#This Row],[Aplicación]],14,1)</f>
        <v>2</v>
      </c>
      <c r="R1273" s="35" t="s">
        <v>495</v>
      </c>
      <c r="S1273" s="35" t="str">
        <f>MID(Tabla1[[#This Row],[Aplicación]],6,2)</f>
        <v>05</v>
      </c>
      <c r="T1273" s="35" t="str">
        <f>VLOOKUP(Tabla1[[#This Row],[AREA]],Hoja1!A:B,2,FALSE)</f>
        <v>05. Innovación, desarrollo económico, empleo y comercio</v>
      </c>
      <c r="U1273" s="35" t="str">
        <f>MID(Tabla1[[#This Row],[Aplicación]],9,4)</f>
        <v>4331</v>
      </c>
      <c r="V1273" s="35" t="str">
        <f>VLOOKUP(Tabla1[[#This Row],[PROGRAMA]],Hoja1!A:B,2,FALSE)</f>
        <v>4331. Desarrollo empresarial</v>
      </c>
      <c r="W1273" s="35" t="str">
        <f>MID(Tabla1[[#This Row],[Aplicación]],14,2)</f>
        <v>22</v>
      </c>
      <c r="X1273" s="35" t="str">
        <f>MID(Tabla1[[#This Row],[Aplicación]],14,6)</f>
        <v>22799</v>
      </c>
    </row>
    <row r="1274" spans="1:24" x14ac:dyDescent="0.25">
      <c r="A1274" s="45">
        <v>220209000119</v>
      </c>
      <c r="B1274" s="46" t="s">
        <v>9</v>
      </c>
      <c r="C1274" s="47">
        <v>44198</v>
      </c>
      <c r="D1274" s="45">
        <v>22021000105</v>
      </c>
      <c r="E1274" s="46" t="s">
        <v>881</v>
      </c>
      <c r="F1274" s="48">
        <v>695.19</v>
      </c>
      <c r="G1274" s="46" t="s">
        <v>2356</v>
      </c>
      <c r="H1274" s="46" t="s">
        <v>2455</v>
      </c>
      <c r="I1274" s="45" t="s">
        <v>125</v>
      </c>
      <c r="J1274" s="46" t="s">
        <v>127</v>
      </c>
      <c r="K1274" s="46" t="s">
        <v>127</v>
      </c>
      <c r="L1274" s="46" t="s">
        <v>12</v>
      </c>
      <c r="M1274" s="46" t="s">
        <v>13</v>
      </c>
      <c r="N1274" s="46" t="s">
        <v>14</v>
      </c>
      <c r="O1274" s="49" t="s">
        <v>803</v>
      </c>
      <c r="P1274" s="46" t="s">
        <v>507</v>
      </c>
      <c r="Q1274" s="35" t="str">
        <f>MID(Tabla1[[#This Row],[Aplicación]],14,1)</f>
        <v>2</v>
      </c>
      <c r="R1274" s="35" t="s">
        <v>495</v>
      </c>
      <c r="S1274" s="35" t="str">
        <f>MID(Tabla1[[#This Row],[Aplicación]],6,2)</f>
        <v>05</v>
      </c>
      <c r="T1274" s="35" t="str">
        <f>VLOOKUP(Tabla1[[#This Row],[AREA]],Hoja1!A:B,2,FALSE)</f>
        <v>05. Innovación, desarrollo económico, empleo y comercio</v>
      </c>
      <c r="U1274" s="35" t="str">
        <f>MID(Tabla1[[#This Row],[Aplicación]],9,4)</f>
        <v>4331</v>
      </c>
      <c r="V1274" s="35" t="str">
        <f>VLOOKUP(Tabla1[[#This Row],[PROGRAMA]],Hoja1!A:B,2,FALSE)</f>
        <v>4331. Desarrollo empresarial</v>
      </c>
      <c r="W1274" s="35" t="str">
        <f>MID(Tabla1[[#This Row],[Aplicación]],14,2)</f>
        <v>22</v>
      </c>
      <c r="X1274" s="35" t="str">
        <f>MID(Tabla1[[#This Row],[Aplicación]],14,6)</f>
        <v>22799</v>
      </c>
    </row>
    <row r="1275" spans="1:24" x14ac:dyDescent="0.25">
      <c r="A1275" s="45">
        <v>220209000120</v>
      </c>
      <c r="B1275" s="46" t="s">
        <v>9</v>
      </c>
      <c r="C1275" s="47">
        <v>44198</v>
      </c>
      <c r="D1275" s="45">
        <v>22021000106</v>
      </c>
      <c r="E1275" s="46" t="s">
        <v>881</v>
      </c>
      <c r="F1275" s="48">
        <v>695.19</v>
      </c>
      <c r="G1275" s="46" t="s">
        <v>2356</v>
      </c>
      <c r="H1275" s="46" t="s">
        <v>2456</v>
      </c>
      <c r="I1275" s="45" t="s">
        <v>125</v>
      </c>
      <c r="J1275" s="46" t="s">
        <v>127</v>
      </c>
      <c r="K1275" s="46" t="s">
        <v>127</v>
      </c>
      <c r="L1275" s="46" t="s">
        <v>12</v>
      </c>
      <c r="M1275" s="46" t="s">
        <v>13</v>
      </c>
      <c r="N1275" s="46" t="s">
        <v>14</v>
      </c>
      <c r="O1275" s="49" t="s">
        <v>803</v>
      </c>
      <c r="P1275" s="46" t="s">
        <v>507</v>
      </c>
      <c r="Q1275" s="35" t="str">
        <f>MID(Tabla1[[#This Row],[Aplicación]],14,1)</f>
        <v>2</v>
      </c>
      <c r="R1275" s="35" t="s">
        <v>495</v>
      </c>
      <c r="S1275" s="35" t="str">
        <f>MID(Tabla1[[#This Row],[Aplicación]],6,2)</f>
        <v>05</v>
      </c>
      <c r="T1275" s="35" t="str">
        <f>VLOOKUP(Tabla1[[#This Row],[AREA]],Hoja1!A:B,2,FALSE)</f>
        <v>05. Innovación, desarrollo económico, empleo y comercio</v>
      </c>
      <c r="U1275" s="35" t="str">
        <f>MID(Tabla1[[#This Row],[Aplicación]],9,4)</f>
        <v>4331</v>
      </c>
      <c r="V1275" s="35" t="str">
        <f>VLOOKUP(Tabla1[[#This Row],[PROGRAMA]],Hoja1!A:B,2,FALSE)</f>
        <v>4331. Desarrollo empresarial</v>
      </c>
      <c r="W1275" s="35" t="str">
        <f>MID(Tabla1[[#This Row],[Aplicación]],14,2)</f>
        <v>22</v>
      </c>
      <c r="X1275" s="35" t="str">
        <f>MID(Tabla1[[#This Row],[Aplicación]],14,6)</f>
        <v>22799</v>
      </c>
    </row>
    <row r="1276" spans="1:24" x14ac:dyDescent="0.25">
      <c r="A1276" s="45">
        <v>220210003987</v>
      </c>
      <c r="B1276" s="46" t="s">
        <v>9</v>
      </c>
      <c r="C1276" s="47">
        <v>44244</v>
      </c>
      <c r="D1276" s="45">
        <v>22021002533</v>
      </c>
      <c r="E1276" s="46" t="s">
        <v>2375</v>
      </c>
      <c r="F1276" s="48">
        <v>700</v>
      </c>
      <c r="G1276" s="46" t="s">
        <v>1945</v>
      </c>
      <c r="H1276" s="46" t="s">
        <v>2457</v>
      </c>
      <c r="I1276" s="45" t="s">
        <v>125</v>
      </c>
      <c r="J1276" s="46" t="s">
        <v>127</v>
      </c>
      <c r="K1276" s="46" t="s">
        <v>127</v>
      </c>
      <c r="L1276" s="46" t="s">
        <v>12</v>
      </c>
      <c r="M1276" s="46" t="s">
        <v>10</v>
      </c>
      <c r="N1276" s="46" t="s">
        <v>11</v>
      </c>
      <c r="O1276" s="49" t="s">
        <v>815</v>
      </c>
      <c r="P1276" s="46" t="s">
        <v>507</v>
      </c>
      <c r="Q1276" s="35" t="str">
        <f>MID(Tabla1[[#This Row],[Aplicación]],14,1)</f>
        <v>2</v>
      </c>
      <c r="R1276" s="35" t="s">
        <v>495</v>
      </c>
      <c r="S1276" s="35" t="str">
        <f>MID(Tabla1[[#This Row],[Aplicación]],6,2)</f>
        <v>07</v>
      </c>
      <c r="T1276" s="35" t="str">
        <f>VLOOKUP(Tabla1[[#This Row],[AREA]],Hoja1!A:B,2,FALSE)</f>
        <v>07. Medio ambiente y desarrollo sostenible</v>
      </c>
      <c r="U1276" s="35" t="str">
        <f>MID(Tabla1[[#This Row],[Aplicación]],9,4)</f>
        <v>1721</v>
      </c>
      <c r="V1276" s="35" t="str">
        <f>VLOOKUP(Tabla1[[#This Row],[PROGRAMA]],Hoja1!A:B,2,FALSE)</f>
        <v>1721. Protección del medio ambiente</v>
      </c>
      <c r="W1276" s="35" t="str">
        <f>MID(Tabla1[[#This Row],[Aplicación]],14,2)</f>
        <v>21</v>
      </c>
      <c r="X1276" s="35" t="str">
        <f>MID(Tabla1[[#This Row],[Aplicación]],14,6)</f>
        <v>214</v>
      </c>
    </row>
    <row r="1277" spans="1:24" x14ac:dyDescent="0.25">
      <c r="A1277" s="45">
        <v>220210012697</v>
      </c>
      <c r="B1277" s="46" t="s">
        <v>9</v>
      </c>
      <c r="C1277" s="47">
        <v>44280</v>
      </c>
      <c r="D1277" s="45">
        <v>22021003403</v>
      </c>
      <c r="E1277" s="46" t="s">
        <v>1183</v>
      </c>
      <c r="F1277" s="48">
        <v>703.37</v>
      </c>
      <c r="G1277" s="46" t="s">
        <v>563</v>
      </c>
      <c r="H1277" s="46" t="s">
        <v>2458</v>
      </c>
      <c r="I1277" s="45" t="s">
        <v>125</v>
      </c>
      <c r="J1277" s="46" t="s">
        <v>127</v>
      </c>
      <c r="K1277" s="46" t="s">
        <v>127</v>
      </c>
      <c r="L1277" s="46" t="s">
        <v>15</v>
      </c>
      <c r="M1277" s="46" t="s">
        <v>10</v>
      </c>
      <c r="N1277" s="46" t="s">
        <v>11</v>
      </c>
      <c r="O1277" s="49" t="s">
        <v>815</v>
      </c>
      <c r="P1277" s="46" t="s">
        <v>507</v>
      </c>
      <c r="Q1277" s="35" t="str">
        <f>MID(Tabla1[[#This Row],[Aplicación]],14,1)</f>
        <v>2</v>
      </c>
      <c r="R1277" s="35" t="s">
        <v>495</v>
      </c>
      <c r="S1277" s="35" t="str">
        <f>MID(Tabla1[[#This Row],[Aplicación]],6,2)</f>
        <v>11</v>
      </c>
      <c r="T1277" s="35" t="str">
        <f>VLOOKUP(Tabla1[[#This Row],[AREA]],Hoja1!A:B,2,FALSE)</f>
        <v>11. Salud pública y seguridad ciudadana</v>
      </c>
      <c r="U1277" s="35" t="str">
        <f>MID(Tabla1[[#This Row],[Aplicación]],9,4)</f>
        <v>1361</v>
      </c>
      <c r="V1277" s="35" t="str">
        <f>VLOOKUP(Tabla1[[#This Row],[PROGRAMA]],Hoja1!A:B,2,FALSE)</f>
        <v>1361. Prevención y extinción de incencios</v>
      </c>
      <c r="W1277" s="35" t="str">
        <f>MID(Tabla1[[#This Row],[Aplicación]],14,2)</f>
        <v>22</v>
      </c>
      <c r="X1277" s="35" t="str">
        <f>MID(Tabla1[[#This Row],[Aplicación]],14,6)</f>
        <v>22199</v>
      </c>
    </row>
    <row r="1278" spans="1:24" x14ac:dyDescent="0.25">
      <c r="A1278" s="45">
        <v>220210006060</v>
      </c>
      <c r="B1278" s="46" t="s">
        <v>9</v>
      </c>
      <c r="C1278" s="47">
        <v>44251</v>
      </c>
      <c r="D1278" s="45">
        <v>22021002883</v>
      </c>
      <c r="E1278" s="46" t="s">
        <v>1163</v>
      </c>
      <c r="F1278" s="48">
        <v>714.7</v>
      </c>
      <c r="G1278" s="46" t="s">
        <v>241</v>
      </c>
      <c r="H1278" s="46" t="s">
        <v>2355</v>
      </c>
      <c r="I1278" s="45" t="s">
        <v>125</v>
      </c>
      <c r="J1278" s="46" t="s">
        <v>126</v>
      </c>
      <c r="K1278" s="46" t="s">
        <v>126</v>
      </c>
      <c r="L1278" s="46" t="s">
        <v>15</v>
      </c>
      <c r="M1278" s="46" t="s">
        <v>10</v>
      </c>
      <c r="N1278" s="46" t="s">
        <v>11</v>
      </c>
      <c r="O1278" s="49" t="s">
        <v>815</v>
      </c>
      <c r="P1278" s="46" t="s">
        <v>507</v>
      </c>
      <c r="Q1278" s="35" t="str">
        <f>MID(Tabla1[[#This Row],[Aplicación]],14,1)</f>
        <v>2</v>
      </c>
      <c r="R1278" s="35" t="s">
        <v>495</v>
      </c>
      <c r="S1278" s="35" t="str">
        <f>MID(Tabla1[[#This Row],[Aplicación]],6,2)</f>
        <v>06</v>
      </c>
      <c r="T1278" s="35" t="str">
        <f>VLOOKUP(Tabla1[[#This Row],[AREA]],Hoja1!A:B,2,FALSE)</f>
        <v>06. Educación, infancia, juventud e igualdad</v>
      </c>
      <c r="U1278" s="35" t="str">
        <f>MID(Tabla1[[#This Row],[Aplicación]],9,4)</f>
        <v>3321</v>
      </c>
      <c r="V1278" s="35" t="str">
        <f>VLOOKUP(Tabla1[[#This Row],[PROGRAMA]],Hoja1!A:B,2,FALSE)</f>
        <v>3321. Bibliotecas públicas</v>
      </c>
      <c r="W1278" s="35" t="str">
        <f>MID(Tabla1[[#This Row],[Aplicación]],14,2)</f>
        <v>22</v>
      </c>
      <c r="X1278" s="35" t="str">
        <f>MID(Tabla1[[#This Row],[Aplicación]],14,6)</f>
        <v>22001</v>
      </c>
    </row>
    <row r="1279" spans="1:24" x14ac:dyDescent="0.25">
      <c r="A1279" s="45">
        <v>220209000761</v>
      </c>
      <c r="B1279" s="46" t="s">
        <v>9</v>
      </c>
      <c r="C1279" s="47">
        <v>44198</v>
      </c>
      <c r="D1279" s="45">
        <v>22021000485</v>
      </c>
      <c r="E1279" s="46" t="s">
        <v>1247</v>
      </c>
      <c r="F1279" s="48">
        <v>720.1</v>
      </c>
      <c r="G1279" s="46" t="s">
        <v>2310</v>
      </c>
      <c r="H1279" s="46" t="s">
        <v>2459</v>
      </c>
      <c r="I1279" s="45" t="s">
        <v>125</v>
      </c>
      <c r="J1279" s="46" t="s">
        <v>127</v>
      </c>
      <c r="K1279" s="46" t="s">
        <v>127</v>
      </c>
      <c r="L1279" s="46" t="s">
        <v>12</v>
      </c>
      <c r="M1279" s="46" t="s">
        <v>10</v>
      </c>
      <c r="N1279" s="46" t="s">
        <v>11</v>
      </c>
      <c r="O1279" s="49" t="s">
        <v>815</v>
      </c>
      <c r="P1279" s="46" t="s">
        <v>507</v>
      </c>
      <c r="Q1279" s="35" t="str">
        <f>MID(Tabla1[[#This Row],[Aplicación]],14,1)</f>
        <v>2</v>
      </c>
      <c r="R1279" s="35" t="s">
        <v>495</v>
      </c>
      <c r="S1279" s="35" t="str">
        <f>MID(Tabla1[[#This Row],[Aplicación]],6,2)</f>
        <v>10</v>
      </c>
      <c r="T1279" s="35" t="str">
        <f>VLOOKUP(Tabla1[[#This Row],[AREA]],Hoja1!A:B,2,FALSE)</f>
        <v>10. Servicios sociales y mediación comunitaria</v>
      </c>
      <c r="U1279" s="35" t="str">
        <f>MID(Tabla1[[#This Row],[Aplicación]],9,4)</f>
        <v>2311</v>
      </c>
      <c r="V1279" s="35" t="str">
        <f>VLOOKUP(Tabla1[[#This Row],[PROGRAMA]],Hoja1!A:B,2,FALSE)</f>
        <v>2311. Intervención social</v>
      </c>
      <c r="W1279" s="35" t="str">
        <f>MID(Tabla1[[#This Row],[Aplicación]],14,2)</f>
        <v>22</v>
      </c>
      <c r="X1279" s="35" t="str">
        <f>MID(Tabla1[[#This Row],[Aplicación]],14,6)</f>
        <v>22799</v>
      </c>
    </row>
    <row r="1280" spans="1:24" x14ac:dyDescent="0.25">
      <c r="A1280" s="45">
        <v>220210008431</v>
      </c>
      <c r="B1280" s="46" t="s">
        <v>9</v>
      </c>
      <c r="C1280" s="47">
        <v>44266</v>
      </c>
      <c r="D1280" s="45">
        <v>22021003355</v>
      </c>
      <c r="E1280" s="46" t="s">
        <v>1336</v>
      </c>
      <c r="F1280" s="48">
        <v>721.16</v>
      </c>
      <c r="G1280" s="46" t="s">
        <v>103</v>
      </c>
      <c r="H1280" s="46" t="s">
        <v>2460</v>
      </c>
      <c r="I1280" s="45" t="s">
        <v>125</v>
      </c>
      <c r="J1280" s="46" t="s">
        <v>127</v>
      </c>
      <c r="K1280" s="46" t="s">
        <v>127</v>
      </c>
      <c r="L1280" s="46" t="s">
        <v>15</v>
      </c>
      <c r="M1280" s="46" t="s">
        <v>10</v>
      </c>
      <c r="N1280" s="46" t="s">
        <v>11</v>
      </c>
      <c r="O1280" s="49" t="s">
        <v>815</v>
      </c>
      <c r="P1280" s="46" t="s">
        <v>507</v>
      </c>
      <c r="Q1280" s="35" t="str">
        <f>MID(Tabla1[[#This Row],[Aplicación]],14,1)</f>
        <v>2</v>
      </c>
      <c r="R1280" s="35" t="s">
        <v>495</v>
      </c>
      <c r="S1280" s="35" t="str">
        <f>MID(Tabla1[[#This Row],[Aplicación]],6,2)</f>
        <v>02</v>
      </c>
      <c r="T1280" s="35" t="str">
        <f>VLOOKUP(Tabla1[[#This Row],[AREA]],Hoja1!A:B,2,FALSE)</f>
        <v>02. Planeamiento urbanístico y vivienda</v>
      </c>
      <c r="U1280" s="35" t="str">
        <f>MID(Tabla1[[#This Row],[Aplicación]],9,4)</f>
        <v>9332</v>
      </c>
      <c r="V1280" s="35" t="str">
        <f>VLOOKUP(Tabla1[[#This Row],[PROGRAMA]],Hoja1!A:B,2,FALSE)</f>
        <v>9332. Mantenimiento de edificios e instalaciones municipales</v>
      </c>
      <c r="W1280" s="35" t="str">
        <f>MID(Tabla1[[#This Row],[Aplicación]],14,2)</f>
        <v>21</v>
      </c>
      <c r="X1280" s="35" t="str">
        <f>MID(Tabla1[[#This Row],[Aplicación]],14,6)</f>
        <v>212</v>
      </c>
    </row>
    <row r="1281" spans="1:24" x14ac:dyDescent="0.25">
      <c r="A1281" s="45">
        <v>220210000870</v>
      </c>
      <c r="B1281" s="46" t="s">
        <v>32</v>
      </c>
      <c r="C1281" s="47">
        <v>44222</v>
      </c>
      <c r="D1281" s="45">
        <v>22021001416</v>
      </c>
      <c r="E1281" s="46" t="s">
        <v>1907</v>
      </c>
      <c r="F1281" s="48">
        <v>731.75</v>
      </c>
      <c r="G1281" s="46" t="s">
        <v>175</v>
      </c>
      <c r="H1281" s="46" t="s">
        <v>2461</v>
      </c>
      <c r="I1281" s="45" t="s">
        <v>234</v>
      </c>
      <c r="J1281" s="46" t="s">
        <v>127</v>
      </c>
      <c r="K1281" s="46" t="s">
        <v>127</v>
      </c>
      <c r="L1281" s="46" t="s">
        <v>12</v>
      </c>
      <c r="M1281" s="46" t="s">
        <v>13</v>
      </c>
      <c r="N1281" s="46" t="s">
        <v>16</v>
      </c>
      <c r="O1281" s="49" t="s">
        <v>803</v>
      </c>
      <c r="P1281" s="46" t="s">
        <v>507</v>
      </c>
      <c r="Q1281" s="35" t="str">
        <f>MID(Tabla1[[#This Row],[Aplicación]],14,1)</f>
        <v>2</v>
      </c>
      <c r="R1281" s="35" t="s">
        <v>495</v>
      </c>
      <c r="S1281" s="35" t="str">
        <f>MID(Tabla1[[#This Row],[Aplicación]],6,2)</f>
        <v>06</v>
      </c>
      <c r="T1281" s="35" t="str">
        <f>VLOOKUP(Tabla1[[#This Row],[AREA]],Hoja1!A:B,2,FALSE)</f>
        <v>06. Educación, infancia, juventud e igualdad</v>
      </c>
      <c r="U1281" s="35" t="str">
        <f>MID(Tabla1[[#This Row],[Aplicación]],9,4)</f>
        <v>3232</v>
      </c>
      <c r="V1281" s="35" t="str">
        <f>VLOOKUP(Tabla1[[#This Row],[PROGRAMA]],Hoja1!A:B,2,FALSE)</f>
        <v>3232. Conservación y mantenimiento centros educación infantil y primaria</v>
      </c>
      <c r="W1281" s="35" t="str">
        <f>MID(Tabla1[[#This Row],[Aplicación]],14,2)</f>
        <v>22</v>
      </c>
      <c r="X1281" s="35" t="str">
        <f>MID(Tabla1[[#This Row],[Aplicación]],14,6)</f>
        <v>22700</v>
      </c>
    </row>
    <row r="1282" spans="1:24" x14ac:dyDescent="0.25">
      <c r="A1282" s="45">
        <v>220210006960</v>
      </c>
      <c r="B1282" s="46" t="s">
        <v>9</v>
      </c>
      <c r="C1282" s="47">
        <v>44259</v>
      </c>
      <c r="D1282" s="45">
        <v>22021003154</v>
      </c>
      <c r="E1282" s="46" t="s">
        <v>1261</v>
      </c>
      <c r="F1282" s="48">
        <v>743.18</v>
      </c>
      <c r="G1282" s="46" t="s">
        <v>101</v>
      </c>
      <c r="H1282" s="46" t="s">
        <v>2462</v>
      </c>
      <c r="I1282" s="45" t="s">
        <v>125</v>
      </c>
      <c r="J1282" s="46" t="s">
        <v>127</v>
      </c>
      <c r="K1282" s="46" t="s">
        <v>127</v>
      </c>
      <c r="L1282" s="46" t="s">
        <v>12</v>
      </c>
      <c r="M1282" s="46" t="s">
        <v>10</v>
      </c>
      <c r="N1282" s="46" t="s">
        <v>11</v>
      </c>
      <c r="O1282" s="49" t="s">
        <v>815</v>
      </c>
      <c r="P1282" s="46" t="s">
        <v>507</v>
      </c>
      <c r="Q1282" s="35" t="str">
        <f>MID(Tabla1[[#This Row],[Aplicación]],14,1)</f>
        <v>2</v>
      </c>
      <c r="R1282" s="35" t="s">
        <v>495</v>
      </c>
      <c r="S1282" s="35" t="str">
        <f>MID(Tabla1[[#This Row],[Aplicación]],6,2)</f>
        <v>03</v>
      </c>
      <c r="T1282" s="35" t="str">
        <f>VLOOKUP(Tabla1[[#This Row],[AREA]],Hoja1!A:B,2,FALSE)</f>
        <v>03. Participación ciudadana y deportes</v>
      </c>
      <c r="U1282" s="35" t="str">
        <f>MID(Tabla1[[#This Row],[Aplicación]],9,4)</f>
        <v>9241</v>
      </c>
      <c r="V1282" s="35" t="str">
        <f>VLOOKUP(Tabla1[[#This Row],[PROGRAMA]],Hoja1!A:B,2,FALSE)</f>
        <v>9241. Participación ciudadana</v>
      </c>
      <c r="W1282" s="35" t="str">
        <f>MID(Tabla1[[#This Row],[Aplicación]],14,2)</f>
        <v>22</v>
      </c>
      <c r="X1282" s="35" t="str">
        <f>MID(Tabla1[[#This Row],[Aplicación]],14,6)</f>
        <v>22700</v>
      </c>
    </row>
    <row r="1283" spans="1:24" x14ac:dyDescent="0.25">
      <c r="A1283" s="45">
        <v>220210000528</v>
      </c>
      <c r="B1283" s="46" t="s">
        <v>9</v>
      </c>
      <c r="C1283" s="47">
        <v>44221</v>
      </c>
      <c r="D1283" s="45">
        <v>22021000894</v>
      </c>
      <c r="E1283" s="46" t="s">
        <v>1932</v>
      </c>
      <c r="F1283" s="48">
        <v>777.77</v>
      </c>
      <c r="G1283" s="46" t="s">
        <v>39</v>
      </c>
      <c r="H1283" s="46" t="s">
        <v>2447</v>
      </c>
      <c r="I1283" s="45" t="s">
        <v>125</v>
      </c>
      <c r="J1283" s="46" t="s">
        <v>126</v>
      </c>
      <c r="K1283" s="46" t="s">
        <v>126</v>
      </c>
      <c r="L1283" s="46" t="s">
        <v>15</v>
      </c>
      <c r="M1283" s="46" t="s">
        <v>13</v>
      </c>
      <c r="N1283" s="46" t="s">
        <v>14</v>
      </c>
      <c r="O1283" s="49" t="s">
        <v>803</v>
      </c>
      <c r="P1283" s="46" t="s">
        <v>507</v>
      </c>
      <c r="Q1283" s="35" t="str">
        <f>MID(Tabla1[[#This Row],[Aplicación]],14,1)</f>
        <v>2</v>
      </c>
      <c r="R1283" s="35" t="s">
        <v>495</v>
      </c>
      <c r="S1283" s="35" t="str">
        <f>MID(Tabla1[[#This Row],[Aplicación]],6,2)</f>
        <v>10</v>
      </c>
      <c r="T1283" s="35" t="str">
        <f>VLOOKUP(Tabla1[[#This Row],[AREA]],Hoja1!A:B,2,FALSE)</f>
        <v>10. Servicios sociales y mediación comunitaria</v>
      </c>
      <c r="U1283" s="35" t="str">
        <f>MID(Tabla1[[#This Row],[Aplicación]],9,4)</f>
        <v>2412</v>
      </c>
      <c r="V1283" s="35" t="str">
        <f>VLOOKUP(Tabla1[[#This Row],[PROGRAMA]],Hoja1!A:B,2,FALSE)</f>
        <v>2412. Formación para el empleo</v>
      </c>
      <c r="W1283" s="35" t="str">
        <f>MID(Tabla1[[#This Row],[Aplicación]],14,2)</f>
        <v>22</v>
      </c>
      <c r="X1283" s="35" t="str">
        <f>MID(Tabla1[[#This Row],[Aplicación]],14,6)</f>
        <v>22103</v>
      </c>
    </row>
    <row r="1284" spans="1:24" x14ac:dyDescent="0.25">
      <c r="A1284" s="45">
        <v>220209000849</v>
      </c>
      <c r="B1284" s="46" t="s">
        <v>9</v>
      </c>
      <c r="C1284" s="47">
        <v>44198</v>
      </c>
      <c r="D1284" s="45">
        <v>22021001427</v>
      </c>
      <c r="E1284" s="46" t="s">
        <v>2463</v>
      </c>
      <c r="F1284" s="48">
        <v>115095.2</v>
      </c>
      <c r="G1284" s="46" t="s">
        <v>577</v>
      </c>
      <c r="H1284" s="46" t="s">
        <v>2464</v>
      </c>
      <c r="I1284" s="45" t="s">
        <v>125</v>
      </c>
      <c r="J1284" s="46" t="s">
        <v>146</v>
      </c>
      <c r="K1284" s="46" t="s">
        <v>146</v>
      </c>
      <c r="L1284" s="46" t="s">
        <v>12</v>
      </c>
      <c r="M1284" s="46" t="s">
        <v>25</v>
      </c>
      <c r="N1284" s="46" t="s">
        <v>11</v>
      </c>
      <c r="O1284" s="49" t="s">
        <v>805</v>
      </c>
      <c r="P1284" s="46" t="s">
        <v>507</v>
      </c>
      <c r="Q1284" s="35" t="str">
        <f>MID(Tabla1[[#This Row],[Aplicación]],14,1)</f>
        <v>6</v>
      </c>
      <c r="R1284" s="35" t="s">
        <v>496</v>
      </c>
      <c r="S1284" s="35" t="str">
        <f>MID(Tabla1[[#This Row],[Aplicación]],6,2)</f>
        <v>04</v>
      </c>
      <c r="T1284" s="35" t="str">
        <f>VLOOKUP(Tabla1[[#This Row],[AREA]],Hoja1!A:B,2,FALSE)</f>
        <v>04. Planificación y recursos</v>
      </c>
      <c r="U1284" s="35" t="str">
        <f>MID(Tabla1[[#This Row],[Aplicación]],9,4)</f>
        <v>9321</v>
      </c>
      <c r="V1284" s="35" t="str">
        <f>VLOOKUP(Tabla1[[#This Row],[PROGRAMA]],Hoja1!A:B,2,FALSE)</f>
        <v>9321. Gestión de ingresos e inspección</v>
      </c>
      <c r="W1284" s="35" t="str">
        <f>MID(Tabla1[[#This Row],[Aplicación]],14,2)</f>
        <v>64</v>
      </c>
      <c r="X1284" s="35" t="str">
        <f>MID(Tabla1[[#This Row],[Aplicación]],14,6)</f>
        <v>641</v>
      </c>
    </row>
    <row r="1285" spans="1:24" x14ac:dyDescent="0.25">
      <c r="A1285" s="45">
        <v>220210000528</v>
      </c>
      <c r="B1285" s="46" t="s">
        <v>9</v>
      </c>
      <c r="C1285" s="47">
        <v>44221</v>
      </c>
      <c r="D1285" s="45">
        <v>22021000895</v>
      </c>
      <c r="E1285" s="46" t="s">
        <v>1932</v>
      </c>
      <c r="F1285" s="48">
        <v>777.78</v>
      </c>
      <c r="G1285" s="46" t="s">
        <v>39</v>
      </c>
      <c r="H1285" s="46" t="s">
        <v>2447</v>
      </c>
      <c r="I1285" s="45" t="s">
        <v>125</v>
      </c>
      <c r="J1285" s="46" t="s">
        <v>126</v>
      </c>
      <c r="K1285" s="46" t="s">
        <v>126</v>
      </c>
      <c r="L1285" s="46" t="s">
        <v>15</v>
      </c>
      <c r="M1285" s="46" t="s">
        <v>13</v>
      </c>
      <c r="N1285" s="46" t="s">
        <v>14</v>
      </c>
      <c r="O1285" s="49" t="s">
        <v>803</v>
      </c>
      <c r="P1285" s="46" t="s">
        <v>507</v>
      </c>
      <c r="Q1285" s="35" t="str">
        <f>MID(Tabla1[[#This Row],[Aplicación]],14,1)</f>
        <v>2</v>
      </c>
      <c r="R1285" s="35" t="s">
        <v>495</v>
      </c>
      <c r="S1285" s="35" t="str">
        <f>MID(Tabla1[[#This Row],[Aplicación]],6,2)</f>
        <v>10</v>
      </c>
      <c r="T1285" s="35" t="str">
        <f>VLOOKUP(Tabla1[[#This Row],[AREA]],Hoja1!A:B,2,FALSE)</f>
        <v>10. Servicios sociales y mediación comunitaria</v>
      </c>
      <c r="U1285" s="35" t="str">
        <f>MID(Tabla1[[#This Row],[Aplicación]],9,4)</f>
        <v>2412</v>
      </c>
      <c r="V1285" s="35" t="str">
        <f>VLOOKUP(Tabla1[[#This Row],[PROGRAMA]],Hoja1!A:B,2,FALSE)</f>
        <v>2412. Formación para el empleo</v>
      </c>
      <c r="W1285" s="35" t="str">
        <f>MID(Tabla1[[#This Row],[Aplicación]],14,2)</f>
        <v>22</v>
      </c>
      <c r="X1285" s="35" t="str">
        <f>MID(Tabla1[[#This Row],[Aplicación]],14,6)</f>
        <v>22103</v>
      </c>
    </row>
    <row r="1286" spans="1:24" x14ac:dyDescent="0.25">
      <c r="A1286" s="45">
        <v>220209000747</v>
      </c>
      <c r="B1286" s="46" t="s">
        <v>9</v>
      </c>
      <c r="C1286" s="47">
        <v>44198</v>
      </c>
      <c r="D1286" s="45">
        <v>22021000472</v>
      </c>
      <c r="E1286" s="46" t="s">
        <v>941</v>
      </c>
      <c r="F1286" s="48">
        <v>389.3</v>
      </c>
      <c r="G1286" s="46" t="s">
        <v>2465</v>
      </c>
      <c r="H1286" s="46" t="s">
        <v>2466</v>
      </c>
      <c r="I1286" s="45" t="s">
        <v>125</v>
      </c>
      <c r="J1286" s="46" t="s">
        <v>778</v>
      </c>
      <c r="K1286" s="46" t="s">
        <v>126</v>
      </c>
      <c r="L1286" s="46" t="s">
        <v>12</v>
      </c>
      <c r="M1286" s="46" t="s">
        <v>13</v>
      </c>
      <c r="N1286" s="46" t="s">
        <v>16</v>
      </c>
      <c r="O1286" s="49" t="s">
        <v>803</v>
      </c>
      <c r="P1286" s="46" t="s">
        <v>507</v>
      </c>
      <c r="Q1286" s="35" t="str">
        <f>MID(Tabla1[[#This Row],[Aplicación]],14,1)</f>
        <v>2</v>
      </c>
      <c r="R1286" s="35" t="s">
        <v>495</v>
      </c>
      <c r="S1286" s="35" t="str">
        <f>MID(Tabla1[[#This Row],[Aplicación]],6,2)</f>
        <v>06</v>
      </c>
      <c r="T1286" s="35" t="str">
        <f>VLOOKUP(Tabla1[[#This Row],[AREA]],Hoja1!A:B,2,FALSE)</f>
        <v>06. Educación, infancia, juventud e igualdad</v>
      </c>
      <c r="U1286" s="35" t="str">
        <f>MID(Tabla1[[#This Row],[Aplicación]],9,4)</f>
        <v>3232</v>
      </c>
      <c r="V1286" s="35" t="str">
        <f>VLOOKUP(Tabla1[[#This Row],[PROGRAMA]],Hoja1!A:B,2,FALSE)</f>
        <v>3232. Conservación y mantenimiento centros educación infantil y primaria</v>
      </c>
      <c r="W1286" s="35" t="str">
        <f>MID(Tabla1[[#This Row],[Aplicación]],14,2)</f>
        <v>21</v>
      </c>
      <c r="X1286" s="35" t="str">
        <f>MID(Tabla1[[#This Row],[Aplicación]],14,6)</f>
        <v>213</v>
      </c>
    </row>
    <row r="1287" spans="1:24" x14ac:dyDescent="0.25">
      <c r="A1287" s="45">
        <v>220209000749</v>
      </c>
      <c r="B1287" s="46" t="s">
        <v>9</v>
      </c>
      <c r="C1287" s="47">
        <v>44198</v>
      </c>
      <c r="D1287" s="45">
        <v>22021000474</v>
      </c>
      <c r="E1287" s="46" t="s">
        <v>1213</v>
      </c>
      <c r="F1287" s="48">
        <v>0.01</v>
      </c>
      <c r="G1287" s="46" t="s">
        <v>2465</v>
      </c>
      <c r="H1287" s="46" t="s">
        <v>2467</v>
      </c>
      <c r="I1287" s="45" t="s">
        <v>125</v>
      </c>
      <c r="J1287" s="46" t="s">
        <v>778</v>
      </c>
      <c r="K1287" s="46" t="s">
        <v>126</v>
      </c>
      <c r="L1287" s="46" t="s">
        <v>12</v>
      </c>
      <c r="M1287" s="46" t="s">
        <v>13</v>
      </c>
      <c r="N1287" s="46" t="s">
        <v>16</v>
      </c>
      <c r="O1287" s="49" t="s">
        <v>803</v>
      </c>
      <c r="P1287" s="46" t="s">
        <v>507</v>
      </c>
      <c r="Q1287" s="35" t="str">
        <f>MID(Tabla1[[#This Row],[Aplicación]],14,1)</f>
        <v>2</v>
      </c>
      <c r="R1287" s="35" t="s">
        <v>495</v>
      </c>
      <c r="S1287" s="35" t="str">
        <f>MID(Tabla1[[#This Row],[Aplicación]],6,2)</f>
        <v>06</v>
      </c>
      <c r="T1287" s="35" t="str">
        <f>VLOOKUP(Tabla1[[#This Row],[AREA]],Hoja1!A:B,2,FALSE)</f>
        <v>06. Educación, infancia, juventud e igualdad</v>
      </c>
      <c r="U1287" s="35" t="str">
        <f>MID(Tabla1[[#This Row],[Aplicación]],9,4)</f>
        <v>3261</v>
      </c>
      <c r="V1287" s="35" t="str">
        <f>VLOOKUP(Tabla1[[#This Row],[PROGRAMA]],Hoja1!A:B,2,FALSE)</f>
        <v>3261. Servicios complementarios de educación</v>
      </c>
      <c r="W1287" s="35" t="str">
        <f>MID(Tabla1[[#This Row],[Aplicación]],14,2)</f>
        <v>21</v>
      </c>
      <c r="X1287" s="35" t="str">
        <f>MID(Tabla1[[#This Row],[Aplicación]],14,6)</f>
        <v>213</v>
      </c>
    </row>
    <row r="1288" spans="1:24" x14ac:dyDescent="0.25">
      <c r="A1288" s="45">
        <v>220209000751</v>
      </c>
      <c r="B1288" s="46" t="s">
        <v>9</v>
      </c>
      <c r="C1288" s="47">
        <v>44198</v>
      </c>
      <c r="D1288" s="45">
        <v>22021000476</v>
      </c>
      <c r="E1288" s="46" t="s">
        <v>1505</v>
      </c>
      <c r="F1288" s="48">
        <v>64.88</v>
      </c>
      <c r="G1288" s="46" t="s">
        <v>2465</v>
      </c>
      <c r="H1288" s="46" t="s">
        <v>2468</v>
      </c>
      <c r="I1288" s="45" t="s">
        <v>125</v>
      </c>
      <c r="J1288" s="46" t="s">
        <v>778</v>
      </c>
      <c r="K1288" s="46" t="s">
        <v>126</v>
      </c>
      <c r="L1288" s="46" t="s">
        <v>12</v>
      </c>
      <c r="M1288" s="46" t="s">
        <v>13</v>
      </c>
      <c r="N1288" s="46" t="s">
        <v>16</v>
      </c>
      <c r="O1288" s="49" t="s">
        <v>803</v>
      </c>
      <c r="P1288" s="46" t="s">
        <v>507</v>
      </c>
      <c r="Q1288" s="35" t="str">
        <f>MID(Tabla1[[#This Row],[Aplicación]],14,1)</f>
        <v>2</v>
      </c>
      <c r="R1288" s="35" t="s">
        <v>495</v>
      </c>
      <c r="S1288" s="35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35" t="str">
        <f>MID(Tabla1[[#This Row],[Aplicación]],9,4)</f>
        <v>3231</v>
      </c>
      <c r="V1288" s="35" t="str">
        <f>VLOOKUP(Tabla1[[#This Row],[PROGRAMA]],Hoja1!A:B,2,FALSE)</f>
        <v>3231. Escuelas infantiles</v>
      </c>
      <c r="W1288" s="35" t="str">
        <f>MID(Tabla1[[#This Row],[Aplicación]],14,2)</f>
        <v>21</v>
      </c>
      <c r="X1288" s="35" t="str">
        <f>MID(Tabla1[[#This Row],[Aplicación]],14,6)</f>
        <v>213</v>
      </c>
    </row>
    <row r="1289" spans="1:24" x14ac:dyDescent="0.25">
      <c r="A1289" s="45">
        <v>220209000754</v>
      </c>
      <c r="B1289" s="46" t="s">
        <v>9</v>
      </c>
      <c r="C1289" s="47">
        <v>44198</v>
      </c>
      <c r="D1289" s="45">
        <v>22021000479</v>
      </c>
      <c r="E1289" s="46" t="s">
        <v>1215</v>
      </c>
      <c r="F1289" s="48">
        <v>64.88</v>
      </c>
      <c r="G1289" s="46" t="s">
        <v>2465</v>
      </c>
      <c r="H1289" s="46" t="s">
        <v>2469</v>
      </c>
      <c r="I1289" s="45" t="s">
        <v>125</v>
      </c>
      <c r="J1289" s="46" t="s">
        <v>778</v>
      </c>
      <c r="K1289" s="46" t="s">
        <v>126</v>
      </c>
      <c r="L1289" s="46" t="s">
        <v>12</v>
      </c>
      <c r="M1289" s="46" t="s">
        <v>13</v>
      </c>
      <c r="N1289" s="46" t="s">
        <v>16</v>
      </c>
      <c r="O1289" s="49" t="s">
        <v>803</v>
      </c>
      <c r="P1289" s="46" t="s">
        <v>507</v>
      </c>
      <c r="Q1289" s="35" t="str">
        <f>MID(Tabla1[[#This Row],[Aplicación]],14,1)</f>
        <v>2</v>
      </c>
      <c r="R1289" s="35" t="s">
        <v>495</v>
      </c>
      <c r="S1289" s="35" t="str">
        <f>MID(Tabla1[[#This Row],[Aplicación]],6,2)</f>
        <v>06</v>
      </c>
      <c r="T1289" s="35" t="str">
        <f>VLOOKUP(Tabla1[[#This Row],[AREA]],Hoja1!A:B,2,FALSE)</f>
        <v>06. Educación, infancia, juventud e igualdad</v>
      </c>
      <c r="U1289" s="35" t="str">
        <f>MID(Tabla1[[#This Row],[Aplicación]],9,4)</f>
        <v>2314</v>
      </c>
      <c r="V1289" s="35" t="str">
        <f>VLOOKUP(Tabla1[[#This Row],[PROGRAMA]],Hoja1!A:B,2,FALSE)</f>
        <v>2314. Centro de programas juveniles</v>
      </c>
      <c r="W1289" s="35" t="str">
        <f>MID(Tabla1[[#This Row],[Aplicación]],14,2)</f>
        <v>21</v>
      </c>
      <c r="X1289" s="35" t="str">
        <f>MID(Tabla1[[#This Row],[Aplicación]],14,6)</f>
        <v>213</v>
      </c>
    </row>
    <row r="1290" spans="1:24" x14ac:dyDescent="0.25">
      <c r="A1290" s="45">
        <v>220209000756</v>
      </c>
      <c r="B1290" s="46" t="s">
        <v>9</v>
      </c>
      <c r="C1290" s="47">
        <v>44198</v>
      </c>
      <c r="D1290" s="45">
        <v>22021000481</v>
      </c>
      <c r="E1290" s="46" t="s">
        <v>1263</v>
      </c>
      <c r="F1290" s="48">
        <v>324.41000000000003</v>
      </c>
      <c r="G1290" s="46" t="s">
        <v>2465</v>
      </c>
      <c r="H1290" s="46" t="s">
        <v>2470</v>
      </c>
      <c r="I1290" s="45" t="s">
        <v>125</v>
      </c>
      <c r="J1290" s="46" t="s">
        <v>778</v>
      </c>
      <c r="K1290" s="46" t="s">
        <v>126</v>
      </c>
      <c r="L1290" s="46" t="s">
        <v>12</v>
      </c>
      <c r="M1290" s="46" t="s">
        <v>13</v>
      </c>
      <c r="N1290" s="46" t="s">
        <v>14</v>
      </c>
      <c r="O1290" s="49" t="s">
        <v>803</v>
      </c>
      <c r="P1290" s="46" t="s">
        <v>507</v>
      </c>
      <c r="Q1290" s="35" t="str">
        <f>MID(Tabla1[[#This Row],[Aplicación]],14,1)</f>
        <v>2</v>
      </c>
      <c r="R1290" s="35" t="s">
        <v>495</v>
      </c>
      <c r="S1290" s="35" t="str">
        <f>MID(Tabla1[[#This Row],[Aplicación]],6,2)</f>
        <v>02</v>
      </c>
      <c r="T1290" s="35" t="str">
        <f>VLOOKUP(Tabla1[[#This Row],[AREA]],Hoja1!A:B,2,FALSE)</f>
        <v>02. Planeamiento urbanístico y vivienda</v>
      </c>
      <c r="U1290" s="35" t="str">
        <f>MID(Tabla1[[#This Row],[Aplicación]],9,4)</f>
        <v>9332</v>
      </c>
      <c r="V1290" s="35" t="str">
        <f>VLOOKUP(Tabla1[[#This Row],[PROGRAMA]],Hoja1!A:B,2,FALSE)</f>
        <v>9332. Mantenimiento de edificios e instalaciones municipales</v>
      </c>
      <c r="W1290" s="35" t="str">
        <f>MID(Tabla1[[#This Row],[Aplicación]],14,2)</f>
        <v>21</v>
      </c>
      <c r="X1290" s="35" t="str">
        <f>MID(Tabla1[[#This Row],[Aplicación]],14,6)</f>
        <v>213</v>
      </c>
    </row>
    <row r="1291" spans="1:24" x14ac:dyDescent="0.25">
      <c r="A1291" s="45">
        <v>220210006563</v>
      </c>
      <c r="B1291" s="46" t="s">
        <v>9</v>
      </c>
      <c r="C1291" s="47">
        <v>44256</v>
      </c>
      <c r="D1291" s="45">
        <v>22021003024</v>
      </c>
      <c r="E1291" s="46" t="s">
        <v>2072</v>
      </c>
      <c r="F1291" s="48">
        <v>800</v>
      </c>
      <c r="G1291" s="46" t="s">
        <v>268</v>
      </c>
      <c r="H1291" s="46" t="s">
        <v>2073</v>
      </c>
      <c r="I1291" s="45" t="s">
        <v>125</v>
      </c>
      <c r="J1291" s="46" t="s">
        <v>127</v>
      </c>
      <c r="K1291" s="46" t="s">
        <v>127</v>
      </c>
      <c r="L1291" s="46" t="s">
        <v>15</v>
      </c>
      <c r="M1291" s="46" t="s">
        <v>10</v>
      </c>
      <c r="N1291" s="46" t="s">
        <v>11</v>
      </c>
      <c r="O1291" s="49" t="s">
        <v>815</v>
      </c>
      <c r="P1291" s="46" t="s">
        <v>507</v>
      </c>
      <c r="Q1291" s="35" t="str">
        <f>MID(Tabla1[[#This Row],[Aplicación]],14,1)</f>
        <v>2</v>
      </c>
      <c r="R1291" s="35" t="s">
        <v>495</v>
      </c>
      <c r="S1291" s="35" t="str">
        <f>MID(Tabla1[[#This Row],[Aplicación]],6,2)</f>
        <v>10</v>
      </c>
      <c r="T1291" s="35" t="str">
        <f>VLOOKUP(Tabla1[[#This Row],[AREA]],Hoja1!A:B,2,FALSE)</f>
        <v>10. Servicios sociales y mediación comunitaria</v>
      </c>
      <c r="U1291" s="35" t="str">
        <f>MID(Tabla1[[#This Row],[Aplicación]],9,4)</f>
        <v>2412</v>
      </c>
      <c r="V1291" s="35" t="str">
        <f>VLOOKUP(Tabla1[[#This Row],[PROGRAMA]],Hoja1!A:B,2,FALSE)</f>
        <v>2412. Formación para el empleo</v>
      </c>
      <c r="W1291" s="35" t="str">
        <f>MID(Tabla1[[#This Row],[Aplicación]],14,2)</f>
        <v>22</v>
      </c>
      <c r="X1291" s="35" t="str">
        <f>MID(Tabla1[[#This Row],[Aplicación]],14,6)</f>
        <v>22110</v>
      </c>
    </row>
    <row r="1292" spans="1:24" x14ac:dyDescent="0.25">
      <c r="A1292" s="45">
        <v>220209000784</v>
      </c>
      <c r="B1292" s="46" t="s">
        <v>9</v>
      </c>
      <c r="C1292" s="47">
        <v>44198</v>
      </c>
      <c r="D1292" s="45">
        <v>22021000500</v>
      </c>
      <c r="E1292" s="46" t="s">
        <v>2298</v>
      </c>
      <c r="F1292" s="48">
        <v>23388.75</v>
      </c>
      <c r="G1292" s="46" t="s">
        <v>200</v>
      </c>
      <c r="H1292" s="46" t="s">
        <v>2471</v>
      </c>
      <c r="I1292" s="45" t="s">
        <v>125</v>
      </c>
      <c r="J1292" s="46" t="s">
        <v>127</v>
      </c>
      <c r="K1292" s="46" t="s">
        <v>127</v>
      </c>
      <c r="L1292" s="46" t="s">
        <v>12</v>
      </c>
      <c r="M1292" s="46" t="s">
        <v>13</v>
      </c>
      <c r="N1292" s="46" t="s">
        <v>14</v>
      </c>
      <c r="O1292" s="49" t="s">
        <v>803</v>
      </c>
      <c r="P1292" s="46" t="s">
        <v>507</v>
      </c>
      <c r="Q1292" s="35" t="str">
        <f>MID(Tabla1[[#This Row],[Aplicación]],14,1)</f>
        <v>2</v>
      </c>
      <c r="R1292" s="35" t="s">
        <v>495</v>
      </c>
      <c r="S1292" s="35" t="str">
        <f>MID(Tabla1[[#This Row],[Aplicación]],6,2)</f>
        <v>03</v>
      </c>
      <c r="T1292" s="35" t="str">
        <f>VLOOKUP(Tabla1[[#This Row],[AREA]],Hoja1!A:B,2,FALSE)</f>
        <v>03. Participación ciudadana y deportes</v>
      </c>
      <c r="U1292" s="35" t="str">
        <f>MID(Tabla1[[#This Row],[Aplicación]],9,4)</f>
        <v>9241</v>
      </c>
      <c r="V1292" s="35" t="str">
        <f>VLOOKUP(Tabla1[[#This Row],[PROGRAMA]],Hoja1!A:B,2,FALSE)</f>
        <v>9241. Participación ciudadana</v>
      </c>
      <c r="W1292" s="35" t="str">
        <f>MID(Tabla1[[#This Row],[Aplicación]],14,2)</f>
        <v>22</v>
      </c>
      <c r="X1292" s="35" t="str">
        <f>MID(Tabla1[[#This Row],[Aplicación]],14,6)</f>
        <v>22701</v>
      </c>
    </row>
    <row r="1293" spans="1:24" x14ac:dyDescent="0.25">
      <c r="A1293" s="45">
        <v>220209000785</v>
      </c>
      <c r="B1293" s="46" t="s">
        <v>9</v>
      </c>
      <c r="C1293" s="47">
        <v>44198</v>
      </c>
      <c r="D1293" s="45">
        <v>22021000501</v>
      </c>
      <c r="E1293" s="46" t="s">
        <v>2298</v>
      </c>
      <c r="F1293" s="48">
        <v>4865.55</v>
      </c>
      <c r="G1293" s="46" t="s">
        <v>200</v>
      </c>
      <c r="H1293" s="46" t="s">
        <v>2472</v>
      </c>
      <c r="I1293" s="45" t="s">
        <v>125</v>
      </c>
      <c r="J1293" s="46" t="s">
        <v>127</v>
      </c>
      <c r="K1293" s="46" t="s">
        <v>127</v>
      </c>
      <c r="L1293" s="46" t="s">
        <v>12</v>
      </c>
      <c r="M1293" s="46" t="s">
        <v>13</v>
      </c>
      <c r="N1293" s="46" t="s">
        <v>14</v>
      </c>
      <c r="O1293" s="49" t="s">
        <v>803</v>
      </c>
      <c r="P1293" s="46" t="s">
        <v>507</v>
      </c>
      <c r="Q1293" s="35" t="str">
        <f>MID(Tabla1[[#This Row],[Aplicación]],14,1)</f>
        <v>2</v>
      </c>
      <c r="R1293" s="35" t="s">
        <v>495</v>
      </c>
      <c r="S1293" s="35" t="str">
        <f>MID(Tabla1[[#This Row],[Aplicación]],6,2)</f>
        <v>03</v>
      </c>
      <c r="T1293" s="35" t="str">
        <f>VLOOKUP(Tabla1[[#This Row],[AREA]],Hoja1!A:B,2,FALSE)</f>
        <v>03. Participación ciudadana y deportes</v>
      </c>
      <c r="U1293" s="35" t="str">
        <f>MID(Tabla1[[#This Row],[Aplicación]],9,4)</f>
        <v>9241</v>
      </c>
      <c r="V1293" s="35" t="str">
        <f>VLOOKUP(Tabla1[[#This Row],[PROGRAMA]],Hoja1!A:B,2,FALSE)</f>
        <v>9241. Participación ciudadana</v>
      </c>
      <c r="W1293" s="35" t="str">
        <f>MID(Tabla1[[#This Row],[Aplicación]],14,2)</f>
        <v>22</v>
      </c>
      <c r="X1293" s="35" t="str">
        <f>MID(Tabla1[[#This Row],[Aplicación]],14,6)</f>
        <v>22701</v>
      </c>
    </row>
    <row r="1294" spans="1:24" x14ac:dyDescent="0.25">
      <c r="A1294" s="45">
        <v>220210001030</v>
      </c>
      <c r="B1294" s="46" t="s">
        <v>9</v>
      </c>
      <c r="C1294" s="47">
        <v>44223</v>
      </c>
      <c r="D1294" s="45">
        <v>22021001930</v>
      </c>
      <c r="E1294" s="46" t="s">
        <v>1596</v>
      </c>
      <c r="F1294" s="48">
        <v>816.67</v>
      </c>
      <c r="G1294" s="46" t="s">
        <v>2473</v>
      </c>
      <c r="H1294" s="46" t="s">
        <v>2474</v>
      </c>
      <c r="I1294" s="45" t="s">
        <v>125</v>
      </c>
      <c r="J1294" s="46" t="s">
        <v>127</v>
      </c>
      <c r="K1294" s="46" t="s">
        <v>127</v>
      </c>
      <c r="L1294" s="46" t="s">
        <v>15</v>
      </c>
      <c r="M1294" s="46" t="s">
        <v>10</v>
      </c>
      <c r="N1294" s="46" t="s">
        <v>11</v>
      </c>
      <c r="O1294" s="49" t="s">
        <v>815</v>
      </c>
      <c r="P1294" s="46" t="s">
        <v>507</v>
      </c>
      <c r="Q1294" s="35" t="str">
        <f>MID(Tabla1[[#This Row],[Aplicación]],14,1)</f>
        <v>2</v>
      </c>
      <c r="R1294" s="35" t="s">
        <v>495</v>
      </c>
      <c r="S1294" s="35" t="str">
        <f>MID(Tabla1[[#This Row],[Aplicación]],6,2)</f>
        <v>11</v>
      </c>
      <c r="T1294" s="35" t="str">
        <f>VLOOKUP(Tabla1[[#This Row],[AREA]],Hoja1!A:B,2,FALSE)</f>
        <v>11. Salud pública y seguridad ciudadana</v>
      </c>
      <c r="U1294" s="35" t="str">
        <f>MID(Tabla1[[#This Row],[Aplicación]],9,4)</f>
        <v>1321</v>
      </c>
      <c r="V1294" s="35" t="str">
        <f>VLOOKUP(Tabla1[[#This Row],[PROGRAMA]],Hoja1!A:B,2,FALSE)</f>
        <v>1321. Policía municipal</v>
      </c>
      <c r="W1294" s="35" t="str">
        <f>MID(Tabla1[[#This Row],[Aplicación]],14,2)</f>
        <v>22</v>
      </c>
      <c r="X1294" s="35" t="str">
        <f>MID(Tabla1[[#This Row],[Aplicación]],14,6)</f>
        <v>22699</v>
      </c>
    </row>
    <row r="1295" spans="1:24" x14ac:dyDescent="0.25">
      <c r="A1295" s="45">
        <v>220209000790</v>
      </c>
      <c r="B1295" s="46" t="s">
        <v>9</v>
      </c>
      <c r="C1295" s="47">
        <v>44198</v>
      </c>
      <c r="D1295" s="45">
        <v>22021000505</v>
      </c>
      <c r="E1295" s="46" t="s">
        <v>2298</v>
      </c>
      <c r="F1295" s="48">
        <v>217343.65</v>
      </c>
      <c r="G1295" s="46" t="s">
        <v>2475</v>
      </c>
      <c r="H1295" s="46" t="s">
        <v>2476</v>
      </c>
      <c r="I1295" s="45" t="s">
        <v>125</v>
      </c>
      <c r="J1295" s="46" t="s">
        <v>127</v>
      </c>
      <c r="K1295" s="46" t="s">
        <v>127</v>
      </c>
      <c r="L1295" s="46" t="s">
        <v>12</v>
      </c>
      <c r="M1295" s="46" t="s">
        <v>13</v>
      </c>
      <c r="N1295" s="46" t="s">
        <v>14</v>
      </c>
      <c r="O1295" s="49" t="s">
        <v>803</v>
      </c>
      <c r="P1295" s="46" t="s">
        <v>507</v>
      </c>
      <c r="Q1295" s="35" t="str">
        <f>MID(Tabla1[[#This Row],[Aplicación]],14,1)</f>
        <v>2</v>
      </c>
      <c r="R1295" s="35" t="s">
        <v>495</v>
      </c>
      <c r="S1295" s="35" t="str">
        <f>MID(Tabla1[[#This Row],[Aplicación]],6,2)</f>
        <v>03</v>
      </c>
      <c r="T1295" s="35" t="str">
        <f>VLOOKUP(Tabla1[[#This Row],[AREA]],Hoja1!A:B,2,FALSE)</f>
        <v>03. Participación ciudadana y deportes</v>
      </c>
      <c r="U1295" s="35" t="str">
        <f>MID(Tabla1[[#This Row],[Aplicación]],9,4)</f>
        <v>9241</v>
      </c>
      <c r="V1295" s="35" t="str">
        <f>VLOOKUP(Tabla1[[#This Row],[PROGRAMA]],Hoja1!A:B,2,FALSE)</f>
        <v>9241. Participación ciudadana</v>
      </c>
      <c r="W1295" s="35" t="str">
        <f>MID(Tabla1[[#This Row],[Aplicación]],14,2)</f>
        <v>22</v>
      </c>
      <c r="X1295" s="35" t="str">
        <f>MID(Tabla1[[#This Row],[Aplicación]],14,6)</f>
        <v>22701</v>
      </c>
    </row>
    <row r="1296" spans="1:24" x14ac:dyDescent="0.25">
      <c r="A1296" s="45">
        <v>220210012883</v>
      </c>
      <c r="B1296" s="46" t="s">
        <v>9</v>
      </c>
      <c r="C1296" s="47">
        <v>44284</v>
      </c>
      <c r="D1296" s="45">
        <v>22021003666</v>
      </c>
      <c r="E1296" s="46" t="s">
        <v>1183</v>
      </c>
      <c r="F1296" s="48">
        <v>818.02</v>
      </c>
      <c r="G1296" s="46" t="s">
        <v>2477</v>
      </c>
      <c r="H1296" s="46" t="s">
        <v>2478</v>
      </c>
      <c r="I1296" s="45" t="s">
        <v>125</v>
      </c>
      <c r="J1296" s="46" t="s">
        <v>2479</v>
      </c>
      <c r="K1296" s="46" t="s">
        <v>2480</v>
      </c>
      <c r="L1296" s="46" t="s">
        <v>15</v>
      </c>
      <c r="M1296" s="46" t="s">
        <v>10</v>
      </c>
      <c r="N1296" s="46" t="s">
        <v>11</v>
      </c>
      <c r="O1296" s="49" t="s">
        <v>815</v>
      </c>
      <c r="P1296" s="46" t="s">
        <v>507</v>
      </c>
      <c r="Q1296" s="35" t="str">
        <f>MID(Tabla1[[#This Row],[Aplicación]],14,1)</f>
        <v>2</v>
      </c>
      <c r="R1296" s="35" t="s">
        <v>495</v>
      </c>
      <c r="S1296" s="35" t="str">
        <f>MID(Tabla1[[#This Row],[Aplicación]],6,2)</f>
        <v>11</v>
      </c>
      <c r="T1296" s="35" t="str">
        <f>VLOOKUP(Tabla1[[#This Row],[AREA]],Hoja1!A:B,2,FALSE)</f>
        <v>11. Salud pública y seguridad ciudadana</v>
      </c>
      <c r="U1296" s="35" t="str">
        <f>MID(Tabla1[[#This Row],[Aplicación]],9,4)</f>
        <v>1361</v>
      </c>
      <c r="V1296" s="35" t="str">
        <f>VLOOKUP(Tabla1[[#This Row],[PROGRAMA]],Hoja1!A:B,2,FALSE)</f>
        <v>1361. Prevención y extinción de incencios</v>
      </c>
      <c r="W1296" s="35" t="str">
        <f>MID(Tabla1[[#This Row],[Aplicación]],14,2)</f>
        <v>22</v>
      </c>
      <c r="X1296" s="35" t="str">
        <f>MID(Tabla1[[#This Row],[Aplicación]],14,6)</f>
        <v>22199</v>
      </c>
    </row>
    <row r="1297" spans="1:24" x14ac:dyDescent="0.25">
      <c r="A1297" s="45">
        <v>220210001376</v>
      </c>
      <c r="B1297" s="46" t="s">
        <v>9</v>
      </c>
      <c r="C1297" s="47">
        <v>44228</v>
      </c>
      <c r="D1297" s="45">
        <v>22021001881</v>
      </c>
      <c r="E1297" s="46" t="s">
        <v>1183</v>
      </c>
      <c r="F1297" s="48">
        <v>847</v>
      </c>
      <c r="G1297" s="46" t="s">
        <v>2481</v>
      </c>
      <c r="H1297" s="46" t="s">
        <v>2482</v>
      </c>
      <c r="I1297" s="45" t="s">
        <v>125</v>
      </c>
      <c r="J1297" s="46" t="s">
        <v>127</v>
      </c>
      <c r="K1297" s="46" t="s">
        <v>127</v>
      </c>
      <c r="L1297" s="46" t="s">
        <v>12</v>
      </c>
      <c r="M1297" s="46" t="s">
        <v>10</v>
      </c>
      <c r="N1297" s="46" t="s">
        <v>11</v>
      </c>
      <c r="O1297" s="49" t="s">
        <v>815</v>
      </c>
      <c r="P1297" s="46" t="s">
        <v>507</v>
      </c>
      <c r="Q1297" s="35" t="str">
        <f>MID(Tabla1[[#This Row],[Aplicación]],14,1)</f>
        <v>2</v>
      </c>
      <c r="R1297" s="35" t="s">
        <v>495</v>
      </c>
      <c r="S1297" s="35" t="str">
        <f>MID(Tabla1[[#This Row],[Aplicación]],6,2)</f>
        <v>11</v>
      </c>
      <c r="T1297" s="35" t="str">
        <f>VLOOKUP(Tabla1[[#This Row],[AREA]],Hoja1!A:B,2,FALSE)</f>
        <v>11. Salud pública y seguridad ciudadana</v>
      </c>
      <c r="U1297" s="35" t="str">
        <f>MID(Tabla1[[#This Row],[Aplicación]],9,4)</f>
        <v>1361</v>
      </c>
      <c r="V1297" s="35" t="str">
        <f>VLOOKUP(Tabla1[[#This Row],[PROGRAMA]],Hoja1!A:B,2,FALSE)</f>
        <v>1361. Prevención y extinción de incencios</v>
      </c>
      <c r="W1297" s="35" t="str">
        <f>MID(Tabla1[[#This Row],[Aplicación]],14,2)</f>
        <v>22</v>
      </c>
      <c r="X1297" s="35" t="str">
        <f>MID(Tabla1[[#This Row],[Aplicación]],14,6)</f>
        <v>22199</v>
      </c>
    </row>
    <row r="1298" spans="1:24" x14ac:dyDescent="0.25">
      <c r="A1298" s="45">
        <v>220209000106</v>
      </c>
      <c r="B1298" s="46" t="s">
        <v>9</v>
      </c>
      <c r="C1298" s="47">
        <v>44198</v>
      </c>
      <c r="D1298" s="45">
        <v>22021000092</v>
      </c>
      <c r="E1298" s="46" t="s">
        <v>2483</v>
      </c>
      <c r="F1298" s="48">
        <v>822.48</v>
      </c>
      <c r="G1298" s="46" t="s">
        <v>124</v>
      </c>
      <c r="H1298" s="46" t="s">
        <v>2484</v>
      </c>
      <c r="I1298" s="45" t="s">
        <v>125</v>
      </c>
      <c r="J1298" s="46" t="s">
        <v>126</v>
      </c>
      <c r="K1298" s="46" t="s">
        <v>126</v>
      </c>
      <c r="L1298" s="46" t="s">
        <v>12</v>
      </c>
      <c r="M1298" s="46" t="s">
        <v>13</v>
      </c>
      <c r="N1298" s="46" t="s">
        <v>14</v>
      </c>
      <c r="O1298" s="49" t="s">
        <v>803</v>
      </c>
      <c r="P1298" s="46" t="s">
        <v>507</v>
      </c>
      <c r="Q1298" s="35" t="str">
        <f>MID(Tabla1[[#This Row],[Aplicación]],14,1)</f>
        <v>2</v>
      </c>
      <c r="R1298" s="35" t="s">
        <v>495</v>
      </c>
      <c r="S1298" s="35" t="str">
        <f>MID(Tabla1[[#This Row],[Aplicación]],6,2)</f>
        <v>11</v>
      </c>
      <c r="T1298" s="35" t="str">
        <f>VLOOKUP(Tabla1[[#This Row],[AREA]],Hoja1!A:B,2,FALSE)</f>
        <v>11. Salud pública y seguridad ciudadana</v>
      </c>
      <c r="U1298" s="35" t="str">
        <f>MID(Tabla1[[#This Row],[Aplicación]],9,4)</f>
        <v>1361</v>
      </c>
      <c r="V1298" s="35" t="str">
        <f>VLOOKUP(Tabla1[[#This Row],[PROGRAMA]],Hoja1!A:B,2,FALSE)</f>
        <v>1361. Prevención y extinción de incencios</v>
      </c>
      <c r="W1298" s="35" t="str">
        <f>MID(Tabla1[[#This Row],[Aplicación]],14,2)</f>
        <v>22</v>
      </c>
      <c r="X1298" s="35" t="str">
        <f>MID(Tabla1[[#This Row],[Aplicación]],14,6)</f>
        <v>22200</v>
      </c>
    </row>
    <row r="1299" spans="1:24" x14ac:dyDescent="0.25">
      <c r="A1299" s="45">
        <v>220209000107</v>
      </c>
      <c r="B1299" s="46" t="s">
        <v>9</v>
      </c>
      <c r="C1299" s="47">
        <v>44198</v>
      </c>
      <c r="D1299" s="45">
        <v>22021000093</v>
      </c>
      <c r="E1299" s="46" t="s">
        <v>2485</v>
      </c>
      <c r="F1299" s="48">
        <v>7152.99</v>
      </c>
      <c r="G1299" s="46" t="s">
        <v>124</v>
      </c>
      <c r="H1299" s="46" t="s">
        <v>2486</v>
      </c>
      <c r="I1299" s="45" t="s">
        <v>125</v>
      </c>
      <c r="J1299" s="46" t="s">
        <v>126</v>
      </c>
      <c r="K1299" s="46" t="s">
        <v>126</v>
      </c>
      <c r="L1299" s="46" t="s">
        <v>12</v>
      </c>
      <c r="M1299" s="46" t="s">
        <v>13</v>
      </c>
      <c r="N1299" s="46" t="s">
        <v>14</v>
      </c>
      <c r="O1299" s="49" t="s">
        <v>803</v>
      </c>
      <c r="P1299" s="46" t="s">
        <v>507</v>
      </c>
      <c r="Q1299" s="35" t="str">
        <f>MID(Tabla1[[#This Row],[Aplicación]],14,1)</f>
        <v>2</v>
      </c>
      <c r="R1299" s="35" t="s">
        <v>495</v>
      </c>
      <c r="S1299" s="35" t="str">
        <f>MID(Tabla1[[#This Row],[Aplicación]],6,2)</f>
        <v>11</v>
      </c>
      <c r="T1299" s="35" t="str">
        <f>VLOOKUP(Tabla1[[#This Row],[AREA]],Hoja1!A:B,2,FALSE)</f>
        <v>11. Salud pública y seguridad ciudadana</v>
      </c>
      <c r="U1299" s="35" t="str">
        <f>MID(Tabla1[[#This Row],[Aplicación]],9,4)</f>
        <v>1321</v>
      </c>
      <c r="V1299" s="35" t="str">
        <f>VLOOKUP(Tabla1[[#This Row],[PROGRAMA]],Hoja1!A:B,2,FALSE)</f>
        <v>1321. Policía municipal</v>
      </c>
      <c r="W1299" s="35" t="str">
        <f>MID(Tabla1[[#This Row],[Aplicación]],14,2)</f>
        <v>22</v>
      </c>
      <c r="X1299" s="35" t="str">
        <f>MID(Tabla1[[#This Row],[Aplicación]],14,6)</f>
        <v>22200</v>
      </c>
    </row>
    <row r="1300" spans="1:24" x14ac:dyDescent="0.25">
      <c r="A1300" s="45">
        <v>220209000653</v>
      </c>
      <c r="B1300" s="46" t="s">
        <v>9</v>
      </c>
      <c r="C1300" s="47">
        <v>44198</v>
      </c>
      <c r="D1300" s="45">
        <v>22021000415</v>
      </c>
      <c r="E1300" s="46" t="s">
        <v>1511</v>
      </c>
      <c r="F1300" s="48">
        <v>871.2</v>
      </c>
      <c r="G1300" s="46" t="s">
        <v>774</v>
      </c>
      <c r="H1300" s="46" t="s">
        <v>2487</v>
      </c>
      <c r="I1300" s="45" t="s">
        <v>125</v>
      </c>
      <c r="J1300" s="46" t="s">
        <v>127</v>
      </c>
      <c r="K1300" s="46" t="s">
        <v>127</v>
      </c>
      <c r="L1300" s="46" t="s">
        <v>12</v>
      </c>
      <c r="M1300" s="46" t="s">
        <v>10</v>
      </c>
      <c r="N1300" s="46" t="s">
        <v>11</v>
      </c>
      <c r="O1300" s="49" t="s">
        <v>815</v>
      </c>
      <c r="P1300" s="46" t="s">
        <v>507</v>
      </c>
      <c r="Q1300" s="35" t="str">
        <f>MID(Tabla1[[#This Row],[Aplicación]],14,1)</f>
        <v>2</v>
      </c>
      <c r="R1300" s="35" t="s">
        <v>495</v>
      </c>
      <c r="S1300" s="35" t="str">
        <f>MID(Tabla1[[#This Row],[Aplicación]],6,2)</f>
        <v>11</v>
      </c>
      <c r="T1300" s="35" t="str">
        <f>VLOOKUP(Tabla1[[#This Row],[AREA]],Hoja1!A:B,2,FALSE)</f>
        <v>11. Salud pública y seguridad ciudadana</v>
      </c>
      <c r="U1300" s="35" t="str">
        <f>MID(Tabla1[[#This Row],[Aplicación]],9,4)</f>
        <v>1631</v>
      </c>
      <c r="V1300" s="35" t="str">
        <f>VLOOKUP(Tabla1[[#This Row],[PROGRAMA]],Hoja1!A:B,2,FALSE)</f>
        <v>1631. Limpieza viaria</v>
      </c>
      <c r="W1300" s="35" t="str">
        <f>MID(Tabla1[[#This Row],[Aplicación]],14,2)</f>
        <v>22</v>
      </c>
      <c r="X1300" s="35" t="str">
        <f>MID(Tabla1[[#This Row],[Aplicación]],14,6)</f>
        <v>22700</v>
      </c>
    </row>
    <row r="1301" spans="1:24" x14ac:dyDescent="0.25">
      <c r="A1301" s="45">
        <v>220210003753</v>
      </c>
      <c r="B1301" s="46" t="s">
        <v>9</v>
      </c>
      <c r="C1301" s="47">
        <v>44243</v>
      </c>
      <c r="D1301" s="45">
        <v>22021002611</v>
      </c>
      <c r="E1301" s="46" t="s">
        <v>1218</v>
      </c>
      <c r="F1301" s="48">
        <v>2885.81</v>
      </c>
      <c r="G1301" s="46" t="s">
        <v>53</v>
      </c>
      <c r="H1301" s="46" t="s">
        <v>2488</v>
      </c>
      <c r="I1301" s="45" t="s">
        <v>125</v>
      </c>
      <c r="J1301" s="46" t="s">
        <v>127</v>
      </c>
      <c r="K1301" s="46" t="s">
        <v>127</v>
      </c>
      <c r="L1301" s="46" t="s">
        <v>12</v>
      </c>
      <c r="M1301" s="46" t="s">
        <v>10</v>
      </c>
      <c r="N1301" s="46" t="s">
        <v>11</v>
      </c>
      <c r="O1301" s="49" t="s">
        <v>815</v>
      </c>
      <c r="P1301" s="46" t="s">
        <v>507</v>
      </c>
      <c r="Q1301" s="35" t="str">
        <f>MID(Tabla1[[#This Row],[Aplicación]],14,1)</f>
        <v>2</v>
      </c>
      <c r="R1301" s="35" t="s">
        <v>495</v>
      </c>
      <c r="S1301" s="35" t="str">
        <f>MID(Tabla1[[#This Row],[Aplicación]],6,2)</f>
        <v>07</v>
      </c>
      <c r="T1301" s="35" t="str">
        <f>VLOOKUP(Tabla1[[#This Row],[AREA]],Hoja1!A:B,2,FALSE)</f>
        <v>07. Medio ambiente y desarrollo sostenible</v>
      </c>
      <c r="U1301" s="35" t="str">
        <f>MID(Tabla1[[#This Row],[Aplicación]],9,4)</f>
        <v>1701</v>
      </c>
      <c r="V1301" s="35" t="str">
        <f>VLOOKUP(Tabla1[[#This Row],[PROGRAMA]],Hoja1!A:B,2,FALSE)</f>
        <v>1701. Dirección del área de medio ambiente</v>
      </c>
      <c r="W1301" s="35" t="str">
        <f>MID(Tabla1[[#This Row],[Aplicación]],14,2)</f>
        <v>21</v>
      </c>
      <c r="X1301" s="35" t="str">
        <f>MID(Tabla1[[#This Row],[Aplicación]],14,6)</f>
        <v>213</v>
      </c>
    </row>
    <row r="1302" spans="1:24" x14ac:dyDescent="0.25">
      <c r="A1302" s="45">
        <v>220210012703</v>
      </c>
      <c r="B1302" s="46" t="s">
        <v>9</v>
      </c>
      <c r="C1302" s="47">
        <v>44280</v>
      </c>
      <c r="D1302" s="45">
        <v>22021003544</v>
      </c>
      <c r="E1302" s="46" t="s">
        <v>2414</v>
      </c>
      <c r="F1302" s="48">
        <v>687.05</v>
      </c>
      <c r="G1302" s="46" t="s">
        <v>2170</v>
      </c>
      <c r="H1302" s="46" t="s">
        <v>2489</v>
      </c>
      <c r="I1302" s="45" t="s">
        <v>125</v>
      </c>
      <c r="J1302" s="46" t="s">
        <v>127</v>
      </c>
      <c r="K1302" s="46" t="s">
        <v>127</v>
      </c>
      <c r="L1302" s="46" t="s">
        <v>15</v>
      </c>
      <c r="M1302" s="46" t="s">
        <v>10</v>
      </c>
      <c r="N1302" s="46" t="s">
        <v>11</v>
      </c>
      <c r="O1302" s="49" t="s">
        <v>815</v>
      </c>
      <c r="P1302" s="46" t="s">
        <v>507</v>
      </c>
      <c r="Q1302" s="35" t="str">
        <f>MID(Tabla1[[#This Row],[Aplicación]],14,1)</f>
        <v>2</v>
      </c>
      <c r="R1302" s="35" t="s">
        <v>495</v>
      </c>
      <c r="S1302" s="35" t="str">
        <f>MID(Tabla1[[#This Row],[Aplicación]],6,2)</f>
        <v>10</v>
      </c>
      <c r="T1302" s="35" t="str">
        <f>VLOOKUP(Tabla1[[#This Row],[AREA]],Hoja1!A:B,2,FALSE)</f>
        <v>10. Servicios sociales y mediación comunitaria</v>
      </c>
      <c r="U1302" s="35" t="str">
        <f>MID(Tabla1[[#This Row],[Aplicación]],9,4)</f>
        <v>2311</v>
      </c>
      <c r="V1302" s="35" t="str">
        <f>VLOOKUP(Tabla1[[#This Row],[PROGRAMA]],Hoja1!A:B,2,FALSE)</f>
        <v>2311. Intervención social</v>
      </c>
      <c r="W1302" s="35" t="str">
        <f>MID(Tabla1[[#This Row],[Aplicación]],14,2)</f>
        <v>22</v>
      </c>
      <c r="X1302" s="35" t="str">
        <f>MID(Tabla1[[#This Row],[Aplicación]],14,6)</f>
        <v>22199</v>
      </c>
    </row>
    <row r="1303" spans="1:24" x14ac:dyDescent="0.25">
      <c r="A1303" s="45">
        <v>220210000327</v>
      </c>
      <c r="B1303" s="46" t="s">
        <v>9</v>
      </c>
      <c r="C1303" s="47">
        <v>44217</v>
      </c>
      <c r="D1303" s="45">
        <v>22021001172</v>
      </c>
      <c r="E1303" s="46" t="s">
        <v>1247</v>
      </c>
      <c r="F1303" s="48">
        <v>907.5</v>
      </c>
      <c r="G1303" s="46" t="s">
        <v>101</v>
      </c>
      <c r="H1303" s="46" t="s">
        <v>2490</v>
      </c>
      <c r="I1303" s="45" t="s">
        <v>125</v>
      </c>
      <c r="J1303" s="46" t="s">
        <v>127</v>
      </c>
      <c r="K1303" s="46" t="s">
        <v>127</v>
      </c>
      <c r="L1303" s="46" t="s">
        <v>12</v>
      </c>
      <c r="M1303" s="46" t="s">
        <v>10</v>
      </c>
      <c r="N1303" s="46" t="s">
        <v>11</v>
      </c>
      <c r="O1303" s="49" t="s">
        <v>815</v>
      </c>
      <c r="P1303" s="46" t="s">
        <v>507</v>
      </c>
      <c r="Q1303" s="35" t="str">
        <f>MID(Tabla1[[#This Row],[Aplicación]],14,1)</f>
        <v>2</v>
      </c>
      <c r="R1303" s="35" t="s">
        <v>495</v>
      </c>
      <c r="S1303" s="35" t="str">
        <f>MID(Tabla1[[#This Row],[Aplicación]],6,2)</f>
        <v>10</v>
      </c>
      <c r="T1303" s="35" t="str">
        <f>VLOOKUP(Tabla1[[#This Row],[AREA]],Hoja1!A:B,2,FALSE)</f>
        <v>10. Servicios sociales y mediación comunitaria</v>
      </c>
      <c r="U1303" s="35" t="str">
        <f>MID(Tabla1[[#This Row],[Aplicación]],9,4)</f>
        <v>2311</v>
      </c>
      <c r="V1303" s="35" t="str">
        <f>VLOOKUP(Tabla1[[#This Row],[PROGRAMA]],Hoja1!A:B,2,FALSE)</f>
        <v>2311. Intervención social</v>
      </c>
      <c r="W1303" s="35" t="str">
        <f>MID(Tabla1[[#This Row],[Aplicación]],14,2)</f>
        <v>22</v>
      </c>
      <c r="X1303" s="35" t="str">
        <f>MID(Tabla1[[#This Row],[Aplicación]],14,6)</f>
        <v>22799</v>
      </c>
    </row>
    <row r="1304" spans="1:24" x14ac:dyDescent="0.25">
      <c r="A1304" s="45">
        <v>220210006012</v>
      </c>
      <c r="B1304" s="46" t="s">
        <v>9</v>
      </c>
      <c r="C1304" s="47">
        <v>44251</v>
      </c>
      <c r="D1304" s="45">
        <v>22021002967</v>
      </c>
      <c r="E1304" s="46" t="s">
        <v>1380</v>
      </c>
      <c r="F1304" s="48">
        <v>907.5</v>
      </c>
      <c r="G1304" s="46" t="s">
        <v>2491</v>
      </c>
      <c r="H1304" s="46" t="s">
        <v>2492</v>
      </c>
      <c r="I1304" s="45" t="s">
        <v>125</v>
      </c>
      <c r="J1304" s="46" t="s">
        <v>127</v>
      </c>
      <c r="K1304" s="46" t="s">
        <v>127</v>
      </c>
      <c r="L1304" s="46" t="s">
        <v>12</v>
      </c>
      <c r="M1304" s="46" t="s">
        <v>10</v>
      </c>
      <c r="N1304" s="46" t="s">
        <v>11</v>
      </c>
      <c r="O1304" s="49" t="s">
        <v>815</v>
      </c>
      <c r="P1304" s="46" t="s">
        <v>507</v>
      </c>
      <c r="Q1304" s="35" t="str">
        <f>MID(Tabla1[[#This Row],[Aplicación]],14,1)</f>
        <v>2</v>
      </c>
      <c r="R1304" s="35" t="s">
        <v>495</v>
      </c>
      <c r="S1304" s="35" t="str">
        <f>MID(Tabla1[[#This Row],[Aplicación]],6,2)</f>
        <v>03</v>
      </c>
      <c r="T1304" s="35" t="str">
        <f>VLOOKUP(Tabla1[[#This Row],[AREA]],Hoja1!A:B,2,FALSE)</f>
        <v>03. Participación ciudadana y deportes</v>
      </c>
      <c r="U1304" s="35" t="str">
        <f>MID(Tabla1[[#This Row],[Aplicación]],9,4)</f>
        <v>9241</v>
      </c>
      <c r="V1304" s="35" t="str">
        <f>VLOOKUP(Tabla1[[#This Row],[PROGRAMA]],Hoja1!A:B,2,FALSE)</f>
        <v>9241. Participación ciudadana</v>
      </c>
      <c r="W1304" s="35" t="str">
        <f>MID(Tabla1[[#This Row],[Aplicación]],14,2)</f>
        <v>22</v>
      </c>
      <c r="X1304" s="35" t="str">
        <f>MID(Tabla1[[#This Row],[Aplicación]],14,6)</f>
        <v>22699</v>
      </c>
    </row>
    <row r="1305" spans="1:24" x14ac:dyDescent="0.25">
      <c r="A1305" s="45">
        <v>220209000115</v>
      </c>
      <c r="B1305" s="46" t="s">
        <v>9</v>
      </c>
      <c r="C1305" s="47">
        <v>44198</v>
      </c>
      <c r="D1305" s="45">
        <v>22021000101</v>
      </c>
      <c r="E1305" s="46" t="s">
        <v>2147</v>
      </c>
      <c r="F1305" s="48">
        <v>132236.47</v>
      </c>
      <c r="G1305" s="46" t="s">
        <v>124</v>
      </c>
      <c r="H1305" s="46" t="s">
        <v>2493</v>
      </c>
      <c r="I1305" s="45" t="s">
        <v>125</v>
      </c>
      <c r="J1305" s="46" t="s">
        <v>126</v>
      </c>
      <c r="K1305" s="46" t="s">
        <v>126</v>
      </c>
      <c r="L1305" s="46" t="s">
        <v>12</v>
      </c>
      <c r="M1305" s="46" t="s">
        <v>13</v>
      </c>
      <c r="N1305" s="46" t="s">
        <v>11</v>
      </c>
      <c r="O1305" s="49" t="s">
        <v>803</v>
      </c>
      <c r="P1305" s="46" t="s">
        <v>507</v>
      </c>
      <c r="Q1305" s="35" t="str">
        <f>MID(Tabla1[[#This Row],[Aplicación]],14,1)</f>
        <v>2</v>
      </c>
      <c r="R1305" s="35" t="s">
        <v>495</v>
      </c>
      <c r="S1305" s="35" t="str">
        <f>MID(Tabla1[[#This Row],[Aplicación]],6,2)</f>
        <v>04</v>
      </c>
      <c r="T1305" s="35" t="str">
        <f>VLOOKUP(Tabla1[[#This Row],[AREA]],Hoja1!A:B,2,FALSE)</f>
        <v>04. Planificación y recursos</v>
      </c>
      <c r="U1305" s="35" t="str">
        <f>MID(Tabla1[[#This Row],[Aplicación]],9,4)</f>
        <v>9204</v>
      </c>
      <c r="V1305" s="35" t="str">
        <f>VLOOKUP(Tabla1[[#This Row],[PROGRAMA]],Hoja1!A:B,2,FALSE)</f>
        <v>9204. Tecnologías de la información y comunicación</v>
      </c>
      <c r="W1305" s="35" t="str">
        <f>MID(Tabla1[[#This Row],[Aplicación]],14,2)</f>
        <v>22</v>
      </c>
      <c r="X1305" s="35" t="str">
        <f>MID(Tabla1[[#This Row],[Aplicación]],14,6)</f>
        <v>22200</v>
      </c>
    </row>
    <row r="1306" spans="1:24" x14ac:dyDescent="0.25">
      <c r="A1306" s="45">
        <v>220210009588</v>
      </c>
      <c r="B1306" s="46" t="s">
        <v>9</v>
      </c>
      <c r="C1306" s="47">
        <v>44271</v>
      </c>
      <c r="D1306" s="45">
        <v>22021003367</v>
      </c>
      <c r="E1306" s="46" t="s">
        <v>2494</v>
      </c>
      <c r="F1306" s="48">
        <v>907.5</v>
      </c>
      <c r="G1306" s="46" t="s">
        <v>2495</v>
      </c>
      <c r="H1306" s="46" t="s">
        <v>2496</v>
      </c>
      <c r="I1306" s="45" t="s">
        <v>125</v>
      </c>
      <c r="J1306" s="46" t="s">
        <v>127</v>
      </c>
      <c r="K1306" s="46" t="s">
        <v>127</v>
      </c>
      <c r="L1306" s="46" t="s">
        <v>15</v>
      </c>
      <c r="M1306" s="46" t="s">
        <v>10</v>
      </c>
      <c r="N1306" s="46" t="s">
        <v>11</v>
      </c>
      <c r="O1306" s="49" t="s">
        <v>815</v>
      </c>
      <c r="P1306" s="46" t="s">
        <v>507</v>
      </c>
      <c r="Q1306" s="35" t="str">
        <f>MID(Tabla1[[#This Row],[Aplicación]],14,1)</f>
        <v>2</v>
      </c>
      <c r="R1306" s="35" t="s">
        <v>495</v>
      </c>
      <c r="S1306" s="35" t="str">
        <f>MID(Tabla1[[#This Row],[Aplicación]],6,2)</f>
        <v>04</v>
      </c>
      <c r="T1306" s="35" t="str">
        <f>VLOOKUP(Tabla1[[#This Row],[AREA]],Hoja1!A:B,2,FALSE)</f>
        <v>04. Planificación y recursos</v>
      </c>
      <c r="U1306" s="35" t="str">
        <f>MID(Tabla1[[#This Row],[Aplicación]],9,4)</f>
        <v>9231</v>
      </c>
      <c r="V1306" s="35" t="str">
        <f>VLOOKUP(Tabla1[[#This Row],[PROGRAMA]],Hoja1!A:B,2,FALSE)</f>
        <v>9231. Información, registro y gestión del padrón</v>
      </c>
      <c r="W1306" s="35" t="str">
        <f>MID(Tabla1[[#This Row],[Aplicación]],14,2)</f>
        <v>22</v>
      </c>
      <c r="X1306" s="35" t="str">
        <f>MID(Tabla1[[#This Row],[Aplicación]],14,6)</f>
        <v>22000</v>
      </c>
    </row>
    <row r="1307" spans="1:24" x14ac:dyDescent="0.25">
      <c r="A1307" s="45">
        <v>220209000282</v>
      </c>
      <c r="B1307" s="46" t="s">
        <v>9</v>
      </c>
      <c r="C1307" s="47">
        <v>44198</v>
      </c>
      <c r="D1307" s="45">
        <v>22021000259</v>
      </c>
      <c r="E1307" s="46" t="s">
        <v>1503</v>
      </c>
      <c r="F1307" s="48">
        <v>914.76</v>
      </c>
      <c r="G1307" s="46" t="s">
        <v>54</v>
      </c>
      <c r="H1307" s="46" t="s">
        <v>2497</v>
      </c>
      <c r="I1307" s="45" t="s">
        <v>125</v>
      </c>
      <c r="J1307" s="46" t="s">
        <v>127</v>
      </c>
      <c r="K1307" s="46" t="s">
        <v>127</v>
      </c>
      <c r="L1307" s="46" t="s">
        <v>12</v>
      </c>
      <c r="M1307" s="46" t="s">
        <v>10</v>
      </c>
      <c r="N1307" s="46" t="s">
        <v>11</v>
      </c>
      <c r="O1307" s="49" t="s">
        <v>815</v>
      </c>
      <c r="P1307" s="46" t="s">
        <v>507</v>
      </c>
      <c r="Q1307" s="35" t="str">
        <f>MID(Tabla1[[#This Row],[Aplicación]],14,1)</f>
        <v>2</v>
      </c>
      <c r="R1307" s="35" t="s">
        <v>495</v>
      </c>
      <c r="S1307" s="35" t="str">
        <f>MID(Tabla1[[#This Row],[Aplicación]],6,2)</f>
        <v>05</v>
      </c>
      <c r="T1307" s="35" t="str">
        <f>VLOOKUP(Tabla1[[#This Row],[AREA]],Hoja1!A:B,2,FALSE)</f>
        <v>05. Innovación, desarrollo económico, empleo y comercio</v>
      </c>
      <c r="U1307" s="35" t="str">
        <f>MID(Tabla1[[#This Row],[Aplicación]],9,4)</f>
        <v>4331</v>
      </c>
      <c r="V1307" s="35" t="str">
        <f>VLOOKUP(Tabla1[[#This Row],[PROGRAMA]],Hoja1!A:B,2,FALSE)</f>
        <v>4331. Desarrollo empresarial</v>
      </c>
      <c r="W1307" s="35" t="str">
        <f>MID(Tabla1[[#This Row],[Aplicación]],14,2)</f>
        <v>21</v>
      </c>
      <c r="X1307" s="35" t="str">
        <f>MID(Tabla1[[#This Row],[Aplicación]],14,6)</f>
        <v>213</v>
      </c>
    </row>
    <row r="1308" spans="1:24" x14ac:dyDescent="0.25">
      <c r="A1308" s="45">
        <v>220210001022</v>
      </c>
      <c r="B1308" s="46" t="s">
        <v>9</v>
      </c>
      <c r="C1308" s="47">
        <v>44223</v>
      </c>
      <c r="D1308" s="45">
        <v>22021002025</v>
      </c>
      <c r="E1308" s="46" t="s">
        <v>950</v>
      </c>
      <c r="F1308" s="48">
        <v>943.8</v>
      </c>
      <c r="G1308" s="46" t="s">
        <v>2498</v>
      </c>
      <c r="H1308" s="46" t="s">
        <v>2499</v>
      </c>
      <c r="I1308" s="45" t="s">
        <v>125</v>
      </c>
      <c r="J1308" s="46" t="s">
        <v>2500</v>
      </c>
      <c r="K1308" s="46" t="s">
        <v>2175</v>
      </c>
      <c r="L1308" s="46" t="s">
        <v>12</v>
      </c>
      <c r="M1308" s="46" t="s">
        <v>10</v>
      </c>
      <c r="N1308" s="46" t="s">
        <v>11</v>
      </c>
      <c r="O1308" s="49" t="s">
        <v>815</v>
      </c>
      <c r="P1308" s="46" t="s">
        <v>507</v>
      </c>
      <c r="Q1308" s="35" t="str">
        <f>MID(Tabla1[[#This Row],[Aplicación]],14,1)</f>
        <v>2</v>
      </c>
      <c r="R1308" s="35" t="s">
        <v>495</v>
      </c>
      <c r="S1308" s="35" t="str">
        <f>MID(Tabla1[[#This Row],[Aplicación]],6,2)</f>
        <v>11</v>
      </c>
      <c r="T1308" s="35" t="str">
        <f>VLOOKUP(Tabla1[[#This Row],[AREA]],Hoja1!A:B,2,FALSE)</f>
        <v>11. Salud pública y seguridad ciudadana</v>
      </c>
      <c r="U1308" s="35" t="str">
        <f>MID(Tabla1[[#This Row],[Aplicación]],9,4)</f>
        <v>1321</v>
      </c>
      <c r="V1308" s="35" t="str">
        <f>VLOOKUP(Tabla1[[#This Row],[PROGRAMA]],Hoja1!A:B,2,FALSE)</f>
        <v>1321. Policía municipal</v>
      </c>
      <c r="W1308" s="35" t="str">
        <f>MID(Tabla1[[#This Row],[Aplicación]],14,2)</f>
        <v>21</v>
      </c>
      <c r="X1308" s="35" t="str">
        <f>MID(Tabla1[[#This Row],[Aplicación]],14,6)</f>
        <v>213</v>
      </c>
    </row>
    <row r="1309" spans="1:24" x14ac:dyDescent="0.25">
      <c r="A1309" s="45">
        <v>220210004242</v>
      </c>
      <c r="B1309" s="46" t="s">
        <v>9</v>
      </c>
      <c r="C1309" s="47">
        <v>44245</v>
      </c>
      <c r="D1309" s="45">
        <v>22021002746</v>
      </c>
      <c r="E1309" s="46" t="s">
        <v>1263</v>
      </c>
      <c r="F1309" s="48">
        <v>948.64</v>
      </c>
      <c r="G1309" s="46" t="s">
        <v>2501</v>
      </c>
      <c r="H1309" s="46" t="s">
        <v>2502</v>
      </c>
      <c r="I1309" s="45" t="s">
        <v>125</v>
      </c>
      <c r="J1309" s="46" t="s">
        <v>127</v>
      </c>
      <c r="K1309" s="46" t="s">
        <v>127</v>
      </c>
      <c r="L1309" s="46" t="s">
        <v>12</v>
      </c>
      <c r="M1309" s="46" t="s">
        <v>10</v>
      </c>
      <c r="N1309" s="46" t="s">
        <v>11</v>
      </c>
      <c r="O1309" s="49" t="s">
        <v>815</v>
      </c>
      <c r="P1309" s="46" t="s">
        <v>507</v>
      </c>
      <c r="Q1309" s="35" t="str">
        <f>MID(Tabla1[[#This Row],[Aplicación]],14,1)</f>
        <v>2</v>
      </c>
      <c r="R1309" s="35" t="s">
        <v>495</v>
      </c>
      <c r="S1309" s="35" t="str">
        <f>MID(Tabla1[[#This Row],[Aplicación]],6,2)</f>
        <v>02</v>
      </c>
      <c r="T1309" s="35" t="str">
        <f>VLOOKUP(Tabla1[[#This Row],[AREA]],Hoja1!A:B,2,FALSE)</f>
        <v>02. Planeamiento urbanístico y vivienda</v>
      </c>
      <c r="U1309" s="35" t="str">
        <f>MID(Tabla1[[#This Row],[Aplicación]],9,4)</f>
        <v>9332</v>
      </c>
      <c r="V1309" s="35" t="str">
        <f>VLOOKUP(Tabla1[[#This Row],[PROGRAMA]],Hoja1!A:B,2,FALSE)</f>
        <v>9332. Mantenimiento de edificios e instalaciones municipales</v>
      </c>
      <c r="W1309" s="35" t="str">
        <f>MID(Tabla1[[#This Row],[Aplicación]],14,2)</f>
        <v>21</v>
      </c>
      <c r="X1309" s="35" t="str">
        <f>MID(Tabla1[[#This Row],[Aplicación]],14,6)</f>
        <v>213</v>
      </c>
    </row>
    <row r="1310" spans="1:24" x14ac:dyDescent="0.25">
      <c r="A1310" s="45">
        <v>220210007121</v>
      </c>
      <c r="B1310" s="46" t="s">
        <v>9</v>
      </c>
      <c r="C1310" s="47">
        <v>44260</v>
      </c>
      <c r="D1310" s="45">
        <v>22021003182</v>
      </c>
      <c r="E1310" s="46" t="s">
        <v>2306</v>
      </c>
      <c r="F1310" s="48">
        <v>949.2</v>
      </c>
      <c r="G1310" s="46" t="s">
        <v>2307</v>
      </c>
      <c r="H1310" s="46" t="s">
        <v>2308</v>
      </c>
      <c r="I1310" s="45" t="s">
        <v>125</v>
      </c>
      <c r="J1310" s="46" t="s">
        <v>127</v>
      </c>
      <c r="K1310" s="46" t="s">
        <v>127</v>
      </c>
      <c r="L1310" s="46" t="s">
        <v>15</v>
      </c>
      <c r="M1310" s="46" t="s">
        <v>10</v>
      </c>
      <c r="N1310" s="46" t="s">
        <v>11</v>
      </c>
      <c r="O1310" s="49" t="s">
        <v>815</v>
      </c>
      <c r="P1310" s="46" t="s">
        <v>507</v>
      </c>
      <c r="Q1310" s="35" t="str">
        <f>MID(Tabla1[[#This Row],[Aplicación]],14,1)</f>
        <v>2</v>
      </c>
      <c r="R1310" s="35" t="s">
        <v>495</v>
      </c>
      <c r="S1310" s="35" t="str">
        <f>MID(Tabla1[[#This Row],[Aplicación]],6,2)</f>
        <v>10</v>
      </c>
      <c r="T1310" s="35" t="str">
        <f>VLOOKUP(Tabla1[[#This Row],[AREA]],Hoja1!A:B,2,FALSE)</f>
        <v>10. Servicios sociales y mediación comunitaria</v>
      </c>
      <c r="U1310" s="35" t="str">
        <f>MID(Tabla1[[#This Row],[Aplicación]],9,4)</f>
        <v>2412</v>
      </c>
      <c r="V1310" s="35" t="str">
        <f>VLOOKUP(Tabla1[[#This Row],[PROGRAMA]],Hoja1!A:B,2,FALSE)</f>
        <v>2412. Formación para el empleo</v>
      </c>
      <c r="W1310" s="35" t="str">
        <f>MID(Tabla1[[#This Row],[Aplicación]],14,2)</f>
        <v>22</v>
      </c>
      <c r="X1310" s="35" t="str">
        <f>MID(Tabla1[[#This Row],[Aplicación]],14,6)</f>
        <v>22001</v>
      </c>
    </row>
    <row r="1311" spans="1:24" x14ac:dyDescent="0.25">
      <c r="A1311" s="45">
        <v>220210002870</v>
      </c>
      <c r="B1311" s="46" t="s">
        <v>9</v>
      </c>
      <c r="C1311" s="47">
        <v>44238</v>
      </c>
      <c r="D1311" s="45">
        <v>22021002576</v>
      </c>
      <c r="E1311" s="46" t="s">
        <v>1261</v>
      </c>
      <c r="F1311" s="48">
        <v>976</v>
      </c>
      <c r="G1311" s="46" t="s">
        <v>101</v>
      </c>
      <c r="H1311" s="46" t="s">
        <v>2503</v>
      </c>
      <c r="I1311" s="45" t="s">
        <v>125</v>
      </c>
      <c r="J1311" s="46" t="s">
        <v>127</v>
      </c>
      <c r="K1311" s="46" t="s">
        <v>127</v>
      </c>
      <c r="L1311" s="46" t="s">
        <v>12</v>
      </c>
      <c r="M1311" s="46" t="s">
        <v>10</v>
      </c>
      <c r="N1311" s="46" t="s">
        <v>11</v>
      </c>
      <c r="O1311" s="49" t="s">
        <v>815</v>
      </c>
      <c r="P1311" s="46" t="s">
        <v>507</v>
      </c>
      <c r="Q1311" s="35" t="str">
        <f>MID(Tabla1[[#This Row],[Aplicación]],14,1)</f>
        <v>2</v>
      </c>
      <c r="R1311" s="35" t="s">
        <v>495</v>
      </c>
      <c r="S1311" s="35" t="str">
        <f>MID(Tabla1[[#This Row],[Aplicación]],6,2)</f>
        <v>03</v>
      </c>
      <c r="T1311" s="35" t="str">
        <f>VLOOKUP(Tabla1[[#This Row],[AREA]],Hoja1!A:B,2,FALSE)</f>
        <v>03. Participación ciudadana y deportes</v>
      </c>
      <c r="U1311" s="35" t="str">
        <f>MID(Tabla1[[#This Row],[Aplicación]],9,4)</f>
        <v>9241</v>
      </c>
      <c r="V1311" s="35" t="str">
        <f>VLOOKUP(Tabla1[[#This Row],[PROGRAMA]],Hoja1!A:B,2,FALSE)</f>
        <v>9241. Participación ciudadana</v>
      </c>
      <c r="W1311" s="35" t="str">
        <f>MID(Tabla1[[#This Row],[Aplicación]],14,2)</f>
        <v>22</v>
      </c>
      <c r="X1311" s="35" t="str">
        <f>MID(Tabla1[[#This Row],[Aplicación]],14,6)</f>
        <v>22700</v>
      </c>
    </row>
    <row r="1312" spans="1:24" x14ac:dyDescent="0.25">
      <c r="A1312" s="45">
        <v>220210006442</v>
      </c>
      <c r="B1312" s="46" t="s">
        <v>9</v>
      </c>
      <c r="C1312" s="47">
        <v>44252</v>
      </c>
      <c r="D1312" s="45">
        <v>22021003049</v>
      </c>
      <c r="E1312" s="46" t="s">
        <v>1336</v>
      </c>
      <c r="F1312" s="48">
        <v>1000</v>
      </c>
      <c r="G1312" s="46" t="s">
        <v>105</v>
      </c>
      <c r="H1312" s="46" t="s">
        <v>2504</v>
      </c>
      <c r="I1312" s="45" t="s">
        <v>125</v>
      </c>
      <c r="J1312" s="46" t="s">
        <v>127</v>
      </c>
      <c r="K1312" s="46" t="s">
        <v>127</v>
      </c>
      <c r="L1312" s="46" t="s">
        <v>15</v>
      </c>
      <c r="M1312" s="46" t="s">
        <v>10</v>
      </c>
      <c r="N1312" s="46" t="s">
        <v>11</v>
      </c>
      <c r="O1312" s="49" t="s">
        <v>815</v>
      </c>
      <c r="P1312" s="46" t="s">
        <v>507</v>
      </c>
      <c r="Q1312" s="35" t="str">
        <f>MID(Tabla1[[#This Row],[Aplicación]],14,1)</f>
        <v>2</v>
      </c>
      <c r="R1312" s="35" t="s">
        <v>495</v>
      </c>
      <c r="S1312" s="35" t="str">
        <f>MID(Tabla1[[#This Row],[Aplicación]],6,2)</f>
        <v>02</v>
      </c>
      <c r="T1312" s="35" t="str">
        <f>VLOOKUP(Tabla1[[#This Row],[AREA]],Hoja1!A:B,2,FALSE)</f>
        <v>02. Planeamiento urbanístico y vivienda</v>
      </c>
      <c r="U1312" s="35" t="str">
        <f>MID(Tabla1[[#This Row],[Aplicación]],9,4)</f>
        <v>9332</v>
      </c>
      <c r="V1312" s="35" t="str">
        <f>VLOOKUP(Tabla1[[#This Row],[PROGRAMA]],Hoja1!A:B,2,FALSE)</f>
        <v>9332. Mantenimiento de edificios e instalaciones municipales</v>
      </c>
      <c r="W1312" s="35" t="str">
        <f>MID(Tabla1[[#This Row],[Aplicación]],14,2)</f>
        <v>21</v>
      </c>
      <c r="X1312" s="35" t="str">
        <f>MID(Tabla1[[#This Row],[Aplicación]],14,6)</f>
        <v>212</v>
      </c>
    </row>
    <row r="1313" spans="1:24" x14ac:dyDescent="0.25">
      <c r="A1313" s="45">
        <v>220210007095</v>
      </c>
      <c r="B1313" s="46" t="s">
        <v>204</v>
      </c>
      <c r="C1313" s="47">
        <v>44260</v>
      </c>
      <c r="D1313" s="45">
        <v>22021002228</v>
      </c>
      <c r="E1313" s="46" t="s">
        <v>1471</v>
      </c>
      <c r="F1313" s="48">
        <v>10.24</v>
      </c>
      <c r="G1313" s="46" t="s">
        <v>257</v>
      </c>
      <c r="H1313" s="46" t="s">
        <v>2505</v>
      </c>
      <c r="I1313" s="45" t="s">
        <v>205</v>
      </c>
      <c r="J1313" s="46" t="s">
        <v>127</v>
      </c>
      <c r="K1313" s="46" t="s">
        <v>127</v>
      </c>
      <c r="L1313" s="46" t="s">
        <v>15</v>
      </c>
      <c r="M1313" s="46" t="s">
        <v>13</v>
      </c>
      <c r="N1313" s="46" t="s">
        <v>14</v>
      </c>
      <c r="O1313" s="49" t="s">
        <v>814</v>
      </c>
      <c r="P1313" s="46" t="s">
        <v>507</v>
      </c>
      <c r="Q1313" s="35" t="str">
        <f>MID(Tabla1[[#This Row],[Aplicación]],14,1)</f>
        <v>2</v>
      </c>
      <c r="R1313" s="35" t="s">
        <v>495</v>
      </c>
      <c r="S1313" s="35" t="str">
        <f>MID(Tabla1[[#This Row],[Aplicación]],6,2)</f>
        <v>06</v>
      </c>
      <c r="T1313" s="35" t="str">
        <f>VLOOKUP(Tabla1[[#This Row],[AREA]],Hoja1!A:B,2,FALSE)</f>
        <v>06. Educación, infancia, juventud e igualdad</v>
      </c>
      <c r="U1313" s="35" t="str">
        <f>MID(Tabla1[[#This Row],[Aplicación]],9,4)</f>
        <v>3232</v>
      </c>
      <c r="V1313" s="35" t="str">
        <f>VLOOKUP(Tabla1[[#This Row],[PROGRAMA]],Hoja1!A:B,2,FALSE)</f>
        <v>3232. Conservación y mantenimiento centros educación infantil y primaria</v>
      </c>
      <c r="W1313" s="35" t="str">
        <f>MID(Tabla1[[#This Row],[Aplicación]],14,2)</f>
        <v>21</v>
      </c>
      <c r="X1313" s="35" t="str">
        <f>MID(Tabla1[[#This Row],[Aplicación]],14,6)</f>
        <v>212</v>
      </c>
    </row>
    <row r="1314" spans="1:24" x14ac:dyDescent="0.25">
      <c r="A1314" s="45">
        <v>220210000498</v>
      </c>
      <c r="B1314" s="46" t="s">
        <v>9</v>
      </c>
      <c r="C1314" s="47">
        <v>44221</v>
      </c>
      <c r="D1314" s="45">
        <v>22021001281</v>
      </c>
      <c r="E1314" s="46" t="s">
        <v>840</v>
      </c>
      <c r="F1314" s="48">
        <v>1000</v>
      </c>
      <c r="G1314" s="46" t="s">
        <v>635</v>
      </c>
      <c r="H1314" s="46" t="s">
        <v>2506</v>
      </c>
      <c r="I1314" s="45" t="s">
        <v>125</v>
      </c>
      <c r="J1314" s="46" t="s">
        <v>613</v>
      </c>
      <c r="K1314" s="46" t="s">
        <v>127</v>
      </c>
      <c r="L1314" s="46" t="s">
        <v>12</v>
      </c>
      <c r="M1314" s="46" t="s">
        <v>10</v>
      </c>
      <c r="N1314" s="46" t="s">
        <v>11</v>
      </c>
      <c r="O1314" s="49" t="s">
        <v>815</v>
      </c>
      <c r="P1314" s="46" t="s">
        <v>507</v>
      </c>
      <c r="Q1314" s="35" t="str">
        <f>MID(Tabla1[[#This Row],[Aplicación]],14,1)</f>
        <v>2</v>
      </c>
      <c r="R1314" s="35" t="s">
        <v>495</v>
      </c>
      <c r="S1314" s="35" t="str">
        <f>MID(Tabla1[[#This Row],[Aplicación]],6,2)</f>
        <v>07</v>
      </c>
      <c r="T1314" s="35" t="str">
        <f>VLOOKUP(Tabla1[[#This Row],[AREA]],Hoja1!A:B,2,FALSE)</f>
        <v>07. Medio ambiente y desarrollo sostenible</v>
      </c>
      <c r="U1314" s="35" t="str">
        <f>MID(Tabla1[[#This Row],[Aplicación]],9,4)</f>
        <v>1711</v>
      </c>
      <c r="V1314" s="35" t="str">
        <f>VLOOKUP(Tabla1[[#This Row],[PROGRAMA]],Hoja1!A:B,2,FALSE)</f>
        <v>1711. Parques y jardines</v>
      </c>
      <c r="W1314" s="35" t="str">
        <f>MID(Tabla1[[#This Row],[Aplicación]],14,2)</f>
        <v>22</v>
      </c>
      <c r="X1314" s="35" t="str">
        <f>MID(Tabla1[[#This Row],[Aplicación]],14,6)</f>
        <v>22799</v>
      </c>
    </row>
    <row r="1315" spans="1:24" x14ac:dyDescent="0.25">
      <c r="A1315" s="45">
        <v>220210010509</v>
      </c>
      <c r="B1315" s="46" t="s">
        <v>9</v>
      </c>
      <c r="C1315" s="47">
        <v>44277</v>
      </c>
      <c r="D1315" s="45">
        <v>22021003588</v>
      </c>
      <c r="E1315" s="46" t="s">
        <v>1501</v>
      </c>
      <c r="F1315" s="48">
        <v>5408.71</v>
      </c>
      <c r="G1315" s="46" t="s">
        <v>53</v>
      </c>
      <c r="H1315" s="46" t="s">
        <v>2507</v>
      </c>
      <c r="I1315" s="45" t="s">
        <v>125</v>
      </c>
      <c r="J1315" s="46" t="s">
        <v>127</v>
      </c>
      <c r="K1315" s="46" t="s">
        <v>127</v>
      </c>
      <c r="L1315" s="46" t="s">
        <v>12</v>
      </c>
      <c r="M1315" s="46" t="s">
        <v>10</v>
      </c>
      <c r="N1315" s="46" t="s">
        <v>11</v>
      </c>
      <c r="O1315" s="49" t="s">
        <v>815</v>
      </c>
      <c r="P1315" s="46" t="s">
        <v>507</v>
      </c>
      <c r="Q1315" s="35" t="str">
        <f>MID(Tabla1[[#This Row],[Aplicación]],14,1)</f>
        <v>2</v>
      </c>
      <c r="R1315" s="35" t="s">
        <v>495</v>
      </c>
      <c r="S1315" s="35" t="str">
        <f>MID(Tabla1[[#This Row],[Aplicación]],6,2)</f>
        <v>09</v>
      </c>
      <c r="T1315" s="35" t="str">
        <f>VLOOKUP(Tabla1[[#This Row],[AREA]],Hoja1!A:B,2,FALSE)</f>
        <v>09. Cultura y turismo</v>
      </c>
      <c r="U1315" s="35" t="str">
        <f>MID(Tabla1[[#This Row],[Aplicación]],9,4)</f>
        <v>3341</v>
      </c>
      <c r="V1315" s="35" t="str">
        <f>VLOOKUP(Tabla1[[#This Row],[PROGRAMA]],Hoja1!A:B,2,FALSE)</f>
        <v>3341. Coordinación de políticas culturales</v>
      </c>
      <c r="W1315" s="35" t="str">
        <f>MID(Tabla1[[#This Row],[Aplicación]],14,2)</f>
        <v>22</v>
      </c>
      <c r="X1315" s="35" t="str">
        <f>MID(Tabla1[[#This Row],[Aplicación]],14,6)</f>
        <v>22701</v>
      </c>
    </row>
    <row r="1316" spans="1:24" x14ac:dyDescent="0.25">
      <c r="A1316" s="45">
        <v>220210001369</v>
      </c>
      <c r="B1316" s="46" t="s">
        <v>9</v>
      </c>
      <c r="C1316" s="47">
        <v>44228</v>
      </c>
      <c r="D1316" s="45">
        <v>22021002070</v>
      </c>
      <c r="E1316" s="46" t="s">
        <v>950</v>
      </c>
      <c r="F1316" s="48">
        <v>6466.56</v>
      </c>
      <c r="G1316" s="46" t="s">
        <v>53</v>
      </c>
      <c r="H1316" s="46" t="s">
        <v>2508</v>
      </c>
      <c r="I1316" s="45" t="s">
        <v>125</v>
      </c>
      <c r="J1316" s="46" t="s">
        <v>127</v>
      </c>
      <c r="K1316" s="46" t="s">
        <v>127</v>
      </c>
      <c r="L1316" s="46" t="s">
        <v>12</v>
      </c>
      <c r="M1316" s="46" t="s">
        <v>10</v>
      </c>
      <c r="N1316" s="46" t="s">
        <v>11</v>
      </c>
      <c r="O1316" s="49" t="s">
        <v>815</v>
      </c>
      <c r="P1316" s="46" t="s">
        <v>507</v>
      </c>
      <c r="Q1316" s="35" t="str">
        <f>MID(Tabla1[[#This Row],[Aplicación]],14,1)</f>
        <v>2</v>
      </c>
      <c r="R1316" s="35" t="s">
        <v>495</v>
      </c>
      <c r="S1316" s="35" t="str">
        <f>MID(Tabla1[[#This Row],[Aplicación]],6,2)</f>
        <v>11</v>
      </c>
      <c r="T1316" s="35" t="str">
        <f>VLOOKUP(Tabla1[[#This Row],[AREA]],Hoja1!A:B,2,FALSE)</f>
        <v>11. Salud pública y seguridad ciudadana</v>
      </c>
      <c r="U1316" s="35" t="str">
        <f>MID(Tabla1[[#This Row],[Aplicación]],9,4)</f>
        <v>1321</v>
      </c>
      <c r="V1316" s="35" t="str">
        <f>VLOOKUP(Tabla1[[#This Row],[PROGRAMA]],Hoja1!A:B,2,FALSE)</f>
        <v>1321. Policía municipal</v>
      </c>
      <c r="W1316" s="35" t="str">
        <f>MID(Tabla1[[#This Row],[Aplicación]],14,2)</f>
        <v>21</v>
      </c>
      <c r="X1316" s="35" t="str">
        <f>MID(Tabla1[[#This Row],[Aplicación]],14,6)</f>
        <v>213</v>
      </c>
    </row>
    <row r="1317" spans="1:24" x14ac:dyDescent="0.25">
      <c r="A1317" s="45">
        <v>220210008426</v>
      </c>
      <c r="B1317" s="46" t="s">
        <v>9</v>
      </c>
      <c r="C1317" s="47">
        <v>44266</v>
      </c>
      <c r="D1317" s="45">
        <v>22021003361</v>
      </c>
      <c r="E1317" s="46" t="s">
        <v>1263</v>
      </c>
      <c r="F1317" s="48">
        <v>7071.2</v>
      </c>
      <c r="G1317" s="46" t="s">
        <v>53</v>
      </c>
      <c r="H1317" s="46" t="s">
        <v>2509</v>
      </c>
      <c r="I1317" s="45" t="s">
        <v>125</v>
      </c>
      <c r="J1317" s="46" t="s">
        <v>127</v>
      </c>
      <c r="K1317" s="46" t="s">
        <v>127</v>
      </c>
      <c r="L1317" s="46" t="s">
        <v>12</v>
      </c>
      <c r="M1317" s="46" t="s">
        <v>10</v>
      </c>
      <c r="N1317" s="46" t="s">
        <v>11</v>
      </c>
      <c r="O1317" s="49" t="s">
        <v>815</v>
      </c>
      <c r="P1317" s="46" t="s">
        <v>507</v>
      </c>
      <c r="Q1317" s="35" t="str">
        <f>MID(Tabla1[[#This Row],[Aplicación]],14,1)</f>
        <v>2</v>
      </c>
      <c r="R1317" s="35" t="s">
        <v>495</v>
      </c>
      <c r="S1317" s="35" t="str">
        <f>MID(Tabla1[[#This Row],[Aplicación]],6,2)</f>
        <v>02</v>
      </c>
      <c r="T1317" s="35" t="str">
        <f>VLOOKUP(Tabla1[[#This Row],[AREA]],Hoja1!A:B,2,FALSE)</f>
        <v>02. Planeamiento urbanístico y vivienda</v>
      </c>
      <c r="U1317" s="35" t="str">
        <f>MID(Tabla1[[#This Row],[Aplicación]],9,4)</f>
        <v>9332</v>
      </c>
      <c r="V1317" s="35" t="str">
        <f>VLOOKUP(Tabla1[[#This Row],[PROGRAMA]],Hoja1!A:B,2,FALSE)</f>
        <v>9332. Mantenimiento de edificios e instalaciones municipales</v>
      </c>
      <c r="W1317" s="35" t="str">
        <f>MID(Tabla1[[#This Row],[Aplicación]],14,2)</f>
        <v>21</v>
      </c>
      <c r="X1317" s="35" t="str">
        <f>MID(Tabla1[[#This Row],[Aplicación]],14,6)</f>
        <v>213</v>
      </c>
    </row>
    <row r="1318" spans="1:24" x14ac:dyDescent="0.25">
      <c r="A1318" s="45">
        <v>220210000492</v>
      </c>
      <c r="B1318" s="46" t="s">
        <v>9</v>
      </c>
      <c r="C1318" s="47">
        <v>44221</v>
      </c>
      <c r="D1318" s="45">
        <v>22021001249</v>
      </c>
      <c r="E1318" s="46" t="s">
        <v>2510</v>
      </c>
      <c r="F1318" s="48">
        <v>1000</v>
      </c>
      <c r="G1318" s="46" t="s">
        <v>220</v>
      </c>
      <c r="H1318" s="46" t="s">
        <v>2511</v>
      </c>
      <c r="I1318" s="45" t="s">
        <v>125</v>
      </c>
      <c r="J1318" s="46" t="s">
        <v>127</v>
      </c>
      <c r="K1318" s="46" t="s">
        <v>127</v>
      </c>
      <c r="L1318" s="46" t="s">
        <v>15</v>
      </c>
      <c r="M1318" s="46" t="s">
        <v>10</v>
      </c>
      <c r="N1318" s="46" t="s">
        <v>11</v>
      </c>
      <c r="O1318" s="49" t="s">
        <v>815</v>
      </c>
      <c r="P1318" s="46" t="s">
        <v>507</v>
      </c>
      <c r="Q1318" s="35" t="str">
        <f>MID(Tabla1[[#This Row],[Aplicación]],14,1)</f>
        <v>2</v>
      </c>
      <c r="R1318" s="35" t="s">
        <v>495</v>
      </c>
      <c r="S1318" s="35" t="str">
        <f>MID(Tabla1[[#This Row],[Aplicación]],6,2)</f>
        <v>07</v>
      </c>
      <c r="T1318" s="35" t="str">
        <f>VLOOKUP(Tabla1[[#This Row],[AREA]],Hoja1!A:B,2,FALSE)</f>
        <v>07. Medio ambiente y desarrollo sostenible</v>
      </c>
      <c r="U1318" s="35" t="str">
        <f>MID(Tabla1[[#This Row],[Aplicación]],9,4)</f>
        <v>1711</v>
      </c>
      <c r="V1318" s="35" t="str">
        <f>VLOOKUP(Tabla1[[#This Row],[PROGRAMA]],Hoja1!A:B,2,FALSE)</f>
        <v>1711. Parques y jardines</v>
      </c>
      <c r="W1318" s="35" t="str">
        <f>MID(Tabla1[[#This Row],[Aplicación]],14,2)</f>
        <v>22</v>
      </c>
      <c r="X1318" s="35" t="str">
        <f>MID(Tabla1[[#This Row],[Aplicación]],14,6)</f>
        <v>22106</v>
      </c>
    </row>
    <row r="1319" spans="1:24" x14ac:dyDescent="0.25">
      <c r="A1319" s="45">
        <v>220210006474</v>
      </c>
      <c r="B1319" s="46" t="s">
        <v>204</v>
      </c>
      <c r="C1319" s="47">
        <v>44253</v>
      </c>
      <c r="D1319" s="45">
        <v>22021002227</v>
      </c>
      <c r="E1319" s="46" t="s">
        <v>1324</v>
      </c>
      <c r="F1319" s="48">
        <v>27.59</v>
      </c>
      <c r="G1319" s="46" t="s">
        <v>235</v>
      </c>
      <c r="H1319" s="46" t="s">
        <v>2512</v>
      </c>
      <c r="I1319" s="45" t="s">
        <v>205</v>
      </c>
      <c r="J1319" s="46" t="s">
        <v>742</v>
      </c>
      <c r="K1319" s="46" t="s">
        <v>165</v>
      </c>
      <c r="L1319" s="46" t="s">
        <v>15</v>
      </c>
      <c r="M1319" s="46" t="s">
        <v>13</v>
      </c>
      <c r="N1319" s="46" t="s">
        <v>16</v>
      </c>
      <c r="O1319" s="49" t="s">
        <v>814</v>
      </c>
      <c r="P1319" s="46" t="s">
        <v>507</v>
      </c>
      <c r="Q1319" s="35" t="str">
        <f>MID(Tabla1[[#This Row],[Aplicación]],14,1)</f>
        <v>2</v>
      </c>
      <c r="R1319" s="35" t="s">
        <v>495</v>
      </c>
      <c r="S1319" s="35" t="str">
        <f>MID(Tabla1[[#This Row],[Aplicación]],6,2)</f>
        <v>06</v>
      </c>
      <c r="T1319" s="35" t="str">
        <f>VLOOKUP(Tabla1[[#This Row],[AREA]],Hoja1!A:B,2,FALSE)</f>
        <v>06. Educación, infancia, juventud e igualdad</v>
      </c>
      <c r="U1319" s="35" t="str">
        <f>MID(Tabla1[[#This Row],[Aplicación]],9,4)</f>
        <v>3321</v>
      </c>
      <c r="V1319" s="35" t="str">
        <f>VLOOKUP(Tabla1[[#This Row],[PROGRAMA]],Hoja1!A:B,2,FALSE)</f>
        <v>3321. Bibliotecas públicas</v>
      </c>
      <c r="W1319" s="35" t="str">
        <f>MID(Tabla1[[#This Row],[Aplicación]],14,2)</f>
        <v>21</v>
      </c>
      <c r="X1319" s="35" t="str">
        <f>MID(Tabla1[[#This Row],[Aplicación]],14,6)</f>
        <v>212</v>
      </c>
    </row>
    <row r="1320" spans="1:24" x14ac:dyDescent="0.25">
      <c r="A1320" s="45">
        <v>220210001183</v>
      </c>
      <c r="B1320" s="46" t="s">
        <v>9</v>
      </c>
      <c r="C1320" s="47">
        <v>44225</v>
      </c>
      <c r="D1320" s="45">
        <v>22021001961</v>
      </c>
      <c r="E1320" s="46" t="s">
        <v>2513</v>
      </c>
      <c r="F1320" s="48">
        <v>1815</v>
      </c>
      <c r="G1320" s="46" t="s">
        <v>720</v>
      </c>
      <c r="H1320" s="46" t="s">
        <v>2514</v>
      </c>
      <c r="I1320" s="45" t="s">
        <v>125</v>
      </c>
      <c r="J1320" s="46" t="s">
        <v>127</v>
      </c>
      <c r="K1320" s="46" t="s">
        <v>127</v>
      </c>
      <c r="L1320" s="46" t="s">
        <v>12</v>
      </c>
      <c r="M1320" s="46" t="s">
        <v>13</v>
      </c>
      <c r="N1320" s="46" t="s">
        <v>11</v>
      </c>
      <c r="O1320" s="49" t="s">
        <v>814</v>
      </c>
      <c r="P1320" s="46" t="s">
        <v>507</v>
      </c>
      <c r="Q1320" s="35" t="str">
        <f>MID(Tabla1[[#This Row],[Aplicación]],14,1)</f>
        <v>2</v>
      </c>
      <c r="R1320" s="35" t="s">
        <v>495</v>
      </c>
      <c r="S1320" s="35" t="str">
        <f>MID(Tabla1[[#This Row],[Aplicación]],6,2)</f>
        <v>05</v>
      </c>
      <c r="T1320" s="35" t="str">
        <f>VLOOKUP(Tabla1[[#This Row],[AREA]],Hoja1!A:B,2,FALSE)</f>
        <v>05. Innovación, desarrollo económico, empleo y comercio</v>
      </c>
      <c r="U1320" s="35" t="str">
        <f>MID(Tabla1[[#This Row],[Aplicación]],9,4)</f>
        <v>4314</v>
      </c>
      <c r="V1320" s="35" t="str">
        <f>VLOOKUP(Tabla1[[#This Row],[PROGRAMA]],Hoja1!A:B,2,FALSE)</f>
        <v>4314. Fomento del comercio</v>
      </c>
      <c r="W1320" s="35" t="str">
        <f>MID(Tabla1[[#This Row],[Aplicación]],14,2)</f>
        <v>22</v>
      </c>
      <c r="X1320" s="35" t="str">
        <f>MID(Tabla1[[#This Row],[Aplicación]],14,6)</f>
        <v>22602</v>
      </c>
    </row>
    <row r="1321" spans="1:24" x14ac:dyDescent="0.25">
      <c r="A1321" s="45">
        <v>220210013188</v>
      </c>
      <c r="B1321" s="46" t="s">
        <v>9</v>
      </c>
      <c r="C1321" s="47">
        <v>44286</v>
      </c>
      <c r="D1321" s="45">
        <v>22021003691</v>
      </c>
      <c r="E1321" s="46" t="s">
        <v>1263</v>
      </c>
      <c r="F1321" s="48">
        <v>1000</v>
      </c>
      <c r="G1321" s="46" t="s">
        <v>87</v>
      </c>
      <c r="H1321" s="46" t="s">
        <v>2515</v>
      </c>
      <c r="I1321" s="45" t="s">
        <v>125</v>
      </c>
      <c r="J1321" s="46" t="s">
        <v>127</v>
      </c>
      <c r="K1321" s="46" t="s">
        <v>127</v>
      </c>
      <c r="L1321" s="46" t="s">
        <v>15</v>
      </c>
      <c r="M1321" s="46" t="s">
        <v>10</v>
      </c>
      <c r="N1321" s="46" t="s">
        <v>11</v>
      </c>
      <c r="O1321" s="49" t="s">
        <v>815</v>
      </c>
      <c r="P1321" s="46" t="s">
        <v>507</v>
      </c>
      <c r="Q1321" s="35" t="str">
        <f>MID(Tabla1[[#This Row],[Aplicación]],14,1)</f>
        <v>2</v>
      </c>
      <c r="R1321" s="35" t="s">
        <v>495</v>
      </c>
      <c r="S1321" s="35" t="str">
        <f>MID(Tabla1[[#This Row],[Aplicación]],6,2)</f>
        <v>02</v>
      </c>
      <c r="T1321" s="35" t="str">
        <f>VLOOKUP(Tabla1[[#This Row],[AREA]],Hoja1!A:B,2,FALSE)</f>
        <v>02. Planeamiento urbanístico y vivienda</v>
      </c>
      <c r="U1321" s="35" t="str">
        <f>MID(Tabla1[[#This Row],[Aplicación]],9,4)</f>
        <v>9332</v>
      </c>
      <c r="V1321" s="35" t="str">
        <f>VLOOKUP(Tabla1[[#This Row],[PROGRAMA]],Hoja1!A:B,2,FALSE)</f>
        <v>9332. Mantenimiento de edificios e instalaciones municipales</v>
      </c>
      <c r="W1321" s="35" t="str">
        <f>MID(Tabla1[[#This Row],[Aplicación]],14,2)</f>
        <v>21</v>
      </c>
      <c r="X1321" s="35" t="str">
        <f>MID(Tabla1[[#This Row],[Aplicación]],14,6)</f>
        <v>213</v>
      </c>
    </row>
    <row r="1322" spans="1:24" x14ac:dyDescent="0.25">
      <c r="A1322" s="45">
        <v>220210005191</v>
      </c>
      <c r="B1322" s="46" t="s">
        <v>9</v>
      </c>
      <c r="C1322" s="47">
        <v>44246</v>
      </c>
      <c r="D1322" s="45">
        <v>22021002635</v>
      </c>
      <c r="E1322" s="46" t="s">
        <v>2516</v>
      </c>
      <c r="F1322" s="48">
        <v>813.12</v>
      </c>
      <c r="G1322" s="46" t="s">
        <v>2517</v>
      </c>
      <c r="H1322" s="46" t="s">
        <v>2518</v>
      </c>
      <c r="I1322" s="45" t="s">
        <v>125</v>
      </c>
      <c r="J1322" s="46" t="s">
        <v>203</v>
      </c>
      <c r="K1322" s="46" t="s">
        <v>203</v>
      </c>
      <c r="L1322" s="46" t="s">
        <v>15</v>
      </c>
      <c r="M1322" s="46" t="s">
        <v>10</v>
      </c>
      <c r="N1322" s="46" t="s">
        <v>11</v>
      </c>
      <c r="O1322" s="49" t="s">
        <v>815</v>
      </c>
      <c r="P1322" s="46" t="s">
        <v>507</v>
      </c>
      <c r="Q1322" s="35" t="str">
        <f>MID(Tabla1[[#This Row],[Aplicación]],14,1)</f>
        <v>2</v>
      </c>
      <c r="R1322" s="35" t="s">
        <v>495</v>
      </c>
      <c r="S1322" s="35" t="str">
        <f>MID(Tabla1[[#This Row],[Aplicación]],6,2)</f>
        <v>05</v>
      </c>
      <c r="T1322" s="35" t="str">
        <f>VLOOKUP(Tabla1[[#This Row],[AREA]],Hoja1!A:B,2,FALSE)</f>
        <v>05. Innovación, desarrollo económico, empleo y comercio</v>
      </c>
      <c r="U1322" s="35" t="str">
        <f>MID(Tabla1[[#This Row],[Aplicación]],9,4)</f>
        <v>4314</v>
      </c>
      <c r="V1322" s="35" t="str">
        <f>VLOOKUP(Tabla1[[#This Row],[PROGRAMA]],Hoja1!A:B,2,FALSE)</f>
        <v>4314. Fomento del comercio</v>
      </c>
      <c r="W1322" s="35" t="str">
        <f>MID(Tabla1[[#This Row],[Aplicación]],14,2)</f>
        <v>22</v>
      </c>
      <c r="X1322" s="35" t="str">
        <f>MID(Tabla1[[#This Row],[Aplicación]],14,6)</f>
        <v>22104</v>
      </c>
    </row>
    <row r="1323" spans="1:24" x14ac:dyDescent="0.25">
      <c r="A1323" s="45">
        <v>220210002355</v>
      </c>
      <c r="B1323" s="46" t="s">
        <v>9</v>
      </c>
      <c r="C1323" s="47">
        <v>44231</v>
      </c>
      <c r="D1323" s="45">
        <v>22021002066</v>
      </c>
      <c r="E1323" s="46" t="s">
        <v>873</v>
      </c>
      <c r="F1323" s="48">
        <v>1000</v>
      </c>
      <c r="G1323" s="46" t="s">
        <v>209</v>
      </c>
      <c r="H1323" s="46" t="s">
        <v>2519</v>
      </c>
      <c r="I1323" s="45" t="s">
        <v>125</v>
      </c>
      <c r="J1323" s="46" t="s">
        <v>127</v>
      </c>
      <c r="K1323" s="46" t="s">
        <v>127</v>
      </c>
      <c r="L1323" s="46" t="s">
        <v>15</v>
      </c>
      <c r="M1323" s="46" t="s">
        <v>10</v>
      </c>
      <c r="N1323" s="46" t="s">
        <v>11</v>
      </c>
      <c r="O1323" s="49" t="s">
        <v>815</v>
      </c>
      <c r="P1323" s="46" t="s">
        <v>507</v>
      </c>
      <c r="Q1323" s="35" t="str">
        <f>MID(Tabla1[[#This Row],[Aplicación]],14,1)</f>
        <v>2</v>
      </c>
      <c r="R1323" s="35" t="s">
        <v>495</v>
      </c>
      <c r="S1323" s="35" t="str">
        <f>MID(Tabla1[[#This Row],[Aplicación]],6,2)</f>
        <v>10</v>
      </c>
      <c r="T1323" s="35" t="str">
        <f>VLOOKUP(Tabla1[[#This Row],[AREA]],Hoja1!A:B,2,FALSE)</f>
        <v>10. Servicios sociales y mediación comunitaria</v>
      </c>
      <c r="U1323" s="35" t="str">
        <f>MID(Tabla1[[#This Row],[Aplicación]],9,4)</f>
        <v>2412</v>
      </c>
      <c r="V1323" s="35" t="str">
        <f>VLOOKUP(Tabla1[[#This Row],[PROGRAMA]],Hoja1!A:B,2,FALSE)</f>
        <v>2412. Formación para el empleo</v>
      </c>
      <c r="W1323" s="35" t="str">
        <f>MID(Tabla1[[#This Row],[Aplicación]],14,2)</f>
        <v>22</v>
      </c>
      <c r="X1323" s="35" t="str">
        <f>MID(Tabla1[[#This Row],[Aplicación]],14,6)</f>
        <v>22199</v>
      </c>
    </row>
    <row r="1324" spans="1:24" x14ac:dyDescent="0.25">
      <c r="A1324" s="45">
        <v>220209000392</v>
      </c>
      <c r="B1324" s="46" t="s">
        <v>9</v>
      </c>
      <c r="C1324" s="47">
        <v>44198</v>
      </c>
      <c r="D1324" s="45">
        <v>22021000284</v>
      </c>
      <c r="E1324" s="46" t="s">
        <v>2520</v>
      </c>
      <c r="F1324" s="48">
        <v>1000</v>
      </c>
      <c r="G1324" s="46" t="s">
        <v>188</v>
      </c>
      <c r="H1324" s="46" t="s">
        <v>2521</v>
      </c>
      <c r="I1324" s="45" t="s">
        <v>125</v>
      </c>
      <c r="J1324" s="46" t="s">
        <v>126</v>
      </c>
      <c r="K1324" s="46" t="s">
        <v>126</v>
      </c>
      <c r="L1324" s="46" t="s">
        <v>15</v>
      </c>
      <c r="M1324" s="46" t="s">
        <v>13</v>
      </c>
      <c r="N1324" s="46" t="s">
        <v>14</v>
      </c>
      <c r="O1324" s="49" t="s">
        <v>803</v>
      </c>
      <c r="P1324" s="46" t="s">
        <v>507</v>
      </c>
      <c r="Q1324" s="35" t="str">
        <f>MID(Tabla1[[#This Row],[Aplicación]],14,1)</f>
        <v>2</v>
      </c>
      <c r="R1324" s="35" t="s">
        <v>495</v>
      </c>
      <c r="S1324" s="35" t="str">
        <f>MID(Tabla1[[#This Row],[Aplicación]],6,2)</f>
        <v>07</v>
      </c>
      <c r="T1324" s="35" t="str">
        <f>VLOOKUP(Tabla1[[#This Row],[AREA]],Hoja1!A:B,2,FALSE)</f>
        <v>07. Medio ambiente y desarrollo sostenible</v>
      </c>
      <c r="U1324" s="35" t="str">
        <f>MID(Tabla1[[#This Row],[Aplicación]],9,4)</f>
        <v>1721</v>
      </c>
      <c r="V1324" s="35" t="str">
        <f>VLOOKUP(Tabla1[[#This Row],[PROGRAMA]],Hoja1!A:B,2,FALSE)</f>
        <v>1721. Protección del medio ambiente</v>
      </c>
      <c r="W1324" s="35" t="str">
        <f>MID(Tabla1[[#This Row],[Aplicación]],14,2)</f>
        <v>22</v>
      </c>
      <c r="X1324" s="35" t="str">
        <f>MID(Tabla1[[#This Row],[Aplicación]],14,6)</f>
        <v>22103</v>
      </c>
    </row>
    <row r="1325" spans="1:24" x14ac:dyDescent="0.25">
      <c r="A1325" s="45">
        <v>220210006953</v>
      </c>
      <c r="B1325" s="46" t="s">
        <v>9</v>
      </c>
      <c r="C1325" s="47">
        <v>44259</v>
      </c>
      <c r="D1325" s="45">
        <v>22021003064</v>
      </c>
      <c r="E1325" s="46" t="s">
        <v>1372</v>
      </c>
      <c r="F1325" s="48">
        <v>1000</v>
      </c>
      <c r="G1325" s="46" t="s">
        <v>51</v>
      </c>
      <c r="H1325" s="46" t="s">
        <v>2522</v>
      </c>
      <c r="I1325" s="45" t="s">
        <v>125</v>
      </c>
      <c r="J1325" s="46" t="s">
        <v>127</v>
      </c>
      <c r="K1325" s="46" t="s">
        <v>127</v>
      </c>
      <c r="L1325" s="46" t="s">
        <v>12</v>
      </c>
      <c r="M1325" s="46" t="s">
        <v>10</v>
      </c>
      <c r="N1325" s="46" t="s">
        <v>11</v>
      </c>
      <c r="O1325" s="49" t="s">
        <v>815</v>
      </c>
      <c r="P1325" s="46" t="s">
        <v>507</v>
      </c>
      <c r="Q1325" s="35" t="str">
        <f>MID(Tabla1[[#This Row],[Aplicación]],14,1)</f>
        <v>2</v>
      </c>
      <c r="R1325" s="35" t="s">
        <v>495</v>
      </c>
      <c r="S1325" s="35" t="str">
        <f>MID(Tabla1[[#This Row],[Aplicación]],6,2)</f>
        <v>07</v>
      </c>
      <c r="T1325" s="35" t="str">
        <f>VLOOKUP(Tabla1[[#This Row],[AREA]],Hoja1!A:B,2,FALSE)</f>
        <v>07. Medio ambiente y desarrollo sostenible</v>
      </c>
      <c r="U1325" s="35" t="str">
        <f>MID(Tabla1[[#This Row],[Aplicación]],9,4)</f>
        <v>1711</v>
      </c>
      <c r="V1325" s="35" t="str">
        <f>VLOOKUP(Tabla1[[#This Row],[PROGRAMA]],Hoja1!A:B,2,FALSE)</f>
        <v>1711. Parques y jardines</v>
      </c>
      <c r="W1325" s="35" t="str">
        <f>MID(Tabla1[[#This Row],[Aplicación]],14,2)</f>
        <v>21</v>
      </c>
      <c r="X1325" s="35" t="str">
        <f>MID(Tabla1[[#This Row],[Aplicación]],14,6)</f>
        <v>213</v>
      </c>
    </row>
    <row r="1326" spans="1:24" x14ac:dyDescent="0.25">
      <c r="A1326" s="45">
        <v>220210012879</v>
      </c>
      <c r="B1326" s="46" t="s">
        <v>9</v>
      </c>
      <c r="C1326" s="47">
        <v>44284</v>
      </c>
      <c r="D1326" s="45">
        <v>22021003662</v>
      </c>
      <c r="E1326" s="46" t="s">
        <v>1596</v>
      </c>
      <c r="F1326" s="48">
        <v>1059</v>
      </c>
      <c r="G1326" s="46" t="s">
        <v>2523</v>
      </c>
      <c r="H1326" s="46" t="s">
        <v>2524</v>
      </c>
      <c r="I1326" s="45" t="s">
        <v>125</v>
      </c>
      <c r="J1326" s="46" t="s">
        <v>162</v>
      </c>
      <c r="K1326" s="46" t="s">
        <v>162</v>
      </c>
      <c r="L1326" s="46" t="s">
        <v>12</v>
      </c>
      <c r="M1326" s="46" t="s">
        <v>10</v>
      </c>
      <c r="N1326" s="46" t="s">
        <v>11</v>
      </c>
      <c r="O1326" s="49" t="s">
        <v>815</v>
      </c>
      <c r="P1326" s="46" t="s">
        <v>507</v>
      </c>
      <c r="Q1326" s="35" t="str">
        <f>MID(Tabla1[[#This Row],[Aplicación]],14,1)</f>
        <v>2</v>
      </c>
      <c r="R1326" s="35" t="s">
        <v>495</v>
      </c>
      <c r="S1326" s="35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35" t="str">
        <f>MID(Tabla1[[#This Row],[Aplicación]],9,4)</f>
        <v>1321</v>
      </c>
      <c r="V1326" s="35" t="str">
        <f>VLOOKUP(Tabla1[[#This Row],[PROGRAMA]],Hoja1!A:B,2,FALSE)</f>
        <v>1321. Policía municipal</v>
      </c>
      <c r="W1326" s="35" t="str">
        <f>MID(Tabla1[[#This Row],[Aplicación]],14,2)</f>
        <v>22</v>
      </c>
      <c r="X1326" s="35" t="str">
        <f>MID(Tabla1[[#This Row],[Aplicación]],14,6)</f>
        <v>22699</v>
      </c>
    </row>
    <row r="1327" spans="1:24" x14ac:dyDescent="0.25">
      <c r="A1327" s="45">
        <v>220209000771</v>
      </c>
      <c r="B1327" s="46" t="s">
        <v>9</v>
      </c>
      <c r="C1327" s="47">
        <v>44198</v>
      </c>
      <c r="D1327" s="45">
        <v>22021000495</v>
      </c>
      <c r="E1327" s="46" t="s">
        <v>1505</v>
      </c>
      <c r="F1327" s="48">
        <v>7199.5</v>
      </c>
      <c r="G1327" s="46" t="s">
        <v>53</v>
      </c>
      <c r="H1327" s="46" t="s">
        <v>2525</v>
      </c>
      <c r="I1327" s="45" t="s">
        <v>125</v>
      </c>
      <c r="J1327" s="46" t="s">
        <v>127</v>
      </c>
      <c r="K1327" s="46" t="s">
        <v>127</v>
      </c>
      <c r="L1327" s="46" t="s">
        <v>12</v>
      </c>
      <c r="M1327" s="46" t="s">
        <v>10</v>
      </c>
      <c r="N1327" s="46" t="s">
        <v>11</v>
      </c>
      <c r="O1327" s="49" t="s">
        <v>815</v>
      </c>
      <c r="P1327" s="46" t="s">
        <v>507</v>
      </c>
      <c r="Q1327" s="35" t="str">
        <f>MID(Tabla1[[#This Row],[Aplicación]],14,1)</f>
        <v>2</v>
      </c>
      <c r="R1327" s="35" t="s">
        <v>495</v>
      </c>
      <c r="S1327" s="35" t="str">
        <f>MID(Tabla1[[#This Row],[Aplicación]],6,2)</f>
        <v>06</v>
      </c>
      <c r="T1327" s="35" t="str">
        <f>VLOOKUP(Tabla1[[#This Row],[AREA]],Hoja1!A:B,2,FALSE)</f>
        <v>06. Educación, infancia, juventud e igualdad</v>
      </c>
      <c r="U1327" s="35" t="str">
        <f>MID(Tabla1[[#This Row],[Aplicación]],9,4)</f>
        <v>3231</v>
      </c>
      <c r="V1327" s="35" t="str">
        <f>VLOOKUP(Tabla1[[#This Row],[PROGRAMA]],Hoja1!A:B,2,FALSE)</f>
        <v>3231. Escuelas infantiles</v>
      </c>
      <c r="W1327" s="35" t="str">
        <f>MID(Tabla1[[#This Row],[Aplicación]],14,2)</f>
        <v>21</v>
      </c>
      <c r="X1327" s="35" t="str">
        <f>MID(Tabla1[[#This Row],[Aplicación]],14,6)</f>
        <v>213</v>
      </c>
    </row>
    <row r="1328" spans="1:24" x14ac:dyDescent="0.25">
      <c r="A1328" s="45">
        <v>220210007130</v>
      </c>
      <c r="B1328" s="46" t="s">
        <v>9</v>
      </c>
      <c r="C1328" s="47">
        <v>44260</v>
      </c>
      <c r="D1328" s="45">
        <v>22021003226</v>
      </c>
      <c r="E1328" s="46" t="s">
        <v>1995</v>
      </c>
      <c r="F1328" s="48">
        <v>1076.9000000000001</v>
      </c>
      <c r="G1328" s="46" t="s">
        <v>2526</v>
      </c>
      <c r="H1328" s="46" t="s">
        <v>2527</v>
      </c>
      <c r="I1328" s="45" t="s">
        <v>125</v>
      </c>
      <c r="J1328" s="46" t="s">
        <v>127</v>
      </c>
      <c r="K1328" s="46" t="s">
        <v>127</v>
      </c>
      <c r="L1328" s="46" t="s">
        <v>12</v>
      </c>
      <c r="M1328" s="46" t="s">
        <v>10</v>
      </c>
      <c r="N1328" s="46" t="s">
        <v>11</v>
      </c>
      <c r="O1328" s="49" t="s">
        <v>815</v>
      </c>
      <c r="P1328" s="46" t="s">
        <v>507</v>
      </c>
      <c r="Q1328" s="35" t="str">
        <f>MID(Tabla1[[#This Row],[Aplicación]],14,1)</f>
        <v>2</v>
      </c>
      <c r="R1328" s="35" t="s">
        <v>495</v>
      </c>
      <c r="S1328" s="35" t="str">
        <f>MID(Tabla1[[#This Row],[Aplicación]],6,2)</f>
        <v>10</v>
      </c>
      <c r="T1328" s="35" t="str">
        <f>VLOOKUP(Tabla1[[#This Row],[AREA]],Hoja1!A:B,2,FALSE)</f>
        <v>10. Servicios sociales y mediación comunitaria</v>
      </c>
      <c r="U1328" s="35" t="str">
        <f>MID(Tabla1[[#This Row],[Aplicación]],9,4)</f>
        <v>2312</v>
      </c>
      <c r="V1328" s="35" t="str">
        <f>VLOOKUP(Tabla1[[#This Row],[PROGRAMA]],Hoja1!A:B,2,FALSE)</f>
        <v>2312. Iniciativas sociales</v>
      </c>
      <c r="W1328" s="35" t="str">
        <f>MID(Tabla1[[#This Row],[Aplicación]],14,2)</f>
        <v>22</v>
      </c>
      <c r="X1328" s="35" t="str">
        <f>MID(Tabla1[[#This Row],[Aplicación]],14,6)</f>
        <v>22700</v>
      </c>
    </row>
    <row r="1329" spans="1:24" x14ac:dyDescent="0.25">
      <c r="A1329" s="45">
        <v>220210007170</v>
      </c>
      <c r="B1329" s="46" t="s">
        <v>9</v>
      </c>
      <c r="C1329" s="47">
        <v>44263</v>
      </c>
      <c r="D1329" s="45">
        <v>22021002771</v>
      </c>
      <c r="E1329" s="46" t="s">
        <v>2528</v>
      </c>
      <c r="F1329" s="48">
        <v>1584</v>
      </c>
      <c r="G1329" s="46" t="s">
        <v>101</v>
      </c>
      <c r="H1329" s="46" t="s">
        <v>2529</v>
      </c>
      <c r="I1329" s="45" t="s">
        <v>125</v>
      </c>
      <c r="J1329" s="46" t="s">
        <v>127</v>
      </c>
      <c r="K1329" s="46" t="s">
        <v>127</v>
      </c>
      <c r="L1329" s="46" t="s">
        <v>12</v>
      </c>
      <c r="M1329" s="46" t="s">
        <v>10</v>
      </c>
      <c r="N1329" s="46" t="s">
        <v>11</v>
      </c>
      <c r="O1329" s="49" t="s">
        <v>815</v>
      </c>
      <c r="P1329" s="46" t="s">
        <v>507</v>
      </c>
      <c r="Q1329" s="35" t="str">
        <f>MID(Tabla1[[#This Row],[Aplicación]],14,1)</f>
        <v>2</v>
      </c>
      <c r="R1329" s="35" t="s">
        <v>495</v>
      </c>
      <c r="S1329" s="35" t="str">
        <f>MID(Tabla1[[#This Row],[Aplicación]],6,2)</f>
        <v>01</v>
      </c>
      <c r="T1329" s="35" t="str">
        <f>VLOOKUP(Tabla1[[#This Row],[AREA]],Hoja1!A:B,2,FALSE)</f>
        <v>01. Alcaldía</v>
      </c>
      <c r="U1329" s="35" t="str">
        <f>MID(Tabla1[[#This Row],[Aplicación]],9,4)</f>
        <v>9206</v>
      </c>
      <c r="V1329" s="35" t="str">
        <f>VLOOKUP(Tabla1[[#This Row],[PROGRAMA]],Hoja1!A:B,2,FALSE)</f>
        <v>9206. Archivo municipal</v>
      </c>
      <c r="W1329" s="35" t="str">
        <f>MID(Tabla1[[#This Row],[Aplicación]],14,2)</f>
        <v>22</v>
      </c>
      <c r="X1329" s="35" t="str">
        <f>MID(Tabla1[[#This Row],[Aplicación]],14,6)</f>
        <v>22799</v>
      </c>
    </row>
    <row r="1330" spans="1:24" x14ac:dyDescent="0.25">
      <c r="A1330" s="45">
        <v>220209000108</v>
      </c>
      <c r="B1330" s="46" t="s">
        <v>9</v>
      </c>
      <c r="C1330" s="47">
        <v>44198</v>
      </c>
      <c r="D1330" s="45">
        <v>22021000094</v>
      </c>
      <c r="E1330" s="46" t="s">
        <v>2485</v>
      </c>
      <c r="F1330" s="48">
        <v>1277.4000000000001</v>
      </c>
      <c r="G1330" s="46" t="s">
        <v>37</v>
      </c>
      <c r="H1330" s="46" t="s">
        <v>2530</v>
      </c>
      <c r="I1330" s="45" t="s">
        <v>125</v>
      </c>
      <c r="J1330" s="46" t="s">
        <v>126</v>
      </c>
      <c r="K1330" s="46" t="s">
        <v>126</v>
      </c>
      <c r="L1330" s="46" t="s">
        <v>12</v>
      </c>
      <c r="M1330" s="46" t="s">
        <v>13</v>
      </c>
      <c r="N1330" s="46" t="s">
        <v>14</v>
      </c>
      <c r="O1330" s="49" t="s">
        <v>803</v>
      </c>
      <c r="P1330" s="46" t="s">
        <v>507</v>
      </c>
      <c r="Q1330" s="35" t="str">
        <f>MID(Tabla1[[#This Row],[Aplicación]],14,1)</f>
        <v>2</v>
      </c>
      <c r="R1330" s="35" t="s">
        <v>495</v>
      </c>
      <c r="S1330" s="35" t="str">
        <f>MID(Tabla1[[#This Row],[Aplicación]],6,2)</f>
        <v>11</v>
      </c>
      <c r="T1330" s="35" t="str">
        <f>VLOOKUP(Tabla1[[#This Row],[AREA]],Hoja1!A:B,2,FALSE)</f>
        <v>11. Salud pública y seguridad ciudadana</v>
      </c>
      <c r="U1330" s="35" t="str">
        <f>MID(Tabla1[[#This Row],[Aplicación]],9,4)</f>
        <v>1321</v>
      </c>
      <c r="V1330" s="35" t="str">
        <f>VLOOKUP(Tabla1[[#This Row],[PROGRAMA]],Hoja1!A:B,2,FALSE)</f>
        <v>1321. Policía municipal</v>
      </c>
      <c r="W1330" s="35" t="str">
        <f>MID(Tabla1[[#This Row],[Aplicación]],14,2)</f>
        <v>22</v>
      </c>
      <c r="X1330" s="35" t="str">
        <f>MID(Tabla1[[#This Row],[Aplicación]],14,6)</f>
        <v>22200</v>
      </c>
    </row>
    <row r="1331" spans="1:24" x14ac:dyDescent="0.25">
      <c r="A1331" s="45">
        <v>220209000116</v>
      </c>
      <c r="B1331" s="46" t="s">
        <v>9</v>
      </c>
      <c r="C1331" s="47">
        <v>44198</v>
      </c>
      <c r="D1331" s="45">
        <v>22021000102</v>
      </c>
      <c r="E1331" s="46" t="s">
        <v>2147</v>
      </c>
      <c r="F1331" s="48">
        <v>32546.58</v>
      </c>
      <c r="G1331" s="46" t="s">
        <v>37</v>
      </c>
      <c r="H1331" s="46" t="s">
        <v>2531</v>
      </c>
      <c r="I1331" s="45" t="s">
        <v>125</v>
      </c>
      <c r="J1331" s="46" t="s">
        <v>126</v>
      </c>
      <c r="K1331" s="46" t="s">
        <v>126</v>
      </c>
      <c r="L1331" s="46" t="s">
        <v>12</v>
      </c>
      <c r="M1331" s="46" t="s">
        <v>13</v>
      </c>
      <c r="N1331" s="46" t="s">
        <v>14</v>
      </c>
      <c r="O1331" s="49" t="s">
        <v>803</v>
      </c>
      <c r="P1331" s="46" t="s">
        <v>507</v>
      </c>
      <c r="Q1331" s="35" t="str">
        <f>MID(Tabla1[[#This Row],[Aplicación]],14,1)</f>
        <v>2</v>
      </c>
      <c r="R1331" s="35" t="s">
        <v>495</v>
      </c>
      <c r="S1331" s="35" t="str">
        <f>MID(Tabla1[[#This Row],[Aplicación]],6,2)</f>
        <v>04</v>
      </c>
      <c r="T1331" s="35" t="str">
        <f>VLOOKUP(Tabla1[[#This Row],[AREA]],Hoja1!A:B,2,FALSE)</f>
        <v>04. Planificación y recursos</v>
      </c>
      <c r="U1331" s="35" t="str">
        <f>MID(Tabla1[[#This Row],[Aplicación]],9,4)</f>
        <v>9204</v>
      </c>
      <c r="V1331" s="35" t="str">
        <f>VLOOKUP(Tabla1[[#This Row],[PROGRAMA]],Hoja1!A:B,2,FALSE)</f>
        <v>9204. Tecnologías de la información y comunicación</v>
      </c>
      <c r="W1331" s="35" t="str">
        <f>MID(Tabla1[[#This Row],[Aplicación]],14,2)</f>
        <v>22</v>
      </c>
      <c r="X1331" s="35" t="str">
        <f>MID(Tabla1[[#This Row],[Aplicación]],14,6)</f>
        <v>22200</v>
      </c>
    </row>
    <row r="1332" spans="1:24" x14ac:dyDescent="0.25">
      <c r="A1332" s="45">
        <v>220209000383</v>
      </c>
      <c r="B1332" s="46" t="s">
        <v>9</v>
      </c>
      <c r="C1332" s="47">
        <v>44198</v>
      </c>
      <c r="D1332" s="45">
        <v>22021000276</v>
      </c>
      <c r="E1332" s="46" t="s">
        <v>2532</v>
      </c>
      <c r="F1332" s="48">
        <v>1100</v>
      </c>
      <c r="G1332" s="46" t="s">
        <v>188</v>
      </c>
      <c r="H1332" s="46" t="s">
        <v>2533</v>
      </c>
      <c r="I1332" s="45" t="s">
        <v>125</v>
      </c>
      <c r="J1332" s="46" t="s">
        <v>126</v>
      </c>
      <c r="K1332" s="46" t="s">
        <v>126</v>
      </c>
      <c r="L1332" s="46" t="s">
        <v>15</v>
      </c>
      <c r="M1332" s="46" t="s">
        <v>13</v>
      </c>
      <c r="N1332" s="46" t="s">
        <v>14</v>
      </c>
      <c r="O1332" s="49" t="s">
        <v>803</v>
      </c>
      <c r="P1332" s="46" t="s">
        <v>507</v>
      </c>
      <c r="Q1332" s="35" t="str">
        <f>MID(Tabla1[[#This Row],[Aplicación]],14,1)</f>
        <v>2</v>
      </c>
      <c r="R1332" s="35" t="s">
        <v>495</v>
      </c>
      <c r="S1332" s="35" t="str">
        <f>MID(Tabla1[[#This Row],[Aplicación]],6,2)</f>
        <v>01</v>
      </c>
      <c r="T1332" s="35" t="str">
        <f>VLOOKUP(Tabla1[[#This Row],[AREA]],Hoja1!A:B,2,FALSE)</f>
        <v>01. Alcaldía</v>
      </c>
      <c r="U1332" s="35" t="str">
        <f>MID(Tabla1[[#This Row],[Aplicación]],9,4)</f>
        <v>9203</v>
      </c>
      <c r="V1332" s="35" t="str">
        <f>VLOOKUP(Tabla1[[#This Row],[PROGRAMA]],Hoja1!A:B,2,FALSE)</f>
        <v>9203. Unidad de régimen interior</v>
      </c>
      <c r="W1332" s="35" t="str">
        <f>MID(Tabla1[[#This Row],[Aplicación]],14,2)</f>
        <v>22</v>
      </c>
      <c r="X1332" s="35" t="str">
        <f>MID(Tabla1[[#This Row],[Aplicación]],14,6)</f>
        <v>22103</v>
      </c>
    </row>
    <row r="1333" spans="1:24" x14ac:dyDescent="0.25">
      <c r="A1333" s="45">
        <v>220210001017</v>
      </c>
      <c r="B1333" s="46" t="s">
        <v>9</v>
      </c>
      <c r="C1333" s="47">
        <v>44223</v>
      </c>
      <c r="D1333" s="45">
        <v>22021001914</v>
      </c>
      <c r="E1333" s="46" t="s">
        <v>2169</v>
      </c>
      <c r="F1333" s="48">
        <v>245</v>
      </c>
      <c r="G1333" s="46" t="s">
        <v>2534</v>
      </c>
      <c r="H1333" s="46" t="s">
        <v>2535</v>
      </c>
      <c r="I1333" s="45" t="s">
        <v>125</v>
      </c>
      <c r="J1333" s="46" t="s">
        <v>127</v>
      </c>
      <c r="K1333" s="46" t="s">
        <v>127</v>
      </c>
      <c r="L1333" s="46" t="s">
        <v>15</v>
      </c>
      <c r="M1333" s="46" t="s">
        <v>10</v>
      </c>
      <c r="N1333" s="46" t="s">
        <v>11</v>
      </c>
      <c r="O1333" s="49" t="s">
        <v>815</v>
      </c>
      <c r="P1333" s="46" t="s">
        <v>507</v>
      </c>
      <c r="Q1333" s="35" t="str">
        <f>MID(Tabla1[[#This Row],[Aplicación]],14,1)</f>
        <v>2</v>
      </c>
      <c r="R1333" s="35" t="s">
        <v>495</v>
      </c>
      <c r="S1333" s="35" t="str">
        <f>MID(Tabla1[[#This Row],[Aplicación]],6,2)</f>
        <v>10</v>
      </c>
      <c r="T1333" s="35" t="str">
        <f>VLOOKUP(Tabla1[[#This Row],[AREA]],Hoja1!A:B,2,FALSE)</f>
        <v>10. Servicios sociales y mediación comunitaria</v>
      </c>
      <c r="U1333" s="35" t="str">
        <f>MID(Tabla1[[#This Row],[Aplicación]],9,4)</f>
        <v>2312</v>
      </c>
      <c r="V1333" s="35" t="str">
        <f>VLOOKUP(Tabla1[[#This Row],[PROGRAMA]],Hoja1!A:B,2,FALSE)</f>
        <v>2312. Iniciativas sociales</v>
      </c>
      <c r="W1333" s="35" t="str">
        <f>MID(Tabla1[[#This Row],[Aplicación]],14,2)</f>
        <v>22</v>
      </c>
      <c r="X1333" s="35" t="str">
        <f>MID(Tabla1[[#This Row],[Aplicación]],14,6)</f>
        <v>22199</v>
      </c>
    </row>
    <row r="1334" spans="1:24" x14ac:dyDescent="0.25">
      <c r="A1334" s="45">
        <v>220210006042</v>
      </c>
      <c r="B1334" s="46" t="s">
        <v>9</v>
      </c>
      <c r="C1334" s="47">
        <v>44251</v>
      </c>
      <c r="D1334" s="45">
        <v>22021002820</v>
      </c>
      <c r="E1334" s="46" t="s">
        <v>2536</v>
      </c>
      <c r="F1334" s="48">
        <v>350</v>
      </c>
      <c r="G1334" s="46" t="s">
        <v>2534</v>
      </c>
      <c r="H1334" s="46" t="s">
        <v>2537</v>
      </c>
      <c r="I1334" s="45" t="s">
        <v>125</v>
      </c>
      <c r="J1334" s="46" t="s">
        <v>127</v>
      </c>
      <c r="K1334" s="46" t="s">
        <v>127</v>
      </c>
      <c r="L1334" s="46" t="s">
        <v>15</v>
      </c>
      <c r="M1334" s="46" t="s">
        <v>10</v>
      </c>
      <c r="N1334" s="46" t="s">
        <v>11</v>
      </c>
      <c r="O1334" s="49" t="s">
        <v>815</v>
      </c>
      <c r="P1334" s="46" t="s">
        <v>507</v>
      </c>
      <c r="Q1334" s="35" t="str">
        <f>MID(Tabla1[[#This Row],[Aplicación]],14,1)</f>
        <v>6</v>
      </c>
      <c r="R1334" s="35" t="s">
        <v>496</v>
      </c>
      <c r="S1334" s="35" t="str">
        <f>MID(Tabla1[[#This Row],[Aplicación]],6,2)</f>
        <v>10</v>
      </c>
      <c r="T1334" s="35" t="str">
        <f>VLOOKUP(Tabla1[[#This Row],[AREA]],Hoja1!A:B,2,FALSE)</f>
        <v>10. Servicios sociales y mediación comunitaria</v>
      </c>
      <c r="U1334" s="35" t="str">
        <f>MID(Tabla1[[#This Row],[Aplicación]],9,4)</f>
        <v>2311</v>
      </c>
      <c r="V1334" s="35" t="str">
        <f>VLOOKUP(Tabla1[[#This Row],[PROGRAMA]],Hoja1!A:B,2,FALSE)</f>
        <v>2311. Intervención social</v>
      </c>
      <c r="W1334" s="35" t="str">
        <f>MID(Tabla1[[#This Row],[Aplicación]],14,2)</f>
        <v>63</v>
      </c>
      <c r="X1334" s="35" t="str">
        <f>MID(Tabla1[[#This Row],[Aplicación]],14,6)</f>
        <v>633</v>
      </c>
    </row>
    <row r="1335" spans="1:24" x14ac:dyDescent="0.25">
      <c r="A1335" s="45">
        <v>220209000552</v>
      </c>
      <c r="B1335" s="46" t="s">
        <v>9</v>
      </c>
      <c r="C1335" s="47">
        <v>44198</v>
      </c>
      <c r="D1335" s="45">
        <v>22021000583</v>
      </c>
      <c r="E1335" s="46" t="s">
        <v>1362</v>
      </c>
      <c r="F1335" s="48">
        <v>3172.93</v>
      </c>
      <c r="G1335" s="46" t="s">
        <v>2517</v>
      </c>
      <c r="H1335" s="46" t="s">
        <v>2538</v>
      </c>
      <c r="I1335" s="45" t="s">
        <v>125</v>
      </c>
      <c r="J1335" s="46" t="s">
        <v>203</v>
      </c>
      <c r="K1335" s="46" t="s">
        <v>203</v>
      </c>
      <c r="L1335" s="46" t="s">
        <v>15</v>
      </c>
      <c r="M1335" s="46" t="s">
        <v>13</v>
      </c>
      <c r="N1335" s="46" t="s">
        <v>14</v>
      </c>
      <c r="O1335" s="49" t="s">
        <v>803</v>
      </c>
      <c r="P1335" s="46" t="s">
        <v>507</v>
      </c>
      <c r="Q1335" s="35" t="str">
        <f>MID(Tabla1[[#This Row],[Aplicación]],14,1)</f>
        <v>2</v>
      </c>
      <c r="R1335" s="35" t="s">
        <v>495</v>
      </c>
      <c r="S1335" s="35" t="str">
        <f>MID(Tabla1[[#This Row],[Aplicación]],6,2)</f>
        <v>03</v>
      </c>
      <c r="T1335" s="35" t="str">
        <f>VLOOKUP(Tabla1[[#This Row],[AREA]],Hoja1!A:B,2,FALSE)</f>
        <v>03. Participación ciudadana y deportes</v>
      </c>
      <c r="U1335" s="35" t="str">
        <f>MID(Tabla1[[#This Row],[Aplicación]],9,4)</f>
        <v>9241</v>
      </c>
      <c r="V1335" s="35" t="str">
        <f>VLOOKUP(Tabla1[[#This Row],[PROGRAMA]],Hoja1!A:B,2,FALSE)</f>
        <v>9241. Participación ciudadana</v>
      </c>
      <c r="W1335" s="35" t="str">
        <f>MID(Tabla1[[#This Row],[Aplicación]],14,2)</f>
        <v>22</v>
      </c>
      <c r="X1335" s="35" t="str">
        <f>MID(Tabla1[[#This Row],[Aplicación]],14,6)</f>
        <v>22104</v>
      </c>
    </row>
    <row r="1336" spans="1:24" x14ac:dyDescent="0.25">
      <c r="A1336" s="45">
        <v>220210002354</v>
      </c>
      <c r="B1336" s="46" t="s">
        <v>9</v>
      </c>
      <c r="C1336" s="47">
        <v>44231</v>
      </c>
      <c r="D1336" s="45">
        <v>22021002033</v>
      </c>
      <c r="E1336" s="46" t="s">
        <v>2539</v>
      </c>
      <c r="F1336" s="48">
        <v>1119.25</v>
      </c>
      <c r="G1336" s="46" t="s">
        <v>2540</v>
      </c>
      <c r="H1336" s="46" t="s">
        <v>2541</v>
      </c>
      <c r="I1336" s="45" t="s">
        <v>125</v>
      </c>
      <c r="J1336" s="46" t="s">
        <v>127</v>
      </c>
      <c r="K1336" s="46" t="s">
        <v>127</v>
      </c>
      <c r="L1336" s="46" t="s">
        <v>12</v>
      </c>
      <c r="M1336" s="46" t="s">
        <v>10</v>
      </c>
      <c r="N1336" s="46" t="s">
        <v>11</v>
      </c>
      <c r="O1336" s="49" t="s">
        <v>815</v>
      </c>
      <c r="P1336" s="46" t="s">
        <v>507</v>
      </c>
      <c r="Q1336" s="35" t="str">
        <f>MID(Tabla1[[#This Row],[Aplicación]],14,1)</f>
        <v>2</v>
      </c>
      <c r="R1336" s="35" t="s">
        <v>495</v>
      </c>
      <c r="S1336" s="35" t="str">
        <f>MID(Tabla1[[#This Row],[Aplicación]],6,2)</f>
        <v>10</v>
      </c>
      <c r="T1336" s="35" t="str">
        <f>VLOOKUP(Tabla1[[#This Row],[AREA]],Hoja1!A:B,2,FALSE)</f>
        <v>10. Servicios sociales y mediación comunitaria</v>
      </c>
      <c r="U1336" s="35" t="str">
        <f>MID(Tabla1[[#This Row],[Aplicación]],9,4)</f>
        <v>2312</v>
      </c>
      <c r="V1336" s="35" t="str">
        <f>VLOOKUP(Tabla1[[#This Row],[PROGRAMA]],Hoja1!A:B,2,FALSE)</f>
        <v>2312. Iniciativas sociales</v>
      </c>
      <c r="W1336" s="35" t="str">
        <f>MID(Tabla1[[#This Row],[Aplicación]],14,2)</f>
        <v>22</v>
      </c>
      <c r="X1336" s="35" t="str">
        <f>MID(Tabla1[[#This Row],[Aplicación]],14,6)</f>
        <v>223</v>
      </c>
    </row>
    <row r="1337" spans="1:24" x14ac:dyDescent="0.25">
      <c r="A1337" s="45">
        <v>220210005269</v>
      </c>
      <c r="B1337" s="46" t="s">
        <v>9</v>
      </c>
      <c r="C1337" s="47">
        <v>44249</v>
      </c>
      <c r="D1337" s="45">
        <v>22021002867</v>
      </c>
      <c r="E1337" s="46" t="s">
        <v>1400</v>
      </c>
      <c r="F1337" s="48">
        <v>1145.04</v>
      </c>
      <c r="G1337" s="46" t="s">
        <v>2170</v>
      </c>
      <c r="H1337" s="46" t="s">
        <v>2542</v>
      </c>
      <c r="I1337" s="45" t="s">
        <v>125</v>
      </c>
      <c r="J1337" s="46" t="s">
        <v>127</v>
      </c>
      <c r="K1337" s="46" t="s">
        <v>127</v>
      </c>
      <c r="L1337" s="46" t="s">
        <v>15</v>
      </c>
      <c r="M1337" s="46" t="s">
        <v>10</v>
      </c>
      <c r="N1337" s="46" t="s">
        <v>11</v>
      </c>
      <c r="O1337" s="49" t="s">
        <v>815</v>
      </c>
      <c r="P1337" s="46" t="s">
        <v>507</v>
      </c>
      <c r="Q1337" s="35" t="str">
        <f>MID(Tabla1[[#This Row],[Aplicación]],14,1)</f>
        <v>2</v>
      </c>
      <c r="R1337" s="35" t="s">
        <v>495</v>
      </c>
      <c r="S1337" s="35" t="str">
        <f>MID(Tabla1[[#This Row],[Aplicación]],6,2)</f>
        <v>10</v>
      </c>
      <c r="T1337" s="35" t="str">
        <f>VLOOKUP(Tabla1[[#This Row],[AREA]],Hoja1!A:B,2,FALSE)</f>
        <v>10. Servicios sociales y mediación comunitaria</v>
      </c>
      <c r="U1337" s="35" t="str">
        <f>MID(Tabla1[[#This Row],[Aplicación]],9,4)</f>
        <v>2311</v>
      </c>
      <c r="V1337" s="35" t="str">
        <f>VLOOKUP(Tabla1[[#This Row],[PROGRAMA]],Hoja1!A:B,2,FALSE)</f>
        <v>2311. Intervención social</v>
      </c>
      <c r="W1337" s="35" t="str">
        <f>MID(Tabla1[[#This Row],[Aplicación]],14,2)</f>
        <v>22</v>
      </c>
      <c r="X1337" s="35" t="str">
        <f>MID(Tabla1[[#This Row],[Aplicación]],14,6)</f>
        <v>22699</v>
      </c>
    </row>
    <row r="1338" spans="1:24" x14ac:dyDescent="0.25">
      <c r="A1338" s="45">
        <v>220210001916</v>
      </c>
      <c r="B1338" s="46" t="s">
        <v>9</v>
      </c>
      <c r="C1338" s="47">
        <v>44231</v>
      </c>
      <c r="D1338" s="45">
        <v>22021002096</v>
      </c>
      <c r="E1338" s="46" t="s">
        <v>2543</v>
      </c>
      <c r="F1338" s="48">
        <v>1161.29</v>
      </c>
      <c r="G1338" s="46" t="s">
        <v>268</v>
      </c>
      <c r="H1338" s="46" t="s">
        <v>2544</v>
      </c>
      <c r="I1338" s="45" t="s">
        <v>125</v>
      </c>
      <c r="J1338" s="46" t="s">
        <v>127</v>
      </c>
      <c r="K1338" s="46" t="s">
        <v>127</v>
      </c>
      <c r="L1338" s="46" t="s">
        <v>15</v>
      </c>
      <c r="M1338" s="46" t="s">
        <v>10</v>
      </c>
      <c r="N1338" s="46" t="s">
        <v>11</v>
      </c>
      <c r="O1338" s="49" t="s">
        <v>815</v>
      </c>
      <c r="P1338" s="46" t="s">
        <v>507</v>
      </c>
      <c r="Q1338" s="35" t="str">
        <f>MID(Tabla1[[#This Row],[Aplicación]],14,1)</f>
        <v>2</v>
      </c>
      <c r="R1338" s="35" t="s">
        <v>495</v>
      </c>
      <c r="S1338" s="35" t="str">
        <f>MID(Tabla1[[#This Row],[Aplicación]],6,2)</f>
        <v>03</v>
      </c>
      <c r="T1338" s="35" t="str">
        <f>VLOOKUP(Tabla1[[#This Row],[AREA]],Hoja1!A:B,2,FALSE)</f>
        <v>03. Participación ciudadana y deportes</v>
      </c>
      <c r="U1338" s="35" t="str">
        <f>MID(Tabla1[[#This Row],[Aplicación]],9,4)</f>
        <v>9241</v>
      </c>
      <c r="V1338" s="35" t="str">
        <f>VLOOKUP(Tabla1[[#This Row],[PROGRAMA]],Hoja1!A:B,2,FALSE)</f>
        <v>9241. Participación ciudadana</v>
      </c>
      <c r="W1338" s="35" t="str">
        <f>MID(Tabla1[[#This Row],[Aplicación]],14,2)</f>
        <v>22</v>
      </c>
      <c r="X1338" s="35" t="str">
        <f>MID(Tabla1[[#This Row],[Aplicación]],14,6)</f>
        <v>22110</v>
      </c>
    </row>
    <row r="1339" spans="1:24" x14ac:dyDescent="0.25">
      <c r="A1339" s="45">
        <v>220210002355</v>
      </c>
      <c r="B1339" s="46" t="s">
        <v>9</v>
      </c>
      <c r="C1339" s="47">
        <v>44231</v>
      </c>
      <c r="D1339" s="45">
        <v>22021002063</v>
      </c>
      <c r="E1339" s="46" t="s">
        <v>873</v>
      </c>
      <c r="F1339" s="48">
        <v>1166.67</v>
      </c>
      <c r="G1339" s="46" t="s">
        <v>209</v>
      </c>
      <c r="H1339" s="46" t="s">
        <v>2519</v>
      </c>
      <c r="I1339" s="45" t="s">
        <v>125</v>
      </c>
      <c r="J1339" s="46" t="s">
        <v>127</v>
      </c>
      <c r="K1339" s="46" t="s">
        <v>127</v>
      </c>
      <c r="L1339" s="46" t="s">
        <v>15</v>
      </c>
      <c r="M1339" s="46" t="s">
        <v>10</v>
      </c>
      <c r="N1339" s="46" t="s">
        <v>11</v>
      </c>
      <c r="O1339" s="49" t="s">
        <v>815</v>
      </c>
      <c r="P1339" s="46" t="s">
        <v>507</v>
      </c>
      <c r="Q1339" s="35" t="str">
        <f>MID(Tabla1[[#This Row],[Aplicación]],14,1)</f>
        <v>2</v>
      </c>
      <c r="R1339" s="35" t="s">
        <v>495</v>
      </c>
      <c r="S1339" s="35" t="str">
        <f>MID(Tabla1[[#This Row],[Aplicación]],6,2)</f>
        <v>10</v>
      </c>
      <c r="T1339" s="35" t="str">
        <f>VLOOKUP(Tabla1[[#This Row],[AREA]],Hoja1!A:B,2,FALSE)</f>
        <v>10. Servicios sociales y mediación comunitaria</v>
      </c>
      <c r="U1339" s="35" t="str">
        <f>MID(Tabla1[[#This Row],[Aplicación]],9,4)</f>
        <v>2412</v>
      </c>
      <c r="V1339" s="35" t="str">
        <f>VLOOKUP(Tabla1[[#This Row],[PROGRAMA]],Hoja1!A:B,2,FALSE)</f>
        <v>2412. Formación para el empleo</v>
      </c>
      <c r="W1339" s="35" t="str">
        <f>MID(Tabla1[[#This Row],[Aplicación]],14,2)</f>
        <v>22</v>
      </c>
      <c r="X1339" s="35" t="str">
        <f>MID(Tabla1[[#This Row],[Aplicación]],14,6)</f>
        <v>22199</v>
      </c>
    </row>
    <row r="1340" spans="1:24" x14ac:dyDescent="0.25">
      <c r="A1340" s="45">
        <v>220210002355</v>
      </c>
      <c r="B1340" s="46" t="s">
        <v>9</v>
      </c>
      <c r="C1340" s="47">
        <v>44231</v>
      </c>
      <c r="D1340" s="45">
        <v>22021002065</v>
      </c>
      <c r="E1340" s="46" t="s">
        <v>873</v>
      </c>
      <c r="F1340" s="48">
        <v>1166.67</v>
      </c>
      <c r="G1340" s="46" t="s">
        <v>209</v>
      </c>
      <c r="H1340" s="46" t="s">
        <v>2519</v>
      </c>
      <c r="I1340" s="45" t="s">
        <v>125</v>
      </c>
      <c r="J1340" s="46" t="s">
        <v>127</v>
      </c>
      <c r="K1340" s="46" t="s">
        <v>127</v>
      </c>
      <c r="L1340" s="46" t="s">
        <v>15</v>
      </c>
      <c r="M1340" s="46" t="s">
        <v>10</v>
      </c>
      <c r="N1340" s="46" t="s">
        <v>11</v>
      </c>
      <c r="O1340" s="49" t="s">
        <v>815</v>
      </c>
      <c r="P1340" s="46" t="s">
        <v>507</v>
      </c>
      <c r="Q1340" s="35" t="str">
        <f>MID(Tabla1[[#This Row],[Aplicación]],14,1)</f>
        <v>2</v>
      </c>
      <c r="R1340" s="35" t="s">
        <v>495</v>
      </c>
      <c r="S1340" s="35" t="str">
        <f>MID(Tabla1[[#This Row],[Aplicación]],6,2)</f>
        <v>10</v>
      </c>
      <c r="T1340" s="35" t="str">
        <f>VLOOKUP(Tabla1[[#This Row],[AREA]],Hoja1!A:B,2,FALSE)</f>
        <v>10. Servicios sociales y mediación comunitaria</v>
      </c>
      <c r="U1340" s="35" t="str">
        <f>MID(Tabla1[[#This Row],[Aplicación]],9,4)</f>
        <v>2412</v>
      </c>
      <c r="V1340" s="35" t="str">
        <f>VLOOKUP(Tabla1[[#This Row],[PROGRAMA]],Hoja1!A:B,2,FALSE)</f>
        <v>2412. Formación para el empleo</v>
      </c>
      <c r="W1340" s="35" t="str">
        <f>MID(Tabla1[[#This Row],[Aplicación]],14,2)</f>
        <v>22</v>
      </c>
      <c r="X1340" s="35" t="str">
        <f>MID(Tabla1[[#This Row],[Aplicación]],14,6)</f>
        <v>22199</v>
      </c>
    </row>
    <row r="1341" spans="1:24" x14ac:dyDescent="0.25">
      <c r="A1341" s="45">
        <v>220210006041</v>
      </c>
      <c r="B1341" s="46" t="s">
        <v>9</v>
      </c>
      <c r="C1341" s="47">
        <v>44251</v>
      </c>
      <c r="D1341" s="45">
        <v>22021002826</v>
      </c>
      <c r="E1341" s="46" t="s">
        <v>2545</v>
      </c>
      <c r="F1341" s="48">
        <v>1170.3</v>
      </c>
      <c r="G1341" s="46" t="s">
        <v>2546</v>
      </c>
      <c r="H1341" s="46" t="s">
        <v>2547</v>
      </c>
      <c r="I1341" s="45" t="s">
        <v>125</v>
      </c>
      <c r="J1341" s="46" t="s">
        <v>2548</v>
      </c>
      <c r="K1341" s="46" t="s">
        <v>146</v>
      </c>
      <c r="L1341" s="46" t="s">
        <v>12</v>
      </c>
      <c r="M1341" s="46" t="s">
        <v>10</v>
      </c>
      <c r="N1341" s="46" t="s">
        <v>11</v>
      </c>
      <c r="O1341" s="49" t="s">
        <v>815</v>
      </c>
      <c r="P1341" s="46" t="s">
        <v>507</v>
      </c>
      <c r="Q1341" s="35" t="str">
        <f>MID(Tabla1[[#This Row],[Aplicación]],14,1)</f>
        <v>2</v>
      </c>
      <c r="R1341" s="35" t="s">
        <v>495</v>
      </c>
      <c r="S1341" s="35" t="str">
        <f>MID(Tabla1[[#This Row],[Aplicación]],6,2)</f>
        <v>01</v>
      </c>
      <c r="T1341" s="35" t="str">
        <f>VLOOKUP(Tabla1[[#This Row],[AREA]],Hoja1!A:B,2,FALSE)</f>
        <v>01. Alcaldía</v>
      </c>
      <c r="U1341" s="35" t="str">
        <f>MID(Tabla1[[#This Row],[Aplicación]],9,4)</f>
        <v>9205</v>
      </c>
      <c r="V1341" s="35" t="str">
        <f>VLOOKUP(Tabla1[[#This Row],[PROGRAMA]],Hoja1!A:B,2,FALSE)</f>
        <v>9205. Imprenta municipal</v>
      </c>
      <c r="W1341" s="35" t="str">
        <f>MID(Tabla1[[#This Row],[Aplicación]],14,2)</f>
        <v>21</v>
      </c>
      <c r="X1341" s="35" t="str">
        <f>MID(Tabla1[[#This Row],[Aplicación]],14,6)</f>
        <v>213</v>
      </c>
    </row>
    <row r="1342" spans="1:24" x14ac:dyDescent="0.25">
      <c r="A1342" s="45">
        <v>220210007174</v>
      </c>
      <c r="B1342" s="46" t="s">
        <v>9</v>
      </c>
      <c r="C1342" s="47">
        <v>44263</v>
      </c>
      <c r="D1342" s="45">
        <v>22021003185</v>
      </c>
      <c r="E1342" s="46" t="s">
        <v>1438</v>
      </c>
      <c r="F1342" s="48">
        <v>1185</v>
      </c>
      <c r="G1342" s="46" t="s">
        <v>2549</v>
      </c>
      <c r="H1342" s="46" t="s">
        <v>2550</v>
      </c>
      <c r="I1342" s="45" t="s">
        <v>125</v>
      </c>
      <c r="J1342" s="46" t="s">
        <v>661</v>
      </c>
      <c r="K1342" s="46" t="s">
        <v>127</v>
      </c>
      <c r="L1342" s="46" t="s">
        <v>12</v>
      </c>
      <c r="M1342" s="46" t="s">
        <v>10</v>
      </c>
      <c r="N1342" s="46" t="s">
        <v>11</v>
      </c>
      <c r="O1342" s="49" t="s">
        <v>815</v>
      </c>
      <c r="P1342" s="46" t="s">
        <v>507</v>
      </c>
      <c r="Q1342" s="35" t="str">
        <f>MID(Tabla1[[#This Row],[Aplicación]],14,1)</f>
        <v>2</v>
      </c>
      <c r="R1342" s="35" t="s">
        <v>495</v>
      </c>
      <c r="S1342" s="35" t="str">
        <f>MID(Tabla1[[#This Row],[Aplicación]],6,2)</f>
        <v>01</v>
      </c>
      <c r="T1342" s="35" t="str">
        <f>VLOOKUP(Tabla1[[#This Row],[AREA]],Hoja1!A:B,2,FALSE)</f>
        <v>01. Alcaldía</v>
      </c>
      <c r="U1342" s="35" t="str">
        <f>MID(Tabla1[[#This Row],[Aplicación]],9,4)</f>
        <v>9206</v>
      </c>
      <c r="V1342" s="35" t="str">
        <f>VLOOKUP(Tabla1[[#This Row],[PROGRAMA]],Hoja1!A:B,2,FALSE)</f>
        <v>9206. Archivo municipal</v>
      </c>
      <c r="W1342" s="35" t="str">
        <f>MID(Tabla1[[#This Row],[Aplicación]],14,2)</f>
        <v>22</v>
      </c>
      <c r="X1342" s="35" t="str">
        <f>MID(Tabla1[[#This Row],[Aplicación]],14,6)</f>
        <v>22001</v>
      </c>
    </row>
    <row r="1343" spans="1:24" x14ac:dyDescent="0.25">
      <c r="A1343" s="45">
        <v>220210003648</v>
      </c>
      <c r="B1343" s="46" t="s">
        <v>9</v>
      </c>
      <c r="C1343" s="47">
        <v>44243</v>
      </c>
      <c r="D1343" s="45">
        <v>22021002596</v>
      </c>
      <c r="E1343" s="46" t="s">
        <v>1167</v>
      </c>
      <c r="F1343" s="48">
        <v>1604.43</v>
      </c>
      <c r="G1343" s="46" t="s">
        <v>2011</v>
      </c>
      <c r="H1343" s="46" t="s">
        <v>2551</v>
      </c>
      <c r="I1343" s="45" t="s">
        <v>125</v>
      </c>
      <c r="J1343" s="46" t="s">
        <v>127</v>
      </c>
      <c r="K1343" s="46" t="s">
        <v>127</v>
      </c>
      <c r="L1343" s="46" t="s">
        <v>12</v>
      </c>
      <c r="M1343" s="46" t="s">
        <v>10</v>
      </c>
      <c r="N1343" s="46" t="s">
        <v>11</v>
      </c>
      <c r="O1343" s="49" t="s">
        <v>815</v>
      </c>
      <c r="P1343" s="46" t="s">
        <v>507</v>
      </c>
      <c r="Q1343" s="35" t="str">
        <f>MID(Tabla1[[#This Row],[Aplicación]],14,1)</f>
        <v>2</v>
      </c>
      <c r="R1343" s="35" t="s">
        <v>495</v>
      </c>
      <c r="S1343" s="35" t="str">
        <f>MID(Tabla1[[#This Row],[Aplicación]],6,2)</f>
        <v>11</v>
      </c>
      <c r="T1343" s="35" t="str">
        <f>VLOOKUP(Tabla1[[#This Row],[AREA]],Hoja1!A:B,2,FALSE)</f>
        <v>11. Salud pública y seguridad ciudadana</v>
      </c>
      <c r="U1343" s="35" t="str">
        <f>MID(Tabla1[[#This Row],[Aplicación]],9,4)</f>
        <v>1321</v>
      </c>
      <c r="V1343" s="35" t="str">
        <f>VLOOKUP(Tabla1[[#This Row],[PROGRAMA]],Hoja1!A:B,2,FALSE)</f>
        <v>1321. Policía municipal</v>
      </c>
      <c r="W1343" s="35" t="str">
        <f>MID(Tabla1[[#This Row],[Aplicación]],14,2)</f>
        <v>21</v>
      </c>
      <c r="X1343" s="35" t="str">
        <f>MID(Tabla1[[#This Row],[Aplicación]],14,6)</f>
        <v>214</v>
      </c>
    </row>
    <row r="1344" spans="1:24" x14ac:dyDescent="0.25">
      <c r="A1344" s="45">
        <v>220210001375</v>
      </c>
      <c r="B1344" s="46" t="s">
        <v>9</v>
      </c>
      <c r="C1344" s="47">
        <v>44228</v>
      </c>
      <c r="D1344" s="45">
        <v>22021002005</v>
      </c>
      <c r="E1344" s="46" t="s">
        <v>1457</v>
      </c>
      <c r="F1344" s="48">
        <v>1187.6300000000001</v>
      </c>
      <c r="G1344" s="46" t="s">
        <v>2552</v>
      </c>
      <c r="H1344" s="46" t="s">
        <v>2553</v>
      </c>
      <c r="I1344" s="45" t="s">
        <v>125</v>
      </c>
      <c r="J1344" s="46" t="s">
        <v>1663</v>
      </c>
      <c r="K1344" s="46" t="s">
        <v>127</v>
      </c>
      <c r="L1344" s="46" t="s">
        <v>12</v>
      </c>
      <c r="M1344" s="46" t="s">
        <v>10</v>
      </c>
      <c r="N1344" s="46" t="s">
        <v>11</v>
      </c>
      <c r="O1344" s="49" t="s">
        <v>815</v>
      </c>
      <c r="P1344" s="46" t="s">
        <v>507</v>
      </c>
      <c r="Q1344" s="35" t="str">
        <f>MID(Tabla1[[#This Row],[Aplicación]],14,1)</f>
        <v>2</v>
      </c>
      <c r="R1344" s="35" t="s">
        <v>495</v>
      </c>
      <c r="S1344" s="35" t="str">
        <f>MID(Tabla1[[#This Row],[Aplicación]],6,2)</f>
        <v>04</v>
      </c>
      <c r="T1344" s="35" t="str">
        <f>VLOOKUP(Tabla1[[#This Row],[AREA]],Hoja1!A:B,2,FALSE)</f>
        <v>04. Planificación y recursos</v>
      </c>
      <c r="U1344" s="35" t="str">
        <f>MID(Tabla1[[#This Row],[Aplicación]],9,4)</f>
        <v>9321</v>
      </c>
      <c r="V1344" s="35" t="str">
        <f>VLOOKUP(Tabla1[[#This Row],[PROGRAMA]],Hoja1!A:B,2,FALSE)</f>
        <v>9321. Gestión de ingresos e inspección</v>
      </c>
      <c r="W1344" s="35" t="str">
        <f>MID(Tabla1[[#This Row],[Aplicación]],14,2)</f>
        <v>22</v>
      </c>
      <c r="X1344" s="35" t="str">
        <f>MID(Tabla1[[#This Row],[Aplicación]],14,6)</f>
        <v>22799</v>
      </c>
    </row>
    <row r="1345" spans="1:24" x14ac:dyDescent="0.25">
      <c r="A1345" s="45">
        <v>220210001243</v>
      </c>
      <c r="B1345" s="46" t="s">
        <v>9</v>
      </c>
      <c r="C1345" s="47">
        <v>44225</v>
      </c>
      <c r="D1345" s="45">
        <v>22021001969</v>
      </c>
      <c r="E1345" s="46" t="s">
        <v>2554</v>
      </c>
      <c r="F1345" s="48">
        <v>1210</v>
      </c>
      <c r="G1345" s="46" t="s">
        <v>2555</v>
      </c>
      <c r="H1345" s="46" t="s">
        <v>2556</v>
      </c>
      <c r="I1345" s="45" t="s">
        <v>125</v>
      </c>
      <c r="J1345" s="46" t="s">
        <v>127</v>
      </c>
      <c r="K1345" s="46" t="s">
        <v>127</v>
      </c>
      <c r="L1345" s="46" t="s">
        <v>15</v>
      </c>
      <c r="M1345" s="46" t="s">
        <v>10</v>
      </c>
      <c r="N1345" s="46" t="s">
        <v>11</v>
      </c>
      <c r="O1345" s="49" t="s">
        <v>815</v>
      </c>
      <c r="P1345" s="46" t="s">
        <v>507</v>
      </c>
      <c r="Q1345" s="35" t="str">
        <f>MID(Tabla1[[#This Row],[Aplicación]],14,1)</f>
        <v>2</v>
      </c>
      <c r="R1345" s="35" t="s">
        <v>495</v>
      </c>
      <c r="S1345" s="35" t="str">
        <f>MID(Tabla1[[#This Row],[Aplicación]],6,2)</f>
        <v>02</v>
      </c>
      <c r="T1345" s="35" t="str">
        <f>VLOOKUP(Tabla1[[#This Row],[AREA]],Hoja1!A:B,2,FALSE)</f>
        <v>02. Planeamiento urbanístico y vivienda</v>
      </c>
      <c r="U1345" s="35" t="str">
        <f>MID(Tabla1[[#This Row],[Aplicación]],9,4)</f>
        <v>1511</v>
      </c>
      <c r="V1345" s="35" t="str">
        <f>VLOOKUP(Tabla1[[#This Row],[PROGRAMA]],Hoja1!A:B,2,FALSE)</f>
        <v>1511. Planficación y gestión del urbanismo</v>
      </c>
      <c r="W1345" s="35" t="str">
        <f>MID(Tabla1[[#This Row],[Aplicación]],14,2)</f>
        <v>22</v>
      </c>
      <c r="X1345" s="35" t="str">
        <f>MID(Tabla1[[#This Row],[Aplicación]],14,6)</f>
        <v>22706</v>
      </c>
    </row>
    <row r="1346" spans="1:24" x14ac:dyDescent="0.25">
      <c r="A1346" s="45">
        <v>220210001379</v>
      </c>
      <c r="B1346" s="46" t="s">
        <v>9</v>
      </c>
      <c r="C1346" s="47">
        <v>44228</v>
      </c>
      <c r="D1346" s="45">
        <v>22021002087</v>
      </c>
      <c r="E1346" s="46" t="s">
        <v>1617</v>
      </c>
      <c r="F1346" s="48">
        <v>1210</v>
      </c>
      <c r="G1346" s="46" t="s">
        <v>2557</v>
      </c>
      <c r="H1346" s="46" t="s">
        <v>2558</v>
      </c>
      <c r="I1346" s="45" t="s">
        <v>125</v>
      </c>
      <c r="J1346" s="46" t="s">
        <v>126</v>
      </c>
      <c r="K1346" s="46" t="s">
        <v>126</v>
      </c>
      <c r="L1346" s="46" t="s">
        <v>12</v>
      </c>
      <c r="M1346" s="46" t="s">
        <v>10</v>
      </c>
      <c r="N1346" s="46" t="s">
        <v>11</v>
      </c>
      <c r="O1346" s="49" t="s">
        <v>815</v>
      </c>
      <c r="P1346" s="46" t="s">
        <v>507</v>
      </c>
      <c r="Q1346" s="35" t="str">
        <f>MID(Tabla1[[#This Row],[Aplicación]],14,1)</f>
        <v>2</v>
      </c>
      <c r="R1346" s="35" t="s">
        <v>495</v>
      </c>
      <c r="S1346" s="35" t="str">
        <f>MID(Tabla1[[#This Row],[Aplicación]],6,2)</f>
        <v>05</v>
      </c>
      <c r="T1346" s="35" t="str">
        <f>VLOOKUP(Tabla1[[#This Row],[AREA]],Hoja1!A:B,2,FALSE)</f>
        <v>05. Innovación, desarrollo económico, empleo y comercio</v>
      </c>
      <c r="U1346" s="35" t="str">
        <f>MID(Tabla1[[#This Row],[Aplicación]],9,4)</f>
        <v>4331</v>
      </c>
      <c r="V1346" s="35" t="str">
        <f>VLOOKUP(Tabla1[[#This Row],[PROGRAMA]],Hoja1!A:B,2,FALSE)</f>
        <v>4331. Desarrollo empresarial</v>
      </c>
      <c r="W1346" s="35" t="str">
        <f>MID(Tabla1[[#This Row],[Aplicación]],14,2)</f>
        <v>22</v>
      </c>
      <c r="X1346" s="35" t="str">
        <f>MID(Tabla1[[#This Row],[Aplicación]],14,6)</f>
        <v>22602</v>
      </c>
    </row>
    <row r="1347" spans="1:24" x14ac:dyDescent="0.25">
      <c r="A1347" s="45">
        <v>220210006451</v>
      </c>
      <c r="B1347" s="46" t="s">
        <v>9</v>
      </c>
      <c r="C1347" s="47">
        <v>44253</v>
      </c>
      <c r="D1347" s="45">
        <v>22021002912</v>
      </c>
      <c r="E1347" s="46" t="s">
        <v>1678</v>
      </c>
      <c r="F1347" s="48">
        <v>1246.3</v>
      </c>
      <c r="G1347" s="46" t="s">
        <v>2559</v>
      </c>
      <c r="H1347" s="46" t="s">
        <v>2560</v>
      </c>
      <c r="I1347" s="45" t="s">
        <v>125</v>
      </c>
      <c r="J1347" s="46" t="s">
        <v>650</v>
      </c>
      <c r="K1347" s="46" t="s">
        <v>127</v>
      </c>
      <c r="L1347" s="46" t="s">
        <v>31</v>
      </c>
      <c r="M1347" s="46" t="s">
        <v>10</v>
      </c>
      <c r="N1347" s="46" t="s">
        <v>11</v>
      </c>
      <c r="O1347" s="49" t="s">
        <v>815</v>
      </c>
      <c r="P1347" s="46" t="s">
        <v>507</v>
      </c>
      <c r="Q1347" s="35" t="str">
        <f>MID(Tabla1[[#This Row],[Aplicación]],14,1)</f>
        <v>2</v>
      </c>
      <c r="R1347" s="35" t="s">
        <v>495</v>
      </c>
      <c r="S1347" s="35" t="str">
        <f>MID(Tabla1[[#This Row],[Aplicación]],6,2)</f>
        <v>09</v>
      </c>
      <c r="T1347" s="35" t="str">
        <f>VLOOKUP(Tabla1[[#This Row],[AREA]],Hoja1!A:B,2,FALSE)</f>
        <v>09. Cultura y turismo</v>
      </c>
      <c r="U1347" s="35" t="str">
        <f>MID(Tabla1[[#This Row],[Aplicación]],9,4)</f>
        <v>3341</v>
      </c>
      <c r="V1347" s="35" t="str">
        <f>VLOOKUP(Tabla1[[#This Row],[PROGRAMA]],Hoja1!A:B,2,FALSE)</f>
        <v>3341. Coordinación de políticas culturales</v>
      </c>
      <c r="W1347" s="35" t="str">
        <f>MID(Tabla1[[#This Row],[Aplicación]],14,2)</f>
        <v>21</v>
      </c>
      <c r="X1347" s="35" t="str">
        <f>MID(Tabla1[[#This Row],[Aplicación]],14,6)</f>
        <v>213</v>
      </c>
    </row>
    <row r="1348" spans="1:24" x14ac:dyDescent="0.25">
      <c r="A1348" s="45">
        <v>220209000447</v>
      </c>
      <c r="B1348" s="46" t="s">
        <v>9</v>
      </c>
      <c r="C1348" s="47">
        <v>44198</v>
      </c>
      <c r="D1348" s="45">
        <v>22021000306</v>
      </c>
      <c r="E1348" s="46" t="s">
        <v>2561</v>
      </c>
      <c r="F1348" s="48">
        <v>1250</v>
      </c>
      <c r="G1348" s="46" t="s">
        <v>2415</v>
      </c>
      <c r="H1348" s="46" t="s">
        <v>2562</v>
      </c>
      <c r="I1348" s="45" t="s">
        <v>125</v>
      </c>
      <c r="J1348" s="46" t="s">
        <v>127</v>
      </c>
      <c r="K1348" s="46" t="s">
        <v>127</v>
      </c>
      <c r="L1348" s="46" t="s">
        <v>12</v>
      </c>
      <c r="M1348" s="46" t="s">
        <v>13</v>
      </c>
      <c r="N1348" s="46" t="s">
        <v>11</v>
      </c>
      <c r="O1348" s="49" t="s">
        <v>803</v>
      </c>
      <c r="P1348" s="46" t="s">
        <v>507</v>
      </c>
      <c r="Q1348" s="35" t="str">
        <f>MID(Tabla1[[#This Row],[Aplicación]],14,1)</f>
        <v>2</v>
      </c>
      <c r="R1348" s="35" t="s">
        <v>495</v>
      </c>
      <c r="S1348" s="35" t="str">
        <f>MID(Tabla1[[#This Row],[Aplicación]],6,2)</f>
        <v>10</v>
      </c>
      <c r="T1348" s="35" t="str">
        <f>VLOOKUP(Tabla1[[#This Row],[AREA]],Hoja1!A:B,2,FALSE)</f>
        <v>10. Servicios sociales y mediación comunitaria</v>
      </c>
      <c r="U1348" s="35" t="str">
        <f>MID(Tabla1[[#This Row],[Aplicación]],9,4)</f>
        <v>2311</v>
      </c>
      <c r="V1348" s="35" t="str">
        <f>VLOOKUP(Tabla1[[#This Row],[PROGRAMA]],Hoja1!A:B,2,FALSE)</f>
        <v>2311. Intervención social</v>
      </c>
      <c r="W1348" s="35" t="str">
        <f>MID(Tabla1[[#This Row],[Aplicación]],14,2)</f>
        <v>21</v>
      </c>
      <c r="X1348" s="35" t="str">
        <f>MID(Tabla1[[#This Row],[Aplicación]],14,6)</f>
        <v>215</v>
      </c>
    </row>
    <row r="1349" spans="1:24" x14ac:dyDescent="0.25">
      <c r="A1349" s="45">
        <v>220210007120</v>
      </c>
      <c r="B1349" s="46" t="s">
        <v>9</v>
      </c>
      <c r="C1349" s="47">
        <v>44260</v>
      </c>
      <c r="D1349" s="45">
        <v>22021003180</v>
      </c>
      <c r="E1349" s="46" t="s">
        <v>2563</v>
      </c>
      <c r="F1349" s="48">
        <v>1269.6400000000001</v>
      </c>
      <c r="G1349" s="46" t="s">
        <v>212</v>
      </c>
      <c r="H1349" s="46" t="s">
        <v>2564</v>
      </c>
      <c r="I1349" s="45" t="s">
        <v>125</v>
      </c>
      <c r="J1349" s="46" t="s">
        <v>127</v>
      </c>
      <c r="K1349" s="46" t="s">
        <v>127</v>
      </c>
      <c r="L1349" s="46" t="s">
        <v>15</v>
      </c>
      <c r="M1349" s="46" t="s">
        <v>10</v>
      </c>
      <c r="N1349" s="46" t="s">
        <v>11</v>
      </c>
      <c r="O1349" s="49" t="s">
        <v>815</v>
      </c>
      <c r="P1349" s="46" t="s">
        <v>507</v>
      </c>
      <c r="Q1349" s="35" t="str">
        <f>MID(Tabla1[[#This Row],[Aplicación]],14,1)</f>
        <v>2</v>
      </c>
      <c r="R1349" s="35" t="s">
        <v>495</v>
      </c>
      <c r="S1349" s="35" t="str">
        <f>MID(Tabla1[[#This Row],[Aplicación]],6,2)</f>
        <v>10</v>
      </c>
      <c r="T1349" s="35" t="str">
        <f>VLOOKUP(Tabla1[[#This Row],[AREA]],Hoja1!A:B,2,FALSE)</f>
        <v>10. Servicios sociales y mediación comunitaria</v>
      </c>
      <c r="U1349" s="35" t="str">
        <f>MID(Tabla1[[#This Row],[Aplicación]],9,4)</f>
        <v>2412</v>
      </c>
      <c r="V1349" s="35" t="str">
        <f>VLOOKUP(Tabla1[[#This Row],[PROGRAMA]],Hoja1!A:B,2,FALSE)</f>
        <v>2412. Formación para el empleo</v>
      </c>
      <c r="W1349" s="35" t="str">
        <f>MID(Tabla1[[#This Row],[Aplicación]],14,2)</f>
        <v>22</v>
      </c>
      <c r="X1349" s="35" t="str">
        <f>MID(Tabla1[[#This Row],[Aplicación]],14,6)</f>
        <v>22699</v>
      </c>
    </row>
    <row r="1350" spans="1:24" x14ac:dyDescent="0.25">
      <c r="A1350" s="45">
        <v>220209000685</v>
      </c>
      <c r="B1350" s="46" t="s">
        <v>9</v>
      </c>
      <c r="C1350" s="47">
        <v>44198</v>
      </c>
      <c r="D1350" s="45">
        <v>22021000429</v>
      </c>
      <c r="E1350" s="46" t="s">
        <v>2565</v>
      </c>
      <c r="F1350" s="48">
        <v>1300</v>
      </c>
      <c r="G1350" s="46" t="s">
        <v>39</v>
      </c>
      <c r="H1350" s="46" t="s">
        <v>2566</v>
      </c>
      <c r="I1350" s="45" t="s">
        <v>125</v>
      </c>
      <c r="J1350" s="46" t="s">
        <v>126</v>
      </c>
      <c r="K1350" s="46" t="s">
        <v>126</v>
      </c>
      <c r="L1350" s="46" t="s">
        <v>15</v>
      </c>
      <c r="M1350" s="46" t="s">
        <v>13</v>
      </c>
      <c r="N1350" s="46" t="s">
        <v>16</v>
      </c>
      <c r="O1350" s="49" t="s">
        <v>803</v>
      </c>
      <c r="P1350" s="46" t="s">
        <v>507</v>
      </c>
      <c r="Q1350" s="35" t="str">
        <f>MID(Tabla1[[#This Row],[Aplicación]],14,1)</f>
        <v>2</v>
      </c>
      <c r="R1350" s="35" t="s">
        <v>495</v>
      </c>
      <c r="S1350" s="35" t="str">
        <f>MID(Tabla1[[#This Row],[Aplicación]],6,2)</f>
        <v>06</v>
      </c>
      <c r="T1350" s="35" t="str">
        <f>VLOOKUP(Tabla1[[#This Row],[AREA]],Hoja1!A:B,2,FALSE)</f>
        <v>06. Educación, infancia, juventud e igualdad</v>
      </c>
      <c r="U1350" s="35" t="str">
        <f>MID(Tabla1[[#This Row],[Aplicación]],9,4)</f>
        <v>3261</v>
      </c>
      <c r="V1350" s="35" t="str">
        <f>VLOOKUP(Tabla1[[#This Row],[PROGRAMA]],Hoja1!A:B,2,FALSE)</f>
        <v>3261. Servicios complementarios de educación</v>
      </c>
      <c r="W1350" s="35" t="str">
        <f>MID(Tabla1[[#This Row],[Aplicación]],14,2)</f>
        <v>22</v>
      </c>
      <c r="X1350" s="35" t="str">
        <f>MID(Tabla1[[#This Row],[Aplicación]],14,6)</f>
        <v>22103</v>
      </c>
    </row>
    <row r="1351" spans="1:24" x14ac:dyDescent="0.25">
      <c r="A1351" s="45">
        <v>220210006961</v>
      </c>
      <c r="B1351" s="46" t="s">
        <v>9</v>
      </c>
      <c r="C1351" s="47">
        <v>44259</v>
      </c>
      <c r="D1351" s="45">
        <v>22021003158</v>
      </c>
      <c r="E1351" s="46" t="s">
        <v>1873</v>
      </c>
      <c r="F1351" s="48">
        <v>1300.76</v>
      </c>
      <c r="G1351" s="46" t="s">
        <v>2567</v>
      </c>
      <c r="H1351" s="46" t="s">
        <v>2568</v>
      </c>
      <c r="I1351" s="45" t="s">
        <v>125</v>
      </c>
      <c r="J1351" s="46" t="s">
        <v>127</v>
      </c>
      <c r="K1351" s="46" t="s">
        <v>127</v>
      </c>
      <c r="L1351" s="46" t="s">
        <v>12</v>
      </c>
      <c r="M1351" s="46" t="s">
        <v>10</v>
      </c>
      <c r="N1351" s="46" t="s">
        <v>11</v>
      </c>
      <c r="O1351" s="49" t="s">
        <v>815</v>
      </c>
      <c r="P1351" s="46" t="s">
        <v>507</v>
      </c>
      <c r="Q1351" s="35" t="str">
        <f>MID(Tabla1[[#This Row],[Aplicación]],14,1)</f>
        <v>2</v>
      </c>
      <c r="R1351" s="35" t="s">
        <v>495</v>
      </c>
      <c r="S1351" s="35" t="str">
        <f>MID(Tabla1[[#This Row],[Aplicación]],6,2)</f>
        <v>11</v>
      </c>
      <c r="T1351" s="35" t="str">
        <f>VLOOKUP(Tabla1[[#This Row],[AREA]],Hoja1!A:B,2,FALSE)</f>
        <v>11. Salud pública y seguridad ciudadana</v>
      </c>
      <c r="U1351" s="35" t="str">
        <f>MID(Tabla1[[#This Row],[Aplicación]],9,4)</f>
        <v>3111</v>
      </c>
      <c r="V1351" s="35" t="str">
        <f>VLOOKUP(Tabla1[[#This Row],[PROGRAMA]],Hoja1!A:B,2,FALSE)</f>
        <v>3111. Protección de la salubridad pública</v>
      </c>
      <c r="W1351" s="35" t="str">
        <f>MID(Tabla1[[#This Row],[Aplicación]],14,2)</f>
        <v>21</v>
      </c>
      <c r="X1351" s="35" t="str">
        <f>MID(Tabla1[[#This Row],[Aplicación]],14,6)</f>
        <v>213</v>
      </c>
    </row>
    <row r="1352" spans="1:24" x14ac:dyDescent="0.25">
      <c r="A1352" s="45">
        <v>220209000391</v>
      </c>
      <c r="B1352" s="46" t="s">
        <v>9</v>
      </c>
      <c r="C1352" s="47">
        <v>44198</v>
      </c>
      <c r="D1352" s="45">
        <v>22021000283</v>
      </c>
      <c r="E1352" s="46" t="s">
        <v>2346</v>
      </c>
      <c r="F1352" s="48">
        <v>1320</v>
      </c>
      <c r="G1352" s="46" t="s">
        <v>188</v>
      </c>
      <c r="H1352" s="46" t="s">
        <v>2569</v>
      </c>
      <c r="I1352" s="45" t="s">
        <v>125</v>
      </c>
      <c r="J1352" s="46" t="s">
        <v>126</v>
      </c>
      <c r="K1352" s="46" t="s">
        <v>126</v>
      </c>
      <c r="L1352" s="46" t="s">
        <v>15</v>
      </c>
      <c r="M1352" s="46" t="s">
        <v>13</v>
      </c>
      <c r="N1352" s="46" t="s">
        <v>14</v>
      </c>
      <c r="O1352" s="49" t="s">
        <v>803</v>
      </c>
      <c r="P1352" s="46" t="s">
        <v>507</v>
      </c>
      <c r="Q1352" s="35" t="str">
        <f>MID(Tabla1[[#This Row],[Aplicación]],14,1)</f>
        <v>2</v>
      </c>
      <c r="R1352" s="35" t="s">
        <v>495</v>
      </c>
      <c r="S1352" s="35" t="str">
        <f>MID(Tabla1[[#This Row],[Aplicación]],6,2)</f>
        <v>11</v>
      </c>
      <c r="T1352" s="35" t="str">
        <f>VLOOKUP(Tabla1[[#This Row],[AREA]],Hoja1!A:B,2,FALSE)</f>
        <v>11. Salud pública y seguridad ciudadana</v>
      </c>
      <c r="U1352" s="35" t="str">
        <f>MID(Tabla1[[#This Row],[Aplicación]],9,4)</f>
        <v>3111</v>
      </c>
      <c r="V1352" s="35" t="str">
        <f>VLOOKUP(Tabla1[[#This Row],[PROGRAMA]],Hoja1!A:B,2,FALSE)</f>
        <v>3111. Protección de la salubridad pública</v>
      </c>
      <c r="W1352" s="35" t="str">
        <f>MID(Tabla1[[#This Row],[Aplicación]],14,2)</f>
        <v>22</v>
      </c>
      <c r="X1352" s="35" t="str">
        <f>MID(Tabla1[[#This Row],[Aplicación]],14,6)</f>
        <v>22103</v>
      </c>
    </row>
    <row r="1353" spans="1:24" x14ac:dyDescent="0.25">
      <c r="A1353" s="45">
        <v>220209000695</v>
      </c>
      <c r="B1353" s="46" t="s">
        <v>9</v>
      </c>
      <c r="C1353" s="47">
        <v>44198</v>
      </c>
      <c r="D1353" s="45">
        <v>22021000439</v>
      </c>
      <c r="E1353" s="46" t="s">
        <v>982</v>
      </c>
      <c r="F1353" s="48">
        <v>1331</v>
      </c>
      <c r="G1353" s="46" t="s">
        <v>70</v>
      </c>
      <c r="H1353" s="46" t="s">
        <v>2570</v>
      </c>
      <c r="I1353" s="45" t="s">
        <v>125</v>
      </c>
      <c r="J1353" s="46" t="s">
        <v>127</v>
      </c>
      <c r="K1353" s="46" t="s">
        <v>127</v>
      </c>
      <c r="L1353" s="46" t="s">
        <v>12</v>
      </c>
      <c r="M1353" s="46" t="s">
        <v>10</v>
      </c>
      <c r="N1353" s="46" t="s">
        <v>11</v>
      </c>
      <c r="O1353" s="49" t="s">
        <v>815</v>
      </c>
      <c r="P1353" s="46" t="s">
        <v>507</v>
      </c>
      <c r="Q1353" s="35" t="str">
        <f>MID(Tabla1[[#This Row],[Aplicación]],14,1)</f>
        <v>2</v>
      </c>
      <c r="R1353" s="35" t="s">
        <v>495</v>
      </c>
      <c r="S1353" s="35" t="str">
        <f>MID(Tabla1[[#This Row],[Aplicación]],6,2)</f>
        <v>10</v>
      </c>
      <c r="T1353" s="35" t="str">
        <f>VLOOKUP(Tabla1[[#This Row],[AREA]],Hoja1!A:B,2,FALSE)</f>
        <v>10. Servicios sociales y mediación comunitaria</v>
      </c>
      <c r="U1353" s="35" t="str">
        <f>MID(Tabla1[[#This Row],[Aplicación]],9,4)</f>
        <v>2312</v>
      </c>
      <c r="V1353" s="35" t="str">
        <f>VLOOKUP(Tabla1[[#This Row],[PROGRAMA]],Hoja1!A:B,2,FALSE)</f>
        <v>2312. Iniciativas sociales</v>
      </c>
      <c r="W1353" s="35" t="str">
        <f>MID(Tabla1[[#This Row],[Aplicación]],14,2)</f>
        <v>21</v>
      </c>
      <c r="X1353" s="35" t="str">
        <f>MID(Tabla1[[#This Row],[Aplicación]],14,6)</f>
        <v>213</v>
      </c>
    </row>
    <row r="1354" spans="1:24" x14ac:dyDescent="0.25">
      <c r="A1354" s="45">
        <v>220210013174</v>
      </c>
      <c r="B1354" s="46" t="s">
        <v>9</v>
      </c>
      <c r="C1354" s="47">
        <v>44286</v>
      </c>
      <c r="D1354" s="45">
        <v>22021003492</v>
      </c>
      <c r="E1354" s="46" t="s">
        <v>1542</v>
      </c>
      <c r="F1354" s="48">
        <v>1391.5</v>
      </c>
      <c r="G1354" s="46" t="s">
        <v>2571</v>
      </c>
      <c r="H1354" s="46" t="s">
        <v>2572</v>
      </c>
      <c r="I1354" s="45" t="s">
        <v>125</v>
      </c>
      <c r="J1354" s="46" t="s">
        <v>677</v>
      </c>
      <c r="K1354" s="46" t="s">
        <v>127</v>
      </c>
      <c r="L1354" s="46" t="s">
        <v>12</v>
      </c>
      <c r="M1354" s="46" t="s">
        <v>10</v>
      </c>
      <c r="N1354" s="46" t="s">
        <v>11</v>
      </c>
      <c r="O1354" s="49" t="s">
        <v>815</v>
      </c>
      <c r="P1354" s="46" t="s">
        <v>507</v>
      </c>
      <c r="Q1354" s="35" t="str">
        <f>MID(Tabla1[[#This Row],[Aplicación]],14,1)</f>
        <v>6</v>
      </c>
      <c r="R1354" s="35" t="s">
        <v>496</v>
      </c>
      <c r="S1354" s="35" t="str">
        <f>MID(Tabla1[[#This Row],[Aplicación]],6,2)</f>
        <v>05</v>
      </c>
      <c r="T1354" s="35" t="str">
        <f>VLOOKUP(Tabla1[[#This Row],[AREA]],Hoja1!A:B,2,FALSE)</f>
        <v>05. Innovación, desarrollo económico, empleo y comercio</v>
      </c>
      <c r="U1354" s="35" t="str">
        <f>MID(Tabla1[[#This Row],[Aplicación]],9,4)</f>
        <v>4331</v>
      </c>
      <c r="V1354" s="35" t="str">
        <f>VLOOKUP(Tabla1[[#This Row],[PROGRAMA]],Hoja1!A:B,2,FALSE)</f>
        <v>4331. Desarrollo empresarial</v>
      </c>
      <c r="W1354" s="35" t="str">
        <f>MID(Tabla1[[#This Row],[Aplicación]],14,2)</f>
        <v>60</v>
      </c>
      <c r="X1354" s="35" t="str">
        <f>MID(Tabla1[[#This Row],[Aplicación]],14,6)</f>
        <v>609</v>
      </c>
    </row>
    <row r="1355" spans="1:24" x14ac:dyDescent="0.25">
      <c r="A1355" s="45">
        <v>220210001400</v>
      </c>
      <c r="B1355" s="46" t="s">
        <v>32</v>
      </c>
      <c r="C1355" s="47">
        <v>44229</v>
      </c>
      <c r="D1355" s="45">
        <v>22021001891</v>
      </c>
      <c r="E1355" s="46" t="s">
        <v>1550</v>
      </c>
      <c r="F1355" s="48">
        <v>1402.63</v>
      </c>
      <c r="G1355" s="46" t="s">
        <v>181</v>
      </c>
      <c r="H1355" s="46" t="s">
        <v>2573</v>
      </c>
      <c r="I1355" s="45" t="s">
        <v>234</v>
      </c>
      <c r="J1355" s="46" t="s">
        <v>675</v>
      </c>
      <c r="K1355" s="46" t="s">
        <v>127</v>
      </c>
      <c r="L1355" s="46" t="s">
        <v>12</v>
      </c>
      <c r="M1355" s="46" t="s">
        <v>10</v>
      </c>
      <c r="N1355" s="46" t="s">
        <v>11</v>
      </c>
      <c r="O1355" s="49" t="s">
        <v>815</v>
      </c>
      <c r="P1355" s="46" t="s">
        <v>507</v>
      </c>
      <c r="Q1355" s="35" t="str">
        <f>MID(Tabla1[[#This Row],[Aplicación]],14,1)</f>
        <v>2</v>
      </c>
      <c r="R1355" s="35" t="s">
        <v>495</v>
      </c>
      <c r="S1355" s="35" t="str">
        <f>MID(Tabla1[[#This Row],[Aplicación]],6,2)</f>
        <v>06</v>
      </c>
      <c r="T1355" s="35" t="str">
        <f>VLOOKUP(Tabla1[[#This Row],[AREA]],Hoja1!A:B,2,FALSE)</f>
        <v>06. Educación, infancia, juventud e igualdad</v>
      </c>
      <c r="U1355" s="35" t="str">
        <f>MID(Tabla1[[#This Row],[Aplicación]],9,4)</f>
        <v>2315</v>
      </c>
      <c r="V1355" s="35" t="str">
        <f>VLOOKUP(Tabla1[[#This Row],[PROGRAMA]],Hoja1!A:B,2,FALSE)</f>
        <v>2315. Políticas de Igualdad e infancia</v>
      </c>
      <c r="W1355" s="35" t="str">
        <f>MID(Tabla1[[#This Row],[Aplicación]],14,2)</f>
        <v>22</v>
      </c>
      <c r="X1355" s="35" t="str">
        <f>MID(Tabla1[[#This Row],[Aplicación]],14,6)</f>
        <v>22799</v>
      </c>
    </row>
    <row r="1356" spans="1:24" x14ac:dyDescent="0.25">
      <c r="A1356" s="45">
        <v>220210006057</v>
      </c>
      <c r="B1356" s="46" t="s">
        <v>9</v>
      </c>
      <c r="C1356" s="47">
        <v>44251</v>
      </c>
      <c r="D1356" s="45">
        <v>22021002941</v>
      </c>
      <c r="E1356" s="46" t="s">
        <v>1163</v>
      </c>
      <c r="F1356" s="48">
        <v>1405.4</v>
      </c>
      <c r="G1356" s="46" t="s">
        <v>554</v>
      </c>
      <c r="H1356" s="46" t="s">
        <v>2574</v>
      </c>
      <c r="I1356" s="45" t="s">
        <v>125</v>
      </c>
      <c r="J1356" s="46" t="s">
        <v>146</v>
      </c>
      <c r="K1356" s="46" t="s">
        <v>146</v>
      </c>
      <c r="L1356" s="46" t="s">
        <v>15</v>
      </c>
      <c r="M1356" s="46" t="s">
        <v>10</v>
      </c>
      <c r="N1356" s="46" t="s">
        <v>11</v>
      </c>
      <c r="O1356" s="49" t="s">
        <v>815</v>
      </c>
      <c r="P1356" s="46" t="s">
        <v>507</v>
      </c>
      <c r="Q1356" s="35" t="str">
        <f>MID(Tabla1[[#This Row],[Aplicación]],14,1)</f>
        <v>2</v>
      </c>
      <c r="R1356" s="35" t="s">
        <v>495</v>
      </c>
      <c r="S1356" s="35" t="str">
        <f>MID(Tabla1[[#This Row],[Aplicación]],6,2)</f>
        <v>06</v>
      </c>
      <c r="T1356" s="35" t="str">
        <f>VLOOKUP(Tabla1[[#This Row],[AREA]],Hoja1!A:B,2,FALSE)</f>
        <v>06. Educación, infancia, juventud e igualdad</v>
      </c>
      <c r="U1356" s="35" t="str">
        <f>MID(Tabla1[[#This Row],[Aplicación]],9,4)</f>
        <v>3321</v>
      </c>
      <c r="V1356" s="35" t="str">
        <f>VLOOKUP(Tabla1[[#This Row],[PROGRAMA]],Hoja1!A:B,2,FALSE)</f>
        <v>3321. Bibliotecas públicas</v>
      </c>
      <c r="W1356" s="35" t="str">
        <f>MID(Tabla1[[#This Row],[Aplicación]],14,2)</f>
        <v>22</v>
      </c>
      <c r="X1356" s="35" t="str">
        <f>MID(Tabla1[[#This Row],[Aplicación]],14,6)</f>
        <v>22001</v>
      </c>
    </row>
    <row r="1357" spans="1:24" x14ac:dyDescent="0.25">
      <c r="A1357" s="45">
        <v>220209000755</v>
      </c>
      <c r="B1357" s="46" t="s">
        <v>9</v>
      </c>
      <c r="C1357" s="47">
        <v>44198</v>
      </c>
      <c r="D1357" s="45">
        <v>22021000480</v>
      </c>
      <c r="E1357" s="46" t="s">
        <v>1263</v>
      </c>
      <c r="F1357" s="48">
        <v>5323.03</v>
      </c>
      <c r="G1357" s="46" t="s">
        <v>2575</v>
      </c>
      <c r="H1357" s="46" t="s">
        <v>2576</v>
      </c>
      <c r="I1357" s="45" t="s">
        <v>125</v>
      </c>
      <c r="J1357" s="46" t="s">
        <v>127</v>
      </c>
      <c r="K1357" s="46" t="s">
        <v>127</v>
      </c>
      <c r="L1357" s="46" t="s">
        <v>12</v>
      </c>
      <c r="M1357" s="46" t="s">
        <v>13</v>
      </c>
      <c r="N1357" s="46" t="s">
        <v>14</v>
      </c>
      <c r="O1357" s="49" t="s">
        <v>803</v>
      </c>
      <c r="P1357" s="46" t="s">
        <v>507</v>
      </c>
      <c r="Q1357" s="35" t="str">
        <f>MID(Tabla1[[#This Row],[Aplicación]],14,1)</f>
        <v>2</v>
      </c>
      <c r="R1357" s="35" t="s">
        <v>495</v>
      </c>
      <c r="S1357" s="35" t="str">
        <f>MID(Tabla1[[#This Row],[Aplicación]],6,2)</f>
        <v>02</v>
      </c>
      <c r="T1357" s="35" t="str">
        <f>VLOOKUP(Tabla1[[#This Row],[AREA]],Hoja1!A:B,2,FALSE)</f>
        <v>02. Planeamiento urbanístico y vivienda</v>
      </c>
      <c r="U1357" s="35" t="str">
        <f>MID(Tabla1[[#This Row],[Aplicación]],9,4)</f>
        <v>9332</v>
      </c>
      <c r="V1357" s="35" t="str">
        <f>VLOOKUP(Tabla1[[#This Row],[PROGRAMA]],Hoja1!A:B,2,FALSE)</f>
        <v>9332. Mantenimiento de edificios e instalaciones municipales</v>
      </c>
      <c r="W1357" s="35" t="str">
        <f>MID(Tabla1[[#This Row],[Aplicación]],14,2)</f>
        <v>21</v>
      </c>
      <c r="X1357" s="35" t="str">
        <f>MID(Tabla1[[#This Row],[Aplicación]],14,6)</f>
        <v>213</v>
      </c>
    </row>
    <row r="1358" spans="1:24" x14ac:dyDescent="0.25">
      <c r="A1358" s="45">
        <v>220209000844</v>
      </c>
      <c r="B1358" s="46" t="s">
        <v>9</v>
      </c>
      <c r="C1358" s="47">
        <v>44198</v>
      </c>
      <c r="D1358" s="45">
        <v>22021001295</v>
      </c>
      <c r="E1358" s="46" t="s">
        <v>1487</v>
      </c>
      <c r="F1358" s="48">
        <v>3000000</v>
      </c>
      <c r="G1358" s="46" t="s">
        <v>308</v>
      </c>
      <c r="H1358" s="46" t="s">
        <v>2577</v>
      </c>
      <c r="I1358" s="45" t="s">
        <v>125</v>
      </c>
      <c r="J1358" s="46" t="s">
        <v>127</v>
      </c>
      <c r="K1358" s="46" t="s">
        <v>127</v>
      </c>
      <c r="L1358" s="46" t="s">
        <v>31</v>
      </c>
      <c r="M1358" s="46" t="s">
        <v>13</v>
      </c>
      <c r="N1358" s="46" t="s">
        <v>14</v>
      </c>
      <c r="O1358" s="49" t="s">
        <v>803</v>
      </c>
      <c r="P1358" s="46" t="s">
        <v>507</v>
      </c>
      <c r="Q1358" s="35" t="str">
        <f>MID(Tabla1[[#This Row],[Aplicación]],14,1)</f>
        <v>6</v>
      </c>
      <c r="R1358" s="35" t="s">
        <v>496</v>
      </c>
      <c r="S1358" s="35" t="str">
        <f>MID(Tabla1[[#This Row],[Aplicación]],6,2)</f>
        <v>08</v>
      </c>
      <c r="T1358" s="35" t="str">
        <f>VLOOKUP(Tabla1[[#This Row],[AREA]],Hoja1!A:B,2,FALSE)</f>
        <v>08. Movilidad y espacio urbano</v>
      </c>
      <c r="U1358" s="35" t="str">
        <f>MID(Tabla1[[#This Row],[Aplicación]],9,4)</f>
        <v>1532</v>
      </c>
      <c r="V1358" s="35" t="str">
        <f>VLOOKUP(Tabla1[[#This Row],[PROGRAMA]],Hoja1!A:B,2,FALSE)</f>
        <v>1532. Pavimentación vias públicas y otros servicios urbanísticos</v>
      </c>
      <c r="W1358" s="35" t="str">
        <f>MID(Tabla1[[#This Row],[Aplicación]],14,2)</f>
        <v>61</v>
      </c>
      <c r="X1358" s="35" t="str">
        <f>MID(Tabla1[[#This Row],[Aplicación]],14,6)</f>
        <v>619</v>
      </c>
    </row>
    <row r="1359" spans="1:24" x14ac:dyDescent="0.25">
      <c r="A1359" s="45">
        <v>220210001361</v>
      </c>
      <c r="B1359" s="46" t="s">
        <v>9</v>
      </c>
      <c r="C1359" s="47">
        <v>44228</v>
      </c>
      <c r="D1359" s="45">
        <v>22021001299</v>
      </c>
      <c r="E1359" s="46" t="s">
        <v>944</v>
      </c>
      <c r="F1359" s="48">
        <v>1410</v>
      </c>
      <c r="G1359" s="46" t="s">
        <v>77</v>
      </c>
      <c r="H1359" s="46" t="s">
        <v>2578</v>
      </c>
      <c r="I1359" s="45" t="s">
        <v>125</v>
      </c>
      <c r="J1359" s="46" t="s">
        <v>713</v>
      </c>
      <c r="K1359" s="46" t="s">
        <v>126</v>
      </c>
      <c r="L1359" s="46" t="s">
        <v>12</v>
      </c>
      <c r="M1359" s="46" t="s">
        <v>10</v>
      </c>
      <c r="N1359" s="46" t="s">
        <v>11</v>
      </c>
      <c r="O1359" s="49" t="s">
        <v>815</v>
      </c>
      <c r="P1359" s="46" t="s">
        <v>507</v>
      </c>
      <c r="Q1359" s="35" t="str">
        <f>MID(Tabla1[[#This Row],[Aplicación]],14,1)</f>
        <v>2</v>
      </c>
      <c r="R1359" s="35" t="s">
        <v>495</v>
      </c>
      <c r="S1359" s="35" t="str">
        <f>MID(Tabla1[[#This Row],[Aplicación]],6,2)</f>
        <v>11</v>
      </c>
      <c r="T1359" s="35" t="str">
        <f>VLOOKUP(Tabla1[[#This Row],[AREA]],Hoja1!A:B,2,FALSE)</f>
        <v>11. Salud pública y seguridad ciudadana</v>
      </c>
      <c r="U1359" s="35" t="str">
        <f>MID(Tabla1[[#This Row],[Aplicación]],9,4)</f>
        <v>1621</v>
      </c>
      <c r="V1359" s="35" t="str">
        <f>VLOOKUP(Tabla1[[#This Row],[PROGRAMA]],Hoja1!A:B,2,FALSE)</f>
        <v>1621. Servicio de limpieza</v>
      </c>
      <c r="W1359" s="35" t="str">
        <f>MID(Tabla1[[#This Row],[Aplicación]],14,2)</f>
        <v>21</v>
      </c>
      <c r="X1359" s="35" t="str">
        <f>MID(Tabla1[[#This Row],[Aplicación]],14,6)</f>
        <v>213</v>
      </c>
    </row>
    <row r="1360" spans="1:24" x14ac:dyDescent="0.25">
      <c r="A1360" s="45">
        <v>220210002872</v>
      </c>
      <c r="B1360" s="46" t="s">
        <v>9</v>
      </c>
      <c r="C1360" s="47">
        <v>44238</v>
      </c>
      <c r="D1360" s="45">
        <v>22021001972</v>
      </c>
      <c r="E1360" s="46" t="s">
        <v>2256</v>
      </c>
      <c r="F1360" s="48">
        <v>1425</v>
      </c>
      <c r="G1360" s="46" t="s">
        <v>532</v>
      </c>
      <c r="H1360" s="46" t="s">
        <v>2579</v>
      </c>
      <c r="I1360" s="45" t="s">
        <v>125</v>
      </c>
      <c r="J1360" s="46" t="s">
        <v>777</v>
      </c>
      <c r="K1360" s="46" t="s">
        <v>127</v>
      </c>
      <c r="L1360" s="46" t="s">
        <v>15</v>
      </c>
      <c r="M1360" s="46" t="s">
        <v>10</v>
      </c>
      <c r="N1360" s="46" t="s">
        <v>11</v>
      </c>
      <c r="O1360" s="49" t="s">
        <v>815</v>
      </c>
      <c r="P1360" s="46" t="s">
        <v>507</v>
      </c>
      <c r="Q1360" s="35" t="str">
        <f>MID(Tabla1[[#This Row],[Aplicación]],14,1)</f>
        <v>2</v>
      </c>
      <c r="R1360" s="35" t="s">
        <v>495</v>
      </c>
      <c r="S1360" s="35" t="str">
        <f>MID(Tabla1[[#This Row],[Aplicación]],6,2)</f>
        <v>04</v>
      </c>
      <c r="T1360" s="35" t="str">
        <f>VLOOKUP(Tabla1[[#This Row],[AREA]],Hoja1!A:B,2,FALSE)</f>
        <v>04. Planificación y recursos</v>
      </c>
      <c r="U1360" s="35" t="str">
        <f>MID(Tabla1[[#This Row],[Aplicación]],9,4)</f>
        <v>3121</v>
      </c>
      <c r="V1360" s="35" t="str">
        <f>VLOOKUP(Tabla1[[#This Row],[PROGRAMA]],Hoja1!A:B,2,FALSE)</f>
        <v>3121. Prevención y salud laboral</v>
      </c>
      <c r="W1360" s="35" t="str">
        <f>MID(Tabla1[[#This Row],[Aplicación]],14,2)</f>
        <v>22</v>
      </c>
      <c r="X1360" s="35" t="str">
        <f>MID(Tabla1[[#This Row],[Aplicación]],14,6)</f>
        <v>22199</v>
      </c>
    </row>
    <row r="1361" spans="1:24" x14ac:dyDescent="0.25">
      <c r="A1361" s="45">
        <v>220209000697</v>
      </c>
      <c r="B1361" s="46" t="s">
        <v>9</v>
      </c>
      <c r="C1361" s="47">
        <v>44198</v>
      </c>
      <c r="D1361" s="45">
        <v>22021000748</v>
      </c>
      <c r="E1361" s="46" t="s">
        <v>1286</v>
      </c>
      <c r="F1361" s="48">
        <v>1442.93</v>
      </c>
      <c r="G1361" s="46" t="s">
        <v>2580</v>
      </c>
      <c r="H1361" s="46" t="s">
        <v>2581</v>
      </c>
      <c r="I1361" s="45" t="s">
        <v>125</v>
      </c>
      <c r="J1361" s="46" t="s">
        <v>126</v>
      </c>
      <c r="K1361" s="46" t="s">
        <v>126</v>
      </c>
      <c r="L1361" s="46" t="s">
        <v>15</v>
      </c>
      <c r="M1361" s="46" t="s">
        <v>10</v>
      </c>
      <c r="N1361" s="46" t="s">
        <v>11</v>
      </c>
      <c r="O1361" s="49" t="s">
        <v>815</v>
      </c>
      <c r="P1361" s="46" t="s">
        <v>507</v>
      </c>
      <c r="Q1361" s="35" t="str">
        <f>MID(Tabla1[[#This Row],[Aplicación]],14,1)</f>
        <v>6</v>
      </c>
      <c r="R1361" s="35" t="s">
        <v>496</v>
      </c>
      <c r="S1361" s="35" t="str">
        <f>MID(Tabla1[[#This Row],[Aplicación]],6,2)</f>
        <v>04</v>
      </c>
      <c r="T1361" s="35" t="str">
        <f>VLOOKUP(Tabla1[[#This Row],[AREA]],Hoja1!A:B,2,FALSE)</f>
        <v>04. Planificación y recursos</v>
      </c>
      <c r="U1361" s="35" t="str">
        <f>MID(Tabla1[[#This Row],[Aplicación]],9,4)</f>
        <v>9204</v>
      </c>
      <c r="V1361" s="35" t="str">
        <f>VLOOKUP(Tabla1[[#This Row],[PROGRAMA]],Hoja1!A:B,2,FALSE)</f>
        <v>9204. Tecnologías de la información y comunicación</v>
      </c>
      <c r="W1361" s="35" t="str">
        <f>MID(Tabla1[[#This Row],[Aplicación]],14,2)</f>
        <v>64</v>
      </c>
      <c r="X1361" s="35" t="str">
        <f>MID(Tabla1[[#This Row],[Aplicación]],14,6)</f>
        <v>641</v>
      </c>
    </row>
    <row r="1362" spans="1:24" x14ac:dyDescent="0.25">
      <c r="A1362" s="45">
        <v>220209000858</v>
      </c>
      <c r="B1362" s="46" t="s">
        <v>9</v>
      </c>
      <c r="C1362" s="47">
        <v>44198</v>
      </c>
      <c r="D1362" s="45">
        <v>22021002849</v>
      </c>
      <c r="E1362" s="46" t="s">
        <v>1300</v>
      </c>
      <c r="F1362" s="48">
        <v>46640.83</v>
      </c>
      <c r="G1362" s="46" t="s">
        <v>608</v>
      </c>
      <c r="H1362" s="46" t="s">
        <v>2582</v>
      </c>
      <c r="I1362" s="45" t="s">
        <v>125</v>
      </c>
      <c r="J1362" s="46" t="s">
        <v>146</v>
      </c>
      <c r="K1362" s="46" t="s">
        <v>146</v>
      </c>
      <c r="L1362" s="46" t="s">
        <v>12</v>
      </c>
      <c r="M1362" s="46" t="s">
        <v>13</v>
      </c>
      <c r="N1362" s="46" t="s">
        <v>14</v>
      </c>
      <c r="O1362" s="49" t="s">
        <v>803</v>
      </c>
      <c r="P1362" s="46" t="s">
        <v>507</v>
      </c>
      <c r="Q1362" s="35" t="str">
        <f>MID(Tabla1[[#This Row],[Aplicación]],14,1)</f>
        <v>2</v>
      </c>
      <c r="R1362" s="35" t="s">
        <v>495</v>
      </c>
      <c r="S1362" s="35" t="str">
        <f>MID(Tabla1[[#This Row],[Aplicación]],6,2)</f>
        <v>04</v>
      </c>
      <c r="T1362" s="35" t="str">
        <f>VLOOKUP(Tabla1[[#This Row],[AREA]],Hoja1!A:B,2,FALSE)</f>
        <v>04. Planificación y recursos</v>
      </c>
      <c r="U1362" s="35" t="str">
        <f>MID(Tabla1[[#This Row],[Aplicación]],9,4)</f>
        <v>9331</v>
      </c>
      <c r="V1362" s="35" t="str">
        <f>VLOOKUP(Tabla1[[#This Row],[PROGRAMA]],Hoja1!A:B,2,FALSE)</f>
        <v>9331. Gestión del patrimonio</v>
      </c>
      <c r="W1362" s="35" t="str">
        <f>MID(Tabla1[[#This Row],[Aplicación]],14,2)</f>
        <v>22</v>
      </c>
      <c r="X1362" s="35" t="str">
        <f>MID(Tabla1[[#This Row],[Aplicación]],14,6)</f>
        <v>224</v>
      </c>
    </row>
    <row r="1363" spans="1:24" x14ac:dyDescent="0.25">
      <c r="A1363" s="45">
        <v>220210006157</v>
      </c>
      <c r="B1363" s="46" t="s">
        <v>9</v>
      </c>
      <c r="C1363" s="47">
        <v>44252</v>
      </c>
      <c r="D1363" s="45">
        <v>22021002091</v>
      </c>
      <c r="E1363" s="46" t="s">
        <v>1300</v>
      </c>
      <c r="F1363" s="48">
        <v>356.02</v>
      </c>
      <c r="G1363" s="46" t="s">
        <v>608</v>
      </c>
      <c r="H1363" s="46" t="s">
        <v>2583</v>
      </c>
      <c r="I1363" s="45" t="s">
        <v>125</v>
      </c>
      <c r="J1363" s="46" t="s">
        <v>146</v>
      </c>
      <c r="K1363" s="46" t="s">
        <v>146</v>
      </c>
      <c r="L1363" s="46" t="s">
        <v>12</v>
      </c>
      <c r="M1363" s="46" t="s">
        <v>13</v>
      </c>
      <c r="N1363" s="46" t="s">
        <v>14</v>
      </c>
      <c r="O1363" s="49" t="s">
        <v>803</v>
      </c>
      <c r="P1363" s="46" t="s">
        <v>507</v>
      </c>
      <c r="Q1363" s="35" t="str">
        <f>MID(Tabla1[[#This Row],[Aplicación]],14,1)</f>
        <v>2</v>
      </c>
      <c r="R1363" s="35" t="s">
        <v>495</v>
      </c>
      <c r="S1363" s="35" t="str">
        <f>MID(Tabla1[[#This Row],[Aplicación]],6,2)</f>
        <v>04</v>
      </c>
      <c r="T1363" s="35" t="str">
        <f>VLOOKUP(Tabla1[[#This Row],[AREA]],Hoja1!A:B,2,FALSE)</f>
        <v>04. Planificación y recursos</v>
      </c>
      <c r="U1363" s="35" t="str">
        <f>MID(Tabla1[[#This Row],[Aplicación]],9,4)</f>
        <v>9331</v>
      </c>
      <c r="V1363" s="35" t="str">
        <f>VLOOKUP(Tabla1[[#This Row],[PROGRAMA]],Hoja1!A:B,2,FALSE)</f>
        <v>9331. Gestión del patrimonio</v>
      </c>
      <c r="W1363" s="35" t="str">
        <f>MID(Tabla1[[#This Row],[Aplicación]],14,2)</f>
        <v>22</v>
      </c>
      <c r="X1363" s="35" t="str">
        <f>MID(Tabla1[[#This Row],[Aplicación]],14,6)</f>
        <v>224</v>
      </c>
    </row>
    <row r="1364" spans="1:24" x14ac:dyDescent="0.25">
      <c r="A1364" s="45">
        <v>220189000646</v>
      </c>
      <c r="B1364" s="46" t="s">
        <v>9</v>
      </c>
      <c r="C1364" s="47">
        <v>44284</v>
      </c>
      <c r="D1364" s="45">
        <v>22020000522</v>
      </c>
      <c r="E1364" s="46" t="s">
        <v>827</v>
      </c>
      <c r="F1364" s="48">
        <v>42768.75</v>
      </c>
      <c r="G1364" s="46" t="s">
        <v>198</v>
      </c>
      <c r="H1364" s="46" t="s">
        <v>29</v>
      </c>
      <c r="I1364" s="45" t="s">
        <v>125</v>
      </c>
      <c r="J1364" s="46" t="s">
        <v>127</v>
      </c>
      <c r="K1364" s="46" t="s">
        <v>127</v>
      </c>
      <c r="L1364" s="46" t="s">
        <v>12</v>
      </c>
      <c r="M1364" s="46" t="s">
        <v>13</v>
      </c>
      <c r="N1364" s="46" t="s">
        <v>14</v>
      </c>
      <c r="O1364" s="49" t="s">
        <v>803</v>
      </c>
      <c r="P1364" s="46" t="s">
        <v>507</v>
      </c>
      <c r="Q1364" s="35" t="str">
        <f>MID(Tabla1[[#This Row],[Aplicación]],14,1)</f>
        <v>2</v>
      </c>
      <c r="R1364" s="35" t="s">
        <v>495</v>
      </c>
      <c r="S1364" s="35" t="str">
        <f>MID(Tabla1[[#This Row],[Aplicación]],6,2)</f>
        <v>04</v>
      </c>
      <c r="T1364" s="35" t="str">
        <f>VLOOKUP(Tabla1[[#This Row],[AREA]],Hoja1!A:B,2,FALSE)</f>
        <v>04. Planificación y recursos</v>
      </c>
      <c r="U1364" s="35" t="str">
        <f>MID(Tabla1[[#This Row],[Aplicación]],9,4)</f>
        <v>9204</v>
      </c>
      <c r="V1364" s="35" t="str">
        <f>VLOOKUP(Tabla1[[#This Row],[PROGRAMA]],Hoja1!A:B,2,FALSE)</f>
        <v>9204. Tecnologías de la información y comunicación</v>
      </c>
      <c r="W1364" s="35" t="str">
        <f>MID(Tabla1[[#This Row],[Aplicación]],14,2)</f>
        <v>21</v>
      </c>
      <c r="X1364" s="35" t="str">
        <f>MID(Tabla1[[#This Row],[Aplicación]],14,6)</f>
        <v>216</v>
      </c>
    </row>
    <row r="1365" spans="1:24" x14ac:dyDescent="0.25">
      <c r="A1365" s="45">
        <v>220210001399</v>
      </c>
      <c r="B1365" s="46" t="s">
        <v>32</v>
      </c>
      <c r="C1365" s="47">
        <v>44229</v>
      </c>
      <c r="D1365" s="45">
        <v>22021001688</v>
      </c>
      <c r="E1365" s="46" t="s">
        <v>2014</v>
      </c>
      <c r="F1365" s="48">
        <v>1447.75</v>
      </c>
      <c r="G1365" s="46" t="s">
        <v>2584</v>
      </c>
      <c r="H1365" s="46" t="s">
        <v>2585</v>
      </c>
      <c r="I1365" s="45" t="s">
        <v>234</v>
      </c>
      <c r="J1365" s="46" t="s">
        <v>127</v>
      </c>
      <c r="K1365" s="46" t="s">
        <v>127</v>
      </c>
      <c r="L1365" s="46" t="s">
        <v>12</v>
      </c>
      <c r="M1365" s="46" t="s">
        <v>10</v>
      </c>
      <c r="N1365" s="46" t="s">
        <v>11</v>
      </c>
      <c r="O1365" s="49" t="s">
        <v>815</v>
      </c>
      <c r="P1365" s="46" t="s">
        <v>507</v>
      </c>
      <c r="Q1365" s="35" t="str">
        <f>MID(Tabla1[[#This Row],[Aplicación]],14,1)</f>
        <v>2</v>
      </c>
      <c r="R1365" s="35" t="s">
        <v>495</v>
      </c>
      <c r="S1365" s="35" t="str">
        <f>MID(Tabla1[[#This Row],[Aplicación]],6,2)</f>
        <v>11</v>
      </c>
      <c r="T1365" s="35" t="str">
        <f>VLOOKUP(Tabla1[[#This Row],[AREA]],Hoja1!A:B,2,FALSE)</f>
        <v>11. Salud pública y seguridad ciudadana</v>
      </c>
      <c r="U1365" s="35" t="str">
        <f>MID(Tabla1[[#This Row],[Aplicación]],9,4)</f>
        <v>1351</v>
      </c>
      <c r="V1365" s="35" t="str">
        <f>VLOOKUP(Tabla1[[#This Row],[PROGRAMA]],Hoja1!A:B,2,FALSE)</f>
        <v>1351. Protección civil</v>
      </c>
      <c r="W1365" s="35" t="str">
        <f>MID(Tabla1[[#This Row],[Aplicación]],14,2)</f>
        <v>22</v>
      </c>
      <c r="X1365" s="35" t="str">
        <f>MID(Tabla1[[#This Row],[Aplicación]],14,6)</f>
        <v>224</v>
      </c>
    </row>
    <row r="1366" spans="1:24" x14ac:dyDescent="0.25">
      <c r="A1366" s="45">
        <v>220210008412</v>
      </c>
      <c r="B1366" s="46" t="s">
        <v>9</v>
      </c>
      <c r="C1366" s="47">
        <v>44266</v>
      </c>
      <c r="D1366" s="45">
        <v>22021003273</v>
      </c>
      <c r="E1366" s="46" t="s">
        <v>1196</v>
      </c>
      <c r="F1366" s="48">
        <v>6292</v>
      </c>
      <c r="G1366" s="46" t="s">
        <v>121</v>
      </c>
      <c r="H1366" s="46" t="s">
        <v>2586</v>
      </c>
      <c r="I1366" s="45" t="s">
        <v>125</v>
      </c>
      <c r="J1366" s="46" t="s">
        <v>664</v>
      </c>
      <c r="K1366" s="46" t="s">
        <v>127</v>
      </c>
      <c r="L1366" s="46" t="s">
        <v>12</v>
      </c>
      <c r="M1366" s="46" t="s">
        <v>10</v>
      </c>
      <c r="N1366" s="46" t="s">
        <v>11</v>
      </c>
      <c r="O1366" s="49" t="s">
        <v>815</v>
      </c>
      <c r="P1366" s="46" t="s">
        <v>507</v>
      </c>
      <c r="Q1366" s="35" t="str">
        <f>MID(Tabla1[[#This Row],[Aplicación]],14,1)</f>
        <v>6</v>
      </c>
      <c r="R1366" s="35" t="s">
        <v>496</v>
      </c>
      <c r="S1366" s="35" t="str">
        <f>MID(Tabla1[[#This Row],[Aplicación]],6,2)</f>
        <v>08</v>
      </c>
      <c r="T1366" s="35" t="str">
        <f>VLOOKUP(Tabla1[[#This Row],[AREA]],Hoja1!A:B,2,FALSE)</f>
        <v>08. Movilidad y espacio urbano</v>
      </c>
      <c r="U1366" s="35" t="str">
        <f>MID(Tabla1[[#This Row],[Aplicación]],9,4)</f>
        <v>1341</v>
      </c>
      <c r="V1366" s="35" t="str">
        <f>VLOOKUP(Tabla1[[#This Row],[PROGRAMA]],Hoja1!A:B,2,FALSE)</f>
        <v>1341. Movilidad</v>
      </c>
      <c r="W1366" s="35" t="str">
        <f>MID(Tabla1[[#This Row],[Aplicación]],14,2)</f>
        <v>61</v>
      </c>
      <c r="X1366" s="35" t="str">
        <f>MID(Tabla1[[#This Row],[Aplicación]],14,6)</f>
        <v>619</v>
      </c>
    </row>
    <row r="1367" spans="1:24" x14ac:dyDescent="0.25">
      <c r="A1367" s="45">
        <v>220200050000</v>
      </c>
      <c r="B1367" s="46" t="s">
        <v>9</v>
      </c>
      <c r="C1367" s="47">
        <v>44284</v>
      </c>
      <c r="D1367" s="45">
        <v>22020005008</v>
      </c>
      <c r="E1367" s="46" t="s">
        <v>2587</v>
      </c>
      <c r="F1367" s="48">
        <v>101.62</v>
      </c>
      <c r="G1367" s="46" t="s">
        <v>120</v>
      </c>
      <c r="H1367" s="46" t="s">
        <v>2588</v>
      </c>
      <c r="I1367" s="45" t="s">
        <v>125</v>
      </c>
      <c r="J1367" s="46" t="s">
        <v>126</v>
      </c>
      <c r="K1367" s="46" t="s">
        <v>126</v>
      </c>
      <c r="L1367" s="46" t="s">
        <v>12</v>
      </c>
      <c r="M1367" s="46" t="s">
        <v>10</v>
      </c>
      <c r="N1367" s="46" t="s">
        <v>11</v>
      </c>
      <c r="O1367" s="49" t="s">
        <v>815</v>
      </c>
      <c r="P1367" s="46" t="s">
        <v>507</v>
      </c>
      <c r="Q1367" s="35" t="str">
        <f>MID(Tabla1[[#This Row],[Aplicación]],14,1)</f>
        <v>6</v>
      </c>
      <c r="R1367" s="35" t="s">
        <v>496</v>
      </c>
      <c r="S1367" s="35" t="str">
        <f>MID(Tabla1[[#This Row],[Aplicación]],6,2)</f>
        <v>03</v>
      </c>
      <c r="T1367" s="35" t="str">
        <f>VLOOKUP(Tabla1[[#This Row],[AREA]],Hoja1!A:B,2,FALSE)</f>
        <v>03. Participación ciudadana y deportes</v>
      </c>
      <c r="U1367" s="35" t="str">
        <f>MID(Tabla1[[#This Row],[Aplicación]],9,4)</f>
        <v>9241</v>
      </c>
      <c r="V1367" s="35" t="str">
        <f>VLOOKUP(Tabla1[[#This Row],[PROGRAMA]],Hoja1!A:B,2,FALSE)</f>
        <v>9241. Participación ciudadana</v>
      </c>
      <c r="W1367" s="35" t="str">
        <f>MID(Tabla1[[#This Row],[Aplicación]],14,2)</f>
        <v>62</v>
      </c>
      <c r="X1367" s="35" t="str">
        <f>MID(Tabla1[[#This Row],[Aplicación]],14,6)</f>
        <v>625</v>
      </c>
    </row>
    <row r="1368" spans="1:24" x14ac:dyDescent="0.25">
      <c r="A1368" s="45">
        <v>220200052710</v>
      </c>
      <c r="B1368" s="46" t="s">
        <v>9</v>
      </c>
      <c r="C1368" s="47">
        <v>44284</v>
      </c>
      <c r="D1368" s="45">
        <v>22020006491</v>
      </c>
      <c r="E1368" s="46" t="s">
        <v>1474</v>
      </c>
      <c r="F1368" s="48">
        <v>92.81</v>
      </c>
      <c r="G1368" s="46" t="s">
        <v>120</v>
      </c>
      <c r="H1368" s="46" t="s">
        <v>2589</v>
      </c>
      <c r="I1368" s="45" t="s">
        <v>125</v>
      </c>
      <c r="J1368" s="46" t="s">
        <v>126</v>
      </c>
      <c r="K1368" s="46" t="s">
        <v>126</v>
      </c>
      <c r="L1368" s="46" t="s">
        <v>12</v>
      </c>
      <c r="M1368" s="46" t="s">
        <v>10</v>
      </c>
      <c r="N1368" s="46" t="s">
        <v>11</v>
      </c>
      <c r="O1368" s="49" t="s">
        <v>815</v>
      </c>
      <c r="P1368" s="46" t="s">
        <v>507</v>
      </c>
      <c r="Q1368" s="35" t="str">
        <f>MID(Tabla1[[#This Row],[Aplicación]],14,1)</f>
        <v>6</v>
      </c>
      <c r="R1368" s="35" t="s">
        <v>496</v>
      </c>
      <c r="S1368" s="35" t="str">
        <f>MID(Tabla1[[#This Row],[Aplicación]],6,2)</f>
        <v>08</v>
      </c>
      <c r="T1368" s="35" t="str">
        <f>VLOOKUP(Tabla1[[#This Row],[AREA]],Hoja1!A:B,2,FALSE)</f>
        <v>08. Movilidad y espacio urbano</v>
      </c>
      <c r="U1368" s="35" t="str">
        <f>MID(Tabla1[[#This Row],[Aplicación]],9,4)</f>
        <v>1651</v>
      </c>
      <c r="V1368" s="35" t="str">
        <f>VLOOKUP(Tabla1[[#This Row],[PROGRAMA]],Hoja1!A:B,2,FALSE)</f>
        <v>1651. Alumbrado público</v>
      </c>
      <c r="W1368" s="35" t="str">
        <f>MID(Tabla1[[#This Row],[Aplicación]],14,2)</f>
        <v>61</v>
      </c>
      <c r="X1368" s="35" t="str">
        <f>MID(Tabla1[[#This Row],[Aplicación]],14,6)</f>
        <v>619</v>
      </c>
    </row>
    <row r="1369" spans="1:24" x14ac:dyDescent="0.25">
      <c r="A1369" s="45">
        <v>220210008450</v>
      </c>
      <c r="B1369" s="46" t="s">
        <v>9</v>
      </c>
      <c r="C1369" s="47">
        <v>44266</v>
      </c>
      <c r="D1369" s="45">
        <v>22021003347</v>
      </c>
      <c r="E1369" s="46" t="s">
        <v>2590</v>
      </c>
      <c r="F1369" s="48">
        <v>3557.1</v>
      </c>
      <c r="G1369" s="46" t="s">
        <v>121</v>
      </c>
      <c r="H1369" s="46" t="s">
        <v>2591</v>
      </c>
      <c r="I1369" s="45" t="s">
        <v>125</v>
      </c>
      <c r="J1369" s="46" t="s">
        <v>664</v>
      </c>
      <c r="K1369" s="46" t="s">
        <v>127</v>
      </c>
      <c r="L1369" s="46" t="s">
        <v>12</v>
      </c>
      <c r="M1369" s="46" t="s">
        <v>10</v>
      </c>
      <c r="N1369" s="46" t="s">
        <v>11</v>
      </c>
      <c r="O1369" s="49" t="s">
        <v>815</v>
      </c>
      <c r="P1369" s="46" t="s">
        <v>507</v>
      </c>
      <c r="Q1369" s="35" t="str">
        <f>MID(Tabla1[[#This Row],[Aplicación]],14,1)</f>
        <v>6</v>
      </c>
      <c r="R1369" s="35" t="s">
        <v>496</v>
      </c>
      <c r="S1369" s="35" t="str">
        <f>MID(Tabla1[[#This Row],[Aplicación]],6,2)</f>
        <v>02</v>
      </c>
      <c r="T1369" s="35" t="str">
        <f>VLOOKUP(Tabla1[[#This Row],[AREA]],Hoja1!A:B,2,FALSE)</f>
        <v>02. Planeamiento urbanístico y vivienda</v>
      </c>
      <c r="U1369" s="35" t="str">
        <f>MID(Tabla1[[#This Row],[Aplicación]],9,4)</f>
        <v>1511</v>
      </c>
      <c r="V1369" s="35" t="str">
        <f>VLOOKUP(Tabla1[[#This Row],[PROGRAMA]],Hoja1!A:B,2,FALSE)</f>
        <v>1511. Planficación y gestión del urbanismo</v>
      </c>
      <c r="W1369" s="35" t="str">
        <f>MID(Tabla1[[#This Row],[Aplicación]],14,2)</f>
        <v>60</v>
      </c>
      <c r="X1369" s="35" t="str">
        <f>MID(Tabla1[[#This Row],[Aplicación]],14,6)</f>
        <v>609</v>
      </c>
    </row>
    <row r="1370" spans="1:24" x14ac:dyDescent="0.25">
      <c r="A1370" s="45">
        <v>220190058488</v>
      </c>
      <c r="B1370" s="46" t="s">
        <v>9</v>
      </c>
      <c r="C1370" s="47">
        <v>44284</v>
      </c>
      <c r="D1370" s="45">
        <v>22019009562</v>
      </c>
      <c r="E1370" s="46" t="s">
        <v>1487</v>
      </c>
      <c r="F1370" s="48">
        <v>3630</v>
      </c>
      <c r="G1370" s="46" t="s">
        <v>586</v>
      </c>
      <c r="H1370" s="46" t="s">
        <v>587</v>
      </c>
      <c r="I1370" s="45" t="s">
        <v>125</v>
      </c>
      <c r="J1370" s="46" t="s">
        <v>127</v>
      </c>
      <c r="K1370" s="46" t="s">
        <v>127</v>
      </c>
      <c r="L1370" s="46" t="s">
        <v>12</v>
      </c>
      <c r="M1370" s="46" t="s">
        <v>10</v>
      </c>
      <c r="N1370" s="46" t="s">
        <v>11</v>
      </c>
      <c r="O1370" s="49" t="s">
        <v>815</v>
      </c>
      <c r="P1370" s="46" t="s">
        <v>507</v>
      </c>
      <c r="Q1370" s="35" t="str">
        <f>MID(Tabla1[[#This Row],[Aplicación]],14,1)</f>
        <v>6</v>
      </c>
      <c r="R1370" s="35" t="s">
        <v>496</v>
      </c>
      <c r="S1370" s="35" t="str">
        <f>MID(Tabla1[[#This Row],[Aplicación]],6,2)</f>
        <v>08</v>
      </c>
      <c r="T1370" s="35" t="str">
        <f>VLOOKUP(Tabla1[[#This Row],[AREA]],Hoja1!A:B,2,FALSE)</f>
        <v>08. Movilidad y espacio urbano</v>
      </c>
      <c r="U1370" s="35" t="str">
        <f>MID(Tabla1[[#This Row],[Aplicación]],9,4)</f>
        <v>1532</v>
      </c>
      <c r="V1370" s="35" t="str">
        <f>VLOOKUP(Tabla1[[#This Row],[PROGRAMA]],Hoja1!A:B,2,FALSE)</f>
        <v>1532. Pavimentación vias públicas y otros servicios urbanísticos</v>
      </c>
      <c r="W1370" s="35" t="str">
        <f>MID(Tabla1[[#This Row],[Aplicación]],14,2)</f>
        <v>61</v>
      </c>
      <c r="X1370" s="35" t="str">
        <f>MID(Tabla1[[#This Row],[Aplicación]],14,6)</f>
        <v>619</v>
      </c>
    </row>
    <row r="1371" spans="1:24" x14ac:dyDescent="0.25">
      <c r="A1371" s="45">
        <v>220190056376</v>
      </c>
      <c r="B1371" s="46" t="s">
        <v>9</v>
      </c>
      <c r="C1371" s="47">
        <v>44284</v>
      </c>
      <c r="D1371" s="45">
        <v>22019007498</v>
      </c>
      <c r="E1371" s="46" t="s">
        <v>1404</v>
      </c>
      <c r="F1371" s="48">
        <v>13602.37</v>
      </c>
      <c r="G1371" s="46" t="s">
        <v>121</v>
      </c>
      <c r="H1371" s="46" t="s">
        <v>682</v>
      </c>
      <c r="I1371" s="45" t="s">
        <v>125</v>
      </c>
      <c r="J1371" s="46" t="s">
        <v>664</v>
      </c>
      <c r="K1371" s="46" t="s">
        <v>127</v>
      </c>
      <c r="L1371" s="46" t="s">
        <v>12</v>
      </c>
      <c r="M1371" s="46" t="s">
        <v>13</v>
      </c>
      <c r="N1371" s="46" t="s">
        <v>14</v>
      </c>
      <c r="O1371" s="49" t="s">
        <v>803</v>
      </c>
      <c r="P1371" s="46" t="s">
        <v>507</v>
      </c>
      <c r="Q1371" s="35" t="str">
        <f>MID(Tabla1[[#This Row],[Aplicación]],14,1)</f>
        <v>6</v>
      </c>
      <c r="R1371" s="35" t="s">
        <v>496</v>
      </c>
      <c r="S1371" s="35" t="str">
        <f>MID(Tabla1[[#This Row],[Aplicación]],6,2)</f>
        <v>05</v>
      </c>
      <c r="T1371" s="35" t="str">
        <f>VLOOKUP(Tabla1[[#This Row],[AREA]],Hoja1!A:B,2,FALSE)</f>
        <v>05. Innovación, desarrollo económico, empleo y comercio</v>
      </c>
      <c r="U1371" s="35" t="str">
        <f>MID(Tabla1[[#This Row],[Aplicación]],9,4)</f>
        <v>9339</v>
      </c>
      <c r="V1371" s="35" t="str">
        <f>VLOOKUP(Tabla1[[#This Row],[PROGRAMA]],Hoja1!A:B,2,FALSE)</f>
        <v>9339. Patrimonio I.F.S. área 05</v>
      </c>
      <c r="W1371" s="35" t="str">
        <f>MID(Tabla1[[#This Row],[Aplicación]],14,2)</f>
        <v>63</v>
      </c>
      <c r="X1371" s="35" t="str">
        <f>MID(Tabla1[[#This Row],[Aplicación]],14,6)</f>
        <v>632</v>
      </c>
    </row>
    <row r="1372" spans="1:24" x14ac:dyDescent="0.25">
      <c r="A1372" s="45">
        <v>220210002381</v>
      </c>
      <c r="B1372" s="46" t="s">
        <v>9</v>
      </c>
      <c r="C1372" s="47">
        <v>44235</v>
      </c>
      <c r="D1372" s="45">
        <v>22021002288</v>
      </c>
      <c r="E1372" s="46" t="s">
        <v>1180</v>
      </c>
      <c r="F1372" s="48">
        <v>1452</v>
      </c>
      <c r="G1372" s="46" t="s">
        <v>248</v>
      </c>
      <c r="H1372" s="46" t="s">
        <v>762</v>
      </c>
      <c r="I1372" s="45" t="s">
        <v>125</v>
      </c>
      <c r="J1372" s="46" t="s">
        <v>146</v>
      </c>
      <c r="K1372" s="46" t="s">
        <v>146</v>
      </c>
      <c r="L1372" s="46" t="s">
        <v>15</v>
      </c>
      <c r="M1372" s="46" t="s">
        <v>10</v>
      </c>
      <c r="N1372" s="46" t="s">
        <v>11</v>
      </c>
      <c r="O1372" s="49" t="s">
        <v>815</v>
      </c>
      <c r="P1372" s="46" t="s">
        <v>507</v>
      </c>
      <c r="Q1372" s="35" t="str">
        <f>MID(Tabla1[[#This Row],[Aplicación]],14,1)</f>
        <v>2</v>
      </c>
      <c r="R1372" s="35" t="s">
        <v>495</v>
      </c>
      <c r="S1372" s="35" t="str">
        <f>MID(Tabla1[[#This Row],[Aplicación]],6,2)</f>
        <v>08</v>
      </c>
      <c r="T1372" s="35" t="str">
        <f>VLOOKUP(Tabla1[[#This Row],[AREA]],Hoja1!A:B,2,FALSE)</f>
        <v>08. Movilidad y espacio urbano</v>
      </c>
      <c r="U1372" s="35" t="str">
        <f>MID(Tabla1[[#This Row],[Aplicación]],9,4)</f>
        <v>1532</v>
      </c>
      <c r="V1372" s="35" t="str">
        <f>VLOOKUP(Tabla1[[#This Row],[PROGRAMA]],Hoja1!A:B,2,FALSE)</f>
        <v>1532. Pavimentación vias públicas y otros servicios urbanísticos</v>
      </c>
      <c r="W1372" s="35" t="str">
        <f>MID(Tabla1[[#This Row],[Aplicación]],14,2)</f>
        <v>21</v>
      </c>
      <c r="X1372" s="35" t="str">
        <f>MID(Tabla1[[#This Row],[Aplicación]],14,6)</f>
        <v>210</v>
      </c>
    </row>
    <row r="1373" spans="1:24" x14ac:dyDescent="0.25">
      <c r="A1373" s="45">
        <v>220200016732</v>
      </c>
      <c r="B1373" s="46" t="s">
        <v>9</v>
      </c>
      <c r="C1373" s="47">
        <v>44284</v>
      </c>
      <c r="D1373" s="45">
        <v>22020002100</v>
      </c>
      <c r="E1373" s="46" t="s">
        <v>2590</v>
      </c>
      <c r="F1373" s="48">
        <v>457020.45</v>
      </c>
      <c r="G1373" s="46" t="s">
        <v>1992</v>
      </c>
      <c r="H1373" s="46" t="s">
        <v>2592</v>
      </c>
      <c r="I1373" s="45" t="s">
        <v>125</v>
      </c>
      <c r="J1373" s="46" t="s">
        <v>634</v>
      </c>
      <c r="K1373" s="46" t="s">
        <v>127</v>
      </c>
      <c r="L1373" s="46" t="s">
        <v>31</v>
      </c>
      <c r="M1373" s="46" t="s">
        <v>13</v>
      </c>
      <c r="N1373" s="46" t="s">
        <v>14</v>
      </c>
      <c r="O1373" s="49" t="s">
        <v>803</v>
      </c>
      <c r="P1373" s="46" t="s">
        <v>507</v>
      </c>
      <c r="Q1373" s="35" t="str">
        <f>MID(Tabla1[[#This Row],[Aplicación]],14,1)</f>
        <v>6</v>
      </c>
      <c r="R1373" s="35" t="s">
        <v>496</v>
      </c>
      <c r="S1373" s="35" t="str">
        <f>MID(Tabla1[[#This Row],[Aplicación]],6,2)</f>
        <v>02</v>
      </c>
      <c r="T1373" s="35" t="str">
        <f>VLOOKUP(Tabla1[[#This Row],[AREA]],Hoja1!A:B,2,FALSE)</f>
        <v>02. Planeamiento urbanístico y vivienda</v>
      </c>
      <c r="U1373" s="35" t="str">
        <f>MID(Tabla1[[#This Row],[Aplicación]],9,4)</f>
        <v>1511</v>
      </c>
      <c r="V1373" s="35" t="str">
        <f>VLOOKUP(Tabla1[[#This Row],[PROGRAMA]],Hoja1!A:B,2,FALSE)</f>
        <v>1511. Planficación y gestión del urbanismo</v>
      </c>
      <c r="W1373" s="35" t="str">
        <f>MID(Tabla1[[#This Row],[Aplicación]],14,2)</f>
        <v>60</v>
      </c>
      <c r="X1373" s="35" t="str">
        <f>MID(Tabla1[[#This Row],[Aplicación]],14,6)</f>
        <v>609</v>
      </c>
    </row>
    <row r="1374" spans="1:24" x14ac:dyDescent="0.25">
      <c r="A1374" s="45">
        <v>220200016733</v>
      </c>
      <c r="B1374" s="46" t="s">
        <v>9</v>
      </c>
      <c r="C1374" s="47">
        <v>44284</v>
      </c>
      <c r="D1374" s="45">
        <v>22020002100</v>
      </c>
      <c r="E1374" s="46" t="s">
        <v>2590</v>
      </c>
      <c r="F1374" s="48">
        <v>10410.219999999999</v>
      </c>
      <c r="G1374" s="46" t="s">
        <v>121</v>
      </c>
      <c r="H1374" s="46" t="s">
        <v>2593</v>
      </c>
      <c r="I1374" s="45" t="s">
        <v>125</v>
      </c>
      <c r="J1374" s="46" t="s">
        <v>664</v>
      </c>
      <c r="K1374" s="46" t="s">
        <v>127</v>
      </c>
      <c r="L1374" s="46" t="s">
        <v>12</v>
      </c>
      <c r="M1374" s="46" t="s">
        <v>13</v>
      </c>
      <c r="N1374" s="46" t="s">
        <v>14</v>
      </c>
      <c r="O1374" s="49" t="s">
        <v>803</v>
      </c>
      <c r="P1374" s="46" t="s">
        <v>507</v>
      </c>
      <c r="Q1374" s="35" t="str">
        <f>MID(Tabla1[[#This Row],[Aplicación]],14,1)</f>
        <v>6</v>
      </c>
      <c r="R1374" s="35" t="s">
        <v>496</v>
      </c>
      <c r="S1374" s="35" t="str">
        <f>MID(Tabla1[[#This Row],[Aplicación]],6,2)</f>
        <v>02</v>
      </c>
      <c r="T1374" s="35" t="str">
        <f>VLOOKUP(Tabla1[[#This Row],[AREA]],Hoja1!A:B,2,FALSE)</f>
        <v>02. Planeamiento urbanístico y vivienda</v>
      </c>
      <c r="U1374" s="35" t="str">
        <f>MID(Tabla1[[#This Row],[Aplicación]],9,4)</f>
        <v>1511</v>
      </c>
      <c r="V1374" s="35" t="str">
        <f>VLOOKUP(Tabla1[[#This Row],[PROGRAMA]],Hoja1!A:B,2,FALSE)</f>
        <v>1511. Planficación y gestión del urbanismo</v>
      </c>
      <c r="W1374" s="35" t="str">
        <f>MID(Tabla1[[#This Row],[Aplicación]],14,2)</f>
        <v>60</v>
      </c>
      <c r="X1374" s="35" t="str">
        <f>MID(Tabla1[[#This Row],[Aplicación]],14,6)</f>
        <v>609</v>
      </c>
    </row>
    <row r="1375" spans="1:24" x14ac:dyDescent="0.25">
      <c r="A1375" s="45">
        <v>220200016734</v>
      </c>
      <c r="B1375" s="46" t="s">
        <v>9</v>
      </c>
      <c r="C1375" s="47">
        <v>44284</v>
      </c>
      <c r="D1375" s="45">
        <v>22020002100</v>
      </c>
      <c r="E1375" s="46" t="s">
        <v>2590</v>
      </c>
      <c r="F1375" s="48">
        <v>1452.21</v>
      </c>
      <c r="G1375" s="46" t="s">
        <v>120</v>
      </c>
      <c r="H1375" s="46" t="s">
        <v>2594</v>
      </c>
      <c r="I1375" s="45" t="s">
        <v>125</v>
      </c>
      <c r="J1375" s="46" t="s">
        <v>126</v>
      </c>
      <c r="K1375" s="46" t="s">
        <v>126</v>
      </c>
      <c r="L1375" s="46" t="s">
        <v>12</v>
      </c>
      <c r="M1375" s="46" t="s">
        <v>13</v>
      </c>
      <c r="N1375" s="46" t="s">
        <v>14</v>
      </c>
      <c r="O1375" s="49" t="s">
        <v>803</v>
      </c>
      <c r="P1375" s="46" t="s">
        <v>507</v>
      </c>
      <c r="Q1375" s="35" t="str">
        <f>MID(Tabla1[[#This Row],[Aplicación]],14,1)</f>
        <v>6</v>
      </c>
      <c r="R1375" s="35" t="s">
        <v>496</v>
      </c>
      <c r="S1375" s="35" t="str">
        <f>MID(Tabla1[[#This Row],[Aplicación]],6,2)</f>
        <v>02</v>
      </c>
      <c r="T1375" s="35" t="str">
        <f>VLOOKUP(Tabla1[[#This Row],[AREA]],Hoja1!A:B,2,FALSE)</f>
        <v>02. Planeamiento urbanístico y vivienda</v>
      </c>
      <c r="U1375" s="35" t="str">
        <f>MID(Tabla1[[#This Row],[Aplicación]],9,4)</f>
        <v>1511</v>
      </c>
      <c r="V1375" s="35" t="str">
        <f>VLOOKUP(Tabla1[[#This Row],[PROGRAMA]],Hoja1!A:B,2,FALSE)</f>
        <v>1511. Planficación y gestión del urbanismo</v>
      </c>
      <c r="W1375" s="35" t="str">
        <f>MID(Tabla1[[#This Row],[Aplicación]],14,2)</f>
        <v>60</v>
      </c>
      <c r="X1375" s="35" t="str">
        <f>MID(Tabla1[[#This Row],[Aplicación]],14,6)</f>
        <v>609</v>
      </c>
    </row>
    <row r="1376" spans="1:24" x14ac:dyDescent="0.25">
      <c r="A1376" s="45">
        <v>220200016735</v>
      </c>
      <c r="B1376" s="46" t="s">
        <v>9</v>
      </c>
      <c r="C1376" s="47">
        <v>44284</v>
      </c>
      <c r="D1376" s="45">
        <v>22020002100</v>
      </c>
      <c r="E1376" s="46" t="s">
        <v>2590</v>
      </c>
      <c r="F1376" s="48">
        <v>362459.98</v>
      </c>
      <c r="G1376" s="46" t="s">
        <v>557</v>
      </c>
      <c r="H1376" s="46" t="s">
        <v>2595</v>
      </c>
      <c r="I1376" s="45" t="s">
        <v>125</v>
      </c>
      <c r="J1376" s="46" t="s">
        <v>634</v>
      </c>
      <c r="K1376" s="46" t="s">
        <v>127</v>
      </c>
      <c r="L1376" s="46" t="s">
        <v>31</v>
      </c>
      <c r="M1376" s="46" t="s">
        <v>13</v>
      </c>
      <c r="N1376" s="46" t="s">
        <v>14</v>
      </c>
      <c r="O1376" s="49" t="s">
        <v>803</v>
      </c>
      <c r="P1376" s="46" t="s">
        <v>507</v>
      </c>
      <c r="Q1376" s="35" t="str">
        <f>MID(Tabla1[[#This Row],[Aplicación]],14,1)</f>
        <v>6</v>
      </c>
      <c r="R1376" s="35" t="s">
        <v>496</v>
      </c>
      <c r="S1376" s="35" t="str">
        <f>MID(Tabla1[[#This Row],[Aplicación]],6,2)</f>
        <v>02</v>
      </c>
      <c r="T1376" s="35" t="str">
        <f>VLOOKUP(Tabla1[[#This Row],[AREA]],Hoja1!A:B,2,FALSE)</f>
        <v>02. Planeamiento urbanístico y vivienda</v>
      </c>
      <c r="U1376" s="35" t="str">
        <f>MID(Tabla1[[#This Row],[Aplicación]],9,4)</f>
        <v>1511</v>
      </c>
      <c r="V1376" s="35" t="str">
        <f>VLOOKUP(Tabla1[[#This Row],[PROGRAMA]],Hoja1!A:B,2,FALSE)</f>
        <v>1511. Planficación y gestión del urbanismo</v>
      </c>
      <c r="W1376" s="35" t="str">
        <f>MID(Tabla1[[#This Row],[Aplicación]],14,2)</f>
        <v>60</v>
      </c>
      <c r="X1376" s="35" t="str">
        <f>MID(Tabla1[[#This Row],[Aplicación]],14,6)</f>
        <v>609</v>
      </c>
    </row>
    <row r="1377" spans="1:24" x14ac:dyDescent="0.25">
      <c r="A1377" s="45">
        <v>220200016736</v>
      </c>
      <c r="B1377" s="46" t="s">
        <v>9</v>
      </c>
      <c r="C1377" s="47">
        <v>44284</v>
      </c>
      <c r="D1377" s="45">
        <v>22020002100</v>
      </c>
      <c r="E1377" s="46" t="s">
        <v>2590</v>
      </c>
      <c r="F1377" s="48">
        <v>6041.58</v>
      </c>
      <c r="G1377" s="46" t="s">
        <v>121</v>
      </c>
      <c r="H1377" s="46" t="s">
        <v>2596</v>
      </c>
      <c r="I1377" s="45" t="s">
        <v>125</v>
      </c>
      <c r="J1377" s="46" t="s">
        <v>664</v>
      </c>
      <c r="K1377" s="46" t="s">
        <v>127</v>
      </c>
      <c r="L1377" s="46" t="s">
        <v>12</v>
      </c>
      <c r="M1377" s="46" t="s">
        <v>13</v>
      </c>
      <c r="N1377" s="46" t="s">
        <v>14</v>
      </c>
      <c r="O1377" s="49" t="s">
        <v>803</v>
      </c>
      <c r="P1377" s="46" t="s">
        <v>507</v>
      </c>
      <c r="Q1377" s="35" t="str">
        <f>MID(Tabla1[[#This Row],[Aplicación]],14,1)</f>
        <v>6</v>
      </c>
      <c r="R1377" s="35" t="s">
        <v>496</v>
      </c>
      <c r="S1377" s="35" t="str">
        <f>MID(Tabla1[[#This Row],[Aplicación]],6,2)</f>
        <v>02</v>
      </c>
      <c r="T1377" s="35" t="str">
        <f>VLOOKUP(Tabla1[[#This Row],[AREA]],Hoja1!A:B,2,FALSE)</f>
        <v>02. Planeamiento urbanístico y vivienda</v>
      </c>
      <c r="U1377" s="35" t="str">
        <f>MID(Tabla1[[#This Row],[Aplicación]],9,4)</f>
        <v>1511</v>
      </c>
      <c r="V1377" s="35" t="str">
        <f>VLOOKUP(Tabla1[[#This Row],[PROGRAMA]],Hoja1!A:B,2,FALSE)</f>
        <v>1511. Planficación y gestión del urbanismo</v>
      </c>
      <c r="W1377" s="35" t="str">
        <f>MID(Tabla1[[#This Row],[Aplicación]],14,2)</f>
        <v>60</v>
      </c>
      <c r="X1377" s="35" t="str">
        <f>MID(Tabla1[[#This Row],[Aplicación]],14,6)</f>
        <v>609</v>
      </c>
    </row>
    <row r="1378" spans="1:24" x14ac:dyDescent="0.25">
      <c r="A1378" s="45">
        <v>220200016737</v>
      </c>
      <c r="B1378" s="46" t="s">
        <v>9</v>
      </c>
      <c r="C1378" s="47">
        <v>44284</v>
      </c>
      <c r="D1378" s="45">
        <v>22020002100</v>
      </c>
      <c r="E1378" s="46" t="s">
        <v>2590</v>
      </c>
      <c r="F1378" s="48">
        <v>1153.3800000000001</v>
      </c>
      <c r="G1378" s="46" t="s">
        <v>120</v>
      </c>
      <c r="H1378" s="46" t="s">
        <v>2597</v>
      </c>
      <c r="I1378" s="45" t="s">
        <v>125</v>
      </c>
      <c r="J1378" s="46" t="s">
        <v>126</v>
      </c>
      <c r="K1378" s="46" t="s">
        <v>126</v>
      </c>
      <c r="L1378" s="46" t="s">
        <v>12</v>
      </c>
      <c r="M1378" s="46" t="s">
        <v>13</v>
      </c>
      <c r="N1378" s="46" t="s">
        <v>14</v>
      </c>
      <c r="O1378" s="49" t="s">
        <v>803</v>
      </c>
      <c r="P1378" s="46" t="s">
        <v>507</v>
      </c>
      <c r="Q1378" s="35" t="str">
        <f>MID(Tabla1[[#This Row],[Aplicación]],14,1)</f>
        <v>6</v>
      </c>
      <c r="R1378" s="35" t="s">
        <v>496</v>
      </c>
      <c r="S1378" s="35" t="str">
        <f>MID(Tabla1[[#This Row],[Aplicación]],6,2)</f>
        <v>02</v>
      </c>
      <c r="T1378" s="35" t="str">
        <f>VLOOKUP(Tabla1[[#This Row],[AREA]],Hoja1!A:B,2,FALSE)</f>
        <v>02. Planeamiento urbanístico y vivienda</v>
      </c>
      <c r="U1378" s="35" t="str">
        <f>MID(Tabla1[[#This Row],[Aplicación]],9,4)</f>
        <v>1511</v>
      </c>
      <c r="V1378" s="35" t="str">
        <f>VLOOKUP(Tabla1[[#This Row],[PROGRAMA]],Hoja1!A:B,2,FALSE)</f>
        <v>1511. Planficación y gestión del urbanismo</v>
      </c>
      <c r="W1378" s="35" t="str">
        <f>MID(Tabla1[[#This Row],[Aplicación]],14,2)</f>
        <v>60</v>
      </c>
      <c r="X1378" s="35" t="str">
        <f>MID(Tabla1[[#This Row],[Aplicación]],14,6)</f>
        <v>609</v>
      </c>
    </row>
    <row r="1379" spans="1:24" x14ac:dyDescent="0.25">
      <c r="A1379" s="45">
        <v>220210008644</v>
      </c>
      <c r="B1379" s="46" t="s">
        <v>32</v>
      </c>
      <c r="C1379" s="47">
        <v>44266</v>
      </c>
      <c r="D1379" s="45">
        <v>22021003289</v>
      </c>
      <c r="E1379" s="46" t="s">
        <v>1683</v>
      </c>
      <c r="F1379" s="48">
        <v>1466.64</v>
      </c>
      <c r="G1379" s="46" t="s">
        <v>2598</v>
      </c>
      <c r="H1379" s="46" t="s">
        <v>2599</v>
      </c>
      <c r="I1379" s="45" t="s">
        <v>234</v>
      </c>
      <c r="J1379" s="46" t="s">
        <v>2600</v>
      </c>
      <c r="K1379" s="46" t="s">
        <v>180</v>
      </c>
      <c r="L1379" s="46" t="s">
        <v>15</v>
      </c>
      <c r="M1379" s="46" t="s">
        <v>13</v>
      </c>
      <c r="N1379" s="46" t="s">
        <v>14</v>
      </c>
      <c r="O1379" s="49" t="s">
        <v>803</v>
      </c>
      <c r="P1379" s="46" t="s">
        <v>507</v>
      </c>
      <c r="Q1379" s="35" t="str">
        <f>MID(Tabla1[[#This Row],[Aplicación]],14,1)</f>
        <v>2</v>
      </c>
      <c r="R1379" s="35" t="s">
        <v>495</v>
      </c>
      <c r="S1379" s="35" t="str">
        <f>MID(Tabla1[[#This Row],[Aplicación]],6,2)</f>
        <v>11</v>
      </c>
      <c r="T1379" s="35" t="str">
        <f>VLOOKUP(Tabla1[[#This Row],[AREA]],Hoja1!A:B,2,FALSE)</f>
        <v>11. Salud pública y seguridad ciudadana</v>
      </c>
      <c r="U1379" s="35" t="str">
        <f>MID(Tabla1[[#This Row],[Aplicación]],9,4)</f>
        <v>1361</v>
      </c>
      <c r="V1379" s="35" t="str">
        <f>VLOOKUP(Tabla1[[#This Row],[PROGRAMA]],Hoja1!A:B,2,FALSE)</f>
        <v>1361. Prevención y extinción de incencios</v>
      </c>
      <c r="W1379" s="35" t="str">
        <f>MID(Tabla1[[#This Row],[Aplicación]],14,2)</f>
        <v>22</v>
      </c>
      <c r="X1379" s="35" t="str">
        <f>MID(Tabla1[[#This Row],[Aplicación]],14,6)</f>
        <v>22103</v>
      </c>
    </row>
    <row r="1380" spans="1:24" x14ac:dyDescent="0.25">
      <c r="A1380" s="45">
        <v>220200024358</v>
      </c>
      <c r="B1380" s="46" t="s">
        <v>9</v>
      </c>
      <c r="C1380" s="47">
        <v>44284</v>
      </c>
      <c r="D1380" s="45">
        <v>22020002750</v>
      </c>
      <c r="E1380" s="46" t="s">
        <v>1487</v>
      </c>
      <c r="F1380" s="48">
        <v>981023.8</v>
      </c>
      <c r="G1380" s="46" t="s">
        <v>308</v>
      </c>
      <c r="H1380" s="46" t="s">
        <v>2601</v>
      </c>
      <c r="I1380" s="45" t="s">
        <v>125</v>
      </c>
      <c r="J1380" s="46" t="s">
        <v>127</v>
      </c>
      <c r="K1380" s="46" t="s">
        <v>127</v>
      </c>
      <c r="L1380" s="46" t="s">
        <v>31</v>
      </c>
      <c r="M1380" s="46" t="s">
        <v>13</v>
      </c>
      <c r="N1380" s="46" t="s">
        <v>14</v>
      </c>
      <c r="O1380" s="49" t="s">
        <v>803</v>
      </c>
      <c r="P1380" s="46" t="s">
        <v>507</v>
      </c>
      <c r="Q1380" s="35" t="str">
        <f>MID(Tabla1[[#This Row],[Aplicación]],14,1)</f>
        <v>6</v>
      </c>
      <c r="R1380" s="35" t="s">
        <v>496</v>
      </c>
      <c r="S1380" s="35" t="str">
        <f>MID(Tabla1[[#This Row],[Aplicación]],6,2)</f>
        <v>08</v>
      </c>
      <c r="T1380" s="35" t="str">
        <f>VLOOKUP(Tabla1[[#This Row],[AREA]],Hoja1!A:B,2,FALSE)</f>
        <v>08. Movilidad y espacio urbano</v>
      </c>
      <c r="U1380" s="35" t="str">
        <f>MID(Tabla1[[#This Row],[Aplicación]],9,4)</f>
        <v>1532</v>
      </c>
      <c r="V1380" s="35" t="str">
        <f>VLOOKUP(Tabla1[[#This Row],[PROGRAMA]],Hoja1!A:B,2,FALSE)</f>
        <v>1532. Pavimentación vias públicas y otros servicios urbanísticos</v>
      </c>
      <c r="W1380" s="35" t="str">
        <f>MID(Tabla1[[#This Row],[Aplicación]],14,2)</f>
        <v>61</v>
      </c>
      <c r="X1380" s="35" t="str">
        <f>MID(Tabla1[[#This Row],[Aplicación]],14,6)</f>
        <v>619</v>
      </c>
    </row>
    <row r="1381" spans="1:24" x14ac:dyDescent="0.25">
      <c r="A1381" s="45">
        <v>220200024359</v>
      </c>
      <c r="B1381" s="46" t="s">
        <v>9</v>
      </c>
      <c r="C1381" s="47">
        <v>44284</v>
      </c>
      <c r="D1381" s="45">
        <v>22020002751</v>
      </c>
      <c r="E1381" s="46" t="s">
        <v>1487</v>
      </c>
      <c r="F1381" s="48">
        <v>1904.28</v>
      </c>
      <c r="G1381" s="46" t="s">
        <v>121</v>
      </c>
      <c r="H1381" s="46" t="s">
        <v>2602</v>
      </c>
      <c r="I1381" s="45" t="s">
        <v>125</v>
      </c>
      <c r="J1381" s="46" t="s">
        <v>664</v>
      </c>
      <c r="K1381" s="46" t="s">
        <v>127</v>
      </c>
      <c r="L1381" s="46" t="s">
        <v>12</v>
      </c>
      <c r="M1381" s="46" t="s">
        <v>13</v>
      </c>
      <c r="N1381" s="46" t="s">
        <v>14</v>
      </c>
      <c r="O1381" s="49" t="s">
        <v>803</v>
      </c>
      <c r="P1381" s="46" t="s">
        <v>507</v>
      </c>
      <c r="Q1381" s="35" t="str">
        <f>MID(Tabla1[[#This Row],[Aplicación]],14,1)</f>
        <v>6</v>
      </c>
      <c r="R1381" s="35" t="s">
        <v>496</v>
      </c>
      <c r="S1381" s="35" t="str">
        <f>MID(Tabla1[[#This Row],[Aplicación]],6,2)</f>
        <v>08</v>
      </c>
      <c r="T1381" s="35" t="str">
        <f>VLOOKUP(Tabla1[[#This Row],[AREA]],Hoja1!A:B,2,FALSE)</f>
        <v>08. Movilidad y espacio urbano</v>
      </c>
      <c r="U1381" s="35" t="str">
        <f>MID(Tabla1[[#This Row],[Aplicación]],9,4)</f>
        <v>1532</v>
      </c>
      <c r="V1381" s="35" t="str">
        <f>VLOOKUP(Tabla1[[#This Row],[PROGRAMA]],Hoja1!A:B,2,FALSE)</f>
        <v>1532. Pavimentación vias públicas y otros servicios urbanísticos</v>
      </c>
      <c r="W1381" s="35" t="str">
        <f>MID(Tabla1[[#This Row],[Aplicación]],14,2)</f>
        <v>61</v>
      </c>
      <c r="X1381" s="35" t="str">
        <f>MID(Tabla1[[#This Row],[Aplicación]],14,6)</f>
        <v>619</v>
      </c>
    </row>
    <row r="1382" spans="1:24" x14ac:dyDescent="0.25">
      <c r="A1382" s="45">
        <v>220200024360</v>
      </c>
      <c r="B1382" s="46" t="s">
        <v>9</v>
      </c>
      <c r="C1382" s="47">
        <v>44284</v>
      </c>
      <c r="D1382" s="45">
        <v>22020002752</v>
      </c>
      <c r="E1382" s="46" t="s">
        <v>1487</v>
      </c>
      <c r="F1382" s="48">
        <v>441.04</v>
      </c>
      <c r="G1382" s="46" t="s">
        <v>120</v>
      </c>
      <c r="H1382" s="46" t="s">
        <v>2603</v>
      </c>
      <c r="I1382" s="45" t="s">
        <v>125</v>
      </c>
      <c r="J1382" s="46" t="s">
        <v>126</v>
      </c>
      <c r="K1382" s="46" t="s">
        <v>126</v>
      </c>
      <c r="L1382" s="46" t="s">
        <v>12</v>
      </c>
      <c r="M1382" s="46" t="s">
        <v>13</v>
      </c>
      <c r="N1382" s="46" t="s">
        <v>14</v>
      </c>
      <c r="O1382" s="49" t="s">
        <v>803</v>
      </c>
      <c r="P1382" s="46" t="s">
        <v>507</v>
      </c>
      <c r="Q1382" s="35" t="str">
        <f>MID(Tabla1[[#This Row],[Aplicación]],14,1)</f>
        <v>6</v>
      </c>
      <c r="R1382" s="35" t="s">
        <v>496</v>
      </c>
      <c r="S1382" s="35" t="str">
        <f>MID(Tabla1[[#This Row],[Aplicación]],6,2)</f>
        <v>08</v>
      </c>
      <c r="T1382" s="35" t="str">
        <f>VLOOKUP(Tabla1[[#This Row],[AREA]],Hoja1!A:B,2,FALSE)</f>
        <v>08. Movilidad y espacio urbano</v>
      </c>
      <c r="U1382" s="35" t="str">
        <f>MID(Tabla1[[#This Row],[Aplicación]],9,4)</f>
        <v>1532</v>
      </c>
      <c r="V1382" s="35" t="str">
        <f>VLOOKUP(Tabla1[[#This Row],[PROGRAMA]],Hoja1!A:B,2,FALSE)</f>
        <v>1532. Pavimentación vias públicas y otros servicios urbanísticos</v>
      </c>
      <c r="W1382" s="35" t="str">
        <f>MID(Tabla1[[#This Row],[Aplicación]],14,2)</f>
        <v>61</v>
      </c>
      <c r="X1382" s="35" t="str">
        <f>MID(Tabla1[[#This Row],[Aplicación]],14,6)</f>
        <v>619</v>
      </c>
    </row>
    <row r="1383" spans="1:24" x14ac:dyDescent="0.25">
      <c r="A1383" s="45">
        <v>220190058090</v>
      </c>
      <c r="B1383" s="46" t="s">
        <v>9</v>
      </c>
      <c r="C1383" s="47">
        <v>44284</v>
      </c>
      <c r="D1383" s="45">
        <v>22019009148</v>
      </c>
      <c r="E1383" s="46" t="s">
        <v>1531</v>
      </c>
      <c r="F1383" s="48">
        <v>23553.83</v>
      </c>
      <c r="G1383" s="46" t="s">
        <v>121</v>
      </c>
      <c r="H1383" s="46" t="s">
        <v>665</v>
      </c>
      <c r="I1383" s="45" t="s">
        <v>125</v>
      </c>
      <c r="J1383" s="46" t="s">
        <v>664</v>
      </c>
      <c r="K1383" s="46" t="s">
        <v>127</v>
      </c>
      <c r="L1383" s="46" t="s">
        <v>12</v>
      </c>
      <c r="M1383" s="46" t="s">
        <v>13</v>
      </c>
      <c r="N1383" s="46" t="s">
        <v>14</v>
      </c>
      <c r="O1383" s="49" t="s">
        <v>803</v>
      </c>
      <c r="P1383" s="46" t="s">
        <v>507</v>
      </c>
      <c r="Q1383" s="35" t="str">
        <f>MID(Tabla1[[#This Row],[Aplicación]],14,1)</f>
        <v>6</v>
      </c>
      <c r="R1383" s="35" t="s">
        <v>496</v>
      </c>
      <c r="S1383" s="35" t="str">
        <f>MID(Tabla1[[#This Row],[Aplicación]],6,2)</f>
        <v>11</v>
      </c>
      <c r="T1383" s="35" t="str">
        <f>VLOOKUP(Tabla1[[#This Row],[AREA]],Hoja1!A:B,2,FALSE)</f>
        <v>11. Salud pública y seguridad ciudadana</v>
      </c>
      <c r="U1383" s="35" t="str">
        <f>MID(Tabla1[[#This Row],[Aplicación]],9,4)</f>
        <v>1621</v>
      </c>
      <c r="V1383" s="35" t="str">
        <f>VLOOKUP(Tabla1[[#This Row],[PROGRAMA]],Hoja1!A:B,2,FALSE)</f>
        <v>1621. Servicio de limpieza</v>
      </c>
      <c r="W1383" s="35" t="str">
        <f>MID(Tabla1[[#This Row],[Aplicación]],14,2)</f>
        <v>62</v>
      </c>
      <c r="X1383" s="35" t="str">
        <f>MID(Tabla1[[#This Row],[Aplicación]],14,6)</f>
        <v>622</v>
      </c>
    </row>
    <row r="1384" spans="1:24" x14ac:dyDescent="0.25">
      <c r="A1384" s="45">
        <v>220200027566</v>
      </c>
      <c r="B1384" s="46" t="s">
        <v>9</v>
      </c>
      <c r="C1384" s="47">
        <v>44284</v>
      </c>
      <c r="D1384" s="45">
        <v>22019005585</v>
      </c>
      <c r="E1384" s="46" t="s">
        <v>1270</v>
      </c>
      <c r="F1384" s="48">
        <v>213686</v>
      </c>
      <c r="G1384" s="46" t="s">
        <v>114</v>
      </c>
      <c r="H1384" s="46" t="s">
        <v>2604</v>
      </c>
      <c r="I1384" s="45" t="s">
        <v>125</v>
      </c>
      <c r="J1384" s="46" t="s">
        <v>649</v>
      </c>
      <c r="K1384" s="46" t="s">
        <v>219</v>
      </c>
      <c r="L1384" s="46" t="s">
        <v>15</v>
      </c>
      <c r="M1384" s="46" t="s">
        <v>13</v>
      </c>
      <c r="N1384" s="46" t="s">
        <v>14</v>
      </c>
      <c r="O1384" s="49" t="s">
        <v>803</v>
      </c>
      <c r="P1384" s="46" t="s">
        <v>507</v>
      </c>
      <c r="Q1384" s="35" t="str">
        <f>MID(Tabla1[[#This Row],[Aplicación]],14,1)</f>
        <v>6</v>
      </c>
      <c r="R1384" s="35" t="s">
        <v>496</v>
      </c>
      <c r="S1384" s="35" t="str">
        <f>MID(Tabla1[[#This Row],[Aplicación]],6,2)</f>
        <v>11</v>
      </c>
      <c r="T1384" s="35" t="str">
        <f>VLOOKUP(Tabla1[[#This Row],[AREA]],Hoja1!A:B,2,FALSE)</f>
        <v>11. Salud pública y seguridad ciudadana</v>
      </c>
      <c r="U1384" s="35" t="str">
        <f>MID(Tabla1[[#This Row],[Aplicación]],9,4)</f>
        <v>1621</v>
      </c>
      <c r="V1384" s="35" t="str">
        <f>VLOOKUP(Tabla1[[#This Row],[PROGRAMA]],Hoja1!A:B,2,FALSE)</f>
        <v>1621. Servicio de limpieza</v>
      </c>
      <c r="W1384" s="35" t="str">
        <f>MID(Tabla1[[#This Row],[Aplicación]],14,2)</f>
        <v>63</v>
      </c>
      <c r="X1384" s="35" t="str">
        <f>MID(Tabla1[[#This Row],[Aplicación]],14,6)</f>
        <v>634</v>
      </c>
    </row>
    <row r="1385" spans="1:24" x14ac:dyDescent="0.25">
      <c r="A1385" s="45">
        <v>220199000709</v>
      </c>
      <c r="B1385" s="46" t="s">
        <v>9</v>
      </c>
      <c r="C1385" s="47">
        <v>44284</v>
      </c>
      <c r="D1385" s="45">
        <v>22020000094</v>
      </c>
      <c r="E1385" s="46" t="s">
        <v>1542</v>
      </c>
      <c r="F1385" s="48">
        <v>56.77</v>
      </c>
      <c r="G1385" s="46" t="s">
        <v>121</v>
      </c>
      <c r="H1385" s="46" t="s">
        <v>693</v>
      </c>
      <c r="I1385" s="45" t="s">
        <v>125</v>
      </c>
      <c r="J1385" s="46" t="s">
        <v>664</v>
      </c>
      <c r="K1385" s="46" t="s">
        <v>127</v>
      </c>
      <c r="L1385" s="46" t="s">
        <v>31</v>
      </c>
      <c r="M1385" s="46" t="s">
        <v>13</v>
      </c>
      <c r="N1385" s="46" t="s">
        <v>14</v>
      </c>
      <c r="O1385" s="49" t="s">
        <v>803</v>
      </c>
      <c r="P1385" s="46" t="s">
        <v>507</v>
      </c>
      <c r="Q1385" s="35" t="str">
        <f>MID(Tabla1[[#This Row],[Aplicación]],14,1)</f>
        <v>6</v>
      </c>
      <c r="R1385" s="35" t="s">
        <v>496</v>
      </c>
      <c r="S1385" s="35" t="str">
        <f>MID(Tabla1[[#This Row],[Aplicación]],6,2)</f>
        <v>05</v>
      </c>
      <c r="T1385" s="35" t="str">
        <f>VLOOKUP(Tabla1[[#This Row],[AREA]],Hoja1!A:B,2,FALSE)</f>
        <v>05. Innovación, desarrollo económico, empleo y comercio</v>
      </c>
      <c r="U1385" s="35" t="str">
        <f>MID(Tabla1[[#This Row],[Aplicación]],9,4)</f>
        <v>4331</v>
      </c>
      <c r="V1385" s="35" t="str">
        <f>VLOOKUP(Tabla1[[#This Row],[PROGRAMA]],Hoja1!A:B,2,FALSE)</f>
        <v>4331. Desarrollo empresarial</v>
      </c>
      <c r="W1385" s="35" t="str">
        <f>MID(Tabla1[[#This Row],[Aplicación]],14,2)</f>
        <v>60</v>
      </c>
      <c r="X1385" s="35" t="str">
        <f>MID(Tabla1[[#This Row],[Aplicación]],14,6)</f>
        <v>609</v>
      </c>
    </row>
    <row r="1386" spans="1:24" x14ac:dyDescent="0.25">
      <c r="A1386" s="45">
        <v>220200024943</v>
      </c>
      <c r="B1386" s="46" t="s">
        <v>9</v>
      </c>
      <c r="C1386" s="47">
        <v>44284</v>
      </c>
      <c r="D1386" s="45">
        <v>22020003683</v>
      </c>
      <c r="E1386" s="46" t="s">
        <v>1371</v>
      </c>
      <c r="F1386" s="48">
        <v>2535.6999999999998</v>
      </c>
      <c r="G1386" s="46" t="s">
        <v>121</v>
      </c>
      <c r="H1386" s="46" t="s">
        <v>2605</v>
      </c>
      <c r="I1386" s="45" t="s">
        <v>125</v>
      </c>
      <c r="J1386" s="46" t="s">
        <v>664</v>
      </c>
      <c r="K1386" s="46" t="s">
        <v>127</v>
      </c>
      <c r="L1386" s="46" t="s">
        <v>12</v>
      </c>
      <c r="M1386" s="46" t="s">
        <v>13</v>
      </c>
      <c r="N1386" s="46" t="s">
        <v>14</v>
      </c>
      <c r="O1386" s="49" t="s">
        <v>803</v>
      </c>
      <c r="P1386" s="46" t="s">
        <v>507</v>
      </c>
      <c r="Q1386" s="35" t="str">
        <f>MID(Tabla1[[#This Row],[Aplicación]],14,1)</f>
        <v>6</v>
      </c>
      <c r="R1386" s="35" t="s">
        <v>496</v>
      </c>
      <c r="S1386" s="35" t="str">
        <f>MID(Tabla1[[#This Row],[Aplicación]],6,2)</f>
        <v>10</v>
      </c>
      <c r="T1386" s="35" t="str">
        <f>VLOOKUP(Tabla1[[#This Row],[AREA]],Hoja1!A:B,2,FALSE)</f>
        <v>10. Servicios sociales y mediación comunitaria</v>
      </c>
      <c r="U1386" s="35" t="str">
        <f>MID(Tabla1[[#This Row],[Aplicación]],9,4)</f>
        <v>2312</v>
      </c>
      <c r="V1386" s="35" t="str">
        <f>VLOOKUP(Tabla1[[#This Row],[PROGRAMA]],Hoja1!A:B,2,FALSE)</f>
        <v>2312. Iniciativas sociales</v>
      </c>
      <c r="W1386" s="35" t="str">
        <f>MID(Tabla1[[#This Row],[Aplicación]],14,2)</f>
        <v>62</v>
      </c>
      <c r="X1386" s="35" t="str">
        <f>MID(Tabla1[[#This Row],[Aplicación]],14,6)</f>
        <v>622</v>
      </c>
    </row>
    <row r="1387" spans="1:24" x14ac:dyDescent="0.25">
      <c r="A1387" s="45">
        <v>220200028146</v>
      </c>
      <c r="B1387" s="46" t="s">
        <v>9</v>
      </c>
      <c r="C1387" s="47">
        <v>44284</v>
      </c>
      <c r="D1387" s="45">
        <v>22020003863</v>
      </c>
      <c r="E1387" s="46" t="s">
        <v>1483</v>
      </c>
      <c r="F1387" s="48">
        <v>88.35</v>
      </c>
      <c r="G1387" s="46" t="s">
        <v>121</v>
      </c>
      <c r="H1387" s="46" t="s">
        <v>2606</v>
      </c>
      <c r="I1387" s="45" t="s">
        <v>125</v>
      </c>
      <c r="J1387" s="46" t="s">
        <v>664</v>
      </c>
      <c r="K1387" s="46" t="s">
        <v>127</v>
      </c>
      <c r="L1387" s="46" t="s">
        <v>12</v>
      </c>
      <c r="M1387" s="46" t="s">
        <v>13</v>
      </c>
      <c r="N1387" s="46" t="s">
        <v>14</v>
      </c>
      <c r="O1387" s="49" t="s">
        <v>803</v>
      </c>
      <c r="P1387" s="46" t="s">
        <v>507</v>
      </c>
      <c r="Q1387" s="35" t="str">
        <f>MID(Tabla1[[#This Row],[Aplicación]],14,1)</f>
        <v>6</v>
      </c>
      <c r="R1387" s="35" t="s">
        <v>496</v>
      </c>
      <c r="S1387" s="35" t="str">
        <f>MID(Tabla1[[#This Row],[Aplicación]],6,2)</f>
        <v>03</v>
      </c>
      <c r="T1387" s="35" t="str">
        <f>VLOOKUP(Tabla1[[#This Row],[AREA]],Hoja1!A:B,2,FALSE)</f>
        <v>03. Participación ciudadana y deportes</v>
      </c>
      <c r="U1387" s="35" t="str">
        <f>MID(Tabla1[[#This Row],[Aplicación]],9,4)</f>
        <v>9241</v>
      </c>
      <c r="V1387" s="35" t="str">
        <f>VLOOKUP(Tabla1[[#This Row],[PROGRAMA]],Hoja1!A:B,2,FALSE)</f>
        <v>9241. Participación ciudadana</v>
      </c>
      <c r="W1387" s="35" t="str">
        <f>MID(Tabla1[[#This Row],[Aplicación]],14,2)</f>
        <v>63</v>
      </c>
      <c r="X1387" s="35" t="str">
        <f>MID(Tabla1[[#This Row],[Aplicación]],14,6)</f>
        <v>632</v>
      </c>
    </row>
    <row r="1388" spans="1:24" x14ac:dyDescent="0.25">
      <c r="A1388" s="45">
        <v>220210010646</v>
      </c>
      <c r="B1388" s="46" t="s">
        <v>9</v>
      </c>
      <c r="C1388" s="47">
        <v>44278</v>
      </c>
      <c r="D1388" s="45">
        <v>22021003465</v>
      </c>
      <c r="E1388" s="46" t="s">
        <v>869</v>
      </c>
      <c r="F1388" s="48">
        <v>1470.49</v>
      </c>
      <c r="G1388" s="46" t="s">
        <v>2607</v>
      </c>
      <c r="H1388" s="46" t="s">
        <v>2608</v>
      </c>
      <c r="I1388" s="45" t="s">
        <v>125</v>
      </c>
      <c r="J1388" s="46" t="s">
        <v>126</v>
      </c>
      <c r="K1388" s="46" t="s">
        <v>126</v>
      </c>
      <c r="L1388" s="46" t="s">
        <v>12</v>
      </c>
      <c r="M1388" s="46" t="s">
        <v>10</v>
      </c>
      <c r="N1388" s="46" t="s">
        <v>11</v>
      </c>
      <c r="O1388" s="49" t="s">
        <v>815</v>
      </c>
      <c r="P1388" s="46" t="s">
        <v>507</v>
      </c>
      <c r="Q1388" s="35" t="str">
        <f>MID(Tabla1[[#This Row],[Aplicación]],14,1)</f>
        <v>2</v>
      </c>
      <c r="R1388" s="35" t="s">
        <v>495</v>
      </c>
      <c r="S1388" s="35" t="str">
        <f>MID(Tabla1[[#This Row],[Aplicación]],6,2)</f>
        <v>07</v>
      </c>
      <c r="T1388" s="35" t="str">
        <f>VLOOKUP(Tabla1[[#This Row],[AREA]],Hoja1!A:B,2,FALSE)</f>
        <v>07. Medio ambiente y desarrollo sostenible</v>
      </c>
      <c r="U1388" s="35" t="str">
        <f>MID(Tabla1[[#This Row],[Aplicación]],9,4)</f>
        <v>1721</v>
      </c>
      <c r="V1388" s="35" t="str">
        <f>VLOOKUP(Tabla1[[#This Row],[PROGRAMA]],Hoja1!A:B,2,FALSE)</f>
        <v>1721. Protección del medio ambiente</v>
      </c>
      <c r="W1388" s="35" t="str">
        <f>MID(Tabla1[[#This Row],[Aplicación]],14,2)</f>
        <v>21</v>
      </c>
      <c r="X1388" s="35" t="str">
        <f>MID(Tabla1[[#This Row],[Aplicación]],14,6)</f>
        <v>213</v>
      </c>
    </row>
    <row r="1389" spans="1:24" x14ac:dyDescent="0.25">
      <c r="A1389" s="45">
        <v>220210009594</v>
      </c>
      <c r="B1389" s="46" t="s">
        <v>9</v>
      </c>
      <c r="C1389" s="47">
        <v>44271</v>
      </c>
      <c r="D1389" s="45">
        <v>22021003439</v>
      </c>
      <c r="E1389" s="46" t="s">
        <v>2609</v>
      </c>
      <c r="F1389" s="48">
        <v>1475.78</v>
      </c>
      <c r="G1389" s="46" t="s">
        <v>2584</v>
      </c>
      <c r="H1389" s="46" t="s">
        <v>2610</v>
      </c>
      <c r="I1389" s="45" t="s">
        <v>125</v>
      </c>
      <c r="J1389" s="46" t="s">
        <v>127</v>
      </c>
      <c r="K1389" s="46" t="s">
        <v>127</v>
      </c>
      <c r="L1389" s="46" t="s">
        <v>12</v>
      </c>
      <c r="M1389" s="46" t="s">
        <v>10</v>
      </c>
      <c r="N1389" s="46" t="s">
        <v>11</v>
      </c>
      <c r="O1389" s="49" t="s">
        <v>815</v>
      </c>
      <c r="P1389" s="46" t="s">
        <v>507</v>
      </c>
      <c r="Q1389" s="35" t="str">
        <f>MID(Tabla1[[#This Row],[Aplicación]],14,1)</f>
        <v>2</v>
      </c>
      <c r="R1389" s="35" t="s">
        <v>495</v>
      </c>
      <c r="S1389" s="35" t="str">
        <f>MID(Tabla1[[#This Row],[Aplicación]],6,2)</f>
        <v>07</v>
      </c>
      <c r="T1389" s="35" t="str">
        <f>VLOOKUP(Tabla1[[#This Row],[AREA]],Hoja1!A:B,2,FALSE)</f>
        <v>07. Medio ambiente y desarrollo sostenible</v>
      </c>
      <c r="U1389" s="35" t="str">
        <f>MID(Tabla1[[#This Row],[Aplicación]],9,4)</f>
        <v>1701</v>
      </c>
      <c r="V1389" s="35" t="str">
        <f>VLOOKUP(Tabla1[[#This Row],[PROGRAMA]],Hoja1!A:B,2,FALSE)</f>
        <v>1701. Dirección del área de medio ambiente</v>
      </c>
      <c r="W1389" s="35" t="str">
        <f>MID(Tabla1[[#This Row],[Aplicación]],14,2)</f>
        <v>22</v>
      </c>
      <c r="X1389" s="35" t="str">
        <f>MID(Tabla1[[#This Row],[Aplicación]],14,6)</f>
        <v>224</v>
      </c>
    </row>
    <row r="1390" spans="1:24" x14ac:dyDescent="0.25">
      <c r="A1390" s="45">
        <v>220210008407</v>
      </c>
      <c r="B1390" s="46" t="s">
        <v>9</v>
      </c>
      <c r="C1390" s="47">
        <v>44266</v>
      </c>
      <c r="D1390" s="45">
        <v>22021003359</v>
      </c>
      <c r="E1390" s="46" t="s">
        <v>2611</v>
      </c>
      <c r="F1390" s="48">
        <v>36.630000000000003</v>
      </c>
      <c r="G1390" s="46" t="s">
        <v>120</v>
      </c>
      <c r="H1390" s="46" t="s">
        <v>2612</v>
      </c>
      <c r="I1390" s="45" t="s">
        <v>125</v>
      </c>
      <c r="J1390" s="46" t="s">
        <v>126</v>
      </c>
      <c r="K1390" s="46" t="s">
        <v>126</v>
      </c>
      <c r="L1390" s="46" t="s">
        <v>12</v>
      </c>
      <c r="M1390" s="46" t="s">
        <v>10</v>
      </c>
      <c r="N1390" s="46" t="s">
        <v>11</v>
      </c>
      <c r="O1390" s="49" t="s">
        <v>815</v>
      </c>
      <c r="P1390" s="46" t="s">
        <v>507</v>
      </c>
      <c r="Q1390" s="35" t="str">
        <f>MID(Tabla1[[#This Row],[Aplicación]],14,1)</f>
        <v>2</v>
      </c>
      <c r="R1390" s="35" t="s">
        <v>495</v>
      </c>
      <c r="S1390" s="35" t="str">
        <f>MID(Tabla1[[#This Row],[Aplicación]],6,2)</f>
        <v>11</v>
      </c>
      <c r="T1390" s="35" t="str">
        <f>VLOOKUP(Tabla1[[#This Row],[AREA]],Hoja1!A:B,2,FALSE)</f>
        <v>11. Salud pública y seguridad ciudadana</v>
      </c>
      <c r="U1390" s="35" t="str">
        <f>MID(Tabla1[[#This Row],[Aplicación]],9,4)</f>
        <v>1621</v>
      </c>
      <c r="V1390" s="35" t="str">
        <f>VLOOKUP(Tabla1[[#This Row],[PROGRAMA]],Hoja1!A:B,2,FALSE)</f>
        <v>1621. Servicio de limpieza</v>
      </c>
      <c r="W1390" s="35" t="str">
        <f>MID(Tabla1[[#This Row],[Aplicación]],14,2)</f>
        <v>22</v>
      </c>
      <c r="X1390" s="35" t="str">
        <f>MID(Tabla1[[#This Row],[Aplicación]],14,6)</f>
        <v>22706</v>
      </c>
    </row>
    <row r="1391" spans="1:24" x14ac:dyDescent="0.25">
      <c r="A1391" s="45">
        <v>220209000117</v>
      </c>
      <c r="B1391" s="46" t="s">
        <v>9</v>
      </c>
      <c r="C1391" s="47">
        <v>44198</v>
      </c>
      <c r="D1391" s="45">
        <v>22021000103</v>
      </c>
      <c r="E1391" s="46" t="s">
        <v>2613</v>
      </c>
      <c r="F1391" s="48">
        <v>1492.8</v>
      </c>
      <c r="G1391" s="46" t="s">
        <v>37</v>
      </c>
      <c r="H1391" s="46" t="s">
        <v>2614</v>
      </c>
      <c r="I1391" s="45" t="s">
        <v>125</v>
      </c>
      <c r="J1391" s="46" t="s">
        <v>126</v>
      </c>
      <c r="K1391" s="46" t="s">
        <v>126</v>
      </c>
      <c r="L1391" s="46" t="s">
        <v>12</v>
      </c>
      <c r="M1391" s="46" t="s">
        <v>13</v>
      </c>
      <c r="N1391" s="46" t="s">
        <v>14</v>
      </c>
      <c r="O1391" s="49" t="s">
        <v>803</v>
      </c>
      <c r="P1391" s="46" t="s">
        <v>507</v>
      </c>
      <c r="Q1391" s="35" t="str">
        <f>MID(Tabla1[[#This Row],[Aplicación]],14,1)</f>
        <v>2</v>
      </c>
      <c r="R1391" s="35" t="s">
        <v>495</v>
      </c>
      <c r="S1391" s="35" t="str">
        <f>MID(Tabla1[[#This Row],[Aplicación]],6,2)</f>
        <v>09</v>
      </c>
      <c r="T1391" s="35" t="str">
        <f>VLOOKUP(Tabla1[[#This Row],[AREA]],Hoja1!A:B,2,FALSE)</f>
        <v>09. Cultura y turismo</v>
      </c>
      <c r="U1391" s="35" t="str">
        <f>MID(Tabla1[[#This Row],[Aplicación]],9,4)</f>
        <v>3341</v>
      </c>
      <c r="V1391" s="35" t="str">
        <f>VLOOKUP(Tabla1[[#This Row],[PROGRAMA]],Hoja1!A:B,2,FALSE)</f>
        <v>3341. Coordinación de políticas culturales</v>
      </c>
      <c r="W1391" s="35" t="str">
        <f>MID(Tabla1[[#This Row],[Aplicación]],14,2)</f>
        <v>22</v>
      </c>
      <c r="X1391" s="35" t="str">
        <f>MID(Tabla1[[#This Row],[Aplicación]],14,6)</f>
        <v>22200</v>
      </c>
    </row>
    <row r="1392" spans="1:24" x14ac:dyDescent="0.25">
      <c r="A1392" s="45">
        <v>220200030849</v>
      </c>
      <c r="B1392" s="46" t="s">
        <v>9</v>
      </c>
      <c r="C1392" s="47">
        <v>44284</v>
      </c>
      <c r="D1392" s="45">
        <v>22019005585</v>
      </c>
      <c r="E1392" s="46" t="s">
        <v>1270</v>
      </c>
      <c r="F1392" s="48">
        <v>934202.28</v>
      </c>
      <c r="G1392" s="46" t="s">
        <v>112</v>
      </c>
      <c r="H1392" s="46" t="s">
        <v>2615</v>
      </c>
      <c r="I1392" s="45" t="s">
        <v>125</v>
      </c>
      <c r="J1392" s="46" t="s">
        <v>780</v>
      </c>
      <c r="K1392" s="46" t="s">
        <v>126</v>
      </c>
      <c r="L1392" s="46" t="s">
        <v>15</v>
      </c>
      <c r="M1392" s="46" t="s">
        <v>13</v>
      </c>
      <c r="N1392" s="46" t="s">
        <v>14</v>
      </c>
      <c r="O1392" s="49" t="s">
        <v>803</v>
      </c>
      <c r="P1392" s="46" t="s">
        <v>507</v>
      </c>
      <c r="Q1392" s="35" t="str">
        <f>MID(Tabla1[[#This Row],[Aplicación]],14,1)</f>
        <v>6</v>
      </c>
      <c r="R1392" s="35" t="s">
        <v>496</v>
      </c>
      <c r="S1392" s="35" t="str">
        <f>MID(Tabla1[[#This Row],[Aplicación]],6,2)</f>
        <v>11</v>
      </c>
      <c r="T1392" s="35" t="str">
        <f>VLOOKUP(Tabla1[[#This Row],[AREA]],Hoja1!A:B,2,FALSE)</f>
        <v>11. Salud pública y seguridad ciudadana</v>
      </c>
      <c r="U1392" s="35" t="str">
        <f>MID(Tabla1[[#This Row],[Aplicación]],9,4)</f>
        <v>1621</v>
      </c>
      <c r="V1392" s="35" t="str">
        <f>VLOOKUP(Tabla1[[#This Row],[PROGRAMA]],Hoja1!A:B,2,FALSE)</f>
        <v>1621. Servicio de limpieza</v>
      </c>
      <c r="W1392" s="35" t="str">
        <f>MID(Tabla1[[#This Row],[Aplicación]],14,2)</f>
        <v>63</v>
      </c>
      <c r="X1392" s="35" t="str">
        <f>MID(Tabla1[[#This Row],[Aplicación]],14,6)</f>
        <v>634</v>
      </c>
    </row>
    <row r="1393" spans="1:24" x14ac:dyDescent="0.25">
      <c r="A1393" s="45">
        <v>220210012683</v>
      </c>
      <c r="B1393" s="46" t="s">
        <v>9</v>
      </c>
      <c r="C1393" s="47">
        <v>44280</v>
      </c>
      <c r="D1393" s="45">
        <v>22021003451</v>
      </c>
      <c r="E1393" s="46" t="s">
        <v>1187</v>
      </c>
      <c r="F1393" s="48">
        <v>1495.56</v>
      </c>
      <c r="G1393" s="46" t="s">
        <v>2367</v>
      </c>
      <c r="H1393" s="46" t="s">
        <v>2616</v>
      </c>
      <c r="I1393" s="45" t="s">
        <v>125</v>
      </c>
      <c r="J1393" s="46" t="s">
        <v>127</v>
      </c>
      <c r="K1393" s="46" t="s">
        <v>127</v>
      </c>
      <c r="L1393" s="46" t="s">
        <v>12</v>
      </c>
      <c r="M1393" s="46" t="s">
        <v>10</v>
      </c>
      <c r="N1393" s="46" t="s">
        <v>11</v>
      </c>
      <c r="O1393" s="49" t="s">
        <v>815</v>
      </c>
      <c r="P1393" s="46" t="s">
        <v>507</v>
      </c>
      <c r="Q1393" s="35" t="str">
        <f>MID(Tabla1[[#This Row],[Aplicación]],14,1)</f>
        <v>2</v>
      </c>
      <c r="R1393" s="35" t="s">
        <v>495</v>
      </c>
      <c r="S1393" s="35" t="str">
        <f>MID(Tabla1[[#This Row],[Aplicación]],6,2)</f>
        <v>06</v>
      </c>
      <c r="T1393" s="35" t="str">
        <f>VLOOKUP(Tabla1[[#This Row],[AREA]],Hoja1!A:B,2,FALSE)</f>
        <v>06. Educación, infancia, juventud e igualdad</v>
      </c>
      <c r="U1393" s="35" t="str">
        <f>MID(Tabla1[[#This Row],[Aplicación]],9,4)</f>
        <v>2315</v>
      </c>
      <c r="V1393" s="35" t="str">
        <f>VLOOKUP(Tabla1[[#This Row],[PROGRAMA]],Hoja1!A:B,2,FALSE)</f>
        <v>2315. Políticas de Igualdad e infancia</v>
      </c>
      <c r="W1393" s="35" t="str">
        <f>MID(Tabla1[[#This Row],[Aplicación]],14,2)</f>
        <v>22</v>
      </c>
      <c r="X1393" s="35" t="str">
        <f>MID(Tabla1[[#This Row],[Aplicación]],14,6)</f>
        <v>22611</v>
      </c>
    </row>
    <row r="1394" spans="1:24" x14ac:dyDescent="0.25">
      <c r="A1394" s="45">
        <v>220210003995</v>
      </c>
      <c r="B1394" s="46" t="s">
        <v>9</v>
      </c>
      <c r="C1394" s="47">
        <v>44244</v>
      </c>
      <c r="D1394" s="45">
        <v>22021002568</v>
      </c>
      <c r="E1394" s="46" t="s">
        <v>1700</v>
      </c>
      <c r="F1394" s="48">
        <v>1500</v>
      </c>
      <c r="G1394" s="46" t="s">
        <v>2617</v>
      </c>
      <c r="H1394" s="46" t="s">
        <v>2618</v>
      </c>
      <c r="I1394" s="45" t="s">
        <v>125</v>
      </c>
      <c r="J1394" s="46" t="s">
        <v>2619</v>
      </c>
      <c r="K1394" s="46" t="s">
        <v>146</v>
      </c>
      <c r="L1394" s="46" t="s">
        <v>15</v>
      </c>
      <c r="M1394" s="46" t="s">
        <v>10</v>
      </c>
      <c r="N1394" s="46" t="s">
        <v>11</v>
      </c>
      <c r="O1394" s="49" t="s">
        <v>815</v>
      </c>
      <c r="P1394" s="46" t="s">
        <v>507</v>
      </c>
      <c r="Q1394" s="35" t="str">
        <f>MID(Tabla1[[#This Row],[Aplicación]],14,1)</f>
        <v>2</v>
      </c>
      <c r="R1394" s="35" t="s">
        <v>495</v>
      </c>
      <c r="S1394" s="35" t="str">
        <f>MID(Tabla1[[#This Row],[Aplicación]],6,2)</f>
        <v>07</v>
      </c>
      <c r="T1394" s="35" t="str">
        <f>VLOOKUP(Tabla1[[#This Row],[AREA]],Hoja1!A:B,2,FALSE)</f>
        <v>07. Medio ambiente y desarrollo sostenible</v>
      </c>
      <c r="U1394" s="35" t="str">
        <f>MID(Tabla1[[#This Row],[Aplicación]],9,4)</f>
        <v>1721</v>
      </c>
      <c r="V1394" s="35" t="str">
        <f>VLOOKUP(Tabla1[[#This Row],[PROGRAMA]],Hoja1!A:B,2,FALSE)</f>
        <v>1721. Protección del medio ambiente</v>
      </c>
      <c r="W1394" s="35" t="str">
        <f>MID(Tabla1[[#This Row],[Aplicación]],14,2)</f>
        <v>22</v>
      </c>
      <c r="X1394" s="35" t="str">
        <f>MID(Tabla1[[#This Row],[Aplicación]],14,6)</f>
        <v>22112</v>
      </c>
    </row>
    <row r="1395" spans="1:24" x14ac:dyDescent="0.25">
      <c r="A1395" s="45">
        <v>220210013222</v>
      </c>
      <c r="B1395" s="46" t="s">
        <v>9</v>
      </c>
      <c r="C1395" s="47">
        <v>44286</v>
      </c>
      <c r="D1395" s="45">
        <v>22021003694</v>
      </c>
      <c r="E1395" s="46" t="s">
        <v>2620</v>
      </c>
      <c r="F1395" s="48">
        <v>1500</v>
      </c>
      <c r="G1395" s="46" t="s">
        <v>525</v>
      </c>
      <c r="H1395" s="46" t="s">
        <v>2621</v>
      </c>
      <c r="I1395" s="45" t="s">
        <v>125</v>
      </c>
      <c r="J1395" s="46" t="s">
        <v>613</v>
      </c>
      <c r="K1395" s="46" t="s">
        <v>127</v>
      </c>
      <c r="L1395" s="46" t="s">
        <v>12</v>
      </c>
      <c r="M1395" s="46" t="s">
        <v>10</v>
      </c>
      <c r="N1395" s="46" t="s">
        <v>11</v>
      </c>
      <c r="O1395" s="49" t="s">
        <v>815</v>
      </c>
      <c r="P1395" s="46" t="s">
        <v>507</v>
      </c>
      <c r="Q1395" s="35" t="str">
        <f>MID(Tabla1[[#This Row],[Aplicación]],14,1)</f>
        <v>2</v>
      </c>
      <c r="R1395" s="35" t="s">
        <v>495</v>
      </c>
      <c r="S1395" s="35" t="str">
        <f>MID(Tabla1[[#This Row],[Aplicación]],6,2)</f>
        <v>11</v>
      </c>
      <c r="T1395" s="35" t="str">
        <f>VLOOKUP(Tabla1[[#This Row],[AREA]],Hoja1!A:B,2,FALSE)</f>
        <v>11. Salud pública y seguridad ciudadana</v>
      </c>
      <c r="U1395" s="35" t="str">
        <f>MID(Tabla1[[#This Row],[Aplicación]],9,4)</f>
        <v>1631</v>
      </c>
      <c r="V1395" s="35" t="str">
        <f>VLOOKUP(Tabla1[[#This Row],[PROGRAMA]],Hoja1!A:B,2,FALSE)</f>
        <v>1631. Limpieza viaria</v>
      </c>
      <c r="W1395" s="35" t="str">
        <f>MID(Tabla1[[#This Row],[Aplicación]],14,2)</f>
        <v>20</v>
      </c>
      <c r="X1395" s="35" t="str">
        <f>MID(Tabla1[[#This Row],[Aplicación]],14,6)</f>
        <v>204</v>
      </c>
    </row>
    <row r="1396" spans="1:24" x14ac:dyDescent="0.25">
      <c r="A1396" s="45">
        <v>220210003989</v>
      </c>
      <c r="B1396" s="46" t="s">
        <v>9</v>
      </c>
      <c r="C1396" s="47">
        <v>44244</v>
      </c>
      <c r="D1396" s="45">
        <v>22021002553</v>
      </c>
      <c r="E1396" s="46" t="s">
        <v>1967</v>
      </c>
      <c r="F1396" s="48">
        <v>1500</v>
      </c>
      <c r="G1396" s="46" t="s">
        <v>247</v>
      </c>
      <c r="H1396" s="46" t="s">
        <v>2622</v>
      </c>
      <c r="I1396" s="45" t="s">
        <v>125</v>
      </c>
      <c r="J1396" s="46" t="s">
        <v>127</v>
      </c>
      <c r="K1396" s="46" t="s">
        <v>127</v>
      </c>
      <c r="L1396" s="46" t="s">
        <v>12</v>
      </c>
      <c r="M1396" s="46" t="s">
        <v>10</v>
      </c>
      <c r="N1396" s="46" t="s">
        <v>11</v>
      </c>
      <c r="O1396" s="49" t="s">
        <v>815</v>
      </c>
      <c r="P1396" s="46" t="s">
        <v>507</v>
      </c>
      <c r="Q1396" s="35" t="str">
        <f>MID(Tabla1[[#This Row],[Aplicación]],14,1)</f>
        <v>2</v>
      </c>
      <c r="R1396" s="35" t="s">
        <v>495</v>
      </c>
      <c r="S1396" s="35" t="str">
        <f>MID(Tabla1[[#This Row],[Aplicación]],6,2)</f>
        <v>07</v>
      </c>
      <c r="T1396" s="35" t="str">
        <f>VLOOKUP(Tabla1[[#This Row],[AREA]],Hoja1!A:B,2,FALSE)</f>
        <v>07. Medio ambiente y desarrollo sostenible</v>
      </c>
      <c r="U1396" s="35" t="str">
        <f>MID(Tabla1[[#This Row],[Aplicación]],9,4)</f>
        <v>1721</v>
      </c>
      <c r="V1396" s="35" t="str">
        <f>VLOOKUP(Tabla1[[#This Row],[PROGRAMA]],Hoja1!A:B,2,FALSE)</f>
        <v>1721. Protección del medio ambiente</v>
      </c>
      <c r="W1396" s="35" t="str">
        <f>MID(Tabla1[[#This Row],[Aplicación]],14,2)</f>
        <v>22</v>
      </c>
      <c r="X1396" s="35" t="str">
        <f>MID(Tabla1[[#This Row],[Aplicación]],14,6)</f>
        <v>223</v>
      </c>
    </row>
    <row r="1397" spans="1:24" x14ac:dyDescent="0.25">
      <c r="A1397" s="45">
        <v>220200034850</v>
      </c>
      <c r="B1397" s="46" t="s">
        <v>9</v>
      </c>
      <c r="C1397" s="47">
        <v>44284</v>
      </c>
      <c r="D1397" s="45">
        <v>22019005889</v>
      </c>
      <c r="E1397" s="46" t="s">
        <v>2623</v>
      </c>
      <c r="F1397" s="48">
        <v>24896.959999999999</v>
      </c>
      <c r="G1397" s="46" t="s">
        <v>2624</v>
      </c>
      <c r="H1397" s="46" t="s">
        <v>2625</v>
      </c>
      <c r="I1397" s="45" t="s">
        <v>125</v>
      </c>
      <c r="J1397" s="46" t="s">
        <v>127</v>
      </c>
      <c r="K1397" s="46" t="s">
        <v>127</v>
      </c>
      <c r="L1397" s="46" t="s">
        <v>12</v>
      </c>
      <c r="M1397" s="46" t="s">
        <v>13</v>
      </c>
      <c r="N1397" s="46" t="s">
        <v>14</v>
      </c>
      <c r="O1397" s="49" t="s">
        <v>803</v>
      </c>
      <c r="P1397" s="46" t="s">
        <v>507</v>
      </c>
      <c r="Q1397" s="35" t="str">
        <f>MID(Tabla1[[#This Row],[Aplicación]],14,1)</f>
        <v>6</v>
      </c>
      <c r="R1397" s="35" t="s">
        <v>496</v>
      </c>
      <c r="S1397" s="35" t="str">
        <f>MID(Tabla1[[#This Row],[Aplicación]],6,2)</f>
        <v>08</v>
      </c>
      <c r="T1397" s="35" t="str">
        <f>VLOOKUP(Tabla1[[#This Row],[AREA]],Hoja1!A:B,2,FALSE)</f>
        <v>08. Movilidad y espacio urbano</v>
      </c>
      <c r="U1397" s="35" t="str">
        <f>MID(Tabla1[[#This Row],[Aplicación]],9,4)</f>
        <v>1532</v>
      </c>
      <c r="V1397" s="35" t="str">
        <f>VLOOKUP(Tabla1[[#This Row],[PROGRAMA]],Hoja1!A:B,2,FALSE)</f>
        <v>1532. Pavimentación vias públicas y otros servicios urbanísticos</v>
      </c>
      <c r="W1397" s="35" t="str">
        <f>MID(Tabla1[[#This Row],[Aplicación]],14,2)</f>
        <v>62</v>
      </c>
      <c r="X1397" s="35" t="str">
        <f>MID(Tabla1[[#This Row],[Aplicación]],14,6)</f>
        <v>622</v>
      </c>
    </row>
    <row r="1398" spans="1:24" x14ac:dyDescent="0.25">
      <c r="A1398" s="45">
        <v>220200034851</v>
      </c>
      <c r="B1398" s="46" t="s">
        <v>9</v>
      </c>
      <c r="C1398" s="47">
        <v>44284</v>
      </c>
      <c r="D1398" s="45">
        <v>22019005889</v>
      </c>
      <c r="E1398" s="46" t="s">
        <v>2623</v>
      </c>
      <c r="F1398" s="48">
        <v>13189</v>
      </c>
      <c r="G1398" s="46" t="s">
        <v>2624</v>
      </c>
      <c r="H1398" s="46" t="s">
        <v>2626</v>
      </c>
      <c r="I1398" s="45" t="s">
        <v>125</v>
      </c>
      <c r="J1398" s="46" t="s">
        <v>127</v>
      </c>
      <c r="K1398" s="46" t="s">
        <v>127</v>
      </c>
      <c r="L1398" s="46" t="s">
        <v>12</v>
      </c>
      <c r="M1398" s="46" t="s">
        <v>13</v>
      </c>
      <c r="N1398" s="46" t="s">
        <v>14</v>
      </c>
      <c r="O1398" s="49" t="s">
        <v>803</v>
      </c>
      <c r="P1398" s="46" t="s">
        <v>507</v>
      </c>
      <c r="Q1398" s="35" t="str">
        <f>MID(Tabla1[[#This Row],[Aplicación]],14,1)</f>
        <v>6</v>
      </c>
      <c r="R1398" s="35" t="s">
        <v>496</v>
      </c>
      <c r="S1398" s="35" t="str">
        <f>MID(Tabla1[[#This Row],[Aplicación]],6,2)</f>
        <v>08</v>
      </c>
      <c r="T1398" s="35" t="str">
        <f>VLOOKUP(Tabla1[[#This Row],[AREA]],Hoja1!A:B,2,FALSE)</f>
        <v>08. Movilidad y espacio urbano</v>
      </c>
      <c r="U1398" s="35" t="str">
        <f>MID(Tabla1[[#This Row],[Aplicación]],9,4)</f>
        <v>1532</v>
      </c>
      <c r="V1398" s="35" t="str">
        <f>VLOOKUP(Tabla1[[#This Row],[PROGRAMA]],Hoja1!A:B,2,FALSE)</f>
        <v>1532. Pavimentación vias públicas y otros servicios urbanísticos</v>
      </c>
      <c r="W1398" s="35" t="str">
        <f>MID(Tabla1[[#This Row],[Aplicación]],14,2)</f>
        <v>62</v>
      </c>
      <c r="X1398" s="35" t="str">
        <f>MID(Tabla1[[#This Row],[Aplicación]],14,6)</f>
        <v>622</v>
      </c>
    </row>
    <row r="1399" spans="1:24" x14ac:dyDescent="0.25">
      <c r="A1399" s="45">
        <v>220210000209</v>
      </c>
      <c r="B1399" s="46" t="s">
        <v>9</v>
      </c>
      <c r="C1399" s="47">
        <v>44216</v>
      </c>
      <c r="D1399" s="45">
        <v>22021000954</v>
      </c>
      <c r="E1399" s="46" t="s">
        <v>1267</v>
      </c>
      <c r="F1399" s="48">
        <v>2420</v>
      </c>
      <c r="G1399" s="46" t="s">
        <v>590</v>
      </c>
      <c r="H1399" s="46" t="s">
        <v>1437</v>
      </c>
      <c r="I1399" s="45" t="s">
        <v>125</v>
      </c>
      <c r="J1399" s="46" t="s">
        <v>127</v>
      </c>
      <c r="K1399" s="46" t="s">
        <v>127</v>
      </c>
      <c r="L1399" s="46" t="s">
        <v>12</v>
      </c>
      <c r="M1399" s="46" t="s">
        <v>13</v>
      </c>
      <c r="N1399" s="46" t="s">
        <v>14</v>
      </c>
      <c r="O1399" s="49" t="s">
        <v>814</v>
      </c>
      <c r="P1399" s="46" t="s">
        <v>507</v>
      </c>
      <c r="Q1399" s="35" t="str">
        <f>MID(Tabla1[[#This Row],[Aplicación]],14,1)</f>
        <v>2</v>
      </c>
      <c r="R1399" s="35" t="s">
        <v>495</v>
      </c>
      <c r="S1399" s="35" t="str">
        <f>MID(Tabla1[[#This Row],[Aplicación]],6,2)</f>
        <v>03</v>
      </c>
      <c r="T1399" s="35" t="str">
        <f>VLOOKUP(Tabla1[[#This Row],[AREA]],Hoja1!A:B,2,FALSE)</f>
        <v>03. Participación ciudadana y deportes</v>
      </c>
      <c r="U1399" s="35" t="str">
        <f>MID(Tabla1[[#This Row],[Aplicación]],9,4)</f>
        <v>9241</v>
      </c>
      <c r="V1399" s="35" t="str">
        <f>VLOOKUP(Tabla1[[#This Row],[PROGRAMA]],Hoja1!A:B,2,FALSE)</f>
        <v>9241. Participación ciudadana</v>
      </c>
      <c r="W1399" s="35" t="str">
        <f>MID(Tabla1[[#This Row],[Aplicación]],14,2)</f>
        <v>22</v>
      </c>
      <c r="X1399" s="35" t="str">
        <f>MID(Tabla1[[#This Row],[Aplicación]],14,6)</f>
        <v>22602</v>
      </c>
    </row>
    <row r="1400" spans="1:24" x14ac:dyDescent="0.25">
      <c r="A1400" s="45">
        <v>220210000539</v>
      </c>
      <c r="B1400" s="46" t="s">
        <v>9</v>
      </c>
      <c r="C1400" s="47">
        <v>44221</v>
      </c>
      <c r="D1400" s="45">
        <v>22021001185</v>
      </c>
      <c r="E1400" s="46" t="s">
        <v>1617</v>
      </c>
      <c r="F1400" s="48">
        <v>2000</v>
      </c>
      <c r="G1400" s="46" t="s">
        <v>590</v>
      </c>
      <c r="H1400" s="46" t="s">
        <v>2451</v>
      </c>
      <c r="I1400" s="45" t="s">
        <v>125</v>
      </c>
      <c r="J1400" s="46" t="s">
        <v>127</v>
      </c>
      <c r="K1400" s="46" t="s">
        <v>127</v>
      </c>
      <c r="L1400" s="46" t="s">
        <v>12</v>
      </c>
      <c r="M1400" s="46" t="s">
        <v>13</v>
      </c>
      <c r="N1400" s="46" t="s">
        <v>14</v>
      </c>
      <c r="O1400" s="49" t="s">
        <v>814</v>
      </c>
      <c r="P1400" s="46" t="s">
        <v>507</v>
      </c>
      <c r="Q1400" s="35" t="str">
        <f>MID(Tabla1[[#This Row],[Aplicación]],14,1)</f>
        <v>2</v>
      </c>
      <c r="R1400" s="35" t="s">
        <v>495</v>
      </c>
      <c r="S1400" s="35" t="str">
        <f>MID(Tabla1[[#This Row],[Aplicación]],6,2)</f>
        <v>05</v>
      </c>
      <c r="T1400" s="35" t="str">
        <f>VLOOKUP(Tabla1[[#This Row],[AREA]],Hoja1!A:B,2,FALSE)</f>
        <v>05. Innovación, desarrollo económico, empleo y comercio</v>
      </c>
      <c r="U1400" s="35" t="str">
        <f>MID(Tabla1[[#This Row],[Aplicación]],9,4)</f>
        <v>4331</v>
      </c>
      <c r="V1400" s="35" t="str">
        <f>VLOOKUP(Tabla1[[#This Row],[PROGRAMA]],Hoja1!A:B,2,FALSE)</f>
        <v>4331. Desarrollo empresarial</v>
      </c>
      <c r="W1400" s="35" t="str">
        <f>MID(Tabla1[[#This Row],[Aplicación]],14,2)</f>
        <v>22</v>
      </c>
      <c r="X1400" s="35" t="str">
        <f>MID(Tabla1[[#This Row],[Aplicación]],14,6)</f>
        <v>22602</v>
      </c>
    </row>
    <row r="1401" spans="1:24" x14ac:dyDescent="0.25">
      <c r="A1401" s="45">
        <v>220200028149</v>
      </c>
      <c r="B1401" s="46" t="s">
        <v>9</v>
      </c>
      <c r="C1401" s="47">
        <v>44284</v>
      </c>
      <c r="D1401" s="45">
        <v>22020003864</v>
      </c>
      <c r="E1401" s="46" t="s">
        <v>1483</v>
      </c>
      <c r="F1401" s="48">
        <v>695.57</v>
      </c>
      <c r="G1401" s="46" t="s">
        <v>121</v>
      </c>
      <c r="H1401" s="46" t="s">
        <v>2627</v>
      </c>
      <c r="I1401" s="45" t="s">
        <v>125</v>
      </c>
      <c r="J1401" s="46" t="s">
        <v>664</v>
      </c>
      <c r="K1401" s="46" t="s">
        <v>127</v>
      </c>
      <c r="L1401" s="46" t="s">
        <v>12</v>
      </c>
      <c r="M1401" s="46" t="s">
        <v>13</v>
      </c>
      <c r="N1401" s="46" t="s">
        <v>14</v>
      </c>
      <c r="O1401" s="49" t="s">
        <v>803</v>
      </c>
      <c r="P1401" s="46" t="s">
        <v>507</v>
      </c>
      <c r="Q1401" s="35" t="str">
        <f>MID(Tabla1[[#This Row],[Aplicación]],14,1)</f>
        <v>6</v>
      </c>
      <c r="R1401" s="35" t="s">
        <v>496</v>
      </c>
      <c r="S1401" s="35" t="str">
        <f>MID(Tabla1[[#This Row],[Aplicación]],6,2)</f>
        <v>03</v>
      </c>
      <c r="T1401" s="35" t="str">
        <f>VLOOKUP(Tabla1[[#This Row],[AREA]],Hoja1!A:B,2,FALSE)</f>
        <v>03. Participación ciudadana y deportes</v>
      </c>
      <c r="U1401" s="35" t="str">
        <f>MID(Tabla1[[#This Row],[Aplicación]],9,4)</f>
        <v>9241</v>
      </c>
      <c r="V1401" s="35" t="str">
        <f>VLOOKUP(Tabla1[[#This Row],[PROGRAMA]],Hoja1!A:B,2,FALSE)</f>
        <v>9241. Participación ciudadana</v>
      </c>
      <c r="W1401" s="35" t="str">
        <f>MID(Tabla1[[#This Row],[Aplicación]],14,2)</f>
        <v>63</v>
      </c>
      <c r="X1401" s="35" t="str">
        <f>MID(Tabla1[[#This Row],[Aplicación]],14,6)</f>
        <v>632</v>
      </c>
    </row>
    <row r="1402" spans="1:24" x14ac:dyDescent="0.25">
      <c r="A1402" s="45">
        <v>220190056377</v>
      </c>
      <c r="B1402" s="46" t="s">
        <v>9</v>
      </c>
      <c r="C1402" s="47">
        <v>44284</v>
      </c>
      <c r="D1402" s="45">
        <v>22019007499</v>
      </c>
      <c r="E1402" s="46" t="s">
        <v>1404</v>
      </c>
      <c r="F1402" s="48">
        <v>1123.26</v>
      </c>
      <c r="G1402" s="46" t="s">
        <v>120</v>
      </c>
      <c r="H1402" s="46" t="s">
        <v>716</v>
      </c>
      <c r="I1402" s="45" t="s">
        <v>125</v>
      </c>
      <c r="J1402" s="46" t="s">
        <v>126</v>
      </c>
      <c r="K1402" s="46" t="s">
        <v>126</v>
      </c>
      <c r="L1402" s="46" t="s">
        <v>12</v>
      </c>
      <c r="M1402" s="46" t="s">
        <v>13</v>
      </c>
      <c r="N1402" s="46" t="s">
        <v>14</v>
      </c>
      <c r="O1402" s="49" t="s">
        <v>803</v>
      </c>
      <c r="P1402" s="46" t="s">
        <v>507</v>
      </c>
      <c r="Q1402" s="35" t="str">
        <f>MID(Tabla1[[#This Row],[Aplicación]],14,1)</f>
        <v>6</v>
      </c>
      <c r="R1402" s="35" t="s">
        <v>496</v>
      </c>
      <c r="S1402" s="35" t="str">
        <f>MID(Tabla1[[#This Row],[Aplicación]],6,2)</f>
        <v>05</v>
      </c>
      <c r="T1402" s="35" t="str">
        <f>VLOOKUP(Tabla1[[#This Row],[AREA]],Hoja1!A:B,2,FALSE)</f>
        <v>05. Innovación, desarrollo económico, empleo y comercio</v>
      </c>
      <c r="U1402" s="35" t="str">
        <f>MID(Tabla1[[#This Row],[Aplicación]],9,4)</f>
        <v>9339</v>
      </c>
      <c r="V1402" s="35" t="str">
        <f>VLOOKUP(Tabla1[[#This Row],[PROGRAMA]],Hoja1!A:B,2,FALSE)</f>
        <v>9339. Patrimonio I.F.S. área 05</v>
      </c>
      <c r="W1402" s="35" t="str">
        <f>MID(Tabla1[[#This Row],[Aplicación]],14,2)</f>
        <v>63</v>
      </c>
      <c r="X1402" s="35" t="str">
        <f>MID(Tabla1[[#This Row],[Aplicación]],14,6)</f>
        <v>632</v>
      </c>
    </row>
    <row r="1403" spans="1:24" x14ac:dyDescent="0.25">
      <c r="A1403" s="45">
        <v>220200028156</v>
      </c>
      <c r="B1403" s="46" t="s">
        <v>9</v>
      </c>
      <c r="C1403" s="47">
        <v>44284</v>
      </c>
      <c r="D1403" s="45">
        <v>22020003867</v>
      </c>
      <c r="E1403" s="46" t="s">
        <v>1483</v>
      </c>
      <c r="F1403" s="48">
        <v>102.5</v>
      </c>
      <c r="G1403" s="46" t="s">
        <v>121</v>
      </c>
      <c r="H1403" s="46" t="s">
        <v>2628</v>
      </c>
      <c r="I1403" s="45" t="s">
        <v>125</v>
      </c>
      <c r="J1403" s="46" t="s">
        <v>664</v>
      </c>
      <c r="K1403" s="46" t="s">
        <v>127</v>
      </c>
      <c r="L1403" s="46" t="s">
        <v>12</v>
      </c>
      <c r="M1403" s="46" t="s">
        <v>13</v>
      </c>
      <c r="N1403" s="46" t="s">
        <v>14</v>
      </c>
      <c r="O1403" s="49" t="s">
        <v>803</v>
      </c>
      <c r="P1403" s="46" t="s">
        <v>507</v>
      </c>
      <c r="Q1403" s="35" t="str">
        <f>MID(Tabla1[[#This Row],[Aplicación]],14,1)</f>
        <v>6</v>
      </c>
      <c r="R1403" s="35" t="s">
        <v>496</v>
      </c>
      <c r="S1403" s="35" t="str">
        <f>MID(Tabla1[[#This Row],[Aplicación]],6,2)</f>
        <v>03</v>
      </c>
      <c r="T1403" s="35" t="str">
        <f>VLOOKUP(Tabla1[[#This Row],[AREA]],Hoja1!A:B,2,FALSE)</f>
        <v>03. Participación ciudadana y deportes</v>
      </c>
      <c r="U1403" s="35" t="str">
        <f>MID(Tabla1[[#This Row],[Aplicación]],9,4)</f>
        <v>9241</v>
      </c>
      <c r="V1403" s="35" t="str">
        <f>VLOOKUP(Tabla1[[#This Row],[PROGRAMA]],Hoja1!A:B,2,FALSE)</f>
        <v>9241. Participación ciudadana</v>
      </c>
      <c r="W1403" s="35" t="str">
        <f>MID(Tabla1[[#This Row],[Aplicación]],14,2)</f>
        <v>63</v>
      </c>
      <c r="X1403" s="35" t="str">
        <f>MID(Tabla1[[#This Row],[Aplicación]],14,6)</f>
        <v>632</v>
      </c>
    </row>
    <row r="1404" spans="1:24" x14ac:dyDescent="0.25">
      <c r="A1404" s="45">
        <v>220190058089</v>
      </c>
      <c r="B1404" s="46" t="s">
        <v>9</v>
      </c>
      <c r="C1404" s="47">
        <v>44284</v>
      </c>
      <c r="D1404" s="45">
        <v>22019005626</v>
      </c>
      <c r="E1404" s="46" t="s">
        <v>1531</v>
      </c>
      <c r="F1404" s="48">
        <v>1147.94</v>
      </c>
      <c r="G1404" s="46" t="s">
        <v>120</v>
      </c>
      <c r="H1404" s="46" t="s">
        <v>702</v>
      </c>
      <c r="I1404" s="45" t="s">
        <v>125</v>
      </c>
      <c r="J1404" s="46" t="s">
        <v>126</v>
      </c>
      <c r="K1404" s="46" t="s">
        <v>126</v>
      </c>
      <c r="L1404" s="46" t="s">
        <v>12</v>
      </c>
      <c r="M1404" s="46" t="s">
        <v>13</v>
      </c>
      <c r="N1404" s="46" t="s">
        <v>14</v>
      </c>
      <c r="O1404" s="49" t="s">
        <v>803</v>
      </c>
      <c r="P1404" s="46" t="s">
        <v>507</v>
      </c>
      <c r="Q1404" s="35" t="str">
        <f>MID(Tabla1[[#This Row],[Aplicación]],14,1)</f>
        <v>6</v>
      </c>
      <c r="R1404" s="35" t="s">
        <v>496</v>
      </c>
      <c r="S1404" s="35" t="str">
        <f>MID(Tabla1[[#This Row],[Aplicación]],6,2)</f>
        <v>11</v>
      </c>
      <c r="T1404" s="35" t="str">
        <f>VLOOKUP(Tabla1[[#This Row],[AREA]],Hoja1!A:B,2,FALSE)</f>
        <v>11. Salud pública y seguridad ciudadana</v>
      </c>
      <c r="U1404" s="35" t="str">
        <f>MID(Tabla1[[#This Row],[Aplicación]],9,4)</f>
        <v>1621</v>
      </c>
      <c r="V1404" s="35" t="str">
        <f>VLOOKUP(Tabla1[[#This Row],[PROGRAMA]],Hoja1!A:B,2,FALSE)</f>
        <v>1621. Servicio de limpieza</v>
      </c>
      <c r="W1404" s="35" t="str">
        <f>MID(Tabla1[[#This Row],[Aplicación]],14,2)</f>
        <v>62</v>
      </c>
      <c r="X1404" s="35" t="str">
        <f>MID(Tabla1[[#This Row],[Aplicación]],14,6)</f>
        <v>622</v>
      </c>
    </row>
    <row r="1405" spans="1:24" x14ac:dyDescent="0.25">
      <c r="A1405" s="45">
        <v>220209000386</v>
      </c>
      <c r="B1405" s="46" t="s">
        <v>9</v>
      </c>
      <c r="C1405" s="47">
        <v>44198</v>
      </c>
      <c r="D1405" s="45">
        <v>22021000278</v>
      </c>
      <c r="E1405" s="46" t="s">
        <v>1683</v>
      </c>
      <c r="F1405" s="48">
        <v>1500</v>
      </c>
      <c r="G1405" s="46" t="s">
        <v>188</v>
      </c>
      <c r="H1405" s="46" t="s">
        <v>2629</v>
      </c>
      <c r="I1405" s="45" t="s">
        <v>125</v>
      </c>
      <c r="J1405" s="46" t="s">
        <v>126</v>
      </c>
      <c r="K1405" s="46" t="s">
        <v>126</v>
      </c>
      <c r="L1405" s="46" t="s">
        <v>15</v>
      </c>
      <c r="M1405" s="46" t="s">
        <v>13</v>
      </c>
      <c r="N1405" s="46" t="s">
        <v>14</v>
      </c>
      <c r="O1405" s="49" t="s">
        <v>803</v>
      </c>
      <c r="P1405" s="46" t="s">
        <v>507</v>
      </c>
      <c r="Q1405" s="35" t="str">
        <f>MID(Tabla1[[#This Row],[Aplicación]],14,1)</f>
        <v>2</v>
      </c>
      <c r="R1405" s="35" t="s">
        <v>495</v>
      </c>
      <c r="S1405" s="35" t="str">
        <f>MID(Tabla1[[#This Row],[Aplicación]],6,2)</f>
        <v>11</v>
      </c>
      <c r="T1405" s="35" t="str">
        <f>VLOOKUP(Tabla1[[#This Row],[AREA]],Hoja1!A:B,2,FALSE)</f>
        <v>11. Salud pública y seguridad ciudadana</v>
      </c>
      <c r="U1405" s="35" t="str">
        <f>MID(Tabla1[[#This Row],[Aplicación]],9,4)</f>
        <v>1361</v>
      </c>
      <c r="V1405" s="35" t="str">
        <f>VLOOKUP(Tabla1[[#This Row],[PROGRAMA]],Hoja1!A:B,2,FALSE)</f>
        <v>1361. Prevención y extinción de incencios</v>
      </c>
      <c r="W1405" s="35" t="str">
        <f>MID(Tabla1[[#This Row],[Aplicación]],14,2)</f>
        <v>22</v>
      </c>
      <c r="X1405" s="35" t="str">
        <f>MID(Tabla1[[#This Row],[Aplicación]],14,6)</f>
        <v>22103</v>
      </c>
    </row>
    <row r="1406" spans="1:24" x14ac:dyDescent="0.25">
      <c r="A1406" s="45">
        <v>220200035869</v>
      </c>
      <c r="B1406" s="46" t="s">
        <v>9</v>
      </c>
      <c r="C1406" s="47">
        <v>44284</v>
      </c>
      <c r="D1406" s="45">
        <v>22019008819</v>
      </c>
      <c r="E1406" s="46" t="s">
        <v>1474</v>
      </c>
      <c r="F1406" s="48">
        <v>788.12</v>
      </c>
      <c r="G1406" s="46" t="s">
        <v>121</v>
      </c>
      <c r="H1406" s="46" t="s">
        <v>2630</v>
      </c>
      <c r="I1406" s="45" t="s">
        <v>125</v>
      </c>
      <c r="J1406" s="46" t="s">
        <v>664</v>
      </c>
      <c r="K1406" s="46" t="s">
        <v>127</v>
      </c>
      <c r="L1406" s="46" t="s">
        <v>12</v>
      </c>
      <c r="M1406" s="46" t="s">
        <v>13</v>
      </c>
      <c r="N1406" s="46" t="s">
        <v>14</v>
      </c>
      <c r="O1406" s="49" t="s">
        <v>803</v>
      </c>
      <c r="P1406" s="46" t="s">
        <v>507</v>
      </c>
      <c r="Q1406" s="35" t="str">
        <f>MID(Tabla1[[#This Row],[Aplicación]],14,1)</f>
        <v>6</v>
      </c>
      <c r="R1406" s="35" t="s">
        <v>496</v>
      </c>
      <c r="S1406" s="35" t="str">
        <f>MID(Tabla1[[#This Row],[Aplicación]],6,2)</f>
        <v>08</v>
      </c>
      <c r="T1406" s="35" t="str">
        <f>VLOOKUP(Tabla1[[#This Row],[AREA]],Hoja1!A:B,2,FALSE)</f>
        <v>08. Movilidad y espacio urbano</v>
      </c>
      <c r="U1406" s="35" t="str">
        <f>MID(Tabla1[[#This Row],[Aplicación]],9,4)</f>
        <v>1651</v>
      </c>
      <c r="V1406" s="35" t="str">
        <f>VLOOKUP(Tabla1[[#This Row],[PROGRAMA]],Hoja1!A:B,2,FALSE)</f>
        <v>1651. Alumbrado público</v>
      </c>
      <c r="W1406" s="35" t="str">
        <f>MID(Tabla1[[#This Row],[Aplicación]],14,2)</f>
        <v>61</v>
      </c>
      <c r="X1406" s="35" t="str">
        <f>MID(Tabla1[[#This Row],[Aplicación]],14,6)</f>
        <v>619</v>
      </c>
    </row>
    <row r="1407" spans="1:24" x14ac:dyDescent="0.25">
      <c r="A1407" s="45">
        <v>220200029107</v>
      </c>
      <c r="B1407" s="46" t="s">
        <v>9</v>
      </c>
      <c r="C1407" s="47">
        <v>44284</v>
      </c>
      <c r="D1407" s="45">
        <v>22019005726</v>
      </c>
      <c r="E1407" s="46" t="s">
        <v>1487</v>
      </c>
      <c r="F1407" s="48">
        <v>42.26</v>
      </c>
      <c r="G1407" s="46" t="s">
        <v>120</v>
      </c>
      <c r="H1407" s="46" t="s">
        <v>2631</v>
      </c>
      <c r="I1407" s="45" t="s">
        <v>125</v>
      </c>
      <c r="J1407" s="46" t="s">
        <v>126</v>
      </c>
      <c r="K1407" s="46" t="s">
        <v>126</v>
      </c>
      <c r="L1407" s="46" t="s">
        <v>12</v>
      </c>
      <c r="M1407" s="46" t="s">
        <v>13</v>
      </c>
      <c r="N1407" s="46" t="s">
        <v>14</v>
      </c>
      <c r="O1407" s="49" t="s">
        <v>803</v>
      </c>
      <c r="P1407" s="46" t="s">
        <v>507</v>
      </c>
      <c r="Q1407" s="35" t="str">
        <f>MID(Tabla1[[#This Row],[Aplicación]],14,1)</f>
        <v>6</v>
      </c>
      <c r="R1407" s="35" t="s">
        <v>496</v>
      </c>
      <c r="S1407" s="35" t="str">
        <f>MID(Tabla1[[#This Row],[Aplicación]],6,2)</f>
        <v>08</v>
      </c>
      <c r="T1407" s="35" t="str">
        <f>VLOOKUP(Tabla1[[#This Row],[AREA]],Hoja1!A:B,2,FALSE)</f>
        <v>08. Movilidad y espacio urbano</v>
      </c>
      <c r="U1407" s="35" t="str">
        <f>MID(Tabla1[[#This Row],[Aplicación]],9,4)</f>
        <v>1532</v>
      </c>
      <c r="V1407" s="35" t="str">
        <f>VLOOKUP(Tabla1[[#This Row],[PROGRAMA]],Hoja1!A:B,2,FALSE)</f>
        <v>1532. Pavimentación vias públicas y otros servicios urbanísticos</v>
      </c>
      <c r="W1407" s="35" t="str">
        <f>MID(Tabla1[[#This Row],[Aplicación]],14,2)</f>
        <v>61</v>
      </c>
      <c r="X1407" s="35" t="str">
        <f>MID(Tabla1[[#This Row],[Aplicación]],14,6)</f>
        <v>619</v>
      </c>
    </row>
    <row r="1408" spans="1:24" x14ac:dyDescent="0.25">
      <c r="A1408" s="45">
        <v>220200065602</v>
      </c>
      <c r="B1408" s="46" t="s">
        <v>9</v>
      </c>
      <c r="C1408" s="47">
        <v>44284</v>
      </c>
      <c r="D1408" s="45">
        <v>22019005624</v>
      </c>
      <c r="E1408" s="46" t="s">
        <v>1531</v>
      </c>
      <c r="F1408" s="48">
        <v>1512.5</v>
      </c>
      <c r="G1408" s="46" t="s">
        <v>2632</v>
      </c>
      <c r="H1408" s="46" t="s">
        <v>2633</v>
      </c>
      <c r="I1408" s="45" t="s">
        <v>125</v>
      </c>
      <c r="J1408" s="46" t="s">
        <v>127</v>
      </c>
      <c r="K1408" s="46" t="s">
        <v>127</v>
      </c>
      <c r="L1408" s="46" t="s">
        <v>12</v>
      </c>
      <c r="M1408" s="46" t="s">
        <v>10</v>
      </c>
      <c r="N1408" s="46" t="s">
        <v>11</v>
      </c>
      <c r="O1408" s="49" t="s">
        <v>815</v>
      </c>
      <c r="P1408" s="46" t="s">
        <v>507</v>
      </c>
      <c r="Q1408" s="35" t="str">
        <f>MID(Tabla1[[#This Row],[Aplicación]],14,1)</f>
        <v>6</v>
      </c>
      <c r="R1408" s="35" t="s">
        <v>496</v>
      </c>
      <c r="S1408" s="35" t="str">
        <f>MID(Tabla1[[#This Row],[Aplicación]],6,2)</f>
        <v>11</v>
      </c>
      <c r="T1408" s="35" t="str">
        <f>VLOOKUP(Tabla1[[#This Row],[AREA]],Hoja1!A:B,2,FALSE)</f>
        <v>11. Salud pública y seguridad ciudadana</v>
      </c>
      <c r="U1408" s="35" t="str">
        <f>MID(Tabla1[[#This Row],[Aplicación]],9,4)</f>
        <v>1621</v>
      </c>
      <c r="V1408" s="35" t="str">
        <f>VLOOKUP(Tabla1[[#This Row],[PROGRAMA]],Hoja1!A:B,2,FALSE)</f>
        <v>1621. Servicio de limpieza</v>
      </c>
      <c r="W1408" s="35" t="str">
        <f>MID(Tabla1[[#This Row],[Aplicación]],14,2)</f>
        <v>62</v>
      </c>
      <c r="X1408" s="35" t="str">
        <f>MID(Tabla1[[#This Row],[Aplicación]],14,6)</f>
        <v>622</v>
      </c>
    </row>
    <row r="1409" spans="1:24" x14ac:dyDescent="0.25">
      <c r="A1409" s="45">
        <v>220200065601</v>
      </c>
      <c r="B1409" s="46" t="s">
        <v>9</v>
      </c>
      <c r="C1409" s="47">
        <v>44284</v>
      </c>
      <c r="D1409" s="45">
        <v>22019005624</v>
      </c>
      <c r="E1409" s="46" t="s">
        <v>1531</v>
      </c>
      <c r="F1409" s="48">
        <v>1512.5</v>
      </c>
      <c r="G1409" s="46" t="s">
        <v>2634</v>
      </c>
      <c r="H1409" s="46" t="s">
        <v>2635</v>
      </c>
      <c r="I1409" s="45" t="s">
        <v>125</v>
      </c>
      <c r="J1409" s="46" t="s">
        <v>127</v>
      </c>
      <c r="K1409" s="46" t="s">
        <v>127</v>
      </c>
      <c r="L1409" s="46" t="s">
        <v>12</v>
      </c>
      <c r="M1409" s="46" t="s">
        <v>10</v>
      </c>
      <c r="N1409" s="46" t="s">
        <v>11</v>
      </c>
      <c r="O1409" s="49" t="s">
        <v>815</v>
      </c>
      <c r="P1409" s="46" t="s">
        <v>507</v>
      </c>
      <c r="Q1409" s="35" t="str">
        <f>MID(Tabla1[[#This Row],[Aplicación]],14,1)</f>
        <v>6</v>
      </c>
      <c r="R1409" s="35" t="s">
        <v>496</v>
      </c>
      <c r="S1409" s="35" t="str">
        <f>MID(Tabla1[[#This Row],[Aplicación]],6,2)</f>
        <v>11</v>
      </c>
      <c r="T1409" s="35" t="str">
        <f>VLOOKUP(Tabla1[[#This Row],[AREA]],Hoja1!A:B,2,FALSE)</f>
        <v>11. Salud pública y seguridad ciudadana</v>
      </c>
      <c r="U1409" s="35" t="str">
        <f>MID(Tabla1[[#This Row],[Aplicación]],9,4)</f>
        <v>1621</v>
      </c>
      <c r="V1409" s="35" t="str">
        <f>VLOOKUP(Tabla1[[#This Row],[PROGRAMA]],Hoja1!A:B,2,FALSE)</f>
        <v>1621. Servicio de limpieza</v>
      </c>
      <c r="W1409" s="35" t="str">
        <f>MID(Tabla1[[#This Row],[Aplicación]],14,2)</f>
        <v>62</v>
      </c>
      <c r="X1409" s="35" t="str">
        <f>MID(Tabla1[[#This Row],[Aplicación]],14,6)</f>
        <v>622</v>
      </c>
    </row>
    <row r="1410" spans="1:24" x14ac:dyDescent="0.25">
      <c r="A1410" s="45">
        <v>220210003992</v>
      </c>
      <c r="B1410" s="46" t="s">
        <v>9</v>
      </c>
      <c r="C1410" s="47">
        <v>44244</v>
      </c>
      <c r="D1410" s="45">
        <v>22021002565</v>
      </c>
      <c r="E1410" s="46" t="s">
        <v>2636</v>
      </c>
      <c r="F1410" s="48">
        <v>1512.5</v>
      </c>
      <c r="G1410" s="46" t="s">
        <v>552</v>
      </c>
      <c r="H1410" s="46" t="s">
        <v>2637</v>
      </c>
      <c r="I1410" s="45" t="s">
        <v>125</v>
      </c>
      <c r="J1410" s="46" t="s">
        <v>157</v>
      </c>
      <c r="K1410" s="46" t="s">
        <v>157</v>
      </c>
      <c r="L1410" s="46" t="s">
        <v>12</v>
      </c>
      <c r="M1410" s="46" t="s">
        <v>10</v>
      </c>
      <c r="N1410" s="46" t="s">
        <v>11</v>
      </c>
      <c r="O1410" s="49" t="s">
        <v>815</v>
      </c>
      <c r="P1410" s="46" t="s">
        <v>507</v>
      </c>
      <c r="Q1410" s="35" t="str">
        <f>MID(Tabla1[[#This Row],[Aplicación]],14,1)</f>
        <v>2</v>
      </c>
      <c r="R1410" s="35" t="s">
        <v>495</v>
      </c>
      <c r="S1410" s="35" t="str">
        <f>MID(Tabla1[[#This Row],[Aplicación]],6,2)</f>
        <v>07</v>
      </c>
      <c r="T1410" s="35" t="str">
        <f>VLOOKUP(Tabla1[[#This Row],[AREA]],Hoja1!A:B,2,FALSE)</f>
        <v>07. Medio ambiente y desarrollo sostenible</v>
      </c>
      <c r="U1410" s="35" t="str">
        <f>MID(Tabla1[[#This Row],[Aplicación]],9,4)</f>
        <v>1721</v>
      </c>
      <c r="V1410" s="35" t="str">
        <f>VLOOKUP(Tabla1[[#This Row],[PROGRAMA]],Hoja1!A:B,2,FALSE)</f>
        <v>1721. Protección del medio ambiente</v>
      </c>
      <c r="W1410" s="35" t="str">
        <f>MID(Tabla1[[#This Row],[Aplicación]],14,2)</f>
        <v>22</v>
      </c>
      <c r="X1410" s="35" t="str">
        <f>MID(Tabla1[[#This Row],[Aplicación]],14,6)</f>
        <v>22706</v>
      </c>
    </row>
    <row r="1411" spans="1:24" x14ac:dyDescent="0.25">
      <c r="A1411" s="45">
        <v>220200065600</v>
      </c>
      <c r="B1411" s="46" t="s">
        <v>9</v>
      </c>
      <c r="C1411" s="47">
        <v>44284</v>
      </c>
      <c r="D1411" s="45">
        <v>22019005624</v>
      </c>
      <c r="E1411" s="46" t="s">
        <v>1531</v>
      </c>
      <c r="F1411" s="48">
        <v>1512.5</v>
      </c>
      <c r="G1411" s="46" t="s">
        <v>2638</v>
      </c>
      <c r="H1411" s="46" t="s">
        <v>2639</v>
      </c>
      <c r="I1411" s="45" t="s">
        <v>125</v>
      </c>
      <c r="J1411" s="46" t="s">
        <v>127</v>
      </c>
      <c r="K1411" s="46" t="s">
        <v>127</v>
      </c>
      <c r="L1411" s="46" t="s">
        <v>12</v>
      </c>
      <c r="M1411" s="46" t="s">
        <v>10</v>
      </c>
      <c r="N1411" s="46" t="s">
        <v>11</v>
      </c>
      <c r="O1411" s="49" t="s">
        <v>815</v>
      </c>
      <c r="P1411" s="46" t="s">
        <v>507</v>
      </c>
      <c r="Q1411" s="35" t="str">
        <f>MID(Tabla1[[#This Row],[Aplicación]],14,1)</f>
        <v>6</v>
      </c>
      <c r="R1411" s="35" t="s">
        <v>496</v>
      </c>
      <c r="S1411" s="35" t="str">
        <f>MID(Tabla1[[#This Row],[Aplicación]],6,2)</f>
        <v>11</v>
      </c>
      <c r="T1411" s="35" t="str">
        <f>VLOOKUP(Tabla1[[#This Row],[AREA]],Hoja1!A:B,2,FALSE)</f>
        <v>11. Salud pública y seguridad ciudadana</v>
      </c>
      <c r="U1411" s="35" t="str">
        <f>MID(Tabla1[[#This Row],[Aplicación]],9,4)</f>
        <v>1621</v>
      </c>
      <c r="V1411" s="35" t="str">
        <f>VLOOKUP(Tabla1[[#This Row],[PROGRAMA]],Hoja1!A:B,2,FALSE)</f>
        <v>1621. Servicio de limpieza</v>
      </c>
      <c r="W1411" s="35" t="str">
        <f>MID(Tabla1[[#This Row],[Aplicación]],14,2)</f>
        <v>62</v>
      </c>
      <c r="X1411" s="35" t="str">
        <f>MID(Tabla1[[#This Row],[Aplicación]],14,6)</f>
        <v>622</v>
      </c>
    </row>
    <row r="1412" spans="1:24" x14ac:dyDescent="0.25">
      <c r="A1412" s="45">
        <v>220210003988</v>
      </c>
      <c r="B1412" s="46" t="s">
        <v>9</v>
      </c>
      <c r="C1412" s="47">
        <v>44244</v>
      </c>
      <c r="D1412" s="45">
        <v>22021002550</v>
      </c>
      <c r="E1412" s="46" t="s">
        <v>1304</v>
      </c>
      <c r="F1412" s="48">
        <v>1512.5</v>
      </c>
      <c r="G1412" s="46" t="s">
        <v>566</v>
      </c>
      <c r="H1412" s="46" t="s">
        <v>2640</v>
      </c>
      <c r="I1412" s="45" t="s">
        <v>125</v>
      </c>
      <c r="J1412" s="46" t="s">
        <v>559</v>
      </c>
      <c r="K1412" s="46" t="s">
        <v>195</v>
      </c>
      <c r="L1412" s="46" t="s">
        <v>12</v>
      </c>
      <c r="M1412" s="46" t="s">
        <v>10</v>
      </c>
      <c r="N1412" s="46" t="s">
        <v>11</v>
      </c>
      <c r="O1412" s="49" t="s">
        <v>815</v>
      </c>
      <c r="P1412" s="46" t="s">
        <v>507</v>
      </c>
      <c r="Q1412" s="35" t="str">
        <f>MID(Tabla1[[#This Row],[Aplicación]],14,1)</f>
        <v>2</v>
      </c>
      <c r="R1412" s="35" t="s">
        <v>495</v>
      </c>
      <c r="S1412" s="35" t="str">
        <f>MID(Tabla1[[#This Row],[Aplicación]],6,2)</f>
        <v>07</v>
      </c>
      <c r="T1412" s="35" t="str">
        <f>VLOOKUP(Tabla1[[#This Row],[AREA]],Hoja1!A:B,2,FALSE)</f>
        <v>07. Medio ambiente y desarrollo sostenible</v>
      </c>
      <c r="U1412" s="35" t="str">
        <f>MID(Tabla1[[#This Row],[Aplicación]],9,4)</f>
        <v>1721</v>
      </c>
      <c r="V1412" s="35" t="str">
        <f>VLOOKUP(Tabla1[[#This Row],[PROGRAMA]],Hoja1!A:B,2,FALSE)</f>
        <v>1721. Protección del medio ambiente</v>
      </c>
      <c r="W1412" s="35" t="str">
        <f>MID(Tabla1[[#This Row],[Aplicación]],14,2)</f>
        <v>22</v>
      </c>
      <c r="X1412" s="35" t="str">
        <f>MID(Tabla1[[#This Row],[Aplicación]],14,6)</f>
        <v>22799</v>
      </c>
    </row>
    <row r="1413" spans="1:24" x14ac:dyDescent="0.25">
      <c r="A1413" s="45">
        <v>220210005266</v>
      </c>
      <c r="B1413" s="46" t="s">
        <v>9</v>
      </c>
      <c r="C1413" s="47">
        <v>44249</v>
      </c>
      <c r="D1413" s="45">
        <v>22021002916</v>
      </c>
      <c r="E1413" s="46" t="s">
        <v>1163</v>
      </c>
      <c r="F1413" s="48">
        <v>1546.04</v>
      </c>
      <c r="G1413" s="46" t="s">
        <v>779</v>
      </c>
      <c r="H1413" s="46" t="s">
        <v>2641</v>
      </c>
      <c r="I1413" s="45" t="s">
        <v>125</v>
      </c>
      <c r="J1413" s="46" t="s">
        <v>126</v>
      </c>
      <c r="K1413" s="46" t="s">
        <v>126</v>
      </c>
      <c r="L1413" s="46" t="s">
        <v>15</v>
      </c>
      <c r="M1413" s="46" t="s">
        <v>10</v>
      </c>
      <c r="N1413" s="46" t="s">
        <v>11</v>
      </c>
      <c r="O1413" s="49" t="s">
        <v>815</v>
      </c>
      <c r="P1413" s="46" t="s">
        <v>507</v>
      </c>
      <c r="Q1413" s="35" t="str">
        <f>MID(Tabla1[[#This Row],[Aplicación]],14,1)</f>
        <v>2</v>
      </c>
      <c r="R1413" s="35" t="s">
        <v>495</v>
      </c>
      <c r="S1413" s="35" t="str">
        <f>MID(Tabla1[[#This Row],[Aplicación]],6,2)</f>
        <v>06</v>
      </c>
      <c r="T1413" s="35" t="str">
        <f>VLOOKUP(Tabla1[[#This Row],[AREA]],Hoja1!A:B,2,FALSE)</f>
        <v>06. Educación, infancia, juventud e igualdad</v>
      </c>
      <c r="U1413" s="35" t="str">
        <f>MID(Tabla1[[#This Row],[Aplicación]],9,4)</f>
        <v>3321</v>
      </c>
      <c r="V1413" s="35" t="str">
        <f>VLOOKUP(Tabla1[[#This Row],[PROGRAMA]],Hoja1!A:B,2,FALSE)</f>
        <v>3321. Bibliotecas públicas</v>
      </c>
      <c r="W1413" s="35" t="str">
        <f>MID(Tabla1[[#This Row],[Aplicación]],14,2)</f>
        <v>22</v>
      </c>
      <c r="X1413" s="35" t="str">
        <f>MID(Tabla1[[#This Row],[Aplicación]],14,6)</f>
        <v>22001</v>
      </c>
    </row>
    <row r="1414" spans="1:24" x14ac:dyDescent="0.25">
      <c r="A1414" s="45">
        <v>220210003656</v>
      </c>
      <c r="B1414" s="46" t="s">
        <v>9</v>
      </c>
      <c r="C1414" s="47">
        <v>44243</v>
      </c>
      <c r="D1414" s="45">
        <v>22021002591</v>
      </c>
      <c r="E1414" s="46" t="s">
        <v>1936</v>
      </c>
      <c r="F1414" s="48">
        <v>1551.22</v>
      </c>
      <c r="G1414" s="46" t="s">
        <v>1937</v>
      </c>
      <c r="H1414" s="46" t="s">
        <v>1938</v>
      </c>
      <c r="I1414" s="45" t="s">
        <v>125</v>
      </c>
      <c r="J1414" s="46" t="s">
        <v>732</v>
      </c>
      <c r="K1414" s="46" t="s">
        <v>127</v>
      </c>
      <c r="L1414" s="46" t="s">
        <v>31</v>
      </c>
      <c r="M1414" s="46" t="s">
        <v>10</v>
      </c>
      <c r="N1414" s="46" t="s">
        <v>11</v>
      </c>
      <c r="O1414" s="49" t="s">
        <v>815</v>
      </c>
      <c r="P1414" s="46" t="s">
        <v>507</v>
      </c>
      <c r="Q1414" s="35" t="str">
        <f>MID(Tabla1[[#This Row],[Aplicación]],14,1)</f>
        <v>6</v>
      </c>
      <c r="R1414" s="35" t="s">
        <v>496</v>
      </c>
      <c r="S1414" s="35" t="str">
        <f>MID(Tabla1[[#This Row],[Aplicación]],6,2)</f>
        <v>11</v>
      </c>
      <c r="T1414" s="35" t="str">
        <f>VLOOKUP(Tabla1[[#This Row],[AREA]],Hoja1!A:B,2,FALSE)</f>
        <v>11. Salud pública y seguridad ciudadana</v>
      </c>
      <c r="U1414" s="35" t="str">
        <f>MID(Tabla1[[#This Row],[Aplicación]],9,4)</f>
        <v>1361</v>
      </c>
      <c r="V1414" s="35" t="str">
        <f>VLOOKUP(Tabla1[[#This Row],[PROGRAMA]],Hoja1!A:B,2,FALSE)</f>
        <v>1361. Prevención y extinción de incencios</v>
      </c>
      <c r="W1414" s="35" t="str">
        <f>MID(Tabla1[[#This Row],[Aplicación]],14,2)</f>
        <v>63</v>
      </c>
      <c r="X1414" s="35" t="str">
        <f>MID(Tabla1[[#This Row],[Aplicación]],14,6)</f>
        <v>632</v>
      </c>
    </row>
    <row r="1415" spans="1:24" x14ac:dyDescent="0.25">
      <c r="A1415" s="45">
        <v>220210007182</v>
      </c>
      <c r="B1415" s="46" t="s">
        <v>9</v>
      </c>
      <c r="C1415" s="47">
        <v>44263</v>
      </c>
      <c r="D1415" s="45">
        <v>22021003254</v>
      </c>
      <c r="E1415" s="46" t="s">
        <v>1183</v>
      </c>
      <c r="F1415" s="48">
        <v>1551.22</v>
      </c>
      <c r="G1415" s="46" t="s">
        <v>1937</v>
      </c>
      <c r="H1415" s="46" t="s">
        <v>2642</v>
      </c>
      <c r="I1415" s="45" t="s">
        <v>125</v>
      </c>
      <c r="J1415" s="46" t="s">
        <v>732</v>
      </c>
      <c r="K1415" s="46" t="s">
        <v>127</v>
      </c>
      <c r="L1415" s="46" t="s">
        <v>12</v>
      </c>
      <c r="M1415" s="46" t="s">
        <v>10</v>
      </c>
      <c r="N1415" s="46" t="s">
        <v>11</v>
      </c>
      <c r="O1415" s="49" t="s">
        <v>815</v>
      </c>
      <c r="P1415" s="46" t="s">
        <v>507</v>
      </c>
      <c r="Q1415" s="35" t="str">
        <f>MID(Tabla1[[#This Row],[Aplicación]],14,1)</f>
        <v>2</v>
      </c>
      <c r="R1415" s="35" t="s">
        <v>495</v>
      </c>
      <c r="S1415" s="35" t="str">
        <f>MID(Tabla1[[#This Row],[Aplicación]],6,2)</f>
        <v>11</v>
      </c>
      <c r="T1415" s="35" t="str">
        <f>VLOOKUP(Tabla1[[#This Row],[AREA]],Hoja1!A:B,2,FALSE)</f>
        <v>11. Salud pública y seguridad ciudadana</v>
      </c>
      <c r="U1415" s="35" t="str">
        <f>MID(Tabla1[[#This Row],[Aplicación]],9,4)</f>
        <v>1361</v>
      </c>
      <c r="V1415" s="35" t="str">
        <f>VLOOKUP(Tabla1[[#This Row],[PROGRAMA]],Hoja1!A:B,2,FALSE)</f>
        <v>1361. Prevención y extinción de incencios</v>
      </c>
      <c r="W1415" s="35" t="str">
        <f>MID(Tabla1[[#This Row],[Aplicación]],14,2)</f>
        <v>22</v>
      </c>
      <c r="X1415" s="35" t="str">
        <f>MID(Tabla1[[#This Row],[Aplicación]],14,6)</f>
        <v>22199</v>
      </c>
    </row>
    <row r="1416" spans="1:24" x14ac:dyDescent="0.25">
      <c r="A1416" s="45">
        <v>220210007106</v>
      </c>
      <c r="B1416" s="46" t="s">
        <v>9</v>
      </c>
      <c r="C1416" s="47">
        <v>44260</v>
      </c>
      <c r="D1416" s="45">
        <v>22021002966</v>
      </c>
      <c r="E1416" s="46" t="s">
        <v>2643</v>
      </c>
      <c r="F1416" s="48">
        <v>1573</v>
      </c>
      <c r="G1416" s="46" t="s">
        <v>2644</v>
      </c>
      <c r="H1416" s="46" t="s">
        <v>2645</v>
      </c>
      <c r="I1416" s="45" t="s">
        <v>125</v>
      </c>
      <c r="J1416" s="46" t="s">
        <v>711</v>
      </c>
      <c r="K1416" s="46" t="s">
        <v>127</v>
      </c>
      <c r="L1416" s="46" t="s">
        <v>15</v>
      </c>
      <c r="M1416" s="46" t="s">
        <v>10</v>
      </c>
      <c r="N1416" s="46" t="s">
        <v>11</v>
      </c>
      <c r="O1416" s="49" t="s">
        <v>815</v>
      </c>
      <c r="P1416" s="46" t="s">
        <v>507</v>
      </c>
      <c r="Q1416" s="35" t="str">
        <f>MID(Tabla1[[#This Row],[Aplicación]],14,1)</f>
        <v>2</v>
      </c>
      <c r="R1416" s="35" t="s">
        <v>495</v>
      </c>
      <c r="S1416" s="35" t="str">
        <f>MID(Tabla1[[#This Row],[Aplicación]],6,2)</f>
        <v>01</v>
      </c>
      <c r="T1416" s="35" t="str">
        <f>VLOOKUP(Tabla1[[#This Row],[AREA]],Hoja1!A:B,2,FALSE)</f>
        <v>01. Alcaldía</v>
      </c>
      <c r="U1416" s="35" t="str">
        <f>MID(Tabla1[[#This Row],[Aplicación]],9,4)</f>
        <v>9203</v>
      </c>
      <c r="V1416" s="35" t="str">
        <f>VLOOKUP(Tabla1[[#This Row],[PROGRAMA]],Hoja1!A:B,2,FALSE)</f>
        <v>9203. Unidad de régimen interior</v>
      </c>
      <c r="W1416" s="35" t="str">
        <f>MID(Tabla1[[#This Row],[Aplicación]],14,2)</f>
        <v>22</v>
      </c>
      <c r="X1416" s="35" t="str">
        <f>MID(Tabla1[[#This Row],[Aplicación]],14,6)</f>
        <v>22699</v>
      </c>
    </row>
    <row r="1417" spans="1:24" x14ac:dyDescent="0.25">
      <c r="A1417" s="45">
        <v>220210006020</v>
      </c>
      <c r="B1417" s="46" t="s">
        <v>9</v>
      </c>
      <c r="C1417" s="47">
        <v>44251</v>
      </c>
      <c r="D1417" s="45">
        <v>22021002692</v>
      </c>
      <c r="E1417" s="46" t="s">
        <v>1261</v>
      </c>
      <c r="F1417" s="48">
        <v>1919.22</v>
      </c>
      <c r="G1417" s="46" t="s">
        <v>101</v>
      </c>
      <c r="H1417" s="46" t="s">
        <v>2646</v>
      </c>
      <c r="I1417" s="45" t="s">
        <v>125</v>
      </c>
      <c r="J1417" s="46" t="s">
        <v>127</v>
      </c>
      <c r="K1417" s="46" t="s">
        <v>127</v>
      </c>
      <c r="L1417" s="46" t="s">
        <v>12</v>
      </c>
      <c r="M1417" s="46" t="s">
        <v>10</v>
      </c>
      <c r="N1417" s="46" t="s">
        <v>11</v>
      </c>
      <c r="O1417" s="49" t="s">
        <v>815</v>
      </c>
      <c r="P1417" s="46" t="s">
        <v>507</v>
      </c>
      <c r="Q1417" s="35" t="str">
        <f>MID(Tabla1[[#This Row],[Aplicación]],14,1)</f>
        <v>2</v>
      </c>
      <c r="R1417" s="35" t="s">
        <v>495</v>
      </c>
      <c r="S1417" s="35" t="str">
        <f>MID(Tabla1[[#This Row],[Aplicación]],6,2)</f>
        <v>03</v>
      </c>
      <c r="T1417" s="35" t="str">
        <f>VLOOKUP(Tabla1[[#This Row],[AREA]],Hoja1!A:B,2,FALSE)</f>
        <v>03. Participación ciudadana y deportes</v>
      </c>
      <c r="U1417" s="35" t="str">
        <f>MID(Tabla1[[#This Row],[Aplicación]],9,4)</f>
        <v>9241</v>
      </c>
      <c r="V1417" s="35" t="str">
        <f>VLOOKUP(Tabla1[[#This Row],[PROGRAMA]],Hoja1!A:B,2,FALSE)</f>
        <v>9241. Participación ciudadana</v>
      </c>
      <c r="W1417" s="35" t="str">
        <f>MID(Tabla1[[#This Row],[Aplicación]],14,2)</f>
        <v>22</v>
      </c>
      <c r="X1417" s="35" t="str">
        <f>MID(Tabla1[[#This Row],[Aplicación]],14,6)</f>
        <v>22700</v>
      </c>
    </row>
    <row r="1418" spans="1:24" x14ac:dyDescent="0.25">
      <c r="A1418" s="45">
        <v>220210012792</v>
      </c>
      <c r="B1418" s="46" t="s">
        <v>9</v>
      </c>
      <c r="C1418" s="47">
        <v>44280</v>
      </c>
      <c r="D1418" s="45">
        <v>22021003438</v>
      </c>
      <c r="E1418" s="46" t="s">
        <v>2647</v>
      </c>
      <c r="F1418" s="48">
        <v>1585.1</v>
      </c>
      <c r="G1418" s="46" t="s">
        <v>592</v>
      </c>
      <c r="H1418" s="46" t="s">
        <v>2648</v>
      </c>
      <c r="I1418" s="45" t="s">
        <v>125</v>
      </c>
      <c r="J1418" s="46" t="s">
        <v>127</v>
      </c>
      <c r="K1418" s="46" t="s">
        <v>127</v>
      </c>
      <c r="L1418" s="46" t="s">
        <v>12</v>
      </c>
      <c r="M1418" s="46" t="s">
        <v>10</v>
      </c>
      <c r="N1418" s="46" t="s">
        <v>11</v>
      </c>
      <c r="O1418" s="49" t="s">
        <v>815</v>
      </c>
      <c r="P1418" s="46" t="s">
        <v>507</v>
      </c>
      <c r="Q1418" s="35" t="str">
        <f>MID(Tabla1[[#This Row],[Aplicación]],14,1)</f>
        <v>2</v>
      </c>
      <c r="R1418" s="35" t="s">
        <v>495</v>
      </c>
      <c r="S1418" s="35" t="str">
        <f>MID(Tabla1[[#This Row],[Aplicación]],6,2)</f>
        <v>06</v>
      </c>
      <c r="T1418" s="35" t="str">
        <f>VLOOKUP(Tabla1[[#This Row],[AREA]],Hoja1!A:B,2,FALSE)</f>
        <v>06. Educación, infancia, juventud e igualdad</v>
      </c>
      <c r="U1418" s="35" t="str">
        <f>MID(Tabla1[[#This Row],[Aplicación]],9,4)</f>
        <v>2314</v>
      </c>
      <c r="V1418" s="35" t="str">
        <f>VLOOKUP(Tabla1[[#This Row],[PROGRAMA]],Hoja1!A:B,2,FALSE)</f>
        <v>2314. Centro de programas juveniles</v>
      </c>
      <c r="W1418" s="35" t="str">
        <f>MID(Tabla1[[#This Row],[Aplicación]],14,2)</f>
        <v>22</v>
      </c>
      <c r="X1418" s="35" t="str">
        <f>MID(Tabla1[[#This Row],[Aplicación]],14,6)</f>
        <v>22613</v>
      </c>
    </row>
    <row r="1419" spans="1:24" x14ac:dyDescent="0.25">
      <c r="A1419" s="45">
        <v>220200037404</v>
      </c>
      <c r="B1419" s="46" t="s">
        <v>9</v>
      </c>
      <c r="C1419" s="47">
        <v>44284</v>
      </c>
      <c r="D1419" s="45">
        <v>22019008560</v>
      </c>
      <c r="E1419" s="46" t="s">
        <v>1487</v>
      </c>
      <c r="F1419" s="48">
        <v>198.54</v>
      </c>
      <c r="G1419" s="46" t="s">
        <v>121</v>
      </c>
      <c r="H1419" s="46" t="s">
        <v>2649</v>
      </c>
      <c r="I1419" s="45" t="s">
        <v>125</v>
      </c>
      <c r="J1419" s="46" t="s">
        <v>664</v>
      </c>
      <c r="K1419" s="46" t="s">
        <v>127</v>
      </c>
      <c r="L1419" s="46" t="s">
        <v>12</v>
      </c>
      <c r="M1419" s="46" t="s">
        <v>13</v>
      </c>
      <c r="N1419" s="46" t="s">
        <v>14</v>
      </c>
      <c r="O1419" s="49" t="s">
        <v>803</v>
      </c>
      <c r="P1419" s="46" t="s">
        <v>507</v>
      </c>
      <c r="Q1419" s="35" t="str">
        <f>MID(Tabla1[[#This Row],[Aplicación]],14,1)</f>
        <v>6</v>
      </c>
      <c r="R1419" s="35" t="s">
        <v>496</v>
      </c>
      <c r="S1419" s="35" t="str">
        <f>MID(Tabla1[[#This Row],[Aplicación]],6,2)</f>
        <v>08</v>
      </c>
      <c r="T1419" s="35" t="str">
        <f>VLOOKUP(Tabla1[[#This Row],[AREA]],Hoja1!A:B,2,FALSE)</f>
        <v>08. Movilidad y espacio urbano</v>
      </c>
      <c r="U1419" s="35" t="str">
        <f>MID(Tabla1[[#This Row],[Aplicación]],9,4)</f>
        <v>1532</v>
      </c>
      <c r="V1419" s="35" t="str">
        <f>VLOOKUP(Tabla1[[#This Row],[PROGRAMA]],Hoja1!A:B,2,FALSE)</f>
        <v>1532. Pavimentación vias públicas y otros servicios urbanísticos</v>
      </c>
      <c r="W1419" s="35" t="str">
        <f>MID(Tabla1[[#This Row],[Aplicación]],14,2)</f>
        <v>61</v>
      </c>
      <c r="X1419" s="35" t="str">
        <f>MID(Tabla1[[#This Row],[Aplicación]],14,6)</f>
        <v>619</v>
      </c>
    </row>
    <row r="1420" spans="1:24" x14ac:dyDescent="0.25">
      <c r="A1420" s="45">
        <v>220200035870</v>
      </c>
      <c r="B1420" s="46" t="s">
        <v>9</v>
      </c>
      <c r="C1420" s="47">
        <v>44284</v>
      </c>
      <c r="D1420" s="45">
        <v>22019008819</v>
      </c>
      <c r="E1420" s="46" t="s">
        <v>1474</v>
      </c>
      <c r="F1420" s="48">
        <v>69.89</v>
      </c>
      <c r="G1420" s="46" t="s">
        <v>120</v>
      </c>
      <c r="H1420" s="46" t="s">
        <v>2650</v>
      </c>
      <c r="I1420" s="45" t="s">
        <v>125</v>
      </c>
      <c r="J1420" s="46" t="s">
        <v>126</v>
      </c>
      <c r="K1420" s="46" t="s">
        <v>126</v>
      </c>
      <c r="L1420" s="46" t="s">
        <v>12</v>
      </c>
      <c r="M1420" s="46" t="s">
        <v>13</v>
      </c>
      <c r="N1420" s="46" t="s">
        <v>14</v>
      </c>
      <c r="O1420" s="49" t="s">
        <v>803</v>
      </c>
      <c r="P1420" s="46" t="s">
        <v>507</v>
      </c>
      <c r="Q1420" s="35" t="str">
        <f>MID(Tabla1[[#This Row],[Aplicación]],14,1)</f>
        <v>6</v>
      </c>
      <c r="R1420" s="35" t="s">
        <v>496</v>
      </c>
      <c r="S1420" s="35" t="str">
        <f>MID(Tabla1[[#This Row],[Aplicación]],6,2)</f>
        <v>08</v>
      </c>
      <c r="T1420" s="35" t="str">
        <f>VLOOKUP(Tabla1[[#This Row],[AREA]],Hoja1!A:B,2,FALSE)</f>
        <v>08. Movilidad y espacio urbano</v>
      </c>
      <c r="U1420" s="35" t="str">
        <f>MID(Tabla1[[#This Row],[Aplicación]],9,4)</f>
        <v>1651</v>
      </c>
      <c r="V1420" s="35" t="str">
        <f>VLOOKUP(Tabla1[[#This Row],[PROGRAMA]],Hoja1!A:B,2,FALSE)</f>
        <v>1651. Alumbrado público</v>
      </c>
      <c r="W1420" s="35" t="str">
        <f>MID(Tabla1[[#This Row],[Aplicación]],14,2)</f>
        <v>61</v>
      </c>
      <c r="X1420" s="35" t="str">
        <f>MID(Tabla1[[#This Row],[Aplicación]],14,6)</f>
        <v>619</v>
      </c>
    </row>
    <row r="1421" spans="1:24" x14ac:dyDescent="0.25">
      <c r="A1421" s="45">
        <v>220200047923</v>
      </c>
      <c r="B1421" s="46" t="s">
        <v>9</v>
      </c>
      <c r="C1421" s="47">
        <v>44284</v>
      </c>
      <c r="D1421" s="45">
        <v>22019005725</v>
      </c>
      <c r="E1421" s="46" t="s">
        <v>2203</v>
      </c>
      <c r="F1421" s="48">
        <v>27134.25</v>
      </c>
      <c r="G1421" s="46" t="s">
        <v>2204</v>
      </c>
      <c r="H1421" s="46" t="s">
        <v>2651</v>
      </c>
      <c r="I1421" s="45" t="s">
        <v>125</v>
      </c>
      <c r="J1421" s="46" t="s">
        <v>165</v>
      </c>
      <c r="K1421" s="46" t="s">
        <v>165</v>
      </c>
      <c r="L1421" s="46" t="s">
        <v>12</v>
      </c>
      <c r="M1421" s="46" t="s">
        <v>13</v>
      </c>
      <c r="N1421" s="46" t="s">
        <v>14</v>
      </c>
      <c r="O1421" s="49" t="s">
        <v>803</v>
      </c>
      <c r="P1421" s="46" t="s">
        <v>507</v>
      </c>
      <c r="Q1421" s="35" t="str">
        <f>MID(Tabla1[[#This Row],[Aplicación]],14,1)</f>
        <v>6</v>
      </c>
      <c r="R1421" s="35" t="s">
        <v>496</v>
      </c>
      <c r="S1421" s="35" t="str">
        <f>MID(Tabla1[[#This Row],[Aplicación]],6,2)</f>
        <v>02</v>
      </c>
      <c r="T1421" s="35" t="str">
        <f>VLOOKUP(Tabla1[[#This Row],[AREA]],Hoja1!A:B,2,FALSE)</f>
        <v>02. Planeamiento urbanístico y vivienda</v>
      </c>
      <c r="U1421" s="35" t="str">
        <f>MID(Tabla1[[#This Row],[Aplicación]],9,4)</f>
        <v>1511</v>
      </c>
      <c r="V1421" s="35" t="str">
        <f>VLOOKUP(Tabla1[[#This Row],[PROGRAMA]],Hoja1!A:B,2,FALSE)</f>
        <v>1511. Planficación y gestión del urbanismo</v>
      </c>
      <c r="W1421" s="35" t="str">
        <f>MID(Tabla1[[#This Row],[Aplicación]],14,2)</f>
        <v>61</v>
      </c>
      <c r="X1421" s="35" t="str">
        <f>MID(Tabla1[[#This Row],[Aplicación]],14,6)</f>
        <v>619</v>
      </c>
    </row>
    <row r="1422" spans="1:24" x14ac:dyDescent="0.25">
      <c r="A1422" s="45">
        <v>220200047924</v>
      </c>
      <c r="B1422" s="46" t="s">
        <v>9</v>
      </c>
      <c r="C1422" s="47">
        <v>44284</v>
      </c>
      <c r="D1422" s="45">
        <v>22019005724</v>
      </c>
      <c r="E1422" s="46" t="s">
        <v>2203</v>
      </c>
      <c r="F1422" s="48">
        <v>36195.46</v>
      </c>
      <c r="G1422" s="46" t="s">
        <v>586</v>
      </c>
      <c r="H1422" s="46" t="s">
        <v>2652</v>
      </c>
      <c r="I1422" s="45" t="s">
        <v>125</v>
      </c>
      <c r="J1422" s="46" t="s">
        <v>127</v>
      </c>
      <c r="K1422" s="46" t="s">
        <v>127</v>
      </c>
      <c r="L1422" s="46" t="s">
        <v>12</v>
      </c>
      <c r="M1422" s="46" t="s">
        <v>13</v>
      </c>
      <c r="N1422" s="46" t="s">
        <v>14</v>
      </c>
      <c r="O1422" s="49" t="s">
        <v>803</v>
      </c>
      <c r="P1422" s="46" t="s">
        <v>507</v>
      </c>
      <c r="Q1422" s="35" t="str">
        <f>MID(Tabla1[[#This Row],[Aplicación]],14,1)</f>
        <v>6</v>
      </c>
      <c r="R1422" s="35" t="s">
        <v>496</v>
      </c>
      <c r="S1422" s="35" t="str">
        <f>MID(Tabla1[[#This Row],[Aplicación]],6,2)</f>
        <v>02</v>
      </c>
      <c r="T1422" s="35" t="str">
        <f>VLOOKUP(Tabla1[[#This Row],[AREA]],Hoja1!A:B,2,FALSE)</f>
        <v>02. Planeamiento urbanístico y vivienda</v>
      </c>
      <c r="U1422" s="35" t="str">
        <f>MID(Tabla1[[#This Row],[Aplicación]],9,4)</f>
        <v>1511</v>
      </c>
      <c r="V1422" s="35" t="str">
        <f>VLOOKUP(Tabla1[[#This Row],[PROGRAMA]],Hoja1!A:B,2,FALSE)</f>
        <v>1511. Planficación y gestión del urbanismo</v>
      </c>
      <c r="W1422" s="35" t="str">
        <f>MID(Tabla1[[#This Row],[Aplicación]],14,2)</f>
        <v>61</v>
      </c>
      <c r="X1422" s="35" t="str">
        <f>MID(Tabla1[[#This Row],[Aplicación]],14,6)</f>
        <v>619</v>
      </c>
    </row>
    <row r="1423" spans="1:24" x14ac:dyDescent="0.25">
      <c r="A1423" s="45">
        <v>220200047925</v>
      </c>
      <c r="B1423" s="46" t="s">
        <v>9</v>
      </c>
      <c r="C1423" s="47">
        <v>44284</v>
      </c>
      <c r="D1423" s="45">
        <v>22019005729</v>
      </c>
      <c r="E1423" s="46" t="s">
        <v>2203</v>
      </c>
      <c r="F1423" s="48">
        <v>36700.51</v>
      </c>
      <c r="G1423" s="46" t="s">
        <v>586</v>
      </c>
      <c r="H1423" s="46" t="s">
        <v>2653</v>
      </c>
      <c r="I1423" s="45" t="s">
        <v>125</v>
      </c>
      <c r="J1423" s="46" t="s">
        <v>127</v>
      </c>
      <c r="K1423" s="46" t="s">
        <v>127</v>
      </c>
      <c r="L1423" s="46" t="s">
        <v>12</v>
      </c>
      <c r="M1423" s="46" t="s">
        <v>13</v>
      </c>
      <c r="N1423" s="46" t="s">
        <v>14</v>
      </c>
      <c r="O1423" s="49" t="s">
        <v>803</v>
      </c>
      <c r="P1423" s="46" t="s">
        <v>507</v>
      </c>
      <c r="Q1423" s="35" t="str">
        <f>MID(Tabla1[[#This Row],[Aplicación]],14,1)</f>
        <v>6</v>
      </c>
      <c r="R1423" s="35" t="s">
        <v>496</v>
      </c>
      <c r="S1423" s="35" t="str">
        <f>MID(Tabla1[[#This Row],[Aplicación]],6,2)</f>
        <v>02</v>
      </c>
      <c r="T1423" s="35" t="str">
        <f>VLOOKUP(Tabla1[[#This Row],[AREA]],Hoja1!A:B,2,FALSE)</f>
        <v>02. Planeamiento urbanístico y vivienda</v>
      </c>
      <c r="U1423" s="35" t="str">
        <f>MID(Tabla1[[#This Row],[Aplicación]],9,4)</f>
        <v>1511</v>
      </c>
      <c r="V1423" s="35" t="str">
        <f>VLOOKUP(Tabla1[[#This Row],[PROGRAMA]],Hoja1!A:B,2,FALSE)</f>
        <v>1511. Planficación y gestión del urbanismo</v>
      </c>
      <c r="W1423" s="35" t="str">
        <f>MID(Tabla1[[#This Row],[Aplicación]],14,2)</f>
        <v>61</v>
      </c>
      <c r="X1423" s="35" t="str">
        <f>MID(Tabla1[[#This Row],[Aplicación]],14,6)</f>
        <v>619</v>
      </c>
    </row>
    <row r="1424" spans="1:24" x14ac:dyDescent="0.25">
      <c r="A1424" s="45">
        <v>220210001557</v>
      </c>
      <c r="B1424" s="46" t="s">
        <v>9</v>
      </c>
      <c r="C1424" s="47">
        <v>44229</v>
      </c>
      <c r="D1424" s="45">
        <v>22021001561</v>
      </c>
      <c r="E1424" s="46" t="s">
        <v>1623</v>
      </c>
      <c r="F1424" s="48">
        <v>1610</v>
      </c>
      <c r="G1424" s="46" t="s">
        <v>72</v>
      </c>
      <c r="H1424" s="46" t="s">
        <v>2654</v>
      </c>
      <c r="I1424" s="45" t="s">
        <v>125</v>
      </c>
      <c r="J1424" s="46" t="s">
        <v>127</v>
      </c>
      <c r="K1424" s="46" t="s">
        <v>127</v>
      </c>
      <c r="L1424" s="46" t="s">
        <v>15</v>
      </c>
      <c r="M1424" s="46" t="s">
        <v>10</v>
      </c>
      <c r="N1424" s="46" t="s">
        <v>11</v>
      </c>
      <c r="O1424" s="49" t="s">
        <v>815</v>
      </c>
      <c r="P1424" s="46" t="s">
        <v>507</v>
      </c>
      <c r="Q1424" s="35" t="str">
        <f>MID(Tabla1[[#This Row],[Aplicación]],14,1)</f>
        <v>2</v>
      </c>
      <c r="R1424" s="35" t="s">
        <v>495</v>
      </c>
      <c r="S1424" s="35" t="str">
        <f>MID(Tabla1[[#This Row],[Aplicación]],6,2)</f>
        <v>01</v>
      </c>
      <c r="T1424" s="35" t="str">
        <f>VLOOKUP(Tabla1[[#This Row],[AREA]],Hoja1!A:B,2,FALSE)</f>
        <v>01. Alcaldía</v>
      </c>
      <c r="U1424" s="35" t="str">
        <f>MID(Tabla1[[#This Row],[Aplicación]],9,4)</f>
        <v>9207</v>
      </c>
      <c r="V1424" s="35" t="str">
        <f>VLOOKUP(Tabla1[[#This Row],[PROGRAMA]],Hoja1!A:B,2,FALSE)</f>
        <v>9207. Gobierno y relaciones</v>
      </c>
      <c r="W1424" s="35" t="str">
        <f>MID(Tabla1[[#This Row],[Aplicación]],14,2)</f>
        <v>22</v>
      </c>
      <c r="X1424" s="35" t="str">
        <f>MID(Tabla1[[#This Row],[Aplicación]],14,6)</f>
        <v>22001</v>
      </c>
    </row>
    <row r="1425" spans="1:24" x14ac:dyDescent="0.25">
      <c r="A1425" s="45">
        <v>220200047932</v>
      </c>
      <c r="B1425" s="46" t="s">
        <v>9</v>
      </c>
      <c r="C1425" s="47">
        <v>44284</v>
      </c>
      <c r="D1425" s="45">
        <v>22019005728</v>
      </c>
      <c r="E1425" s="46" t="s">
        <v>2203</v>
      </c>
      <c r="F1425" s="48">
        <v>37471.279999999999</v>
      </c>
      <c r="G1425" s="46" t="s">
        <v>586</v>
      </c>
      <c r="H1425" s="46" t="s">
        <v>2655</v>
      </c>
      <c r="I1425" s="45" t="s">
        <v>125</v>
      </c>
      <c r="J1425" s="46" t="s">
        <v>127</v>
      </c>
      <c r="K1425" s="46" t="s">
        <v>127</v>
      </c>
      <c r="L1425" s="46" t="s">
        <v>12</v>
      </c>
      <c r="M1425" s="46" t="s">
        <v>13</v>
      </c>
      <c r="N1425" s="46" t="s">
        <v>14</v>
      </c>
      <c r="O1425" s="49" t="s">
        <v>803</v>
      </c>
      <c r="P1425" s="46" t="s">
        <v>507</v>
      </c>
      <c r="Q1425" s="35" t="str">
        <f>MID(Tabla1[[#This Row],[Aplicación]],14,1)</f>
        <v>6</v>
      </c>
      <c r="R1425" s="35" t="s">
        <v>496</v>
      </c>
      <c r="S1425" s="35" t="str">
        <f>MID(Tabla1[[#This Row],[Aplicación]],6,2)</f>
        <v>02</v>
      </c>
      <c r="T1425" s="35" t="str">
        <f>VLOOKUP(Tabla1[[#This Row],[AREA]],Hoja1!A:B,2,FALSE)</f>
        <v>02. Planeamiento urbanístico y vivienda</v>
      </c>
      <c r="U1425" s="35" t="str">
        <f>MID(Tabla1[[#This Row],[Aplicación]],9,4)</f>
        <v>1511</v>
      </c>
      <c r="V1425" s="35" t="str">
        <f>VLOOKUP(Tabla1[[#This Row],[PROGRAMA]],Hoja1!A:B,2,FALSE)</f>
        <v>1511. Planficación y gestión del urbanismo</v>
      </c>
      <c r="W1425" s="35" t="str">
        <f>MID(Tabla1[[#This Row],[Aplicación]],14,2)</f>
        <v>61</v>
      </c>
      <c r="X1425" s="35" t="str">
        <f>MID(Tabla1[[#This Row],[Aplicación]],14,6)</f>
        <v>619</v>
      </c>
    </row>
    <row r="1426" spans="1:24" x14ac:dyDescent="0.25">
      <c r="A1426" s="45">
        <v>220210002861</v>
      </c>
      <c r="B1426" s="46" t="s">
        <v>9</v>
      </c>
      <c r="C1426" s="47">
        <v>44238</v>
      </c>
      <c r="D1426" s="45">
        <v>22021002377</v>
      </c>
      <c r="E1426" s="46" t="s">
        <v>2414</v>
      </c>
      <c r="F1426" s="48">
        <v>1611.72</v>
      </c>
      <c r="G1426" s="46" t="s">
        <v>2170</v>
      </c>
      <c r="H1426" s="46" t="s">
        <v>2656</v>
      </c>
      <c r="I1426" s="45" t="s">
        <v>125</v>
      </c>
      <c r="J1426" s="46" t="s">
        <v>127</v>
      </c>
      <c r="K1426" s="46" t="s">
        <v>127</v>
      </c>
      <c r="L1426" s="46" t="s">
        <v>15</v>
      </c>
      <c r="M1426" s="46" t="s">
        <v>10</v>
      </c>
      <c r="N1426" s="46" t="s">
        <v>11</v>
      </c>
      <c r="O1426" s="49" t="s">
        <v>815</v>
      </c>
      <c r="P1426" s="46" t="s">
        <v>507</v>
      </c>
      <c r="Q1426" s="35" t="str">
        <f>MID(Tabla1[[#This Row],[Aplicación]],14,1)</f>
        <v>2</v>
      </c>
      <c r="R1426" s="35" t="s">
        <v>495</v>
      </c>
      <c r="S1426" s="35" t="str">
        <f>MID(Tabla1[[#This Row],[Aplicación]],6,2)</f>
        <v>10</v>
      </c>
      <c r="T1426" s="35" t="str">
        <f>VLOOKUP(Tabla1[[#This Row],[AREA]],Hoja1!A:B,2,FALSE)</f>
        <v>10. Servicios sociales y mediación comunitaria</v>
      </c>
      <c r="U1426" s="35" t="str">
        <f>MID(Tabla1[[#This Row],[Aplicación]],9,4)</f>
        <v>2311</v>
      </c>
      <c r="V1426" s="35" t="str">
        <f>VLOOKUP(Tabla1[[#This Row],[PROGRAMA]],Hoja1!A:B,2,FALSE)</f>
        <v>2311. Intervención social</v>
      </c>
      <c r="W1426" s="35" t="str">
        <f>MID(Tabla1[[#This Row],[Aplicación]],14,2)</f>
        <v>22</v>
      </c>
      <c r="X1426" s="35" t="str">
        <f>MID(Tabla1[[#This Row],[Aplicación]],14,6)</f>
        <v>22199</v>
      </c>
    </row>
    <row r="1427" spans="1:24" x14ac:dyDescent="0.25">
      <c r="A1427" s="45">
        <v>220200048354</v>
      </c>
      <c r="B1427" s="46" t="s">
        <v>9</v>
      </c>
      <c r="C1427" s="47">
        <v>44284</v>
      </c>
      <c r="D1427" s="45">
        <v>22020004209</v>
      </c>
      <c r="E1427" s="46" t="s">
        <v>1172</v>
      </c>
      <c r="F1427" s="48">
        <v>23861.919999999998</v>
      </c>
      <c r="G1427" s="46" t="s">
        <v>2657</v>
      </c>
      <c r="H1427" s="46" t="s">
        <v>2658</v>
      </c>
      <c r="I1427" s="45" t="s">
        <v>125</v>
      </c>
      <c r="J1427" s="46" t="s">
        <v>2659</v>
      </c>
      <c r="K1427" s="46" t="s">
        <v>2660</v>
      </c>
      <c r="L1427" s="46" t="s">
        <v>12</v>
      </c>
      <c r="M1427" s="46" t="s">
        <v>13</v>
      </c>
      <c r="N1427" s="46" t="s">
        <v>14</v>
      </c>
      <c r="O1427" s="49" t="s">
        <v>803</v>
      </c>
      <c r="P1427" s="46" t="s">
        <v>507</v>
      </c>
      <c r="Q1427" s="35" t="str">
        <f>MID(Tabla1[[#This Row],[Aplicación]],14,1)</f>
        <v>6</v>
      </c>
      <c r="R1427" s="35" t="s">
        <v>496</v>
      </c>
      <c r="S1427" s="35" t="str">
        <f>MID(Tabla1[[#This Row],[Aplicación]],6,2)</f>
        <v>02</v>
      </c>
      <c r="T1427" s="35" t="str">
        <f>VLOOKUP(Tabla1[[#This Row],[AREA]],Hoja1!A:B,2,FALSE)</f>
        <v>02. Planeamiento urbanístico y vivienda</v>
      </c>
      <c r="U1427" s="35" t="str">
        <f>MID(Tabla1[[#This Row],[Aplicación]],9,4)</f>
        <v>9332</v>
      </c>
      <c r="V1427" s="35" t="str">
        <f>VLOOKUP(Tabla1[[#This Row],[PROGRAMA]],Hoja1!A:B,2,FALSE)</f>
        <v>9332. Mantenimiento de edificios e instalaciones municipales</v>
      </c>
      <c r="W1427" s="35" t="str">
        <f>MID(Tabla1[[#This Row],[Aplicación]],14,2)</f>
        <v>63</v>
      </c>
      <c r="X1427" s="35" t="str">
        <f>MID(Tabla1[[#This Row],[Aplicación]],14,6)</f>
        <v>632</v>
      </c>
    </row>
    <row r="1428" spans="1:24" x14ac:dyDescent="0.25">
      <c r="A1428" s="45">
        <v>220200048355</v>
      </c>
      <c r="B1428" s="46" t="s">
        <v>9</v>
      </c>
      <c r="C1428" s="47">
        <v>44284</v>
      </c>
      <c r="D1428" s="45">
        <v>22020004209</v>
      </c>
      <c r="E1428" s="46" t="s">
        <v>1172</v>
      </c>
      <c r="F1428" s="48">
        <v>30685.599999999999</v>
      </c>
      <c r="G1428" s="46" t="s">
        <v>2661</v>
      </c>
      <c r="H1428" s="46" t="s">
        <v>2662</v>
      </c>
      <c r="I1428" s="45" t="s">
        <v>125</v>
      </c>
      <c r="J1428" s="46" t="s">
        <v>2663</v>
      </c>
      <c r="K1428" s="46" t="s">
        <v>195</v>
      </c>
      <c r="L1428" s="46" t="s">
        <v>12</v>
      </c>
      <c r="M1428" s="46" t="s">
        <v>13</v>
      </c>
      <c r="N1428" s="46" t="s">
        <v>14</v>
      </c>
      <c r="O1428" s="49" t="s">
        <v>803</v>
      </c>
      <c r="P1428" s="46" t="s">
        <v>507</v>
      </c>
      <c r="Q1428" s="35" t="str">
        <f>MID(Tabla1[[#This Row],[Aplicación]],14,1)</f>
        <v>6</v>
      </c>
      <c r="R1428" s="35" t="s">
        <v>496</v>
      </c>
      <c r="S1428" s="35" t="str">
        <f>MID(Tabla1[[#This Row],[Aplicación]],6,2)</f>
        <v>02</v>
      </c>
      <c r="T1428" s="35" t="str">
        <f>VLOOKUP(Tabla1[[#This Row],[AREA]],Hoja1!A:B,2,FALSE)</f>
        <v>02. Planeamiento urbanístico y vivienda</v>
      </c>
      <c r="U1428" s="35" t="str">
        <f>MID(Tabla1[[#This Row],[Aplicación]],9,4)</f>
        <v>9332</v>
      </c>
      <c r="V1428" s="35" t="str">
        <f>VLOOKUP(Tabla1[[#This Row],[PROGRAMA]],Hoja1!A:B,2,FALSE)</f>
        <v>9332. Mantenimiento de edificios e instalaciones municipales</v>
      </c>
      <c r="W1428" s="35" t="str">
        <f>MID(Tabla1[[#This Row],[Aplicación]],14,2)</f>
        <v>63</v>
      </c>
      <c r="X1428" s="35" t="str">
        <f>MID(Tabla1[[#This Row],[Aplicación]],14,6)</f>
        <v>632</v>
      </c>
    </row>
    <row r="1429" spans="1:24" x14ac:dyDescent="0.25">
      <c r="A1429" s="45">
        <v>220200048356</v>
      </c>
      <c r="B1429" s="46" t="s">
        <v>9</v>
      </c>
      <c r="C1429" s="47">
        <v>44284</v>
      </c>
      <c r="D1429" s="45">
        <v>22020004209</v>
      </c>
      <c r="E1429" s="46" t="s">
        <v>1172</v>
      </c>
      <c r="F1429" s="48">
        <v>9655.7999999999993</v>
      </c>
      <c r="G1429" s="46" t="s">
        <v>2664</v>
      </c>
      <c r="H1429" s="46" t="s">
        <v>2665</v>
      </c>
      <c r="I1429" s="45" t="s">
        <v>125</v>
      </c>
      <c r="J1429" s="46" t="s">
        <v>127</v>
      </c>
      <c r="K1429" s="46" t="s">
        <v>127</v>
      </c>
      <c r="L1429" s="46" t="s">
        <v>12</v>
      </c>
      <c r="M1429" s="46" t="s">
        <v>13</v>
      </c>
      <c r="N1429" s="46" t="s">
        <v>14</v>
      </c>
      <c r="O1429" s="49" t="s">
        <v>803</v>
      </c>
      <c r="P1429" s="46" t="s">
        <v>507</v>
      </c>
      <c r="Q1429" s="35" t="str">
        <f>MID(Tabla1[[#This Row],[Aplicación]],14,1)</f>
        <v>6</v>
      </c>
      <c r="R1429" s="35" t="s">
        <v>496</v>
      </c>
      <c r="S1429" s="35" t="str">
        <f>MID(Tabla1[[#This Row],[Aplicación]],6,2)</f>
        <v>02</v>
      </c>
      <c r="T1429" s="35" t="str">
        <f>VLOOKUP(Tabla1[[#This Row],[AREA]],Hoja1!A:B,2,FALSE)</f>
        <v>02. Planeamiento urbanístico y vivienda</v>
      </c>
      <c r="U1429" s="35" t="str">
        <f>MID(Tabla1[[#This Row],[Aplicación]],9,4)</f>
        <v>9332</v>
      </c>
      <c r="V1429" s="35" t="str">
        <f>VLOOKUP(Tabla1[[#This Row],[PROGRAMA]],Hoja1!A:B,2,FALSE)</f>
        <v>9332. Mantenimiento de edificios e instalaciones municipales</v>
      </c>
      <c r="W1429" s="35" t="str">
        <f>MID(Tabla1[[#This Row],[Aplicación]],14,2)</f>
        <v>63</v>
      </c>
      <c r="X1429" s="35" t="str">
        <f>MID(Tabla1[[#This Row],[Aplicación]],14,6)</f>
        <v>632</v>
      </c>
    </row>
    <row r="1430" spans="1:24" x14ac:dyDescent="0.25">
      <c r="A1430" s="45">
        <v>220200037775</v>
      </c>
      <c r="B1430" s="46" t="s">
        <v>9</v>
      </c>
      <c r="C1430" s="47">
        <v>44284</v>
      </c>
      <c r="D1430" s="45">
        <v>22020000032</v>
      </c>
      <c r="E1430" s="46" t="s">
        <v>1172</v>
      </c>
      <c r="F1430" s="48">
        <v>6089.4</v>
      </c>
      <c r="G1430" s="46" t="s">
        <v>121</v>
      </c>
      <c r="H1430" s="46" t="s">
        <v>2666</v>
      </c>
      <c r="I1430" s="45" t="s">
        <v>125</v>
      </c>
      <c r="J1430" s="46" t="s">
        <v>664</v>
      </c>
      <c r="K1430" s="46" t="s">
        <v>127</v>
      </c>
      <c r="L1430" s="46" t="s">
        <v>12</v>
      </c>
      <c r="M1430" s="46" t="s">
        <v>13</v>
      </c>
      <c r="N1430" s="46" t="s">
        <v>14</v>
      </c>
      <c r="O1430" s="49" t="s">
        <v>803</v>
      </c>
      <c r="P1430" s="46" t="s">
        <v>507</v>
      </c>
      <c r="Q1430" s="35" t="str">
        <f>MID(Tabla1[[#This Row],[Aplicación]],14,1)</f>
        <v>6</v>
      </c>
      <c r="R1430" s="35" t="s">
        <v>496</v>
      </c>
      <c r="S1430" s="35" t="str">
        <f>MID(Tabla1[[#This Row],[Aplicación]],6,2)</f>
        <v>02</v>
      </c>
      <c r="T1430" s="35" t="str">
        <f>VLOOKUP(Tabla1[[#This Row],[AREA]],Hoja1!A:B,2,FALSE)</f>
        <v>02. Planeamiento urbanístico y vivienda</v>
      </c>
      <c r="U1430" s="35" t="str">
        <f>MID(Tabla1[[#This Row],[Aplicación]],9,4)</f>
        <v>9332</v>
      </c>
      <c r="V1430" s="35" t="str">
        <f>VLOOKUP(Tabla1[[#This Row],[PROGRAMA]],Hoja1!A:B,2,FALSE)</f>
        <v>9332. Mantenimiento de edificios e instalaciones municipales</v>
      </c>
      <c r="W1430" s="35" t="str">
        <f>MID(Tabla1[[#This Row],[Aplicación]],14,2)</f>
        <v>63</v>
      </c>
      <c r="X1430" s="35" t="str">
        <f>MID(Tabla1[[#This Row],[Aplicación]],14,6)</f>
        <v>632</v>
      </c>
    </row>
    <row r="1431" spans="1:24" x14ac:dyDescent="0.25">
      <c r="A1431" s="45">
        <v>220200037405</v>
      </c>
      <c r="B1431" s="46" t="s">
        <v>9</v>
      </c>
      <c r="C1431" s="47">
        <v>44284</v>
      </c>
      <c r="D1431" s="45">
        <v>22019008560</v>
      </c>
      <c r="E1431" s="46" t="s">
        <v>1487</v>
      </c>
      <c r="F1431" s="48">
        <v>487.86</v>
      </c>
      <c r="G1431" s="46" t="s">
        <v>120</v>
      </c>
      <c r="H1431" s="46" t="s">
        <v>2667</v>
      </c>
      <c r="I1431" s="45" t="s">
        <v>125</v>
      </c>
      <c r="J1431" s="46" t="s">
        <v>126</v>
      </c>
      <c r="K1431" s="46" t="s">
        <v>126</v>
      </c>
      <c r="L1431" s="46" t="s">
        <v>12</v>
      </c>
      <c r="M1431" s="46" t="s">
        <v>13</v>
      </c>
      <c r="N1431" s="46" t="s">
        <v>14</v>
      </c>
      <c r="O1431" s="49" t="s">
        <v>803</v>
      </c>
      <c r="P1431" s="46" t="s">
        <v>507</v>
      </c>
      <c r="Q1431" s="35" t="str">
        <f>MID(Tabla1[[#This Row],[Aplicación]],14,1)</f>
        <v>6</v>
      </c>
      <c r="R1431" s="35" t="s">
        <v>496</v>
      </c>
      <c r="S1431" s="35" t="str">
        <f>MID(Tabla1[[#This Row],[Aplicación]],6,2)</f>
        <v>08</v>
      </c>
      <c r="T1431" s="35" t="str">
        <f>VLOOKUP(Tabla1[[#This Row],[AREA]],Hoja1!A:B,2,FALSE)</f>
        <v>08. Movilidad y espacio urbano</v>
      </c>
      <c r="U1431" s="35" t="str">
        <f>MID(Tabla1[[#This Row],[Aplicación]],9,4)</f>
        <v>1532</v>
      </c>
      <c r="V1431" s="35" t="str">
        <f>VLOOKUP(Tabla1[[#This Row],[PROGRAMA]],Hoja1!A:B,2,FALSE)</f>
        <v>1532. Pavimentación vias públicas y otros servicios urbanísticos</v>
      </c>
      <c r="W1431" s="35" t="str">
        <f>MID(Tabla1[[#This Row],[Aplicación]],14,2)</f>
        <v>61</v>
      </c>
      <c r="X1431" s="35" t="str">
        <f>MID(Tabla1[[#This Row],[Aplicación]],14,6)</f>
        <v>619</v>
      </c>
    </row>
    <row r="1432" spans="1:24" x14ac:dyDescent="0.25">
      <c r="A1432" s="45">
        <v>220200049890</v>
      </c>
      <c r="B1432" s="46" t="s">
        <v>9</v>
      </c>
      <c r="C1432" s="47">
        <v>44284</v>
      </c>
      <c r="D1432" s="45">
        <v>22020006213</v>
      </c>
      <c r="E1432" s="46" t="s">
        <v>2668</v>
      </c>
      <c r="F1432" s="48">
        <v>20925.22</v>
      </c>
      <c r="G1432" s="46" t="s">
        <v>575</v>
      </c>
      <c r="H1432" s="46" t="s">
        <v>2669</v>
      </c>
      <c r="I1432" s="45" t="s">
        <v>125</v>
      </c>
      <c r="J1432" s="46" t="s">
        <v>127</v>
      </c>
      <c r="K1432" s="46" t="s">
        <v>127</v>
      </c>
      <c r="L1432" s="46" t="s">
        <v>31</v>
      </c>
      <c r="M1432" s="46" t="s">
        <v>10</v>
      </c>
      <c r="N1432" s="46" t="s">
        <v>11</v>
      </c>
      <c r="O1432" s="49" t="s">
        <v>815</v>
      </c>
      <c r="P1432" s="46" t="s">
        <v>507</v>
      </c>
      <c r="Q1432" s="35" t="str">
        <f>MID(Tabla1[[#This Row],[Aplicación]],14,1)</f>
        <v>6</v>
      </c>
      <c r="R1432" s="35" t="s">
        <v>496</v>
      </c>
      <c r="S1432" s="35" t="str">
        <f>MID(Tabla1[[#This Row],[Aplicación]],6,2)</f>
        <v>10</v>
      </c>
      <c r="T1432" s="35" t="str">
        <f>VLOOKUP(Tabla1[[#This Row],[AREA]],Hoja1!A:B,2,FALSE)</f>
        <v>10. Servicios sociales y mediación comunitaria</v>
      </c>
      <c r="U1432" s="35" t="str">
        <f>MID(Tabla1[[#This Row],[Aplicación]],9,4)</f>
        <v>2311</v>
      </c>
      <c r="V1432" s="35" t="str">
        <f>VLOOKUP(Tabla1[[#This Row],[PROGRAMA]],Hoja1!A:B,2,FALSE)</f>
        <v>2311. Intervención social</v>
      </c>
      <c r="W1432" s="35" t="str">
        <f>MID(Tabla1[[#This Row],[Aplicación]],14,2)</f>
        <v>63</v>
      </c>
      <c r="X1432" s="35" t="str">
        <f>MID(Tabla1[[#This Row],[Aplicación]],14,6)</f>
        <v>632</v>
      </c>
    </row>
    <row r="1433" spans="1:24" x14ac:dyDescent="0.25">
      <c r="A1433" s="45">
        <v>220200049892</v>
      </c>
      <c r="B1433" s="46" t="s">
        <v>9</v>
      </c>
      <c r="C1433" s="47">
        <v>44284</v>
      </c>
      <c r="D1433" s="45">
        <v>22020006215</v>
      </c>
      <c r="E1433" s="46" t="s">
        <v>2668</v>
      </c>
      <c r="F1433" s="48">
        <v>300.56</v>
      </c>
      <c r="G1433" s="46" t="s">
        <v>764</v>
      </c>
      <c r="H1433" s="46" t="s">
        <v>2670</v>
      </c>
      <c r="I1433" s="45" t="s">
        <v>125</v>
      </c>
      <c r="J1433" s="46" t="s">
        <v>127</v>
      </c>
      <c r="K1433" s="46" t="s">
        <v>127</v>
      </c>
      <c r="L1433" s="46" t="s">
        <v>31</v>
      </c>
      <c r="M1433" s="46" t="s">
        <v>10</v>
      </c>
      <c r="N1433" s="46" t="s">
        <v>11</v>
      </c>
      <c r="O1433" s="49" t="s">
        <v>815</v>
      </c>
      <c r="P1433" s="46" t="s">
        <v>507</v>
      </c>
      <c r="Q1433" s="35" t="str">
        <f>MID(Tabla1[[#This Row],[Aplicación]],14,1)</f>
        <v>6</v>
      </c>
      <c r="R1433" s="35" t="s">
        <v>496</v>
      </c>
      <c r="S1433" s="35" t="str">
        <f>MID(Tabla1[[#This Row],[Aplicación]],6,2)</f>
        <v>10</v>
      </c>
      <c r="T1433" s="35" t="str">
        <f>VLOOKUP(Tabla1[[#This Row],[AREA]],Hoja1!A:B,2,FALSE)</f>
        <v>10. Servicios sociales y mediación comunitaria</v>
      </c>
      <c r="U1433" s="35" t="str">
        <f>MID(Tabla1[[#This Row],[Aplicación]],9,4)</f>
        <v>2311</v>
      </c>
      <c r="V1433" s="35" t="str">
        <f>VLOOKUP(Tabla1[[#This Row],[PROGRAMA]],Hoja1!A:B,2,FALSE)</f>
        <v>2311. Intervención social</v>
      </c>
      <c r="W1433" s="35" t="str">
        <f>MID(Tabla1[[#This Row],[Aplicación]],14,2)</f>
        <v>63</v>
      </c>
      <c r="X1433" s="35" t="str">
        <f>MID(Tabla1[[#This Row],[Aplicación]],14,6)</f>
        <v>632</v>
      </c>
    </row>
    <row r="1434" spans="1:24" x14ac:dyDescent="0.25">
      <c r="A1434" s="45">
        <v>220210010647</v>
      </c>
      <c r="B1434" s="46" t="s">
        <v>9</v>
      </c>
      <c r="C1434" s="47">
        <v>44278</v>
      </c>
      <c r="D1434" s="45">
        <v>22021003466</v>
      </c>
      <c r="E1434" s="46" t="s">
        <v>1304</v>
      </c>
      <c r="F1434" s="48">
        <v>1650</v>
      </c>
      <c r="G1434" s="46" t="s">
        <v>66</v>
      </c>
      <c r="H1434" s="46" t="s">
        <v>2671</v>
      </c>
      <c r="I1434" s="45" t="s">
        <v>125</v>
      </c>
      <c r="J1434" s="46" t="s">
        <v>127</v>
      </c>
      <c r="K1434" s="46" t="s">
        <v>127</v>
      </c>
      <c r="L1434" s="46" t="s">
        <v>12</v>
      </c>
      <c r="M1434" s="46" t="s">
        <v>10</v>
      </c>
      <c r="N1434" s="46" t="s">
        <v>11</v>
      </c>
      <c r="O1434" s="49" t="s">
        <v>815</v>
      </c>
      <c r="P1434" s="46" t="s">
        <v>507</v>
      </c>
      <c r="Q1434" s="35" t="str">
        <f>MID(Tabla1[[#This Row],[Aplicación]],14,1)</f>
        <v>2</v>
      </c>
      <c r="R1434" s="35" t="s">
        <v>495</v>
      </c>
      <c r="S1434" s="35" t="str">
        <f>MID(Tabla1[[#This Row],[Aplicación]],6,2)</f>
        <v>07</v>
      </c>
      <c r="T1434" s="35" t="str">
        <f>VLOOKUP(Tabla1[[#This Row],[AREA]],Hoja1!A:B,2,FALSE)</f>
        <v>07. Medio ambiente y desarrollo sostenible</v>
      </c>
      <c r="U1434" s="35" t="str">
        <f>MID(Tabla1[[#This Row],[Aplicación]],9,4)</f>
        <v>1721</v>
      </c>
      <c r="V1434" s="35" t="str">
        <f>VLOOKUP(Tabla1[[#This Row],[PROGRAMA]],Hoja1!A:B,2,FALSE)</f>
        <v>1721. Protección del medio ambiente</v>
      </c>
      <c r="W1434" s="35" t="str">
        <f>MID(Tabla1[[#This Row],[Aplicación]],14,2)</f>
        <v>22</v>
      </c>
      <c r="X1434" s="35" t="str">
        <f>MID(Tabla1[[#This Row],[Aplicación]],14,6)</f>
        <v>22799</v>
      </c>
    </row>
    <row r="1435" spans="1:24" x14ac:dyDescent="0.25">
      <c r="A1435" s="45">
        <v>220200037776</v>
      </c>
      <c r="B1435" s="46" t="s">
        <v>9</v>
      </c>
      <c r="C1435" s="47">
        <v>44284</v>
      </c>
      <c r="D1435" s="45">
        <v>22020000032</v>
      </c>
      <c r="E1435" s="46" t="s">
        <v>1172</v>
      </c>
      <c r="F1435" s="48">
        <v>1125.32</v>
      </c>
      <c r="G1435" s="46" t="s">
        <v>120</v>
      </c>
      <c r="H1435" s="46" t="s">
        <v>2672</v>
      </c>
      <c r="I1435" s="45" t="s">
        <v>125</v>
      </c>
      <c r="J1435" s="46" t="s">
        <v>126</v>
      </c>
      <c r="K1435" s="46" t="s">
        <v>126</v>
      </c>
      <c r="L1435" s="46" t="s">
        <v>12</v>
      </c>
      <c r="M1435" s="46" t="s">
        <v>13</v>
      </c>
      <c r="N1435" s="46" t="s">
        <v>14</v>
      </c>
      <c r="O1435" s="49" t="s">
        <v>803</v>
      </c>
      <c r="P1435" s="46" t="s">
        <v>507</v>
      </c>
      <c r="Q1435" s="35" t="str">
        <f>MID(Tabla1[[#This Row],[Aplicación]],14,1)</f>
        <v>6</v>
      </c>
      <c r="R1435" s="35" t="s">
        <v>496</v>
      </c>
      <c r="S1435" s="35" t="str">
        <f>MID(Tabla1[[#This Row],[Aplicación]],6,2)</f>
        <v>02</v>
      </c>
      <c r="T1435" s="35" t="str">
        <f>VLOOKUP(Tabla1[[#This Row],[AREA]],Hoja1!A:B,2,FALSE)</f>
        <v>02. Planeamiento urbanístico y vivienda</v>
      </c>
      <c r="U1435" s="35" t="str">
        <f>MID(Tabla1[[#This Row],[Aplicación]],9,4)</f>
        <v>9332</v>
      </c>
      <c r="V1435" s="35" t="str">
        <f>VLOOKUP(Tabla1[[#This Row],[PROGRAMA]],Hoja1!A:B,2,FALSE)</f>
        <v>9332. Mantenimiento de edificios e instalaciones municipales</v>
      </c>
      <c r="W1435" s="35" t="str">
        <f>MID(Tabla1[[#This Row],[Aplicación]],14,2)</f>
        <v>63</v>
      </c>
      <c r="X1435" s="35" t="str">
        <f>MID(Tabla1[[#This Row],[Aplicación]],14,6)</f>
        <v>632</v>
      </c>
    </row>
    <row r="1436" spans="1:24" x14ac:dyDescent="0.25">
      <c r="A1436" s="45">
        <v>220210001385</v>
      </c>
      <c r="B1436" s="46" t="s">
        <v>9</v>
      </c>
      <c r="C1436" s="47">
        <v>44228</v>
      </c>
      <c r="D1436" s="45">
        <v>22021002093</v>
      </c>
      <c r="E1436" s="46" t="s">
        <v>950</v>
      </c>
      <c r="F1436" s="48">
        <v>1742.4</v>
      </c>
      <c r="G1436" s="46" t="s">
        <v>2465</v>
      </c>
      <c r="H1436" s="46" t="s">
        <v>2673</v>
      </c>
      <c r="I1436" s="45" t="s">
        <v>125</v>
      </c>
      <c r="J1436" s="46" t="s">
        <v>778</v>
      </c>
      <c r="K1436" s="46" t="s">
        <v>126</v>
      </c>
      <c r="L1436" s="46" t="s">
        <v>12</v>
      </c>
      <c r="M1436" s="46" t="s">
        <v>10</v>
      </c>
      <c r="N1436" s="46" t="s">
        <v>11</v>
      </c>
      <c r="O1436" s="49" t="s">
        <v>815</v>
      </c>
      <c r="P1436" s="46" t="s">
        <v>507</v>
      </c>
      <c r="Q1436" s="35" t="str">
        <f>MID(Tabla1[[#This Row],[Aplicación]],14,1)</f>
        <v>2</v>
      </c>
      <c r="R1436" s="35" t="s">
        <v>495</v>
      </c>
      <c r="S1436" s="35" t="str">
        <f>MID(Tabla1[[#This Row],[Aplicación]],6,2)</f>
        <v>11</v>
      </c>
      <c r="T1436" s="35" t="str">
        <f>VLOOKUP(Tabla1[[#This Row],[AREA]],Hoja1!A:B,2,FALSE)</f>
        <v>11. Salud pública y seguridad ciudadana</v>
      </c>
      <c r="U1436" s="35" t="str">
        <f>MID(Tabla1[[#This Row],[Aplicación]],9,4)</f>
        <v>1321</v>
      </c>
      <c r="V1436" s="35" t="str">
        <f>VLOOKUP(Tabla1[[#This Row],[PROGRAMA]],Hoja1!A:B,2,FALSE)</f>
        <v>1321. Policía municipal</v>
      </c>
      <c r="W1436" s="35" t="str">
        <f>MID(Tabla1[[#This Row],[Aplicación]],14,2)</f>
        <v>21</v>
      </c>
      <c r="X1436" s="35" t="str">
        <f>MID(Tabla1[[#This Row],[Aplicación]],14,6)</f>
        <v>213</v>
      </c>
    </row>
    <row r="1437" spans="1:24" x14ac:dyDescent="0.25">
      <c r="A1437" s="45">
        <v>220200044943</v>
      </c>
      <c r="B1437" s="46" t="s">
        <v>9</v>
      </c>
      <c r="C1437" s="47">
        <v>44284</v>
      </c>
      <c r="D1437" s="45">
        <v>22020003694</v>
      </c>
      <c r="E1437" s="46" t="s">
        <v>1513</v>
      </c>
      <c r="F1437" s="48">
        <v>2491.14</v>
      </c>
      <c r="G1437" s="46" t="s">
        <v>121</v>
      </c>
      <c r="H1437" s="46" t="s">
        <v>2674</v>
      </c>
      <c r="I1437" s="45" t="s">
        <v>125</v>
      </c>
      <c r="J1437" s="46" t="s">
        <v>664</v>
      </c>
      <c r="K1437" s="46" t="s">
        <v>127</v>
      </c>
      <c r="L1437" s="46" t="s">
        <v>12</v>
      </c>
      <c r="M1437" s="46" t="s">
        <v>13</v>
      </c>
      <c r="N1437" s="46" t="s">
        <v>14</v>
      </c>
      <c r="O1437" s="49" t="s">
        <v>803</v>
      </c>
      <c r="P1437" s="46" t="s">
        <v>507</v>
      </c>
      <c r="Q1437" s="35" t="str">
        <f>MID(Tabla1[[#This Row],[Aplicación]],14,1)</f>
        <v>6</v>
      </c>
      <c r="R1437" s="35" t="s">
        <v>496</v>
      </c>
      <c r="S1437" s="35" t="str">
        <f>MID(Tabla1[[#This Row],[Aplicación]],6,2)</f>
        <v>06</v>
      </c>
      <c r="T1437" s="35" t="str">
        <f>VLOOKUP(Tabla1[[#This Row],[AREA]],Hoja1!A:B,2,FALSE)</f>
        <v>06. Educación, infancia, juventud e igualdad</v>
      </c>
      <c r="U1437" s="35" t="str">
        <f>MID(Tabla1[[#This Row],[Aplicación]],9,4)</f>
        <v>3321</v>
      </c>
      <c r="V1437" s="35" t="str">
        <f>VLOOKUP(Tabla1[[#This Row],[PROGRAMA]],Hoja1!A:B,2,FALSE)</f>
        <v>3321. Bibliotecas públicas</v>
      </c>
      <c r="W1437" s="35" t="str">
        <f>MID(Tabla1[[#This Row],[Aplicación]],14,2)</f>
        <v>62</v>
      </c>
      <c r="X1437" s="35" t="str">
        <f>MID(Tabla1[[#This Row],[Aplicación]],14,6)</f>
        <v>622</v>
      </c>
    </row>
    <row r="1438" spans="1:24" x14ac:dyDescent="0.25">
      <c r="A1438" s="45">
        <v>220200044944</v>
      </c>
      <c r="B1438" s="46" t="s">
        <v>9</v>
      </c>
      <c r="C1438" s="47">
        <v>44284</v>
      </c>
      <c r="D1438" s="45">
        <v>22020003695</v>
      </c>
      <c r="E1438" s="46" t="s">
        <v>1513</v>
      </c>
      <c r="F1438" s="48">
        <v>453.74</v>
      </c>
      <c r="G1438" s="46" t="s">
        <v>120</v>
      </c>
      <c r="H1438" s="46" t="s">
        <v>2675</v>
      </c>
      <c r="I1438" s="45" t="s">
        <v>125</v>
      </c>
      <c r="J1438" s="46" t="s">
        <v>126</v>
      </c>
      <c r="K1438" s="46" t="s">
        <v>126</v>
      </c>
      <c r="L1438" s="46" t="s">
        <v>12</v>
      </c>
      <c r="M1438" s="46" t="s">
        <v>13</v>
      </c>
      <c r="N1438" s="46" t="s">
        <v>14</v>
      </c>
      <c r="O1438" s="49" t="s">
        <v>803</v>
      </c>
      <c r="P1438" s="46" t="s">
        <v>507</v>
      </c>
      <c r="Q1438" s="35" t="str">
        <f>MID(Tabla1[[#This Row],[Aplicación]],14,1)</f>
        <v>6</v>
      </c>
      <c r="R1438" s="35" t="s">
        <v>496</v>
      </c>
      <c r="S1438" s="35" t="str">
        <f>MID(Tabla1[[#This Row],[Aplicación]],6,2)</f>
        <v>06</v>
      </c>
      <c r="T1438" s="35" t="str">
        <f>VLOOKUP(Tabla1[[#This Row],[AREA]],Hoja1!A:B,2,FALSE)</f>
        <v>06. Educación, infancia, juventud e igualdad</v>
      </c>
      <c r="U1438" s="35" t="str">
        <f>MID(Tabla1[[#This Row],[Aplicación]],9,4)</f>
        <v>3321</v>
      </c>
      <c r="V1438" s="35" t="str">
        <f>VLOOKUP(Tabla1[[#This Row],[PROGRAMA]],Hoja1!A:B,2,FALSE)</f>
        <v>3321. Bibliotecas públicas</v>
      </c>
      <c r="W1438" s="35" t="str">
        <f>MID(Tabla1[[#This Row],[Aplicación]],14,2)</f>
        <v>62</v>
      </c>
      <c r="X1438" s="35" t="str">
        <f>MID(Tabla1[[#This Row],[Aplicación]],14,6)</f>
        <v>622</v>
      </c>
    </row>
    <row r="1439" spans="1:24" x14ac:dyDescent="0.25">
      <c r="A1439" s="45">
        <v>220200049883</v>
      </c>
      <c r="B1439" s="46" t="s">
        <v>9</v>
      </c>
      <c r="C1439" s="47">
        <v>44284</v>
      </c>
      <c r="D1439" s="45">
        <v>22019007679</v>
      </c>
      <c r="E1439" s="46" t="s">
        <v>1991</v>
      </c>
      <c r="F1439" s="48">
        <v>205.63</v>
      </c>
      <c r="G1439" s="46" t="s">
        <v>120</v>
      </c>
      <c r="H1439" s="46" t="s">
        <v>2676</v>
      </c>
      <c r="I1439" s="45" t="s">
        <v>125</v>
      </c>
      <c r="J1439" s="46" t="s">
        <v>126</v>
      </c>
      <c r="K1439" s="46" t="s">
        <v>126</v>
      </c>
      <c r="L1439" s="46" t="s">
        <v>12</v>
      </c>
      <c r="M1439" s="46" t="s">
        <v>13</v>
      </c>
      <c r="N1439" s="46" t="s">
        <v>14</v>
      </c>
      <c r="O1439" s="49" t="s">
        <v>803</v>
      </c>
      <c r="P1439" s="46" t="s">
        <v>507</v>
      </c>
      <c r="Q1439" s="35" t="str">
        <f>MID(Tabla1[[#This Row],[Aplicación]],14,1)</f>
        <v>6</v>
      </c>
      <c r="R1439" s="35" t="s">
        <v>496</v>
      </c>
      <c r="S1439" s="35" t="str">
        <f>MID(Tabla1[[#This Row],[Aplicación]],6,2)</f>
        <v>11</v>
      </c>
      <c r="T1439" s="35" t="str">
        <f>VLOOKUP(Tabla1[[#This Row],[AREA]],Hoja1!A:B,2,FALSE)</f>
        <v>11. Salud pública y seguridad ciudadana</v>
      </c>
      <c r="U1439" s="35" t="str">
        <f>MID(Tabla1[[#This Row],[Aplicación]],9,4)</f>
        <v>1321</v>
      </c>
      <c r="V1439" s="35" t="str">
        <f>VLOOKUP(Tabla1[[#This Row],[PROGRAMA]],Hoja1!A:B,2,FALSE)</f>
        <v>1321. Policía municipal</v>
      </c>
      <c r="W1439" s="35" t="str">
        <f>MID(Tabla1[[#This Row],[Aplicación]],14,2)</f>
        <v>63</v>
      </c>
      <c r="X1439" s="35" t="str">
        <f>MID(Tabla1[[#This Row],[Aplicación]],14,6)</f>
        <v>632</v>
      </c>
    </row>
    <row r="1440" spans="1:24" x14ac:dyDescent="0.25">
      <c r="A1440" s="45">
        <v>220210006046</v>
      </c>
      <c r="B1440" s="46" t="s">
        <v>9</v>
      </c>
      <c r="C1440" s="47">
        <v>44251</v>
      </c>
      <c r="D1440" s="45">
        <v>22021002693</v>
      </c>
      <c r="E1440" s="46" t="s">
        <v>1401</v>
      </c>
      <c r="F1440" s="48">
        <v>1754.5</v>
      </c>
      <c r="G1440" s="46" t="s">
        <v>103</v>
      </c>
      <c r="H1440" s="46" t="s">
        <v>2677</v>
      </c>
      <c r="I1440" s="45" t="s">
        <v>125</v>
      </c>
      <c r="J1440" s="46" t="s">
        <v>127</v>
      </c>
      <c r="K1440" s="46" t="s">
        <v>127</v>
      </c>
      <c r="L1440" s="46" t="s">
        <v>15</v>
      </c>
      <c r="M1440" s="46" t="s">
        <v>10</v>
      </c>
      <c r="N1440" s="46" t="s">
        <v>11</v>
      </c>
      <c r="O1440" s="49" t="s">
        <v>815</v>
      </c>
      <c r="P1440" s="46" t="s">
        <v>507</v>
      </c>
      <c r="Q1440" s="35" t="str">
        <f>MID(Tabla1[[#This Row],[Aplicación]],14,1)</f>
        <v>2</v>
      </c>
      <c r="R1440" s="35" t="s">
        <v>495</v>
      </c>
      <c r="S1440" s="35" t="str">
        <f>MID(Tabla1[[#This Row],[Aplicación]],6,2)</f>
        <v>10</v>
      </c>
      <c r="T1440" s="35" t="str">
        <f>VLOOKUP(Tabla1[[#This Row],[AREA]],Hoja1!A:B,2,FALSE)</f>
        <v>10. Servicios sociales y mediación comunitaria</v>
      </c>
      <c r="U1440" s="35" t="str">
        <f>MID(Tabla1[[#This Row],[Aplicación]],9,4)</f>
        <v>2312</v>
      </c>
      <c r="V1440" s="35" t="str">
        <f>VLOOKUP(Tabla1[[#This Row],[PROGRAMA]],Hoja1!A:B,2,FALSE)</f>
        <v>2312. Iniciativas sociales</v>
      </c>
      <c r="W1440" s="35" t="str">
        <f>MID(Tabla1[[#This Row],[Aplicación]],14,2)</f>
        <v>22</v>
      </c>
      <c r="X1440" s="35" t="str">
        <f>MID(Tabla1[[#This Row],[Aplicación]],14,6)</f>
        <v>22699</v>
      </c>
    </row>
    <row r="1441" spans="1:24" x14ac:dyDescent="0.25">
      <c r="A1441" s="45">
        <v>220200052869</v>
      </c>
      <c r="B1441" s="46" t="s">
        <v>9</v>
      </c>
      <c r="C1441" s="47">
        <v>44284</v>
      </c>
      <c r="D1441" s="45">
        <v>22019007301</v>
      </c>
      <c r="E1441" s="46" t="s">
        <v>2678</v>
      </c>
      <c r="F1441" s="48">
        <v>8657.5499999999993</v>
      </c>
      <c r="G1441" s="46" t="s">
        <v>59</v>
      </c>
      <c r="H1441" s="46" t="s">
        <v>2679</v>
      </c>
      <c r="I1441" s="45" t="s">
        <v>125</v>
      </c>
      <c r="J1441" s="46" t="s">
        <v>127</v>
      </c>
      <c r="K1441" s="46" t="s">
        <v>127</v>
      </c>
      <c r="L1441" s="46" t="s">
        <v>15</v>
      </c>
      <c r="M1441" s="46" t="s">
        <v>10</v>
      </c>
      <c r="N1441" s="46" t="s">
        <v>11</v>
      </c>
      <c r="O1441" s="49" t="s">
        <v>815</v>
      </c>
      <c r="P1441" s="46" t="s">
        <v>507</v>
      </c>
      <c r="Q1441" s="35" t="str">
        <f>MID(Tabla1[[#This Row],[Aplicación]],14,1)</f>
        <v>6</v>
      </c>
      <c r="R1441" s="35" t="s">
        <v>496</v>
      </c>
      <c r="S1441" s="35" t="str">
        <f>MID(Tabla1[[#This Row],[Aplicación]],6,2)</f>
        <v>07</v>
      </c>
      <c r="T1441" s="35" t="str">
        <f>VLOOKUP(Tabla1[[#This Row],[AREA]],Hoja1!A:B,2,FALSE)</f>
        <v>07. Medio ambiente y desarrollo sostenible</v>
      </c>
      <c r="U1441" s="35" t="str">
        <f>MID(Tabla1[[#This Row],[Aplicación]],9,4)</f>
        <v>1721</v>
      </c>
      <c r="V1441" s="35" t="str">
        <f>VLOOKUP(Tabla1[[#This Row],[PROGRAMA]],Hoja1!A:B,2,FALSE)</f>
        <v>1721. Protección del medio ambiente</v>
      </c>
      <c r="W1441" s="35" t="str">
        <f>MID(Tabla1[[#This Row],[Aplicación]],14,2)</f>
        <v>62</v>
      </c>
      <c r="X1441" s="35" t="str">
        <f>MID(Tabla1[[#This Row],[Aplicación]],14,6)</f>
        <v>623</v>
      </c>
    </row>
    <row r="1442" spans="1:24" x14ac:dyDescent="0.25">
      <c r="A1442" s="45">
        <v>220210000340</v>
      </c>
      <c r="B1442" s="46" t="s">
        <v>9</v>
      </c>
      <c r="C1442" s="47">
        <v>44217</v>
      </c>
      <c r="D1442" s="45">
        <v>22021001274</v>
      </c>
      <c r="E1442" s="46" t="s">
        <v>1521</v>
      </c>
      <c r="F1442" s="48">
        <v>1754.92</v>
      </c>
      <c r="G1442" s="46" t="s">
        <v>153</v>
      </c>
      <c r="H1442" s="46" t="s">
        <v>2680</v>
      </c>
      <c r="I1442" s="45" t="s">
        <v>125</v>
      </c>
      <c r="J1442" s="46" t="s">
        <v>729</v>
      </c>
      <c r="K1442" s="46" t="s">
        <v>126</v>
      </c>
      <c r="L1442" s="46" t="s">
        <v>15</v>
      </c>
      <c r="M1442" s="46" t="s">
        <v>10</v>
      </c>
      <c r="N1442" s="46" t="s">
        <v>11</v>
      </c>
      <c r="O1442" s="49" t="s">
        <v>815</v>
      </c>
      <c r="P1442" s="46" t="s">
        <v>507</v>
      </c>
      <c r="Q1442" s="35" t="str">
        <f>MID(Tabla1[[#This Row],[Aplicación]],14,1)</f>
        <v>2</v>
      </c>
      <c r="R1442" s="35" t="s">
        <v>495</v>
      </c>
      <c r="S1442" s="35" t="str">
        <f>MID(Tabla1[[#This Row],[Aplicación]],6,2)</f>
        <v>08</v>
      </c>
      <c r="T1442" s="35" t="str">
        <f>VLOOKUP(Tabla1[[#This Row],[AREA]],Hoja1!A:B,2,FALSE)</f>
        <v>08. Movilidad y espacio urbano</v>
      </c>
      <c r="U1442" s="35" t="str">
        <f>MID(Tabla1[[#This Row],[Aplicación]],9,4)</f>
        <v>1532</v>
      </c>
      <c r="V1442" s="35" t="str">
        <f>VLOOKUP(Tabla1[[#This Row],[PROGRAMA]],Hoja1!A:B,2,FALSE)</f>
        <v>1532. Pavimentación vias públicas y otros servicios urbanísticos</v>
      </c>
      <c r="W1442" s="35" t="str">
        <f>MID(Tabla1[[#This Row],[Aplicación]],14,2)</f>
        <v>20</v>
      </c>
      <c r="X1442" s="35" t="str">
        <f>MID(Tabla1[[#This Row],[Aplicación]],14,6)</f>
        <v>204</v>
      </c>
    </row>
    <row r="1443" spans="1:24" x14ac:dyDescent="0.25">
      <c r="A1443" s="45">
        <v>220200055015</v>
      </c>
      <c r="B1443" s="46" t="s">
        <v>9</v>
      </c>
      <c r="C1443" s="47">
        <v>44284</v>
      </c>
      <c r="D1443" s="45">
        <v>22019005715</v>
      </c>
      <c r="E1443" s="46" t="s">
        <v>1634</v>
      </c>
      <c r="F1443" s="48">
        <v>22022</v>
      </c>
      <c r="G1443" s="46" t="s">
        <v>597</v>
      </c>
      <c r="H1443" s="46" t="s">
        <v>2681</v>
      </c>
      <c r="I1443" s="45" t="s">
        <v>125</v>
      </c>
      <c r="J1443" s="46" t="s">
        <v>127</v>
      </c>
      <c r="K1443" s="46" t="s">
        <v>127</v>
      </c>
      <c r="L1443" s="46" t="s">
        <v>12</v>
      </c>
      <c r="M1443" s="46" t="s">
        <v>13</v>
      </c>
      <c r="N1443" s="46" t="s">
        <v>14</v>
      </c>
      <c r="O1443" s="49" t="s">
        <v>803</v>
      </c>
      <c r="P1443" s="46" t="s">
        <v>507</v>
      </c>
      <c r="Q1443" s="35" t="str">
        <f>MID(Tabla1[[#This Row],[Aplicación]],14,1)</f>
        <v>6</v>
      </c>
      <c r="R1443" s="35" t="s">
        <v>496</v>
      </c>
      <c r="S1443" s="35" t="str">
        <f>MID(Tabla1[[#This Row],[Aplicación]],6,2)</f>
        <v>08</v>
      </c>
      <c r="T1443" s="35" t="str">
        <f>VLOOKUP(Tabla1[[#This Row],[AREA]],Hoja1!A:B,2,FALSE)</f>
        <v>08. Movilidad y espacio urbano</v>
      </c>
      <c r="U1443" s="35" t="str">
        <f>MID(Tabla1[[#This Row],[Aplicación]],9,4)</f>
        <v>1532</v>
      </c>
      <c r="V1443" s="35" t="str">
        <f>VLOOKUP(Tabla1[[#This Row],[PROGRAMA]],Hoja1!A:B,2,FALSE)</f>
        <v>1532. Pavimentación vias públicas y otros servicios urbanísticos</v>
      </c>
      <c r="W1443" s="35" t="str">
        <f>MID(Tabla1[[#This Row],[Aplicación]],14,2)</f>
        <v>60</v>
      </c>
      <c r="X1443" s="35" t="str">
        <f>MID(Tabla1[[#This Row],[Aplicación]],14,6)</f>
        <v>609</v>
      </c>
    </row>
    <row r="1444" spans="1:24" x14ac:dyDescent="0.25">
      <c r="A1444" s="45">
        <v>220200055016</v>
      </c>
      <c r="B1444" s="46" t="s">
        <v>9</v>
      </c>
      <c r="C1444" s="47">
        <v>44284</v>
      </c>
      <c r="D1444" s="45">
        <v>22019005715</v>
      </c>
      <c r="E1444" s="46" t="s">
        <v>1634</v>
      </c>
      <c r="F1444" s="48">
        <v>19602</v>
      </c>
      <c r="G1444" s="46" t="s">
        <v>597</v>
      </c>
      <c r="H1444" s="46" t="s">
        <v>2682</v>
      </c>
      <c r="I1444" s="45" t="s">
        <v>125</v>
      </c>
      <c r="J1444" s="46" t="s">
        <v>127</v>
      </c>
      <c r="K1444" s="46" t="s">
        <v>127</v>
      </c>
      <c r="L1444" s="46" t="s">
        <v>12</v>
      </c>
      <c r="M1444" s="46" t="s">
        <v>13</v>
      </c>
      <c r="N1444" s="46" t="s">
        <v>14</v>
      </c>
      <c r="O1444" s="49" t="s">
        <v>803</v>
      </c>
      <c r="P1444" s="46" t="s">
        <v>507</v>
      </c>
      <c r="Q1444" s="35" t="str">
        <f>MID(Tabla1[[#This Row],[Aplicación]],14,1)</f>
        <v>6</v>
      </c>
      <c r="R1444" s="35" t="s">
        <v>496</v>
      </c>
      <c r="S1444" s="35" t="str">
        <f>MID(Tabla1[[#This Row],[Aplicación]],6,2)</f>
        <v>08</v>
      </c>
      <c r="T1444" s="35" t="str">
        <f>VLOOKUP(Tabla1[[#This Row],[AREA]],Hoja1!A:B,2,FALSE)</f>
        <v>08. Movilidad y espacio urbano</v>
      </c>
      <c r="U1444" s="35" t="str">
        <f>MID(Tabla1[[#This Row],[Aplicación]],9,4)</f>
        <v>1532</v>
      </c>
      <c r="V1444" s="35" t="str">
        <f>VLOOKUP(Tabla1[[#This Row],[PROGRAMA]],Hoja1!A:B,2,FALSE)</f>
        <v>1532. Pavimentación vias públicas y otros servicios urbanísticos</v>
      </c>
      <c r="W1444" s="35" t="str">
        <f>MID(Tabla1[[#This Row],[Aplicación]],14,2)</f>
        <v>60</v>
      </c>
      <c r="X1444" s="35" t="str">
        <f>MID(Tabla1[[#This Row],[Aplicación]],14,6)</f>
        <v>609</v>
      </c>
    </row>
    <row r="1445" spans="1:24" x14ac:dyDescent="0.25">
      <c r="A1445" s="45">
        <v>220210004586</v>
      </c>
      <c r="B1445" s="46" t="s">
        <v>32</v>
      </c>
      <c r="C1445" s="47">
        <v>44246</v>
      </c>
      <c r="D1445" s="45">
        <v>22021002925</v>
      </c>
      <c r="E1445" s="46" t="s">
        <v>1380</v>
      </c>
      <c r="F1445" s="48">
        <v>1758.25</v>
      </c>
      <c r="G1445" s="46" t="s">
        <v>152</v>
      </c>
      <c r="H1445" s="46" t="s">
        <v>2683</v>
      </c>
      <c r="I1445" s="45" t="s">
        <v>234</v>
      </c>
      <c r="J1445" s="46" t="s">
        <v>127</v>
      </c>
      <c r="K1445" s="46" t="s">
        <v>127</v>
      </c>
      <c r="L1445" s="46" t="s">
        <v>12</v>
      </c>
      <c r="M1445" s="46" t="s">
        <v>10</v>
      </c>
      <c r="N1445" s="46" t="s">
        <v>11</v>
      </c>
      <c r="O1445" s="49" t="s">
        <v>815</v>
      </c>
      <c r="P1445" s="46" t="s">
        <v>507</v>
      </c>
      <c r="Q1445" s="35" t="str">
        <f>MID(Tabla1[[#This Row],[Aplicación]],14,1)</f>
        <v>2</v>
      </c>
      <c r="R1445" s="35" t="s">
        <v>495</v>
      </c>
      <c r="S1445" s="35" t="str">
        <f>MID(Tabla1[[#This Row],[Aplicación]],6,2)</f>
        <v>03</v>
      </c>
      <c r="T1445" s="35" t="str">
        <f>VLOOKUP(Tabla1[[#This Row],[AREA]],Hoja1!A:B,2,FALSE)</f>
        <v>03. Participación ciudadana y deportes</v>
      </c>
      <c r="U1445" s="35" t="str">
        <f>MID(Tabla1[[#This Row],[Aplicación]],9,4)</f>
        <v>9241</v>
      </c>
      <c r="V1445" s="35" t="str">
        <f>VLOOKUP(Tabla1[[#This Row],[PROGRAMA]],Hoja1!A:B,2,FALSE)</f>
        <v>9241. Participación ciudadana</v>
      </c>
      <c r="W1445" s="35" t="str">
        <f>MID(Tabla1[[#This Row],[Aplicación]],14,2)</f>
        <v>22</v>
      </c>
      <c r="X1445" s="35" t="str">
        <f>MID(Tabla1[[#This Row],[Aplicación]],14,6)</f>
        <v>22699</v>
      </c>
    </row>
    <row r="1446" spans="1:24" x14ac:dyDescent="0.25">
      <c r="A1446" s="45">
        <v>220200051503</v>
      </c>
      <c r="B1446" s="46" t="s">
        <v>9</v>
      </c>
      <c r="C1446" s="47">
        <v>44284</v>
      </c>
      <c r="D1446" s="45">
        <v>22019007677</v>
      </c>
      <c r="E1446" s="46" t="s">
        <v>1991</v>
      </c>
      <c r="F1446" s="48">
        <v>1041.72</v>
      </c>
      <c r="G1446" s="46" t="s">
        <v>120</v>
      </c>
      <c r="H1446" s="46" t="s">
        <v>2684</v>
      </c>
      <c r="I1446" s="45" t="s">
        <v>125</v>
      </c>
      <c r="J1446" s="46" t="s">
        <v>126</v>
      </c>
      <c r="K1446" s="46" t="s">
        <v>126</v>
      </c>
      <c r="L1446" s="46" t="s">
        <v>31</v>
      </c>
      <c r="M1446" s="46" t="s">
        <v>13</v>
      </c>
      <c r="N1446" s="46" t="s">
        <v>14</v>
      </c>
      <c r="O1446" s="49" t="s">
        <v>803</v>
      </c>
      <c r="P1446" s="46" t="s">
        <v>507</v>
      </c>
      <c r="Q1446" s="35" t="str">
        <f>MID(Tabla1[[#This Row],[Aplicación]],14,1)</f>
        <v>6</v>
      </c>
      <c r="R1446" s="35" t="s">
        <v>496</v>
      </c>
      <c r="S1446" s="35" t="str">
        <f>MID(Tabla1[[#This Row],[Aplicación]],6,2)</f>
        <v>11</v>
      </c>
      <c r="T1446" s="35" t="str">
        <f>VLOOKUP(Tabla1[[#This Row],[AREA]],Hoja1!A:B,2,FALSE)</f>
        <v>11. Salud pública y seguridad ciudadana</v>
      </c>
      <c r="U1446" s="35" t="str">
        <f>MID(Tabla1[[#This Row],[Aplicación]],9,4)</f>
        <v>1321</v>
      </c>
      <c r="V1446" s="35" t="str">
        <f>VLOOKUP(Tabla1[[#This Row],[PROGRAMA]],Hoja1!A:B,2,FALSE)</f>
        <v>1321. Policía municipal</v>
      </c>
      <c r="W1446" s="35" t="str">
        <f>MID(Tabla1[[#This Row],[Aplicación]],14,2)</f>
        <v>63</v>
      </c>
      <c r="X1446" s="35" t="str">
        <f>MID(Tabla1[[#This Row],[Aplicación]],14,6)</f>
        <v>632</v>
      </c>
    </row>
    <row r="1447" spans="1:24" x14ac:dyDescent="0.25">
      <c r="A1447" s="45">
        <v>220200062263</v>
      </c>
      <c r="B1447" s="46" t="s">
        <v>9</v>
      </c>
      <c r="C1447" s="47">
        <v>44284</v>
      </c>
      <c r="D1447" s="45">
        <v>22020006451</v>
      </c>
      <c r="E1447" s="46" t="s">
        <v>1724</v>
      </c>
      <c r="F1447" s="48">
        <v>309.17</v>
      </c>
      <c r="G1447" s="46" t="s">
        <v>120</v>
      </c>
      <c r="H1447" s="46" t="s">
        <v>2685</v>
      </c>
      <c r="I1447" s="45" t="s">
        <v>125</v>
      </c>
      <c r="J1447" s="46" t="s">
        <v>126</v>
      </c>
      <c r="K1447" s="46" t="s">
        <v>126</v>
      </c>
      <c r="L1447" s="46" t="s">
        <v>12</v>
      </c>
      <c r="M1447" s="46" t="s">
        <v>13</v>
      </c>
      <c r="N1447" s="46" t="s">
        <v>14</v>
      </c>
      <c r="O1447" s="49" t="s">
        <v>803</v>
      </c>
      <c r="P1447" s="46" t="s">
        <v>507</v>
      </c>
      <c r="Q1447" s="35" t="str">
        <f>MID(Tabla1[[#This Row],[Aplicación]],14,1)</f>
        <v>6</v>
      </c>
      <c r="R1447" s="35" t="s">
        <v>496</v>
      </c>
      <c r="S1447" s="35" t="str">
        <f>MID(Tabla1[[#This Row],[Aplicación]],6,2)</f>
        <v>07</v>
      </c>
      <c r="T1447" s="35" t="str">
        <f>VLOOKUP(Tabla1[[#This Row],[AREA]],Hoja1!A:B,2,FALSE)</f>
        <v>07. Medio ambiente y desarrollo sostenible</v>
      </c>
      <c r="U1447" s="35" t="str">
        <f>MID(Tabla1[[#This Row],[Aplicación]],9,4)</f>
        <v>1711</v>
      </c>
      <c r="V1447" s="35" t="str">
        <f>VLOOKUP(Tabla1[[#This Row],[PROGRAMA]],Hoja1!A:B,2,FALSE)</f>
        <v>1711. Parques y jardines</v>
      </c>
      <c r="W1447" s="35" t="str">
        <f>MID(Tabla1[[#This Row],[Aplicación]],14,2)</f>
        <v>61</v>
      </c>
      <c r="X1447" s="35" t="str">
        <f>MID(Tabla1[[#This Row],[Aplicación]],14,6)</f>
        <v>619</v>
      </c>
    </row>
    <row r="1448" spans="1:24" x14ac:dyDescent="0.25">
      <c r="A1448" s="45">
        <v>220209000242</v>
      </c>
      <c r="B1448" s="46" t="s">
        <v>9</v>
      </c>
      <c r="C1448" s="47">
        <v>44198</v>
      </c>
      <c r="D1448" s="45">
        <v>22021000249</v>
      </c>
      <c r="E1448" s="46" t="s">
        <v>1501</v>
      </c>
      <c r="F1448" s="48">
        <v>103.38</v>
      </c>
      <c r="G1448" s="46" t="s">
        <v>53</v>
      </c>
      <c r="H1448" s="46" t="s">
        <v>2686</v>
      </c>
      <c r="I1448" s="45" t="s">
        <v>125</v>
      </c>
      <c r="J1448" s="46" t="s">
        <v>127</v>
      </c>
      <c r="K1448" s="46" t="s">
        <v>127</v>
      </c>
      <c r="L1448" s="46" t="s">
        <v>12</v>
      </c>
      <c r="M1448" s="46" t="s">
        <v>13</v>
      </c>
      <c r="N1448" s="46" t="s">
        <v>11</v>
      </c>
      <c r="O1448" s="49" t="s">
        <v>803</v>
      </c>
      <c r="P1448" s="46" t="s">
        <v>507</v>
      </c>
      <c r="Q1448" s="35" t="str">
        <f>MID(Tabla1[[#This Row],[Aplicación]],14,1)</f>
        <v>2</v>
      </c>
      <c r="R1448" s="35" t="s">
        <v>495</v>
      </c>
      <c r="S1448" s="35" t="str">
        <f>MID(Tabla1[[#This Row],[Aplicación]],6,2)</f>
        <v>09</v>
      </c>
      <c r="T1448" s="35" t="str">
        <f>VLOOKUP(Tabla1[[#This Row],[AREA]],Hoja1!A:B,2,FALSE)</f>
        <v>09. Cultura y turismo</v>
      </c>
      <c r="U1448" s="35" t="str">
        <f>MID(Tabla1[[#This Row],[Aplicación]],9,4)</f>
        <v>3341</v>
      </c>
      <c r="V1448" s="35" t="str">
        <f>VLOOKUP(Tabla1[[#This Row],[PROGRAMA]],Hoja1!A:B,2,FALSE)</f>
        <v>3341. Coordinación de políticas culturales</v>
      </c>
      <c r="W1448" s="35" t="str">
        <f>MID(Tabla1[[#This Row],[Aplicación]],14,2)</f>
        <v>22</v>
      </c>
      <c r="X1448" s="35" t="str">
        <f>MID(Tabla1[[#This Row],[Aplicación]],14,6)</f>
        <v>22701</v>
      </c>
    </row>
    <row r="1449" spans="1:24" x14ac:dyDescent="0.25">
      <c r="A1449" s="45">
        <v>220210010511</v>
      </c>
      <c r="B1449" s="46" t="s">
        <v>9</v>
      </c>
      <c r="C1449" s="47">
        <v>44277</v>
      </c>
      <c r="D1449" s="45">
        <v>22021003371</v>
      </c>
      <c r="E1449" s="46" t="s">
        <v>1550</v>
      </c>
      <c r="F1449" s="48">
        <v>1777.65</v>
      </c>
      <c r="G1449" s="46" t="s">
        <v>181</v>
      </c>
      <c r="H1449" s="46" t="s">
        <v>2687</v>
      </c>
      <c r="I1449" s="45" t="s">
        <v>125</v>
      </c>
      <c r="J1449" s="46" t="s">
        <v>675</v>
      </c>
      <c r="K1449" s="46" t="s">
        <v>127</v>
      </c>
      <c r="L1449" s="46" t="s">
        <v>12</v>
      </c>
      <c r="M1449" s="46" t="s">
        <v>10</v>
      </c>
      <c r="N1449" s="46" t="s">
        <v>11</v>
      </c>
      <c r="O1449" s="49" t="s">
        <v>815</v>
      </c>
      <c r="P1449" s="46" t="s">
        <v>507</v>
      </c>
      <c r="Q1449" s="35" t="str">
        <f>MID(Tabla1[[#This Row],[Aplicación]],14,1)</f>
        <v>2</v>
      </c>
      <c r="R1449" s="35" t="s">
        <v>495</v>
      </c>
      <c r="S1449" s="35" t="str">
        <f>MID(Tabla1[[#This Row],[Aplicación]],6,2)</f>
        <v>06</v>
      </c>
      <c r="T1449" s="35" t="str">
        <f>VLOOKUP(Tabla1[[#This Row],[AREA]],Hoja1!A:B,2,FALSE)</f>
        <v>06. Educación, infancia, juventud e igualdad</v>
      </c>
      <c r="U1449" s="35" t="str">
        <f>MID(Tabla1[[#This Row],[Aplicación]],9,4)</f>
        <v>2315</v>
      </c>
      <c r="V1449" s="35" t="str">
        <f>VLOOKUP(Tabla1[[#This Row],[PROGRAMA]],Hoja1!A:B,2,FALSE)</f>
        <v>2315. Políticas de Igualdad e infancia</v>
      </c>
      <c r="W1449" s="35" t="str">
        <f>MID(Tabla1[[#This Row],[Aplicación]],14,2)</f>
        <v>22</v>
      </c>
      <c r="X1449" s="35" t="str">
        <f>MID(Tabla1[[#This Row],[Aplicación]],14,6)</f>
        <v>22799</v>
      </c>
    </row>
    <row r="1450" spans="1:24" x14ac:dyDescent="0.25">
      <c r="A1450" s="45">
        <v>220210000528</v>
      </c>
      <c r="B1450" s="46" t="s">
        <v>9</v>
      </c>
      <c r="C1450" s="47">
        <v>44221</v>
      </c>
      <c r="D1450" s="45">
        <v>22021000896</v>
      </c>
      <c r="E1450" s="46" t="s">
        <v>1932</v>
      </c>
      <c r="F1450" s="48">
        <v>1777.77</v>
      </c>
      <c r="G1450" s="46" t="s">
        <v>39</v>
      </c>
      <c r="H1450" s="46" t="s">
        <v>2447</v>
      </c>
      <c r="I1450" s="45" t="s">
        <v>125</v>
      </c>
      <c r="J1450" s="46" t="s">
        <v>126</v>
      </c>
      <c r="K1450" s="46" t="s">
        <v>126</v>
      </c>
      <c r="L1450" s="46" t="s">
        <v>15</v>
      </c>
      <c r="M1450" s="46" t="s">
        <v>13</v>
      </c>
      <c r="N1450" s="46" t="s">
        <v>14</v>
      </c>
      <c r="O1450" s="49" t="s">
        <v>803</v>
      </c>
      <c r="P1450" s="46" t="s">
        <v>507</v>
      </c>
      <c r="Q1450" s="35" t="str">
        <f>MID(Tabla1[[#This Row],[Aplicación]],14,1)</f>
        <v>2</v>
      </c>
      <c r="R1450" s="35" t="s">
        <v>495</v>
      </c>
      <c r="S1450" s="35" t="str">
        <f>MID(Tabla1[[#This Row],[Aplicación]],6,2)</f>
        <v>10</v>
      </c>
      <c r="T1450" s="35" t="str">
        <f>VLOOKUP(Tabla1[[#This Row],[AREA]],Hoja1!A:B,2,FALSE)</f>
        <v>10. Servicios sociales y mediación comunitaria</v>
      </c>
      <c r="U1450" s="35" t="str">
        <f>MID(Tabla1[[#This Row],[Aplicación]],9,4)</f>
        <v>2412</v>
      </c>
      <c r="V1450" s="35" t="str">
        <f>VLOOKUP(Tabla1[[#This Row],[PROGRAMA]],Hoja1!A:B,2,FALSE)</f>
        <v>2412. Formación para el empleo</v>
      </c>
      <c r="W1450" s="35" t="str">
        <f>MID(Tabla1[[#This Row],[Aplicación]],14,2)</f>
        <v>22</v>
      </c>
      <c r="X1450" s="35" t="str">
        <f>MID(Tabla1[[#This Row],[Aplicación]],14,6)</f>
        <v>22103</v>
      </c>
    </row>
    <row r="1451" spans="1:24" x14ac:dyDescent="0.25">
      <c r="A1451" s="45">
        <v>220199000476</v>
      </c>
      <c r="B1451" s="46" t="s">
        <v>9</v>
      </c>
      <c r="C1451" s="47">
        <v>44198</v>
      </c>
      <c r="D1451" s="45">
        <v>22021000078</v>
      </c>
      <c r="E1451" s="46" t="s">
        <v>827</v>
      </c>
      <c r="F1451" s="48">
        <v>1808.22</v>
      </c>
      <c r="G1451" s="46" t="s">
        <v>134</v>
      </c>
      <c r="H1451" s="46" t="s">
        <v>658</v>
      </c>
      <c r="I1451" s="45" t="s">
        <v>125</v>
      </c>
      <c r="J1451" s="46" t="s">
        <v>659</v>
      </c>
      <c r="K1451" s="46" t="s">
        <v>127</v>
      </c>
      <c r="L1451" s="46" t="s">
        <v>12</v>
      </c>
      <c r="M1451" s="46" t="s">
        <v>13</v>
      </c>
      <c r="N1451" s="46" t="s">
        <v>14</v>
      </c>
      <c r="O1451" s="49" t="s">
        <v>803</v>
      </c>
      <c r="P1451" s="46" t="s">
        <v>507</v>
      </c>
      <c r="Q1451" s="35" t="str">
        <f>MID(Tabla1[[#This Row],[Aplicación]],14,1)</f>
        <v>2</v>
      </c>
      <c r="R1451" s="35" t="s">
        <v>495</v>
      </c>
      <c r="S1451" s="35" t="str">
        <f>MID(Tabla1[[#This Row],[Aplicación]],6,2)</f>
        <v>04</v>
      </c>
      <c r="T1451" s="35" t="str">
        <f>VLOOKUP(Tabla1[[#This Row],[AREA]],Hoja1!A:B,2,FALSE)</f>
        <v>04. Planificación y recursos</v>
      </c>
      <c r="U1451" s="35" t="str">
        <f>MID(Tabla1[[#This Row],[Aplicación]],9,4)</f>
        <v>9204</v>
      </c>
      <c r="V1451" s="35" t="str">
        <f>VLOOKUP(Tabla1[[#This Row],[PROGRAMA]],Hoja1!A:B,2,FALSE)</f>
        <v>9204. Tecnologías de la información y comunicación</v>
      </c>
      <c r="W1451" s="35" t="str">
        <f>MID(Tabla1[[#This Row],[Aplicación]],14,2)</f>
        <v>21</v>
      </c>
      <c r="X1451" s="35" t="str">
        <f>MID(Tabla1[[#This Row],[Aplicación]],14,6)</f>
        <v>216</v>
      </c>
    </row>
    <row r="1452" spans="1:24" x14ac:dyDescent="0.25">
      <c r="A1452" s="45">
        <v>220200063427</v>
      </c>
      <c r="B1452" s="46" t="s">
        <v>9</v>
      </c>
      <c r="C1452" s="47">
        <v>44284</v>
      </c>
      <c r="D1452" s="45">
        <v>22020006806</v>
      </c>
      <c r="E1452" s="46" t="s">
        <v>1483</v>
      </c>
      <c r="F1452" s="48">
        <v>17583.3</v>
      </c>
      <c r="G1452" s="46" t="s">
        <v>575</v>
      </c>
      <c r="H1452" s="46" t="s">
        <v>2688</v>
      </c>
      <c r="I1452" s="45" t="s">
        <v>125</v>
      </c>
      <c r="J1452" s="46" t="s">
        <v>127</v>
      </c>
      <c r="K1452" s="46" t="s">
        <v>127</v>
      </c>
      <c r="L1452" s="46" t="s">
        <v>31</v>
      </c>
      <c r="M1452" s="46" t="s">
        <v>10</v>
      </c>
      <c r="N1452" s="46" t="s">
        <v>11</v>
      </c>
      <c r="O1452" s="49" t="s">
        <v>815</v>
      </c>
      <c r="P1452" s="46" t="s">
        <v>507</v>
      </c>
      <c r="Q1452" s="35" t="str">
        <f>MID(Tabla1[[#This Row],[Aplicación]],14,1)</f>
        <v>6</v>
      </c>
      <c r="R1452" s="35" t="s">
        <v>496</v>
      </c>
      <c r="S1452" s="35" t="str">
        <f>MID(Tabla1[[#This Row],[Aplicación]],6,2)</f>
        <v>03</v>
      </c>
      <c r="T1452" s="35" t="str">
        <f>VLOOKUP(Tabla1[[#This Row],[AREA]],Hoja1!A:B,2,FALSE)</f>
        <v>03. Participación ciudadana y deportes</v>
      </c>
      <c r="U1452" s="35" t="str">
        <f>MID(Tabla1[[#This Row],[Aplicación]],9,4)</f>
        <v>9241</v>
      </c>
      <c r="V1452" s="35" t="str">
        <f>VLOOKUP(Tabla1[[#This Row],[PROGRAMA]],Hoja1!A:B,2,FALSE)</f>
        <v>9241. Participación ciudadana</v>
      </c>
      <c r="W1452" s="35" t="str">
        <f>MID(Tabla1[[#This Row],[Aplicación]],14,2)</f>
        <v>63</v>
      </c>
      <c r="X1452" s="35" t="str">
        <f>MID(Tabla1[[#This Row],[Aplicación]],14,6)</f>
        <v>632</v>
      </c>
    </row>
    <row r="1453" spans="1:24" x14ac:dyDescent="0.25">
      <c r="A1453" s="45">
        <v>220200062264</v>
      </c>
      <c r="B1453" s="46" t="s">
        <v>9</v>
      </c>
      <c r="C1453" s="47">
        <v>44284</v>
      </c>
      <c r="D1453" s="45">
        <v>22020006452</v>
      </c>
      <c r="E1453" s="46" t="s">
        <v>1724</v>
      </c>
      <c r="F1453" s="48">
        <v>99.28</v>
      </c>
      <c r="G1453" s="46" t="s">
        <v>120</v>
      </c>
      <c r="H1453" s="46" t="s">
        <v>1928</v>
      </c>
      <c r="I1453" s="45" t="s">
        <v>125</v>
      </c>
      <c r="J1453" s="46" t="s">
        <v>126</v>
      </c>
      <c r="K1453" s="46" t="s">
        <v>126</v>
      </c>
      <c r="L1453" s="46" t="s">
        <v>12</v>
      </c>
      <c r="M1453" s="46" t="s">
        <v>13</v>
      </c>
      <c r="N1453" s="46" t="s">
        <v>14</v>
      </c>
      <c r="O1453" s="49" t="s">
        <v>803</v>
      </c>
      <c r="P1453" s="46" t="s">
        <v>507</v>
      </c>
      <c r="Q1453" s="35" t="str">
        <f>MID(Tabla1[[#This Row],[Aplicación]],14,1)</f>
        <v>6</v>
      </c>
      <c r="R1453" s="35" t="s">
        <v>496</v>
      </c>
      <c r="S1453" s="35" t="str">
        <f>MID(Tabla1[[#This Row],[Aplicación]],6,2)</f>
        <v>07</v>
      </c>
      <c r="T1453" s="35" t="str">
        <f>VLOOKUP(Tabla1[[#This Row],[AREA]],Hoja1!A:B,2,FALSE)</f>
        <v>07. Medio ambiente y desarrollo sostenible</v>
      </c>
      <c r="U1453" s="35" t="str">
        <f>MID(Tabla1[[#This Row],[Aplicación]],9,4)</f>
        <v>1711</v>
      </c>
      <c r="V1453" s="35" t="str">
        <f>VLOOKUP(Tabla1[[#This Row],[PROGRAMA]],Hoja1!A:B,2,FALSE)</f>
        <v>1711. Parques y jardines</v>
      </c>
      <c r="W1453" s="35" t="str">
        <f>MID(Tabla1[[#This Row],[Aplicación]],14,2)</f>
        <v>61</v>
      </c>
      <c r="X1453" s="35" t="str">
        <f>MID(Tabla1[[#This Row],[Aplicación]],14,6)</f>
        <v>619</v>
      </c>
    </row>
    <row r="1454" spans="1:24" x14ac:dyDescent="0.25">
      <c r="A1454" s="45">
        <v>220210012685</v>
      </c>
      <c r="B1454" s="46" t="s">
        <v>9</v>
      </c>
      <c r="C1454" s="47">
        <v>44280</v>
      </c>
      <c r="D1454" s="45">
        <v>22021003459</v>
      </c>
      <c r="E1454" s="46" t="s">
        <v>1187</v>
      </c>
      <c r="F1454" s="48">
        <v>1809.2</v>
      </c>
      <c r="G1454" s="46" t="s">
        <v>93</v>
      </c>
      <c r="H1454" s="46" t="s">
        <v>2689</v>
      </c>
      <c r="I1454" s="45" t="s">
        <v>125</v>
      </c>
      <c r="J1454" s="46" t="s">
        <v>127</v>
      </c>
      <c r="K1454" s="46" t="s">
        <v>127</v>
      </c>
      <c r="L1454" s="46" t="s">
        <v>12</v>
      </c>
      <c r="M1454" s="46" t="s">
        <v>10</v>
      </c>
      <c r="N1454" s="46" t="s">
        <v>11</v>
      </c>
      <c r="O1454" s="49" t="s">
        <v>815</v>
      </c>
      <c r="P1454" s="46" t="s">
        <v>507</v>
      </c>
      <c r="Q1454" s="35" t="str">
        <f>MID(Tabla1[[#This Row],[Aplicación]],14,1)</f>
        <v>2</v>
      </c>
      <c r="R1454" s="35" t="s">
        <v>495</v>
      </c>
      <c r="S1454" s="35" t="str">
        <f>MID(Tabla1[[#This Row],[Aplicación]],6,2)</f>
        <v>06</v>
      </c>
      <c r="T1454" s="35" t="str">
        <f>VLOOKUP(Tabla1[[#This Row],[AREA]],Hoja1!A:B,2,FALSE)</f>
        <v>06. Educación, infancia, juventud e igualdad</v>
      </c>
      <c r="U1454" s="35" t="str">
        <f>MID(Tabla1[[#This Row],[Aplicación]],9,4)</f>
        <v>2315</v>
      </c>
      <c r="V1454" s="35" t="str">
        <f>VLOOKUP(Tabla1[[#This Row],[PROGRAMA]],Hoja1!A:B,2,FALSE)</f>
        <v>2315. Políticas de Igualdad e infancia</v>
      </c>
      <c r="W1454" s="35" t="str">
        <f>MID(Tabla1[[#This Row],[Aplicación]],14,2)</f>
        <v>22</v>
      </c>
      <c r="X1454" s="35" t="str">
        <f>MID(Tabla1[[#This Row],[Aplicación]],14,6)</f>
        <v>22611</v>
      </c>
    </row>
    <row r="1455" spans="1:24" x14ac:dyDescent="0.25">
      <c r="A1455" s="45">
        <v>220210007181</v>
      </c>
      <c r="B1455" s="46" t="s">
        <v>9</v>
      </c>
      <c r="C1455" s="47">
        <v>44263</v>
      </c>
      <c r="D1455" s="45">
        <v>22021003328</v>
      </c>
      <c r="E1455" s="46" t="s">
        <v>1267</v>
      </c>
      <c r="F1455" s="48">
        <v>1883.97</v>
      </c>
      <c r="G1455" s="46" t="s">
        <v>584</v>
      </c>
      <c r="H1455" s="46" t="s">
        <v>2690</v>
      </c>
      <c r="I1455" s="45" t="s">
        <v>125</v>
      </c>
      <c r="J1455" s="46" t="s">
        <v>740</v>
      </c>
      <c r="K1455" s="46" t="s">
        <v>165</v>
      </c>
      <c r="L1455" s="46" t="s">
        <v>12</v>
      </c>
      <c r="M1455" s="46" t="s">
        <v>10</v>
      </c>
      <c r="N1455" s="46" t="s">
        <v>11</v>
      </c>
      <c r="O1455" s="49" t="s">
        <v>815</v>
      </c>
      <c r="P1455" s="46" t="s">
        <v>507</v>
      </c>
      <c r="Q1455" s="35" t="str">
        <f>MID(Tabla1[[#This Row],[Aplicación]],14,1)</f>
        <v>2</v>
      </c>
      <c r="R1455" s="35" t="s">
        <v>495</v>
      </c>
      <c r="S1455" s="35" t="str">
        <f>MID(Tabla1[[#This Row],[Aplicación]],6,2)</f>
        <v>03</v>
      </c>
      <c r="T1455" s="35" t="str">
        <f>VLOOKUP(Tabla1[[#This Row],[AREA]],Hoja1!A:B,2,FALSE)</f>
        <v>03. Participación ciudadana y deportes</v>
      </c>
      <c r="U1455" s="35" t="str">
        <f>MID(Tabla1[[#This Row],[Aplicación]],9,4)</f>
        <v>9241</v>
      </c>
      <c r="V1455" s="35" t="str">
        <f>VLOOKUP(Tabla1[[#This Row],[PROGRAMA]],Hoja1!A:B,2,FALSE)</f>
        <v>9241. Participación ciudadana</v>
      </c>
      <c r="W1455" s="35" t="str">
        <f>MID(Tabla1[[#This Row],[Aplicación]],14,2)</f>
        <v>22</v>
      </c>
      <c r="X1455" s="35" t="str">
        <f>MID(Tabla1[[#This Row],[Aplicación]],14,6)</f>
        <v>22602</v>
      </c>
    </row>
    <row r="1456" spans="1:24" x14ac:dyDescent="0.25">
      <c r="A1456" s="45">
        <v>220209000828</v>
      </c>
      <c r="B1456" s="46" t="s">
        <v>9</v>
      </c>
      <c r="C1456" s="47">
        <v>44198</v>
      </c>
      <c r="D1456" s="45">
        <v>22021001160</v>
      </c>
      <c r="E1456" s="46" t="s">
        <v>827</v>
      </c>
      <c r="F1456" s="48">
        <v>1886.63</v>
      </c>
      <c r="G1456" s="46" t="s">
        <v>296</v>
      </c>
      <c r="H1456" s="46" t="s">
        <v>718</v>
      </c>
      <c r="I1456" s="45" t="s">
        <v>125</v>
      </c>
      <c r="J1456" s="46" t="s">
        <v>719</v>
      </c>
      <c r="K1456" s="46" t="s">
        <v>126</v>
      </c>
      <c r="L1456" s="46" t="s">
        <v>12</v>
      </c>
      <c r="M1456" s="46" t="s">
        <v>10</v>
      </c>
      <c r="N1456" s="46" t="s">
        <v>11</v>
      </c>
      <c r="O1456" s="49" t="s">
        <v>815</v>
      </c>
      <c r="P1456" s="46" t="s">
        <v>507</v>
      </c>
      <c r="Q1456" s="35" t="str">
        <f>MID(Tabla1[[#This Row],[Aplicación]],14,1)</f>
        <v>2</v>
      </c>
      <c r="R1456" s="35" t="s">
        <v>495</v>
      </c>
      <c r="S1456" s="35" t="str">
        <f>MID(Tabla1[[#This Row],[Aplicación]],6,2)</f>
        <v>04</v>
      </c>
      <c r="T1456" s="35" t="str">
        <f>VLOOKUP(Tabla1[[#This Row],[AREA]],Hoja1!A:B,2,FALSE)</f>
        <v>04. Planificación y recursos</v>
      </c>
      <c r="U1456" s="35" t="str">
        <f>MID(Tabla1[[#This Row],[Aplicación]],9,4)</f>
        <v>9204</v>
      </c>
      <c r="V1456" s="35" t="str">
        <f>VLOOKUP(Tabla1[[#This Row],[PROGRAMA]],Hoja1!A:B,2,FALSE)</f>
        <v>9204. Tecnologías de la información y comunicación</v>
      </c>
      <c r="W1456" s="35" t="str">
        <f>MID(Tabla1[[#This Row],[Aplicación]],14,2)</f>
        <v>21</v>
      </c>
      <c r="X1456" s="35" t="str">
        <f>MID(Tabla1[[#This Row],[Aplicación]],14,6)</f>
        <v>216</v>
      </c>
    </row>
    <row r="1457" spans="1:24" x14ac:dyDescent="0.25">
      <c r="A1457" s="45">
        <v>220209000651</v>
      </c>
      <c r="B1457" s="46" t="s">
        <v>9</v>
      </c>
      <c r="C1457" s="47">
        <v>44198</v>
      </c>
      <c r="D1457" s="45">
        <v>22021002457</v>
      </c>
      <c r="E1457" s="46" t="s">
        <v>2691</v>
      </c>
      <c r="F1457" s="48">
        <v>1087.25</v>
      </c>
      <c r="G1457" s="46" t="s">
        <v>101</v>
      </c>
      <c r="H1457" s="46" t="s">
        <v>2692</v>
      </c>
      <c r="I1457" s="45" t="s">
        <v>125</v>
      </c>
      <c r="J1457" s="46" t="s">
        <v>127</v>
      </c>
      <c r="K1457" s="46" t="s">
        <v>127</v>
      </c>
      <c r="L1457" s="46" t="s">
        <v>12</v>
      </c>
      <c r="M1457" s="46" t="s">
        <v>13</v>
      </c>
      <c r="N1457" s="46" t="s">
        <v>14</v>
      </c>
      <c r="O1457" s="49" t="s">
        <v>803</v>
      </c>
      <c r="P1457" s="46" t="s">
        <v>507</v>
      </c>
      <c r="Q1457" s="35" t="str">
        <f>MID(Tabla1[[#This Row],[Aplicación]],14,1)</f>
        <v>2</v>
      </c>
      <c r="R1457" s="35" t="s">
        <v>495</v>
      </c>
      <c r="S1457" s="35" t="str">
        <f>MID(Tabla1[[#This Row],[Aplicación]],6,2)</f>
        <v>08</v>
      </c>
      <c r="T1457" s="35" t="str">
        <f>VLOOKUP(Tabla1[[#This Row],[AREA]],Hoja1!A:B,2,FALSE)</f>
        <v>08. Movilidad y espacio urbano</v>
      </c>
      <c r="U1457" s="35" t="str">
        <f>MID(Tabla1[[#This Row],[Aplicación]],9,4)</f>
        <v>1651</v>
      </c>
      <c r="V1457" s="35" t="str">
        <f>VLOOKUP(Tabla1[[#This Row],[PROGRAMA]],Hoja1!A:B,2,FALSE)</f>
        <v>1651. Alumbrado público</v>
      </c>
      <c r="W1457" s="35" t="str">
        <f>MID(Tabla1[[#This Row],[Aplicación]],14,2)</f>
        <v>22</v>
      </c>
      <c r="X1457" s="35" t="str">
        <f>MID(Tabla1[[#This Row],[Aplicación]],14,6)</f>
        <v>22700</v>
      </c>
    </row>
    <row r="1458" spans="1:24" x14ac:dyDescent="0.25">
      <c r="A1458" s="45">
        <v>220209000238</v>
      </c>
      <c r="B1458" s="46" t="s">
        <v>9</v>
      </c>
      <c r="C1458" s="47">
        <v>44198</v>
      </c>
      <c r="D1458" s="45">
        <v>22021000246</v>
      </c>
      <c r="E1458" s="46" t="s">
        <v>1251</v>
      </c>
      <c r="F1458" s="48">
        <v>1936</v>
      </c>
      <c r="G1458" s="46" t="s">
        <v>514</v>
      </c>
      <c r="H1458" s="46" t="s">
        <v>2693</v>
      </c>
      <c r="I1458" s="45" t="s">
        <v>125</v>
      </c>
      <c r="J1458" s="46" t="s">
        <v>127</v>
      </c>
      <c r="K1458" s="46" t="s">
        <v>127</v>
      </c>
      <c r="L1458" s="46" t="s">
        <v>12</v>
      </c>
      <c r="M1458" s="46" t="s">
        <v>10</v>
      </c>
      <c r="N1458" s="46" t="s">
        <v>11</v>
      </c>
      <c r="O1458" s="49" t="s">
        <v>815</v>
      </c>
      <c r="P1458" s="46" t="s">
        <v>507</v>
      </c>
      <c r="Q1458" s="35" t="str">
        <f>MID(Tabla1[[#This Row],[Aplicación]],14,1)</f>
        <v>2</v>
      </c>
      <c r="R1458" s="35" t="s">
        <v>495</v>
      </c>
      <c r="S1458" s="35" t="str">
        <f>MID(Tabla1[[#This Row],[Aplicación]],6,2)</f>
        <v>09</v>
      </c>
      <c r="T1458" s="35" t="str">
        <f>VLOOKUP(Tabla1[[#This Row],[AREA]],Hoja1!A:B,2,FALSE)</f>
        <v>09. Cultura y turismo</v>
      </c>
      <c r="U1458" s="35" t="str">
        <f>MID(Tabla1[[#This Row],[Aplicación]],9,4)</f>
        <v>3301</v>
      </c>
      <c r="V1458" s="35" t="str">
        <f>VLOOKUP(Tabla1[[#This Row],[PROGRAMA]],Hoja1!A:B,2,FALSE)</f>
        <v>3301. Dirección del área de cultura</v>
      </c>
      <c r="W1458" s="35" t="str">
        <f>MID(Tabla1[[#This Row],[Aplicación]],14,2)</f>
        <v>22</v>
      </c>
      <c r="X1458" s="35" t="str">
        <f>MID(Tabla1[[#This Row],[Aplicación]],14,6)</f>
        <v>22799</v>
      </c>
    </row>
    <row r="1459" spans="1:24" x14ac:dyDescent="0.25">
      <c r="A1459" s="45">
        <v>220210001914</v>
      </c>
      <c r="B1459" s="46" t="s">
        <v>9</v>
      </c>
      <c r="C1459" s="47">
        <v>44231</v>
      </c>
      <c r="D1459" s="45">
        <v>22021002148</v>
      </c>
      <c r="E1459" s="46" t="s">
        <v>1263</v>
      </c>
      <c r="F1459" s="48">
        <v>1950.91</v>
      </c>
      <c r="G1459" s="46" t="s">
        <v>95</v>
      </c>
      <c r="H1459" s="46" t="s">
        <v>2694</v>
      </c>
      <c r="I1459" s="45" t="s">
        <v>125</v>
      </c>
      <c r="J1459" s="46" t="s">
        <v>146</v>
      </c>
      <c r="K1459" s="46" t="s">
        <v>146</v>
      </c>
      <c r="L1459" s="46" t="s">
        <v>12</v>
      </c>
      <c r="M1459" s="46" t="s">
        <v>10</v>
      </c>
      <c r="N1459" s="46" t="s">
        <v>11</v>
      </c>
      <c r="O1459" s="49" t="s">
        <v>815</v>
      </c>
      <c r="P1459" s="46" t="s">
        <v>507</v>
      </c>
      <c r="Q1459" s="35" t="str">
        <f>MID(Tabla1[[#This Row],[Aplicación]],14,1)</f>
        <v>2</v>
      </c>
      <c r="R1459" s="35" t="s">
        <v>495</v>
      </c>
      <c r="S1459" s="35" t="str">
        <f>MID(Tabla1[[#This Row],[Aplicación]],6,2)</f>
        <v>02</v>
      </c>
      <c r="T1459" s="35" t="str">
        <f>VLOOKUP(Tabla1[[#This Row],[AREA]],Hoja1!A:B,2,FALSE)</f>
        <v>02. Planeamiento urbanístico y vivienda</v>
      </c>
      <c r="U1459" s="35" t="str">
        <f>MID(Tabla1[[#This Row],[Aplicación]],9,4)</f>
        <v>9332</v>
      </c>
      <c r="V1459" s="35" t="str">
        <f>VLOOKUP(Tabla1[[#This Row],[PROGRAMA]],Hoja1!A:B,2,FALSE)</f>
        <v>9332. Mantenimiento de edificios e instalaciones municipales</v>
      </c>
      <c r="W1459" s="35" t="str">
        <f>MID(Tabla1[[#This Row],[Aplicación]],14,2)</f>
        <v>21</v>
      </c>
      <c r="X1459" s="35" t="str">
        <f>MID(Tabla1[[#This Row],[Aplicación]],14,6)</f>
        <v>213</v>
      </c>
    </row>
    <row r="1460" spans="1:24" x14ac:dyDescent="0.25">
      <c r="A1460" s="45">
        <v>220210002854</v>
      </c>
      <c r="B1460" s="46" t="s">
        <v>9</v>
      </c>
      <c r="C1460" s="47">
        <v>44238</v>
      </c>
      <c r="D1460" s="45">
        <v>22021002294</v>
      </c>
      <c r="E1460" s="46" t="s">
        <v>1288</v>
      </c>
      <c r="F1460" s="48">
        <v>2000</v>
      </c>
      <c r="G1460" s="46" t="s">
        <v>533</v>
      </c>
      <c r="H1460" s="46" t="s">
        <v>2695</v>
      </c>
      <c r="I1460" s="45" t="s">
        <v>125</v>
      </c>
      <c r="J1460" s="46" t="s">
        <v>778</v>
      </c>
      <c r="K1460" s="46" t="s">
        <v>126</v>
      </c>
      <c r="L1460" s="46" t="s">
        <v>15</v>
      </c>
      <c r="M1460" s="46" t="s">
        <v>10</v>
      </c>
      <c r="N1460" s="46" t="s">
        <v>11</v>
      </c>
      <c r="O1460" s="49" t="s">
        <v>815</v>
      </c>
      <c r="P1460" s="46" t="s">
        <v>507</v>
      </c>
      <c r="Q1460" s="35" t="str">
        <f>MID(Tabla1[[#This Row],[Aplicación]],14,1)</f>
        <v>2</v>
      </c>
      <c r="R1460" s="35" t="s">
        <v>495</v>
      </c>
      <c r="S1460" s="35" t="str">
        <f>MID(Tabla1[[#This Row],[Aplicación]],6,2)</f>
        <v>04</v>
      </c>
      <c r="T1460" s="35" t="str">
        <f>VLOOKUP(Tabla1[[#This Row],[AREA]],Hoja1!A:B,2,FALSE)</f>
        <v>04. Planificación y recursos</v>
      </c>
      <c r="U1460" s="35" t="str">
        <f>MID(Tabla1[[#This Row],[Aplicación]],9,4)</f>
        <v>3121</v>
      </c>
      <c r="V1460" s="35" t="str">
        <f>VLOOKUP(Tabla1[[#This Row],[PROGRAMA]],Hoja1!A:B,2,FALSE)</f>
        <v>3121. Prevención y salud laboral</v>
      </c>
      <c r="W1460" s="35" t="str">
        <f>MID(Tabla1[[#This Row],[Aplicación]],14,2)</f>
        <v>22</v>
      </c>
      <c r="X1460" s="35" t="str">
        <f>MID(Tabla1[[#This Row],[Aplicación]],14,6)</f>
        <v>22106</v>
      </c>
    </row>
    <row r="1461" spans="1:24" x14ac:dyDescent="0.25">
      <c r="A1461" s="45">
        <v>220200071538</v>
      </c>
      <c r="B1461" s="46" t="s">
        <v>9</v>
      </c>
      <c r="C1461" s="47">
        <v>44284</v>
      </c>
      <c r="D1461" s="45">
        <v>22020007416</v>
      </c>
      <c r="E1461" s="46" t="s">
        <v>2696</v>
      </c>
      <c r="F1461" s="48">
        <v>1739</v>
      </c>
      <c r="G1461" s="46" t="s">
        <v>2697</v>
      </c>
      <c r="H1461" s="46" t="s">
        <v>2698</v>
      </c>
      <c r="I1461" s="45" t="s">
        <v>125</v>
      </c>
      <c r="J1461" s="46" t="s">
        <v>127</v>
      </c>
      <c r="K1461" s="46" t="s">
        <v>127</v>
      </c>
      <c r="L1461" s="46" t="s">
        <v>15</v>
      </c>
      <c r="M1461" s="46" t="s">
        <v>10</v>
      </c>
      <c r="N1461" s="46" t="s">
        <v>11</v>
      </c>
      <c r="O1461" s="49" t="s">
        <v>815</v>
      </c>
      <c r="P1461" s="46" t="s">
        <v>507</v>
      </c>
      <c r="Q1461" s="35" t="str">
        <f>MID(Tabla1[[#This Row],[Aplicación]],14,1)</f>
        <v>6</v>
      </c>
      <c r="R1461" s="35" t="s">
        <v>496</v>
      </c>
      <c r="S1461" s="35" t="str">
        <f>MID(Tabla1[[#This Row],[Aplicación]],6,2)</f>
        <v>06</v>
      </c>
      <c r="T1461" s="35" t="str">
        <f>VLOOKUP(Tabla1[[#This Row],[AREA]],Hoja1!A:B,2,FALSE)</f>
        <v>06. Educación, infancia, juventud e igualdad</v>
      </c>
      <c r="U1461" s="35" t="str">
        <f>MID(Tabla1[[#This Row],[Aplicación]],9,4)</f>
        <v>3321</v>
      </c>
      <c r="V1461" s="35" t="str">
        <f>VLOOKUP(Tabla1[[#This Row],[PROGRAMA]],Hoja1!A:B,2,FALSE)</f>
        <v>3321. Bibliotecas públicas</v>
      </c>
      <c r="W1461" s="35" t="str">
        <f>MID(Tabla1[[#This Row],[Aplicación]],14,2)</f>
        <v>62</v>
      </c>
      <c r="X1461" s="35" t="str">
        <f>MID(Tabla1[[#This Row],[Aplicación]],14,6)</f>
        <v>625</v>
      </c>
    </row>
    <row r="1462" spans="1:24" x14ac:dyDescent="0.25">
      <c r="A1462" s="45">
        <v>220200071764</v>
      </c>
      <c r="B1462" s="46" t="s">
        <v>9</v>
      </c>
      <c r="C1462" s="47">
        <v>44284</v>
      </c>
      <c r="D1462" s="45">
        <v>22020007283</v>
      </c>
      <c r="E1462" s="46" t="s">
        <v>2699</v>
      </c>
      <c r="F1462" s="48">
        <v>8530.5</v>
      </c>
      <c r="G1462" s="46" t="s">
        <v>2700</v>
      </c>
      <c r="H1462" s="46" t="s">
        <v>2701</v>
      </c>
      <c r="I1462" s="45" t="s">
        <v>125</v>
      </c>
      <c r="J1462" s="46" t="s">
        <v>127</v>
      </c>
      <c r="K1462" s="46" t="s">
        <v>127</v>
      </c>
      <c r="L1462" s="46" t="s">
        <v>15</v>
      </c>
      <c r="M1462" s="46" t="s">
        <v>10</v>
      </c>
      <c r="N1462" s="46" t="s">
        <v>11</v>
      </c>
      <c r="O1462" s="49" t="s">
        <v>815</v>
      </c>
      <c r="P1462" s="46" t="s">
        <v>507</v>
      </c>
      <c r="Q1462" s="35" t="str">
        <f>MID(Tabla1[[#This Row],[Aplicación]],14,1)</f>
        <v>6</v>
      </c>
      <c r="R1462" s="35" t="s">
        <v>496</v>
      </c>
      <c r="S1462" s="35" t="str">
        <f>MID(Tabla1[[#This Row],[Aplicación]],6,2)</f>
        <v>01</v>
      </c>
      <c r="T1462" s="35" t="str">
        <f>VLOOKUP(Tabla1[[#This Row],[AREA]],Hoja1!A:B,2,FALSE)</f>
        <v>01. Alcaldía</v>
      </c>
      <c r="U1462" s="35" t="str">
        <f>MID(Tabla1[[#This Row],[Aplicación]],9,4)</f>
        <v>9205</v>
      </c>
      <c r="V1462" s="35" t="str">
        <f>VLOOKUP(Tabla1[[#This Row],[PROGRAMA]],Hoja1!A:B,2,FALSE)</f>
        <v>9205. Imprenta municipal</v>
      </c>
      <c r="W1462" s="35" t="str">
        <f>MID(Tabla1[[#This Row],[Aplicación]],14,2)</f>
        <v>62</v>
      </c>
      <c r="X1462" s="35" t="str">
        <f>MID(Tabla1[[#This Row],[Aplicación]],14,6)</f>
        <v>623</v>
      </c>
    </row>
    <row r="1463" spans="1:24" x14ac:dyDescent="0.25">
      <c r="A1463" s="45">
        <v>220200049882</v>
      </c>
      <c r="B1463" s="46" t="s">
        <v>9</v>
      </c>
      <c r="C1463" s="47">
        <v>44284</v>
      </c>
      <c r="D1463" s="45">
        <v>22019007679</v>
      </c>
      <c r="E1463" s="46" t="s">
        <v>1991</v>
      </c>
      <c r="F1463" s="48">
        <v>351</v>
      </c>
      <c r="G1463" s="46" t="s">
        <v>121</v>
      </c>
      <c r="H1463" s="46" t="s">
        <v>2702</v>
      </c>
      <c r="I1463" s="45" t="s">
        <v>125</v>
      </c>
      <c r="J1463" s="46" t="s">
        <v>664</v>
      </c>
      <c r="K1463" s="46" t="s">
        <v>127</v>
      </c>
      <c r="L1463" s="46" t="s">
        <v>12</v>
      </c>
      <c r="M1463" s="46" t="s">
        <v>13</v>
      </c>
      <c r="N1463" s="46" t="s">
        <v>14</v>
      </c>
      <c r="O1463" s="49" t="s">
        <v>803</v>
      </c>
      <c r="P1463" s="46" t="s">
        <v>507</v>
      </c>
      <c r="Q1463" s="35" t="str">
        <f>MID(Tabla1[[#This Row],[Aplicación]],14,1)</f>
        <v>6</v>
      </c>
      <c r="R1463" s="35" t="s">
        <v>496</v>
      </c>
      <c r="S1463" s="35" t="str">
        <f>MID(Tabla1[[#This Row],[Aplicación]],6,2)</f>
        <v>11</v>
      </c>
      <c r="T1463" s="35" t="str">
        <f>VLOOKUP(Tabla1[[#This Row],[AREA]],Hoja1!A:B,2,FALSE)</f>
        <v>11. Salud pública y seguridad ciudadana</v>
      </c>
      <c r="U1463" s="35" t="str">
        <f>MID(Tabla1[[#This Row],[Aplicación]],9,4)</f>
        <v>1321</v>
      </c>
      <c r="V1463" s="35" t="str">
        <f>VLOOKUP(Tabla1[[#This Row],[PROGRAMA]],Hoja1!A:B,2,FALSE)</f>
        <v>1321. Policía municipal</v>
      </c>
      <c r="W1463" s="35" t="str">
        <f>MID(Tabla1[[#This Row],[Aplicación]],14,2)</f>
        <v>63</v>
      </c>
      <c r="X1463" s="35" t="str">
        <f>MID(Tabla1[[#This Row],[Aplicación]],14,6)</f>
        <v>632</v>
      </c>
    </row>
    <row r="1464" spans="1:24" x14ac:dyDescent="0.25">
      <c r="A1464" s="45">
        <v>220200063428</v>
      </c>
      <c r="B1464" s="46" t="s">
        <v>9</v>
      </c>
      <c r="C1464" s="47">
        <v>44284</v>
      </c>
      <c r="D1464" s="45">
        <v>22020005826</v>
      </c>
      <c r="E1464" s="46" t="s">
        <v>1724</v>
      </c>
      <c r="F1464" s="48">
        <v>91.53</v>
      </c>
      <c r="G1464" s="46" t="s">
        <v>120</v>
      </c>
      <c r="H1464" s="46" t="s">
        <v>2703</v>
      </c>
      <c r="I1464" s="45" t="s">
        <v>125</v>
      </c>
      <c r="J1464" s="46" t="s">
        <v>126</v>
      </c>
      <c r="K1464" s="46" t="s">
        <v>126</v>
      </c>
      <c r="L1464" s="46" t="s">
        <v>12</v>
      </c>
      <c r="M1464" s="46" t="s">
        <v>13</v>
      </c>
      <c r="N1464" s="46" t="s">
        <v>14</v>
      </c>
      <c r="O1464" s="49" t="s">
        <v>803</v>
      </c>
      <c r="P1464" s="46" t="s">
        <v>507</v>
      </c>
      <c r="Q1464" s="35" t="str">
        <f>MID(Tabla1[[#This Row],[Aplicación]],14,1)</f>
        <v>6</v>
      </c>
      <c r="R1464" s="35" t="s">
        <v>496</v>
      </c>
      <c r="S1464" s="35" t="str">
        <f>MID(Tabla1[[#This Row],[Aplicación]],6,2)</f>
        <v>07</v>
      </c>
      <c r="T1464" s="35" t="str">
        <f>VLOOKUP(Tabla1[[#This Row],[AREA]],Hoja1!A:B,2,FALSE)</f>
        <v>07. Medio ambiente y desarrollo sostenible</v>
      </c>
      <c r="U1464" s="35" t="str">
        <f>MID(Tabla1[[#This Row],[Aplicación]],9,4)</f>
        <v>1711</v>
      </c>
      <c r="V1464" s="35" t="str">
        <f>VLOOKUP(Tabla1[[#This Row],[PROGRAMA]],Hoja1!A:B,2,FALSE)</f>
        <v>1711. Parques y jardines</v>
      </c>
      <c r="W1464" s="35" t="str">
        <f>MID(Tabla1[[#This Row],[Aplicación]],14,2)</f>
        <v>61</v>
      </c>
      <c r="X1464" s="35" t="str">
        <f>MID(Tabla1[[#This Row],[Aplicación]],14,6)</f>
        <v>619</v>
      </c>
    </row>
    <row r="1465" spans="1:24" x14ac:dyDescent="0.25">
      <c r="A1465" s="45">
        <v>220210012889</v>
      </c>
      <c r="B1465" s="46" t="s">
        <v>9</v>
      </c>
      <c r="C1465" s="47">
        <v>44284</v>
      </c>
      <c r="D1465" s="45">
        <v>22021003676</v>
      </c>
      <c r="E1465" s="46" t="s">
        <v>2704</v>
      </c>
      <c r="F1465" s="48">
        <v>2000</v>
      </c>
      <c r="G1465" s="46" t="s">
        <v>2257</v>
      </c>
      <c r="H1465" s="46" t="s">
        <v>2705</v>
      </c>
      <c r="I1465" s="45" t="s">
        <v>125</v>
      </c>
      <c r="J1465" s="46" t="s">
        <v>2259</v>
      </c>
      <c r="K1465" s="46" t="s">
        <v>127</v>
      </c>
      <c r="L1465" s="46" t="s">
        <v>12</v>
      </c>
      <c r="M1465" s="46" t="s">
        <v>10</v>
      </c>
      <c r="N1465" s="46" t="s">
        <v>11</v>
      </c>
      <c r="O1465" s="49" t="s">
        <v>815</v>
      </c>
      <c r="P1465" s="46" t="s">
        <v>507</v>
      </c>
      <c r="Q1465" s="35" t="str">
        <f>MID(Tabla1[[#This Row],[Aplicación]],14,1)</f>
        <v>2</v>
      </c>
      <c r="R1465" s="35" t="s">
        <v>495</v>
      </c>
      <c r="S1465" s="35" t="str">
        <f>MID(Tabla1[[#This Row],[Aplicación]],6,2)</f>
        <v>04</v>
      </c>
      <c r="T1465" s="35" t="str">
        <f>VLOOKUP(Tabla1[[#This Row],[AREA]],Hoja1!A:B,2,FALSE)</f>
        <v>04. Planificación y recursos</v>
      </c>
      <c r="U1465" s="35" t="str">
        <f>MID(Tabla1[[#This Row],[Aplicación]],9,4)</f>
        <v>3121</v>
      </c>
      <c r="V1465" s="35" t="str">
        <f>VLOOKUP(Tabla1[[#This Row],[PROGRAMA]],Hoja1!A:B,2,FALSE)</f>
        <v>3121. Prevención y salud laboral</v>
      </c>
      <c r="W1465" s="35" t="str">
        <f>MID(Tabla1[[#This Row],[Aplicación]],14,2)</f>
        <v>22</v>
      </c>
      <c r="X1465" s="35" t="str">
        <f>MID(Tabla1[[#This Row],[Aplicación]],14,6)</f>
        <v>22799</v>
      </c>
    </row>
    <row r="1466" spans="1:24" x14ac:dyDescent="0.25">
      <c r="A1466" s="45">
        <v>220210001353</v>
      </c>
      <c r="B1466" s="46" t="s">
        <v>9</v>
      </c>
      <c r="C1466" s="47">
        <v>44228</v>
      </c>
      <c r="D1466" s="45">
        <v>22021000832</v>
      </c>
      <c r="E1466" s="46" t="s">
        <v>883</v>
      </c>
      <c r="F1466" s="48">
        <v>2000</v>
      </c>
      <c r="G1466" s="46" t="s">
        <v>111</v>
      </c>
      <c r="H1466" s="46" t="s">
        <v>2706</v>
      </c>
      <c r="I1466" s="45" t="s">
        <v>125</v>
      </c>
      <c r="J1466" s="46" t="s">
        <v>127</v>
      </c>
      <c r="K1466" s="46" t="s">
        <v>127</v>
      </c>
      <c r="L1466" s="46" t="s">
        <v>12</v>
      </c>
      <c r="M1466" s="46" t="s">
        <v>10</v>
      </c>
      <c r="N1466" s="46" t="s">
        <v>11</v>
      </c>
      <c r="O1466" s="49" t="s">
        <v>815</v>
      </c>
      <c r="P1466" s="46" t="s">
        <v>507</v>
      </c>
      <c r="Q1466" s="35" t="str">
        <f>MID(Tabla1[[#This Row],[Aplicación]],14,1)</f>
        <v>2</v>
      </c>
      <c r="R1466" s="35" t="s">
        <v>495</v>
      </c>
      <c r="S1466" s="35" t="str">
        <f>MID(Tabla1[[#This Row],[Aplicación]],6,2)</f>
        <v>11</v>
      </c>
      <c r="T1466" s="35" t="str">
        <f>VLOOKUP(Tabla1[[#This Row],[AREA]],Hoja1!A:B,2,FALSE)</f>
        <v>11. Salud pública y seguridad ciudadana</v>
      </c>
      <c r="U1466" s="35" t="str">
        <f>MID(Tabla1[[#This Row],[Aplicación]],9,4)</f>
        <v>1621</v>
      </c>
      <c r="V1466" s="35" t="str">
        <f>VLOOKUP(Tabla1[[#This Row],[PROGRAMA]],Hoja1!A:B,2,FALSE)</f>
        <v>1621. Servicio de limpieza</v>
      </c>
      <c r="W1466" s="35" t="str">
        <f>MID(Tabla1[[#This Row],[Aplicación]],14,2)</f>
        <v>22</v>
      </c>
      <c r="X1466" s="35" t="str">
        <f>MID(Tabla1[[#This Row],[Aplicación]],14,6)</f>
        <v>22700</v>
      </c>
    </row>
    <row r="1467" spans="1:24" x14ac:dyDescent="0.25">
      <c r="A1467" s="45">
        <v>220210009395</v>
      </c>
      <c r="B1467" s="46" t="s">
        <v>9</v>
      </c>
      <c r="C1467" s="47">
        <v>44270</v>
      </c>
      <c r="D1467" s="45">
        <v>22021003434</v>
      </c>
      <c r="E1467" s="46" t="s">
        <v>1596</v>
      </c>
      <c r="F1467" s="48">
        <v>2000</v>
      </c>
      <c r="G1467" s="46" t="s">
        <v>245</v>
      </c>
      <c r="H1467" s="46" t="s">
        <v>2707</v>
      </c>
      <c r="I1467" s="45" t="s">
        <v>125</v>
      </c>
      <c r="J1467" s="46" t="s">
        <v>126</v>
      </c>
      <c r="K1467" s="46" t="s">
        <v>126</v>
      </c>
      <c r="L1467" s="46" t="s">
        <v>15</v>
      </c>
      <c r="M1467" s="46" t="s">
        <v>10</v>
      </c>
      <c r="N1467" s="46" t="s">
        <v>11</v>
      </c>
      <c r="O1467" s="49" t="s">
        <v>815</v>
      </c>
      <c r="P1467" s="46" t="s">
        <v>507</v>
      </c>
      <c r="Q1467" s="35" t="str">
        <f>MID(Tabla1[[#This Row],[Aplicación]],14,1)</f>
        <v>2</v>
      </c>
      <c r="R1467" s="35" t="s">
        <v>495</v>
      </c>
      <c r="S1467" s="35" t="str">
        <f>MID(Tabla1[[#This Row],[Aplicación]],6,2)</f>
        <v>11</v>
      </c>
      <c r="T1467" s="35" t="str">
        <f>VLOOKUP(Tabla1[[#This Row],[AREA]],Hoja1!A:B,2,FALSE)</f>
        <v>11. Salud pública y seguridad ciudadana</v>
      </c>
      <c r="U1467" s="35" t="str">
        <f>MID(Tabla1[[#This Row],[Aplicación]],9,4)</f>
        <v>1321</v>
      </c>
      <c r="V1467" s="35" t="str">
        <f>VLOOKUP(Tabla1[[#This Row],[PROGRAMA]],Hoja1!A:B,2,FALSE)</f>
        <v>1321. Policía municipal</v>
      </c>
      <c r="W1467" s="35" t="str">
        <f>MID(Tabla1[[#This Row],[Aplicación]],14,2)</f>
        <v>22</v>
      </c>
      <c r="X1467" s="35" t="str">
        <f>MID(Tabla1[[#This Row],[Aplicación]],14,6)</f>
        <v>22699</v>
      </c>
    </row>
    <row r="1468" spans="1:24" x14ac:dyDescent="0.25">
      <c r="A1468" s="45">
        <v>220210000500</v>
      </c>
      <c r="B1468" s="46" t="s">
        <v>9</v>
      </c>
      <c r="C1468" s="47">
        <v>44221</v>
      </c>
      <c r="D1468" s="45">
        <v>22021001284</v>
      </c>
      <c r="E1468" s="46" t="s">
        <v>1410</v>
      </c>
      <c r="F1468" s="48">
        <v>2000</v>
      </c>
      <c r="G1468" s="46" t="s">
        <v>515</v>
      </c>
      <c r="H1468" s="46" t="s">
        <v>734</v>
      </c>
      <c r="I1468" s="45" t="s">
        <v>125</v>
      </c>
      <c r="J1468" s="46" t="s">
        <v>659</v>
      </c>
      <c r="K1468" s="46" t="s">
        <v>127</v>
      </c>
      <c r="L1468" s="46" t="s">
        <v>12</v>
      </c>
      <c r="M1468" s="46" t="s">
        <v>10</v>
      </c>
      <c r="N1468" s="46" t="s">
        <v>11</v>
      </c>
      <c r="O1468" s="49" t="s">
        <v>815</v>
      </c>
      <c r="P1468" s="46" t="s">
        <v>507</v>
      </c>
      <c r="Q1468" s="35" t="str">
        <f>MID(Tabla1[[#This Row],[Aplicación]],14,1)</f>
        <v>2</v>
      </c>
      <c r="R1468" s="35" t="s">
        <v>495</v>
      </c>
      <c r="S1468" s="35" t="str">
        <f>MID(Tabla1[[#This Row],[Aplicación]],6,2)</f>
        <v>07</v>
      </c>
      <c r="T1468" s="35" t="str">
        <f>VLOOKUP(Tabla1[[#This Row],[AREA]],Hoja1!A:B,2,FALSE)</f>
        <v>07. Medio ambiente y desarrollo sostenible</v>
      </c>
      <c r="U1468" s="35" t="str">
        <f>MID(Tabla1[[#This Row],[Aplicación]],9,4)</f>
        <v>1711</v>
      </c>
      <c r="V1468" s="35" t="str">
        <f>VLOOKUP(Tabla1[[#This Row],[PROGRAMA]],Hoja1!A:B,2,FALSE)</f>
        <v>1711. Parques y jardines</v>
      </c>
      <c r="W1468" s="35" t="str">
        <f>MID(Tabla1[[#This Row],[Aplicación]],14,2)</f>
        <v>21</v>
      </c>
      <c r="X1468" s="35" t="str">
        <f>MID(Tabla1[[#This Row],[Aplicación]],14,6)</f>
        <v>214</v>
      </c>
    </row>
    <row r="1469" spans="1:24" x14ac:dyDescent="0.25">
      <c r="A1469" s="45">
        <v>220209000393</v>
      </c>
      <c r="B1469" s="46" t="s">
        <v>9</v>
      </c>
      <c r="C1469" s="47">
        <v>44198</v>
      </c>
      <c r="D1469" s="45">
        <v>22021000285</v>
      </c>
      <c r="E1469" s="46" t="s">
        <v>2708</v>
      </c>
      <c r="F1469" s="48">
        <v>2000</v>
      </c>
      <c r="G1469" s="46" t="s">
        <v>188</v>
      </c>
      <c r="H1469" s="46" t="s">
        <v>2709</v>
      </c>
      <c r="I1469" s="45" t="s">
        <v>125</v>
      </c>
      <c r="J1469" s="46" t="s">
        <v>126</v>
      </c>
      <c r="K1469" s="46" t="s">
        <v>126</v>
      </c>
      <c r="L1469" s="46" t="s">
        <v>15</v>
      </c>
      <c r="M1469" s="46" t="s">
        <v>13</v>
      </c>
      <c r="N1469" s="46" t="s">
        <v>14</v>
      </c>
      <c r="O1469" s="49" t="s">
        <v>803</v>
      </c>
      <c r="P1469" s="46" t="s">
        <v>507</v>
      </c>
      <c r="Q1469" s="35" t="str">
        <f>MID(Tabla1[[#This Row],[Aplicación]],14,1)</f>
        <v>2</v>
      </c>
      <c r="R1469" s="35" t="s">
        <v>495</v>
      </c>
      <c r="S1469" s="35" t="str">
        <f>MID(Tabla1[[#This Row],[Aplicación]],6,2)</f>
        <v>08</v>
      </c>
      <c r="T1469" s="35" t="str">
        <f>VLOOKUP(Tabla1[[#This Row],[AREA]],Hoja1!A:B,2,FALSE)</f>
        <v>08. Movilidad y espacio urbano</v>
      </c>
      <c r="U1469" s="35" t="str">
        <f>MID(Tabla1[[#This Row],[Aplicación]],9,4)</f>
        <v>1341</v>
      </c>
      <c r="V1469" s="35" t="str">
        <f>VLOOKUP(Tabla1[[#This Row],[PROGRAMA]],Hoja1!A:B,2,FALSE)</f>
        <v>1341. Movilidad</v>
      </c>
      <c r="W1469" s="35" t="str">
        <f>MID(Tabla1[[#This Row],[Aplicación]],14,2)</f>
        <v>22</v>
      </c>
      <c r="X1469" s="35" t="str">
        <f>MID(Tabla1[[#This Row],[Aplicación]],14,6)</f>
        <v>22103</v>
      </c>
    </row>
    <row r="1470" spans="1:24" x14ac:dyDescent="0.25">
      <c r="A1470" s="45">
        <v>220200029105</v>
      </c>
      <c r="B1470" s="46" t="s">
        <v>9</v>
      </c>
      <c r="C1470" s="47">
        <v>44284</v>
      </c>
      <c r="D1470" s="45">
        <v>22019005726</v>
      </c>
      <c r="E1470" s="46" t="s">
        <v>1487</v>
      </c>
      <c r="F1470" s="48">
        <v>2001.76</v>
      </c>
      <c r="G1470" s="46" t="s">
        <v>2710</v>
      </c>
      <c r="H1470" s="46" t="s">
        <v>2711</v>
      </c>
      <c r="I1470" s="45" t="s">
        <v>125</v>
      </c>
      <c r="J1470" s="46" t="s">
        <v>519</v>
      </c>
      <c r="K1470" s="46" t="s">
        <v>519</v>
      </c>
      <c r="L1470" s="46" t="s">
        <v>31</v>
      </c>
      <c r="M1470" s="46" t="s">
        <v>13</v>
      </c>
      <c r="N1470" s="46" t="s">
        <v>14</v>
      </c>
      <c r="O1470" s="49" t="s">
        <v>803</v>
      </c>
      <c r="P1470" s="46" t="s">
        <v>507</v>
      </c>
      <c r="Q1470" s="35" t="str">
        <f>MID(Tabla1[[#This Row],[Aplicación]],14,1)</f>
        <v>6</v>
      </c>
      <c r="R1470" s="35" t="s">
        <v>496</v>
      </c>
      <c r="S1470" s="35" t="str">
        <f>MID(Tabla1[[#This Row],[Aplicación]],6,2)</f>
        <v>08</v>
      </c>
      <c r="T1470" s="35" t="str">
        <f>VLOOKUP(Tabla1[[#This Row],[AREA]],Hoja1!A:B,2,FALSE)</f>
        <v>08. Movilidad y espacio urbano</v>
      </c>
      <c r="U1470" s="35" t="str">
        <f>MID(Tabla1[[#This Row],[Aplicación]],9,4)</f>
        <v>1532</v>
      </c>
      <c r="V1470" s="35" t="str">
        <f>VLOOKUP(Tabla1[[#This Row],[PROGRAMA]],Hoja1!A:B,2,FALSE)</f>
        <v>1532. Pavimentación vias públicas y otros servicios urbanísticos</v>
      </c>
      <c r="W1470" s="35" t="str">
        <f>MID(Tabla1[[#This Row],[Aplicación]],14,2)</f>
        <v>61</v>
      </c>
      <c r="X1470" s="35" t="str">
        <f>MID(Tabla1[[#This Row],[Aplicación]],14,6)</f>
        <v>619</v>
      </c>
    </row>
    <row r="1471" spans="1:24" x14ac:dyDescent="0.25">
      <c r="A1471" s="45">
        <v>220210006017</v>
      </c>
      <c r="B1471" s="46" t="s">
        <v>9</v>
      </c>
      <c r="C1471" s="47">
        <v>44251</v>
      </c>
      <c r="D1471" s="45">
        <v>22021002975</v>
      </c>
      <c r="E1471" s="46" t="s">
        <v>1267</v>
      </c>
      <c r="F1471" s="48">
        <v>2049.89</v>
      </c>
      <c r="G1471" s="46" t="s">
        <v>297</v>
      </c>
      <c r="H1471" s="46" t="s">
        <v>2712</v>
      </c>
      <c r="I1471" s="45" t="s">
        <v>125</v>
      </c>
      <c r="J1471" s="46" t="s">
        <v>127</v>
      </c>
      <c r="K1471" s="46" t="s">
        <v>127</v>
      </c>
      <c r="L1471" s="46" t="s">
        <v>15</v>
      </c>
      <c r="M1471" s="46" t="s">
        <v>10</v>
      </c>
      <c r="N1471" s="46" t="s">
        <v>11</v>
      </c>
      <c r="O1471" s="49" t="s">
        <v>815</v>
      </c>
      <c r="P1471" s="46" t="s">
        <v>507</v>
      </c>
      <c r="Q1471" s="35" t="str">
        <f>MID(Tabla1[[#This Row],[Aplicación]],14,1)</f>
        <v>2</v>
      </c>
      <c r="R1471" s="35" t="s">
        <v>495</v>
      </c>
      <c r="S1471" s="35" t="str">
        <f>MID(Tabla1[[#This Row],[Aplicación]],6,2)</f>
        <v>03</v>
      </c>
      <c r="T1471" s="35" t="str">
        <f>VLOOKUP(Tabla1[[#This Row],[AREA]],Hoja1!A:B,2,FALSE)</f>
        <v>03. Participación ciudadana y deportes</v>
      </c>
      <c r="U1471" s="35" t="str">
        <f>MID(Tabla1[[#This Row],[Aplicación]],9,4)</f>
        <v>9241</v>
      </c>
      <c r="V1471" s="35" t="str">
        <f>VLOOKUP(Tabla1[[#This Row],[PROGRAMA]],Hoja1!A:B,2,FALSE)</f>
        <v>9241. Participación ciudadana</v>
      </c>
      <c r="W1471" s="35" t="str">
        <f>MID(Tabla1[[#This Row],[Aplicación]],14,2)</f>
        <v>22</v>
      </c>
      <c r="X1471" s="35" t="str">
        <f>MID(Tabla1[[#This Row],[Aplicación]],14,6)</f>
        <v>22602</v>
      </c>
    </row>
    <row r="1472" spans="1:24" x14ac:dyDescent="0.25">
      <c r="A1472" s="45">
        <v>220210001372</v>
      </c>
      <c r="B1472" s="46" t="s">
        <v>9</v>
      </c>
      <c r="C1472" s="47">
        <v>44228</v>
      </c>
      <c r="D1472" s="45">
        <v>22021002074</v>
      </c>
      <c r="E1472" s="46" t="s">
        <v>950</v>
      </c>
      <c r="F1472" s="48">
        <v>2051.9699999999998</v>
      </c>
      <c r="G1472" s="46" t="s">
        <v>70</v>
      </c>
      <c r="H1472" s="46" t="s">
        <v>2713</v>
      </c>
      <c r="I1472" s="45" t="s">
        <v>125</v>
      </c>
      <c r="J1472" s="46" t="s">
        <v>127</v>
      </c>
      <c r="K1472" s="46" t="s">
        <v>127</v>
      </c>
      <c r="L1472" s="46" t="s">
        <v>12</v>
      </c>
      <c r="M1472" s="46" t="s">
        <v>10</v>
      </c>
      <c r="N1472" s="46" t="s">
        <v>11</v>
      </c>
      <c r="O1472" s="49" t="s">
        <v>815</v>
      </c>
      <c r="P1472" s="46" t="s">
        <v>507</v>
      </c>
      <c r="Q1472" s="35" t="str">
        <f>MID(Tabla1[[#This Row],[Aplicación]],14,1)</f>
        <v>2</v>
      </c>
      <c r="R1472" s="35" t="s">
        <v>495</v>
      </c>
      <c r="S1472" s="35" t="str">
        <f>MID(Tabla1[[#This Row],[Aplicación]],6,2)</f>
        <v>11</v>
      </c>
      <c r="T1472" s="35" t="str">
        <f>VLOOKUP(Tabla1[[#This Row],[AREA]],Hoja1!A:B,2,FALSE)</f>
        <v>11. Salud pública y seguridad ciudadana</v>
      </c>
      <c r="U1472" s="35" t="str">
        <f>MID(Tabla1[[#This Row],[Aplicación]],9,4)</f>
        <v>1321</v>
      </c>
      <c r="V1472" s="35" t="str">
        <f>VLOOKUP(Tabla1[[#This Row],[PROGRAMA]],Hoja1!A:B,2,FALSE)</f>
        <v>1321. Policía municipal</v>
      </c>
      <c r="W1472" s="35" t="str">
        <f>MID(Tabla1[[#This Row],[Aplicación]],14,2)</f>
        <v>21</v>
      </c>
      <c r="X1472" s="35" t="str">
        <f>MID(Tabla1[[#This Row],[Aplicación]],14,6)</f>
        <v>213</v>
      </c>
    </row>
    <row r="1473" spans="1:24" x14ac:dyDescent="0.25">
      <c r="A1473" s="45">
        <v>220210000526</v>
      </c>
      <c r="B1473" s="46" t="s">
        <v>9</v>
      </c>
      <c r="C1473" s="47">
        <v>44221</v>
      </c>
      <c r="D1473" s="45">
        <v>22021000679</v>
      </c>
      <c r="E1473" s="46" t="s">
        <v>983</v>
      </c>
      <c r="F1473" s="48">
        <v>204.72</v>
      </c>
      <c r="G1473" s="46" t="s">
        <v>53</v>
      </c>
      <c r="H1473" s="46" t="s">
        <v>2714</v>
      </c>
      <c r="I1473" s="45" t="s">
        <v>125</v>
      </c>
      <c r="J1473" s="46" t="s">
        <v>127</v>
      </c>
      <c r="K1473" s="46" t="s">
        <v>127</v>
      </c>
      <c r="L1473" s="46" t="s">
        <v>12</v>
      </c>
      <c r="M1473" s="46" t="s">
        <v>10</v>
      </c>
      <c r="N1473" s="46" t="s">
        <v>11</v>
      </c>
      <c r="O1473" s="49" t="s">
        <v>815</v>
      </c>
      <c r="P1473" s="46" t="s">
        <v>507</v>
      </c>
      <c r="Q1473" s="35" t="str">
        <f>MID(Tabla1[[#This Row],[Aplicación]],14,1)</f>
        <v>2</v>
      </c>
      <c r="R1473" s="35" t="s">
        <v>495</v>
      </c>
      <c r="S1473" s="35" t="str">
        <f>MID(Tabla1[[#This Row],[Aplicación]],6,2)</f>
        <v>10</v>
      </c>
      <c r="T1473" s="35" t="str">
        <f>VLOOKUP(Tabla1[[#This Row],[AREA]],Hoja1!A:B,2,FALSE)</f>
        <v>10. Servicios sociales y mediación comunitaria</v>
      </c>
      <c r="U1473" s="35" t="str">
        <f>MID(Tabla1[[#This Row],[Aplicación]],9,4)</f>
        <v>2412</v>
      </c>
      <c r="V1473" s="35" t="str">
        <f>VLOOKUP(Tabla1[[#This Row],[PROGRAMA]],Hoja1!A:B,2,FALSE)</f>
        <v>2412. Formación para el empleo</v>
      </c>
      <c r="W1473" s="35" t="str">
        <f>MID(Tabla1[[#This Row],[Aplicación]],14,2)</f>
        <v>21</v>
      </c>
      <c r="X1473" s="35" t="str">
        <f>MID(Tabla1[[#This Row],[Aplicación]],14,6)</f>
        <v>213</v>
      </c>
    </row>
    <row r="1474" spans="1:24" x14ac:dyDescent="0.25">
      <c r="A1474" s="45">
        <v>220210006064</v>
      </c>
      <c r="B1474" s="46" t="s">
        <v>9</v>
      </c>
      <c r="C1474" s="47">
        <v>44251</v>
      </c>
      <c r="D1474" s="45">
        <v>22021002869</v>
      </c>
      <c r="E1474" s="46" t="s">
        <v>871</v>
      </c>
      <c r="F1474" s="48">
        <v>2178</v>
      </c>
      <c r="G1474" s="46" t="s">
        <v>2571</v>
      </c>
      <c r="H1474" s="46" t="s">
        <v>2715</v>
      </c>
      <c r="I1474" s="45" t="s">
        <v>125</v>
      </c>
      <c r="J1474" s="46" t="s">
        <v>677</v>
      </c>
      <c r="K1474" s="46" t="s">
        <v>127</v>
      </c>
      <c r="L1474" s="46" t="s">
        <v>12</v>
      </c>
      <c r="M1474" s="46" t="s">
        <v>10</v>
      </c>
      <c r="N1474" s="46" t="s">
        <v>11</v>
      </c>
      <c r="O1474" s="49" t="s">
        <v>815</v>
      </c>
      <c r="P1474" s="46" t="s">
        <v>507</v>
      </c>
      <c r="Q1474" s="35" t="str">
        <f>MID(Tabla1[[#This Row],[Aplicación]],14,1)</f>
        <v>2</v>
      </c>
      <c r="R1474" s="35" t="s">
        <v>495</v>
      </c>
      <c r="S1474" s="35" t="str">
        <f>MID(Tabla1[[#This Row],[Aplicación]],6,2)</f>
        <v>09</v>
      </c>
      <c r="T1474" s="35" t="str">
        <f>VLOOKUP(Tabla1[[#This Row],[AREA]],Hoja1!A:B,2,FALSE)</f>
        <v>09. Cultura y turismo</v>
      </c>
      <c r="U1474" s="35" t="str">
        <f>MID(Tabla1[[#This Row],[Aplicación]],9,4)</f>
        <v>3301</v>
      </c>
      <c r="V1474" s="35" t="str">
        <f>VLOOKUP(Tabla1[[#This Row],[PROGRAMA]],Hoja1!A:B,2,FALSE)</f>
        <v>3301. Dirección del área de cultura</v>
      </c>
      <c r="W1474" s="35" t="str">
        <f>MID(Tabla1[[#This Row],[Aplicación]],14,2)</f>
        <v>22</v>
      </c>
      <c r="X1474" s="35" t="str">
        <f>MID(Tabla1[[#This Row],[Aplicación]],14,6)</f>
        <v>22706</v>
      </c>
    </row>
    <row r="1475" spans="1:24" x14ac:dyDescent="0.25">
      <c r="A1475" s="45">
        <v>220210001915</v>
      </c>
      <c r="B1475" s="46" t="s">
        <v>9</v>
      </c>
      <c r="C1475" s="47">
        <v>44231</v>
      </c>
      <c r="D1475" s="45">
        <v>22021002080</v>
      </c>
      <c r="E1475" s="46" t="s">
        <v>1220</v>
      </c>
      <c r="F1475" s="48">
        <v>2198.17</v>
      </c>
      <c r="G1475" s="46" t="s">
        <v>2716</v>
      </c>
      <c r="H1475" s="46" t="s">
        <v>2717</v>
      </c>
      <c r="I1475" s="45" t="s">
        <v>125</v>
      </c>
      <c r="J1475" s="46" t="s">
        <v>2718</v>
      </c>
      <c r="K1475" s="46" t="s">
        <v>127</v>
      </c>
      <c r="L1475" s="46" t="s">
        <v>12</v>
      </c>
      <c r="M1475" s="46" t="s">
        <v>10</v>
      </c>
      <c r="N1475" s="46" t="s">
        <v>11</v>
      </c>
      <c r="O1475" s="49" t="s">
        <v>815</v>
      </c>
      <c r="P1475" s="46" t="s">
        <v>507</v>
      </c>
      <c r="Q1475" s="35" t="str">
        <f>MID(Tabla1[[#This Row],[Aplicación]],14,1)</f>
        <v>2</v>
      </c>
      <c r="R1475" s="35" t="s">
        <v>495</v>
      </c>
      <c r="S1475" s="35" t="str">
        <f>MID(Tabla1[[#This Row],[Aplicación]],6,2)</f>
        <v>03</v>
      </c>
      <c r="T1475" s="35" t="str">
        <f>VLOOKUP(Tabla1[[#This Row],[AREA]],Hoja1!A:B,2,FALSE)</f>
        <v>03. Participación ciudadana y deportes</v>
      </c>
      <c r="U1475" s="35" t="str">
        <f>MID(Tabla1[[#This Row],[Aplicación]],9,4)</f>
        <v>9241</v>
      </c>
      <c r="V1475" s="35" t="str">
        <f>VLOOKUP(Tabla1[[#This Row],[PROGRAMA]],Hoja1!A:B,2,FALSE)</f>
        <v>9241. Participación ciudadana</v>
      </c>
      <c r="W1475" s="35" t="str">
        <f>MID(Tabla1[[#This Row],[Aplicación]],14,2)</f>
        <v>21</v>
      </c>
      <c r="X1475" s="35" t="str">
        <f>MID(Tabla1[[#This Row],[Aplicación]],14,6)</f>
        <v>213</v>
      </c>
    </row>
    <row r="1476" spans="1:24" x14ac:dyDescent="0.25">
      <c r="A1476" s="45">
        <v>220210008451</v>
      </c>
      <c r="B1476" s="46" t="s">
        <v>9</v>
      </c>
      <c r="C1476" s="47">
        <v>44266</v>
      </c>
      <c r="D1476" s="45">
        <v>22021003350</v>
      </c>
      <c r="E1476" s="46" t="s">
        <v>1802</v>
      </c>
      <c r="F1476" s="48">
        <v>2200</v>
      </c>
      <c r="G1476" s="46" t="s">
        <v>2184</v>
      </c>
      <c r="H1476" s="46" t="s">
        <v>2719</v>
      </c>
      <c r="I1476" s="45" t="s">
        <v>125</v>
      </c>
      <c r="J1476" s="46" t="s">
        <v>674</v>
      </c>
      <c r="K1476" s="46" t="s">
        <v>127</v>
      </c>
      <c r="L1476" s="46" t="s">
        <v>15</v>
      </c>
      <c r="M1476" s="46" t="s">
        <v>10</v>
      </c>
      <c r="N1476" s="46" t="s">
        <v>11</v>
      </c>
      <c r="O1476" s="49" t="s">
        <v>815</v>
      </c>
      <c r="P1476" s="46" t="s">
        <v>507</v>
      </c>
      <c r="Q1476" s="35" t="str">
        <f>MID(Tabla1[[#This Row],[Aplicación]],14,1)</f>
        <v>2</v>
      </c>
      <c r="R1476" s="35" t="s">
        <v>495</v>
      </c>
      <c r="S1476" s="35" t="str">
        <f>MID(Tabla1[[#This Row],[Aplicación]],6,2)</f>
        <v>06</v>
      </c>
      <c r="T1476" s="35" t="str">
        <f>VLOOKUP(Tabla1[[#This Row],[AREA]],Hoja1!A:B,2,FALSE)</f>
        <v>06. Educación, infancia, juventud e igualdad</v>
      </c>
      <c r="U1476" s="35" t="str">
        <f>MID(Tabla1[[#This Row],[Aplicación]],9,4)</f>
        <v>3232</v>
      </c>
      <c r="V1476" s="35" t="str">
        <f>VLOOKUP(Tabla1[[#This Row],[PROGRAMA]],Hoja1!A:B,2,FALSE)</f>
        <v>3232. Conservación y mantenimiento centros educación infantil y primaria</v>
      </c>
      <c r="W1476" s="35" t="str">
        <f>MID(Tabla1[[#This Row],[Aplicación]],14,2)</f>
        <v>22</v>
      </c>
      <c r="X1476" s="35" t="str">
        <f>MID(Tabla1[[#This Row],[Aplicación]],14,6)</f>
        <v>22799</v>
      </c>
    </row>
    <row r="1477" spans="1:24" x14ac:dyDescent="0.25">
      <c r="A1477" s="45">
        <v>220210006567</v>
      </c>
      <c r="B1477" s="46" t="s">
        <v>9</v>
      </c>
      <c r="C1477" s="47">
        <v>44256</v>
      </c>
      <c r="D1477" s="45">
        <v>22021003045</v>
      </c>
      <c r="E1477" s="46" t="s">
        <v>2720</v>
      </c>
      <c r="F1477" s="48">
        <v>511.83</v>
      </c>
      <c r="G1477" s="46" t="s">
        <v>561</v>
      </c>
      <c r="H1477" s="46" t="s">
        <v>2721</v>
      </c>
      <c r="I1477" s="45" t="s">
        <v>125</v>
      </c>
      <c r="J1477" s="46" t="s">
        <v>127</v>
      </c>
      <c r="K1477" s="46" t="s">
        <v>127</v>
      </c>
      <c r="L1477" s="46" t="s">
        <v>15</v>
      </c>
      <c r="M1477" s="46" t="s">
        <v>10</v>
      </c>
      <c r="N1477" s="46" t="s">
        <v>11</v>
      </c>
      <c r="O1477" s="49" t="s">
        <v>815</v>
      </c>
      <c r="P1477" s="46" t="s">
        <v>507</v>
      </c>
      <c r="Q1477" s="35" t="str">
        <f>MID(Tabla1[[#This Row],[Aplicación]],14,1)</f>
        <v>6</v>
      </c>
      <c r="R1477" s="35" t="s">
        <v>496</v>
      </c>
      <c r="S1477" s="35" t="str">
        <f>MID(Tabla1[[#This Row],[Aplicación]],6,2)</f>
        <v>04</v>
      </c>
      <c r="T1477" s="35" t="str">
        <f>VLOOKUP(Tabla1[[#This Row],[AREA]],Hoja1!A:B,2,FALSE)</f>
        <v>04. Planificación y recursos</v>
      </c>
      <c r="U1477" s="35" t="str">
        <f>MID(Tabla1[[#This Row],[Aplicación]],9,4)</f>
        <v>9209</v>
      </c>
      <c r="V1477" s="35" t="str">
        <f>VLOOKUP(Tabla1[[#This Row],[PROGRAMA]],Hoja1!A:B,2,FALSE)</f>
        <v>9209. Dirección del area de hacienda y función pública</v>
      </c>
      <c r="W1477" s="35" t="str">
        <f>MID(Tabla1[[#This Row],[Aplicación]],14,2)</f>
        <v>62</v>
      </c>
      <c r="X1477" s="35" t="str">
        <f>MID(Tabla1[[#This Row],[Aplicación]],14,6)</f>
        <v>625</v>
      </c>
    </row>
    <row r="1478" spans="1:24" x14ac:dyDescent="0.25">
      <c r="A1478" s="45">
        <v>220210010515</v>
      </c>
      <c r="B1478" s="46" t="s">
        <v>9</v>
      </c>
      <c r="C1478" s="47">
        <v>44277</v>
      </c>
      <c r="D1478" s="45">
        <v>22021003515</v>
      </c>
      <c r="E1478" s="46" t="s">
        <v>939</v>
      </c>
      <c r="F1478" s="48">
        <v>2211.84</v>
      </c>
      <c r="G1478" s="46" t="s">
        <v>2722</v>
      </c>
      <c r="H1478" s="46" t="s">
        <v>2723</v>
      </c>
      <c r="I1478" s="45" t="s">
        <v>125</v>
      </c>
      <c r="J1478" s="46" t="s">
        <v>660</v>
      </c>
      <c r="K1478" s="46" t="s">
        <v>126</v>
      </c>
      <c r="L1478" s="46" t="s">
        <v>12</v>
      </c>
      <c r="M1478" s="46" t="s">
        <v>10</v>
      </c>
      <c r="N1478" s="46" t="s">
        <v>11</v>
      </c>
      <c r="O1478" s="49" t="s">
        <v>815</v>
      </c>
      <c r="P1478" s="46" t="s">
        <v>507</v>
      </c>
      <c r="Q1478" s="35" t="str">
        <f>MID(Tabla1[[#This Row],[Aplicación]],14,1)</f>
        <v>2</v>
      </c>
      <c r="R1478" s="35" t="s">
        <v>495</v>
      </c>
      <c r="S1478" s="35" t="str">
        <f>MID(Tabla1[[#This Row],[Aplicación]],6,2)</f>
        <v>02</v>
      </c>
      <c r="T1478" s="35" t="str">
        <f>VLOOKUP(Tabla1[[#This Row],[AREA]],Hoja1!A:B,2,FALSE)</f>
        <v>02. Planeamiento urbanístico y vivienda</v>
      </c>
      <c r="U1478" s="35" t="str">
        <f>MID(Tabla1[[#This Row],[Aplicación]],9,4)</f>
        <v>1501</v>
      </c>
      <c r="V1478" s="35" t="str">
        <f>VLOOKUP(Tabla1[[#This Row],[PROGRAMA]],Hoja1!A:B,2,FALSE)</f>
        <v>1501. Dirección del área de urbanismo</v>
      </c>
      <c r="W1478" s="35" t="str">
        <f>MID(Tabla1[[#This Row],[Aplicación]],14,2)</f>
        <v>20</v>
      </c>
      <c r="X1478" s="35" t="str">
        <f>MID(Tabla1[[#This Row],[Aplicación]],14,6)</f>
        <v>203</v>
      </c>
    </row>
    <row r="1479" spans="1:24" x14ac:dyDescent="0.25">
      <c r="A1479" s="45">
        <v>220210006574</v>
      </c>
      <c r="B1479" s="46" t="s">
        <v>9</v>
      </c>
      <c r="C1479" s="47">
        <v>44256</v>
      </c>
      <c r="D1479" s="45">
        <v>22021002973</v>
      </c>
      <c r="E1479" s="46" t="s">
        <v>1621</v>
      </c>
      <c r="F1479" s="48">
        <v>2178</v>
      </c>
      <c r="G1479" s="46" t="s">
        <v>2724</v>
      </c>
      <c r="H1479" s="46" t="s">
        <v>2725</v>
      </c>
      <c r="I1479" s="45" t="s">
        <v>125</v>
      </c>
      <c r="J1479" s="46" t="s">
        <v>162</v>
      </c>
      <c r="K1479" s="46" t="s">
        <v>162</v>
      </c>
      <c r="L1479" s="46" t="s">
        <v>12</v>
      </c>
      <c r="M1479" s="46" t="s">
        <v>13</v>
      </c>
      <c r="N1479" s="46" t="s">
        <v>14</v>
      </c>
      <c r="O1479" s="49" t="s">
        <v>814</v>
      </c>
      <c r="P1479" s="46" t="s">
        <v>507</v>
      </c>
      <c r="Q1479" s="35" t="str">
        <f>MID(Tabla1[[#This Row],[Aplicación]],14,1)</f>
        <v>2</v>
      </c>
      <c r="R1479" s="35" t="s">
        <v>495</v>
      </c>
      <c r="S1479" s="35" t="str">
        <f>MID(Tabla1[[#This Row],[Aplicación]],6,2)</f>
        <v>01</v>
      </c>
      <c r="T1479" s="35" t="str">
        <f>VLOOKUP(Tabla1[[#This Row],[AREA]],Hoja1!A:B,2,FALSE)</f>
        <v>01. Alcaldía</v>
      </c>
      <c r="U1479" s="35" t="str">
        <f>MID(Tabla1[[#This Row],[Aplicación]],9,4)</f>
        <v>9207</v>
      </c>
      <c r="V1479" s="35" t="str">
        <f>VLOOKUP(Tabla1[[#This Row],[PROGRAMA]],Hoja1!A:B,2,FALSE)</f>
        <v>9207. Gobierno y relaciones</v>
      </c>
      <c r="W1479" s="35" t="str">
        <f>MID(Tabla1[[#This Row],[Aplicación]],14,2)</f>
        <v>22</v>
      </c>
      <c r="X1479" s="35" t="str">
        <f>MID(Tabla1[[#This Row],[Aplicación]],14,6)</f>
        <v>22602</v>
      </c>
    </row>
    <row r="1480" spans="1:24" x14ac:dyDescent="0.25">
      <c r="A1480" s="45">
        <v>220200033373</v>
      </c>
      <c r="B1480" s="46" t="s">
        <v>9</v>
      </c>
      <c r="C1480" s="47">
        <v>44284</v>
      </c>
      <c r="D1480" s="45">
        <v>22020004800</v>
      </c>
      <c r="E1480" s="46" t="s">
        <v>1172</v>
      </c>
      <c r="F1480" s="48">
        <v>2241.2800000000002</v>
      </c>
      <c r="G1480" s="46" t="s">
        <v>163</v>
      </c>
      <c r="H1480" s="46" t="s">
        <v>2726</v>
      </c>
      <c r="I1480" s="45" t="s">
        <v>125</v>
      </c>
      <c r="J1480" s="46" t="s">
        <v>127</v>
      </c>
      <c r="K1480" s="46" t="s">
        <v>126</v>
      </c>
      <c r="L1480" s="46" t="s">
        <v>12</v>
      </c>
      <c r="M1480" s="46" t="s">
        <v>10</v>
      </c>
      <c r="N1480" s="46" t="s">
        <v>11</v>
      </c>
      <c r="O1480" s="49" t="s">
        <v>815</v>
      </c>
      <c r="P1480" s="46" t="s">
        <v>507</v>
      </c>
      <c r="Q1480" s="35" t="str">
        <f>MID(Tabla1[[#This Row],[Aplicación]],14,1)</f>
        <v>6</v>
      </c>
      <c r="R1480" s="35" t="s">
        <v>496</v>
      </c>
      <c r="S1480" s="35" t="str">
        <f>MID(Tabla1[[#This Row],[Aplicación]],6,2)</f>
        <v>02</v>
      </c>
      <c r="T1480" s="35" t="str">
        <f>VLOOKUP(Tabla1[[#This Row],[AREA]],Hoja1!A:B,2,FALSE)</f>
        <v>02. Planeamiento urbanístico y vivienda</v>
      </c>
      <c r="U1480" s="35" t="str">
        <f>MID(Tabla1[[#This Row],[Aplicación]],9,4)</f>
        <v>9332</v>
      </c>
      <c r="V1480" s="35" t="str">
        <f>VLOOKUP(Tabla1[[#This Row],[PROGRAMA]],Hoja1!A:B,2,FALSE)</f>
        <v>9332. Mantenimiento de edificios e instalaciones municipales</v>
      </c>
      <c r="W1480" s="35" t="str">
        <f>MID(Tabla1[[#This Row],[Aplicación]],14,2)</f>
        <v>63</v>
      </c>
      <c r="X1480" s="35" t="str">
        <f>MID(Tabla1[[#This Row],[Aplicación]],14,6)</f>
        <v>632</v>
      </c>
    </row>
    <row r="1481" spans="1:24" x14ac:dyDescent="0.25">
      <c r="A1481" s="45">
        <v>220210006576</v>
      </c>
      <c r="B1481" s="46" t="s">
        <v>9</v>
      </c>
      <c r="C1481" s="47">
        <v>44256</v>
      </c>
      <c r="D1481" s="45">
        <v>22021002275</v>
      </c>
      <c r="E1481" s="46" t="s">
        <v>1220</v>
      </c>
      <c r="F1481" s="48">
        <v>4573.92</v>
      </c>
      <c r="G1481" s="46" t="s">
        <v>53</v>
      </c>
      <c r="H1481" s="46" t="s">
        <v>2727</v>
      </c>
      <c r="I1481" s="45" t="s">
        <v>125</v>
      </c>
      <c r="J1481" s="46" t="s">
        <v>127</v>
      </c>
      <c r="K1481" s="46" t="s">
        <v>127</v>
      </c>
      <c r="L1481" s="46" t="s">
        <v>12</v>
      </c>
      <c r="M1481" s="46" t="s">
        <v>13</v>
      </c>
      <c r="N1481" s="46" t="s">
        <v>16</v>
      </c>
      <c r="O1481" s="49" t="s">
        <v>803</v>
      </c>
      <c r="P1481" s="46" t="s">
        <v>507</v>
      </c>
      <c r="Q1481" s="35" t="str">
        <f>MID(Tabla1[[#This Row],[Aplicación]],14,1)</f>
        <v>2</v>
      </c>
      <c r="R1481" s="35" t="s">
        <v>495</v>
      </c>
      <c r="S1481" s="35" t="str">
        <f>MID(Tabla1[[#This Row],[Aplicación]],6,2)</f>
        <v>03</v>
      </c>
      <c r="T1481" s="35" t="str">
        <f>VLOOKUP(Tabla1[[#This Row],[AREA]],Hoja1!A:B,2,FALSE)</f>
        <v>03. Participación ciudadana y deportes</v>
      </c>
      <c r="U1481" s="35" t="str">
        <f>MID(Tabla1[[#This Row],[Aplicación]],9,4)</f>
        <v>9241</v>
      </c>
      <c r="V1481" s="35" t="str">
        <f>VLOOKUP(Tabla1[[#This Row],[PROGRAMA]],Hoja1!A:B,2,FALSE)</f>
        <v>9241. Participación ciudadana</v>
      </c>
      <c r="W1481" s="35" t="str">
        <f>MID(Tabla1[[#This Row],[Aplicación]],14,2)</f>
        <v>21</v>
      </c>
      <c r="X1481" s="35" t="str">
        <f>MID(Tabla1[[#This Row],[Aplicación]],14,6)</f>
        <v>213</v>
      </c>
    </row>
    <row r="1482" spans="1:24" x14ac:dyDescent="0.25">
      <c r="A1482" s="45">
        <v>220210006061</v>
      </c>
      <c r="B1482" s="46" t="s">
        <v>9</v>
      </c>
      <c r="C1482" s="47">
        <v>44251</v>
      </c>
      <c r="D1482" s="45">
        <v>22021002884</v>
      </c>
      <c r="E1482" s="46" t="s">
        <v>1758</v>
      </c>
      <c r="F1482" s="48">
        <v>2300</v>
      </c>
      <c r="G1482" s="46" t="s">
        <v>2176</v>
      </c>
      <c r="H1482" s="46" t="s">
        <v>2728</v>
      </c>
      <c r="I1482" s="45" t="s">
        <v>125</v>
      </c>
      <c r="J1482" s="46" t="s">
        <v>127</v>
      </c>
      <c r="K1482" s="46" t="s">
        <v>127</v>
      </c>
      <c r="L1482" s="46" t="s">
        <v>15</v>
      </c>
      <c r="M1482" s="46" t="s">
        <v>10</v>
      </c>
      <c r="N1482" s="46" t="s">
        <v>11</v>
      </c>
      <c r="O1482" s="49" t="s">
        <v>815</v>
      </c>
      <c r="P1482" s="46" t="s">
        <v>507</v>
      </c>
      <c r="Q1482" s="35" t="str">
        <f>MID(Tabla1[[#This Row],[Aplicación]],14,1)</f>
        <v>2</v>
      </c>
      <c r="R1482" s="35" t="s">
        <v>495</v>
      </c>
      <c r="S1482" s="35" t="str">
        <f>MID(Tabla1[[#This Row],[Aplicación]],6,2)</f>
        <v>06</v>
      </c>
      <c r="T1482" s="35" t="str">
        <f>VLOOKUP(Tabla1[[#This Row],[AREA]],Hoja1!A:B,2,FALSE)</f>
        <v>06. Educación, infancia, juventud e igualdad</v>
      </c>
      <c r="U1482" s="35" t="str">
        <f>MID(Tabla1[[#This Row],[Aplicación]],9,4)</f>
        <v>3321</v>
      </c>
      <c r="V1482" s="35" t="str">
        <f>VLOOKUP(Tabla1[[#This Row],[PROGRAMA]],Hoja1!A:B,2,FALSE)</f>
        <v>3321. Bibliotecas públicas</v>
      </c>
      <c r="W1482" s="35" t="str">
        <f>MID(Tabla1[[#This Row],[Aplicación]],14,2)</f>
        <v>22</v>
      </c>
      <c r="X1482" s="35" t="str">
        <f>MID(Tabla1[[#This Row],[Aplicación]],14,6)</f>
        <v>22199</v>
      </c>
    </row>
    <row r="1483" spans="1:24" x14ac:dyDescent="0.25">
      <c r="A1483" s="45">
        <v>220210009389</v>
      </c>
      <c r="B1483" s="46" t="s">
        <v>9</v>
      </c>
      <c r="C1483" s="47">
        <v>44270</v>
      </c>
      <c r="D1483" s="45">
        <v>22021003418</v>
      </c>
      <c r="E1483" s="46" t="s">
        <v>1929</v>
      </c>
      <c r="F1483" s="48">
        <v>2420</v>
      </c>
      <c r="G1483" s="46" t="s">
        <v>2729</v>
      </c>
      <c r="H1483" s="46" t="s">
        <v>2730</v>
      </c>
      <c r="I1483" s="45" t="s">
        <v>125</v>
      </c>
      <c r="J1483" s="46" t="s">
        <v>127</v>
      </c>
      <c r="K1483" s="46" t="s">
        <v>127</v>
      </c>
      <c r="L1483" s="46" t="s">
        <v>12</v>
      </c>
      <c r="M1483" s="46" t="s">
        <v>10</v>
      </c>
      <c r="N1483" s="46" t="s">
        <v>11</v>
      </c>
      <c r="O1483" s="49" t="s">
        <v>815</v>
      </c>
      <c r="P1483" s="46" t="s">
        <v>507</v>
      </c>
      <c r="Q1483" s="35" t="str">
        <f>MID(Tabla1[[#This Row],[Aplicación]],14,1)</f>
        <v>2</v>
      </c>
      <c r="R1483" s="35" t="s">
        <v>495</v>
      </c>
      <c r="S1483" s="35" t="str">
        <f>MID(Tabla1[[#This Row],[Aplicación]],6,2)</f>
        <v>11</v>
      </c>
      <c r="T1483" s="35" t="str">
        <f>VLOOKUP(Tabla1[[#This Row],[AREA]],Hoja1!A:B,2,FALSE)</f>
        <v>11. Salud pública y seguridad ciudadana</v>
      </c>
      <c r="U1483" s="35" t="str">
        <f>MID(Tabla1[[#This Row],[Aplicación]],9,4)</f>
        <v>1321</v>
      </c>
      <c r="V1483" s="35" t="str">
        <f>VLOOKUP(Tabla1[[#This Row],[PROGRAMA]],Hoja1!A:B,2,FALSE)</f>
        <v>1321. Policía municipal</v>
      </c>
      <c r="W1483" s="35" t="str">
        <f>MID(Tabla1[[#This Row],[Aplicación]],14,2)</f>
        <v>22</v>
      </c>
      <c r="X1483" s="35" t="str">
        <f>MID(Tabla1[[#This Row],[Aplicación]],14,6)</f>
        <v>22706</v>
      </c>
    </row>
    <row r="1484" spans="1:24" x14ac:dyDescent="0.25">
      <c r="A1484" s="45">
        <v>220210005604</v>
      </c>
      <c r="B1484" s="46" t="s">
        <v>204</v>
      </c>
      <c r="C1484" s="47">
        <v>44250</v>
      </c>
      <c r="D1484" s="45">
        <v>22021002057</v>
      </c>
      <c r="E1484" s="46" t="s">
        <v>1715</v>
      </c>
      <c r="F1484" s="48">
        <v>606.86</v>
      </c>
      <c r="G1484" s="46" t="s">
        <v>102</v>
      </c>
      <c r="H1484" s="46" t="s">
        <v>2731</v>
      </c>
      <c r="I1484" s="45" t="s">
        <v>205</v>
      </c>
      <c r="J1484" s="46" t="s">
        <v>127</v>
      </c>
      <c r="K1484" s="46" t="s">
        <v>127</v>
      </c>
      <c r="L1484" s="46" t="s">
        <v>15</v>
      </c>
      <c r="M1484" s="46" t="s">
        <v>13</v>
      </c>
      <c r="N1484" s="46" t="s">
        <v>14</v>
      </c>
      <c r="O1484" s="49" t="s">
        <v>814</v>
      </c>
      <c r="P1484" s="46" t="s">
        <v>507</v>
      </c>
      <c r="Q1484" s="35" t="str">
        <f>MID(Tabla1[[#This Row],[Aplicación]],14,1)</f>
        <v>2</v>
      </c>
      <c r="R1484" s="35" t="s">
        <v>495</v>
      </c>
      <c r="S1484" s="35" t="str">
        <f>MID(Tabla1[[#This Row],[Aplicación]],6,2)</f>
        <v>11</v>
      </c>
      <c r="T1484" s="35" t="str">
        <f>VLOOKUP(Tabla1[[#This Row],[AREA]],Hoja1!A:B,2,FALSE)</f>
        <v>11. Salud pública y seguridad ciudadana</v>
      </c>
      <c r="U1484" s="35" t="str">
        <f>MID(Tabla1[[#This Row],[Aplicación]],9,4)</f>
        <v>1631</v>
      </c>
      <c r="V1484" s="35" t="str">
        <f>VLOOKUP(Tabla1[[#This Row],[PROGRAMA]],Hoja1!A:B,2,FALSE)</f>
        <v>1631. Limpieza viaria</v>
      </c>
      <c r="W1484" s="35" t="str">
        <f>MID(Tabla1[[#This Row],[Aplicación]],14,2)</f>
        <v>22</v>
      </c>
      <c r="X1484" s="35" t="str">
        <f>MID(Tabla1[[#This Row],[Aplicación]],14,6)</f>
        <v>22199</v>
      </c>
    </row>
    <row r="1485" spans="1:24" x14ac:dyDescent="0.25">
      <c r="A1485" s="45">
        <v>220210006696</v>
      </c>
      <c r="B1485" s="46" t="s">
        <v>32</v>
      </c>
      <c r="C1485" s="47">
        <v>44257</v>
      </c>
      <c r="D1485" s="45">
        <v>22021003147</v>
      </c>
      <c r="E1485" s="46" t="s">
        <v>1263</v>
      </c>
      <c r="F1485" s="48">
        <v>581.70000000000005</v>
      </c>
      <c r="G1485" s="46" t="s">
        <v>182</v>
      </c>
      <c r="H1485" s="46" t="s">
        <v>2732</v>
      </c>
      <c r="I1485" s="45" t="s">
        <v>234</v>
      </c>
      <c r="J1485" s="46" t="s">
        <v>144</v>
      </c>
      <c r="K1485" s="46" t="s">
        <v>144</v>
      </c>
      <c r="L1485" s="46" t="s">
        <v>12</v>
      </c>
      <c r="M1485" s="46" t="s">
        <v>13</v>
      </c>
      <c r="N1485" s="46" t="s">
        <v>14</v>
      </c>
      <c r="O1485" s="49" t="s">
        <v>803</v>
      </c>
      <c r="P1485" s="46" t="s">
        <v>507</v>
      </c>
      <c r="Q1485" s="35" t="str">
        <f>MID(Tabla1[[#This Row],[Aplicación]],14,1)</f>
        <v>2</v>
      </c>
      <c r="R1485" s="35" t="s">
        <v>495</v>
      </c>
      <c r="S1485" s="35" t="str">
        <f>MID(Tabla1[[#This Row],[Aplicación]],6,2)</f>
        <v>02</v>
      </c>
      <c r="T1485" s="35" t="str">
        <f>VLOOKUP(Tabla1[[#This Row],[AREA]],Hoja1!A:B,2,FALSE)</f>
        <v>02. Planeamiento urbanístico y vivienda</v>
      </c>
      <c r="U1485" s="35" t="str">
        <f>MID(Tabla1[[#This Row],[Aplicación]],9,4)</f>
        <v>9332</v>
      </c>
      <c r="V1485" s="35" t="str">
        <f>VLOOKUP(Tabla1[[#This Row],[PROGRAMA]],Hoja1!A:B,2,FALSE)</f>
        <v>9332. Mantenimiento de edificios e instalaciones municipales</v>
      </c>
      <c r="W1485" s="35" t="str">
        <f>MID(Tabla1[[#This Row],[Aplicación]],14,2)</f>
        <v>21</v>
      </c>
      <c r="X1485" s="35" t="str">
        <f>MID(Tabla1[[#This Row],[Aplicación]],14,6)</f>
        <v>213</v>
      </c>
    </row>
    <row r="1486" spans="1:24" x14ac:dyDescent="0.25">
      <c r="A1486" s="45">
        <v>220210006697</v>
      </c>
      <c r="B1486" s="46" t="s">
        <v>32</v>
      </c>
      <c r="C1486" s="47">
        <v>44257</v>
      </c>
      <c r="D1486" s="45">
        <v>22021003148</v>
      </c>
      <c r="E1486" s="46" t="s">
        <v>1263</v>
      </c>
      <c r="F1486" s="48">
        <v>581.70000000000005</v>
      </c>
      <c r="G1486" s="46" t="s">
        <v>182</v>
      </c>
      <c r="H1486" s="46" t="s">
        <v>2733</v>
      </c>
      <c r="I1486" s="45" t="s">
        <v>234</v>
      </c>
      <c r="J1486" s="46" t="s">
        <v>144</v>
      </c>
      <c r="K1486" s="46" t="s">
        <v>144</v>
      </c>
      <c r="L1486" s="46" t="s">
        <v>12</v>
      </c>
      <c r="M1486" s="46" t="s">
        <v>13</v>
      </c>
      <c r="N1486" s="46" t="s">
        <v>14</v>
      </c>
      <c r="O1486" s="49" t="s">
        <v>803</v>
      </c>
      <c r="P1486" s="46" t="s">
        <v>507</v>
      </c>
      <c r="Q1486" s="35" t="str">
        <f>MID(Tabla1[[#This Row],[Aplicación]],14,1)</f>
        <v>2</v>
      </c>
      <c r="R1486" s="35" t="s">
        <v>495</v>
      </c>
      <c r="S1486" s="35" t="str">
        <f>MID(Tabla1[[#This Row],[Aplicación]],6,2)</f>
        <v>02</v>
      </c>
      <c r="T1486" s="35" t="str">
        <f>VLOOKUP(Tabla1[[#This Row],[AREA]],Hoja1!A:B,2,FALSE)</f>
        <v>02. Planeamiento urbanístico y vivienda</v>
      </c>
      <c r="U1486" s="35" t="str">
        <f>MID(Tabla1[[#This Row],[Aplicación]],9,4)</f>
        <v>9332</v>
      </c>
      <c r="V1486" s="35" t="str">
        <f>VLOOKUP(Tabla1[[#This Row],[PROGRAMA]],Hoja1!A:B,2,FALSE)</f>
        <v>9332. Mantenimiento de edificios e instalaciones municipales</v>
      </c>
      <c r="W1486" s="35" t="str">
        <f>MID(Tabla1[[#This Row],[Aplicación]],14,2)</f>
        <v>21</v>
      </c>
      <c r="X1486" s="35" t="str">
        <f>MID(Tabla1[[#This Row],[Aplicación]],14,6)</f>
        <v>213</v>
      </c>
    </row>
    <row r="1487" spans="1:24" x14ac:dyDescent="0.25">
      <c r="A1487" s="45">
        <v>220210005612</v>
      </c>
      <c r="B1487" s="46" t="s">
        <v>204</v>
      </c>
      <c r="C1487" s="47">
        <v>44250</v>
      </c>
      <c r="D1487" s="45">
        <v>22021002057</v>
      </c>
      <c r="E1487" s="46" t="s">
        <v>1715</v>
      </c>
      <c r="F1487" s="48">
        <v>378.77</v>
      </c>
      <c r="G1487" s="46" t="s">
        <v>102</v>
      </c>
      <c r="H1487" s="46" t="s">
        <v>2734</v>
      </c>
      <c r="I1487" s="45" t="s">
        <v>205</v>
      </c>
      <c r="J1487" s="46" t="s">
        <v>127</v>
      </c>
      <c r="K1487" s="46" t="s">
        <v>127</v>
      </c>
      <c r="L1487" s="46" t="s">
        <v>15</v>
      </c>
      <c r="M1487" s="46" t="s">
        <v>13</v>
      </c>
      <c r="N1487" s="46" t="s">
        <v>14</v>
      </c>
      <c r="O1487" s="49" t="s">
        <v>814</v>
      </c>
      <c r="P1487" s="46" t="s">
        <v>507</v>
      </c>
      <c r="Q1487" s="35" t="str">
        <f>MID(Tabla1[[#This Row],[Aplicación]],14,1)</f>
        <v>2</v>
      </c>
      <c r="R1487" s="35" t="s">
        <v>495</v>
      </c>
      <c r="S1487" s="35" t="str">
        <f>MID(Tabla1[[#This Row],[Aplicación]],6,2)</f>
        <v>11</v>
      </c>
      <c r="T1487" s="35" t="str">
        <f>VLOOKUP(Tabla1[[#This Row],[AREA]],Hoja1!A:B,2,FALSE)</f>
        <v>11. Salud pública y seguridad ciudadana</v>
      </c>
      <c r="U1487" s="35" t="str">
        <f>MID(Tabla1[[#This Row],[Aplicación]],9,4)</f>
        <v>1631</v>
      </c>
      <c r="V1487" s="35" t="str">
        <f>VLOOKUP(Tabla1[[#This Row],[PROGRAMA]],Hoja1!A:B,2,FALSE)</f>
        <v>1631. Limpieza viaria</v>
      </c>
      <c r="W1487" s="35" t="str">
        <f>MID(Tabla1[[#This Row],[Aplicación]],14,2)</f>
        <v>22</v>
      </c>
      <c r="X1487" s="35" t="str">
        <f>MID(Tabla1[[#This Row],[Aplicación]],14,6)</f>
        <v>22199</v>
      </c>
    </row>
    <row r="1488" spans="1:24" x14ac:dyDescent="0.25">
      <c r="A1488" s="45">
        <v>220210006680</v>
      </c>
      <c r="B1488" s="46" t="s">
        <v>204</v>
      </c>
      <c r="C1488" s="47">
        <v>44257</v>
      </c>
      <c r="D1488" s="45">
        <v>22021002227</v>
      </c>
      <c r="E1488" s="46" t="s">
        <v>1324</v>
      </c>
      <c r="F1488" s="48">
        <v>77.790000000000006</v>
      </c>
      <c r="G1488" s="46" t="s">
        <v>102</v>
      </c>
      <c r="H1488" s="46" t="s">
        <v>2735</v>
      </c>
      <c r="I1488" s="45" t="s">
        <v>205</v>
      </c>
      <c r="J1488" s="46" t="s">
        <v>127</v>
      </c>
      <c r="K1488" s="46" t="s">
        <v>127</v>
      </c>
      <c r="L1488" s="46" t="s">
        <v>15</v>
      </c>
      <c r="M1488" s="46" t="s">
        <v>13</v>
      </c>
      <c r="N1488" s="46" t="s">
        <v>14</v>
      </c>
      <c r="O1488" s="49" t="s">
        <v>814</v>
      </c>
      <c r="P1488" s="46" t="s">
        <v>507</v>
      </c>
      <c r="Q1488" s="35" t="str">
        <f>MID(Tabla1[[#This Row],[Aplicación]],14,1)</f>
        <v>2</v>
      </c>
      <c r="R1488" s="35" t="s">
        <v>495</v>
      </c>
      <c r="S1488" s="35" t="str">
        <f>MID(Tabla1[[#This Row],[Aplicación]],6,2)</f>
        <v>06</v>
      </c>
      <c r="T1488" s="35" t="str">
        <f>VLOOKUP(Tabla1[[#This Row],[AREA]],Hoja1!A:B,2,FALSE)</f>
        <v>06. Educación, infancia, juventud e igualdad</v>
      </c>
      <c r="U1488" s="35" t="str">
        <f>MID(Tabla1[[#This Row],[Aplicación]],9,4)</f>
        <v>3321</v>
      </c>
      <c r="V1488" s="35" t="str">
        <f>VLOOKUP(Tabla1[[#This Row],[PROGRAMA]],Hoja1!A:B,2,FALSE)</f>
        <v>3321. Bibliotecas públicas</v>
      </c>
      <c r="W1488" s="35" t="str">
        <f>MID(Tabla1[[#This Row],[Aplicación]],14,2)</f>
        <v>21</v>
      </c>
      <c r="X1488" s="35" t="str">
        <f>MID(Tabla1[[#This Row],[Aplicación]],14,6)</f>
        <v>212</v>
      </c>
    </row>
    <row r="1489" spans="1:24" x14ac:dyDescent="0.25">
      <c r="A1489" s="45">
        <v>220210006698</v>
      </c>
      <c r="B1489" s="46" t="s">
        <v>204</v>
      </c>
      <c r="C1489" s="47">
        <v>44257</v>
      </c>
      <c r="D1489" s="45">
        <v>22021002006</v>
      </c>
      <c r="E1489" s="46" t="s">
        <v>1310</v>
      </c>
      <c r="F1489" s="48">
        <v>428.44</v>
      </c>
      <c r="G1489" s="46" t="s">
        <v>102</v>
      </c>
      <c r="H1489" s="46" t="s">
        <v>2736</v>
      </c>
      <c r="I1489" s="45" t="s">
        <v>205</v>
      </c>
      <c r="J1489" s="46" t="s">
        <v>127</v>
      </c>
      <c r="K1489" s="46" t="s">
        <v>127</v>
      </c>
      <c r="L1489" s="46" t="s">
        <v>15</v>
      </c>
      <c r="M1489" s="46" t="s">
        <v>13</v>
      </c>
      <c r="N1489" s="46" t="s">
        <v>14</v>
      </c>
      <c r="O1489" s="49" t="s">
        <v>814</v>
      </c>
      <c r="P1489" s="46" t="s">
        <v>507</v>
      </c>
      <c r="Q1489" s="35" t="str">
        <f>MID(Tabla1[[#This Row],[Aplicación]],14,1)</f>
        <v>2</v>
      </c>
      <c r="R1489" s="35" t="s">
        <v>495</v>
      </c>
      <c r="S1489" s="35" t="str">
        <f>MID(Tabla1[[#This Row],[Aplicación]],6,2)</f>
        <v>11</v>
      </c>
      <c r="T1489" s="35" t="str">
        <f>VLOOKUP(Tabla1[[#This Row],[AREA]],Hoja1!A:B,2,FALSE)</f>
        <v>11. Salud pública y seguridad ciudadana</v>
      </c>
      <c r="U1489" s="35" t="str">
        <f>MID(Tabla1[[#This Row],[Aplicación]],9,4)</f>
        <v>3111</v>
      </c>
      <c r="V1489" s="35" t="str">
        <f>VLOOKUP(Tabla1[[#This Row],[PROGRAMA]],Hoja1!A:B,2,FALSE)</f>
        <v>3111. Protección de la salubridad pública</v>
      </c>
      <c r="W1489" s="35" t="str">
        <f>MID(Tabla1[[#This Row],[Aplicación]],14,2)</f>
        <v>22</v>
      </c>
      <c r="X1489" s="35" t="str">
        <f>MID(Tabla1[[#This Row],[Aplicación]],14,6)</f>
        <v>22199</v>
      </c>
    </row>
    <row r="1490" spans="1:24" x14ac:dyDescent="0.25">
      <c r="A1490" s="45">
        <v>220210000526</v>
      </c>
      <c r="B1490" s="46" t="s">
        <v>9</v>
      </c>
      <c r="C1490" s="47">
        <v>44221</v>
      </c>
      <c r="D1490" s="45">
        <v>22021000676</v>
      </c>
      <c r="E1490" s="46" t="s">
        <v>983</v>
      </c>
      <c r="F1490" s="48">
        <v>238.84</v>
      </c>
      <c r="G1490" s="46" t="s">
        <v>53</v>
      </c>
      <c r="H1490" s="46" t="s">
        <v>2714</v>
      </c>
      <c r="I1490" s="45" t="s">
        <v>125</v>
      </c>
      <c r="J1490" s="46" t="s">
        <v>127</v>
      </c>
      <c r="K1490" s="46" t="s">
        <v>127</v>
      </c>
      <c r="L1490" s="46" t="s">
        <v>12</v>
      </c>
      <c r="M1490" s="46" t="s">
        <v>10</v>
      </c>
      <c r="N1490" s="46" t="s">
        <v>11</v>
      </c>
      <c r="O1490" s="49" t="s">
        <v>815</v>
      </c>
      <c r="P1490" s="46" t="s">
        <v>507</v>
      </c>
      <c r="Q1490" s="35" t="str">
        <f>MID(Tabla1[[#This Row],[Aplicación]],14,1)</f>
        <v>2</v>
      </c>
      <c r="R1490" s="35" t="s">
        <v>495</v>
      </c>
      <c r="S1490" s="35" t="str">
        <f>MID(Tabla1[[#This Row],[Aplicación]],6,2)</f>
        <v>10</v>
      </c>
      <c r="T1490" s="35" t="str">
        <f>VLOOKUP(Tabla1[[#This Row],[AREA]],Hoja1!A:B,2,FALSE)</f>
        <v>10. Servicios sociales y mediación comunitaria</v>
      </c>
      <c r="U1490" s="35" t="str">
        <f>MID(Tabla1[[#This Row],[Aplicación]],9,4)</f>
        <v>2412</v>
      </c>
      <c r="V1490" s="35" t="str">
        <f>VLOOKUP(Tabla1[[#This Row],[PROGRAMA]],Hoja1!A:B,2,FALSE)</f>
        <v>2412. Formación para el empleo</v>
      </c>
      <c r="W1490" s="35" t="str">
        <f>MID(Tabla1[[#This Row],[Aplicación]],14,2)</f>
        <v>21</v>
      </c>
      <c r="X1490" s="35" t="str">
        <f>MID(Tabla1[[#This Row],[Aplicación]],14,6)</f>
        <v>213</v>
      </c>
    </row>
    <row r="1491" spans="1:24" x14ac:dyDescent="0.25">
      <c r="A1491" s="45">
        <v>220210010751</v>
      </c>
      <c r="B1491" s="46" t="s">
        <v>204</v>
      </c>
      <c r="C1491" s="47">
        <v>44278</v>
      </c>
      <c r="D1491" s="45">
        <v>22021002006</v>
      </c>
      <c r="E1491" s="46" t="s">
        <v>1310</v>
      </c>
      <c r="F1491" s="48">
        <v>48.3</v>
      </c>
      <c r="G1491" s="46" t="s">
        <v>266</v>
      </c>
      <c r="H1491" s="46" t="s">
        <v>2737</v>
      </c>
      <c r="I1491" s="45" t="s">
        <v>205</v>
      </c>
      <c r="J1491" s="46" t="s">
        <v>127</v>
      </c>
      <c r="K1491" s="46" t="s">
        <v>127</v>
      </c>
      <c r="L1491" s="46" t="s">
        <v>15</v>
      </c>
      <c r="M1491" s="46" t="s">
        <v>13</v>
      </c>
      <c r="N1491" s="46" t="s">
        <v>14</v>
      </c>
      <c r="O1491" s="49" t="s">
        <v>814</v>
      </c>
      <c r="P1491" s="46" t="s">
        <v>507</v>
      </c>
      <c r="Q1491" s="35" t="str">
        <f>MID(Tabla1[[#This Row],[Aplicación]],14,1)</f>
        <v>2</v>
      </c>
      <c r="R1491" s="35" t="s">
        <v>495</v>
      </c>
      <c r="S1491" s="35" t="str">
        <f>MID(Tabla1[[#This Row],[Aplicación]],6,2)</f>
        <v>11</v>
      </c>
      <c r="T1491" s="35" t="str">
        <f>VLOOKUP(Tabla1[[#This Row],[AREA]],Hoja1!A:B,2,FALSE)</f>
        <v>11. Salud pública y seguridad ciudadana</v>
      </c>
      <c r="U1491" s="35" t="str">
        <f>MID(Tabla1[[#This Row],[Aplicación]],9,4)</f>
        <v>3111</v>
      </c>
      <c r="V1491" s="35" t="str">
        <f>VLOOKUP(Tabla1[[#This Row],[PROGRAMA]],Hoja1!A:B,2,FALSE)</f>
        <v>3111. Protección de la salubridad pública</v>
      </c>
      <c r="W1491" s="35" t="str">
        <f>MID(Tabla1[[#This Row],[Aplicación]],14,2)</f>
        <v>22</v>
      </c>
      <c r="X1491" s="35" t="str">
        <f>MID(Tabla1[[#This Row],[Aplicación]],14,6)</f>
        <v>22199</v>
      </c>
    </row>
    <row r="1492" spans="1:24" x14ac:dyDescent="0.25">
      <c r="A1492" s="45">
        <v>220210000518</v>
      </c>
      <c r="B1492" s="46" t="s">
        <v>9</v>
      </c>
      <c r="C1492" s="47">
        <v>44221</v>
      </c>
      <c r="D1492" s="45">
        <v>22021000781</v>
      </c>
      <c r="E1492" s="46" t="s">
        <v>890</v>
      </c>
      <c r="F1492" s="48">
        <v>2500</v>
      </c>
      <c r="G1492" s="46" t="s">
        <v>112</v>
      </c>
      <c r="H1492" s="46" t="s">
        <v>2738</v>
      </c>
      <c r="I1492" s="45" t="s">
        <v>125</v>
      </c>
      <c r="J1492" s="46" t="s">
        <v>780</v>
      </c>
      <c r="K1492" s="46" t="s">
        <v>126</v>
      </c>
      <c r="L1492" s="46" t="s">
        <v>15</v>
      </c>
      <c r="M1492" s="46" t="s">
        <v>10</v>
      </c>
      <c r="N1492" s="46" t="s">
        <v>11</v>
      </c>
      <c r="O1492" s="49" t="s">
        <v>815</v>
      </c>
      <c r="P1492" s="46" t="s">
        <v>507</v>
      </c>
      <c r="Q1492" s="35" t="str">
        <f>MID(Tabla1[[#This Row],[Aplicación]],14,1)</f>
        <v>2</v>
      </c>
      <c r="R1492" s="35" t="s">
        <v>495</v>
      </c>
      <c r="S1492" s="35" t="str">
        <f>MID(Tabla1[[#This Row],[Aplicación]],6,2)</f>
        <v>11</v>
      </c>
      <c r="T1492" s="35" t="str">
        <f>VLOOKUP(Tabla1[[#This Row],[AREA]],Hoja1!A:B,2,FALSE)</f>
        <v>11. Salud pública y seguridad ciudadana</v>
      </c>
      <c r="U1492" s="35" t="str">
        <f>MID(Tabla1[[#This Row],[Aplicación]],9,4)</f>
        <v>1621</v>
      </c>
      <c r="V1492" s="35" t="str">
        <f>VLOOKUP(Tabla1[[#This Row],[PROGRAMA]],Hoja1!A:B,2,FALSE)</f>
        <v>1621. Servicio de limpieza</v>
      </c>
      <c r="W1492" s="35" t="str">
        <f>MID(Tabla1[[#This Row],[Aplicación]],14,2)</f>
        <v>21</v>
      </c>
      <c r="X1492" s="35" t="str">
        <f>MID(Tabla1[[#This Row],[Aplicación]],14,6)</f>
        <v>214</v>
      </c>
    </row>
    <row r="1493" spans="1:24" x14ac:dyDescent="0.25">
      <c r="A1493" s="45">
        <v>220210000485</v>
      </c>
      <c r="B1493" s="46" t="s">
        <v>9</v>
      </c>
      <c r="C1493" s="47">
        <v>44221</v>
      </c>
      <c r="D1493" s="45">
        <v>22021001230</v>
      </c>
      <c r="E1493" s="46" t="s">
        <v>2739</v>
      </c>
      <c r="F1493" s="48">
        <v>2500</v>
      </c>
      <c r="G1493" s="46" t="s">
        <v>516</v>
      </c>
      <c r="H1493" s="46" t="s">
        <v>2740</v>
      </c>
      <c r="I1493" s="45" t="s">
        <v>125</v>
      </c>
      <c r="J1493" s="46" t="s">
        <v>127</v>
      </c>
      <c r="K1493" s="46" t="s">
        <v>127</v>
      </c>
      <c r="L1493" s="46" t="s">
        <v>15</v>
      </c>
      <c r="M1493" s="46" t="s">
        <v>10</v>
      </c>
      <c r="N1493" s="46" t="s">
        <v>11</v>
      </c>
      <c r="O1493" s="49" t="s">
        <v>815</v>
      </c>
      <c r="P1493" s="46" t="s">
        <v>507</v>
      </c>
      <c r="Q1493" s="35" t="str">
        <f>MID(Tabla1[[#This Row],[Aplicación]],14,1)</f>
        <v>2</v>
      </c>
      <c r="R1493" s="35" t="s">
        <v>495</v>
      </c>
      <c r="S1493" s="35" t="str">
        <f>MID(Tabla1[[#This Row],[Aplicación]],6,2)</f>
        <v>07</v>
      </c>
      <c r="T1493" s="35" t="str">
        <f>VLOOKUP(Tabla1[[#This Row],[AREA]],Hoja1!A:B,2,FALSE)</f>
        <v>07. Medio ambiente y desarrollo sostenible</v>
      </c>
      <c r="U1493" s="35" t="str">
        <f>MID(Tabla1[[#This Row],[Aplicación]],9,4)</f>
        <v>1711</v>
      </c>
      <c r="V1493" s="35" t="str">
        <f>VLOOKUP(Tabla1[[#This Row],[PROGRAMA]],Hoja1!A:B,2,FALSE)</f>
        <v>1711. Parques y jardines</v>
      </c>
      <c r="W1493" s="35" t="str">
        <f>MID(Tabla1[[#This Row],[Aplicación]],14,2)</f>
        <v>22</v>
      </c>
      <c r="X1493" s="35" t="str">
        <f>MID(Tabla1[[#This Row],[Aplicación]],14,6)</f>
        <v>22113</v>
      </c>
    </row>
    <row r="1494" spans="1:24" x14ac:dyDescent="0.25">
      <c r="A1494" s="45">
        <v>220209000553</v>
      </c>
      <c r="B1494" s="46" t="s">
        <v>9</v>
      </c>
      <c r="C1494" s="47">
        <v>44198</v>
      </c>
      <c r="D1494" s="45">
        <v>22021000584</v>
      </c>
      <c r="E1494" s="46" t="s">
        <v>2741</v>
      </c>
      <c r="F1494" s="48">
        <v>4500</v>
      </c>
      <c r="G1494" s="46" t="s">
        <v>2517</v>
      </c>
      <c r="H1494" s="46" t="s">
        <v>2742</v>
      </c>
      <c r="I1494" s="45" t="s">
        <v>125</v>
      </c>
      <c r="J1494" s="46" t="s">
        <v>203</v>
      </c>
      <c r="K1494" s="46" t="s">
        <v>203</v>
      </c>
      <c r="L1494" s="46" t="s">
        <v>15</v>
      </c>
      <c r="M1494" s="46" t="s">
        <v>13</v>
      </c>
      <c r="N1494" s="46" t="s">
        <v>16</v>
      </c>
      <c r="O1494" s="49" t="s">
        <v>803</v>
      </c>
      <c r="P1494" s="46" t="s">
        <v>507</v>
      </c>
      <c r="Q1494" s="35" t="str">
        <f>MID(Tabla1[[#This Row],[Aplicación]],14,1)</f>
        <v>2</v>
      </c>
      <c r="R1494" s="35" t="s">
        <v>495</v>
      </c>
      <c r="S1494" s="35" t="str">
        <f>MID(Tabla1[[#This Row],[Aplicación]],6,2)</f>
        <v>06</v>
      </c>
      <c r="T1494" s="35" t="str">
        <f>VLOOKUP(Tabla1[[#This Row],[AREA]],Hoja1!A:B,2,FALSE)</f>
        <v>06. Educación, infancia, juventud e igualdad</v>
      </c>
      <c r="U1494" s="35" t="str">
        <f>MID(Tabla1[[#This Row],[Aplicación]],9,4)</f>
        <v>3232</v>
      </c>
      <c r="V1494" s="35" t="str">
        <f>VLOOKUP(Tabla1[[#This Row],[PROGRAMA]],Hoja1!A:B,2,FALSE)</f>
        <v>3232. Conservación y mantenimiento centros educación infantil y primaria</v>
      </c>
      <c r="W1494" s="35" t="str">
        <f>MID(Tabla1[[#This Row],[Aplicación]],14,2)</f>
        <v>22</v>
      </c>
      <c r="X1494" s="35" t="str">
        <f>MID(Tabla1[[#This Row],[Aplicación]],14,6)</f>
        <v>22104</v>
      </c>
    </row>
    <row r="1495" spans="1:24" x14ac:dyDescent="0.25">
      <c r="A1495" s="45">
        <v>220209000564</v>
      </c>
      <c r="B1495" s="46" t="s">
        <v>9</v>
      </c>
      <c r="C1495" s="47">
        <v>44198</v>
      </c>
      <c r="D1495" s="45">
        <v>22021000593</v>
      </c>
      <c r="E1495" s="46" t="s">
        <v>1364</v>
      </c>
      <c r="F1495" s="48">
        <v>1039.44</v>
      </c>
      <c r="G1495" s="46" t="s">
        <v>2517</v>
      </c>
      <c r="H1495" s="46" t="s">
        <v>2743</v>
      </c>
      <c r="I1495" s="45" t="s">
        <v>125</v>
      </c>
      <c r="J1495" s="46" t="s">
        <v>203</v>
      </c>
      <c r="K1495" s="46" t="s">
        <v>203</v>
      </c>
      <c r="L1495" s="46" t="s">
        <v>15</v>
      </c>
      <c r="M1495" s="46" t="s">
        <v>13</v>
      </c>
      <c r="N1495" s="46" t="s">
        <v>14</v>
      </c>
      <c r="O1495" s="49" t="s">
        <v>803</v>
      </c>
      <c r="P1495" s="46" t="s">
        <v>507</v>
      </c>
      <c r="Q1495" s="35" t="str">
        <f>MID(Tabla1[[#This Row],[Aplicación]],14,1)</f>
        <v>2</v>
      </c>
      <c r="R1495" s="35" t="s">
        <v>495</v>
      </c>
      <c r="S1495" s="35" t="str">
        <f>MID(Tabla1[[#This Row],[Aplicación]],6,2)</f>
        <v>05</v>
      </c>
      <c r="T1495" s="35" t="str">
        <f>VLOOKUP(Tabla1[[#This Row],[AREA]],Hoja1!A:B,2,FALSE)</f>
        <v>05. Innovación, desarrollo económico, empleo y comercio</v>
      </c>
      <c r="U1495" s="35" t="str">
        <f>MID(Tabla1[[#This Row],[Aplicación]],9,4)</f>
        <v>4315</v>
      </c>
      <c r="V1495" s="35" t="str">
        <f>VLOOKUP(Tabla1[[#This Row],[PROGRAMA]],Hoja1!A:B,2,FALSE)</f>
        <v>4315. Actuaciones en materia de consumo</v>
      </c>
      <c r="W1495" s="35" t="str">
        <f>MID(Tabla1[[#This Row],[Aplicación]],14,2)</f>
        <v>22</v>
      </c>
      <c r="X1495" s="35" t="str">
        <f>MID(Tabla1[[#This Row],[Aplicación]],14,6)</f>
        <v>22100</v>
      </c>
    </row>
    <row r="1496" spans="1:24" x14ac:dyDescent="0.25">
      <c r="A1496" s="45">
        <v>220209000613</v>
      </c>
      <c r="B1496" s="46" t="s">
        <v>9</v>
      </c>
      <c r="C1496" s="47">
        <v>44198</v>
      </c>
      <c r="D1496" s="45">
        <v>22021000631</v>
      </c>
      <c r="E1496" s="46" t="s">
        <v>1366</v>
      </c>
      <c r="F1496" s="48">
        <v>326.60000000000002</v>
      </c>
      <c r="G1496" s="46" t="s">
        <v>2517</v>
      </c>
      <c r="H1496" s="46" t="s">
        <v>2744</v>
      </c>
      <c r="I1496" s="45" t="s">
        <v>125</v>
      </c>
      <c r="J1496" s="46" t="s">
        <v>203</v>
      </c>
      <c r="K1496" s="46" t="s">
        <v>203</v>
      </c>
      <c r="L1496" s="46" t="s">
        <v>15</v>
      </c>
      <c r="M1496" s="46" t="s">
        <v>13</v>
      </c>
      <c r="N1496" s="46" t="s">
        <v>14</v>
      </c>
      <c r="O1496" s="49" t="s">
        <v>803</v>
      </c>
      <c r="P1496" s="46" t="s">
        <v>507</v>
      </c>
      <c r="Q1496" s="35" t="str">
        <f>MID(Tabla1[[#This Row],[Aplicación]],14,1)</f>
        <v>2</v>
      </c>
      <c r="R1496" s="35" t="s">
        <v>495</v>
      </c>
      <c r="S1496" s="35" t="str">
        <f>MID(Tabla1[[#This Row],[Aplicación]],6,2)</f>
        <v>10</v>
      </c>
      <c r="T1496" s="35" t="str">
        <f>VLOOKUP(Tabla1[[#This Row],[AREA]],Hoja1!A:B,2,FALSE)</f>
        <v>10. Servicios sociales y mediación comunitaria</v>
      </c>
      <c r="U1496" s="35" t="str">
        <f>MID(Tabla1[[#This Row],[Aplicación]],9,4)</f>
        <v>2311</v>
      </c>
      <c r="V1496" s="35" t="str">
        <f>VLOOKUP(Tabla1[[#This Row],[PROGRAMA]],Hoja1!A:B,2,FALSE)</f>
        <v>2311. Intervención social</v>
      </c>
      <c r="W1496" s="35" t="str">
        <f>MID(Tabla1[[#This Row],[Aplicación]],14,2)</f>
        <v>22</v>
      </c>
      <c r="X1496" s="35" t="str">
        <f>MID(Tabla1[[#This Row],[Aplicación]],14,6)</f>
        <v>22104</v>
      </c>
    </row>
    <row r="1497" spans="1:24" x14ac:dyDescent="0.25">
      <c r="A1497" s="45">
        <v>220209000644</v>
      </c>
      <c r="B1497" s="46" t="s">
        <v>9</v>
      </c>
      <c r="C1497" s="47">
        <v>44198</v>
      </c>
      <c r="D1497" s="45">
        <v>22021000408</v>
      </c>
      <c r="E1497" s="46" t="s">
        <v>1368</v>
      </c>
      <c r="F1497" s="48">
        <v>1331</v>
      </c>
      <c r="G1497" s="46" t="s">
        <v>2517</v>
      </c>
      <c r="H1497" s="46" t="s">
        <v>2745</v>
      </c>
      <c r="I1497" s="45" t="s">
        <v>125</v>
      </c>
      <c r="J1497" s="46" t="s">
        <v>203</v>
      </c>
      <c r="K1497" s="46" t="s">
        <v>203</v>
      </c>
      <c r="L1497" s="46" t="s">
        <v>15</v>
      </c>
      <c r="M1497" s="46" t="s">
        <v>13</v>
      </c>
      <c r="N1497" s="46" t="s">
        <v>14</v>
      </c>
      <c r="O1497" s="49" t="s">
        <v>803</v>
      </c>
      <c r="P1497" s="46" t="s">
        <v>507</v>
      </c>
      <c r="Q1497" s="35" t="str">
        <f>MID(Tabla1[[#This Row],[Aplicación]],14,1)</f>
        <v>2</v>
      </c>
      <c r="R1497" s="35" t="s">
        <v>495</v>
      </c>
      <c r="S1497" s="35" t="str">
        <f>MID(Tabla1[[#This Row],[Aplicación]],6,2)</f>
        <v>10</v>
      </c>
      <c r="T1497" s="35" t="str">
        <f>VLOOKUP(Tabla1[[#This Row],[AREA]],Hoja1!A:B,2,FALSE)</f>
        <v>10. Servicios sociales y mediación comunitaria</v>
      </c>
      <c r="U1497" s="35" t="str">
        <f>MID(Tabla1[[#This Row],[Aplicación]],9,4)</f>
        <v>2312</v>
      </c>
      <c r="V1497" s="35" t="str">
        <f>VLOOKUP(Tabla1[[#This Row],[PROGRAMA]],Hoja1!A:B,2,FALSE)</f>
        <v>2312. Iniciativas sociales</v>
      </c>
      <c r="W1497" s="35" t="str">
        <f>MID(Tabla1[[#This Row],[Aplicación]],14,2)</f>
        <v>22</v>
      </c>
      <c r="X1497" s="35" t="str">
        <f>MID(Tabla1[[#This Row],[Aplicación]],14,6)</f>
        <v>22104</v>
      </c>
    </row>
    <row r="1498" spans="1:24" x14ac:dyDescent="0.25">
      <c r="A1498" s="45">
        <v>220209000645</v>
      </c>
      <c r="B1498" s="46" t="s">
        <v>9</v>
      </c>
      <c r="C1498" s="47">
        <v>44198</v>
      </c>
      <c r="D1498" s="45">
        <v>22021000409</v>
      </c>
      <c r="E1498" s="46" t="s">
        <v>1368</v>
      </c>
      <c r="F1498" s="48">
        <v>847</v>
      </c>
      <c r="G1498" s="46" t="s">
        <v>2517</v>
      </c>
      <c r="H1498" s="46" t="s">
        <v>2746</v>
      </c>
      <c r="I1498" s="45" t="s">
        <v>125</v>
      </c>
      <c r="J1498" s="46" t="s">
        <v>203</v>
      </c>
      <c r="K1498" s="46" t="s">
        <v>203</v>
      </c>
      <c r="L1498" s="46" t="s">
        <v>15</v>
      </c>
      <c r="M1498" s="46" t="s">
        <v>13</v>
      </c>
      <c r="N1498" s="46" t="s">
        <v>14</v>
      </c>
      <c r="O1498" s="49" t="s">
        <v>803</v>
      </c>
      <c r="P1498" s="46" t="s">
        <v>507</v>
      </c>
      <c r="Q1498" s="35" t="str">
        <f>MID(Tabla1[[#This Row],[Aplicación]],14,1)</f>
        <v>2</v>
      </c>
      <c r="R1498" s="35" t="s">
        <v>495</v>
      </c>
      <c r="S1498" s="35" t="str">
        <f>MID(Tabla1[[#This Row],[Aplicación]],6,2)</f>
        <v>10</v>
      </c>
      <c r="T1498" s="35" t="str">
        <f>VLOOKUP(Tabla1[[#This Row],[AREA]],Hoja1!A:B,2,FALSE)</f>
        <v>10. Servicios sociales y mediación comunitaria</v>
      </c>
      <c r="U1498" s="35" t="str">
        <f>MID(Tabla1[[#This Row],[Aplicación]],9,4)</f>
        <v>2312</v>
      </c>
      <c r="V1498" s="35" t="str">
        <f>VLOOKUP(Tabla1[[#This Row],[PROGRAMA]],Hoja1!A:B,2,FALSE)</f>
        <v>2312. Iniciativas sociales</v>
      </c>
      <c r="W1498" s="35" t="str">
        <f>MID(Tabla1[[#This Row],[Aplicación]],14,2)</f>
        <v>22</v>
      </c>
      <c r="X1498" s="35" t="str">
        <f>MID(Tabla1[[#This Row],[Aplicación]],14,6)</f>
        <v>22104</v>
      </c>
    </row>
    <row r="1499" spans="1:24" x14ac:dyDescent="0.25">
      <c r="A1499" s="45">
        <v>220210001352</v>
      </c>
      <c r="B1499" s="46" t="s">
        <v>9</v>
      </c>
      <c r="C1499" s="47">
        <v>44228</v>
      </c>
      <c r="D1499" s="45">
        <v>22021000825</v>
      </c>
      <c r="E1499" s="46" t="s">
        <v>890</v>
      </c>
      <c r="F1499" s="48">
        <v>2500</v>
      </c>
      <c r="G1499" s="46" t="s">
        <v>542</v>
      </c>
      <c r="H1499" s="46" t="s">
        <v>2747</v>
      </c>
      <c r="I1499" s="45" t="s">
        <v>125</v>
      </c>
      <c r="J1499" s="46" t="s">
        <v>664</v>
      </c>
      <c r="K1499" s="46" t="s">
        <v>127</v>
      </c>
      <c r="L1499" s="46" t="s">
        <v>15</v>
      </c>
      <c r="M1499" s="46" t="s">
        <v>10</v>
      </c>
      <c r="N1499" s="46" t="s">
        <v>11</v>
      </c>
      <c r="O1499" s="49" t="s">
        <v>815</v>
      </c>
      <c r="P1499" s="46" t="s">
        <v>507</v>
      </c>
      <c r="Q1499" s="35" t="str">
        <f>MID(Tabla1[[#This Row],[Aplicación]],14,1)</f>
        <v>2</v>
      </c>
      <c r="R1499" s="35" t="s">
        <v>495</v>
      </c>
      <c r="S1499" s="35" t="str">
        <f>MID(Tabla1[[#This Row],[Aplicación]],6,2)</f>
        <v>11</v>
      </c>
      <c r="T1499" s="35" t="str">
        <f>VLOOKUP(Tabla1[[#This Row],[AREA]],Hoja1!A:B,2,FALSE)</f>
        <v>11. Salud pública y seguridad ciudadana</v>
      </c>
      <c r="U1499" s="35" t="str">
        <f>MID(Tabla1[[#This Row],[Aplicación]],9,4)</f>
        <v>1621</v>
      </c>
      <c r="V1499" s="35" t="str">
        <f>VLOOKUP(Tabla1[[#This Row],[PROGRAMA]],Hoja1!A:B,2,FALSE)</f>
        <v>1621. Servicio de limpieza</v>
      </c>
      <c r="W1499" s="35" t="str">
        <f>MID(Tabla1[[#This Row],[Aplicación]],14,2)</f>
        <v>21</v>
      </c>
      <c r="X1499" s="35" t="str">
        <f>MID(Tabla1[[#This Row],[Aplicación]],14,6)</f>
        <v>214</v>
      </c>
    </row>
    <row r="1500" spans="1:24" x14ac:dyDescent="0.25">
      <c r="A1500" s="45">
        <v>220179000245</v>
      </c>
      <c r="B1500" s="46" t="s">
        <v>9</v>
      </c>
      <c r="C1500" s="47">
        <v>44198</v>
      </c>
      <c r="D1500" s="45">
        <v>22021000118</v>
      </c>
      <c r="E1500" s="46" t="s">
        <v>1648</v>
      </c>
      <c r="F1500" s="48">
        <v>2555.52</v>
      </c>
      <c r="G1500" s="46" t="s">
        <v>101</v>
      </c>
      <c r="H1500" s="46" t="s">
        <v>22</v>
      </c>
      <c r="I1500" s="45" t="s">
        <v>125</v>
      </c>
      <c r="J1500" s="46" t="s">
        <v>127</v>
      </c>
      <c r="K1500" s="46" t="s">
        <v>127</v>
      </c>
      <c r="L1500" s="46" t="s">
        <v>12</v>
      </c>
      <c r="M1500" s="46" t="s">
        <v>13</v>
      </c>
      <c r="N1500" s="46" t="s">
        <v>14</v>
      </c>
      <c r="O1500" s="49" t="s">
        <v>803</v>
      </c>
      <c r="P1500" s="46" t="s">
        <v>507</v>
      </c>
      <c r="Q1500" s="35" t="str">
        <f>MID(Tabla1[[#This Row],[Aplicación]],14,1)</f>
        <v>2</v>
      </c>
      <c r="R1500" s="35" t="s">
        <v>495</v>
      </c>
      <c r="S1500" s="35" t="str">
        <f>MID(Tabla1[[#This Row],[Aplicación]],6,2)</f>
        <v>09</v>
      </c>
      <c r="T1500" s="35" t="str">
        <f>VLOOKUP(Tabla1[[#This Row],[AREA]],Hoja1!A:B,2,FALSE)</f>
        <v>09. Cultura y turismo</v>
      </c>
      <c r="U1500" s="35" t="str">
        <f>MID(Tabla1[[#This Row],[Aplicación]],9,4)</f>
        <v>3341</v>
      </c>
      <c r="V1500" s="35" t="str">
        <f>VLOOKUP(Tabla1[[#This Row],[PROGRAMA]],Hoja1!A:B,2,FALSE)</f>
        <v>3341. Coordinación de políticas culturales</v>
      </c>
      <c r="W1500" s="35" t="str">
        <f>MID(Tabla1[[#This Row],[Aplicación]],14,2)</f>
        <v>22</v>
      </c>
      <c r="X1500" s="35" t="str">
        <f>MID(Tabla1[[#This Row],[Aplicación]],14,6)</f>
        <v>22799</v>
      </c>
    </row>
    <row r="1501" spans="1:24" x14ac:dyDescent="0.25">
      <c r="A1501" s="45">
        <v>220210009139</v>
      </c>
      <c r="B1501" s="46" t="s">
        <v>9</v>
      </c>
      <c r="C1501" s="47">
        <v>44267</v>
      </c>
      <c r="D1501" s="45">
        <v>22021003375</v>
      </c>
      <c r="E1501" s="46" t="s">
        <v>2748</v>
      </c>
      <c r="F1501" s="48">
        <v>2597.5</v>
      </c>
      <c r="G1501" s="46" t="s">
        <v>2191</v>
      </c>
      <c r="H1501" s="46" t="s">
        <v>2749</v>
      </c>
      <c r="I1501" s="45" t="s">
        <v>125</v>
      </c>
      <c r="J1501" s="46" t="s">
        <v>127</v>
      </c>
      <c r="K1501" s="46" t="s">
        <v>127</v>
      </c>
      <c r="L1501" s="46" t="s">
        <v>12</v>
      </c>
      <c r="M1501" s="46" t="s">
        <v>10</v>
      </c>
      <c r="N1501" s="46" t="s">
        <v>11</v>
      </c>
      <c r="O1501" s="49" t="s">
        <v>815</v>
      </c>
      <c r="P1501" s="46" t="s">
        <v>507</v>
      </c>
      <c r="Q1501" s="35" t="str">
        <f>MID(Tabla1[[#This Row],[Aplicación]],14,1)</f>
        <v>2</v>
      </c>
      <c r="R1501" s="35" t="s">
        <v>495</v>
      </c>
      <c r="S1501" s="35" t="str">
        <f>MID(Tabla1[[#This Row],[Aplicación]],6,2)</f>
        <v>05</v>
      </c>
      <c r="T1501" s="35" t="str">
        <f>VLOOKUP(Tabla1[[#This Row],[AREA]],Hoja1!A:B,2,FALSE)</f>
        <v>05. Innovación, desarrollo económico, empleo y comercio</v>
      </c>
      <c r="U1501" s="35" t="str">
        <f>MID(Tabla1[[#This Row],[Aplicación]],9,4)</f>
        <v>4331</v>
      </c>
      <c r="V1501" s="35" t="str">
        <f>VLOOKUP(Tabla1[[#This Row],[PROGRAMA]],Hoja1!A:B,2,FALSE)</f>
        <v>4331. Desarrollo empresarial</v>
      </c>
      <c r="W1501" s="35" t="str">
        <f>MID(Tabla1[[#This Row],[Aplicación]],14,2)</f>
        <v>22</v>
      </c>
      <c r="X1501" s="35" t="str">
        <f>MID(Tabla1[[#This Row],[Aplicación]],14,6)</f>
        <v>22606</v>
      </c>
    </row>
    <row r="1502" spans="1:24" x14ac:dyDescent="0.25">
      <c r="A1502" s="45">
        <v>220210001362</v>
      </c>
      <c r="B1502" s="46" t="s">
        <v>9</v>
      </c>
      <c r="C1502" s="47">
        <v>44228</v>
      </c>
      <c r="D1502" s="45">
        <v>22021001300</v>
      </c>
      <c r="E1502" s="46" t="s">
        <v>944</v>
      </c>
      <c r="F1502" s="48">
        <v>2610.56</v>
      </c>
      <c r="G1502" s="46" t="s">
        <v>70</v>
      </c>
      <c r="H1502" s="46" t="s">
        <v>2750</v>
      </c>
      <c r="I1502" s="45" t="s">
        <v>125</v>
      </c>
      <c r="J1502" s="46" t="s">
        <v>127</v>
      </c>
      <c r="K1502" s="46" t="s">
        <v>127</v>
      </c>
      <c r="L1502" s="46" t="s">
        <v>12</v>
      </c>
      <c r="M1502" s="46" t="s">
        <v>10</v>
      </c>
      <c r="N1502" s="46" t="s">
        <v>11</v>
      </c>
      <c r="O1502" s="49" t="s">
        <v>815</v>
      </c>
      <c r="P1502" s="46" t="s">
        <v>507</v>
      </c>
      <c r="Q1502" s="35" t="str">
        <f>MID(Tabla1[[#This Row],[Aplicación]],14,1)</f>
        <v>2</v>
      </c>
      <c r="R1502" s="35" t="s">
        <v>495</v>
      </c>
      <c r="S1502" s="35" t="str">
        <f>MID(Tabla1[[#This Row],[Aplicación]],6,2)</f>
        <v>11</v>
      </c>
      <c r="T1502" s="35" t="str">
        <f>VLOOKUP(Tabla1[[#This Row],[AREA]],Hoja1!A:B,2,FALSE)</f>
        <v>11. Salud pública y seguridad ciudadana</v>
      </c>
      <c r="U1502" s="35" t="str">
        <f>MID(Tabla1[[#This Row],[Aplicación]],9,4)</f>
        <v>1621</v>
      </c>
      <c r="V1502" s="35" t="str">
        <f>VLOOKUP(Tabla1[[#This Row],[PROGRAMA]],Hoja1!A:B,2,FALSE)</f>
        <v>1621. Servicio de limpieza</v>
      </c>
      <c r="W1502" s="35" t="str">
        <f>MID(Tabla1[[#This Row],[Aplicación]],14,2)</f>
        <v>21</v>
      </c>
      <c r="X1502" s="35" t="str">
        <f>MID(Tabla1[[#This Row],[Aplicación]],14,6)</f>
        <v>213</v>
      </c>
    </row>
    <row r="1503" spans="1:24" x14ac:dyDescent="0.25">
      <c r="A1503" s="45">
        <v>220210002355</v>
      </c>
      <c r="B1503" s="46" t="s">
        <v>9</v>
      </c>
      <c r="C1503" s="47">
        <v>44231</v>
      </c>
      <c r="D1503" s="45">
        <v>22021002064</v>
      </c>
      <c r="E1503" s="46" t="s">
        <v>873</v>
      </c>
      <c r="F1503" s="48">
        <v>2666.66</v>
      </c>
      <c r="G1503" s="46" t="s">
        <v>209</v>
      </c>
      <c r="H1503" s="46" t="s">
        <v>2519</v>
      </c>
      <c r="I1503" s="45" t="s">
        <v>125</v>
      </c>
      <c r="J1503" s="46" t="s">
        <v>127</v>
      </c>
      <c r="K1503" s="46" t="s">
        <v>127</v>
      </c>
      <c r="L1503" s="46" t="s">
        <v>15</v>
      </c>
      <c r="M1503" s="46" t="s">
        <v>10</v>
      </c>
      <c r="N1503" s="46" t="s">
        <v>11</v>
      </c>
      <c r="O1503" s="49" t="s">
        <v>815</v>
      </c>
      <c r="P1503" s="46" t="s">
        <v>507</v>
      </c>
      <c r="Q1503" s="35" t="str">
        <f>MID(Tabla1[[#This Row],[Aplicación]],14,1)</f>
        <v>2</v>
      </c>
      <c r="R1503" s="35" t="s">
        <v>495</v>
      </c>
      <c r="S1503" s="35" t="str">
        <f>MID(Tabla1[[#This Row],[Aplicación]],6,2)</f>
        <v>10</v>
      </c>
      <c r="T1503" s="35" t="str">
        <f>VLOOKUP(Tabla1[[#This Row],[AREA]],Hoja1!A:B,2,FALSE)</f>
        <v>10. Servicios sociales y mediación comunitaria</v>
      </c>
      <c r="U1503" s="35" t="str">
        <f>MID(Tabla1[[#This Row],[Aplicación]],9,4)</f>
        <v>2412</v>
      </c>
      <c r="V1503" s="35" t="str">
        <f>VLOOKUP(Tabla1[[#This Row],[PROGRAMA]],Hoja1!A:B,2,FALSE)</f>
        <v>2412. Formación para el empleo</v>
      </c>
      <c r="W1503" s="35" t="str">
        <f>MID(Tabla1[[#This Row],[Aplicación]],14,2)</f>
        <v>22</v>
      </c>
      <c r="X1503" s="35" t="str">
        <f>MID(Tabla1[[#This Row],[Aplicación]],14,6)</f>
        <v>22199</v>
      </c>
    </row>
    <row r="1504" spans="1:24" x14ac:dyDescent="0.25">
      <c r="A1504" s="45">
        <v>220210004011</v>
      </c>
      <c r="B1504" s="46" t="s">
        <v>9</v>
      </c>
      <c r="C1504" s="47">
        <v>44244</v>
      </c>
      <c r="D1504" s="45">
        <v>22021002560</v>
      </c>
      <c r="E1504" s="46" t="s">
        <v>869</v>
      </c>
      <c r="F1504" s="48">
        <v>2700</v>
      </c>
      <c r="G1504" s="46" t="s">
        <v>770</v>
      </c>
      <c r="H1504" s="46" t="s">
        <v>2751</v>
      </c>
      <c r="I1504" s="45" t="s">
        <v>125</v>
      </c>
      <c r="J1504" s="46" t="s">
        <v>126</v>
      </c>
      <c r="K1504" s="46" t="s">
        <v>126</v>
      </c>
      <c r="L1504" s="46" t="s">
        <v>12</v>
      </c>
      <c r="M1504" s="46" t="s">
        <v>10</v>
      </c>
      <c r="N1504" s="46" t="s">
        <v>11</v>
      </c>
      <c r="O1504" s="49" t="s">
        <v>815</v>
      </c>
      <c r="P1504" s="46" t="s">
        <v>507</v>
      </c>
      <c r="Q1504" s="35" t="str">
        <f>MID(Tabla1[[#This Row],[Aplicación]],14,1)</f>
        <v>2</v>
      </c>
      <c r="R1504" s="35" t="s">
        <v>495</v>
      </c>
      <c r="S1504" s="35" t="str">
        <f>MID(Tabla1[[#This Row],[Aplicación]],6,2)</f>
        <v>07</v>
      </c>
      <c r="T1504" s="35" t="str">
        <f>VLOOKUP(Tabla1[[#This Row],[AREA]],Hoja1!A:B,2,FALSE)</f>
        <v>07. Medio ambiente y desarrollo sostenible</v>
      </c>
      <c r="U1504" s="35" t="str">
        <f>MID(Tabla1[[#This Row],[Aplicación]],9,4)</f>
        <v>1721</v>
      </c>
      <c r="V1504" s="35" t="str">
        <f>VLOOKUP(Tabla1[[#This Row],[PROGRAMA]],Hoja1!A:B,2,FALSE)</f>
        <v>1721. Protección del medio ambiente</v>
      </c>
      <c r="W1504" s="35" t="str">
        <f>MID(Tabla1[[#This Row],[Aplicación]],14,2)</f>
        <v>21</v>
      </c>
      <c r="X1504" s="35" t="str">
        <f>MID(Tabla1[[#This Row],[Aplicación]],14,6)</f>
        <v>213</v>
      </c>
    </row>
    <row r="1505" spans="1:24" x14ac:dyDescent="0.25">
      <c r="A1505" s="45">
        <v>220210009386</v>
      </c>
      <c r="B1505" s="46" t="s">
        <v>9</v>
      </c>
      <c r="C1505" s="47">
        <v>44270</v>
      </c>
      <c r="D1505" s="45">
        <v>22021003421</v>
      </c>
      <c r="E1505" s="46" t="s">
        <v>1478</v>
      </c>
      <c r="F1505" s="48">
        <v>2711.61</v>
      </c>
      <c r="G1505" s="46" t="s">
        <v>2752</v>
      </c>
      <c r="H1505" s="46" t="s">
        <v>2753</v>
      </c>
      <c r="I1505" s="45" t="s">
        <v>125</v>
      </c>
      <c r="J1505" s="46" t="s">
        <v>127</v>
      </c>
      <c r="K1505" s="46" t="s">
        <v>127</v>
      </c>
      <c r="L1505" s="46" t="s">
        <v>15</v>
      </c>
      <c r="M1505" s="46" t="s">
        <v>10</v>
      </c>
      <c r="N1505" s="46" t="s">
        <v>11</v>
      </c>
      <c r="O1505" s="49" t="s">
        <v>815</v>
      </c>
      <c r="P1505" s="46" t="s">
        <v>507</v>
      </c>
      <c r="Q1505" s="35" t="str">
        <f>MID(Tabla1[[#This Row],[Aplicación]],14,1)</f>
        <v>2</v>
      </c>
      <c r="R1505" s="35" t="s">
        <v>495</v>
      </c>
      <c r="S1505" s="35" t="str">
        <f>MID(Tabla1[[#This Row],[Aplicación]],6,2)</f>
        <v>03</v>
      </c>
      <c r="T1505" s="35" t="str">
        <f>VLOOKUP(Tabla1[[#This Row],[AREA]],Hoja1!A:B,2,FALSE)</f>
        <v>03. Participación ciudadana y deportes</v>
      </c>
      <c r="U1505" s="35" t="str">
        <f>MID(Tabla1[[#This Row],[Aplicación]],9,4)</f>
        <v>9241</v>
      </c>
      <c r="V1505" s="35" t="str">
        <f>VLOOKUP(Tabla1[[#This Row],[PROGRAMA]],Hoja1!A:B,2,FALSE)</f>
        <v>9241. Participación ciudadana</v>
      </c>
      <c r="W1505" s="35" t="str">
        <f>MID(Tabla1[[#This Row],[Aplicación]],14,2)</f>
        <v>21</v>
      </c>
      <c r="X1505" s="35" t="str">
        <f>MID(Tabla1[[#This Row],[Aplicación]],14,6)</f>
        <v>212</v>
      </c>
    </row>
    <row r="1506" spans="1:24" x14ac:dyDescent="0.25">
      <c r="A1506" s="45">
        <v>220210004255</v>
      </c>
      <c r="B1506" s="46" t="s">
        <v>9</v>
      </c>
      <c r="C1506" s="47">
        <v>44245</v>
      </c>
      <c r="D1506" s="45">
        <v>22021002745</v>
      </c>
      <c r="E1506" s="46" t="s">
        <v>1172</v>
      </c>
      <c r="F1506" s="48">
        <v>2714.22</v>
      </c>
      <c r="G1506" s="46" t="s">
        <v>2754</v>
      </c>
      <c r="H1506" s="46" t="s">
        <v>2755</v>
      </c>
      <c r="I1506" s="45" t="s">
        <v>125</v>
      </c>
      <c r="J1506" s="46" t="s">
        <v>127</v>
      </c>
      <c r="K1506" s="46" t="s">
        <v>127</v>
      </c>
      <c r="L1506" s="46" t="s">
        <v>31</v>
      </c>
      <c r="M1506" s="46" t="s">
        <v>10</v>
      </c>
      <c r="N1506" s="46" t="s">
        <v>11</v>
      </c>
      <c r="O1506" s="49" t="s">
        <v>815</v>
      </c>
      <c r="P1506" s="46" t="s">
        <v>507</v>
      </c>
      <c r="Q1506" s="35" t="str">
        <f>MID(Tabla1[[#This Row],[Aplicación]],14,1)</f>
        <v>6</v>
      </c>
      <c r="R1506" s="35" t="s">
        <v>496</v>
      </c>
      <c r="S1506" s="35" t="str">
        <f>MID(Tabla1[[#This Row],[Aplicación]],6,2)</f>
        <v>02</v>
      </c>
      <c r="T1506" s="35" t="str">
        <f>VLOOKUP(Tabla1[[#This Row],[AREA]],Hoja1!A:B,2,FALSE)</f>
        <v>02. Planeamiento urbanístico y vivienda</v>
      </c>
      <c r="U1506" s="35" t="str">
        <f>MID(Tabla1[[#This Row],[Aplicación]],9,4)</f>
        <v>9332</v>
      </c>
      <c r="V1506" s="35" t="str">
        <f>VLOOKUP(Tabla1[[#This Row],[PROGRAMA]],Hoja1!A:B,2,FALSE)</f>
        <v>9332. Mantenimiento de edificios e instalaciones municipales</v>
      </c>
      <c r="W1506" s="35" t="str">
        <f>MID(Tabla1[[#This Row],[Aplicación]],14,2)</f>
        <v>63</v>
      </c>
      <c r="X1506" s="35" t="str">
        <f>MID(Tabla1[[#This Row],[Aplicación]],14,6)</f>
        <v>632</v>
      </c>
    </row>
    <row r="1507" spans="1:24" x14ac:dyDescent="0.25">
      <c r="A1507" s="45">
        <v>220210006975</v>
      </c>
      <c r="B1507" s="46" t="s">
        <v>9</v>
      </c>
      <c r="C1507" s="47">
        <v>44259</v>
      </c>
      <c r="D1507" s="45">
        <v>22021003220</v>
      </c>
      <c r="E1507" s="46" t="s">
        <v>1336</v>
      </c>
      <c r="F1507" s="48">
        <v>568.70000000000005</v>
      </c>
      <c r="G1507" s="46" t="s">
        <v>1481</v>
      </c>
      <c r="H1507" s="46" t="s">
        <v>2756</v>
      </c>
      <c r="I1507" s="45" t="s">
        <v>125</v>
      </c>
      <c r="J1507" s="46" t="s">
        <v>127</v>
      </c>
      <c r="K1507" s="46" t="s">
        <v>127</v>
      </c>
      <c r="L1507" s="46" t="s">
        <v>12</v>
      </c>
      <c r="M1507" s="46" t="s">
        <v>10</v>
      </c>
      <c r="N1507" s="46" t="s">
        <v>11</v>
      </c>
      <c r="O1507" s="49" t="s">
        <v>815</v>
      </c>
      <c r="P1507" s="46" t="s">
        <v>507</v>
      </c>
      <c r="Q1507" s="35" t="str">
        <f>MID(Tabla1[[#This Row],[Aplicación]],14,1)</f>
        <v>2</v>
      </c>
      <c r="R1507" s="35" t="s">
        <v>495</v>
      </c>
      <c r="S1507" s="35" t="str">
        <f>MID(Tabla1[[#This Row],[Aplicación]],6,2)</f>
        <v>02</v>
      </c>
      <c r="T1507" s="35" t="str">
        <f>VLOOKUP(Tabla1[[#This Row],[AREA]],Hoja1!A:B,2,FALSE)</f>
        <v>02. Planeamiento urbanístico y vivienda</v>
      </c>
      <c r="U1507" s="35" t="str">
        <f>MID(Tabla1[[#This Row],[Aplicación]],9,4)</f>
        <v>9332</v>
      </c>
      <c r="V1507" s="35" t="str">
        <f>VLOOKUP(Tabla1[[#This Row],[PROGRAMA]],Hoja1!A:B,2,FALSE)</f>
        <v>9332. Mantenimiento de edificios e instalaciones municipales</v>
      </c>
      <c r="W1507" s="35" t="str">
        <f>MID(Tabla1[[#This Row],[Aplicación]],14,2)</f>
        <v>21</v>
      </c>
      <c r="X1507" s="35" t="str">
        <f>MID(Tabla1[[#This Row],[Aplicación]],14,6)</f>
        <v>212</v>
      </c>
    </row>
    <row r="1508" spans="1:24" x14ac:dyDescent="0.25">
      <c r="A1508" s="45">
        <v>220210012882</v>
      </c>
      <c r="B1508" s="46" t="s">
        <v>9</v>
      </c>
      <c r="C1508" s="47">
        <v>44284</v>
      </c>
      <c r="D1508" s="45">
        <v>22021003665</v>
      </c>
      <c r="E1508" s="46" t="s">
        <v>890</v>
      </c>
      <c r="F1508" s="48">
        <v>2730</v>
      </c>
      <c r="G1508" s="46" t="s">
        <v>2757</v>
      </c>
      <c r="H1508" s="46" t="s">
        <v>2758</v>
      </c>
      <c r="I1508" s="45" t="s">
        <v>125</v>
      </c>
      <c r="J1508" s="46" t="s">
        <v>664</v>
      </c>
      <c r="K1508" s="46" t="s">
        <v>127</v>
      </c>
      <c r="L1508" s="46" t="s">
        <v>12</v>
      </c>
      <c r="M1508" s="46" t="s">
        <v>10</v>
      </c>
      <c r="N1508" s="46" t="s">
        <v>11</v>
      </c>
      <c r="O1508" s="49" t="s">
        <v>815</v>
      </c>
      <c r="P1508" s="46" t="s">
        <v>507</v>
      </c>
      <c r="Q1508" s="35" t="str">
        <f>MID(Tabla1[[#This Row],[Aplicación]],14,1)</f>
        <v>2</v>
      </c>
      <c r="R1508" s="35" t="s">
        <v>495</v>
      </c>
      <c r="S1508" s="35" t="str">
        <f>MID(Tabla1[[#This Row],[Aplicación]],6,2)</f>
        <v>11</v>
      </c>
      <c r="T1508" s="35" t="str">
        <f>VLOOKUP(Tabla1[[#This Row],[AREA]],Hoja1!A:B,2,FALSE)</f>
        <v>11. Salud pública y seguridad ciudadana</v>
      </c>
      <c r="U1508" s="35" t="str">
        <f>MID(Tabla1[[#This Row],[Aplicación]],9,4)</f>
        <v>1621</v>
      </c>
      <c r="V1508" s="35" t="str">
        <f>VLOOKUP(Tabla1[[#This Row],[PROGRAMA]],Hoja1!A:B,2,FALSE)</f>
        <v>1621. Servicio de limpieza</v>
      </c>
      <c r="W1508" s="35" t="str">
        <f>MID(Tabla1[[#This Row],[Aplicación]],14,2)</f>
        <v>21</v>
      </c>
      <c r="X1508" s="35" t="str">
        <f>MID(Tabla1[[#This Row],[Aplicación]],14,6)</f>
        <v>214</v>
      </c>
    </row>
    <row r="1509" spans="1:24" x14ac:dyDescent="0.25">
      <c r="A1509" s="45">
        <v>220210006450</v>
      </c>
      <c r="B1509" s="46" t="s">
        <v>9</v>
      </c>
      <c r="C1509" s="47">
        <v>44253</v>
      </c>
      <c r="D1509" s="45">
        <v>22021002528</v>
      </c>
      <c r="E1509" s="46" t="s">
        <v>1177</v>
      </c>
      <c r="F1509" s="48">
        <v>2783</v>
      </c>
      <c r="G1509" s="46" t="s">
        <v>2759</v>
      </c>
      <c r="H1509" s="46" t="s">
        <v>2760</v>
      </c>
      <c r="I1509" s="45" t="s">
        <v>125</v>
      </c>
      <c r="J1509" s="46" t="s">
        <v>127</v>
      </c>
      <c r="K1509" s="46" t="s">
        <v>127</v>
      </c>
      <c r="L1509" s="46" t="s">
        <v>12</v>
      </c>
      <c r="M1509" s="46" t="s">
        <v>10</v>
      </c>
      <c r="N1509" s="46" t="s">
        <v>11</v>
      </c>
      <c r="O1509" s="49" t="s">
        <v>815</v>
      </c>
      <c r="P1509" s="46" t="s">
        <v>507</v>
      </c>
      <c r="Q1509" s="35" t="str">
        <f>MID(Tabla1[[#This Row],[Aplicación]],14,1)</f>
        <v>2</v>
      </c>
      <c r="R1509" s="35" t="s">
        <v>495</v>
      </c>
      <c r="S1509" s="35" t="str">
        <f>MID(Tabla1[[#This Row],[Aplicación]],6,2)</f>
        <v>09</v>
      </c>
      <c r="T1509" s="35" t="str">
        <f>VLOOKUP(Tabla1[[#This Row],[AREA]],Hoja1!A:B,2,FALSE)</f>
        <v>09. Cultura y turismo</v>
      </c>
      <c r="U1509" s="35" t="str">
        <f>MID(Tabla1[[#This Row],[Aplicación]],9,4)</f>
        <v>3341</v>
      </c>
      <c r="V1509" s="35" t="str">
        <f>VLOOKUP(Tabla1[[#This Row],[PROGRAMA]],Hoja1!A:B,2,FALSE)</f>
        <v>3341. Coordinación de políticas culturales</v>
      </c>
      <c r="W1509" s="35" t="str">
        <f>MID(Tabla1[[#This Row],[Aplicación]],14,2)</f>
        <v>22</v>
      </c>
      <c r="X1509" s="35" t="str">
        <f>MID(Tabla1[[#This Row],[Aplicación]],14,6)</f>
        <v>22699</v>
      </c>
    </row>
    <row r="1510" spans="1:24" x14ac:dyDescent="0.25">
      <c r="A1510" s="45">
        <v>220210007126</v>
      </c>
      <c r="B1510" s="46" t="s">
        <v>9</v>
      </c>
      <c r="C1510" s="47">
        <v>44260</v>
      </c>
      <c r="D1510" s="45">
        <v>22021003203</v>
      </c>
      <c r="E1510" s="46" t="s">
        <v>944</v>
      </c>
      <c r="F1510" s="48">
        <v>2800</v>
      </c>
      <c r="G1510" s="46" t="s">
        <v>206</v>
      </c>
      <c r="H1510" s="46" t="s">
        <v>2761</v>
      </c>
      <c r="I1510" s="45" t="s">
        <v>125</v>
      </c>
      <c r="J1510" s="46" t="s">
        <v>664</v>
      </c>
      <c r="K1510" s="46" t="s">
        <v>127</v>
      </c>
      <c r="L1510" s="46" t="s">
        <v>12</v>
      </c>
      <c r="M1510" s="46" t="s">
        <v>10</v>
      </c>
      <c r="N1510" s="46" t="s">
        <v>11</v>
      </c>
      <c r="O1510" s="49" t="s">
        <v>815</v>
      </c>
      <c r="P1510" s="46" t="s">
        <v>507</v>
      </c>
      <c r="Q1510" s="35" t="str">
        <f>MID(Tabla1[[#This Row],[Aplicación]],14,1)</f>
        <v>2</v>
      </c>
      <c r="R1510" s="35" t="s">
        <v>495</v>
      </c>
      <c r="S1510" s="35" t="str">
        <f>MID(Tabla1[[#This Row],[Aplicación]],6,2)</f>
        <v>11</v>
      </c>
      <c r="T1510" s="35" t="str">
        <f>VLOOKUP(Tabla1[[#This Row],[AREA]],Hoja1!A:B,2,FALSE)</f>
        <v>11. Salud pública y seguridad ciudadana</v>
      </c>
      <c r="U1510" s="35" t="str">
        <f>MID(Tabla1[[#This Row],[Aplicación]],9,4)</f>
        <v>1621</v>
      </c>
      <c r="V1510" s="35" t="str">
        <f>VLOOKUP(Tabla1[[#This Row],[PROGRAMA]],Hoja1!A:B,2,FALSE)</f>
        <v>1621. Servicio de limpieza</v>
      </c>
      <c r="W1510" s="35" t="str">
        <f>MID(Tabla1[[#This Row],[Aplicación]],14,2)</f>
        <v>21</v>
      </c>
      <c r="X1510" s="35" t="str">
        <f>MID(Tabla1[[#This Row],[Aplicación]],14,6)</f>
        <v>213</v>
      </c>
    </row>
    <row r="1511" spans="1:24" x14ac:dyDescent="0.25">
      <c r="A1511" s="45">
        <v>220210006981</v>
      </c>
      <c r="B1511" s="46" t="s">
        <v>9</v>
      </c>
      <c r="C1511" s="47">
        <v>44259</v>
      </c>
      <c r="D1511" s="45">
        <v>22021002965</v>
      </c>
      <c r="E1511" s="46" t="s">
        <v>1247</v>
      </c>
      <c r="F1511" s="48">
        <v>375000</v>
      </c>
      <c r="G1511" s="46" t="s">
        <v>156</v>
      </c>
      <c r="H1511" s="46" t="s">
        <v>2762</v>
      </c>
      <c r="I1511" s="45" t="s">
        <v>125</v>
      </c>
      <c r="J1511" s="46" t="s">
        <v>617</v>
      </c>
      <c r="K1511" s="46" t="s">
        <v>157</v>
      </c>
      <c r="L1511" s="46" t="s">
        <v>12</v>
      </c>
      <c r="M1511" s="46" t="s">
        <v>13</v>
      </c>
      <c r="N1511" s="46" t="s">
        <v>14</v>
      </c>
      <c r="O1511" s="49" t="s">
        <v>803</v>
      </c>
      <c r="P1511" s="46" t="s">
        <v>507</v>
      </c>
      <c r="Q1511" s="35" t="str">
        <f>MID(Tabla1[[#This Row],[Aplicación]],14,1)</f>
        <v>2</v>
      </c>
      <c r="R1511" s="35" t="s">
        <v>495</v>
      </c>
      <c r="S1511" s="35" t="str">
        <f>MID(Tabla1[[#This Row],[Aplicación]],6,2)</f>
        <v>10</v>
      </c>
      <c r="T1511" s="35" t="str">
        <f>VLOOKUP(Tabla1[[#This Row],[AREA]],Hoja1!A:B,2,FALSE)</f>
        <v>10. Servicios sociales y mediación comunitaria</v>
      </c>
      <c r="U1511" s="35" t="str">
        <f>MID(Tabla1[[#This Row],[Aplicación]],9,4)</f>
        <v>2311</v>
      </c>
      <c r="V1511" s="35" t="str">
        <f>VLOOKUP(Tabla1[[#This Row],[PROGRAMA]],Hoja1!A:B,2,FALSE)</f>
        <v>2311. Intervención social</v>
      </c>
      <c r="W1511" s="35" t="str">
        <f>MID(Tabla1[[#This Row],[Aplicación]],14,2)</f>
        <v>22</v>
      </c>
      <c r="X1511" s="35" t="str">
        <f>MID(Tabla1[[#This Row],[Aplicación]],14,6)</f>
        <v>22799</v>
      </c>
    </row>
    <row r="1512" spans="1:24" x14ac:dyDescent="0.25">
      <c r="A1512" s="45">
        <v>220210007180</v>
      </c>
      <c r="B1512" s="46" t="s">
        <v>9</v>
      </c>
      <c r="C1512" s="47">
        <v>44263</v>
      </c>
      <c r="D1512" s="45">
        <v>22021003327</v>
      </c>
      <c r="E1512" s="46" t="s">
        <v>1267</v>
      </c>
      <c r="F1512" s="48">
        <v>2880</v>
      </c>
      <c r="G1512" s="46" t="s">
        <v>584</v>
      </c>
      <c r="H1512" s="46" t="s">
        <v>2763</v>
      </c>
      <c r="I1512" s="45" t="s">
        <v>125</v>
      </c>
      <c r="J1512" s="46" t="s">
        <v>740</v>
      </c>
      <c r="K1512" s="46" t="s">
        <v>165</v>
      </c>
      <c r="L1512" s="46" t="s">
        <v>12</v>
      </c>
      <c r="M1512" s="46" t="s">
        <v>10</v>
      </c>
      <c r="N1512" s="46" t="s">
        <v>11</v>
      </c>
      <c r="O1512" s="49" t="s">
        <v>815</v>
      </c>
      <c r="P1512" s="46" t="s">
        <v>507</v>
      </c>
      <c r="Q1512" s="35" t="str">
        <f>MID(Tabla1[[#This Row],[Aplicación]],14,1)</f>
        <v>2</v>
      </c>
      <c r="R1512" s="35" t="s">
        <v>495</v>
      </c>
      <c r="S1512" s="35" t="str">
        <f>MID(Tabla1[[#This Row],[Aplicación]],6,2)</f>
        <v>03</v>
      </c>
      <c r="T1512" s="35" t="str">
        <f>VLOOKUP(Tabla1[[#This Row],[AREA]],Hoja1!A:B,2,FALSE)</f>
        <v>03. Participación ciudadana y deportes</v>
      </c>
      <c r="U1512" s="35" t="str">
        <f>MID(Tabla1[[#This Row],[Aplicación]],9,4)</f>
        <v>9241</v>
      </c>
      <c r="V1512" s="35" t="str">
        <f>VLOOKUP(Tabla1[[#This Row],[PROGRAMA]],Hoja1!A:B,2,FALSE)</f>
        <v>9241. Participación ciudadana</v>
      </c>
      <c r="W1512" s="35" t="str">
        <f>MID(Tabla1[[#This Row],[Aplicación]],14,2)</f>
        <v>22</v>
      </c>
      <c r="X1512" s="35" t="str">
        <f>MID(Tabla1[[#This Row],[Aplicación]],14,6)</f>
        <v>22602</v>
      </c>
    </row>
    <row r="1513" spans="1:24" x14ac:dyDescent="0.25">
      <c r="A1513" s="45">
        <v>220210006985</v>
      </c>
      <c r="B1513" s="46" t="s">
        <v>204</v>
      </c>
      <c r="C1513" s="47">
        <v>44259</v>
      </c>
      <c r="D1513" s="45">
        <v>22021001285</v>
      </c>
      <c r="E1513" s="46" t="s">
        <v>1175</v>
      </c>
      <c r="F1513" s="48">
        <v>207428.52</v>
      </c>
      <c r="G1513" s="46" t="s">
        <v>155</v>
      </c>
      <c r="H1513" s="46" t="s">
        <v>2764</v>
      </c>
      <c r="I1513" s="45" t="s">
        <v>205</v>
      </c>
      <c r="J1513" s="46" t="s">
        <v>127</v>
      </c>
      <c r="K1513" s="46" t="s">
        <v>127</v>
      </c>
      <c r="L1513" s="46" t="s">
        <v>12</v>
      </c>
      <c r="M1513" s="46" t="s">
        <v>13</v>
      </c>
      <c r="N1513" s="46" t="s">
        <v>14</v>
      </c>
      <c r="O1513" s="49" t="s">
        <v>803</v>
      </c>
      <c r="P1513" s="46" t="s">
        <v>507</v>
      </c>
      <c r="Q1513" s="35" t="str">
        <f>MID(Tabla1[[#This Row],[Aplicación]],14,1)</f>
        <v>2</v>
      </c>
      <c r="R1513" s="35" t="s">
        <v>495</v>
      </c>
      <c r="S1513" s="35" t="str">
        <f>MID(Tabla1[[#This Row],[Aplicación]],6,2)</f>
        <v>06</v>
      </c>
      <c r="T1513" s="35" t="str">
        <f>VLOOKUP(Tabla1[[#This Row],[AREA]],Hoja1!A:B,2,FALSE)</f>
        <v>06. Educación, infancia, juventud e igualdad</v>
      </c>
      <c r="U1513" s="35" t="str">
        <f>MID(Tabla1[[#This Row],[Aplicación]],9,4)</f>
        <v>2314</v>
      </c>
      <c r="V1513" s="35" t="str">
        <f>VLOOKUP(Tabla1[[#This Row],[PROGRAMA]],Hoja1!A:B,2,FALSE)</f>
        <v>2314. Centro de programas juveniles</v>
      </c>
      <c r="W1513" s="35" t="str">
        <f>MID(Tabla1[[#This Row],[Aplicación]],14,2)</f>
        <v>22</v>
      </c>
      <c r="X1513" s="35" t="str">
        <f>MID(Tabla1[[#This Row],[Aplicación]],14,6)</f>
        <v>22799</v>
      </c>
    </row>
    <row r="1514" spans="1:24" x14ac:dyDescent="0.25">
      <c r="A1514" s="45">
        <v>220210006990</v>
      </c>
      <c r="B1514" s="46" t="s">
        <v>32</v>
      </c>
      <c r="C1514" s="47">
        <v>44260</v>
      </c>
      <c r="D1514" s="45">
        <v>22021002875</v>
      </c>
      <c r="E1514" s="46" t="s">
        <v>886</v>
      </c>
      <c r="F1514" s="48">
        <v>56.8</v>
      </c>
      <c r="G1514" s="46" t="s">
        <v>68</v>
      </c>
      <c r="H1514" s="46" t="s">
        <v>2765</v>
      </c>
      <c r="I1514" s="45" t="s">
        <v>234</v>
      </c>
      <c r="J1514" s="46" t="s">
        <v>127</v>
      </c>
      <c r="K1514" s="46" t="s">
        <v>127</v>
      </c>
      <c r="L1514" s="46" t="s">
        <v>12</v>
      </c>
      <c r="M1514" s="46" t="s">
        <v>13</v>
      </c>
      <c r="N1514" s="46" t="s">
        <v>14</v>
      </c>
      <c r="O1514" s="49" t="s">
        <v>803</v>
      </c>
      <c r="P1514" s="46" t="s">
        <v>507</v>
      </c>
      <c r="Q1514" s="35" t="str">
        <f>MID(Tabla1[[#This Row],[Aplicación]],14,1)</f>
        <v>2</v>
      </c>
      <c r="R1514" s="35" t="s">
        <v>495</v>
      </c>
      <c r="S1514" s="35" t="str">
        <f>MID(Tabla1[[#This Row],[Aplicación]],6,2)</f>
        <v>10</v>
      </c>
      <c r="T1514" s="35" t="str">
        <f>VLOOKUP(Tabla1[[#This Row],[AREA]],Hoja1!A:B,2,FALSE)</f>
        <v>10. Servicios sociales y mediación comunitaria</v>
      </c>
      <c r="U1514" s="35" t="str">
        <f>MID(Tabla1[[#This Row],[Aplicación]],9,4)</f>
        <v>2311</v>
      </c>
      <c r="V1514" s="35" t="str">
        <f>VLOOKUP(Tabla1[[#This Row],[PROGRAMA]],Hoja1!A:B,2,FALSE)</f>
        <v>2311. Intervención social</v>
      </c>
      <c r="W1514" s="35" t="str">
        <f>MID(Tabla1[[#This Row],[Aplicación]],14,2)</f>
        <v>21</v>
      </c>
      <c r="X1514" s="35" t="str">
        <f>MID(Tabla1[[#This Row],[Aplicación]],14,6)</f>
        <v>213</v>
      </c>
    </row>
    <row r="1515" spans="1:24" x14ac:dyDescent="0.25">
      <c r="A1515" s="45">
        <v>220209000629</v>
      </c>
      <c r="B1515" s="46" t="s">
        <v>9</v>
      </c>
      <c r="C1515" s="47">
        <v>44198</v>
      </c>
      <c r="D1515" s="45">
        <v>22021000404</v>
      </c>
      <c r="E1515" s="46" t="s">
        <v>1819</v>
      </c>
      <c r="F1515" s="48">
        <v>2880</v>
      </c>
      <c r="G1515" s="46" t="s">
        <v>40</v>
      </c>
      <c r="H1515" s="46" t="s">
        <v>2766</v>
      </c>
      <c r="I1515" s="45" t="s">
        <v>125</v>
      </c>
      <c r="J1515" s="46" t="s">
        <v>127</v>
      </c>
      <c r="K1515" s="46" t="s">
        <v>127</v>
      </c>
      <c r="L1515" s="46" t="s">
        <v>12</v>
      </c>
      <c r="M1515" s="46" t="s">
        <v>10</v>
      </c>
      <c r="N1515" s="46" t="s">
        <v>11</v>
      </c>
      <c r="O1515" s="49" t="s">
        <v>815</v>
      </c>
      <c r="P1515" s="46" t="s">
        <v>507</v>
      </c>
      <c r="Q1515" s="35" t="str">
        <f>MID(Tabla1[[#This Row],[Aplicación]],14,1)</f>
        <v>2</v>
      </c>
      <c r="R1515" s="35" t="s">
        <v>495</v>
      </c>
      <c r="S1515" s="35" t="str">
        <f>MID(Tabla1[[#This Row],[Aplicación]],6,2)</f>
        <v>10</v>
      </c>
      <c r="T1515" s="35" t="str">
        <f>VLOOKUP(Tabla1[[#This Row],[AREA]],Hoja1!A:B,2,FALSE)</f>
        <v>10. Servicios sociales y mediación comunitaria</v>
      </c>
      <c r="U1515" s="35" t="str">
        <f>MID(Tabla1[[#This Row],[Aplicación]],9,4)</f>
        <v>2316</v>
      </c>
      <c r="V1515" s="35" t="str">
        <f>VLOOKUP(Tabla1[[#This Row],[PROGRAMA]],Hoja1!A:B,2,FALSE)</f>
        <v>2316. Mediación comunitaria</v>
      </c>
      <c r="W1515" s="35" t="str">
        <f>MID(Tabla1[[#This Row],[Aplicación]],14,2)</f>
        <v>22</v>
      </c>
      <c r="X1515" s="35" t="str">
        <f>MID(Tabla1[[#This Row],[Aplicación]],14,6)</f>
        <v>22799</v>
      </c>
    </row>
    <row r="1516" spans="1:24" x14ac:dyDescent="0.25">
      <c r="A1516" s="45">
        <v>220210000526</v>
      </c>
      <c r="B1516" s="46" t="s">
        <v>9</v>
      </c>
      <c r="C1516" s="47">
        <v>44221</v>
      </c>
      <c r="D1516" s="45">
        <v>22021000677</v>
      </c>
      <c r="E1516" s="46" t="s">
        <v>983</v>
      </c>
      <c r="F1516" s="48">
        <v>238.84</v>
      </c>
      <c r="G1516" s="46" t="s">
        <v>53</v>
      </c>
      <c r="H1516" s="46" t="s">
        <v>2714</v>
      </c>
      <c r="I1516" s="45" t="s">
        <v>125</v>
      </c>
      <c r="J1516" s="46" t="s">
        <v>127</v>
      </c>
      <c r="K1516" s="46" t="s">
        <v>127</v>
      </c>
      <c r="L1516" s="46" t="s">
        <v>12</v>
      </c>
      <c r="M1516" s="46" t="s">
        <v>10</v>
      </c>
      <c r="N1516" s="46" t="s">
        <v>11</v>
      </c>
      <c r="O1516" s="49" t="s">
        <v>815</v>
      </c>
      <c r="P1516" s="46" t="s">
        <v>507</v>
      </c>
      <c r="Q1516" s="35" t="str">
        <f>MID(Tabla1[[#This Row],[Aplicación]],14,1)</f>
        <v>2</v>
      </c>
      <c r="R1516" s="35" t="s">
        <v>495</v>
      </c>
      <c r="S1516" s="35" t="str">
        <f>MID(Tabla1[[#This Row],[Aplicación]],6,2)</f>
        <v>10</v>
      </c>
      <c r="T1516" s="35" t="str">
        <f>VLOOKUP(Tabla1[[#This Row],[AREA]],Hoja1!A:B,2,FALSE)</f>
        <v>10. Servicios sociales y mediación comunitaria</v>
      </c>
      <c r="U1516" s="35" t="str">
        <f>MID(Tabla1[[#This Row],[Aplicación]],9,4)</f>
        <v>2412</v>
      </c>
      <c r="V1516" s="35" t="str">
        <f>VLOOKUP(Tabla1[[#This Row],[PROGRAMA]],Hoja1!A:B,2,FALSE)</f>
        <v>2412. Formación para el empleo</v>
      </c>
      <c r="W1516" s="35" t="str">
        <f>MID(Tabla1[[#This Row],[Aplicación]],14,2)</f>
        <v>21</v>
      </c>
      <c r="X1516" s="35" t="str">
        <f>MID(Tabla1[[#This Row],[Aplicación]],14,6)</f>
        <v>213</v>
      </c>
    </row>
    <row r="1517" spans="1:24" x14ac:dyDescent="0.25">
      <c r="A1517" s="45">
        <v>220210007008</v>
      </c>
      <c r="B1517" s="46" t="s">
        <v>32</v>
      </c>
      <c r="C1517" s="47">
        <v>44260</v>
      </c>
      <c r="D1517" s="45">
        <v>22021002945</v>
      </c>
      <c r="E1517" s="46" t="s">
        <v>886</v>
      </c>
      <c r="F1517" s="48">
        <v>27.06</v>
      </c>
      <c r="G1517" s="46" t="s">
        <v>68</v>
      </c>
      <c r="H1517" s="46" t="s">
        <v>2767</v>
      </c>
      <c r="I1517" s="45" t="s">
        <v>234</v>
      </c>
      <c r="J1517" s="46" t="s">
        <v>127</v>
      </c>
      <c r="K1517" s="46" t="s">
        <v>127</v>
      </c>
      <c r="L1517" s="46" t="s">
        <v>12</v>
      </c>
      <c r="M1517" s="46" t="s">
        <v>13</v>
      </c>
      <c r="N1517" s="46" t="s">
        <v>14</v>
      </c>
      <c r="O1517" s="49" t="s">
        <v>803</v>
      </c>
      <c r="P1517" s="46" t="s">
        <v>507</v>
      </c>
      <c r="Q1517" s="35" t="str">
        <f>MID(Tabla1[[#This Row],[Aplicación]],14,1)</f>
        <v>2</v>
      </c>
      <c r="R1517" s="35" t="s">
        <v>495</v>
      </c>
      <c r="S1517" s="35" t="str">
        <f>MID(Tabla1[[#This Row],[Aplicación]],6,2)</f>
        <v>10</v>
      </c>
      <c r="T1517" s="35" t="str">
        <f>VLOOKUP(Tabla1[[#This Row],[AREA]],Hoja1!A:B,2,FALSE)</f>
        <v>10. Servicios sociales y mediación comunitaria</v>
      </c>
      <c r="U1517" s="35" t="str">
        <f>MID(Tabla1[[#This Row],[Aplicación]],9,4)</f>
        <v>2311</v>
      </c>
      <c r="V1517" s="35" t="str">
        <f>VLOOKUP(Tabla1[[#This Row],[PROGRAMA]],Hoja1!A:B,2,FALSE)</f>
        <v>2311. Intervención social</v>
      </c>
      <c r="W1517" s="35" t="str">
        <f>MID(Tabla1[[#This Row],[Aplicación]],14,2)</f>
        <v>21</v>
      </c>
      <c r="X1517" s="35" t="str">
        <f>MID(Tabla1[[#This Row],[Aplicación]],14,6)</f>
        <v>213</v>
      </c>
    </row>
    <row r="1518" spans="1:24" x14ac:dyDescent="0.25">
      <c r="A1518" s="45">
        <v>220210007009</v>
      </c>
      <c r="B1518" s="46" t="s">
        <v>32</v>
      </c>
      <c r="C1518" s="47">
        <v>44260</v>
      </c>
      <c r="D1518" s="45">
        <v>22021002947</v>
      </c>
      <c r="E1518" s="46" t="s">
        <v>886</v>
      </c>
      <c r="F1518" s="48">
        <v>68.33</v>
      </c>
      <c r="G1518" s="46" t="s">
        <v>68</v>
      </c>
      <c r="H1518" s="46" t="s">
        <v>2768</v>
      </c>
      <c r="I1518" s="45" t="s">
        <v>234</v>
      </c>
      <c r="J1518" s="46" t="s">
        <v>127</v>
      </c>
      <c r="K1518" s="46" t="s">
        <v>127</v>
      </c>
      <c r="L1518" s="46" t="s">
        <v>12</v>
      </c>
      <c r="M1518" s="46" t="s">
        <v>13</v>
      </c>
      <c r="N1518" s="46" t="s">
        <v>14</v>
      </c>
      <c r="O1518" s="49" t="s">
        <v>803</v>
      </c>
      <c r="P1518" s="46" t="s">
        <v>507</v>
      </c>
      <c r="Q1518" s="35" t="str">
        <f>MID(Tabla1[[#This Row],[Aplicación]],14,1)</f>
        <v>2</v>
      </c>
      <c r="R1518" s="35" t="s">
        <v>495</v>
      </c>
      <c r="S1518" s="35" t="str">
        <f>MID(Tabla1[[#This Row],[Aplicación]],6,2)</f>
        <v>10</v>
      </c>
      <c r="T1518" s="35" t="str">
        <f>VLOOKUP(Tabla1[[#This Row],[AREA]],Hoja1!A:B,2,FALSE)</f>
        <v>10. Servicios sociales y mediación comunitaria</v>
      </c>
      <c r="U1518" s="35" t="str">
        <f>MID(Tabla1[[#This Row],[Aplicación]],9,4)</f>
        <v>2311</v>
      </c>
      <c r="V1518" s="35" t="str">
        <f>VLOOKUP(Tabla1[[#This Row],[PROGRAMA]],Hoja1!A:B,2,FALSE)</f>
        <v>2311. Intervención social</v>
      </c>
      <c r="W1518" s="35" t="str">
        <f>MID(Tabla1[[#This Row],[Aplicación]],14,2)</f>
        <v>21</v>
      </c>
      <c r="X1518" s="35" t="str">
        <f>MID(Tabla1[[#This Row],[Aplicación]],14,6)</f>
        <v>213</v>
      </c>
    </row>
    <row r="1519" spans="1:24" x14ac:dyDescent="0.25">
      <c r="A1519" s="45">
        <v>220210007010</v>
      </c>
      <c r="B1519" s="46" t="s">
        <v>32</v>
      </c>
      <c r="C1519" s="47">
        <v>44260</v>
      </c>
      <c r="D1519" s="45">
        <v>22021002948</v>
      </c>
      <c r="E1519" s="46" t="s">
        <v>886</v>
      </c>
      <c r="F1519" s="48">
        <v>124.03</v>
      </c>
      <c r="G1519" s="46" t="s">
        <v>68</v>
      </c>
      <c r="H1519" s="46" t="s">
        <v>2769</v>
      </c>
      <c r="I1519" s="45" t="s">
        <v>234</v>
      </c>
      <c r="J1519" s="46" t="s">
        <v>127</v>
      </c>
      <c r="K1519" s="46" t="s">
        <v>127</v>
      </c>
      <c r="L1519" s="46" t="s">
        <v>12</v>
      </c>
      <c r="M1519" s="46" t="s">
        <v>13</v>
      </c>
      <c r="N1519" s="46" t="s">
        <v>14</v>
      </c>
      <c r="O1519" s="49" t="s">
        <v>803</v>
      </c>
      <c r="P1519" s="46" t="s">
        <v>507</v>
      </c>
      <c r="Q1519" s="35" t="str">
        <f>MID(Tabla1[[#This Row],[Aplicación]],14,1)</f>
        <v>2</v>
      </c>
      <c r="R1519" s="35" t="s">
        <v>495</v>
      </c>
      <c r="S1519" s="35" t="str">
        <f>MID(Tabla1[[#This Row],[Aplicación]],6,2)</f>
        <v>10</v>
      </c>
      <c r="T1519" s="35" t="str">
        <f>VLOOKUP(Tabla1[[#This Row],[AREA]],Hoja1!A:B,2,FALSE)</f>
        <v>10. Servicios sociales y mediación comunitaria</v>
      </c>
      <c r="U1519" s="35" t="str">
        <f>MID(Tabla1[[#This Row],[Aplicación]],9,4)</f>
        <v>2311</v>
      </c>
      <c r="V1519" s="35" t="str">
        <f>VLOOKUP(Tabla1[[#This Row],[PROGRAMA]],Hoja1!A:B,2,FALSE)</f>
        <v>2311. Intervención social</v>
      </c>
      <c r="W1519" s="35" t="str">
        <f>MID(Tabla1[[#This Row],[Aplicación]],14,2)</f>
        <v>21</v>
      </c>
      <c r="X1519" s="35" t="str">
        <f>MID(Tabla1[[#This Row],[Aplicación]],14,6)</f>
        <v>213</v>
      </c>
    </row>
    <row r="1520" spans="1:24" x14ac:dyDescent="0.25">
      <c r="A1520" s="45">
        <v>220210007011</v>
      </c>
      <c r="B1520" s="46" t="s">
        <v>32</v>
      </c>
      <c r="C1520" s="47">
        <v>44260</v>
      </c>
      <c r="D1520" s="45">
        <v>22021002952</v>
      </c>
      <c r="E1520" s="46" t="s">
        <v>983</v>
      </c>
      <c r="F1520" s="48">
        <v>164.86</v>
      </c>
      <c r="G1520" s="46" t="s">
        <v>68</v>
      </c>
      <c r="H1520" s="46" t="s">
        <v>2770</v>
      </c>
      <c r="I1520" s="45" t="s">
        <v>234</v>
      </c>
      <c r="J1520" s="46" t="s">
        <v>127</v>
      </c>
      <c r="K1520" s="46" t="s">
        <v>127</v>
      </c>
      <c r="L1520" s="46" t="s">
        <v>12</v>
      </c>
      <c r="M1520" s="46" t="s">
        <v>13</v>
      </c>
      <c r="N1520" s="46" t="s">
        <v>14</v>
      </c>
      <c r="O1520" s="49" t="s">
        <v>803</v>
      </c>
      <c r="P1520" s="46" t="s">
        <v>507</v>
      </c>
      <c r="Q1520" s="35" t="str">
        <f>MID(Tabla1[[#This Row],[Aplicación]],14,1)</f>
        <v>2</v>
      </c>
      <c r="R1520" s="35" t="s">
        <v>495</v>
      </c>
      <c r="S1520" s="35" t="str">
        <f>MID(Tabla1[[#This Row],[Aplicación]],6,2)</f>
        <v>10</v>
      </c>
      <c r="T1520" s="35" t="str">
        <f>VLOOKUP(Tabla1[[#This Row],[AREA]],Hoja1!A:B,2,FALSE)</f>
        <v>10. Servicios sociales y mediación comunitaria</v>
      </c>
      <c r="U1520" s="35" t="str">
        <f>MID(Tabla1[[#This Row],[Aplicación]],9,4)</f>
        <v>2412</v>
      </c>
      <c r="V1520" s="35" t="str">
        <f>VLOOKUP(Tabla1[[#This Row],[PROGRAMA]],Hoja1!A:B,2,FALSE)</f>
        <v>2412. Formación para el empleo</v>
      </c>
      <c r="W1520" s="35" t="str">
        <f>MID(Tabla1[[#This Row],[Aplicación]],14,2)</f>
        <v>21</v>
      </c>
      <c r="X1520" s="35" t="str">
        <f>MID(Tabla1[[#This Row],[Aplicación]],14,6)</f>
        <v>213</v>
      </c>
    </row>
    <row r="1521" spans="1:24" x14ac:dyDescent="0.25">
      <c r="A1521" s="45">
        <v>220210007011</v>
      </c>
      <c r="B1521" s="46" t="s">
        <v>32</v>
      </c>
      <c r="C1521" s="47">
        <v>44260</v>
      </c>
      <c r="D1521" s="45">
        <v>22021002953</v>
      </c>
      <c r="E1521" s="46" t="s">
        <v>983</v>
      </c>
      <c r="F1521" s="48">
        <v>32.979999999999997</v>
      </c>
      <c r="G1521" s="46" t="s">
        <v>68</v>
      </c>
      <c r="H1521" s="46" t="s">
        <v>2770</v>
      </c>
      <c r="I1521" s="45" t="s">
        <v>234</v>
      </c>
      <c r="J1521" s="46" t="s">
        <v>127</v>
      </c>
      <c r="K1521" s="46" t="s">
        <v>127</v>
      </c>
      <c r="L1521" s="46" t="s">
        <v>12</v>
      </c>
      <c r="M1521" s="46" t="s">
        <v>13</v>
      </c>
      <c r="N1521" s="46" t="s">
        <v>14</v>
      </c>
      <c r="O1521" s="49" t="s">
        <v>803</v>
      </c>
      <c r="P1521" s="46" t="s">
        <v>507</v>
      </c>
      <c r="Q1521" s="35" t="str">
        <f>MID(Tabla1[[#This Row],[Aplicación]],14,1)</f>
        <v>2</v>
      </c>
      <c r="R1521" s="35" t="s">
        <v>495</v>
      </c>
      <c r="S1521" s="35" t="str">
        <f>MID(Tabla1[[#This Row],[Aplicación]],6,2)</f>
        <v>10</v>
      </c>
      <c r="T1521" s="35" t="str">
        <f>VLOOKUP(Tabla1[[#This Row],[AREA]],Hoja1!A:B,2,FALSE)</f>
        <v>10. Servicios sociales y mediación comunitaria</v>
      </c>
      <c r="U1521" s="35" t="str">
        <f>MID(Tabla1[[#This Row],[Aplicación]],9,4)</f>
        <v>2412</v>
      </c>
      <c r="V1521" s="35" t="str">
        <f>VLOOKUP(Tabla1[[#This Row],[PROGRAMA]],Hoja1!A:B,2,FALSE)</f>
        <v>2412. Formación para el empleo</v>
      </c>
      <c r="W1521" s="35" t="str">
        <f>MID(Tabla1[[#This Row],[Aplicación]],14,2)</f>
        <v>21</v>
      </c>
      <c r="X1521" s="35" t="str">
        <f>MID(Tabla1[[#This Row],[Aplicación]],14,6)</f>
        <v>213</v>
      </c>
    </row>
    <row r="1522" spans="1:24" x14ac:dyDescent="0.25">
      <c r="A1522" s="45">
        <v>220210007012</v>
      </c>
      <c r="B1522" s="46" t="s">
        <v>32</v>
      </c>
      <c r="C1522" s="47">
        <v>44260</v>
      </c>
      <c r="D1522" s="45">
        <v>22021002955</v>
      </c>
      <c r="E1522" s="46" t="s">
        <v>982</v>
      </c>
      <c r="F1522" s="48">
        <v>77.45</v>
      </c>
      <c r="G1522" s="46" t="s">
        <v>68</v>
      </c>
      <c r="H1522" s="46" t="s">
        <v>2771</v>
      </c>
      <c r="I1522" s="45" t="s">
        <v>234</v>
      </c>
      <c r="J1522" s="46" t="s">
        <v>127</v>
      </c>
      <c r="K1522" s="46" t="s">
        <v>127</v>
      </c>
      <c r="L1522" s="46" t="s">
        <v>12</v>
      </c>
      <c r="M1522" s="46" t="s">
        <v>13</v>
      </c>
      <c r="N1522" s="46" t="s">
        <v>14</v>
      </c>
      <c r="O1522" s="49" t="s">
        <v>803</v>
      </c>
      <c r="P1522" s="46" t="s">
        <v>507</v>
      </c>
      <c r="Q1522" s="35" t="str">
        <f>MID(Tabla1[[#This Row],[Aplicación]],14,1)</f>
        <v>2</v>
      </c>
      <c r="R1522" s="35" t="s">
        <v>495</v>
      </c>
      <c r="S1522" s="35" t="str">
        <f>MID(Tabla1[[#This Row],[Aplicación]],6,2)</f>
        <v>10</v>
      </c>
      <c r="T1522" s="35" t="str">
        <f>VLOOKUP(Tabla1[[#This Row],[AREA]],Hoja1!A:B,2,FALSE)</f>
        <v>10. Servicios sociales y mediación comunitaria</v>
      </c>
      <c r="U1522" s="35" t="str">
        <f>MID(Tabla1[[#This Row],[Aplicación]],9,4)</f>
        <v>2312</v>
      </c>
      <c r="V1522" s="35" t="str">
        <f>VLOOKUP(Tabla1[[#This Row],[PROGRAMA]],Hoja1!A:B,2,FALSE)</f>
        <v>2312. Iniciativas sociales</v>
      </c>
      <c r="W1522" s="35" t="str">
        <f>MID(Tabla1[[#This Row],[Aplicación]],14,2)</f>
        <v>21</v>
      </c>
      <c r="X1522" s="35" t="str">
        <f>MID(Tabla1[[#This Row],[Aplicación]],14,6)</f>
        <v>213</v>
      </c>
    </row>
    <row r="1523" spans="1:24" x14ac:dyDescent="0.25">
      <c r="A1523" s="45">
        <v>220210007014</v>
      </c>
      <c r="B1523" s="46" t="s">
        <v>32</v>
      </c>
      <c r="C1523" s="47">
        <v>44260</v>
      </c>
      <c r="D1523" s="45">
        <v>22021002963</v>
      </c>
      <c r="E1523" s="46" t="s">
        <v>886</v>
      </c>
      <c r="F1523" s="48">
        <v>843.6</v>
      </c>
      <c r="G1523" s="46" t="s">
        <v>68</v>
      </c>
      <c r="H1523" s="46" t="s">
        <v>2772</v>
      </c>
      <c r="I1523" s="45" t="s">
        <v>234</v>
      </c>
      <c r="J1523" s="46" t="s">
        <v>127</v>
      </c>
      <c r="K1523" s="46" t="s">
        <v>127</v>
      </c>
      <c r="L1523" s="46" t="s">
        <v>12</v>
      </c>
      <c r="M1523" s="46" t="s">
        <v>13</v>
      </c>
      <c r="N1523" s="46" t="s">
        <v>14</v>
      </c>
      <c r="O1523" s="49" t="s">
        <v>803</v>
      </c>
      <c r="P1523" s="46" t="s">
        <v>507</v>
      </c>
      <c r="Q1523" s="35" t="str">
        <f>MID(Tabla1[[#This Row],[Aplicación]],14,1)</f>
        <v>2</v>
      </c>
      <c r="R1523" s="35" t="s">
        <v>495</v>
      </c>
      <c r="S1523" s="35" t="str">
        <f>MID(Tabla1[[#This Row],[Aplicación]],6,2)</f>
        <v>10</v>
      </c>
      <c r="T1523" s="35" t="str">
        <f>VLOOKUP(Tabla1[[#This Row],[AREA]],Hoja1!A:B,2,FALSE)</f>
        <v>10. Servicios sociales y mediación comunitaria</v>
      </c>
      <c r="U1523" s="35" t="str">
        <f>MID(Tabla1[[#This Row],[Aplicación]],9,4)</f>
        <v>2311</v>
      </c>
      <c r="V1523" s="35" t="str">
        <f>VLOOKUP(Tabla1[[#This Row],[PROGRAMA]],Hoja1!A:B,2,FALSE)</f>
        <v>2311. Intervención social</v>
      </c>
      <c r="W1523" s="35" t="str">
        <f>MID(Tabla1[[#This Row],[Aplicación]],14,2)</f>
        <v>21</v>
      </c>
      <c r="X1523" s="35" t="str">
        <f>MID(Tabla1[[#This Row],[Aplicación]],14,6)</f>
        <v>213</v>
      </c>
    </row>
    <row r="1524" spans="1:24" x14ac:dyDescent="0.25">
      <c r="A1524" s="45">
        <v>220210007063</v>
      </c>
      <c r="B1524" s="46" t="s">
        <v>204</v>
      </c>
      <c r="C1524" s="47">
        <v>44260</v>
      </c>
      <c r="D1524" s="45">
        <v>22021002144</v>
      </c>
      <c r="E1524" s="46" t="s">
        <v>1328</v>
      </c>
      <c r="F1524" s="48">
        <v>55.18</v>
      </c>
      <c r="G1524" s="46" t="s">
        <v>235</v>
      </c>
      <c r="H1524" s="46" t="s">
        <v>2773</v>
      </c>
      <c r="I1524" s="45" t="s">
        <v>205</v>
      </c>
      <c r="J1524" s="46" t="s">
        <v>742</v>
      </c>
      <c r="K1524" s="46" t="s">
        <v>165</v>
      </c>
      <c r="L1524" s="46" t="s">
        <v>15</v>
      </c>
      <c r="M1524" s="46" t="s">
        <v>13</v>
      </c>
      <c r="N1524" s="46" t="s">
        <v>14</v>
      </c>
      <c r="O1524" s="49" t="s">
        <v>814</v>
      </c>
      <c r="P1524" s="46" t="s">
        <v>507</v>
      </c>
      <c r="Q1524" s="35" t="str">
        <f>MID(Tabla1[[#This Row],[Aplicación]],14,1)</f>
        <v>2</v>
      </c>
      <c r="R1524" s="35" t="s">
        <v>495</v>
      </c>
      <c r="S1524" s="35" t="str">
        <f>MID(Tabla1[[#This Row],[Aplicación]],6,2)</f>
        <v>10</v>
      </c>
      <c r="T1524" s="35" t="str">
        <f>VLOOKUP(Tabla1[[#This Row],[AREA]],Hoja1!A:B,2,FALSE)</f>
        <v>10. Servicios sociales y mediación comunitaria</v>
      </c>
      <c r="U1524" s="35" t="str">
        <f>MID(Tabla1[[#This Row],[Aplicación]],9,4)</f>
        <v>2311</v>
      </c>
      <c r="V1524" s="35" t="str">
        <f>VLOOKUP(Tabla1[[#This Row],[PROGRAMA]],Hoja1!A:B,2,FALSE)</f>
        <v>2311. Intervención social</v>
      </c>
      <c r="W1524" s="35" t="str">
        <f>MID(Tabla1[[#This Row],[Aplicación]],14,2)</f>
        <v>21</v>
      </c>
      <c r="X1524" s="35" t="str">
        <f>MID(Tabla1[[#This Row],[Aplicación]],14,6)</f>
        <v>212</v>
      </c>
    </row>
    <row r="1525" spans="1:24" x14ac:dyDescent="0.25">
      <c r="A1525" s="45">
        <v>220210007020</v>
      </c>
      <c r="B1525" s="46" t="s">
        <v>204</v>
      </c>
      <c r="C1525" s="47">
        <v>44260</v>
      </c>
      <c r="D1525" s="45">
        <v>22021001038</v>
      </c>
      <c r="E1525" s="46" t="s">
        <v>844</v>
      </c>
      <c r="F1525" s="48">
        <v>51</v>
      </c>
      <c r="G1525" s="46" t="s">
        <v>235</v>
      </c>
      <c r="H1525" s="46" t="s">
        <v>2774</v>
      </c>
      <c r="I1525" s="45" t="s">
        <v>205</v>
      </c>
      <c r="J1525" s="46" t="s">
        <v>742</v>
      </c>
      <c r="K1525" s="46" t="s">
        <v>165</v>
      </c>
      <c r="L1525" s="46" t="s">
        <v>15</v>
      </c>
      <c r="M1525" s="46" t="s">
        <v>13</v>
      </c>
      <c r="N1525" s="46" t="s">
        <v>14</v>
      </c>
      <c r="O1525" s="49" t="s">
        <v>814</v>
      </c>
      <c r="P1525" s="46" t="s">
        <v>507</v>
      </c>
      <c r="Q1525" s="35" t="str">
        <f>MID(Tabla1[[#This Row],[Aplicación]],14,1)</f>
        <v>2</v>
      </c>
      <c r="R1525" s="35" t="s">
        <v>495</v>
      </c>
      <c r="S1525" s="35" t="str">
        <f>MID(Tabla1[[#This Row],[Aplicación]],6,2)</f>
        <v>10</v>
      </c>
      <c r="T1525" s="35" t="str">
        <f>VLOOKUP(Tabla1[[#This Row],[AREA]],Hoja1!A:B,2,FALSE)</f>
        <v>10. Servicios sociales y mediación comunitaria</v>
      </c>
      <c r="U1525" s="35" t="str">
        <f>MID(Tabla1[[#This Row],[Aplicación]],9,4)</f>
        <v>2312</v>
      </c>
      <c r="V1525" s="35" t="str">
        <f>VLOOKUP(Tabla1[[#This Row],[PROGRAMA]],Hoja1!A:B,2,FALSE)</f>
        <v>2312. Iniciativas sociales</v>
      </c>
      <c r="W1525" s="35" t="str">
        <f>MID(Tabla1[[#This Row],[Aplicación]],14,2)</f>
        <v>21</v>
      </c>
      <c r="X1525" s="35" t="str">
        <f>MID(Tabla1[[#This Row],[Aplicación]],14,6)</f>
        <v>212</v>
      </c>
    </row>
    <row r="1526" spans="1:24" x14ac:dyDescent="0.25">
      <c r="A1526" s="45">
        <v>220210007025</v>
      </c>
      <c r="B1526" s="46" t="s">
        <v>32</v>
      </c>
      <c r="C1526" s="47">
        <v>44260</v>
      </c>
      <c r="D1526" s="45">
        <v>22021003048</v>
      </c>
      <c r="E1526" s="46" t="s">
        <v>985</v>
      </c>
      <c r="F1526" s="48">
        <v>84.36</v>
      </c>
      <c r="G1526" s="46" t="s">
        <v>68</v>
      </c>
      <c r="H1526" s="46" t="s">
        <v>2775</v>
      </c>
      <c r="I1526" s="45" t="s">
        <v>234</v>
      </c>
      <c r="J1526" s="46" t="s">
        <v>127</v>
      </c>
      <c r="K1526" s="46" t="s">
        <v>127</v>
      </c>
      <c r="L1526" s="46" t="s">
        <v>12</v>
      </c>
      <c r="M1526" s="46" t="s">
        <v>13</v>
      </c>
      <c r="N1526" s="46" t="s">
        <v>14</v>
      </c>
      <c r="O1526" s="49" t="s">
        <v>803</v>
      </c>
      <c r="P1526" s="46" t="s">
        <v>507</v>
      </c>
      <c r="Q1526" s="35" t="str">
        <f>MID(Tabla1[[#This Row],[Aplicación]],14,1)</f>
        <v>2</v>
      </c>
      <c r="R1526" s="35" t="s">
        <v>495</v>
      </c>
      <c r="S1526" s="35" t="str">
        <f>MID(Tabla1[[#This Row],[Aplicación]],6,2)</f>
        <v>10</v>
      </c>
      <c r="T1526" s="35" t="str">
        <f>VLOOKUP(Tabla1[[#This Row],[AREA]],Hoja1!A:B,2,FALSE)</f>
        <v>10. Servicios sociales y mediación comunitaria</v>
      </c>
      <c r="U1526" s="35" t="str">
        <f>MID(Tabla1[[#This Row],[Aplicación]],9,4)</f>
        <v>2316</v>
      </c>
      <c r="V1526" s="35" t="str">
        <f>VLOOKUP(Tabla1[[#This Row],[PROGRAMA]],Hoja1!A:B,2,FALSE)</f>
        <v>2316. Mediación comunitaria</v>
      </c>
      <c r="W1526" s="35" t="str">
        <f>MID(Tabla1[[#This Row],[Aplicación]],14,2)</f>
        <v>21</v>
      </c>
      <c r="X1526" s="35" t="str">
        <f>MID(Tabla1[[#This Row],[Aplicación]],14,6)</f>
        <v>213</v>
      </c>
    </row>
    <row r="1527" spans="1:24" x14ac:dyDescent="0.25">
      <c r="A1527" s="45">
        <v>220210003650</v>
      </c>
      <c r="B1527" s="46" t="s">
        <v>9</v>
      </c>
      <c r="C1527" s="47">
        <v>44243</v>
      </c>
      <c r="D1527" s="45">
        <v>22021002600</v>
      </c>
      <c r="E1527" s="46" t="s">
        <v>1183</v>
      </c>
      <c r="F1527" s="48">
        <v>2925.78</v>
      </c>
      <c r="G1527" s="46" t="s">
        <v>285</v>
      </c>
      <c r="H1527" s="46" t="s">
        <v>2776</v>
      </c>
      <c r="I1527" s="45" t="s">
        <v>125</v>
      </c>
      <c r="J1527" s="46" t="s">
        <v>126</v>
      </c>
      <c r="K1527" s="46" t="s">
        <v>126</v>
      </c>
      <c r="L1527" s="46" t="s">
        <v>15</v>
      </c>
      <c r="M1527" s="46" t="s">
        <v>10</v>
      </c>
      <c r="N1527" s="46" t="s">
        <v>11</v>
      </c>
      <c r="O1527" s="49" t="s">
        <v>815</v>
      </c>
      <c r="P1527" s="46" t="s">
        <v>507</v>
      </c>
      <c r="Q1527" s="35" t="str">
        <f>MID(Tabla1[[#This Row],[Aplicación]],14,1)</f>
        <v>2</v>
      </c>
      <c r="R1527" s="35" t="s">
        <v>495</v>
      </c>
      <c r="S1527" s="35" t="str">
        <f>MID(Tabla1[[#This Row],[Aplicación]],6,2)</f>
        <v>11</v>
      </c>
      <c r="T1527" s="35" t="str">
        <f>VLOOKUP(Tabla1[[#This Row],[AREA]],Hoja1!A:B,2,FALSE)</f>
        <v>11. Salud pública y seguridad ciudadana</v>
      </c>
      <c r="U1527" s="35" t="str">
        <f>MID(Tabla1[[#This Row],[Aplicación]],9,4)</f>
        <v>1361</v>
      </c>
      <c r="V1527" s="35" t="str">
        <f>VLOOKUP(Tabla1[[#This Row],[PROGRAMA]],Hoja1!A:B,2,FALSE)</f>
        <v>1361. Prevención y extinción de incencios</v>
      </c>
      <c r="W1527" s="35" t="str">
        <f>MID(Tabla1[[#This Row],[Aplicación]],14,2)</f>
        <v>22</v>
      </c>
      <c r="X1527" s="35" t="str">
        <f>MID(Tabla1[[#This Row],[Aplicación]],14,6)</f>
        <v>22199</v>
      </c>
    </row>
    <row r="1528" spans="1:24" x14ac:dyDescent="0.25">
      <c r="A1528" s="45">
        <v>220210007030</v>
      </c>
      <c r="B1528" s="46" t="s">
        <v>32</v>
      </c>
      <c r="C1528" s="47">
        <v>44260</v>
      </c>
      <c r="D1528" s="45">
        <v>22021003061</v>
      </c>
      <c r="E1528" s="46" t="s">
        <v>886</v>
      </c>
      <c r="F1528" s="48">
        <v>1148.8800000000001</v>
      </c>
      <c r="G1528" s="46" t="s">
        <v>68</v>
      </c>
      <c r="H1528" s="46" t="s">
        <v>2777</v>
      </c>
      <c r="I1528" s="45" t="s">
        <v>234</v>
      </c>
      <c r="J1528" s="46" t="s">
        <v>127</v>
      </c>
      <c r="K1528" s="46" t="s">
        <v>127</v>
      </c>
      <c r="L1528" s="46" t="s">
        <v>12</v>
      </c>
      <c r="M1528" s="46" t="s">
        <v>13</v>
      </c>
      <c r="N1528" s="46" t="s">
        <v>14</v>
      </c>
      <c r="O1528" s="49" t="s">
        <v>803</v>
      </c>
      <c r="P1528" s="46" t="s">
        <v>507</v>
      </c>
      <c r="Q1528" s="35" t="str">
        <f>MID(Tabla1[[#This Row],[Aplicación]],14,1)</f>
        <v>2</v>
      </c>
      <c r="R1528" s="35" t="s">
        <v>495</v>
      </c>
      <c r="S1528" s="35" t="str">
        <f>MID(Tabla1[[#This Row],[Aplicación]],6,2)</f>
        <v>10</v>
      </c>
      <c r="T1528" s="35" t="str">
        <f>VLOOKUP(Tabla1[[#This Row],[AREA]],Hoja1!A:B,2,FALSE)</f>
        <v>10. Servicios sociales y mediación comunitaria</v>
      </c>
      <c r="U1528" s="35" t="str">
        <f>MID(Tabla1[[#This Row],[Aplicación]],9,4)</f>
        <v>2311</v>
      </c>
      <c r="V1528" s="35" t="str">
        <f>VLOOKUP(Tabla1[[#This Row],[PROGRAMA]],Hoja1!A:B,2,FALSE)</f>
        <v>2311. Intervención social</v>
      </c>
      <c r="W1528" s="35" t="str">
        <f>MID(Tabla1[[#This Row],[Aplicación]],14,2)</f>
        <v>21</v>
      </c>
      <c r="X1528" s="35" t="str">
        <f>MID(Tabla1[[#This Row],[Aplicación]],14,6)</f>
        <v>213</v>
      </c>
    </row>
    <row r="1529" spans="1:24" x14ac:dyDescent="0.25">
      <c r="A1529" s="45">
        <v>220210006702</v>
      </c>
      <c r="B1529" s="46" t="s">
        <v>204</v>
      </c>
      <c r="C1529" s="47">
        <v>44257</v>
      </c>
      <c r="D1529" s="45">
        <v>22021002089</v>
      </c>
      <c r="E1529" s="46" t="s">
        <v>1220</v>
      </c>
      <c r="F1529" s="48">
        <v>88.02</v>
      </c>
      <c r="G1529" s="46" t="s">
        <v>102</v>
      </c>
      <c r="H1529" s="46" t="s">
        <v>2778</v>
      </c>
      <c r="I1529" s="45" t="s">
        <v>205</v>
      </c>
      <c r="J1529" s="46" t="s">
        <v>127</v>
      </c>
      <c r="K1529" s="46" t="s">
        <v>127</v>
      </c>
      <c r="L1529" s="46" t="s">
        <v>15</v>
      </c>
      <c r="M1529" s="46" t="s">
        <v>13</v>
      </c>
      <c r="N1529" s="46" t="s">
        <v>16</v>
      </c>
      <c r="O1529" s="49" t="s">
        <v>814</v>
      </c>
      <c r="P1529" s="46" t="s">
        <v>507</v>
      </c>
      <c r="Q1529" s="35" t="str">
        <f>MID(Tabla1[[#This Row],[Aplicación]],14,1)</f>
        <v>2</v>
      </c>
      <c r="R1529" s="35" t="s">
        <v>495</v>
      </c>
      <c r="S1529" s="35" t="str">
        <f>MID(Tabla1[[#This Row],[Aplicación]],6,2)</f>
        <v>03</v>
      </c>
      <c r="T1529" s="35" t="str">
        <f>VLOOKUP(Tabla1[[#This Row],[AREA]],Hoja1!A:B,2,FALSE)</f>
        <v>03. Participación ciudadana y deportes</v>
      </c>
      <c r="U1529" s="35" t="str">
        <f>MID(Tabla1[[#This Row],[Aplicación]],9,4)</f>
        <v>9241</v>
      </c>
      <c r="V1529" s="35" t="str">
        <f>VLOOKUP(Tabla1[[#This Row],[PROGRAMA]],Hoja1!A:B,2,FALSE)</f>
        <v>9241. Participación ciudadana</v>
      </c>
      <c r="W1529" s="35" t="str">
        <f>MID(Tabla1[[#This Row],[Aplicación]],14,2)</f>
        <v>21</v>
      </c>
      <c r="X1529" s="35" t="str">
        <f>MID(Tabla1[[#This Row],[Aplicación]],14,6)</f>
        <v>213</v>
      </c>
    </row>
    <row r="1530" spans="1:24" x14ac:dyDescent="0.25">
      <c r="A1530" s="45">
        <v>220210007053</v>
      </c>
      <c r="B1530" s="46" t="s">
        <v>204</v>
      </c>
      <c r="C1530" s="47">
        <v>44260</v>
      </c>
      <c r="D1530" s="45">
        <v>22021001962</v>
      </c>
      <c r="E1530" s="46" t="s">
        <v>866</v>
      </c>
      <c r="F1530" s="48">
        <v>198.89</v>
      </c>
      <c r="G1530" s="46" t="s">
        <v>274</v>
      </c>
      <c r="H1530" s="46" t="s">
        <v>2779</v>
      </c>
      <c r="I1530" s="45" t="s">
        <v>205</v>
      </c>
      <c r="J1530" s="46" t="s">
        <v>127</v>
      </c>
      <c r="K1530" s="46" t="s">
        <v>127</v>
      </c>
      <c r="L1530" s="46" t="s">
        <v>15</v>
      </c>
      <c r="M1530" s="46" t="s">
        <v>13</v>
      </c>
      <c r="N1530" s="46" t="s">
        <v>14</v>
      </c>
      <c r="O1530" s="49" t="s">
        <v>814</v>
      </c>
      <c r="P1530" s="46" t="s">
        <v>507</v>
      </c>
      <c r="Q1530" s="35" t="str">
        <f>MID(Tabla1[[#This Row],[Aplicación]],14,1)</f>
        <v>2</v>
      </c>
      <c r="R1530" s="35" t="s">
        <v>495</v>
      </c>
      <c r="S1530" s="35" t="str">
        <f>MID(Tabla1[[#This Row],[Aplicación]],6,2)</f>
        <v>07</v>
      </c>
      <c r="T1530" s="35" t="str">
        <f>VLOOKUP(Tabla1[[#This Row],[AREA]],Hoja1!A:B,2,FALSE)</f>
        <v>07. Medio ambiente y desarrollo sostenible</v>
      </c>
      <c r="U1530" s="35" t="str">
        <f>MID(Tabla1[[#This Row],[Aplicación]],9,4)</f>
        <v>1721</v>
      </c>
      <c r="V1530" s="35" t="str">
        <f>VLOOKUP(Tabla1[[#This Row],[PROGRAMA]],Hoja1!A:B,2,FALSE)</f>
        <v>1721. Protección del medio ambiente</v>
      </c>
      <c r="W1530" s="35" t="str">
        <f>MID(Tabla1[[#This Row],[Aplicación]],14,2)</f>
        <v>22</v>
      </c>
      <c r="X1530" s="35" t="str">
        <f>MID(Tabla1[[#This Row],[Aplicación]],14,6)</f>
        <v>22199</v>
      </c>
    </row>
    <row r="1531" spans="1:24" x14ac:dyDescent="0.25">
      <c r="A1531" s="45">
        <v>220210006706</v>
      </c>
      <c r="B1531" s="46" t="s">
        <v>204</v>
      </c>
      <c r="C1531" s="47">
        <v>44257</v>
      </c>
      <c r="D1531" s="45">
        <v>22021002371</v>
      </c>
      <c r="E1531" s="46" t="s">
        <v>1336</v>
      </c>
      <c r="F1531" s="48">
        <v>30.73</v>
      </c>
      <c r="G1531" s="46" t="s">
        <v>102</v>
      </c>
      <c r="H1531" s="46" t="s">
        <v>2780</v>
      </c>
      <c r="I1531" s="45" t="s">
        <v>205</v>
      </c>
      <c r="J1531" s="46" t="s">
        <v>127</v>
      </c>
      <c r="K1531" s="46" t="s">
        <v>127</v>
      </c>
      <c r="L1531" s="46" t="s">
        <v>15</v>
      </c>
      <c r="M1531" s="46" t="s">
        <v>13</v>
      </c>
      <c r="N1531" s="46" t="s">
        <v>14</v>
      </c>
      <c r="O1531" s="49" t="s">
        <v>814</v>
      </c>
      <c r="P1531" s="46" t="s">
        <v>507</v>
      </c>
      <c r="Q1531" s="35" t="str">
        <f>MID(Tabla1[[#This Row],[Aplicación]],14,1)</f>
        <v>2</v>
      </c>
      <c r="R1531" s="35" t="s">
        <v>495</v>
      </c>
      <c r="S1531" s="35" t="str">
        <f>MID(Tabla1[[#This Row],[Aplicación]],6,2)</f>
        <v>02</v>
      </c>
      <c r="T1531" s="35" t="str">
        <f>VLOOKUP(Tabla1[[#This Row],[AREA]],Hoja1!A:B,2,FALSE)</f>
        <v>02. Planeamiento urbanístico y vivienda</v>
      </c>
      <c r="U1531" s="35" t="str">
        <f>MID(Tabla1[[#This Row],[Aplicación]],9,4)</f>
        <v>9332</v>
      </c>
      <c r="V1531" s="35" t="str">
        <f>VLOOKUP(Tabla1[[#This Row],[PROGRAMA]],Hoja1!A:B,2,FALSE)</f>
        <v>9332. Mantenimiento de edificios e instalaciones municipales</v>
      </c>
      <c r="W1531" s="35" t="str">
        <f>MID(Tabla1[[#This Row],[Aplicación]],14,2)</f>
        <v>21</v>
      </c>
      <c r="X1531" s="35" t="str">
        <f>MID(Tabla1[[#This Row],[Aplicación]],14,6)</f>
        <v>212</v>
      </c>
    </row>
    <row r="1532" spans="1:24" x14ac:dyDescent="0.25">
      <c r="A1532" s="45">
        <v>220200032692</v>
      </c>
      <c r="B1532" s="46" t="s">
        <v>9</v>
      </c>
      <c r="C1532" s="47">
        <v>44284</v>
      </c>
      <c r="D1532" s="45">
        <v>22020001016</v>
      </c>
      <c r="E1532" s="46" t="s">
        <v>2781</v>
      </c>
      <c r="F1532" s="48">
        <v>2975.4</v>
      </c>
      <c r="G1532" s="46" t="s">
        <v>2415</v>
      </c>
      <c r="H1532" s="46" t="s">
        <v>2782</v>
      </c>
      <c r="I1532" s="45" t="s">
        <v>125</v>
      </c>
      <c r="J1532" s="46" t="s">
        <v>127</v>
      </c>
      <c r="K1532" s="46" t="s">
        <v>127</v>
      </c>
      <c r="L1532" s="46" t="s">
        <v>15</v>
      </c>
      <c r="M1532" s="46" t="s">
        <v>13</v>
      </c>
      <c r="N1532" s="46" t="s">
        <v>14</v>
      </c>
      <c r="O1532" s="49" t="s">
        <v>803</v>
      </c>
      <c r="P1532" s="46" t="s">
        <v>507</v>
      </c>
      <c r="Q1532" s="35" t="str">
        <f>MID(Tabla1[[#This Row],[Aplicación]],14,1)</f>
        <v>6</v>
      </c>
      <c r="R1532" s="35" t="s">
        <v>496</v>
      </c>
      <c r="S1532" s="35" t="str">
        <f>MID(Tabla1[[#This Row],[Aplicación]],6,2)</f>
        <v>10</v>
      </c>
      <c r="T1532" s="35" t="str">
        <f>VLOOKUP(Tabla1[[#This Row],[AREA]],Hoja1!A:B,2,FALSE)</f>
        <v>10. Servicios sociales y mediación comunitaria</v>
      </c>
      <c r="U1532" s="35" t="str">
        <f>MID(Tabla1[[#This Row],[Aplicación]],9,4)</f>
        <v>2311</v>
      </c>
      <c r="V1532" s="35" t="str">
        <f>VLOOKUP(Tabla1[[#This Row],[PROGRAMA]],Hoja1!A:B,2,FALSE)</f>
        <v>2311. Intervención social</v>
      </c>
      <c r="W1532" s="35" t="str">
        <f>MID(Tabla1[[#This Row],[Aplicación]],14,2)</f>
        <v>62</v>
      </c>
      <c r="X1532" s="35" t="str">
        <f>MID(Tabla1[[#This Row],[Aplicación]],14,6)</f>
        <v>625</v>
      </c>
    </row>
    <row r="1533" spans="1:24" x14ac:dyDescent="0.25">
      <c r="A1533" s="45">
        <v>220210007145</v>
      </c>
      <c r="B1533" s="46" t="s">
        <v>9</v>
      </c>
      <c r="C1533" s="47">
        <v>44260</v>
      </c>
      <c r="D1533" s="45">
        <v>22021003145</v>
      </c>
      <c r="E1533" s="46" t="s">
        <v>1410</v>
      </c>
      <c r="F1533" s="48">
        <v>3000</v>
      </c>
      <c r="G1533" s="46" t="s">
        <v>289</v>
      </c>
      <c r="H1533" s="46" t="s">
        <v>2783</v>
      </c>
      <c r="I1533" s="45" t="s">
        <v>125</v>
      </c>
      <c r="J1533" s="46" t="s">
        <v>127</v>
      </c>
      <c r="K1533" s="46" t="s">
        <v>127</v>
      </c>
      <c r="L1533" s="46" t="s">
        <v>12</v>
      </c>
      <c r="M1533" s="46" t="s">
        <v>10</v>
      </c>
      <c r="N1533" s="46" t="s">
        <v>11</v>
      </c>
      <c r="O1533" s="49" t="s">
        <v>815</v>
      </c>
      <c r="P1533" s="46" t="s">
        <v>507</v>
      </c>
      <c r="Q1533" s="35" t="str">
        <f>MID(Tabla1[[#This Row],[Aplicación]],14,1)</f>
        <v>2</v>
      </c>
      <c r="R1533" s="35" t="s">
        <v>495</v>
      </c>
      <c r="S1533" s="35" t="str">
        <f>MID(Tabla1[[#This Row],[Aplicación]],6,2)</f>
        <v>07</v>
      </c>
      <c r="T1533" s="35" t="str">
        <f>VLOOKUP(Tabla1[[#This Row],[AREA]],Hoja1!A:B,2,FALSE)</f>
        <v>07. Medio ambiente y desarrollo sostenible</v>
      </c>
      <c r="U1533" s="35" t="str">
        <f>MID(Tabla1[[#This Row],[Aplicación]],9,4)</f>
        <v>1711</v>
      </c>
      <c r="V1533" s="35" t="str">
        <f>VLOOKUP(Tabla1[[#This Row],[PROGRAMA]],Hoja1!A:B,2,FALSE)</f>
        <v>1711. Parques y jardines</v>
      </c>
      <c r="W1533" s="35" t="str">
        <f>MID(Tabla1[[#This Row],[Aplicación]],14,2)</f>
        <v>21</v>
      </c>
      <c r="X1533" s="35" t="str">
        <f>MID(Tabla1[[#This Row],[Aplicación]],14,6)</f>
        <v>214</v>
      </c>
    </row>
    <row r="1534" spans="1:24" x14ac:dyDescent="0.25">
      <c r="A1534" s="45">
        <v>220210001349</v>
      </c>
      <c r="B1534" s="46" t="s">
        <v>9</v>
      </c>
      <c r="C1534" s="47">
        <v>44228</v>
      </c>
      <c r="D1534" s="45">
        <v>22021000779</v>
      </c>
      <c r="E1534" s="46" t="s">
        <v>1340</v>
      </c>
      <c r="F1534" s="48">
        <v>3000</v>
      </c>
      <c r="G1534" s="46" t="s">
        <v>87</v>
      </c>
      <c r="H1534" s="46" t="s">
        <v>2784</v>
      </c>
      <c r="I1534" s="45" t="s">
        <v>125</v>
      </c>
      <c r="J1534" s="46" t="s">
        <v>127</v>
      </c>
      <c r="K1534" s="46" t="s">
        <v>127</v>
      </c>
      <c r="L1534" s="46" t="s">
        <v>15</v>
      </c>
      <c r="M1534" s="46" t="s">
        <v>10</v>
      </c>
      <c r="N1534" s="46" t="s">
        <v>11</v>
      </c>
      <c r="O1534" s="49" t="s">
        <v>815</v>
      </c>
      <c r="P1534" s="46" t="s">
        <v>507</v>
      </c>
      <c r="Q1534" s="35" t="str">
        <f>MID(Tabla1[[#This Row],[Aplicación]],14,1)</f>
        <v>2</v>
      </c>
      <c r="R1534" s="35" t="s">
        <v>495</v>
      </c>
      <c r="S1534" s="35" t="str">
        <f>MID(Tabla1[[#This Row],[Aplicación]],6,2)</f>
        <v>11</v>
      </c>
      <c r="T1534" s="35" t="str">
        <f>VLOOKUP(Tabla1[[#This Row],[AREA]],Hoja1!A:B,2,FALSE)</f>
        <v>11. Salud pública y seguridad ciudadana</v>
      </c>
      <c r="U1534" s="35" t="str">
        <f>MID(Tabla1[[#This Row],[Aplicación]],9,4)</f>
        <v>1621</v>
      </c>
      <c r="V1534" s="35" t="str">
        <f>VLOOKUP(Tabla1[[#This Row],[PROGRAMA]],Hoja1!A:B,2,FALSE)</f>
        <v>1621. Servicio de limpieza</v>
      </c>
      <c r="W1534" s="35" t="str">
        <f>MID(Tabla1[[#This Row],[Aplicación]],14,2)</f>
        <v>22</v>
      </c>
      <c r="X1534" s="35" t="str">
        <f>MID(Tabla1[[#This Row],[Aplicación]],14,6)</f>
        <v>22199</v>
      </c>
    </row>
    <row r="1535" spans="1:24" x14ac:dyDescent="0.25">
      <c r="A1535" s="45">
        <v>220209000145</v>
      </c>
      <c r="B1535" s="46" t="s">
        <v>9</v>
      </c>
      <c r="C1535" s="47">
        <v>44198</v>
      </c>
      <c r="D1535" s="45">
        <v>22021000215</v>
      </c>
      <c r="E1535" s="46" t="s">
        <v>881</v>
      </c>
      <c r="F1535" s="48">
        <v>1800</v>
      </c>
      <c r="G1535" s="46" t="s">
        <v>528</v>
      </c>
      <c r="H1535" s="46" t="s">
        <v>1255</v>
      </c>
      <c r="I1535" s="45" t="s">
        <v>125</v>
      </c>
      <c r="J1535" s="46" t="s">
        <v>127</v>
      </c>
      <c r="K1535" s="46" t="s">
        <v>127</v>
      </c>
      <c r="L1535" s="46" t="s">
        <v>12</v>
      </c>
      <c r="M1535" s="46" t="s">
        <v>13</v>
      </c>
      <c r="N1535" s="46" t="s">
        <v>14</v>
      </c>
      <c r="O1535" s="49" t="s">
        <v>814</v>
      </c>
      <c r="P1535" s="46" t="s">
        <v>507</v>
      </c>
      <c r="Q1535" s="35" t="str">
        <f>MID(Tabla1[[#This Row],[Aplicación]],14,1)</f>
        <v>2</v>
      </c>
      <c r="R1535" s="35" t="s">
        <v>495</v>
      </c>
      <c r="S1535" s="35" t="str">
        <f>MID(Tabla1[[#This Row],[Aplicación]],6,2)</f>
        <v>05</v>
      </c>
      <c r="T1535" s="35" t="str">
        <f>VLOOKUP(Tabla1[[#This Row],[AREA]],Hoja1!A:B,2,FALSE)</f>
        <v>05. Innovación, desarrollo económico, empleo y comercio</v>
      </c>
      <c r="U1535" s="35" t="str">
        <f>MID(Tabla1[[#This Row],[Aplicación]],9,4)</f>
        <v>4331</v>
      </c>
      <c r="V1535" s="35" t="str">
        <f>VLOOKUP(Tabla1[[#This Row],[PROGRAMA]],Hoja1!A:B,2,FALSE)</f>
        <v>4331. Desarrollo empresarial</v>
      </c>
      <c r="W1535" s="35" t="str">
        <f>MID(Tabla1[[#This Row],[Aplicación]],14,2)</f>
        <v>22</v>
      </c>
      <c r="X1535" s="35" t="str">
        <f>MID(Tabla1[[#This Row],[Aplicación]],14,6)</f>
        <v>22799</v>
      </c>
    </row>
    <row r="1536" spans="1:24" x14ac:dyDescent="0.25">
      <c r="A1536" s="45">
        <v>220210012877</v>
      </c>
      <c r="B1536" s="46" t="s">
        <v>9</v>
      </c>
      <c r="C1536" s="47">
        <v>44284</v>
      </c>
      <c r="D1536" s="45">
        <v>22021003657</v>
      </c>
      <c r="E1536" s="46" t="s">
        <v>890</v>
      </c>
      <c r="F1536" s="48">
        <v>3000</v>
      </c>
      <c r="G1536" s="46" t="s">
        <v>108</v>
      </c>
      <c r="H1536" s="46" t="s">
        <v>2785</v>
      </c>
      <c r="I1536" s="45" t="s">
        <v>125</v>
      </c>
      <c r="J1536" s="46" t="s">
        <v>127</v>
      </c>
      <c r="K1536" s="46" t="s">
        <v>127</v>
      </c>
      <c r="L1536" s="46" t="s">
        <v>12</v>
      </c>
      <c r="M1536" s="46" t="s">
        <v>10</v>
      </c>
      <c r="N1536" s="46" t="s">
        <v>11</v>
      </c>
      <c r="O1536" s="49" t="s">
        <v>815</v>
      </c>
      <c r="P1536" s="46" t="s">
        <v>507</v>
      </c>
      <c r="Q1536" s="35" t="str">
        <f>MID(Tabla1[[#This Row],[Aplicación]],14,1)</f>
        <v>2</v>
      </c>
      <c r="R1536" s="35" t="s">
        <v>495</v>
      </c>
      <c r="S1536" s="35" t="str">
        <f>MID(Tabla1[[#This Row],[Aplicación]],6,2)</f>
        <v>11</v>
      </c>
      <c r="T1536" s="35" t="str">
        <f>VLOOKUP(Tabla1[[#This Row],[AREA]],Hoja1!A:B,2,FALSE)</f>
        <v>11. Salud pública y seguridad ciudadana</v>
      </c>
      <c r="U1536" s="35" t="str">
        <f>MID(Tabla1[[#This Row],[Aplicación]],9,4)</f>
        <v>1621</v>
      </c>
      <c r="V1536" s="35" t="str">
        <f>VLOOKUP(Tabla1[[#This Row],[PROGRAMA]],Hoja1!A:B,2,FALSE)</f>
        <v>1621. Servicio de limpieza</v>
      </c>
      <c r="W1536" s="35" t="str">
        <f>MID(Tabla1[[#This Row],[Aplicación]],14,2)</f>
        <v>21</v>
      </c>
      <c r="X1536" s="35" t="str">
        <f>MID(Tabla1[[#This Row],[Aplicación]],14,6)</f>
        <v>214</v>
      </c>
    </row>
    <row r="1537" spans="1:24" x14ac:dyDescent="0.25">
      <c r="A1537" s="45">
        <v>220210007100</v>
      </c>
      <c r="B1537" s="46" t="s">
        <v>9</v>
      </c>
      <c r="C1537" s="47">
        <v>44260</v>
      </c>
      <c r="D1537" s="45">
        <v>22021003160</v>
      </c>
      <c r="E1537" s="46" t="s">
        <v>1167</v>
      </c>
      <c r="F1537" s="48">
        <v>96.29</v>
      </c>
      <c r="G1537" s="46" t="s">
        <v>239</v>
      </c>
      <c r="H1537" s="46" t="s">
        <v>2786</v>
      </c>
      <c r="I1537" s="45" t="s">
        <v>125</v>
      </c>
      <c r="J1537" s="46" t="s">
        <v>127</v>
      </c>
      <c r="K1537" s="46" t="s">
        <v>127</v>
      </c>
      <c r="L1537" s="46" t="s">
        <v>12</v>
      </c>
      <c r="M1537" s="46" t="s">
        <v>10</v>
      </c>
      <c r="N1537" s="46" t="s">
        <v>11</v>
      </c>
      <c r="O1537" s="49" t="s">
        <v>815</v>
      </c>
      <c r="P1537" s="46" t="s">
        <v>507</v>
      </c>
      <c r="Q1537" s="35" t="str">
        <f>MID(Tabla1[[#This Row],[Aplicación]],14,1)</f>
        <v>2</v>
      </c>
      <c r="R1537" s="35" t="s">
        <v>495</v>
      </c>
      <c r="S1537" s="35" t="str">
        <f>MID(Tabla1[[#This Row],[Aplicación]],6,2)</f>
        <v>11</v>
      </c>
      <c r="T1537" s="35" t="str">
        <f>VLOOKUP(Tabla1[[#This Row],[AREA]],Hoja1!A:B,2,FALSE)</f>
        <v>11. Salud pública y seguridad ciudadana</v>
      </c>
      <c r="U1537" s="35" t="str">
        <f>MID(Tabla1[[#This Row],[Aplicación]],9,4)</f>
        <v>1321</v>
      </c>
      <c r="V1537" s="35" t="str">
        <f>VLOOKUP(Tabla1[[#This Row],[PROGRAMA]],Hoja1!A:B,2,FALSE)</f>
        <v>1321. Policía municipal</v>
      </c>
      <c r="W1537" s="35" t="str">
        <f>MID(Tabla1[[#This Row],[Aplicación]],14,2)</f>
        <v>21</v>
      </c>
      <c r="X1537" s="35" t="str">
        <f>MID(Tabla1[[#This Row],[Aplicación]],14,6)</f>
        <v>214</v>
      </c>
    </row>
    <row r="1538" spans="1:24" x14ac:dyDescent="0.25">
      <c r="A1538" s="45">
        <v>220210007101</v>
      </c>
      <c r="B1538" s="46" t="s">
        <v>9</v>
      </c>
      <c r="C1538" s="47">
        <v>44260</v>
      </c>
      <c r="D1538" s="45">
        <v>22021003161</v>
      </c>
      <c r="E1538" s="46" t="s">
        <v>1167</v>
      </c>
      <c r="F1538" s="48">
        <v>78.569999999999993</v>
      </c>
      <c r="G1538" s="46" t="s">
        <v>258</v>
      </c>
      <c r="H1538" s="46" t="s">
        <v>2787</v>
      </c>
      <c r="I1538" s="45" t="s">
        <v>125</v>
      </c>
      <c r="J1538" s="46" t="s">
        <v>127</v>
      </c>
      <c r="K1538" s="46" t="s">
        <v>127</v>
      </c>
      <c r="L1538" s="46" t="s">
        <v>12</v>
      </c>
      <c r="M1538" s="46" t="s">
        <v>10</v>
      </c>
      <c r="N1538" s="46" t="s">
        <v>11</v>
      </c>
      <c r="O1538" s="49" t="s">
        <v>815</v>
      </c>
      <c r="P1538" s="46" t="s">
        <v>507</v>
      </c>
      <c r="Q1538" s="35" t="str">
        <f>MID(Tabla1[[#This Row],[Aplicación]],14,1)</f>
        <v>2</v>
      </c>
      <c r="R1538" s="35" t="s">
        <v>495</v>
      </c>
      <c r="S1538" s="35" t="str">
        <f>MID(Tabla1[[#This Row],[Aplicación]],6,2)</f>
        <v>11</v>
      </c>
      <c r="T1538" s="35" t="str">
        <f>VLOOKUP(Tabla1[[#This Row],[AREA]],Hoja1!A:B,2,FALSE)</f>
        <v>11. Salud pública y seguridad ciudadana</v>
      </c>
      <c r="U1538" s="35" t="str">
        <f>MID(Tabla1[[#This Row],[Aplicación]],9,4)</f>
        <v>1321</v>
      </c>
      <c r="V1538" s="35" t="str">
        <f>VLOOKUP(Tabla1[[#This Row],[PROGRAMA]],Hoja1!A:B,2,FALSE)</f>
        <v>1321. Policía municipal</v>
      </c>
      <c r="W1538" s="35" t="str">
        <f>MID(Tabla1[[#This Row],[Aplicación]],14,2)</f>
        <v>21</v>
      </c>
      <c r="X1538" s="35" t="str">
        <f>MID(Tabla1[[#This Row],[Aplicación]],14,6)</f>
        <v>214</v>
      </c>
    </row>
    <row r="1539" spans="1:24" x14ac:dyDescent="0.25">
      <c r="A1539" s="45">
        <v>220210007102</v>
      </c>
      <c r="B1539" s="46" t="s">
        <v>9</v>
      </c>
      <c r="C1539" s="47">
        <v>44260</v>
      </c>
      <c r="D1539" s="45">
        <v>22021003162</v>
      </c>
      <c r="E1539" s="46" t="s">
        <v>1167</v>
      </c>
      <c r="F1539" s="48">
        <v>65.3</v>
      </c>
      <c r="G1539" s="46" t="s">
        <v>528</v>
      </c>
      <c r="H1539" s="46" t="s">
        <v>2788</v>
      </c>
      <c r="I1539" s="45" t="s">
        <v>125</v>
      </c>
      <c r="J1539" s="46" t="s">
        <v>127</v>
      </c>
      <c r="K1539" s="46" t="s">
        <v>127</v>
      </c>
      <c r="L1539" s="46" t="s">
        <v>12</v>
      </c>
      <c r="M1539" s="46" t="s">
        <v>10</v>
      </c>
      <c r="N1539" s="46" t="s">
        <v>11</v>
      </c>
      <c r="O1539" s="49" t="s">
        <v>815</v>
      </c>
      <c r="P1539" s="46" t="s">
        <v>507</v>
      </c>
      <c r="Q1539" s="35" t="str">
        <f>MID(Tabla1[[#This Row],[Aplicación]],14,1)</f>
        <v>2</v>
      </c>
      <c r="R1539" s="35" t="s">
        <v>495</v>
      </c>
      <c r="S1539" s="35" t="str">
        <f>MID(Tabla1[[#This Row],[Aplicación]],6,2)</f>
        <v>11</v>
      </c>
      <c r="T1539" s="35" t="str">
        <f>VLOOKUP(Tabla1[[#This Row],[AREA]],Hoja1!A:B,2,FALSE)</f>
        <v>11. Salud pública y seguridad ciudadana</v>
      </c>
      <c r="U1539" s="35" t="str">
        <f>MID(Tabla1[[#This Row],[Aplicación]],9,4)</f>
        <v>1321</v>
      </c>
      <c r="V1539" s="35" t="str">
        <f>VLOOKUP(Tabla1[[#This Row],[PROGRAMA]],Hoja1!A:B,2,FALSE)</f>
        <v>1321. Policía municipal</v>
      </c>
      <c r="W1539" s="35" t="str">
        <f>MID(Tabla1[[#This Row],[Aplicación]],14,2)</f>
        <v>21</v>
      </c>
      <c r="X1539" s="35" t="str">
        <f>MID(Tabla1[[#This Row],[Aplicación]],14,6)</f>
        <v>214</v>
      </c>
    </row>
    <row r="1540" spans="1:24" x14ac:dyDescent="0.25">
      <c r="A1540" s="45">
        <v>220210001388</v>
      </c>
      <c r="B1540" s="46" t="s">
        <v>9</v>
      </c>
      <c r="C1540" s="47">
        <v>44228</v>
      </c>
      <c r="D1540" s="45">
        <v>22021002171</v>
      </c>
      <c r="E1540" s="46" t="s">
        <v>890</v>
      </c>
      <c r="F1540" s="48">
        <v>3000</v>
      </c>
      <c r="G1540" s="46" t="s">
        <v>113</v>
      </c>
      <c r="H1540" s="46" t="s">
        <v>2789</v>
      </c>
      <c r="I1540" s="45" t="s">
        <v>125</v>
      </c>
      <c r="J1540" s="46" t="s">
        <v>713</v>
      </c>
      <c r="K1540" s="46" t="s">
        <v>126</v>
      </c>
      <c r="L1540" s="46" t="s">
        <v>15</v>
      </c>
      <c r="M1540" s="46" t="s">
        <v>10</v>
      </c>
      <c r="N1540" s="46" t="s">
        <v>11</v>
      </c>
      <c r="O1540" s="49" t="s">
        <v>815</v>
      </c>
      <c r="P1540" s="46" t="s">
        <v>507</v>
      </c>
      <c r="Q1540" s="35" t="str">
        <f>MID(Tabla1[[#This Row],[Aplicación]],14,1)</f>
        <v>2</v>
      </c>
      <c r="R1540" s="35" t="s">
        <v>495</v>
      </c>
      <c r="S1540" s="35" t="str">
        <f>MID(Tabla1[[#This Row],[Aplicación]],6,2)</f>
        <v>11</v>
      </c>
      <c r="T1540" s="35" t="str">
        <f>VLOOKUP(Tabla1[[#This Row],[AREA]],Hoja1!A:B,2,FALSE)</f>
        <v>11. Salud pública y seguridad ciudadana</v>
      </c>
      <c r="U1540" s="35" t="str">
        <f>MID(Tabla1[[#This Row],[Aplicación]],9,4)</f>
        <v>1621</v>
      </c>
      <c r="V1540" s="35" t="str">
        <f>VLOOKUP(Tabla1[[#This Row],[PROGRAMA]],Hoja1!A:B,2,FALSE)</f>
        <v>1621. Servicio de limpieza</v>
      </c>
      <c r="W1540" s="35" t="str">
        <f>MID(Tabla1[[#This Row],[Aplicación]],14,2)</f>
        <v>21</v>
      </c>
      <c r="X1540" s="35" t="str">
        <f>MID(Tabla1[[#This Row],[Aplicación]],14,6)</f>
        <v>214</v>
      </c>
    </row>
    <row r="1541" spans="1:24" x14ac:dyDescent="0.25">
      <c r="A1541" s="45">
        <v>220210001370</v>
      </c>
      <c r="B1541" s="46" t="s">
        <v>9</v>
      </c>
      <c r="C1541" s="47">
        <v>44228</v>
      </c>
      <c r="D1541" s="45">
        <v>22021002071</v>
      </c>
      <c r="E1541" s="46" t="s">
        <v>950</v>
      </c>
      <c r="F1541" s="48">
        <v>3005.64</v>
      </c>
      <c r="G1541" s="46" t="s">
        <v>591</v>
      </c>
      <c r="H1541" s="46" t="s">
        <v>2790</v>
      </c>
      <c r="I1541" s="45" t="s">
        <v>125</v>
      </c>
      <c r="J1541" s="46" t="s">
        <v>126</v>
      </c>
      <c r="K1541" s="46" t="s">
        <v>126</v>
      </c>
      <c r="L1541" s="46" t="s">
        <v>12</v>
      </c>
      <c r="M1541" s="46" t="s">
        <v>10</v>
      </c>
      <c r="N1541" s="46" t="s">
        <v>11</v>
      </c>
      <c r="O1541" s="49" t="s">
        <v>815</v>
      </c>
      <c r="P1541" s="46" t="s">
        <v>507</v>
      </c>
      <c r="Q1541" s="35" t="str">
        <f>MID(Tabla1[[#This Row],[Aplicación]],14,1)</f>
        <v>2</v>
      </c>
      <c r="R1541" s="35" t="s">
        <v>495</v>
      </c>
      <c r="S1541" s="35" t="str">
        <f>MID(Tabla1[[#This Row],[Aplicación]],6,2)</f>
        <v>11</v>
      </c>
      <c r="T1541" s="35" t="str">
        <f>VLOOKUP(Tabla1[[#This Row],[AREA]],Hoja1!A:B,2,FALSE)</f>
        <v>11. Salud pública y seguridad ciudadana</v>
      </c>
      <c r="U1541" s="35" t="str">
        <f>MID(Tabla1[[#This Row],[Aplicación]],9,4)</f>
        <v>1321</v>
      </c>
      <c r="V1541" s="35" t="str">
        <f>VLOOKUP(Tabla1[[#This Row],[PROGRAMA]],Hoja1!A:B,2,FALSE)</f>
        <v>1321. Policía municipal</v>
      </c>
      <c r="W1541" s="35" t="str">
        <f>MID(Tabla1[[#This Row],[Aplicación]],14,2)</f>
        <v>21</v>
      </c>
      <c r="X1541" s="35" t="str">
        <f>MID(Tabla1[[#This Row],[Aplicación]],14,6)</f>
        <v>213</v>
      </c>
    </row>
    <row r="1542" spans="1:24" x14ac:dyDescent="0.25">
      <c r="A1542" s="45">
        <v>220210004233</v>
      </c>
      <c r="B1542" s="46" t="s">
        <v>9</v>
      </c>
      <c r="C1542" s="47">
        <v>44245</v>
      </c>
      <c r="D1542" s="45">
        <v>22021002763</v>
      </c>
      <c r="E1542" s="46" t="s">
        <v>2266</v>
      </c>
      <c r="F1542" s="48">
        <v>3024</v>
      </c>
      <c r="G1542" s="46" t="s">
        <v>2791</v>
      </c>
      <c r="H1542" s="46" t="s">
        <v>2792</v>
      </c>
      <c r="I1542" s="45" t="s">
        <v>125</v>
      </c>
      <c r="J1542" s="46" t="s">
        <v>127</v>
      </c>
      <c r="K1542" s="46" t="s">
        <v>127</v>
      </c>
      <c r="L1542" s="46" t="s">
        <v>12</v>
      </c>
      <c r="M1542" s="46" t="s">
        <v>10</v>
      </c>
      <c r="N1542" s="46" t="s">
        <v>11</v>
      </c>
      <c r="O1542" s="49" t="s">
        <v>815</v>
      </c>
      <c r="P1542" s="46" t="s">
        <v>507</v>
      </c>
      <c r="Q1542" s="35" t="str">
        <f>MID(Tabla1[[#This Row],[Aplicación]],14,1)</f>
        <v>2</v>
      </c>
      <c r="R1542" s="35" t="s">
        <v>495</v>
      </c>
      <c r="S1542" s="35" t="str">
        <f>MID(Tabla1[[#This Row],[Aplicación]],6,2)</f>
        <v>11</v>
      </c>
      <c r="T1542" s="35" t="str">
        <f>VLOOKUP(Tabla1[[#This Row],[AREA]],Hoja1!A:B,2,FALSE)</f>
        <v>11. Salud pública y seguridad ciudadana</v>
      </c>
      <c r="U1542" s="35" t="str">
        <f>MID(Tabla1[[#This Row],[Aplicación]],9,4)</f>
        <v>3111</v>
      </c>
      <c r="V1542" s="35" t="str">
        <f>VLOOKUP(Tabla1[[#This Row],[PROGRAMA]],Hoja1!A:B,2,FALSE)</f>
        <v>3111. Protección de la salubridad pública</v>
      </c>
      <c r="W1542" s="35" t="str">
        <f>MID(Tabla1[[#This Row],[Aplicación]],14,2)</f>
        <v>22</v>
      </c>
      <c r="X1542" s="35" t="str">
        <f>MID(Tabla1[[#This Row],[Aplicación]],14,6)</f>
        <v>22799</v>
      </c>
    </row>
    <row r="1543" spans="1:24" x14ac:dyDescent="0.25">
      <c r="A1543" s="45">
        <v>220210007116</v>
      </c>
      <c r="B1543" s="46" t="s">
        <v>9</v>
      </c>
      <c r="C1543" s="47">
        <v>44260</v>
      </c>
      <c r="D1543" s="45">
        <v>22021003142</v>
      </c>
      <c r="E1543" s="46" t="s">
        <v>1700</v>
      </c>
      <c r="F1543" s="48">
        <v>3025</v>
      </c>
      <c r="G1543" s="46" t="s">
        <v>2793</v>
      </c>
      <c r="H1543" s="46" t="s">
        <v>2794</v>
      </c>
      <c r="I1543" s="45" t="s">
        <v>125</v>
      </c>
      <c r="J1543" s="46" t="s">
        <v>519</v>
      </c>
      <c r="K1543" s="46" t="s">
        <v>519</v>
      </c>
      <c r="L1543" s="46" t="s">
        <v>12</v>
      </c>
      <c r="M1543" s="46" t="s">
        <v>10</v>
      </c>
      <c r="N1543" s="46" t="s">
        <v>11</v>
      </c>
      <c r="O1543" s="49" t="s">
        <v>815</v>
      </c>
      <c r="P1543" s="46" t="s">
        <v>507</v>
      </c>
      <c r="Q1543" s="35" t="str">
        <f>MID(Tabla1[[#This Row],[Aplicación]],14,1)</f>
        <v>2</v>
      </c>
      <c r="R1543" s="35" t="s">
        <v>495</v>
      </c>
      <c r="S1543" s="35" t="str">
        <f>MID(Tabla1[[#This Row],[Aplicación]],6,2)</f>
        <v>07</v>
      </c>
      <c r="T1543" s="35" t="str">
        <f>VLOOKUP(Tabla1[[#This Row],[AREA]],Hoja1!A:B,2,FALSE)</f>
        <v>07. Medio ambiente y desarrollo sostenible</v>
      </c>
      <c r="U1543" s="35" t="str">
        <f>MID(Tabla1[[#This Row],[Aplicación]],9,4)</f>
        <v>1721</v>
      </c>
      <c r="V1543" s="35" t="str">
        <f>VLOOKUP(Tabla1[[#This Row],[PROGRAMA]],Hoja1!A:B,2,FALSE)</f>
        <v>1721. Protección del medio ambiente</v>
      </c>
      <c r="W1543" s="35" t="str">
        <f>MID(Tabla1[[#This Row],[Aplicación]],14,2)</f>
        <v>22</v>
      </c>
      <c r="X1543" s="35" t="str">
        <f>MID(Tabla1[[#This Row],[Aplicación]],14,6)</f>
        <v>22112</v>
      </c>
    </row>
    <row r="1544" spans="1:24" x14ac:dyDescent="0.25">
      <c r="A1544" s="45">
        <v>220210013045</v>
      </c>
      <c r="B1544" s="46" t="s">
        <v>204</v>
      </c>
      <c r="C1544" s="47">
        <v>44285</v>
      </c>
      <c r="D1544" s="45">
        <v>22021002144</v>
      </c>
      <c r="E1544" s="46" t="s">
        <v>1328</v>
      </c>
      <c r="F1544" s="48">
        <v>16.170000000000002</v>
      </c>
      <c r="G1544" s="46" t="s">
        <v>238</v>
      </c>
      <c r="H1544" s="46" t="s">
        <v>1868</v>
      </c>
      <c r="I1544" s="45" t="s">
        <v>205</v>
      </c>
      <c r="J1544" s="46" t="s">
        <v>127</v>
      </c>
      <c r="K1544" s="46" t="s">
        <v>127</v>
      </c>
      <c r="L1544" s="46" t="s">
        <v>15</v>
      </c>
      <c r="M1544" s="46" t="s">
        <v>13</v>
      </c>
      <c r="N1544" s="46" t="s">
        <v>14</v>
      </c>
      <c r="O1544" s="49" t="s">
        <v>814</v>
      </c>
      <c r="P1544" s="46" t="s">
        <v>507</v>
      </c>
      <c r="Q1544" s="35" t="str">
        <f>MID(Tabla1[[#This Row],[Aplicación]],14,1)</f>
        <v>2</v>
      </c>
      <c r="R1544" s="35" t="s">
        <v>495</v>
      </c>
      <c r="S1544" s="35" t="str">
        <f>MID(Tabla1[[#This Row],[Aplicación]],6,2)</f>
        <v>10</v>
      </c>
      <c r="T1544" s="35" t="str">
        <f>VLOOKUP(Tabla1[[#This Row],[AREA]],Hoja1!A:B,2,FALSE)</f>
        <v>10. Servicios sociales y mediación comunitaria</v>
      </c>
      <c r="U1544" s="35" t="str">
        <f>MID(Tabla1[[#This Row],[Aplicación]],9,4)</f>
        <v>2311</v>
      </c>
      <c r="V1544" s="35" t="str">
        <f>VLOOKUP(Tabla1[[#This Row],[PROGRAMA]],Hoja1!A:B,2,FALSE)</f>
        <v>2311. Intervención social</v>
      </c>
      <c r="W1544" s="35" t="str">
        <f>MID(Tabla1[[#This Row],[Aplicación]],14,2)</f>
        <v>21</v>
      </c>
      <c r="X1544" s="35" t="str">
        <f>MID(Tabla1[[#This Row],[Aplicación]],14,6)</f>
        <v>212</v>
      </c>
    </row>
    <row r="1545" spans="1:24" x14ac:dyDescent="0.25">
      <c r="A1545" s="45">
        <v>220210007109</v>
      </c>
      <c r="B1545" s="46" t="s">
        <v>9</v>
      </c>
      <c r="C1545" s="47">
        <v>44260</v>
      </c>
      <c r="D1545" s="45">
        <v>22021002462</v>
      </c>
      <c r="E1545" s="46" t="s">
        <v>1907</v>
      </c>
      <c r="F1545" s="48">
        <v>246723.84</v>
      </c>
      <c r="G1545" s="46" t="s">
        <v>1908</v>
      </c>
      <c r="H1545" s="46" t="s">
        <v>2795</v>
      </c>
      <c r="I1545" s="45" t="s">
        <v>125</v>
      </c>
      <c r="J1545" s="46" t="s">
        <v>126</v>
      </c>
      <c r="K1545" s="46" t="s">
        <v>126</v>
      </c>
      <c r="L1545" s="46" t="s">
        <v>12</v>
      </c>
      <c r="M1545" s="46" t="s">
        <v>13</v>
      </c>
      <c r="N1545" s="46" t="s">
        <v>14</v>
      </c>
      <c r="O1545" s="49" t="s">
        <v>803</v>
      </c>
      <c r="P1545" s="46" t="s">
        <v>507</v>
      </c>
      <c r="Q1545" s="35" t="str">
        <f>MID(Tabla1[[#This Row],[Aplicación]],14,1)</f>
        <v>2</v>
      </c>
      <c r="R1545" s="35" t="s">
        <v>495</v>
      </c>
      <c r="S1545" s="35" t="str">
        <f>MID(Tabla1[[#This Row],[Aplicación]],6,2)</f>
        <v>06</v>
      </c>
      <c r="T1545" s="35" t="str">
        <f>VLOOKUP(Tabla1[[#This Row],[AREA]],Hoja1!A:B,2,FALSE)</f>
        <v>06. Educación, infancia, juventud e igualdad</v>
      </c>
      <c r="U1545" s="35" t="str">
        <f>MID(Tabla1[[#This Row],[Aplicación]],9,4)</f>
        <v>3232</v>
      </c>
      <c r="V1545" s="35" t="str">
        <f>VLOOKUP(Tabla1[[#This Row],[PROGRAMA]],Hoja1!A:B,2,FALSE)</f>
        <v>3232. Conservación y mantenimiento centros educación infantil y primaria</v>
      </c>
      <c r="W1545" s="35" t="str">
        <f>MID(Tabla1[[#This Row],[Aplicación]],14,2)</f>
        <v>22</v>
      </c>
      <c r="X1545" s="35" t="str">
        <f>MID(Tabla1[[#This Row],[Aplicación]],14,6)</f>
        <v>22700</v>
      </c>
    </row>
    <row r="1546" spans="1:24" x14ac:dyDescent="0.25">
      <c r="A1546" s="45">
        <v>220209000729</v>
      </c>
      <c r="B1546" s="46" t="s">
        <v>9</v>
      </c>
      <c r="C1546" s="47">
        <v>44198</v>
      </c>
      <c r="D1546" s="45">
        <v>22021000464</v>
      </c>
      <c r="E1546" s="46" t="s">
        <v>2532</v>
      </c>
      <c r="F1546" s="48">
        <v>3100</v>
      </c>
      <c r="G1546" s="46" t="s">
        <v>39</v>
      </c>
      <c r="H1546" s="46" t="s">
        <v>2796</v>
      </c>
      <c r="I1546" s="45" t="s">
        <v>125</v>
      </c>
      <c r="J1546" s="46" t="s">
        <v>126</v>
      </c>
      <c r="K1546" s="46" t="s">
        <v>126</v>
      </c>
      <c r="L1546" s="46" t="s">
        <v>15</v>
      </c>
      <c r="M1546" s="46" t="s">
        <v>13</v>
      </c>
      <c r="N1546" s="46" t="s">
        <v>11</v>
      </c>
      <c r="O1546" s="49" t="s">
        <v>803</v>
      </c>
      <c r="P1546" s="46" t="s">
        <v>507</v>
      </c>
      <c r="Q1546" s="35" t="str">
        <f>MID(Tabla1[[#This Row],[Aplicación]],14,1)</f>
        <v>2</v>
      </c>
      <c r="R1546" s="35" t="s">
        <v>495</v>
      </c>
      <c r="S1546" s="35" t="str">
        <f>MID(Tabla1[[#This Row],[Aplicación]],6,2)</f>
        <v>01</v>
      </c>
      <c r="T1546" s="35" t="str">
        <f>VLOOKUP(Tabla1[[#This Row],[AREA]],Hoja1!A:B,2,FALSE)</f>
        <v>01. Alcaldía</v>
      </c>
      <c r="U1546" s="35" t="str">
        <f>MID(Tabla1[[#This Row],[Aplicación]],9,4)</f>
        <v>9203</v>
      </c>
      <c r="V1546" s="35" t="str">
        <f>VLOOKUP(Tabla1[[#This Row],[PROGRAMA]],Hoja1!A:B,2,FALSE)</f>
        <v>9203. Unidad de régimen interior</v>
      </c>
      <c r="W1546" s="35" t="str">
        <f>MID(Tabla1[[#This Row],[Aplicación]],14,2)</f>
        <v>22</v>
      </c>
      <c r="X1546" s="35" t="str">
        <f>MID(Tabla1[[#This Row],[Aplicación]],14,6)</f>
        <v>22103</v>
      </c>
    </row>
    <row r="1547" spans="1:24" x14ac:dyDescent="0.25">
      <c r="A1547" s="45">
        <v>220210006035</v>
      </c>
      <c r="B1547" s="46" t="s">
        <v>9</v>
      </c>
      <c r="C1547" s="47">
        <v>44251</v>
      </c>
      <c r="D1547" s="45">
        <v>22021003016</v>
      </c>
      <c r="E1547" s="46" t="s">
        <v>2704</v>
      </c>
      <c r="F1547" s="48">
        <v>3200</v>
      </c>
      <c r="G1547" s="46" t="s">
        <v>117</v>
      </c>
      <c r="H1547" s="46" t="s">
        <v>2797</v>
      </c>
      <c r="I1547" s="45" t="s">
        <v>125</v>
      </c>
      <c r="J1547" s="46" t="s">
        <v>674</v>
      </c>
      <c r="K1547" s="46" t="s">
        <v>127</v>
      </c>
      <c r="L1547" s="46" t="s">
        <v>12</v>
      </c>
      <c r="M1547" s="46" t="s">
        <v>10</v>
      </c>
      <c r="N1547" s="46" t="s">
        <v>11</v>
      </c>
      <c r="O1547" s="49" t="s">
        <v>815</v>
      </c>
      <c r="P1547" s="46" t="s">
        <v>507</v>
      </c>
      <c r="Q1547" s="35" t="str">
        <f>MID(Tabla1[[#This Row],[Aplicación]],14,1)</f>
        <v>2</v>
      </c>
      <c r="R1547" s="35" t="s">
        <v>495</v>
      </c>
      <c r="S1547" s="35" t="str">
        <f>MID(Tabla1[[#This Row],[Aplicación]],6,2)</f>
        <v>04</v>
      </c>
      <c r="T1547" s="35" t="str">
        <f>VLOOKUP(Tabla1[[#This Row],[AREA]],Hoja1!A:B,2,FALSE)</f>
        <v>04. Planificación y recursos</v>
      </c>
      <c r="U1547" s="35" t="str">
        <f>MID(Tabla1[[#This Row],[Aplicación]],9,4)</f>
        <v>3121</v>
      </c>
      <c r="V1547" s="35" t="str">
        <f>VLOOKUP(Tabla1[[#This Row],[PROGRAMA]],Hoja1!A:B,2,FALSE)</f>
        <v>3121. Prevención y salud laboral</v>
      </c>
      <c r="W1547" s="35" t="str">
        <f>MID(Tabla1[[#This Row],[Aplicación]],14,2)</f>
        <v>22</v>
      </c>
      <c r="X1547" s="35" t="str">
        <f>MID(Tabla1[[#This Row],[Aplicación]],14,6)</f>
        <v>22799</v>
      </c>
    </row>
    <row r="1548" spans="1:24" x14ac:dyDescent="0.25">
      <c r="A1548" s="45">
        <v>220209000449</v>
      </c>
      <c r="B1548" s="46" t="s">
        <v>9</v>
      </c>
      <c r="C1548" s="47">
        <v>44198</v>
      </c>
      <c r="D1548" s="45">
        <v>22021000308</v>
      </c>
      <c r="E1548" s="46" t="s">
        <v>2781</v>
      </c>
      <c r="F1548" s="48">
        <v>3330</v>
      </c>
      <c r="G1548" s="46" t="s">
        <v>2415</v>
      </c>
      <c r="H1548" s="46" t="s">
        <v>2798</v>
      </c>
      <c r="I1548" s="45" t="s">
        <v>125</v>
      </c>
      <c r="J1548" s="46" t="s">
        <v>127</v>
      </c>
      <c r="K1548" s="46" t="s">
        <v>127</v>
      </c>
      <c r="L1548" s="46" t="s">
        <v>15</v>
      </c>
      <c r="M1548" s="46" t="s">
        <v>13</v>
      </c>
      <c r="N1548" s="46" t="s">
        <v>11</v>
      </c>
      <c r="O1548" s="49" t="s">
        <v>803</v>
      </c>
      <c r="P1548" s="46" t="s">
        <v>507</v>
      </c>
      <c r="Q1548" s="35" t="str">
        <f>MID(Tabla1[[#This Row],[Aplicación]],14,1)</f>
        <v>6</v>
      </c>
      <c r="R1548" s="35" t="s">
        <v>496</v>
      </c>
      <c r="S1548" s="35" t="str">
        <f>MID(Tabla1[[#This Row],[Aplicación]],6,2)</f>
        <v>10</v>
      </c>
      <c r="T1548" s="35" t="str">
        <f>VLOOKUP(Tabla1[[#This Row],[AREA]],Hoja1!A:B,2,FALSE)</f>
        <v>10. Servicios sociales y mediación comunitaria</v>
      </c>
      <c r="U1548" s="35" t="str">
        <f>MID(Tabla1[[#This Row],[Aplicación]],9,4)</f>
        <v>2311</v>
      </c>
      <c r="V1548" s="35" t="str">
        <f>VLOOKUP(Tabla1[[#This Row],[PROGRAMA]],Hoja1!A:B,2,FALSE)</f>
        <v>2311. Intervención social</v>
      </c>
      <c r="W1548" s="35" t="str">
        <f>MID(Tabla1[[#This Row],[Aplicación]],14,2)</f>
        <v>62</v>
      </c>
      <c r="X1548" s="35" t="str">
        <f>MID(Tabla1[[#This Row],[Aplicación]],14,6)</f>
        <v>625</v>
      </c>
    </row>
    <row r="1549" spans="1:24" x14ac:dyDescent="0.25">
      <c r="A1549" s="45">
        <v>220210010355</v>
      </c>
      <c r="B1549" s="46" t="s">
        <v>9</v>
      </c>
      <c r="C1549" s="47">
        <v>44273</v>
      </c>
      <c r="D1549" s="45">
        <v>22021003496</v>
      </c>
      <c r="E1549" s="46" t="s">
        <v>1807</v>
      </c>
      <c r="F1549" s="48">
        <v>3525.75</v>
      </c>
      <c r="G1549" s="46" t="s">
        <v>1992</v>
      </c>
      <c r="H1549" s="46" t="s">
        <v>2799</v>
      </c>
      <c r="I1549" s="45" t="s">
        <v>125</v>
      </c>
      <c r="J1549" s="46" t="s">
        <v>634</v>
      </c>
      <c r="K1549" s="46" t="s">
        <v>127</v>
      </c>
      <c r="L1549" s="46" t="s">
        <v>12</v>
      </c>
      <c r="M1549" s="46" t="s">
        <v>10</v>
      </c>
      <c r="N1549" s="46" t="s">
        <v>11</v>
      </c>
      <c r="O1549" s="49" t="s">
        <v>815</v>
      </c>
      <c r="P1549" s="46" t="s">
        <v>507</v>
      </c>
      <c r="Q1549" s="35" t="str">
        <f>MID(Tabla1[[#This Row],[Aplicación]],14,1)</f>
        <v>2</v>
      </c>
      <c r="R1549" s="35" t="s">
        <v>495</v>
      </c>
      <c r="S1549" s="35" t="str">
        <f>MID(Tabla1[[#This Row],[Aplicación]],6,2)</f>
        <v>11</v>
      </c>
      <c r="T1549" s="35" t="str">
        <f>VLOOKUP(Tabla1[[#This Row],[AREA]],Hoja1!A:B,2,FALSE)</f>
        <v>11. Salud pública y seguridad ciudadana</v>
      </c>
      <c r="U1549" s="35" t="str">
        <f>MID(Tabla1[[#This Row],[Aplicación]],9,4)</f>
        <v>1321</v>
      </c>
      <c r="V1549" s="35" t="str">
        <f>VLOOKUP(Tabla1[[#This Row],[PROGRAMA]],Hoja1!A:B,2,FALSE)</f>
        <v>1321. Policía municipal</v>
      </c>
      <c r="W1549" s="35" t="str">
        <f>MID(Tabla1[[#This Row],[Aplicación]],14,2)</f>
        <v>22</v>
      </c>
      <c r="X1549" s="35" t="str">
        <f>MID(Tabla1[[#This Row],[Aplicación]],14,6)</f>
        <v>22700</v>
      </c>
    </row>
    <row r="1550" spans="1:24" x14ac:dyDescent="0.25">
      <c r="A1550" s="45">
        <v>220210002382</v>
      </c>
      <c r="B1550" s="46" t="s">
        <v>9</v>
      </c>
      <c r="C1550" s="47">
        <v>44235</v>
      </c>
      <c r="D1550" s="45">
        <v>22021002293</v>
      </c>
      <c r="E1550" s="46" t="s">
        <v>1521</v>
      </c>
      <c r="F1550" s="48">
        <v>3630</v>
      </c>
      <c r="G1550" s="46" t="s">
        <v>550</v>
      </c>
      <c r="H1550" s="46" t="s">
        <v>2800</v>
      </c>
      <c r="I1550" s="45" t="s">
        <v>125</v>
      </c>
      <c r="J1550" s="46" t="s">
        <v>127</v>
      </c>
      <c r="K1550" s="46" t="s">
        <v>127</v>
      </c>
      <c r="L1550" s="46" t="s">
        <v>15</v>
      </c>
      <c r="M1550" s="46" t="s">
        <v>10</v>
      </c>
      <c r="N1550" s="46" t="s">
        <v>11</v>
      </c>
      <c r="O1550" s="49" t="s">
        <v>815</v>
      </c>
      <c r="P1550" s="46" t="s">
        <v>507</v>
      </c>
      <c r="Q1550" s="35" t="str">
        <f>MID(Tabla1[[#This Row],[Aplicación]],14,1)</f>
        <v>2</v>
      </c>
      <c r="R1550" s="35" t="s">
        <v>495</v>
      </c>
      <c r="S1550" s="35" t="str">
        <f>MID(Tabla1[[#This Row],[Aplicación]],6,2)</f>
        <v>08</v>
      </c>
      <c r="T1550" s="35" t="str">
        <f>VLOOKUP(Tabla1[[#This Row],[AREA]],Hoja1!A:B,2,FALSE)</f>
        <v>08. Movilidad y espacio urbano</v>
      </c>
      <c r="U1550" s="35" t="str">
        <f>MID(Tabla1[[#This Row],[Aplicación]],9,4)</f>
        <v>1532</v>
      </c>
      <c r="V1550" s="35" t="str">
        <f>VLOOKUP(Tabla1[[#This Row],[PROGRAMA]],Hoja1!A:B,2,FALSE)</f>
        <v>1532. Pavimentación vias públicas y otros servicios urbanísticos</v>
      </c>
      <c r="W1550" s="35" t="str">
        <f>MID(Tabla1[[#This Row],[Aplicación]],14,2)</f>
        <v>20</v>
      </c>
      <c r="X1550" s="35" t="str">
        <f>MID(Tabla1[[#This Row],[Aplicación]],14,6)</f>
        <v>204</v>
      </c>
    </row>
    <row r="1551" spans="1:24" x14ac:dyDescent="0.25">
      <c r="A1551" s="45">
        <v>220210002382</v>
      </c>
      <c r="B1551" s="46" t="s">
        <v>9</v>
      </c>
      <c r="C1551" s="47">
        <v>44235</v>
      </c>
      <c r="D1551" s="45">
        <v>22021002292</v>
      </c>
      <c r="E1551" s="46" t="s">
        <v>930</v>
      </c>
      <c r="F1551" s="48">
        <v>3630</v>
      </c>
      <c r="G1551" s="46" t="s">
        <v>550</v>
      </c>
      <c r="H1551" s="46" t="s">
        <v>2800</v>
      </c>
      <c r="I1551" s="45" t="s">
        <v>125</v>
      </c>
      <c r="J1551" s="46" t="s">
        <v>127</v>
      </c>
      <c r="K1551" s="46" t="s">
        <v>127</v>
      </c>
      <c r="L1551" s="46" t="s">
        <v>15</v>
      </c>
      <c r="M1551" s="46" t="s">
        <v>10</v>
      </c>
      <c r="N1551" s="46" t="s">
        <v>11</v>
      </c>
      <c r="O1551" s="49" t="s">
        <v>815</v>
      </c>
      <c r="P1551" s="46" t="s">
        <v>507</v>
      </c>
      <c r="Q1551" s="35" t="str">
        <f>MID(Tabla1[[#This Row],[Aplicación]],14,1)</f>
        <v>2</v>
      </c>
      <c r="R1551" s="35" t="s">
        <v>495</v>
      </c>
      <c r="S1551" s="35" t="str">
        <f>MID(Tabla1[[#This Row],[Aplicación]],6,2)</f>
        <v>08</v>
      </c>
      <c r="T1551" s="35" t="str">
        <f>VLOOKUP(Tabla1[[#This Row],[AREA]],Hoja1!A:B,2,FALSE)</f>
        <v>08. Movilidad y espacio urbano</v>
      </c>
      <c r="U1551" s="35" t="str">
        <f>MID(Tabla1[[#This Row],[Aplicación]],9,4)</f>
        <v>1532</v>
      </c>
      <c r="V1551" s="35" t="str">
        <f>VLOOKUP(Tabla1[[#This Row],[PROGRAMA]],Hoja1!A:B,2,FALSE)</f>
        <v>1532. Pavimentación vias públicas y otros servicios urbanísticos</v>
      </c>
      <c r="W1551" s="35" t="str">
        <f>MID(Tabla1[[#This Row],[Aplicación]],14,2)</f>
        <v>20</v>
      </c>
      <c r="X1551" s="35" t="str">
        <f>MID(Tabla1[[#This Row],[Aplicación]],14,6)</f>
        <v>203</v>
      </c>
    </row>
    <row r="1552" spans="1:24" x14ac:dyDescent="0.25">
      <c r="A1552" s="45">
        <v>220210005190</v>
      </c>
      <c r="B1552" s="46" t="s">
        <v>9</v>
      </c>
      <c r="C1552" s="47">
        <v>44246</v>
      </c>
      <c r="D1552" s="45">
        <v>22021002649</v>
      </c>
      <c r="E1552" s="46" t="s">
        <v>2801</v>
      </c>
      <c r="F1552" s="48">
        <v>3720.75</v>
      </c>
      <c r="G1552" s="46" t="s">
        <v>251</v>
      </c>
      <c r="H1552" s="46" t="s">
        <v>2802</v>
      </c>
      <c r="I1552" s="45" t="s">
        <v>125</v>
      </c>
      <c r="J1552" s="46" t="s">
        <v>127</v>
      </c>
      <c r="K1552" s="46" t="s">
        <v>127</v>
      </c>
      <c r="L1552" s="46" t="s">
        <v>15</v>
      </c>
      <c r="M1552" s="46" t="s">
        <v>10</v>
      </c>
      <c r="N1552" s="46" t="s">
        <v>11</v>
      </c>
      <c r="O1552" s="49" t="s">
        <v>815</v>
      </c>
      <c r="P1552" s="46" t="s">
        <v>507</v>
      </c>
      <c r="Q1552" s="35" t="str">
        <f>MID(Tabla1[[#This Row],[Aplicación]],14,1)</f>
        <v>2</v>
      </c>
      <c r="R1552" s="35" t="s">
        <v>495</v>
      </c>
      <c r="S1552" s="35" t="str">
        <f>MID(Tabla1[[#This Row],[Aplicación]],6,2)</f>
        <v>05</v>
      </c>
      <c r="T1552" s="35" t="str">
        <f>VLOOKUP(Tabla1[[#This Row],[AREA]],Hoja1!A:B,2,FALSE)</f>
        <v>05. Innovación, desarrollo económico, empleo y comercio</v>
      </c>
      <c r="U1552" s="35" t="str">
        <f>MID(Tabla1[[#This Row],[Aplicación]],9,4)</f>
        <v>4314</v>
      </c>
      <c r="V1552" s="35" t="str">
        <f>VLOOKUP(Tabla1[[#This Row],[PROGRAMA]],Hoja1!A:B,2,FALSE)</f>
        <v>4314. Fomento del comercio</v>
      </c>
      <c r="W1552" s="35" t="str">
        <f>MID(Tabla1[[#This Row],[Aplicación]],14,2)</f>
        <v>22</v>
      </c>
      <c r="X1552" s="35" t="str">
        <f>MID(Tabla1[[#This Row],[Aplicación]],14,6)</f>
        <v>22799</v>
      </c>
    </row>
    <row r="1553" spans="1:24" x14ac:dyDescent="0.25">
      <c r="A1553" s="45">
        <v>220210003633</v>
      </c>
      <c r="B1553" s="46" t="s">
        <v>9</v>
      </c>
      <c r="C1553" s="47">
        <v>44243</v>
      </c>
      <c r="D1553" s="45">
        <v>22021002234</v>
      </c>
      <c r="E1553" s="46" t="s">
        <v>2803</v>
      </c>
      <c r="F1553" s="48">
        <v>3746.16</v>
      </c>
      <c r="G1553" s="46" t="s">
        <v>2804</v>
      </c>
      <c r="H1553" s="46" t="s">
        <v>2805</v>
      </c>
      <c r="I1553" s="45" t="s">
        <v>125</v>
      </c>
      <c r="J1553" s="46" t="s">
        <v>127</v>
      </c>
      <c r="K1553" s="46" t="s">
        <v>127</v>
      </c>
      <c r="L1553" s="46" t="s">
        <v>12</v>
      </c>
      <c r="M1553" s="46" t="s">
        <v>10</v>
      </c>
      <c r="N1553" s="46" t="s">
        <v>11</v>
      </c>
      <c r="O1553" s="49" t="s">
        <v>815</v>
      </c>
      <c r="P1553" s="46" t="s">
        <v>507</v>
      </c>
      <c r="Q1553" s="35" t="str">
        <f>MID(Tabla1[[#This Row],[Aplicación]],14,1)</f>
        <v>2</v>
      </c>
      <c r="R1553" s="35" t="s">
        <v>495</v>
      </c>
      <c r="S1553" s="35" t="str">
        <f>MID(Tabla1[[#This Row],[Aplicación]],6,2)</f>
        <v>06</v>
      </c>
      <c r="T1553" s="35" t="str">
        <f>VLOOKUP(Tabla1[[#This Row],[AREA]],Hoja1!A:B,2,FALSE)</f>
        <v>06. Educación, infancia, juventud e igualdad</v>
      </c>
      <c r="U1553" s="35" t="str">
        <f>MID(Tabla1[[#This Row],[Aplicación]],9,4)</f>
        <v>2314</v>
      </c>
      <c r="V1553" s="35" t="str">
        <f>VLOOKUP(Tabla1[[#This Row],[PROGRAMA]],Hoja1!A:B,2,FALSE)</f>
        <v>2314. Centro de programas juveniles</v>
      </c>
      <c r="W1553" s="35" t="str">
        <f>MID(Tabla1[[#This Row],[Aplicación]],14,2)</f>
        <v>22</v>
      </c>
      <c r="X1553" s="35" t="str">
        <f>MID(Tabla1[[#This Row],[Aplicación]],14,6)</f>
        <v>22602</v>
      </c>
    </row>
    <row r="1554" spans="1:24" x14ac:dyDescent="0.25">
      <c r="A1554" s="45">
        <v>220210007122</v>
      </c>
      <c r="B1554" s="46" t="s">
        <v>9</v>
      </c>
      <c r="C1554" s="47">
        <v>44260</v>
      </c>
      <c r="D1554" s="45">
        <v>22021003188</v>
      </c>
      <c r="E1554" s="46" t="s">
        <v>2806</v>
      </c>
      <c r="F1554" s="48">
        <v>4000</v>
      </c>
      <c r="G1554" s="46" t="s">
        <v>267</v>
      </c>
      <c r="H1554" s="46" t="s">
        <v>2807</v>
      </c>
      <c r="I1554" s="45" t="s">
        <v>125</v>
      </c>
      <c r="J1554" s="46" t="s">
        <v>633</v>
      </c>
      <c r="K1554" s="46" t="s">
        <v>127</v>
      </c>
      <c r="L1554" s="46" t="s">
        <v>15</v>
      </c>
      <c r="M1554" s="46" t="s">
        <v>10</v>
      </c>
      <c r="N1554" s="46" t="s">
        <v>11</v>
      </c>
      <c r="O1554" s="49" t="s">
        <v>815</v>
      </c>
      <c r="P1554" s="46" t="s">
        <v>507</v>
      </c>
      <c r="Q1554" s="35" t="str">
        <f>MID(Tabla1[[#This Row],[Aplicación]],14,1)</f>
        <v>2</v>
      </c>
      <c r="R1554" s="35" t="s">
        <v>495</v>
      </c>
      <c r="S1554" s="35" t="str">
        <f>MID(Tabla1[[#This Row],[Aplicación]],6,2)</f>
        <v>07</v>
      </c>
      <c r="T1554" s="35" t="str">
        <f>VLOOKUP(Tabla1[[#This Row],[AREA]],Hoja1!A:B,2,FALSE)</f>
        <v>07. Medio ambiente y desarrollo sostenible</v>
      </c>
      <c r="U1554" s="35" t="str">
        <f>MID(Tabla1[[#This Row],[Aplicación]],9,4)</f>
        <v>1711</v>
      </c>
      <c r="V1554" s="35" t="str">
        <f>VLOOKUP(Tabla1[[#This Row],[PROGRAMA]],Hoja1!A:B,2,FALSE)</f>
        <v>1711. Parques y jardines</v>
      </c>
      <c r="W1554" s="35" t="str">
        <f>MID(Tabla1[[#This Row],[Aplicación]],14,2)</f>
        <v>20</v>
      </c>
      <c r="X1554" s="35" t="str">
        <f>MID(Tabla1[[#This Row],[Aplicación]],14,6)</f>
        <v>203</v>
      </c>
    </row>
    <row r="1555" spans="1:24" x14ac:dyDescent="0.25">
      <c r="A1555" s="45">
        <v>220210002884</v>
      </c>
      <c r="B1555" s="46" t="s">
        <v>9</v>
      </c>
      <c r="C1555" s="47">
        <v>44238</v>
      </c>
      <c r="D1555" s="45">
        <v>22021002119</v>
      </c>
      <c r="E1555" s="46" t="s">
        <v>1378</v>
      </c>
      <c r="F1555" s="48">
        <v>3781.25</v>
      </c>
      <c r="G1555" s="46" t="s">
        <v>261</v>
      </c>
      <c r="H1555" s="46" t="s">
        <v>2808</v>
      </c>
      <c r="I1555" s="45" t="s">
        <v>125</v>
      </c>
      <c r="J1555" s="46" t="s">
        <v>127</v>
      </c>
      <c r="K1555" s="46" t="s">
        <v>127</v>
      </c>
      <c r="L1555" s="46" t="s">
        <v>15</v>
      </c>
      <c r="M1555" s="46" t="s">
        <v>10</v>
      </c>
      <c r="N1555" s="46" t="s">
        <v>11</v>
      </c>
      <c r="O1555" s="49" t="s">
        <v>815</v>
      </c>
      <c r="P1555" s="46" t="s">
        <v>507</v>
      </c>
      <c r="Q1555" s="35" t="str">
        <f>MID(Tabla1[[#This Row],[Aplicación]],14,1)</f>
        <v>2</v>
      </c>
      <c r="R1555" s="35" t="s">
        <v>495</v>
      </c>
      <c r="S1555" s="35" t="str">
        <f>MID(Tabla1[[#This Row],[Aplicación]],6,2)</f>
        <v>01</v>
      </c>
      <c r="T1555" s="35" t="str">
        <f>VLOOKUP(Tabla1[[#This Row],[AREA]],Hoja1!A:B,2,FALSE)</f>
        <v>01. Alcaldía</v>
      </c>
      <c r="U1555" s="35" t="str">
        <f>MID(Tabla1[[#This Row],[Aplicación]],9,4)</f>
        <v>9205</v>
      </c>
      <c r="V1555" s="35" t="str">
        <f>VLOOKUP(Tabla1[[#This Row],[PROGRAMA]],Hoja1!A:B,2,FALSE)</f>
        <v>9205. Imprenta municipal</v>
      </c>
      <c r="W1555" s="35" t="str">
        <f>MID(Tabla1[[#This Row],[Aplicación]],14,2)</f>
        <v>22</v>
      </c>
      <c r="X1555" s="35" t="str">
        <f>MID(Tabla1[[#This Row],[Aplicación]],14,6)</f>
        <v>22199</v>
      </c>
    </row>
    <row r="1556" spans="1:24" x14ac:dyDescent="0.25">
      <c r="A1556" s="45">
        <v>220210002446</v>
      </c>
      <c r="B1556" s="46" t="s">
        <v>32</v>
      </c>
      <c r="C1556" s="47">
        <v>44235</v>
      </c>
      <c r="D1556" s="45">
        <v>22021002188</v>
      </c>
      <c r="E1556" s="46" t="s">
        <v>1388</v>
      </c>
      <c r="F1556" s="48">
        <v>3850.7</v>
      </c>
      <c r="G1556" s="46" t="s">
        <v>268</v>
      </c>
      <c r="H1556" s="46" t="s">
        <v>2809</v>
      </c>
      <c r="I1556" s="45" t="s">
        <v>234</v>
      </c>
      <c r="J1556" s="46" t="s">
        <v>127</v>
      </c>
      <c r="K1556" s="46" t="s">
        <v>127</v>
      </c>
      <c r="L1556" s="46" t="s">
        <v>15</v>
      </c>
      <c r="M1556" s="46" t="s">
        <v>10</v>
      </c>
      <c r="N1556" s="46" t="s">
        <v>11</v>
      </c>
      <c r="O1556" s="49" t="s">
        <v>815</v>
      </c>
      <c r="P1556" s="46" t="s">
        <v>507</v>
      </c>
      <c r="Q1556" s="35" t="str">
        <f>MID(Tabla1[[#This Row],[Aplicación]],14,1)</f>
        <v>2</v>
      </c>
      <c r="R1556" s="35" t="s">
        <v>495</v>
      </c>
      <c r="S1556" s="35" t="str">
        <f>MID(Tabla1[[#This Row],[Aplicación]],6,2)</f>
        <v>11</v>
      </c>
      <c r="T1556" s="35" t="str">
        <f>VLOOKUP(Tabla1[[#This Row],[AREA]],Hoja1!A:B,2,FALSE)</f>
        <v>11. Salud pública y seguridad ciudadana</v>
      </c>
      <c r="U1556" s="35" t="str">
        <f>MID(Tabla1[[#This Row],[Aplicación]],9,4)</f>
        <v>1321</v>
      </c>
      <c r="V1556" s="35" t="str">
        <f>VLOOKUP(Tabla1[[#This Row],[PROGRAMA]],Hoja1!A:B,2,FALSE)</f>
        <v>1321. Policía municipal</v>
      </c>
      <c r="W1556" s="35" t="str">
        <f>MID(Tabla1[[#This Row],[Aplicación]],14,2)</f>
        <v>22</v>
      </c>
      <c r="X1556" s="35" t="str">
        <f>MID(Tabla1[[#This Row],[Aplicación]],14,6)</f>
        <v>22199</v>
      </c>
    </row>
    <row r="1557" spans="1:24" x14ac:dyDescent="0.25">
      <c r="A1557" s="45">
        <v>220210007125</v>
      </c>
      <c r="B1557" s="46" t="s">
        <v>9</v>
      </c>
      <c r="C1557" s="47">
        <v>44260</v>
      </c>
      <c r="D1557" s="45">
        <v>22021003200</v>
      </c>
      <c r="E1557" s="46" t="s">
        <v>982</v>
      </c>
      <c r="F1557" s="48">
        <v>273.45999999999998</v>
      </c>
      <c r="G1557" s="46" t="s">
        <v>59</v>
      </c>
      <c r="H1557" s="46" t="s">
        <v>2810</v>
      </c>
      <c r="I1557" s="45" t="s">
        <v>125</v>
      </c>
      <c r="J1557" s="46" t="s">
        <v>127</v>
      </c>
      <c r="K1557" s="46" t="s">
        <v>127</v>
      </c>
      <c r="L1557" s="46" t="s">
        <v>15</v>
      </c>
      <c r="M1557" s="46" t="s">
        <v>10</v>
      </c>
      <c r="N1557" s="46" t="s">
        <v>11</v>
      </c>
      <c r="O1557" s="49" t="s">
        <v>815</v>
      </c>
      <c r="P1557" s="46" t="s">
        <v>507</v>
      </c>
      <c r="Q1557" s="35" t="str">
        <f>MID(Tabla1[[#This Row],[Aplicación]],14,1)</f>
        <v>2</v>
      </c>
      <c r="R1557" s="35" t="s">
        <v>495</v>
      </c>
      <c r="S1557" s="35" t="str">
        <f>MID(Tabla1[[#This Row],[Aplicación]],6,2)</f>
        <v>10</v>
      </c>
      <c r="T1557" s="35" t="str">
        <f>VLOOKUP(Tabla1[[#This Row],[AREA]],Hoja1!A:B,2,FALSE)</f>
        <v>10. Servicios sociales y mediación comunitaria</v>
      </c>
      <c r="U1557" s="35" t="str">
        <f>MID(Tabla1[[#This Row],[Aplicación]],9,4)</f>
        <v>2312</v>
      </c>
      <c r="V1557" s="35" t="str">
        <f>VLOOKUP(Tabla1[[#This Row],[PROGRAMA]],Hoja1!A:B,2,FALSE)</f>
        <v>2312. Iniciativas sociales</v>
      </c>
      <c r="W1557" s="35" t="str">
        <f>MID(Tabla1[[#This Row],[Aplicación]],14,2)</f>
        <v>21</v>
      </c>
      <c r="X1557" s="35" t="str">
        <f>MID(Tabla1[[#This Row],[Aplicación]],14,6)</f>
        <v>213</v>
      </c>
    </row>
    <row r="1558" spans="1:24" x14ac:dyDescent="0.25">
      <c r="A1558" s="45">
        <v>220209000815</v>
      </c>
      <c r="B1558" s="46" t="s">
        <v>9</v>
      </c>
      <c r="C1558" s="47">
        <v>44198</v>
      </c>
      <c r="D1558" s="45">
        <v>22021000753</v>
      </c>
      <c r="E1558" s="46" t="s">
        <v>869</v>
      </c>
      <c r="F1558" s="48">
        <v>3872</v>
      </c>
      <c r="G1558" s="46" t="s">
        <v>2811</v>
      </c>
      <c r="H1558" s="46" t="s">
        <v>2812</v>
      </c>
      <c r="I1558" s="45" t="s">
        <v>125</v>
      </c>
      <c r="J1558" s="46" t="s">
        <v>126</v>
      </c>
      <c r="K1558" s="46" t="s">
        <v>126</v>
      </c>
      <c r="L1558" s="46" t="s">
        <v>12</v>
      </c>
      <c r="M1558" s="46" t="s">
        <v>13</v>
      </c>
      <c r="N1558" s="46" t="s">
        <v>14</v>
      </c>
      <c r="O1558" s="49" t="s">
        <v>803</v>
      </c>
      <c r="P1558" s="46" t="s">
        <v>507</v>
      </c>
      <c r="Q1558" s="35" t="str">
        <f>MID(Tabla1[[#This Row],[Aplicación]],14,1)</f>
        <v>2</v>
      </c>
      <c r="R1558" s="35" t="s">
        <v>495</v>
      </c>
      <c r="S1558" s="35" t="str">
        <f>MID(Tabla1[[#This Row],[Aplicación]],6,2)</f>
        <v>07</v>
      </c>
      <c r="T1558" s="35" t="str">
        <f>VLOOKUP(Tabla1[[#This Row],[AREA]],Hoja1!A:B,2,FALSE)</f>
        <v>07. Medio ambiente y desarrollo sostenible</v>
      </c>
      <c r="U1558" s="35" t="str">
        <f>MID(Tabla1[[#This Row],[Aplicación]],9,4)</f>
        <v>1721</v>
      </c>
      <c r="V1558" s="35" t="str">
        <f>VLOOKUP(Tabla1[[#This Row],[PROGRAMA]],Hoja1!A:B,2,FALSE)</f>
        <v>1721. Protección del medio ambiente</v>
      </c>
      <c r="W1558" s="35" t="str">
        <f>MID(Tabla1[[#This Row],[Aplicación]],14,2)</f>
        <v>21</v>
      </c>
      <c r="X1558" s="35" t="str">
        <f>MID(Tabla1[[#This Row],[Aplicación]],14,6)</f>
        <v>213</v>
      </c>
    </row>
    <row r="1559" spans="1:24" x14ac:dyDescent="0.25">
      <c r="A1559" s="45">
        <v>220210010508</v>
      </c>
      <c r="B1559" s="46" t="s">
        <v>9</v>
      </c>
      <c r="C1559" s="47">
        <v>44277</v>
      </c>
      <c r="D1559" s="45">
        <v>22021002704</v>
      </c>
      <c r="E1559" s="46" t="s">
        <v>2813</v>
      </c>
      <c r="F1559" s="48">
        <v>3960</v>
      </c>
      <c r="G1559" s="46" t="s">
        <v>97</v>
      </c>
      <c r="H1559" s="46" t="s">
        <v>2814</v>
      </c>
      <c r="I1559" s="45" t="s">
        <v>125</v>
      </c>
      <c r="J1559" s="46" t="s">
        <v>127</v>
      </c>
      <c r="K1559" s="46" t="s">
        <v>127</v>
      </c>
      <c r="L1559" s="46" t="s">
        <v>12</v>
      </c>
      <c r="M1559" s="46" t="s">
        <v>10</v>
      </c>
      <c r="N1559" s="46" t="s">
        <v>11</v>
      </c>
      <c r="O1559" s="49" t="s">
        <v>815</v>
      </c>
      <c r="P1559" s="46" t="s">
        <v>507</v>
      </c>
      <c r="Q1559" s="35" t="str">
        <f>MID(Tabla1[[#This Row],[Aplicación]],14,1)</f>
        <v>2</v>
      </c>
      <c r="R1559" s="35" t="s">
        <v>495</v>
      </c>
      <c r="S1559" s="35" t="str">
        <f>MID(Tabla1[[#This Row],[Aplicación]],6,2)</f>
        <v>01</v>
      </c>
      <c r="T1559" s="35" t="str">
        <f>VLOOKUP(Tabla1[[#This Row],[AREA]],Hoja1!A:B,2,FALSE)</f>
        <v>01. Alcaldía</v>
      </c>
      <c r="U1559" s="35" t="str">
        <f>MID(Tabla1[[#This Row],[Aplicación]],9,4)</f>
        <v>9203</v>
      </c>
      <c r="V1559" s="35" t="str">
        <f>VLOOKUP(Tabla1[[#This Row],[PROGRAMA]],Hoja1!A:B,2,FALSE)</f>
        <v>9203. Unidad de régimen interior</v>
      </c>
      <c r="W1559" s="35" t="str">
        <f>MID(Tabla1[[#This Row],[Aplicación]],14,2)</f>
        <v>22</v>
      </c>
      <c r="X1559" s="35" t="str">
        <f>MID(Tabla1[[#This Row],[Aplicación]],14,6)</f>
        <v>22799</v>
      </c>
    </row>
    <row r="1560" spans="1:24" x14ac:dyDescent="0.25">
      <c r="A1560" s="45">
        <v>220210002878</v>
      </c>
      <c r="B1560" s="46" t="s">
        <v>9</v>
      </c>
      <c r="C1560" s="47">
        <v>44238</v>
      </c>
      <c r="D1560" s="45">
        <v>22021002482</v>
      </c>
      <c r="E1560" s="46" t="s">
        <v>2815</v>
      </c>
      <c r="F1560" s="48">
        <v>3984.45</v>
      </c>
      <c r="G1560" s="46" t="s">
        <v>776</v>
      </c>
      <c r="H1560" s="46" t="s">
        <v>2816</v>
      </c>
      <c r="I1560" s="45" t="s">
        <v>125</v>
      </c>
      <c r="J1560" s="46" t="s">
        <v>777</v>
      </c>
      <c r="K1560" s="46" t="s">
        <v>127</v>
      </c>
      <c r="L1560" s="46" t="s">
        <v>12</v>
      </c>
      <c r="M1560" s="46" t="s">
        <v>10</v>
      </c>
      <c r="N1560" s="46" t="s">
        <v>11</v>
      </c>
      <c r="O1560" s="49" t="s">
        <v>815</v>
      </c>
      <c r="P1560" s="46" t="s">
        <v>507</v>
      </c>
      <c r="Q1560" s="35" t="str">
        <f>MID(Tabla1[[#This Row],[Aplicación]],14,1)</f>
        <v>2</v>
      </c>
      <c r="R1560" s="35" t="s">
        <v>495</v>
      </c>
      <c r="S1560" s="35" t="str">
        <f>MID(Tabla1[[#This Row],[Aplicación]],6,2)</f>
        <v>08</v>
      </c>
      <c r="T1560" s="35" t="str">
        <f>VLOOKUP(Tabla1[[#This Row],[AREA]],Hoja1!A:B,2,FALSE)</f>
        <v>08. Movilidad y espacio urbano</v>
      </c>
      <c r="U1560" s="35" t="str">
        <f>MID(Tabla1[[#This Row],[Aplicación]],9,4)</f>
        <v>1301</v>
      </c>
      <c r="V1560" s="35" t="str">
        <f>VLOOKUP(Tabla1[[#This Row],[PROGRAMA]],Hoja1!A:B,2,FALSE)</f>
        <v>1301. Dirección del área de seguridad</v>
      </c>
      <c r="W1560" s="35" t="str">
        <f>MID(Tabla1[[#This Row],[Aplicación]],14,2)</f>
        <v>22</v>
      </c>
      <c r="X1560" s="35" t="str">
        <f>MID(Tabla1[[#This Row],[Aplicación]],14,6)</f>
        <v>22706</v>
      </c>
    </row>
    <row r="1561" spans="1:24" x14ac:dyDescent="0.25">
      <c r="A1561" s="45">
        <v>220209000703</v>
      </c>
      <c r="B1561" s="46" t="s">
        <v>9</v>
      </c>
      <c r="C1561" s="47">
        <v>44198</v>
      </c>
      <c r="D1561" s="45">
        <v>22021000444</v>
      </c>
      <c r="E1561" s="46" t="s">
        <v>1247</v>
      </c>
      <c r="F1561" s="48">
        <v>4000</v>
      </c>
      <c r="G1561" s="46" t="s">
        <v>56</v>
      </c>
      <c r="H1561" s="46" t="s">
        <v>2817</v>
      </c>
      <c r="I1561" s="45" t="s">
        <v>125</v>
      </c>
      <c r="J1561" s="46" t="s">
        <v>127</v>
      </c>
      <c r="K1561" s="46" t="s">
        <v>127</v>
      </c>
      <c r="L1561" s="46" t="s">
        <v>12</v>
      </c>
      <c r="M1561" s="46" t="s">
        <v>13</v>
      </c>
      <c r="N1561" s="46" t="s">
        <v>14</v>
      </c>
      <c r="O1561" s="49" t="s">
        <v>803</v>
      </c>
      <c r="P1561" s="46" t="s">
        <v>507</v>
      </c>
      <c r="Q1561" s="35" t="str">
        <f>MID(Tabla1[[#This Row],[Aplicación]],14,1)</f>
        <v>2</v>
      </c>
      <c r="R1561" s="35" t="s">
        <v>495</v>
      </c>
      <c r="S1561" s="35" t="str">
        <f>MID(Tabla1[[#This Row],[Aplicación]],6,2)</f>
        <v>10</v>
      </c>
      <c r="T1561" s="35" t="str">
        <f>VLOOKUP(Tabla1[[#This Row],[AREA]],Hoja1!A:B,2,FALSE)</f>
        <v>10. Servicios sociales y mediación comunitaria</v>
      </c>
      <c r="U1561" s="35" t="str">
        <f>MID(Tabla1[[#This Row],[Aplicación]],9,4)</f>
        <v>2311</v>
      </c>
      <c r="V1561" s="35" t="str">
        <f>VLOOKUP(Tabla1[[#This Row],[PROGRAMA]],Hoja1!A:B,2,FALSE)</f>
        <v>2311. Intervención social</v>
      </c>
      <c r="W1561" s="35" t="str">
        <f>MID(Tabla1[[#This Row],[Aplicación]],14,2)</f>
        <v>22</v>
      </c>
      <c r="X1561" s="35" t="str">
        <f>MID(Tabla1[[#This Row],[Aplicación]],14,6)</f>
        <v>22799</v>
      </c>
    </row>
    <row r="1562" spans="1:24" x14ac:dyDescent="0.25">
      <c r="A1562" s="45">
        <v>220209000534</v>
      </c>
      <c r="B1562" s="46" t="s">
        <v>9</v>
      </c>
      <c r="C1562" s="47">
        <v>44198</v>
      </c>
      <c r="D1562" s="45">
        <v>22021000569</v>
      </c>
      <c r="E1562" s="46" t="s">
        <v>1932</v>
      </c>
      <c r="F1562" s="48">
        <v>4000</v>
      </c>
      <c r="G1562" s="46" t="s">
        <v>39</v>
      </c>
      <c r="H1562" s="46" t="s">
        <v>1933</v>
      </c>
      <c r="I1562" s="45" t="s">
        <v>125</v>
      </c>
      <c r="J1562" s="46" t="s">
        <v>126</v>
      </c>
      <c r="K1562" s="46" t="s">
        <v>126</v>
      </c>
      <c r="L1562" s="46" t="s">
        <v>15</v>
      </c>
      <c r="M1562" s="46" t="s">
        <v>13</v>
      </c>
      <c r="N1562" s="46" t="s">
        <v>14</v>
      </c>
      <c r="O1562" s="49" t="s">
        <v>803</v>
      </c>
      <c r="P1562" s="46" t="s">
        <v>507</v>
      </c>
      <c r="Q1562" s="35" t="str">
        <f>MID(Tabla1[[#This Row],[Aplicación]],14,1)</f>
        <v>2</v>
      </c>
      <c r="R1562" s="35" t="s">
        <v>495</v>
      </c>
      <c r="S1562" s="35" t="str">
        <f>MID(Tabla1[[#This Row],[Aplicación]],6,2)</f>
        <v>10</v>
      </c>
      <c r="T1562" s="35" t="str">
        <f>VLOOKUP(Tabla1[[#This Row],[AREA]],Hoja1!A:B,2,FALSE)</f>
        <v>10. Servicios sociales y mediación comunitaria</v>
      </c>
      <c r="U1562" s="35" t="str">
        <f>MID(Tabla1[[#This Row],[Aplicación]],9,4)</f>
        <v>2412</v>
      </c>
      <c r="V1562" s="35" t="str">
        <f>VLOOKUP(Tabla1[[#This Row],[PROGRAMA]],Hoja1!A:B,2,FALSE)</f>
        <v>2412. Formación para el empleo</v>
      </c>
      <c r="W1562" s="35" t="str">
        <f>MID(Tabla1[[#This Row],[Aplicación]],14,2)</f>
        <v>22</v>
      </c>
      <c r="X1562" s="35" t="str">
        <f>MID(Tabla1[[#This Row],[Aplicación]],14,6)</f>
        <v>22103</v>
      </c>
    </row>
    <row r="1563" spans="1:24" x14ac:dyDescent="0.25">
      <c r="A1563" s="45">
        <v>220210007129</v>
      </c>
      <c r="B1563" s="46" t="s">
        <v>9</v>
      </c>
      <c r="C1563" s="47">
        <v>44260</v>
      </c>
      <c r="D1563" s="45">
        <v>22021003218</v>
      </c>
      <c r="E1563" s="46" t="s">
        <v>2611</v>
      </c>
      <c r="F1563" s="48">
        <v>4031.72</v>
      </c>
      <c r="G1563" s="46" t="s">
        <v>2818</v>
      </c>
      <c r="H1563" s="46" t="s">
        <v>2819</v>
      </c>
      <c r="I1563" s="45" t="s">
        <v>125</v>
      </c>
      <c r="J1563" s="46" t="s">
        <v>778</v>
      </c>
      <c r="K1563" s="46" t="s">
        <v>126</v>
      </c>
      <c r="L1563" s="46" t="s">
        <v>12</v>
      </c>
      <c r="M1563" s="46" t="s">
        <v>10</v>
      </c>
      <c r="N1563" s="46" t="s">
        <v>11</v>
      </c>
      <c r="O1563" s="49" t="s">
        <v>815</v>
      </c>
      <c r="P1563" s="46" t="s">
        <v>507</v>
      </c>
      <c r="Q1563" s="35" t="str">
        <f>MID(Tabla1[[#This Row],[Aplicación]],14,1)</f>
        <v>2</v>
      </c>
      <c r="R1563" s="35" t="s">
        <v>495</v>
      </c>
      <c r="S1563" s="35" t="str">
        <f>MID(Tabla1[[#This Row],[Aplicación]],6,2)</f>
        <v>11</v>
      </c>
      <c r="T1563" s="35" t="str">
        <f>VLOOKUP(Tabla1[[#This Row],[AREA]],Hoja1!A:B,2,FALSE)</f>
        <v>11. Salud pública y seguridad ciudadana</v>
      </c>
      <c r="U1563" s="35" t="str">
        <f>MID(Tabla1[[#This Row],[Aplicación]],9,4)</f>
        <v>1621</v>
      </c>
      <c r="V1563" s="35" t="str">
        <f>VLOOKUP(Tabla1[[#This Row],[PROGRAMA]],Hoja1!A:B,2,FALSE)</f>
        <v>1621. Servicio de limpieza</v>
      </c>
      <c r="W1563" s="35" t="str">
        <f>MID(Tabla1[[#This Row],[Aplicación]],14,2)</f>
        <v>22</v>
      </c>
      <c r="X1563" s="35" t="str">
        <f>MID(Tabla1[[#This Row],[Aplicación]],14,6)</f>
        <v>22706</v>
      </c>
    </row>
    <row r="1564" spans="1:24" x14ac:dyDescent="0.25">
      <c r="A1564" s="45">
        <v>220210007133</v>
      </c>
      <c r="B1564" s="46" t="s">
        <v>9</v>
      </c>
      <c r="C1564" s="47">
        <v>44260</v>
      </c>
      <c r="D1564" s="45">
        <v>22021003235</v>
      </c>
      <c r="E1564" s="46" t="s">
        <v>921</v>
      </c>
      <c r="F1564" s="48">
        <v>1064.8</v>
      </c>
      <c r="G1564" s="46" t="s">
        <v>50</v>
      </c>
      <c r="H1564" s="46" t="s">
        <v>2820</v>
      </c>
      <c r="I1564" s="45" t="s">
        <v>125</v>
      </c>
      <c r="J1564" s="46" t="s">
        <v>127</v>
      </c>
      <c r="K1564" s="46" t="s">
        <v>127</v>
      </c>
      <c r="L1564" s="46" t="s">
        <v>12</v>
      </c>
      <c r="M1564" s="46" t="s">
        <v>10</v>
      </c>
      <c r="N1564" s="46" t="s">
        <v>11</v>
      </c>
      <c r="O1564" s="49" t="s">
        <v>815</v>
      </c>
      <c r="P1564" s="46" t="s">
        <v>507</v>
      </c>
      <c r="Q1564" s="35" t="str">
        <f>MID(Tabla1[[#This Row],[Aplicación]],14,1)</f>
        <v>2</v>
      </c>
      <c r="R1564" s="35" t="s">
        <v>495</v>
      </c>
      <c r="S1564" s="35" t="str">
        <f>MID(Tabla1[[#This Row],[Aplicación]],6,2)</f>
        <v>04</v>
      </c>
      <c r="T1564" s="35" t="str">
        <f>VLOOKUP(Tabla1[[#This Row],[AREA]],Hoja1!A:B,2,FALSE)</f>
        <v>04. Planificación y recursos</v>
      </c>
      <c r="U1564" s="35" t="str">
        <f>MID(Tabla1[[#This Row],[Aplicación]],9,4)</f>
        <v>9204</v>
      </c>
      <c r="V1564" s="35" t="str">
        <f>VLOOKUP(Tabla1[[#This Row],[PROGRAMA]],Hoja1!A:B,2,FALSE)</f>
        <v>9204. Tecnologías de la información y comunicación</v>
      </c>
      <c r="W1564" s="35" t="str">
        <f>MID(Tabla1[[#This Row],[Aplicación]],14,2)</f>
        <v>21</v>
      </c>
      <c r="X1564" s="35" t="str">
        <f>MID(Tabla1[[#This Row],[Aplicación]],14,6)</f>
        <v>213</v>
      </c>
    </row>
    <row r="1565" spans="1:24" x14ac:dyDescent="0.25">
      <c r="A1565" s="45">
        <v>220210007138</v>
      </c>
      <c r="B1565" s="46" t="s">
        <v>9</v>
      </c>
      <c r="C1565" s="47">
        <v>44260</v>
      </c>
      <c r="D1565" s="45">
        <v>22021003249</v>
      </c>
      <c r="E1565" s="46" t="s">
        <v>921</v>
      </c>
      <c r="F1565" s="48">
        <v>2008.6</v>
      </c>
      <c r="G1565" s="46" t="s">
        <v>43</v>
      </c>
      <c r="H1565" s="46" t="s">
        <v>2821</v>
      </c>
      <c r="I1565" s="45" t="s">
        <v>125</v>
      </c>
      <c r="J1565" s="46" t="s">
        <v>127</v>
      </c>
      <c r="K1565" s="46" t="s">
        <v>127</v>
      </c>
      <c r="L1565" s="46" t="s">
        <v>12</v>
      </c>
      <c r="M1565" s="46" t="s">
        <v>10</v>
      </c>
      <c r="N1565" s="46" t="s">
        <v>11</v>
      </c>
      <c r="O1565" s="49" t="s">
        <v>815</v>
      </c>
      <c r="P1565" s="46" t="s">
        <v>507</v>
      </c>
      <c r="Q1565" s="35" t="str">
        <f>MID(Tabla1[[#This Row],[Aplicación]],14,1)</f>
        <v>2</v>
      </c>
      <c r="R1565" s="35" t="s">
        <v>495</v>
      </c>
      <c r="S1565" s="35" t="str">
        <f>MID(Tabla1[[#This Row],[Aplicación]],6,2)</f>
        <v>04</v>
      </c>
      <c r="T1565" s="35" t="str">
        <f>VLOOKUP(Tabla1[[#This Row],[AREA]],Hoja1!A:B,2,FALSE)</f>
        <v>04. Planificación y recursos</v>
      </c>
      <c r="U1565" s="35" t="str">
        <f>MID(Tabla1[[#This Row],[Aplicación]],9,4)</f>
        <v>9204</v>
      </c>
      <c r="V1565" s="35" t="str">
        <f>VLOOKUP(Tabla1[[#This Row],[PROGRAMA]],Hoja1!A:B,2,FALSE)</f>
        <v>9204. Tecnologías de la información y comunicación</v>
      </c>
      <c r="W1565" s="35" t="str">
        <f>MID(Tabla1[[#This Row],[Aplicación]],14,2)</f>
        <v>21</v>
      </c>
      <c r="X1565" s="35" t="str">
        <f>MID(Tabla1[[#This Row],[Aplicación]],14,6)</f>
        <v>213</v>
      </c>
    </row>
    <row r="1566" spans="1:24" x14ac:dyDescent="0.25">
      <c r="A1566" s="45">
        <v>220210001364</v>
      </c>
      <c r="B1566" s="46" t="s">
        <v>9</v>
      </c>
      <c r="C1566" s="47">
        <v>44228</v>
      </c>
      <c r="D1566" s="45">
        <v>22021001235</v>
      </c>
      <c r="E1566" s="46" t="s">
        <v>1564</v>
      </c>
      <c r="F1566" s="48">
        <v>1346.13</v>
      </c>
      <c r="G1566" s="46" t="s">
        <v>73</v>
      </c>
      <c r="H1566" s="46" t="s">
        <v>2822</v>
      </c>
      <c r="I1566" s="45" t="s">
        <v>125</v>
      </c>
      <c r="J1566" s="46" t="s">
        <v>127</v>
      </c>
      <c r="K1566" s="46" t="s">
        <v>127</v>
      </c>
      <c r="L1566" s="46" t="s">
        <v>15</v>
      </c>
      <c r="M1566" s="46" t="s">
        <v>13</v>
      </c>
      <c r="N1566" s="46" t="s">
        <v>14</v>
      </c>
      <c r="O1566" s="49" t="s">
        <v>803</v>
      </c>
      <c r="P1566" s="46" t="s">
        <v>507</v>
      </c>
      <c r="Q1566" s="35" t="str">
        <f>MID(Tabla1[[#This Row],[Aplicación]],14,1)</f>
        <v>2</v>
      </c>
      <c r="R1566" s="35" t="s">
        <v>495</v>
      </c>
      <c r="S1566" s="35" t="str">
        <f>MID(Tabla1[[#This Row],[Aplicación]],6,2)</f>
        <v>08</v>
      </c>
      <c r="T1566" s="35" t="str">
        <f>VLOOKUP(Tabla1[[#This Row],[AREA]],Hoja1!A:B,2,FALSE)</f>
        <v>08. Movilidad y espacio urbano</v>
      </c>
      <c r="U1566" s="35" t="str">
        <f>MID(Tabla1[[#This Row],[Aplicación]],9,4)</f>
        <v>1532</v>
      </c>
      <c r="V1566" s="35" t="str">
        <f>VLOOKUP(Tabla1[[#This Row],[PROGRAMA]],Hoja1!A:B,2,FALSE)</f>
        <v>1532. Pavimentación vias públicas y otros servicios urbanísticos</v>
      </c>
      <c r="W1566" s="35" t="str">
        <f>MID(Tabla1[[#This Row],[Aplicación]],14,2)</f>
        <v>22</v>
      </c>
      <c r="X1566" s="35" t="str">
        <f>MID(Tabla1[[#This Row],[Aplicación]],14,6)</f>
        <v>22103</v>
      </c>
    </row>
    <row r="1567" spans="1:24" x14ac:dyDescent="0.25">
      <c r="A1567" s="45">
        <v>220210009598</v>
      </c>
      <c r="B1567" s="46" t="s">
        <v>9</v>
      </c>
      <c r="C1567" s="47">
        <v>44271</v>
      </c>
      <c r="D1567" s="45">
        <v>22021003250</v>
      </c>
      <c r="E1567" s="46" t="s">
        <v>844</v>
      </c>
      <c r="F1567" s="48">
        <v>4103.71</v>
      </c>
      <c r="G1567" s="46" t="s">
        <v>2526</v>
      </c>
      <c r="H1567" s="46" t="s">
        <v>2823</v>
      </c>
      <c r="I1567" s="45" t="s">
        <v>125</v>
      </c>
      <c r="J1567" s="46" t="s">
        <v>127</v>
      </c>
      <c r="K1567" s="46" t="s">
        <v>127</v>
      </c>
      <c r="L1567" s="46" t="s">
        <v>12</v>
      </c>
      <c r="M1567" s="46" t="s">
        <v>10</v>
      </c>
      <c r="N1567" s="46" t="s">
        <v>11</v>
      </c>
      <c r="O1567" s="49" t="s">
        <v>815</v>
      </c>
      <c r="P1567" s="46" t="s">
        <v>507</v>
      </c>
      <c r="Q1567" s="35" t="str">
        <f>MID(Tabla1[[#This Row],[Aplicación]],14,1)</f>
        <v>2</v>
      </c>
      <c r="R1567" s="35" t="s">
        <v>495</v>
      </c>
      <c r="S1567" s="35" t="str">
        <f>MID(Tabla1[[#This Row],[Aplicación]],6,2)</f>
        <v>10</v>
      </c>
      <c r="T1567" s="35" t="str">
        <f>VLOOKUP(Tabla1[[#This Row],[AREA]],Hoja1!A:B,2,FALSE)</f>
        <v>10. Servicios sociales y mediación comunitaria</v>
      </c>
      <c r="U1567" s="35" t="str">
        <f>MID(Tabla1[[#This Row],[Aplicación]],9,4)</f>
        <v>2312</v>
      </c>
      <c r="V1567" s="35" t="str">
        <f>VLOOKUP(Tabla1[[#This Row],[PROGRAMA]],Hoja1!A:B,2,FALSE)</f>
        <v>2312. Iniciativas sociales</v>
      </c>
      <c r="W1567" s="35" t="str">
        <f>MID(Tabla1[[#This Row],[Aplicación]],14,2)</f>
        <v>21</v>
      </c>
      <c r="X1567" s="35" t="str">
        <f>MID(Tabla1[[#This Row],[Aplicación]],14,6)</f>
        <v>212</v>
      </c>
    </row>
    <row r="1568" spans="1:24" x14ac:dyDescent="0.25">
      <c r="A1568" s="45">
        <v>220210007141</v>
      </c>
      <c r="B1568" s="46" t="s">
        <v>9</v>
      </c>
      <c r="C1568" s="47">
        <v>44260</v>
      </c>
      <c r="D1568" s="45">
        <v>22021003224</v>
      </c>
      <c r="E1568" s="46" t="s">
        <v>2824</v>
      </c>
      <c r="F1568" s="48">
        <v>489.48</v>
      </c>
      <c r="G1568" s="46" t="s">
        <v>243</v>
      </c>
      <c r="H1568" s="46" t="s">
        <v>2825</v>
      </c>
      <c r="I1568" s="45" t="s">
        <v>125</v>
      </c>
      <c r="J1568" s="46" t="s">
        <v>650</v>
      </c>
      <c r="K1568" s="46" t="s">
        <v>127</v>
      </c>
      <c r="L1568" s="46" t="s">
        <v>12</v>
      </c>
      <c r="M1568" s="46" t="s">
        <v>10</v>
      </c>
      <c r="N1568" s="46" t="s">
        <v>11</v>
      </c>
      <c r="O1568" s="49" t="s">
        <v>815</v>
      </c>
      <c r="P1568" s="46" t="s">
        <v>507</v>
      </c>
      <c r="Q1568" s="35" t="str">
        <f>MID(Tabla1[[#This Row],[Aplicación]],14,1)</f>
        <v>2</v>
      </c>
      <c r="R1568" s="35" t="s">
        <v>495</v>
      </c>
      <c r="S1568" s="35" t="str">
        <f>MID(Tabla1[[#This Row],[Aplicación]],6,2)</f>
        <v>05</v>
      </c>
      <c r="T1568" s="35" t="str">
        <f>VLOOKUP(Tabla1[[#This Row],[AREA]],Hoja1!A:B,2,FALSE)</f>
        <v>05. Innovación, desarrollo económico, empleo y comercio</v>
      </c>
      <c r="U1568" s="35" t="str">
        <f>MID(Tabla1[[#This Row],[Aplicación]],9,4)</f>
        <v>4331</v>
      </c>
      <c r="V1568" s="35" t="str">
        <f>VLOOKUP(Tabla1[[#This Row],[PROGRAMA]],Hoja1!A:B,2,FALSE)</f>
        <v>4331. Desarrollo empresarial</v>
      </c>
      <c r="W1568" s="35" t="str">
        <f>MID(Tabla1[[#This Row],[Aplicación]],14,2)</f>
        <v>21</v>
      </c>
      <c r="X1568" s="35" t="str">
        <f>MID(Tabla1[[#This Row],[Aplicación]],14,6)</f>
        <v>214</v>
      </c>
    </row>
    <row r="1569" spans="1:24" x14ac:dyDescent="0.25">
      <c r="A1569" s="45">
        <v>220210007142</v>
      </c>
      <c r="B1569" s="46" t="s">
        <v>9</v>
      </c>
      <c r="C1569" s="47">
        <v>44260</v>
      </c>
      <c r="D1569" s="45">
        <v>22021003221</v>
      </c>
      <c r="E1569" s="46" t="s">
        <v>881</v>
      </c>
      <c r="F1569" s="48">
        <v>54.45</v>
      </c>
      <c r="G1569" s="46" t="s">
        <v>249</v>
      </c>
      <c r="H1569" s="46" t="s">
        <v>2826</v>
      </c>
      <c r="I1569" s="45" t="s">
        <v>125</v>
      </c>
      <c r="J1569" s="46" t="s">
        <v>127</v>
      </c>
      <c r="K1569" s="46" t="s">
        <v>127</v>
      </c>
      <c r="L1569" s="46" t="s">
        <v>12</v>
      </c>
      <c r="M1569" s="46" t="s">
        <v>10</v>
      </c>
      <c r="N1569" s="46" t="s">
        <v>11</v>
      </c>
      <c r="O1569" s="49" t="s">
        <v>815</v>
      </c>
      <c r="P1569" s="46" t="s">
        <v>507</v>
      </c>
      <c r="Q1569" s="35" t="str">
        <f>MID(Tabla1[[#This Row],[Aplicación]],14,1)</f>
        <v>2</v>
      </c>
      <c r="R1569" s="35" t="s">
        <v>495</v>
      </c>
      <c r="S1569" s="35" t="str">
        <f>MID(Tabla1[[#This Row],[Aplicación]],6,2)</f>
        <v>05</v>
      </c>
      <c r="T1569" s="35" t="str">
        <f>VLOOKUP(Tabla1[[#This Row],[AREA]],Hoja1!A:B,2,FALSE)</f>
        <v>05. Innovación, desarrollo económico, empleo y comercio</v>
      </c>
      <c r="U1569" s="35" t="str">
        <f>MID(Tabla1[[#This Row],[Aplicación]],9,4)</f>
        <v>4331</v>
      </c>
      <c r="V1569" s="35" t="str">
        <f>VLOOKUP(Tabla1[[#This Row],[PROGRAMA]],Hoja1!A:B,2,FALSE)</f>
        <v>4331. Desarrollo empresarial</v>
      </c>
      <c r="W1569" s="35" t="str">
        <f>MID(Tabla1[[#This Row],[Aplicación]],14,2)</f>
        <v>22</v>
      </c>
      <c r="X1569" s="35" t="str">
        <f>MID(Tabla1[[#This Row],[Aplicación]],14,6)</f>
        <v>22799</v>
      </c>
    </row>
    <row r="1570" spans="1:24" x14ac:dyDescent="0.25">
      <c r="A1570" s="45">
        <v>220210007143</v>
      </c>
      <c r="B1570" s="46" t="s">
        <v>9</v>
      </c>
      <c r="C1570" s="47">
        <v>44260</v>
      </c>
      <c r="D1570" s="45">
        <v>22021003130</v>
      </c>
      <c r="E1570" s="46" t="s">
        <v>1700</v>
      </c>
      <c r="F1570" s="48">
        <v>244.9</v>
      </c>
      <c r="G1570" s="46" t="s">
        <v>75</v>
      </c>
      <c r="H1570" s="46" t="s">
        <v>2827</v>
      </c>
      <c r="I1570" s="45" t="s">
        <v>125</v>
      </c>
      <c r="J1570" s="46" t="s">
        <v>127</v>
      </c>
      <c r="K1570" s="46" t="s">
        <v>127</v>
      </c>
      <c r="L1570" s="46" t="s">
        <v>15</v>
      </c>
      <c r="M1570" s="46" t="s">
        <v>10</v>
      </c>
      <c r="N1570" s="46" t="s">
        <v>11</v>
      </c>
      <c r="O1570" s="49" t="s">
        <v>815</v>
      </c>
      <c r="P1570" s="46" t="s">
        <v>507</v>
      </c>
      <c r="Q1570" s="35" t="str">
        <f>MID(Tabla1[[#This Row],[Aplicación]],14,1)</f>
        <v>2</v>
      </c>
      <c r="R1570" s="35" t="s">
        <v>495</v>
      </c>
      <c r="S1570" s="35" t="str">
        <f>MID(Tabla1[[#This Row],[Aplicación]],6,2)</f>
        <v>07</v>
      </c>
      <c r="T1570" s="35" t="str">
        <f>VLOOKUP(Tabla1[[#This Row],[AREA]],Hoja1!A:B,2,FALSE)</f>
        <v>07. Medio ambiente y desarrollo sostenible</v>
      </c>
      <c r="U1570" s="35" t="str">
        <f>MID(Tabla1[[#This Row],[Aplicación]],9,4)</f>
        <v>1721</v>
      </c>
      <c r="V1570" s="35" t="str">
        <f>VLOOKUP(Tabla1[[#This Row],[PROGRAMA]],Hoja1!A:B,2,FALSE)</f>
        <v>1721. Protección del medio ambiente</v>
      </c>
      <c r="W1570" s="35" t="str">
        <f>MID(Tabla1[[#This Row],[Aplicación]],14,2)</f>
        <v>22</v>
      </c>
      <c r="X1570" s="35" t="str">
        <f>MID(Tabla1[[#This Row],[Aplicación]],14,6)</f>
        <v>22112</v>
      </c>
    </row>
    <row r="1571" spans="1:24" x14ac:dyDescent="0.25">
      <c r="A1571" s="45">
        <v>220210007144</v>
      </c>
      <c r="B1571" s="46" t="s">
        <v>9</v>
      </c>
      <c r="C1571" s="47">
        <v>44260</v>
      </c>
      <c r="D1571" s="45">
        <v>22021003165</v>
      </c>
      <c r="E1571" s="46" t="s">
        <v>2828</v>
      </c>
      <c r="F1571" s="48">
        <v>299.8</v>
      </c>
      <c r="G1571" s="46" t="s">
        <v>267</v>
      </c>
      <c r="H1571" s="46" t="s">
        <v>2829</v>
      </c>
      <c r="I1571" s="45" t="s">
        <v>125</v>
      </c>
      <c r="J1571" s="46" t="s">
        <v>633</v>
      </c>
      <c r="K1571" s="46" t="s">
        <v>127</v>
      </c>
      <c r="L1571" s="46" t="s">
        <v>15</v>
      </c>
      <c r="M1571" s="46" t="s">
        <v>10</v>
      </c>
      <c r="N1571" s="46" t="s">
        <v>11</v>
      </c>
      <c r="O1571" s="49" t="s">
        <v>815</v>
      </c>
      <c r="P1571" s="46" t="s">
        <v>507</v>
      </c>
      <c r="Q1571" s="35" t="str">
        <f>MID(Tabla1[[#This Row],[Aplicación]],14,1)</f>
        <v>2</v>
      </c>
      <c r="R1571" s="35" t="s">
        <v>495</v>
      </c>
      <c r="S1571" s="35" t="str">
        <f>MID(Tabla1[[#This Row],[Aplicación]],6,2)</f>
        <v>11</v>
      </c>
      <c r="T1571" s="35" t="str">
        <f>VLOOKUP(Tabla1[[#This Row],[AREA]],Hoja1!A:B,2,FALSE)</f>
        <v>11. Salud pública y seguridad ciudadana</v>
      </c>
      <c r="U1571" s="35" t="str">
        <f>MID(Tabla1[[#This Row],[Aplicación]],9,4)</f>
        <v>1361</v>
      </c>
      <c r="V1571" s="35" t="str">
        <f>VLOOKUP(Tabla1[[#This Row],[PROGRAMA]],Hoja1!A:B,2,FALSE)</f>
        <v>1361. Prevención y extinción de incencios</v>
      </c>
      <c r="W1571" s="35" t="str">
        <f>MID(Tabla1[[#This Row],[Aplicación]],14,2)</f>
        <v>20</v>
      </c>
      <c r="X1571" s="35" t="str">
        <f>MID(Tabla1[[#This Row],[Aplicación]],14,6)</f>
        <v>203</v>
      </c>
    </row>
    <row r="1572" spans="1:24" x14ac:dyDescent="0.25">
      <c r="A1572" s="45">
        <v>220209000824</v>
      </c>
      <c r="B1572" s="46" t="s">
        <v>9</v>
      </c>
      <c r="C1572" s="47">
        <v>44198</v>
      </c>
      <c r="D1572" s="45">
        <v>22021002295</v>
      </c>
      <c r="E1572" s="46" t="s">
        <v>859</v>
      </c>
      <c r="F1572" s="48">
        <v>4174.5</v>
      </c>
      <c r="G1572" s="46" t="s">
        <v>2830</v>
      </c>
      <c r="H1572" s="46" t="s">
        <v>2831</v>
      </c>
      <c r="I1572" s="45" t="s">
        <v>125</v>
      </c>
      <c r="J1572" s="46" t="s">
        <v>126</v>
      </c>
      <c r="K1572" s="46" t="s">
        <v>126</v>
      </c>
      <c r="L1572" s="46" t="s">
        <v>12</v>
      </c>
      <c r="M1572" s="46" t="s">
        <v>10</v>
      </c>
      <c r="N1572" s="46" t="s">
        <v>11</v>
      </c>
      <c r="O1572" s="49" t="s">
        <v>815</v>
      </c>
      <c r="P1572" s="46" t="s">
        <v>507</v>
      </c>
      <c r="Q1572" s="35" t="str">
        <f>MID(Tabla1[[#This Row],[Aplicación]],14,1)</f>
        <v>2</v>
      </c>
      <c r="R1572" s="35" t="s">
        <v>495</v>
      </c>
      <c r="S1572" s="35" t="str">
        <f>MID(Tabla1[[#This Row],[Aplicación]],6,2)</f>
        <v>05</v>
      </c>
      <c r="T1572" s="35" t="str">
        <f>VLOOKUP(Tabla1[[#This Row],[AREA]],Hoja1!A:B,2,FALSE)</f>
        <v>05. Innovación, desarrollo económico, empleo y comercio</v>
      </c>
      <c r="U1572" s="35" t="str">
        <f>MID(Tabla1[[#This Row],[Aplicación]],9,4)</f>
        <v>4331</v>
      </c>
      <c r="V1572" s="35" t="str">
        <f>VLOOKUP(Tabla1[[#This Row],[PROGRAMA]],Hoja1!A:B,2,FALSE)</f>
        <v>4331. Desarrollo empresarial</v>
      </c>
      <c r="W1572" s="35" t="str">
        <f>MID(Tabla1[[#This Row],[Aplicación]],14,2)</f>
        <v>22</v>
      </c>
      <c r="X1572" s="35" t="str">
        <f>MID(Tabla1[[#This Row],[Aplicación]],14,6)</f>
        <v>22706</v>
      </c>
    </row>
    <row r="1573" spans="1:24" x14ac:dyDescent="0.25">
      <c r="A1573" s="45">
        <v>220210007161</v>
      </c>
      <c r="B1573" s="46" t="s">
        <v>9</v>
      </c>
      <c r="C1573" s="47">
        <v>44263</v>
      </c>
      <c r="D1573" s="45">
        <v>22021003176</v>
      </c>
      <c r="E1573" s="46" t="s">
        <v>950</v>
      </c>
      <c r="F1573" s="48">
        <v>1000</v>
      </c>
      <c r="G1573" s="46" t="s">
        <v>207</v>
      </c>
      <c r="H1573" s="46" t="s">
        <v>2832</v>
      </c>
      <c r="I1573" s="45" t="s">
        <v>125</v>
      </c>
      <c r="J1573" s="46" t="s">
        <v>127</v>
      </c>
      <c r="K1573" s="46" t="s">
        <v>127</v>
      </c>
      <c r="L1573" s="46" t="s">
        <v>12</v>
      </c>
      <c r="M1573" s="46" t="s">
        <v>10</v>
      </c>
      <c r="N1573" s="46" t="s">
        <v>11</v>
      </c>
      <c r="O1573" s="49" t="s">
        <v>815</v>
      </c>
      <c r="P1573" s="46" t="s">
        <v>507</v>
      </c>
      <c r="Q1573" s="35" t="str">
        <f>MID(Tabla1[[#This Row],[Aplicación]],14,1)</f>
        <v>2</v>
      </c>
      <c r="R1573" s="35" t="s">
        <v>495</v>
      </c>
      <c r="S1573" s="35" t="str">
        <f>MID(Tabla1[[#This Row],[Aplicación]],6,2)</f>
        <v>11</v>
      </c>
      <c r="T1573" s="35" t="str">
        <f>VLOOKUP(Tabla1[[#This Row],[AREA]],Hoja1!A:B,2,FALSE)</f>
        <v>11. Salud pública y seguridad ciudadana</v>
      </c>
      <c r="U1573" s="35" t="str">
        <f>MID(Tabla1[[#This Row],[Aplicación]],9,4)</f>
        <v>1321</v>
      </c>
      <c r="V1573" s="35" t="str">
        <f>VLOOKUP(Tabla1[[#This Row],[PROGRAMA]],Hoja1!A:B,2,FALSE)</f>
        <v>1321. Policía municipal</v>
      </c>
      <c r="W1573" s="35" t="str">
        <f>MID(Tabla1[[#This Row],[Aplicación]],14,2)</f>
        <v>21</v>
      </c>
      <c r="X1573" s="35" t="str">
        <f>MID(Tabla1[[#This Row],[Aplicación]],14,6)</f>
        <v>213</v>
      </c>
    </row>
    <row r="1574" spans="1:24" x14ac:dyDescent="0.25">
      <c r="A1574" s="45">
        <v>220210007162</v>
      </c>
      <c r="B1574" s="46" t="s">
        <v>9</v>
      </c>
      <c r="C1574" s="47">
        <v>44263</v>
      </c>
      <c r="D1574" s="45">
        <v>22021003317</v>
      </c>
      <c r="E1574" s="46" t="s">
        <v>1929</v>
      </c>
      <c r="F1574" s="48">
        <v>3782.46</v>
      </c>
      <c r="G1574" s="46" t="s">
        <v>305</v>
      </c>
      <c r="H1574" s="46" t="s">
        <v>2833</v>
      </c>
      <c r="I1574" s="45" t="s">
        <v>125</v>
      </c>
      <c r="J1574" s="46" t="s">
        <v>126</v>
      </c>
      <c r="K1574" s="46" t="s">
        <v>126</v>
      </c>
      <c r="L1574" s="46" t="s">
        <v>12</v>
      </c>
      <c r="M1574" s="46" t="s">
        <v>10</v>
      </c>
      <c r="N1574" s="46" t="s">
        <v>11</v>
      </c>
      <c r="O1574" s="49" t="s">
        <v>815</v>
      </c>
      <c r="P1574" s="46" t="s">
        <v>507</v>
      </c>
      <c r="Q1574" s="35" t="str">
        <f>MID(Tabla1[[#This Row],[Aplicación]],14,1)</f>
        <v>2</v>
      </c>
      <c r="R1574" s="35" t="s">
        <v>495</v>
      </c>
      <c r="S1574" s="35" t="str">
        <f>MID(Tabla1[[#This Row],[Aplicación]],6,2)</f>
        <v>11</v>
      </c>
      <c r="T1574" s="35" t="str">
        <f>VLOOKUP(Tabla1[[#This Row],[AREA]],Hoja1!A:B,2,FALSE)</f>
        <v>11. Salud pública y seguridad ciudadana</v>
      </c>
      <c r="U1574" s="35" t="str">
        <f>MID(Tabla1[[#This Row],[Aplicación]],9,4)</f>
        <v>1321</v>
      </c>
      <c r="V1574" s="35" t="str">
        <f>VLOOKUP(Tabla1[[#This Row],[PROGRAMA]],Hoja1!A:B,2,FALSE)</f>
        <v>1321. Policía municipal</v>
      </c>
      <c r="W1574" s="35" t="str">
        <f>MID(Tabla1[[#This Row],[Aplicación]],14,2)</f>
        <v>22</v>
      </c>
      <c r="X1574" s="35" t="str">
        <f>MID(Tabla1[[#This Row],[Aplicación]],14,6)</f>
        <v>22706</v>
      </c>
    </row>
    <row r="1575" spans="1:24" x14ac:dyDescent="0.25">
      <c r="A1575" s="45">
        <v>220209000716</v>
      </c>
      <c r="B1575" s="46" t="s">
        <v>9</v>
      </c>
      <c r="C1575" s="47">
        <v>44198</v>
      </c>
      <c r="D1575" s="45">
        <v>22021000453</v>
      </c>
      <c r="E1575" s="46" t="s">
        <v>2834</v>
      </c>
      <c r="F1575" s="48">
        <v>4198.92</v>
      </c>
      <c r="G1575" s="46" t="s">
        <v>101</v>
      </c>
      <c r="H1575" s="46" t="s">
        <v>2835</v>
      </c>
      <c r="I1575" s="45" t="s">
        <v>125</v>
      </c>
      <c r="J1575" s="46" t="s">
        <v>127</v>
      </c>
      <c r="K1575" s="46" t="s">
        <v>127</v>
      </c>
      <c r="L1575" s="46" t="s">
        <v>12</v>
      </c>
      <c r="M1575" s="46" t="s">
        <v>13</v>
      </c>
      <c r="N1575" s="46" t="s">
        <v>14</v>
      </c>
      <c r="O1575" s="49" t="s">
        <v>803</v>
      </c>
      <c r="P1575" s="46" t="s">
        <v>507</v>
      </c>
      <c r="Q1575" s="35" t="str">
        <f>MID(Tabla1[[#This Row],[Aplicación]],14,1)</f>
        <v>2</v>
      </c>
      <c r="R1575" s="35" t="s">
        <v>495</v>
      </c>
      <c r="S1575" s="35" t="str">
        <f>MID(Tabla1[[#This Row],[Aplicación]],6,2)</f>
        <v>10</v>
      </c>
      <c r="T1575" s="35" t="str">
        <f>VLOOKUP(Tabla1[[#This Row],[AREA]],Hoja1!A:B,2,FALSE)</f>
        <v>10. Servicios sociales y mediación comunitaria</v>
      </c>
      <c r="U1575" s="35" t="str">
        <f>MID(Tabla1[[#This Row],[Aplicación]],9,4)</f>
        <v>2412</v>
      </c>
      <c r="V1575" s="35" t="str">
        <f>VLOOKUP(Tabla1[[#This Row],[PROGRAMA]],Hoja1!A:B,2,FALSE)</f>
        <v>2412. Formación para el empleo</v>
      </c>
      <c r="W1575" s="35" t="str">
        <f>MID(Tabla1[[#This Row],[Aplicación]],14,2)</f>
        <v>22</v>
      </c>
      <c r="X1575" s="35" t="str">
        <f>MID(Tabla1[[#This Row],[Aplicación]],14,6)</f>
        <v>22700</v>
      </c>
    </row>
    <row r="1576" spans="1:24" x14ac:dyDescent="0.25">
      <c r="A1576" s="45">
        <v>220210007164</v>
      </c>
      <c r="B1576" s="46" t="s">
        <v>9</v>
      </c>
      <c r="C1576" s="47">
        <v>44263</v>
      </c>
      <c r="D1576" s="45">
        <v>22021003351</v>
      </c>
      <c r="E1576" s="46" t="s">
        <v>1167</v>
      </c>
      <c r="F1576" s="48">
        <v>857.22</v>
      </c>
      <c r="G1576" s="46" t="s">
        <v>262</v>
      </c>
      <c r="H1576" s="46" t="s">
        <v>2836</v>
      </c>
      <c r="I1576" s="45" t="s">
        <v>125</v>
      </c>
      <c r="J1576" s="46" t="s">
        <v>127</v>
      </c>
      <c r="K1576" s="46" t="s">
        <v>127</v>
      </c>
      <c r="L1576" s="46" t="s">
        <v>12</v>
      </c>
      <c r="M1576" s="46" t="s">
        <v>10</v>
      </c>
      <c r="N1576" s="46" t="s">
        <v>11</v>
      </c>
      <c r="O1576" s="49" t="s">
        <v>815</v>
      </c>
      <c r="P1576" s="46" t="s">
        <v>507</v>
      </c>
      <c r="Q1576" s="35" t="str">
        <f>MID(Tabla1[[#This Row],[Aplicación]],14,1)</f>
        <v>2</v>
      </c>
      <c r="R1576" s="35" t="s">
        <v>495</v>
      </c>
      <c r="S1576" s="35" t="str">
        <f>MID(Tabla1[[#This Row],[Aplicación]],6,2)</f>
        <v>11</v>
      </c>
      <c r="T1576" s="35" t="str">
        <f>VLOOKUP(Tabla1[[#This Row],[AREA]],Hoja1!A:B,2,FALSE)</f>
        <v>11. Salud pública y seguridad ciudadana</v>
      </c>
      <c r="U1576" s="35" t="str">
        <f>MID(Tabla1[[#This Row],[Aplicación]],9,4)</f>
        <v>1321</v>
      </c>
      <c r="V1576" s="35" t="str">
        <f>VLOOKUP(Tabla1[[#This Row],[PROGRAMA]],Hoja1!A:B,2,FALSE)</f>
        <v>1321. Policía municipal</v>
      </c>
      <c r="W1576" s="35" t="str">
        <f>MID(Tabla1[[#This Row],[Aplicación]],14,2)</f>
        <v>21</v>
      </c>
      <c r="X1576" s="35" t="str">
        <f>MID(Tabla1[[#This Row],[Aplicación]],14,6)</f>
        <v>214</v>
      </c>
    </row>
    <row r="1577" spans="1:24" x14ac:dyDescent="0.25">
      <c r="A1577" s="45">
        <v>220210001391</v>
      </c>
      <c r="B1577" s="46" t="s">
        <v>9</v>
      </c>
      <c r="C1577" s="47">
        <v>44228</v>
      </c>
      <c r="D1577" s="45">
        <v>22021002244</v>
      </c>
      <c r="E1577" s="46" t="s">
        <v>1180</v>
      </c>
      <c r="F1577" s="48">
        <v>4235</v>
      </c>
      <c r="G1577" s="46" t="s">
        <v>537</v>
      </c>
      <c r="H1577" s="46" t="s">
        <v>2837</v>
      </c>
      <c r="I1577" s="45" t="s">
        <v>125</v>
      </c>
      <c r="J1577" s="46" t="s">
        <v>127</v>
      </c>
      <c r="K1577" s="46" t="s">
        <v>127</v>
      </c>
      <c r="L1577" s="46" t="s">
        <v>15</v>
      </c>
      <c r="M1577" s="46" t="s">
        <v>10</v>
      </c>
      <c r="N1577" s="46" t="s">
        <v>11</v>
      </c>
      <c r="O1577" s="49" t="s">
        <v>815</v>
      </c>
      <c r="P1577" s="46" t="s">
        <v>507</v>
      </c>
      <c r="Q1577" s="35" t="str">
        <f>MID(Tabla1[[#This Row],[Aplicación]],14,1)</f>
        <v>2</v>
      </c>
      <c r="R1577" s="35" t="s">
        <v>495</v>
      </c>
      <c r="S1577" s="35" t="str">
        <f>MID(Tabla1[[#This Row],[Aplicación]],6,2)</f>
        <v>08</v>
      </c>
      <c r="T1577" s="35" t="str">
        <f>VLOOKUP(Tabla1[[#This Row],[AREA]],Hoja1!A:B,2,FALSE)</f>
        <v>08. Movilidad y espacio urbano</v>
      </c>
      <c r="U1577" s="35" t="str">
        <f>MID(Tabla1[[#This Row],[Aplicación]],9,4)</f>
        <v>1532</v>
      </c>
      <c r="V1577" s="35" t="str">
        <f>VLOOKUP(Tabla1[[#This Row],[PROGRAMA]],Hoja1!A:B,2,FALSE)</f>
        <v>1532. Pavimentación vias públicas y otros servicios urbanísticos</v>
      </c>
      <c r="W1577" s="35" t="str">
        <f>MID(Tabla1[[#This Row],[Aplicación]],14,2)</f>
        <v>21</v>
      </c>
      <c r="X1577" s="35" t="str">
        <f>MID(Tabla1[[#This Row],[Aplicación]],14,6)</f>
        <v>210</v>
      </c>
    </row>
    <row r="1578" spans="1:24" x14ac:dyDescent="0.25">
      <c r="A1578" s="45">
        <v>220210007166</v>
      </c>
      <c r="B1578" s="46" t="s">
        <v>9</v>
      </c>
      <c r="C1578" s="47">
        <v>44263</v>
      </c>
      <c r="D1578" s="45">
        <v>22021003354</v>
      </c>
      <c r="E1578" s="46" t="s">
        <v>1388</v>
      </c>
      <c r="F1578" s="48">
        <v>1500</v>
      </c>
      <c r="G1578" s="46" t="s">
        <v>75</v>
      </c>
      <c r="H1578" s="46" t="s">
        <v>2838</v>
      </c>
      <c r="I1578" s="45" t="s">
        <v>125</v>
      </c>
      <c r="J1578" s="46" t="s">
        <v>127</v>
      </c>
      <c r="K1578" s="46" t="s">
        <v>127</v>
      </c>
      <c r="L1578" s="46" t="s">
        <v>15</v>
      </c>
      <c r="M1578" s="46" t="s">
        <v>10</v>
      </c>
      <c r="N1578" s="46" t="s">
        <v>11</v>
      </c>
      <c r="O1578" s="49" t="s">
        <v>815</v>
      </c>
      <c r="P1578" s="46" t="s">
        <v>507</v>
      </c>
      <c r="Q1578" s="35" t="str">
        <f>MID(Tabla1[[#This Row],[Aplicación]],14,1)</f>
        <v>2</v>
      </c>
      <c r="R1578" s="35" t="s">
        <v>495</v>
      </c>
      <c r="S1578" s="35" t="str">
        <f>MID(Tabla1[[#This Row],[Aplicación]],6,2)</f>
        <v>11</v>
      </c>
      <c r="T1578" s="35" t="str">
        <f>VLOOKUP(Tabla1[[#This Row],[AREA]],Hoja1!A:B,2,FALSE)</f>
        <v>11. Salud pública y seguridad ciudadana</v>
      </c>
      <c r="U1578" s="35" t="str">
        <f>MID(Tabla1[[#This Row],[Aplicación]],9,4)</f>
        <v>1321</v>
      </c>
      <c r="V1578" s="35" t="str">
        <f>VLOOKUP(Tabla1[[#This Row],[PROGRAMA]],Hoja1!A:B,2,FALSE)</f>
        <v>1321. Policía municipal</v>
      </c>
      <c r="W1578" s="35" t="str">
        <f>MID(Tabla1[[#This Row],[Aplicación]],14,2)</f>
        <v>22</v>
      </c>
      <c r="X1578" s="35" t="str">
        <f>MID(Tabla1[[#This Row],[Aplicación]],14,6)</f>
        <v>22199</v>
      </c>
    </row>
    <row r="1579" spans="1:24" x14ac:dyDescent="0.25">
      <c r="A1579" s="45">
        <v>220209000711</v>
      </c>
      <c r="B1579" s="46" t="s">
        <v>9</v>
      </c>
      <c r="C1579" s="47">
        <v>44198</v>
      </c>
      <c r="D1579" s="45">
        <v>22021000448</v>
      </c>
      <c r="E1579" s="46" t="s">
        <v>2026</v>
      </c>
      <c r="F1579" s="48">
        <v>4246.96</v>
      </c>
      <c r="G1579" s="46" t="s">
        <v>56</v>
      </c>
      <c r="H1579" s="46" t="s">
        <v>2839</v>
      </c>
      <c r="I1579" s="45" t="s">
        <v>125</v>
      </c>
      <c r="J1579" s="46" t="s">
        <v>127</v>
      </c>
      <c r="K1579" s="46" t="s">
        <v>127</v>
      </c>
      <c r="L1579" s="46" t="s">
        <v>12</v>
      </c>
      <c r="M1579" s="46" t="s">
        <v>13</v>
      </c>
      <c r="N1579" s="46" t="s">
        <v>14</v>
      </c>
      <c r="O1579" s="49" t="s">
        <v>803</v>
      </c>
      <c r="P1579" s="46" t="s">
        <v>507</v>
      </c>
      <c r="Q1579" s="35" t="str">
        <f>MID(Tabla1[[#This Row],[Aplicación]],14,1)</f>
        <v>2</v>
      </c>
      <c r="R1579" s="35" t="s">
        <v>495</v>
      </c>
      <c r="S1579" s="35" t="str">
        <f>MID(Tabla1[[#This Row],[Aplicación]],6,2)</f>
        <v>10</v>
      </c>
      <c r="T1579" s="35" t="str">
        <f>VLOOKUP(Tabla1[[#This Row],[AREA]],Hoja1!A:B,2,FALSE)</f>
        <v>10. Servicios sociales y mediación comunitaria</v>
      </c>
      <c r="U1579" s="35" t="str">
        <f>MID(Tabla1[[#This Row],[Aplicación]],9,4)</f>
        <v>2412</v>
      </c>
      <c r="V1579" s="35" t="str">
        <f>VLOOKUP(Tabla1[[#This Row],[PROGRAMA]],Hoja1!A:B,2,FALSE)</f>
        <v>2412. Formación para el empleo</v>
      </c>
      <c r="W1579" s="35" t="str">
        <f>MID(Tabla1[[#This Row],[Aplicación]],14,2)</f>
        <v>22</v>
      </c>
      <c r="X1579" s="35" t="str">
        <f>MID(Tabla1[[#This Row],[Aplicación]],14,6)</f>
        <v>22799</v>
      </c>
    </row>
    <row r="1580" spans="1:24" x14ac:dyDescent="0.25">
      <c r="A1580" s="45">
        <v>220210002886</v>
      </c>
      <c r="B1580" s="46" t="s">
        <v>9</v>
      </c>
      <c r="C1580" s="47">
        <v>44238</v>
      </c>
      <c r="D1580" s="45">
        <v>22021002282</v>
      </c>
      <c r="E1580" s="46" t="s">
        <v>2803</v>
      </c>
      <c r="F1580" s="48">
        <v>4300</v>
      </c>
      <c r="G1580" s="46" t="s">
        <v>251</v>
      </c>
      <c r="H1580" s="46" t="s">
        <v>2840</v>
      </c>
      <c r="I1580" s="45" t="s">
        <v>125</v>
      </c>
      <c r="J1580" s="46" t="s">
        <v>127</v>
      </c>
      <c r="K1580" s="46" t="s">
        <v>127</v>
      </c>
      <c r="L1580" s="46" t="s">
        <v>15</v>
      </c>
      <c r="M1580" s="46" t="s">
        <v>10</v>
      </c>
      <c r="N1580" s="46" t="s">
        <v>11</v>
      </c>
      <c r="O1580" s="49" t="s">
        <v>815</v>
      </c>
      <c r="P1580" s="46" t="s">
        <v>507</v>
      </c>
      <c r="Q1580" s="35" t="str">
        <f>MID(Tabla1[[#This Row],[Aplicación]],14,1)</f>
        <v>2</v>
      </c>
      <c r="R1580" s="35" t="s">
        <v>495</v>
      </c>
      <c r="S1580" s="35" t="str">
        <f>MID(Tabla1[[#This Row],[Aplicación]],6,2)</f>
        <v>06</v>
      </c>
      <c r="T1580" s="35" t="str">
        <f>VLOOKUP(Tabla1[[#This Row],[AREA]],Hoja1!A:B,2,FALSE)</f>
        <v>06. Educación, infancia, juventud e igualdad</v>
      </c>
      <c r="U1580" s="35" t="str">
        <f>MID(Tabla1[[#This Row],[Aplicación]],9,4)</f>
        <v>2314</v>
      </c>
      <c r="V1580" s="35" t="str">
        <f>VLOOKUP(Tabla1[[#This Row],[PROGRAMA]],Hoja1!A:B,2,FALSE)</f>
        <v>2314. Centro de programas juveniles</v>
      </c>
      <c r="W1580" s="35" t="str">
        <f>MID(Tabla1[[#This Row],[Aplicación]],14,2)</f>
        <v>22</v>
      </c>
      <c r="X1580" s="35" t="str">
        <f>MID(Tabla1[[#This Row],[Aplicación]],14,6)</f>
        <v>22602</v>
      </c>
    </row>
    <row r="1581" spans="1:24" x14ac:dyDescent="0.25">
      <c r="A1581" s="45">
        <v>220210007169</v>
      </c>
      <c r="B1581" s="46" t="s">
        <v>9</v>
      </c>
      <c r="C1581" s="47">
        <v>44263</v>
      </c>
      <c r="D1581" s="45">
        <v>22021002769</v>
      </c>
      <c r="E1581" s="46" t="s">
        <v>1438</v>
      </c>
      <c r="F1581" s="48">
        <v>705.67</v>
      </c>
      <c r="G1581" s="46" t="s">
        <v>2841</v>
      </c>
      <c r="H1581" s="46" t="s">
        <v>2842</v>
      </c>
      <c r="I1581" s="45" t="s">
        <v>125</v>
      </c>
      <c r="J1581" s="46" t="s">
        <v>126</v>
      </c>
      <c r="K1581" s="46" t="s">
        <v>126</v>
      </c>
      <c r="L1581" s="46" t="s">
        <v>15</v>
      </c>
      <c r="M1581" s="46" t="s">
        <v>10</v>
      </c>
      <c r="N1581" s="46" t="s">
        <v>11</v>
      </c>
      <c r="O1581" s="49" t="s">
        <v>815</v>
      </c>
      <c r="P1581" s="46" t="s">
        <v>507</v>
      </c>
      <c r="Q1581" s="35" t="str">
        <f>MID(Tabla1[[#This Row],[Aplicación]],14,1)</f>
        <v>2</v>
      </c>
      <c r="R1581" s="35" t="s">
        <v>495</v>
      </c>
      <c r="S1581" s="35" t="str">
        <f>MID(Tabla1[[#This Row],[Aplicación]],6,2)</f>
        <v>01</v>
      </c>
      <c r="T1581" s="35" t="str">
        <f>VLOOKUP(Tabla1[[#This Row],[AREA]],Hoja1!A:B,2,FALSE)</f>
        <v>01. Alcaldía</v>
      </c>
      <c r="U1581" s="35" t="str">
        <f>MID(Tabla1[[#This Row],[Aplicación]],9,4)</f>
        <v>9206</v>
      </c>
      <c r="V1581" s="35" t="str">
        <f>VLOOKUP(Tabla1[[#This Row],[PROGRAMA]],Hoja1!A:B,2,FALSE)</f>
        <v>9206. Archivo municipal</v>
      </c>
      <c r="W1581" s="35" t="str">
        <f>MID(Tabla1[[#This Row],[Aplicación]],14,2)</f>
        <v>22</v>
      </c>
      <c r="X1581" s="35" t="str">
        <f>MID(Tabla1[[#This Row],[Aplicación]],14,6)</f>
        <v>22001</v>
      </c>
    </row>
    <row r="1582" spans="1:24" x14ac:dyDescent="0.25">
      <c r="A1582" s="45">
        <v>220210004014</v>
      </c>
      <c r="B1582" s="46" t="s">
        <v>9</v>
      </c>
      <c r="C1582" s="47">
        <v>44244</v>
      </c>
      <c r="D1582" s="45">
        <v>22021002506</v>
      </c>
      <c r="E1582" s="46" t="s">
        <v>1884</v>
      </c>
      <c r="F1582" s="48">
        <v>4369.3900000000003</v>
      </c>
      <c r="G1582" s="46" t="s">
        <v>2843</v>
      </c>
      <c r="H1582" s="46" t="s">
        <v>2844</v>
      </c>
      <c r="I1582" s="45" t="s">
        <v>125</v>
      </c>
      <c r="J1582" s="46" t="s">
        <v>539</v>
      </c>
      <c r="K1582" s="46" t="s">
        <v>539</v>
      </c>
      <c r="L1582" s="46" t="s">
        <v>12</v>
      </c>
      <c r="M1582" s="46" t="s">
        <v>10</v>
      </c>
      <c r="N1582" s="46" t="s">
        <v>11</v>
      </c>
      <c r="O1582" s="49" t="s">
        <v>815</v>
      </c>
      <c r="P1582" s="46" t="s">
        <v>507</v>
      </c>
      <c r="Q1582" s="35" t="str">
        <f>MID(Tabla1[[#This Row],[Aplicación]],14,1)</f>
        <v>2</v>
      </c>
      <c r="R1582" s="35" t="s">
        <v>495</v>
      </c>
      <c r="S1582" s="35" t="str">
        <f>MID(Tabla1[[#This Row],[Aplicación]],6,2)</f>
        <v>06</v>
      </c>
      <c r="T1582" s="35" t="str">
        <f>VLOOKUP(Tabla1[[#This Row],[AREA]],Hoja1!A:B,2,FALSE)</f>
        <v>06. Educación, infancia, juventud e igualdad</v>
      </c>
      <c r="U1582" s="35" t="str">
        <f>MID(Tabla1[[#This Row],[Aplicación]],9,4)</f>
        <v>2314</v>
      </c>
      <c r="V1582" s="35" t="str">
        <f>VLOOKUP(Tabla1[[#This Row],[PROGRAMA]],Hoja1!A:B,2,FALSE)</f>
        <v>2314. Centro de programas juveniles</v>
      </c>
      <c r="W1582" s="35" t="str">
        <f>MID(Tabla1[[#This Row],[Aplicación]],14,2)</f>
        <v>21</v>
      </c>
      <c r="X1582" s="35" t="str">
        <f>MID(Tabla1[[#This Row],[Aplicación]],14,6)</f>
        <v>212</v>
      </c>
    </row>
    <row r="1583" spans="1:24" x14ac:dyDescent="0.25">
      <c r="A1583" s="45">
        <v>220210005221</v>
      </c>
      <c r="B1583" s="46" t="s">
        <v>204</v>
      </c>
      <c r="C1583" s="47">
        <v>44249</v>
      </c>
      <c r="D1583" s="45">
        <v>22021002374</v>
      </c>
      <c r="E1583" s="46" t="s">
        <v>1336</v>
      </c>
      <c r="F1583" s="48">
        <v>112.77</v>
      </c>
      <c r="G1583" s="46" t="s">
        <v>256</v>
      </c>
      <c r="H1583" s="46" t="s">
        <v>2845</v>
      </c>
      <c r="I1583" s="45" t="s">
        <v>205</v>
      </c>
      <c r="J1583" s="46" t="s">
        <v>127</v>
      </c>
      <c r="K1583" s="46" t="s">
        <v>127</v>
      </c>
      <c r="L1583" s="46" t="s">
        <v>15</v>
      </c>
      <c r="M1583" s="46" t="s">
        <v>13</v>
      </c>
      <c r="N1583" s="46" t="s">
        <v>14</v>
      </c>
      <c r="O1583" s="49" t="s">
        <v>814</v>
      </c>
      <c r="P1583" s="46" t="s">
        <v>507</v>
      </c>
      <c r="Q1583" s="35" t="str">
        <f>MID(Tabla1[[#This Row],[Aplicación]],14,1)</f>
        <v>2</v>
      </c>
      <c r="R1583" s="35" t="s">
        <v>495</v>
      </c>
      <c r="S1583" s="35" t="str">
        <f>MID(Tabla1[[#This Row],[Aplicación]],6,2)</f>
        <v>02</v>
      </c>
      <c r="T1583" s="35" t="str">
        <f>VLOOKUP(Tabla1[[#This Row],[AREA]],Hoja1!A:B,2,FALSE)</f>
        <v>02. Planeamiento urbanístico y vivienda</v>
      </c>
      <c r="U1583" s="35" t="str">
        <f>MID(Tabla1[[#This Row],[Aplicación]],9,4)</f>
        <v>9332</v>
      </c>
      <c r="V1583" s="35" t="str">
        <f>VLOOKUP(Tabla1[[#This Row],[PROGRAMA]],Hoja1!A:B,2,FALSE)</f>
        <v>9332. Mantenimiento de edificios e instalaciones municipales</v>
      </c>
      <c r="W1583" s="35" t="str">
        <f>MID(Tabla1[[#This Row],[Aplicación]],14,2)</f>
        <v>21</v>
      </c>
      <c r="X1583" s="35" t="str">
        <f>MID(Tabla1[[#This Row],[Aplicación]],14,6)</f>
        <v>212</v>
      </c>
    </row>
    <row r="1584" spans="1:24" x14ac:dyDescent="0.25">
      <c r="A1584" s="45">
        <v>220210000337</v>
      </c>
      <c r="B1584" s="46" t="s">
        <v>9</v>
      </c>
      <c r="C1584" s="47">
        <v>44217</v>
      </c>
      <c r="D1584" s="45">
        <v>22021001240</v>
      </c>
      <c r="E1584" s="46" t="s">
        <v>1648</v>
      </c>
      <c r="F1584" s="48">
        <v>4504</v>
      </c>
      <c r="G1584" s="46" t="s">
        <v>653</v>
      </c>
      <c r="H1584" s="46" t="s">
        <v>2846</v>
      </c>
      <c r="I1584" s="45" t="s">
        <v>125</v>
      </c>
      <c r="J1584" s="46" t="s">
        <v>127</v>
      </c>
      <c r="K1584" s="46" t="s">
        <v>127</v>
      </c>
      <c r="L1584" s="46" t="s">
        <v>12</v>
      </c>
      <c r="M1584" s="46" t="s">
        <v>10</v>
      </c>
      <c r="N1584" s="46" t="s">
        <v>11</v>
      </c>
      <c r="O1584" s="49" t="s">
        <v>815</v>
      </c>
      <c r="P1584" s="46" t="s">
        <v>507</v>
      </c>
      <c r="Q1584" s="35" t="str">
        <f>MID(Tabla1[[#This Row],[Aplicación]],14,1)</f>
        <v>2</v>
      </c>
      <c r="R1584" s="35" t="s">
        <v>495</v>
      </c>
      <c r="S1584" s="35" t="str">
        <f>MID(Tabla1[[#This Row],[Aplicación]],6,2)</f>
        <v>09</v>
      </c>
      <c r="T1584" s="35" t="str">
        <f>VLOOKUP(Tabla1[[#This Row],[AREA]],Hoja1!A:B,2,FALSE)</f>
        <v>09. Cultura y turismo</v>
      </c>
      <c r="U1584" s="35" t="str">
        <f>MID(Tabla1[[#This Row],[Aplicación]],9,4)</f>
        <v>3341</v>
      </c>
      <c r="V1584" s="35" t="str">
        <f>VLOOKUP(Tabla1[[#This Row],[PROGRAMA]],Hoja1!A:B,2,FALSE)</f>
        <v>3341. Coordinación de políticas culturales</v>
      </c>
      <c r="W1584" s="35" t="str">
        <f>MID(Tabla1[[#This Row],[Aplicación]],14,2)</f>
        <v>22</v>
      </c>
      <c r="X1584" s="35" t="str">
        <f>MID(Tabla1[[#This Row],[Aplicación]],14,6)</f>
        <v>22799</v>
      </c>
    </row>
    <row r="1585" spans="1:24" x14ac:dyDescent="0.25">
      <c r="A1585" s="45">
        <v>220199000098</v>
      </c>
      <c r="B1585" s="46" t="s">
        <v>9</v>
      </c>
      <c r="C1585" s="47">
        <v>44198</v>
      </c>
      <c r="D1585" s="45">
        <v>22021000124</v>
      </c>
      <c r="E1585" s="46" t="s">
        <v>1984</v>
      </c>
      <c r="F1585" s="48">
        <v>4546.4399999999996</v>
      </c>
      <c r="G1585" s="46" t="s">
        <v>111</v>
      </c>
      <c r="H1585" s="46" t="s">
        <v>722</v>
      </c>
      <c r="I1585" s="45" t="s">
        <v>125</v>
      </c>
      <c r="J1585" s="46" t="s">
        <v>127</v>
      </c>
      <c r="K1585" s="46" t="s">
        <v>127</v>
      </c>
      <c r="L1585" s="46" t="s">
        <v>12</v>
      </c>
      <c r="M1585" s="46" t="s">
        <v>13</v>
      </c>
      <c r="N1585" s="46" t="s">
        <v>14</v>
      </c>
      <c r="O1585" s="49" t="s">
        <v>803</v>
      </c>
      <c r="P1585" s="46" t="s">
        <v>507</v>
      </c>
      <c r="Q1585" s="35" t="str">
        <f>MID(Tabla1[[#This Row],[Aplicación]],14,1)</f>
        <v>2</v>
      </c>
      <c r="R1585" s="35" t="s">
        <v>495</v>
      </c>
      <c r="S1585" s="35" t="str">
        <f>MID(Tabla1[[#This Row],[Aplicación]],6,2)</f>
        <v>11</v>
      </c>
      <c r="T1585" s="35" t="str">
        <f>VLOOKUP(Tabla1[[#This Row],[AREA]],Hoja1!A:B,2,FALSE)</f>
        <v>11. Salud pública y seguridad ciudadana</v>
      </c>
      <c r="U1585" s="35" t="str">
        <f>MID(Tabla1[[#This Row],[Aplicación]],9,4)</f>
        <v>1621</v>
      </c>
      <c r="V1585" s="35" t="str">
        <f>VLOOKUP(Tabla1[[#This Row],[PROGRAMA]],Hoja1!A:B,2,FALSE)</f>
        <v>1621. Servicio de limpieza</v>
      </c>
      <c r="W1585" s="35" t="str">
        <f>MID(Tabla1[[#This Row],[Aplicación]],14,2)</f>
        <v>22</v>
      </c>
      <c r="X1585" s="35" t="str">
        <f>MID(Tabla1[[#This Row],[Aplicación]],14,6)</f>
        <v>22799</v>
      </c>
    </row>
    <row r="1586" spans="1:24" x14ac:dyDescent="0.25">
      <c r="A1586" s="45">
        <v>220209000523</v>
      </c>
      <c r="B1586" s="46" t="s">
        <v>9</v>
      </c>
      <c r="C1586" s="47">
        <v>44198</v>
      </c>
      <c r="D1586" s="45">
        <v>22021000561</v>
      </c>
      <c r="E1586" s="46" t="s">
        <v>2147</v>
      </c>
      <c r="F1586" s="48">
        <v>4779.5</v>
      </c>
      <c r="G1586" s="46" t="s">
        <v>562</v>
      </c>
      <c r="H1586" s="46" t="s">
        <v>2847</v>
      </c>
      <c r="I1586" s="45" t="s">
        <v>125</v>
      </c>
      <c r="J1586" s="46" t="s">
        <v>751</v>
      </c>
      <c r="K1586" s="46" t="s">
        <v>126</v>
      </c>
      <c r="L1586" s="46" t="s">
        <v>12</v>
      </c>
      <c r="M1586" s="46" t="s">
        <v>10</v>
      </c>
      <c r="N1586" s="46" t="s">
        <v>11</v>
      </c>
      <c r="O1586" s="49" t="s">
        <v>815</v>
      </c>
      <c r="P1586" s="46" t="s">
        <v>507</v>
      </c>
      <c r="Q1586" s="35" t="str">
        <f>MID(Tabla1[[#This Row],[Aplicación]],14,1)</f>
        <v>2</v>
      </c>
      <c r="R1586" s="35" t="s">
        <v>495</v>
      </c>
      <c r="S1586" s="35" t="str">
        <f>MID(Tabla1[[#This Row],[Aplicación]],6,2)</f>
        <v>04</v>
      </c>
      <c r="T1586" s="35" t="str">
        <f>VLOOKUP(Tabla1[[#This Row],[AREA]],Hoja1!A:B,2,FALSE)</f>
        <v>04. Planificación y recursos</v>
      </c>
      <c r="U1586" s="35" t="str">
        <f>MID(Tabla1[[#This Row],[Aplicación]],9,4)</f>
        <v>9204</v>
      </c>
      <c r="V1586" s="35" t="str">
        <f>VLOOKUP(Tabla1[[#This Row],[PROGRAMA]],Hoja1!A:B,2,FALSE)</f>
        <v>9204. Tecnologías de la información y comunicación</v>
      </c>
      <c r="W1586" s="35" t="str">
        <f>MID(Tabla1[[#This Row],[Aplicación]],14,2)</f>
        <v>22</v>
      </c>
      <c r="X1586" s="35" t="str">
        <f>MID(Tabla1[[#This Row],[Aplicación]],14,6)</f>
        <v>22200</v>
      </c>
    </row>
    <row r="1587" spans="1:24" x14ac:dyDescent="0.25">
      <c r="A1587" s="45">
        <v>220210007176</v>
      </c>
      <c r="B1587" s="46" t="s">
        <v>9</v>
      </c>
      <c r="C1587" s="47">
        <v>44263</v>
      </c>
      <c r="D1587" s="45">
        <v>22021003222</v>
      </c>
      <c r="E1587" s="46" t="s">
        <v>954</v>
      </c>
      <c r="F1587" s="48">
        <v>907.5</v>
      </c>
      <c r="G1587" s="46" t="s">
        <v>275</v>
      </c>
      <c r="H1587" s="46" t="s">
        <v>2848</v>
      </c>
      <c r="I1587" s="45" t="s">
        <v>125</v>
      </c>
      <c r="J1587" s="46" t="s">
        <v>127</v>
      </c>
      <c r="K1587" s="46" t="s">
        <v>127</v>
      </c>
      <c r="L1587" s="46" t="s">
        <v>15</v>
      </c>
      <c r="M1587" s="46" t="s">
        <v>10</v>
      </c>
      <c r="N1587" s="46" t="s">
        <v>11</v>
      </c>
      <c r="O1587" s="49" t="s">
        <v>815</v>
      </c>
      <c r="P1587" s="46" t="s">
        <v>507</v>
      </c>
      <c r="Q1587" s="35" t="str">
        <f>MID(Tabla1[[#This Row],[Aplicación]],14,1)</f>
        <v>2</v>
      </c>
      <c r="R1587" s="35" t="s">
        <v>495</v>
      </c>
      <c r="S1587" s="35" t="str">
        <f>MID(Tabla1[[#This Row],[Aplicación]],6,2)</f>
        <v>03</v>
      </c>
      <c r="T1587" s="35" t="str">
        <f>VLOOKUP(Tabla1[[#This Row],[AREA]],Hoja1!A:B,2,FALSE)</f>
        <v>03. Participación ciudadana y deportes</v>
      </c>
      <c r="U1587" s="35" t="str">
        <f>MID(Tabla1[[#This Row],[Aplicación]],9,4)</f>
        <v>9241</v>
      </c>
      <c r="V1587" s="35" t="str">
        <f>VLOOKUP(Tabla1[[#This Row],[PROGRAMA]],Hoja1!A:B,2,FALSE)</f>
        <v>9241. Participación ciudadana</v>
      </c>
      <c r="W1587" s="35" t="str">
        <f>MID(Tabla1[[#This Row],[Aplicación]],14,2)</f>
        <v>20</v>
      </c>
      <c r="X1587" s="35" t="str">
        <f>MID(Tabla1[[#This Row],[Aplicación]],14,6)</f>
        <v>203</v>
      </c>
    </row>
    <row r="1588" spans="1:24" x14ac:dyDescent="0.25">
      <c r="A1588" s="45">
        <v>220210002386</v>
      </c>
      <c r="B1588" s="46" t="s">
        <v>9</v>
      </c>
      <c r="C1588" s="47">
        <v>44235</v>
      </c>
      <c r="D1588" s="45">
        <v>22021002185</v>
      </c>
      <c r="E1588" s="46" t="s">
        <v>2849</v>
      </c>
      <c r="F1588" s="48">
        <v>4808.5</v>
      </c>
      <c r="G1588" s="46" t="s">
        <v>313</v>
      </c>
      <c r="H1588" s="46" t="s">
        <v>2850</v>
      </c>
      <c r="I1588" s="45" t="s">
        <v>125</v>
      </c>
      <c r="J1588" s="46" t="s">
        <v>127</v>
      </c>
      <c r="K1588" s="46" t="s">
        <v>127</v>
      </c>
      <c r="L1588" s="46" t="s">
        <v>15</v>
      </c>
      <c r="M1588" s="46" t="s">
        <v>10</v>
      </c>
      <c r="N1588" s="46" t="s">
        <v>11</v>
      </c>
      <c r="O1588" s="49" t="s">
        <v>815</v>
      </c>
      <c r="P1588" s="46" t="s">
        <v>507</v>
      </c>
      <c r="Q1588" s="35" t="str">
        <f>MID(Tabla1[[#This Row],[Aplicación]],14,1)</f>
        <v>2</v>
      </c>
      <c r="R1588" s="35" t="s">
        <v>495</v>
      </c>
      <c r="S1588" s="35" t="str">
        <f>MID(Tabla1[[#This Row],[Aplicación]],6,2)</f>
        <v>03</v>
      </c>
      <c r="T1588" s="35" t="str">
        <f>VLOOKUP(Tabla1[[#This Row],[AREA]],Hoja1!A:B,2,FALSE)</f>
        <v>03. Participación ciudadana y deportes</v>
      </c>
      <c r="U1588" s="35" t="str">
        <f>MID(Tabla1[[#This Row],[Aplicación]],9,4)</f>
        <v>9200</v>
      </c>
      <c r="V1588" s="35" t="str">
        <f>VLOOKUP(Tabla1[[#This Row],[PROGRAMA]],Hoja1!A:B,2,FALSE)</f>
        <v>9200. Dirección del area de participación ciudadana</v>
      </c>
      <c r="W1588" s="35" t="str">
        <f>MID(Tabla1[[#This Row],[Aplicación]],14,2)</f>
        <v>22</v>
      </c>
      <c r="X1588" s="35" t="str">
        <f>MID(Tabla1[[#This Row],[Aplicación]],14,6)</f>
        <v>22602</v>
      </c>
    </row>
    <row r="1589" spans="1:24" x14ac:dyDescent="0.25">
      <c r="A1589" s="45">
        <v>220210002399</v>
      </c>
      <c r="B1589" s="46" t="s">
        <v>9</v>
      </c>
      <c r="C1589" s="47">
        <v>44235</v>
      </c>
      <c r="D1589" s="45">
        <v>22021002285</v>
      </c>
      <c r="E1589" s="46" t="s">
        <v>1180</v>
      </c>
      <c r="F1589" s="48">
        <v>4840</v>
      </c>
      <c r="G1589" s="46" t="s">
        <v>585</v>
      </c>
      <c r="H1589" s="46" t="s">
        <v>2851</v>
      </c>
      <c r="I1589" s="45" t="s">
        <v>125</v>
      </c>
      <c r="J1589" s="46" t="s">
        <v>127</v>
      </c>
      <c r="K1589" s="46" t="s">
        <v>127</v>
      </c>
      <c r="L1589" s="46" t="s">
        <v>15</v>
      </c>
      <c r="M1589" s="46" t="s">
        <v>10</v>
      </c>
      <c r="N1589" s="46" t="s">
        <v>11</v>
      </c>
      <c r="O1589" s="49" t="s">
        <v>815</v>
      </c>
      <c r="P1589" s="46" t="s">
        <v>507</v>
      </c>
      <c r="Q1589" s="35" t="str">
        <f>MID(Tabla1[[#This Row],[Aplicación]],14,1)</f>
        <v>2</v>
      </c>
      <c r="R1589" s="35" t="s">
        <v>495</v>
      </c>
      <c r="S1589" s="35" t="str">
        <f>MID(Tabla1[[#This Row],[Aplicación]],6,2)</f>
        <v>08</v>
      </c>
      <c r="T1589" s="35" t="str">
        <f>VLOOKUP(Tabla1[[#This Row],[AREA]],Hoja1!A:B,2,FALSE)</f>
        <v>08. Movilidad y espacio urbano</v>
      </c>
      <c r="U1589" s="35" t="str">
        <f>MID(Tabla1[[#This Row],[Aplicación]],9,4)</f>
        <v>1532</v>
      </c>
      <c r="V1589" s="35" t="str">
        <f>VLOOKUP(Tabla1[[#This Row],[PROGRAMA]],Hoja1!A:B,2,FALSE)</f>
        <v>1532. Pavimentación vias públicas y otros servicios urbanísticos</v>
      </c>
      <c r="W1589" s="35" t="str">
        <f>MID(Tabla1[[#This Row],[Aplicación]],14,2)</f>
        <v>21</v>
      </c>
      <c r="X1589" s="35" t="str">
        <f>MID(Tabla1[[#This Row],[Aplicación]],14,6)</f>
        <v>210</v>
      </c>
    </row>
    <row r="1590" spans="1:24" x14ac:dyDescent="0.25">
      <c r="A1590" s="45">
        <v>220210004232</v>
      </c>
      <c r="B1590" s="46" t="s">
        <v>9</v>
      </c>
      <c r="C1590" s="47">
        <v>44245</v>
      </c>
      <c r="D1590" s="45">
        <v>22021002803</v>
      </c>
      <c r="E1590" s="46" t="s">
        <v>1270</v>
      </c>
      <c r="F1590" s="48">
        <v>4840</v>
      </c>
      <c r="G1590" s="46" t="s">
        <v>2852</v>
      </c>
      <c r="H1590" s="46" t="s">
        <v>2853</v>
      </c>
      <c r="I1590" s="45" t="s">
        <v>125</v>
      </c>
      <c r="J1590" s="46" t="s">
        <v>127</v>
      </c>
      <c r="K1590" s="46" t="s">
        <v>127</v>
      </c>
      <c r="L1590" s="46" t="s">
        <v>12</v>
      </c>
      <c r="M1590" s="46" t="s">
        <v>10</v>
      </c>
      <c r="N1590" s="46" t="s">
        <v>11</v>
      </c>
      <c r="O1590" s="49" t="s">
        <v>815</v>
      </c>
      <c r="P1590" s="46" t="s">
        <v>507</v>
      </c>
      <c r="Q1590" s="35" t="str">
        <f>MID(Tabla1[[#This Row],[Aplicación]],14,1)</f>
        <v>6</v>
      </c>
      <c r="R1590" s="35" t="s">
        <v>496</v>
      </c>
      <c r="S1590" s="35" t="str">
        <f>MID(Tabla1[[#This Row],[Aplicación]],6,2)</f>
        <v>11</v>
      </c>
      <c r="T1590" s="35" t="str">
        <f>VLOOKUP(Tabla1[[#This Row],[AREA]],Hoja1!A:B,2,FALSE)</f>
        <v>11. Salud pública y seguridad ciudadana</v>
      </c>
      <c r="U1590" s="35" t="str">
        <f>MID(Tabla1[[#This Row],[Aplicación]],9,4)</f>
        <v>1621</v>
      </c>
      <c r="V1590" s="35" t="str">
        <f>VLOOKUP(Tabla1[[#This Row],[PROGRAMA]],Hoja1!A:B,2,FALSE)</f>
        <v>1621. Servicio de limpieza</v>
      </c>
      <c r="W1590" s="35" t="str">
        <f>MID(Tabla1[[#This Row],[Aplicación]],14,2)</f>
        <v>63</v>
      </c>
      <c r="X1590" s="35" t="str">
        <f>MID(Tabla1[[#This Row],[Aplicación]],14,6)</f>
        <v>634</v>
      </c>
    </row>
    <row r="1591" spans="1:24" x14ac:dyDescent="0.25">
      <c r="A1591" s="45">
        <v>220209000713</v>
      </c>
      <c r="B1591" s="46" t="s">
        <v>9</v>
      </c>
      <c r="C1591" s="47">
        <v>44198</v>
      </c>
      <c r="D1591" s="45">
        <v>22021000450</v>
      </c>
      <c r="E1591" s="46" t="s">
        <v>2834</v>
      </c>
      <c r="F1591" s="48">
        <v>4898.7700000000004</v>
      </c>
      <c r="G1591" s="46" t="s">
        <v>101</v>
      </c>
      <c r="H1591" s="46" t="s">
        <v>2854</v>
      </c>
      <c r="I1591" s="45" t="s">
        <v>125</v>
      </c>
      <c r="J1591" s="46" t="s">
        <v>127</v>
      </c>
      <c r="K1591" s="46" t="s">
        <v>127</v>
      </c>
      <c r="L1591" s="46" t="s">
        <v>12</v>
      </c>
      <c r="M1591" s="46" t="s">
        <v>13</v>
      </c>
      <c r="N1591" s="46" t="s">
        <v>14</v>
      </c>
      <c r="O1591" s="49" t="s">
        <v>803</v>
      </c>
      <c r="P1591" s="46" t="s">
        <v>507</v>
      </c>
      <c r="Q1591" s="35" t="str">
        <f>MID(Tabla1[[#This Row],[Aplicación]],14,1)</f>
        <v>2</v>
      </c>
      <c r="R1591" s="35" t="s">
        <v>495</v>
      </c>
      <c r="S1591" s="35" t="str">
        <f>MID(Tabla1[[#This Row],[Aplicación]],6,2)</f>
        <v>10</v>
      </c>
      <c r="T1591" s="35" t="str">
        <f>VLOOKUP(Tabla1[[#This Row],[AREA]],Hoja1!A:B,2,FALSE)</f>
        <v>10. Servicios sociales y mediación comunitaria</v>
      </c>
      <c r="U1591" s="35" t="str">
        <f>MID(Tabla1[[#This Row],[Aplicación]],9,4)</f>
        <v>2412</v>
      </c>
      <c r="V1591" s="35" t="str">
        <f>VLOOKUP(Tabla1[[#This Row],[PROGRAMA]],Hoja1!A:B,2,FALSE)</f>
        <v>2412. Formación para el empleo</v>
      </c>
      <c r="W1591" s="35" t="str">
        <f>MID(Tabla1[[#This Row],[Aplicación]],14,2)</f>
        <v>22</v>
      </c>
      <c r="X1591" s="35" t="str">
        <f>MID(Tabla1[[#This Row],[Aplicación]],14,6)</f>
        <v>22700</v>
      </c>
    </row>
    <row r="1592" spans="1:24" x14ac:dyDescent="0.25">
      <c r="A1592" s="45">
        <v>220209000715</v>
      </c>
      <c r="B1592" s="46" t="s">
        <v>9</v>
      </c>
      <c r="C1592" s="47">
        <v>44198</v>
      </c>
      <c r="D1592" s="45">
        <v>22021000452</v>
      </c>
      <c r="E1592" s="46" t="s">
        <v>2834</v>
      </c>
      <c r="F1592" s="48">
        <v>4898.8</v>
      </c>
      <c r="G1592" s="46" t="s">
        <v>101</v>
      </c>
      <c r="H1592" s="46" t="s">
        <v>2855</v>
      </c>
      <c r="I1592" s="45" t="s">
        <v>125</v>
      </c>
      <c r="J1592" s="46" t="s">
        <v>127</v>
      </c>
      <c r="K1592" s="46" t="s">
        <v>127</v>
      </c>
      <c r="L1592" s="46" t="s">
        <v>12</v>
      </c>
      <c r="M1592" s="46" t="s">
        <v>13</v>
      </c>
      <c r="N1592" s="46" t="s">
        <v>14</v>
      </c>
      <c r="O1592" s="49" t="s">
        <v>803</v>
      </c>
      <c r="P1592" s="46" t="s">
        <v>507</v>
      </c>
      <c r="Q1592" s="35" t="str">
        <f>MID(Tabla1[[#This Row],[Aplicación]],14,1)</f>
        <v>2</v>
      </c>
      <c r="R1592" s="35" t="s">
        <v>495</v>
      </c>
      <c r="S1592" s="35" t="str">
        <f>MID(Tabla1[[#This Row],[Aplicación]],6,2)</f>
        <v>10</v>
      </c>
      <c r="T1592" s="35" t="str">
        <f>VLOOKUP(Tabla1[[#This Row],[AREA]],Hoja1!A:B,2,FALSE)</f>
        <v>10. Servicios sociales y mediación comunitaria</v>
      </c>
      <c r="U1592" s="35" t="str">
        <f>MID(Tabla1[[#This Row],[Aplicación]],9,4)</f>
        <v>2412</v>
      </c>
      <c r="V1592" s="35" t="str">
        <f>VLOOKUP(Tabla1[[#This Row],[PROGRAMA]],Hoja1!A:B,2,FALSE)</f>
        <v>2412. Formación para el empleo</v>
      </c>
      <c r="W1592" s="35" t="str">
        <f>MID(Tabla1[[#This Row],[Aplicación]],14,2)</f>
        <v>22</v>
      </c>
      <c r="X1592" s="35" t="str">
        <f>MID(Tabla1[[#This Row],[Aplicación]],14,6)</f>
        <v>22700</v>
      </c>
    </row>
    <row r="1593" spans="1:24" x14ac:dyDescent="0.25">
      <c r="A1593" s="45">
        <v>220209000709</v>
      </c>
      <c r="B1593" s="46" t="s">
        <v>9</v>
      </c>
      <c r="C1593" s="47">
        <v>44198</v>
      </c>
      <c r="D1593" s="45">
        <v>22021000446</v>
      </c>
      <c r="E1593" s="46" t="s">
        <v>2026</v>
      </c>
      <c r="F1593" s="48">
        <v>4954.83</v>
      </c>
      <c r="G1593" s="46" t="s">
        <v>56</v>
      </c>
      <c r="H1593" s="46" t="s">
        <v>2856</v>
      </c>
      <c r="I1593" s="45" t="s">
        <v>125</v>
      </c>
      <c r="J1593" s="46" t="s">
        <v>127</v>
      </c>
      <c r="K1593" s="46" t="s">
        <v>127</v>
      </c>
      <c r="L1593" s="46" t="s">
        <v>12</v>
      </c>
      <c r="M1593" s="46" t="s">
        <v>13</v>
      </c>
      <c r="N1593" s="46" t="s">
        <v>14</v>
      </c>
      <c r="O1593" s="49" t="s">
        <v>803</v>
      </c>
      <c r="P1593" s="46" t="s">
        <v>507</v>
      </c>
      <c r="Q1593" s="35" t="str">
        <f>MID(Tabla1[[#This Row],[Aplicación]],14,1)</f>
        <v>2</v>
      </c>
      <c r="R1593" s="35" t="s">
        <v>495</v>
      </c>
      <c r="S1593" s="35" t="str">
        <f>MID(Tabla1[[#This Row],[Aplicación]],6,2)</f>
        <v>10</v>
      </c>
      <c r="T1593" s="35" t="str">
        <f>VLOOKUP(Tabla1[[#This Row],[AREA]],Hoja1!A:B,2,FALSE)</f>
        <v>10. Servicios sociales y mediación comunitaria</v>
      </c>
      <c r="U1593" s="35" t="str">
        <f>MID(Tabla1[[#This Row],[Aplicación]],9,4)</f>
        <v>2412</v>
      </c>
      <c r="V1593" s="35" t="str">
        <f>VLOOKUP(Tabla1[[#This Row],[PROGRAMA]],Hoja1!A:B,2,FALSE)</f>
        <v>2412. Formación para el empleo</v>
      </c>
      <c r="W1593" s="35" t="str">
        <f>MID(Tabla1[[#This Row],[Aplicación]],14,2)</f>
        <v>22</v>
      </c>
      <c r="X1593" s="35" t="str">
        <f>MID(Tabla1[[#This Row],[Aplicación]],14,6)</f>
        <v>22799</v>
      </c>
    </row>
    <row r="1594" spans="1:24" x14ac:dyDescent="0.25">
      <c r="A1594" s="45">
        <v>220209000712</v>
      </c>
      <c r="B1594" s="46" t="s">
        <v>9</v>
      </c>
      <c r="C1594" s="47">
        <v>44198</v>
      </c>
      <c r="D1594" s="45">
        <v>22021000449</v>
      </c>
      <c r="E1594" s="46" t="s">
        <v>2026</v>
      </c>
      <c r="F1594" s="48">
        <v>4954.83</v>
      </c>
      <c r="G1594" s="46" t="s">
        <v>56</v>
      </c>
      <c r="H1594" s="46" t="s">
        <v>2857</v>
      </c>
      <c r="I1594" s="45" t="s">
        <v>125</v>
      </c>
      <c r="J1594" s="46" t="s">
        <v>127</v>
      </c>
      <c r="K1594" s="46" t="s">
        <v>127</v>
      </c>
      <c r="L1594" s="46" t="s">
        <v>12</v>
      </c>
      <c r="M1594" s="46" t="s">
        <v>13</v>
      </c>
      <c r="N1594" s="46" t="s">
        <v>14</v>
      </c>
      <c r="O1594" s="49" t="s">
        <v>803</v>
      </c>
      <c r="P1594" s="46" t="s">
        <v>507</v>
      </c>
      <c r="Q1594" s="35" t="str">
        <f>MID(Tabla1[[#This Row],[Aplicación]],14,1)</f>
        <v>2</v>
      </c>
      <c r="R1594" s="35" t="s">
        <v>495</v>
      </c>
      <c r="S1594" s="35" t="str">
        <f>MID(Tabla1[[#This Row],[Aplicación]],6,2)</f>
        <v>10</v>
      </c>
      <c r="T1594" s="35" t="str">
        <f>VLOOKUP(Tabla1[[#This Row],[AREA]],Hoja1!A:B,2,FALSE)</f>
        <v>10. Servicios sociales y mediación comunitaria</v>
      </c>
      <c r="U1594" s="35" t="str">
        <f>MID(Tabla1[[#This Row],[Aplicación]],9,4)</f>
        <v>2412</v>
      </c>
      <c r="V1594" s="35" t="str">
        <f>VLOOKUP(Tabla1[[#This Row],[PROGRAMA]],Hoja1!A:B,2,FALSE)</f>
        <v>2412. Formación para el empleo</v>
      </c>
      <c r="W1594" s="35" t="str">
        <f>MID(Tabla1[[#This Row],[Aplicación]],14,2)</f>
        <v>22</v>
      </c>
      <c r="X1594" s="35" t="str">
        <f>MID(Tabla1[[#This Row],[Aplicación]],14,6)</f>
        <v>22799</v>
      </c>
    </row>
    <row r="1595" spans="1:24" x14ac:dyDescent="0.25">
      <c r="A1595" s="45">
        <v>220210001363</v>
      </c>
      <c r="B1595" s="46" t="s">
        <v>9</v>
      </c>
      <c r="C1595" s="47">
        <v>44228</v>
      </c>
      <c r="D1595" s="45">
        <v>22021001302</v>
      </c>
      <c r="E1595" s="46" t="s">
        <v>890</v>
      </c>
      <c r="F1595" s="48">
        <v>5000</v>
      </c>
      <c r="G1595" s="46" t="s">
        <v>106</v>
      </c>
      <c r="H1595" s="46" t="s">
        <v>2858</v>
      </c>
      <c r="I1595" s="45" t="s">
        <v>125</v>
      </c>
      <c r="J1595" s="46" t="s">
        <v>613</v>
      </c>
      <c r="K1595" s="46" t="s">
        <v>127</v>
      </c>
      <c r="L1595" s="46" t="s">
        <v>12</v>
      </c>
      <c r="M1595" s="46" t="s">
        <v>10</v>
      </c>
      <c r="N1595" s="46" t="s">
        <v>11</v>
      </c>
      <c r="O1595" s="49" t="s">
        <v>815</v>
      </c>
      <c r="P1595" s="46" t="s">
        <v>507</v>
      </c>
      <c r="Q1595" s="35" t="str">
        <f>MID(Tabla1[[#This Row],[Aplicación]],14,1)</f>
        <v>2</v>
      </c>
      <c r="R1595" s="35" t="s">
        <v>495</v>
      </c>
      <c r="S1595" s="35" t="str">
        <f>MID(Tabla1[[#This Row],[Aplicación]],6,2)</f>
        <v>11</v>
      </c>
      <c r="T1595" s="35" t="str">
        <f>VLOOKUP(Tabla1[[#This Row],[AREA]],Hoja1!A:B,2,FALSE)</f>
        <v>11. Salud pública y seguridad ciudadana</v>
      </c>
      <c r="U1595" s="35" t="str">
        <f>MID(Tabla1[[#This Row],[Aplicación]],9,4)</f>
        <v>1621</v>
      </c>
      <c r="V1595" s="35" t="str">
        <f>VLOOKUP(Tabla1[[#This Row],[PROGRAMA]],Hoja1!A:B,2,FALSE)</f>
        <v>1621. Servicio de limpieza</v>
      </c>
      <c r="W1595" s="35" t="str">
        <f>MID(Tabla1[[#This Row],[Aplicación]],14,2)</f>
        <v>21</v>
      </c>
      <c r="X1595" s="35" t="str">
        <f>MID(Tabla1[[#This Row],[Aplicación]],14,6)</f>
        <v>214</v>
      </c>
    </row>
    <row r="1596" spans="1:24" x14ac:dyDescent="0.25">
      <c r="A1596" s="45">
        <v>220209000504</v>
      </c>
      <c r="B1596" s="46" t="s">
        <v>9</v>
      </c>
      <c r="C1596" s="47">
        <v>44198</v>
      </c>
      <c r="D1596" s="45">
        <v>22021000771</v>
      </c>
      <c r="E1596" s="46" t="s">
        <v>836</v>
      </c>
      <c r="F1596" s="48">
        <v>5000</v>
      </c>
      <c r="G1596" s="46" t="s">
        <v>2859</v>
      </c>
      <c r="H1596" s="46" t="s">
        <v>2860</v>
      </c>
      <c r="I1596" s="45" t="s">
        <v>125</v>
      </c>
      <c r="J1596" s="46" t="s">
        <v>2861</v>
      </c>
      <c r="K1596" s="46" t="s">
        <v>126</v>
      </c>
      <c r="L1596" s="46" t="s">
        <v>12</v>
      </c>
      <c r="M1596" s="46" t="s">
        <v>10</v>
      </c>
      <c r="N1596" s="46" t="s">
        <v>11</v>
      </c>
      <c r="O1596" s="49" t="s">
        <v>815</v>
      </c>
      <c r="P1596" s="46" t="s">
        <v>507</v>
      </c>
      <c r="Q1596" s="35" t="str">
        <f>MID(Tabla1[[#This Row],[Aplicación]],14,1)</f>
        <v>2</v>
      </c>
      <c r="R1596" s="35" t="s">
        <v>495</v>
      </c>
      <c r="S1596" s="35" t="str">
        <f>MID(Tabla1[[#This Row],[Aplicación]],6,2)</f>
        <v>05</v>
      </c>
      <c r="T1596" s="35" t="str">
        <f>VLOOKUP(Tabla1[[#This Row],[AREA]],Hoja1!A:B,2,FALSE)</f>
        <v>05. Innovación, desarrollo económico, empleo y comercio</v>
      </c>
      <c r="U1596" s="35" t="str">
        <f>MID(Tabla1[[#This Row],[Aplicación]],9,4)</f>
        <v>4331</v>
      </c>
      <c r="V1596" s="35" t="str">
        <f>VLOOKUP(Tabla1[[#This Row],[PROGRAMA]],Hoja1!A:B,2,FALSE)</f>
        <v>4331. Desarrollo empresarial</v>
      </c>
      <c r="W1596" s="35" t="str">
        <f>MID(Tabla1[[#This Row],[Aplicación]],14,2)</f>
        <v>22</v>
      </c>
      <c r="X1596" s="35" t="str">
        <f>MID(Tabla1[[#This Row],[Aplicación]],14,6)</f>
        <v>22699</v>
      </c>
    </row>
    <row r="1597" spans="1:24" x14ac:dyDescent="0.25">
      <c r="A1597" s="45">
        <v>220210010236</v>
      </c>
      <c r="B1597" s="46" t="s">
        <v>9</v>
      </c>
      <c r="C1597" s="47">
        <v>44273</v>
      </c>
      <c r="D1597" s="45">
        <v>22021003408</v>
      </c>
      <c r="E1597" s="46" t="s">
        <v>982</v>
      </c>
      <c r="F1597" s="48">
        <v>1445.95</v>
      </c>
      <c r="G1597" s="46" t="s">
        <v>59</v>
      </c>
      <c r="H1597" s="46" t="s">
        <v>2862</v>
      </c>
      <c r="I1597" s="45" t="s">
        <v>125</v>
      </c>
      <c r="J1597" s="46" t="s">
        <v>127</v>
      </c>
      <c r="K1597" s="46" t="s">
        <v>127</v>
      </c>
      <c r="L1597" s="46" t="s">
        <v>15</v>
      </c>
      <c r="M1597" s="46" t="s">
        <v>10</v>
      </c>
      <c r="N1597" s="46" t="s">
        <v>11</v>
      </c>
      <c r="O1597" s="49" t="s">
        <v>815</v>
      </c>
      <c r="P1597" s="46" t="s">
        <v>507</v>
      </c>
      <c r="Q1597" s="35" t="str">
        <f>MID(Tabla1[[#This Row],[Aplicación]],14,1)</f>
        <v>2</v>
      </c>
      <c r="R1597" s="35" t="s">
        <v>495</v>
      </c>
      <c r="S1597" s="35" t="str">
        <f>MID(Tabla1[[#This Row],[Aplicación]],6,2)</f>
        <v>10</v>
      </c>
      <c r="T1597" s="35" t="str">
        <f>VLOOKUP(Tabla1[[#This Row],[AREA]],Hoja1!A:B,2,FALSE)</f>
        <v>10. Servicios sociales y mediación comunitaria</v>
      </c>
      <c r="U1597" s="35" t="str">
        <f>MID(Tabla1[[#This Row],[Aplicación]],9,4)</f>
        <v>2312</v>
      </c>
      <c r="V1597" s="35" t="str">
        <f>VLOOKUP(Tabla1[[#This Row],[PROGRAMA]],Hoja1!A:B,2,FALSE)</f>
        <v>2312. Iniciativas sociales</v>
      </c>
      <c r="W1597" s="35" t="str">
        <f>MID(Tabla1[[#This Row],[Aplicación]],14,2)</f>
        <v>21</v>
      </c>
      <c r="X1597" s="35" t="str">
        <f>MID(Tabla1[[#This Row],[Aplicación]],14,6)</f>
        <v>213</v>
      </c>
    </row>
    <row r="1598" spans="1:24" x14ac:dyDescent="0.25">
      <c r="A1598" s="45">
        <v>220210007187</v>
      </c>
      <c r="B1598" s="46" t="s">
        <v>9</v>
      </c>
      <c r="C1598" s="47">
        <v>44263</v>
      </c>
      <c r="D1598" s="45">
        <v>22021000130</v>
      </c>
      <c r="E1598" s="46" t="s">
        <v>881</v>
      </c>
      <c r="F1598" s="48">
        <v>19357.580000000002</v>
      </c>
      <c r="G1598" s="46" t="s">
        <v>2863</v>
      </c>
      <c r="H1598" s="46" t="s">
        <v>2864</v>
      </c>
      <c r="I1598" s="45" t="s">
        <v>125</v>
      </c>
      <c r="J1598" s="46" t="s">
        <v>127</v>
      </c>
      <c r="K1598" s="46" t="s">
        <v>127</v>
      </c>
      <c r="L1598" s="46" t="s">
        <v>12</v>
      </c>
      <c r="M1598" s="46" t="s">
        <v>13</v>
      </c>
      <c r="N1598" s="46" t="s">
        <v>14</v>
      </c>
      <c r="O1598" s="49" t="s">
        <v>803</v>
      </c>
      <c r="P1598" s="46" t="s">
        <v>507</v>
      </c>
      <c r="Q1598" s="35" t="str">
        <f>MID(Tabla1[[#This Row],[Aplicación]],14,1)</f>
        <v>2</v>
      </c>
      <c r="R1598" s="35" t="s">
        <v>495</v>
      </c>
      <c r="S1598" s="35" t="str">
        <f>MID(Tabla1[[#This Row],[Aplicación]],6,2)</f>
        <v>05</v>
      </c>
      <c r="T1598" s="35" t="str">
        <f>VLOOKUP(Tabla1[[#This Row],[AREA]],Hoja1!A:B,2,FALSE)</f>
        <v>05. Innovación, desarrollo económico, empleo y comercio</v>
      </c>
      <c r="U1598" s="35" t="str">
        <f>MID(Tabla1[[#This Row],[Aplicación]],9,4)</f>
        <v>4331</v>
      </c>
      <c r="V1598" s="35" t="str">
        <f>VLOOKUP(Tabla1[[#This Row],[PROGRAMA]],Hoja1!A:B,2,FALSE)</f>
        <v>4331. Desarrollo empresarial</v>
      </c>
      <c r="W1598" s="35" t="str">
        <f>MID(Tabla1[[#This Row],[Aplicación]],14,2)</f>
        <v>22</v>
      </c>
      <c r="X1598" s="35" t="str">
        <f>MID(Tabla1[[#This Row],[Aplicación]],14,6)</f>
        <v>22799</v>
      </c>
    </row>
    <row r="1599" spans="1:24" x14ac:dyDescent="0.25">
      <c r="A1599" s="45">
        <v>220210007188</v>
      </c>
      <c r="B1599" s="46" t="s">
        <v>9</v>
      </c>
      <c r="C1599" s="47">
        <v>44263</v>
      </c>
      <c r="D1599" s="45">
        <v>22021000131</v>
      </c>
      <c r="E1599" s="46" t="s">
        <v>881</v>
      </c>
      <c r="F1599" s="48">
        <v>20328</v>
      </c>
      <c r="G1599" s="46" t="s">
        <v>2863</v>
      </c>
      <c r="H1599" s="46" t="s">
        <v>2865</v>
      </c>
      <c r="I1599" s="45" t="s">
        <v>125</v>
      </c>
      <c r="J1599" s="46" t="s">
        <v>127</v>
      </c>
      <c r="K1599" s="46" t="s">
        <v>127</v>
      </c>
      <c r="L1599" s="46" t="s">
        <v>12</v>
      </c>
      <c r="M1599" s="46" t="s">
        <v>13</v>
      </c>
      <c r="N1599" s="46" t="s">
        <v>14</v>
      </c>
      <c r="O1599" s="49" t="s">
        <v>803</v>
      </c>
      <c r="P1599" s="46" t="s">
        <v>507</v>
      </c>
      <c r="Q1599" s="35" t="str">
        <f>MID(Tabla1[[#This Row],[Aplicación]],14,1)</f>
        <v>2</v>
      </c>
      <c r="R1599" s="35" t="s">
        <v>495</v>
      </c>
      <c r="S1599" s="35" t="str">
        <f>MID(Tabla1[[#This Row],[Aplicación]],6,2)</f>
        <v>05</v>
      </c>
      <c r="T1599" s="35" t="str">
        <f>VLOOKUP(Tabla1[[#This Row],[AREA]],Hoja1!A:B,2,FALSE)</f>
        <v>05. Innovación, desarrollo económico, empleo y comercio</v>
      </c>
      <c r="U1599" s="35" t="str">
        <f>MID(Tabla1[[#This Row],[Aplicación]],9,4)</f>
        <v>4331</v>
      </c>
      <c r="V1599" s="35" t="str">
        <f>VLOOKUP(Tabla1[[#This Row],[PROGRAMA]],Hoja1!A:B,2,FALSE)</f>
        <v>4331. Desarrollo empresarial</v>
      </c>
      <c r="W1599" s="35" t="str">
        <f>MID(Tabla1[[#This Row],[Aplicación]],14,2)</f>
        <v>22</v>
      </c>
      <c r="X1599" s="35" t="str">
        <f>MID(Tabla1[[#This Row],[Aplicación]],14,6)</f>
        <v>22799</v>
      </c>
    </row>
    <row r="1600" spans="1:24" x14ac:dyDescent="0.25">
      <c r="A1600" s="45">
        <v>220210007189</v>
      </c>
      <c r="B1600" s="46" t="s">
        <v>9</v>
      </c>
      <c r="C1600" s="47">
        <v>44263</v>
      </c>
      <c r="D1600" s="45">
        <v>22021000132</v>
      </c>
      <c r="E1600" s="46" t="s">
        <v>881</v>
      </c>
      <c r="F1600" s="48">
        <v>20564.189999999999</v>
      </c>
      <c r="G1600" s="46" t="s">
        <v>2866</v>
      </c>
      <c r="H1600" s="46" t="s">
        <v>2867</v>
      </c>
      <c r="I1600" s="45" t="s">
        <v>125</v>
      </c>
      <c r="J1600" s="46" t="s">
        <v>127</v>
      </c>
      <c r="K1600" s="46" t="s">
        <v>127</v>
      </c>
      <c r="L1600" s="46" t="s">
        <v>12</v>
      </c>
      <c r="M1600" s="46" t="s">
        <v>13</v>
      </c>
      <c r="N1600" s="46" t="s">
        <v>14</v>
      </c>
      <c r="O1600" s="49" t="s">
        <v>803</v>
      </c>
      <c r="P1600" s="46" t="s">
        <v>507</v>
      </c>
      <c r="Q1600" s="35" t="str">
        <f>MID(Tabla1[[#This Row],[Aplicación]],14,1)</f>
        <v>2</v>
      </c>
      <c r="R1600" s="35" t="s">
        <v>495</v>
      </c>
      <c r="S1600" s="35" t="str">
        <f>MID(Tabla1[[#This Row],[Aplicación]],6,2)</f>
        <v>05</v>
      </c>
      <c r="T1600" s="35" t="str">
        <f>VLOOKUP(Tabla1[[#This Row],[AREA]],Hoja1!A:B,2,FALSE)</f>
        <v>05. Innovación, desarrollo económico, empleo y comercio</v>
      </c>
      <c r="U1600" s="35" t="str">
        <f>MID(Tabla1[[#This Row],[Aplicación]],9,4)</f>
        <v>4331</v>
      </c>
      <c r="V1600" s="35" t="str">
        <f>VLOOKUP(Tabla1[[#This Row],[PROGRAMA]],Hoja1!A:B,2,FALSE)</f>
        <v>4331. Desarrollo empresarial</v>
      </c>
      <c r="W1600" s="35" t="str">
        <f>MID(Tabla1[[#This Row],[Aplicación]],14,2)</f>
        <v>22</v>
      </c>
      <c r="X1600" s="35" t="str">
        <f>MID(Tabla1[[#This Row],[Aplicación]],14,6)</f>
        <v>22799</v>
      </c>
    </row>
    <row r="1601" spans="1:24" x14ac:dyDescent="0.25">
      <c r="A1601" s="45">
        <v>220210007190</v>
      </c>
      <c r="B1601" s="46" t="s">
        <v>9</v>
      </c>
      <c r="C1601" s="47">
        <v>44263</v>
      </c>
      <c r="D1601" s="45">
        <v>22021000133</v>
      </c>
      <c r="E1601" s="46" t="s">
        <v>881</v>
      </c>
      <c r="F1601" s="48">
        <v>17093.63</v>
      </c>
      <c r="G1601" s="46" t="s">
        <v>2866</v>
      </c>
      <c r="H1601" s="46" t="s">
        <v>2868</v>
      </c>
      <c r="I1601" s="45" t="s">
        <v>125</v>
      </c>
      <c r="J1601" s="46" t="s">
        <v>127</v>
      </c>
      <c r="K1601" s="46" t="s">
        <v>127</v>
      </c>
      <c r="L1601" s="46" t="s">
        <v>12</v>
      </c>
      <c r="M1601" s="46" t="s">
        <v>13</v>
      </c>
      <c r="N1601" s="46" t="s">
        <v>14</v>
      </c>
      <c r="O1601" s="49" t="s">
        <v>803</v>
      </c>
      <c r="P1601" s="46" t="s">
        <v>507</v>
      </c>
      <c r="Q1601" s="35" t="str">
        <f>MID(Tabla1[[#This Row],[Aplicación]],14,1)</f>
        <v>2</v>
      </c>
      <c r="R1601" s="35" t="s">
        <v>495</v>
      </c>
      <c r="S1601" s="35" t="str">
        <f>MID(Tabla1[[#This Row],[Aplicación]],6,2)</f>
        <v>05</v>
      </c>
      <c r="T1601" s="35" t="str">
        <f>VLOOKUP(Tabla1[[#This Row],[AREA]],Hoja1!A:B,2,FALSE)</f>
        <v>05. Innovación, desarrollo económico, empleo y comercio</v>
      </c>
      <c r="U1601" s="35" t="str">
        <f>MID(Tabla1[[#This Row],[Aplicación]],9,4)</f>
        <v>4331</v>
      </c>
      <c r="V1601" s="35" t="str">
        <f>VLOOKUP(Tabla1[[#This Row],[PROGRAMA]],Hoja1!A:B,2,FALSE)</f>
        <v>4331. Desarrollo empresarial</v>
      </c>
      <c r="W1601" s="35" t="str">
        <f>MID(Tabla1[[#This Row],[Aplicación]],14,2)</f>
        <v>22</v>
      </c>
      <c r="X1601" s="35" t="str">
        <f>MID(Tabla1[[#This Row],[Aplicación]],14,6)</f>
        <v>22799</v>
      </c>
    </row>
    <row r="1602" spans="1:24" x14ac:dyDescent="0.25">
      <c r="A1602" s="45">
        <v>220210007191</v>
      </c>
      <c r="B1602" s="46" t="s">
        <v>9</v>
      </c>
      <c r="C1602" s="47">
        <v>44263</v>
      </c>
      <c r="D1602" s="45">
        <v>22021000134</v>
      </c>
      <c r="E1602" s="46" t="s">
        <v>881</v>
      </c>
      <c r="F1602" s="48">
        <v>14637.37</v>
      </c>
      <c r="G1602" s="46" t="s">
        <v>2869</v>
      </c>
      <c r="H1602" s="46" t="s">
        <v>2870</v>
      </c>
      <c r="I1602" s="45" t="s">
        <v>125</v>
      </c>
      <c r="J1602" s="46" t="s">
        <v>127</v>
      </c>
      <c r="K1602" s="46" t="s">
        <v>127</v>
      </c>
      <c r="L1602" s="46" t="s">
        <v>12</v>
      </c>
      <c r="M1602" s="46" t="s">
        <v>13</v>
      </c>
      <c r="N1602" s="46" t="s">
        <v>14</v>
      </c>
      <c r="O1602" s="49" t="s">
        <v>803</v>
      </c>
      <c r="P1602" s="46" t="s">
        <v>507</v>
      </c>
      <c r="Q1602" s="35" t="str">
        <f>MID(Tabla1[[#This Row],[Aplicación]],14,1)</f>
        <v>2</v>
      </c>
      <c r="R1602" s="35" t="s">
        <v>495</v>
      </c>
      <c r="S1602" s="35" t="str">
        <f>MID(Tabla1[[#This Row],[Aplicación]],6,2)</f>
        <v>05</v>
      </c>
      <c r="T1602" s="35" t="str">
        <f>VLOOKUP(Tabla1[[#This Row],[AREA]],Hoja1!A:B,2,FALSE)</f>
        <v>05. Innovación, desarrollo económico, empleo y comercio</v>
      </c>
      <c r="U1602" s="35" t="str">
        <f>MID(Tabla1[[#This Row],[Aplicación]],9,4)</f>
        <v>4331</v>
      </c>
      <c r="V1602" s="35" t="str">
        <f>VLOOKUP(Tabla1[[#This Row],[PROGRAMA]],Hoja1!A:B,2,FALSE)</f>
        <v>4331. Desarrollo empresarial</v>
      </c>
      <c r="W1602" s="35" t="str">
        <f>MID(Tabla1[[#This Row],[Aplicación]],14,2)</f>
        <v>22</v>
      </c>
      <c r="X1602" s="35" t="str">
        <f>MID(Tabla1[[#This Row],[Aplicación]],14,6)</f>
        <v>22799</v>
      </c>
    </row>
    <row r="1603" spans="1:24" x14ac:dyDescent="0.25">
      <c r="A1603" s="45">
        <v>220210007192</v>
      </c>
      <c r="B1603" s="46" t="s">
        <v>9</v>
      </c>
      <c r="C1603" s="47">
        <v>44263</v>
      </c>
      <c r="D1603" s="45">
        <v>22021000135</v>
      </c>
      <c r="E1603" s="46" t="s">
        <v>881</v>
      </c>
      <c r="F1603" s="48">
        <v>10799.25</v>
      </c>
      <c r="G1603" s="46" t="s">
        <v>2866</v>
      </c>
      <c r="H1603" s="46" t="s">
        <v>2871</v>
      </c>
      <c r="I1603" s="45" t="s">
        <v>125</v>
      </c>
      <c r="J1603" s="46" t="s">
        <v>127</v>
      </c>
      <c r="K1603" s="46" t="s">
        <v>127</v>
      </c>
      <c r="L1603" s="46" t="s">
        <v>12</v>
      </c>
      <c r="M1603" s="46" t="s">
        <v>13</v>
      </c>
      <c r="N1603" s="46" t="s">
        <v>14</v>
      </c>
      <c r="O1603" s="49" t="s">
        <v>803</v>
      </c>
      <c r="P1603" s="46" t="s">
        <v>507</v>
      </c>
      <c r="Q1603" s="35" t="str">
        <f>MID(Tabla1[[#This Row],[Aplicación]],14,1)</f>
        <v>2</v>
      </c>
      <c r="R1603" s="35" t="s">
        <v>495</v>
      </c>
      <c r="S1603" s="35" t="str">
        <f>MID(Tabla1[[#This Row],[Aplicación]],6,2)</f>
        <v>05</v>
      </c>
      <c r="T1603" s="35" t="str">
        <f>VLOOKUP(Tabla1[[#This Row],[AREA]],Hoja1!A:B,2,FALSE)</f>
        <v>05. Innovación, desarrollo económico, empleo y comercio</v>
      </c>
      <c r="U1603" s="35" t="str">
        <f>MID(Tabla1[[#This Row],[Aplicación]],9,4)</f>
        <v>4331</v>
      </c>
      <c r="V1603" s="35" t="str">
        <f>VLOOKUP(Tabla1[[#This Row],[PROGRAMA]],Hoja1!A:B,2,FALSE)</f>
        <v>4331. Desarrollo empresarial</v>
      </c>
      <c r="W1603" s="35" t="str">
        <f>MID(Tabla1[[#This Row],[Aplicación]],14,2)</f>
        <v>22</v>
      </c>
      <c r="X1603" s="35" t="str">
        <f>MID(Tabla1[[#This Row],[Aplicación]],14,6)</f>
        <v>22799</v>
      </c>
    </row>
    <row r="1604" spans="1:24" x14ac:dyDescent="0.25">
      <c r="A1604" s="45">
        <v>220210007193</v>
      </c>
      <c r="B1604" s="46" t="s">
        <v>9</v>
      </c>
      <c r="C1604" s="47">
        <v>44263</v>
      </c>
      <c r="D1604" s="45">
        <v>22021000137</v>
      </c>
      <c r="E1604" s="46" t="s">
        <v>881</v>
      </c>
      <c r="F1604" s="48">
        <v>10785.09</v>
      </c>
      <c r="G1604" s="46" t="s">
        <v>2344</v>
      </c>
      <c r="H1604" s="46" t="s">
        <v>2872</v>
      </c>
      <c r="I1604" s="45" t="s">
        <v>125</v>
      </c>
      <c r="J1604" s="46" t="s">
        <v>157</v>
      </c>
      <c r="K1604" s="46" t="s">
        <v>157</v>
      </c>
      <c r="L1604" s="46" t="s">
        <v>12</v>
      </c>
      <c r="M1604" s="46" t="s">
        <v>13</v>
      </c>
      <c r="N1604" s="46" t="s">
        <v>14</v>
      </c>
      <c r="O1604" s="49" t="s">
        <v>803</v>
      </c>
      <c r="P1604" s="46" t="s">
        <v>507</v>
      </c>
      <c r="Q1604" s="35" t="str">
        <f>MID(Tabla1[[#This Row],[Aplicación]],14,1)</f>
        <v>2</v>
      </c>
      <c r="R1604" s="35" t="s">
        <v>495</v>
      </c>
      <c r="S1604" s="35" t="str">
        <f>MID(Tabla1[[#This Row],[Aplicación]],6,2)</f>
        <v>05</v>
      </c>
      <c r="T1604" s="35" t="str">
        <f>VLOOKUP(Tabla1[[#This Row],[AREA]],Hoja1!A:B,2,FALSE)</f>
        <v>05. Innovación, desarrollo económico, empleo y comercio</v>
      </c>
      <c r="U1604" s="35" t="str">
        <f>MID(Tabla1[[#This Row],[Aplicación]],9,4)</f>
        <v>4331</v>
      </c>
      <c r="V1604" s="35" t="str">
        <f>VLOOKUP(Tabla1[[#This Row],[PROGRAMA]],Hoja1!A:B,2,FALSE)</f>
        <v>4331. Desarrollo empresarial</v>
      </c>
      <c r="W1604" s="35" t="str">
        <f>MID(Tabla1[[#This Row],[Aplicación]],14,2)</f>
        <v>22</v>
      </c>
      <c r="X1604" s="35" t="str">
        <f>MID(Tabla1[[#This Row],[Aplicación]],14,6)</f>
        <v>22799</v>
      </c>
    </row>
    <row r="1605" spans="1:24" x14ac:dyDescent="0.25">
      <c r="A1605" s="45">
        <v>220210007194</v>
      </c>
      <c r="B1605" s="46" t="s">
        <v>9</v>
      </c>
      <c r="C1605" s="47">
        <v>44263</v>
      </c>
      <c r="D1605" s="45">
        <v>22021002647</v>
      </c>
      <c r="E1605" s="46" t="s">
        <v>1767</v>
      </c>
      <c r="F1605" s="48">
        <v>8000</v>
      </c>
      <c r="G1605" s="46" t="s">
        <v>44</v>
      </c>
      <c r="H1605" s="46" t="s">
        <v>2873</v>
      </c>
      <c r="I1605" s="45" t="s">
        <v>125</v>
      </c>
      <c r="J1605" s="46" t="s">
        <v>146</v>
      </c>
      <c r="K1605" s="46" t="s">
        <v>146</v>
      </c>
      <c r="L1605" s="46" t="s">
        <v>15</v>
      </c>
      <c r="M1605" s="46" t="s">
        <v>13</v>
      </c>
      <c r="N1605" s="46" t="s">
        <v>14</v>
      </c>
      <c r="O1605" s="49" t="s">
        <v>803</v>
      </c>
      <c r="P1605" s="46" t="s">
        <v>507</v>
      </c>
      <c r="Q1605" s="35" t="str">
        <f>MID(Tabla1[[#This Row],[Aplicación]],14,1)</f>
        <v>2</v>
      </c>
      <c r="R1605" s="35" t="s">
        <v>495</v>
      </c>
      <c r="S1605" s="35" t="str">
        <f>MID(Tabla1[[#This Row],[Aplicación]],6,2)</f>
        <v>10</v>
      </c>
      <c r="T1605" s="35" t="str">
        <f>VLOOKUP(Tabla1[[#This Row],[AREA]],Hoja1!A:B,2,FALSE)</f>
        <v>10. Servicios sociales y mediación comunitaria</v>
      </c>
      <c r="U1605" s="35" t="str">
        <f>MID(Tabla1[[#This Row],[Aplicación]],9,4)</f>
        <v>2311</v>
      </c>
      <c r="V1605" s="35" t="str">
        <f>VLOOKUP(Tabla1[[#This Row],[PROGRAMA]],Hoja1!A:B,2,FALSE)</f>
        <v>2311. Intervención social</v>
      </c>
      <c r="W1605" s="35" t="str">
        <f>MID(Tabla1[[#This Row],[Aplicación]],14,2)</f>
        <v>22</v>
      </c>
      <c r="X1605" s="35" t="str">
        <f>MID(Tabla1[[#This Row],[Aplicación]],14,6)</f>
        <v>22102</v>
      </c>
    </row>
    <row r="1606" spans="1:24" x14ac:dyDescent="0.25">
      <c r="A1606" s="45">
        <v>220210003991</v>
      </c>
      <c r="B1606" s="46" t="s">
        <v>9</v>
      </c>
      <c r="C1606" s="47">
        <v>44244</v>
      </c>
      <c r="D1606" s="45">
        <v>22021002563</v>
      </c>
      <c r="E1606" s="46" t="s">
        <v>866</v>
      </c>
      <c r="F1606" s="48">
        <v>5000</v>
      </c>
      <c r="G1606" s="46" t="s">
        <v>758</v>
      </c>
      <c r="H1606" s="46" t="s">
        <v>2874</v>
      </c>
      <c r="I1606" s="45" t="s">
        <v>125</v>
      </c>
      <c r="J1606" s="46" t="s">
        <v>759</v>
      </c>
      <c r="K1606" s="46" t="s">
        <v>146</v>
      </c>
      <c r="L1606" s="46" t="s">
        <v>15</v>
      </c>
      <c r="M1606" s="46" t="s">
        <v>10</v>
      </c>
      <c r="N1606" s="46" t="s">
        <v>11</v>
      </c>
      <c r="O1606" s="49" t="s">
        <v>815</v>
      </c>
      <c r="P1606" s="46" t="s">
        <v>507</v>
      </c>
      <c r="Q1606" s="35" t="str">
        <f>MID(Tabla1[[#This Row],[Aplicación]],14,1)</f>
        <v>2</v>
      </c>
      <c r="R1606" s="35" t="s">
        <v>495</v>
      </c>
      <c r="S1606" s="35" t="str">
        <f>MID(Tabla1[[#This Row],[Aplicación]],6,2)</f>
        <v>07</v>
      </c>
      <c r="T1606" s="35" t="str">
        <f>VLOOKUP(Tabla1[[#This Row],[AREA]],Hoja1!A:B,2,FALSE)</f>
        <v>07. Medio ambiente y desarrollo sostenible</v>
      </c>
      <c r="U1606" s="35" t="str">
        <f>MID(Tabla1[[#This Row],[Aplicación]],9,4)</f>
        <v>1721</v>
      </c>
      <c r="V1606" s="35" t="str">
        <f>VLOOKUP(Tabla1[[#This Row],[PROGRAMA]],Hoja1!A:B,2,FALSE)</f>
        <v>1721. Protección del medio ambiente</v>
      </c>
      <c r="W1606" s="35" t="str">
        <f>MID(Tabla1[[#This Row],[Aplicación]],14,2)</f>
        <v>22</v>
      </c>
      <c r="X1606" s="35" t="str">
        <f>MID(Tabla1[[#This Row],[Aplicación]],14,6)</f>
        <v>22199</v>
      </c>
    </row>
    <row r="1607" spans="1:24" x14ac:dyDescent="0.25">
      <c r="A1607" s="45">
        <v>220210006457</v>
      </c>
      <c r="B1607" s="46" t="s">
        <v>9</v>
      </c>
      <c r="C1607" s="47">
        <v>44253</v>
      </c>
      <c r="D1607" s="45">
        <v>22021002151</v>
      </c>
      <c r="E1607" s="46" t="s">
        <v>1542</v>
      </c>
      <c r="F1607" s="48">
        <v>5015.45</v>
      </c>
      <c r="G1607" s="46" t="s">
        <v>2875</v>
      </c>
      <c r="H1607" s="46" t="s">
        <v>2876</v>
      </c>
      <c r="I1607" s="45" t="s">
        <v>125</v>
      </c>
      <c r="J1607" s="46" t="s">
        <v>617</v>
      </c>
      <c r="K1607" s="46" t="s">
        <v>157</v>
      </c>
      <c r="L1607" s="46" t="s">
        <v>12</v>
      </c>
      <c r="M1607" s="46" t="s">
        <v>10</v>
      </c>
      <c r="N1607" s="46" t="s">
        <v>11</v>
      </c>
      <c r="O1607" s="49" t="s">
        <v>815</v>
      </c>
      <c r="P1607" s="46" t="s">
        <v>507</v>
      </c>
      <c r="Q1607" s="35" t="str">
        <f>MID(Tabla1[[#This Row],[Aplicación]],14,1)</f>
        <v>6</v>
      </c>
      <c r="R1607" s="35" t="s">
        <v>496</v>
      </c>
      <c r="S1607" s="35" t="str">
        <f>MID(Tabla1[[#This Row],[Aplicación]],6,2)</f>
        <v>05</v>
      </c>
      <c r="T1607" s="35" t="str">
        <f>VLOOKUP(Tabla1[[#This Row],[AREA]],Hoja1!A:B,2,FALSE)</f>
        <v>05. Innovación, desarrollo económico, empleo y comercio</v>
      </c>
      <c r="U1607" s="35" t="str">
        <f>MID(Tabla1[[#This Row],[Aplicación]],9,4)</f>
        <v>4331</v>
      </c>
      <c r="V1607" s="35" t="str">
        <f>VLOOKUP(Tabla1[[#This Row],[PROGRAMA]],Hoja1!A:B,2,FALSE)</f>
        <v>4331. Desarrollo empresarial</v>
      </c>
      <c r="W1607" s="35" t="str">
        <f>MID(Tabla1[[#This Row],[Aplicación]],14,2)</f>
        <v>60</v>
      </c>
      <c r="X1607" s="35" t="str">
        <f>MID(Tabla1[[#This Row],[Aplicación]],14,6)</f>
        <v>609</v>
      </c>
    </row>
    <row r="1608" spans="1:24" x14ac:dyDescent="0.25">
      <c r="A1608" s="45">
        <v>220210012890</v>
      </c>
      <c r="B1608" s="46" t="s">
        <v>9</v>
      </c>
      <c r="C1608" s="47">
        <v>44284</v>
      </c>
      <c r="D1608" s="45">
        <v>22021003660</v>
      </c>
      <c r="E1608" s="46" t="s">
        <v>1503</v>
      </c>
      <c r="F1608" s="48">
        <v>859.1</v>
      </c>
      <c r="G1608" s="46" t="s">
        <v>59</v>
      </c>
      <c r="H1608" s="46" t="s">
        <v>2877</v>
      </c>
      <c r="I1608" s="45" t="s">
        <v>125</v>
      </c>
      <c r="J1608" s="46" t="s">
        <v>127</v>
      </c>
      <c r="K1608" s="46" t="s">
        <v>127</v>
      </c>
      <c r="L1608" s="46" t="s">
        <v>12</v>
      </c>
      <c r="M1608" s="46" t="s">
        <v>10</v>
      </c>
      <c r="N1608" s="46" t="s">
        <v>11</v>
      </c>
      <c r="O1608" s="49" t="s">
        <v>815</v>
      </c>
      <c r="P1608" s="46" t="s">
        <v>507</v>
      </c>
      <c r="Q1608" s="35" t="str">
        <f>MID(Tabla1[[#This Row],[Aplicación]],14,1)</f>
        <v>2</v>
      </c>
      <c r="R1608" s="35" t="s">
        <v>495</v>
      </c>
      <c r="S1608" s="35" t="str">
        <f>MID(Tabla1[[#This Row],[Aplicación]],6,2)</f>
        <v>05</v>
      </c>
      <c r="T1608" s="35" t="str">
        <f>VLOOKUP(Tabla1[[#This Row],[AREA]],Hoja1!A:B,2,FALSE)</f>
        <v>05. Innovación, desarrollo económico, empleo y comercio</v>
      </c>
      <c r="U1608" s="35" t="str">
        <f>MID(Tabla1[[#This Row],[Aplicación]],9,4)</f>
        <v>4331</v>
      </c>
      <c r="V1608" s="35" t="str">
        <f>VLOOKUP(Tabla1[[#This Row],[PROGRAMA]],Hoja1!A:B,2,FALSE)</f>
        <v>4331. Desarrollo empresarial</v>
      </c>
      <c r="W1608" s="35" t="str">
        <f>MID(Tabla1[[#This Row],[Aplicación]],14,2)</f>
        <v>21</v>
      </c>
      <c r="X1608" s="35" t="str">
        <f>MID(Tabla1[[#This Row],[Aplicación]],14,6)</f>
        <v>213</v>
      </c>
    </row>
    <row r="1609" spans="1:24" x14ac:dyDescent="0.25">
      <c r="A1609" s="45">
        <v>220210007203</v>
      </c>
      <c r="B1609" s="46" t="s">
        <v>9</v>
      </c>
      <c r="C1609" s="47">
        <v>44263</v>
      </c>
      <c r="D1609" s="45">
        <v>22021002237</v>
      </c>
      <c r="E1609" s="46" t="s">
        <v>881</v>
      </c>
      <c r="F1609" s="48">
        <v>10785.09</v>
      </c>
      <c r="G1609" s="46" t="s">
        <v>2344</v>
      </c>
      <c r="H1609" s="46" t="s">
        <v>2878</v>
      </c>
      <c r="I1609" s="45" t="s">
        <v>125</v>
      </c>
      <c r="J1609" s="46" t="s">
        <v>157</v>
      </c>
      <c r="K1609" s="46" t="s">
        <v>157</v>
      </c>
      <c r="L1609" s="46" t="s">
        <v>12</v>
      </c>
      <c r="M1609" s="46" t="s">
        <v>13</v>
      </c>
      <c r="N1609" s="46" t="s">
        <v>14</v>
      </c>
      <c r="O1609" s="49" t="s">
        <v>803</v>
      </c>
      <c r="P1609" s="46" t="s">
        <v>507</v>
      </c>
      <c r="Q1609" s="35" t="str">
        <f>MID(Tabla1[[#This Row],[Aplicación]],14,1)</f>
        <v>2</v>
      </c>
      <c r="R1609" s="35" t="s">
        <v>495</v>
      </c>
      <c r="S1609" s="35" t="str">
        <f>MID(Tabla1[[#This Row],[Aplicación]],6,2)</f>
        <v>05</v>
      </c>
      <c r="T1609" s="35" t="str">
        <f>VLOOKUP(Tabla1[[#This Row],[AREA]],Hoja1!A:B,2,FALSE)</f>
        <v>05. Innovación, desarrollo económico, empleo y comercio</v>
      </c>
      <c r="U1609" s="35" t="str">
        <f>MID(Tabla1[[#This Row],[Aplicación]],9,4)</f>
        <v>4331</v>
      </c>
      <c r="V1609" s="35" t="str">
        <f>VLOOKUP(Tabla1[[#This Row],[PROGRAMA]],Hoja1!A:B,2,FALSE)</f>
        <v>4331. Desarrollo empresarial</v>
      </c>
      <c r="W1609" s="35" t="str">
        <f>MID(Tabla1[[#This Row],[Aplicación]],14,2)</f>
        <v>22</v>
      </c>
      <c r="X1609" s="35" t="str">
        <f>MID(Tabla1[[#This Row],[Aplicación]],14,6)</f>
        <v>22799</v>
      </c>
    </row>
    <row r="1610" spans="1:24" x14ac:dyDescent="0.25">
      <c r="A1610" s="45">
        <v>220210007211</v>
      </c>
      <c r="B1610" s="46" t="s">
        <v>204</v>
      </c>
      <c r="C1610" s="47">
        <v>44264</v>
      </c>
      <c r="D1610" s="45">
        <v>22021002059</v>
      </c>
      <c r="E1610" s="46" t="s">
        <v>1183</v>
      </c>
      <c r="F1610" s="48">
        <v>15.73</v>
      </c>
      <c r="G1610" s="46" t="s">
        <v>257</v>
      </c>
      <c r="H1610" s="46" t="s">
        <v>2879</v>
      </c>
      <c r="I1610" s="45" t="s">
        <v>205</v>
      </c>
      <c r="J1610" s="46" t="s">
        <v>127</v>
      </c>
      <c r="K1610" s="46" t="s">
        <v>127</v>
      </c>
      <c r="L1610" s="46" t="s">
        <v>15</v>
      </c>
      <c r="M1610" s="46" t="s">
        <v>13</v>
      </c>
      <c r="N1610" s="46" t="s">
        <v>14</v>
      </c>
      <c r="O1610" s="49" t="s">
        <v>814</v>
      </c>
      <c r="P1610" s="46" t="s">
        <v>507</v>
      </c>
      <c r="Q1610" s="35" t="str">
        <f>MID(Tabla1[[#This Row],[Aplicación]],14,1)</f>
        <v>2</v>
      </c>
      <c r="R1610" s="35" t="s">
        <v>495</v>
      </c>
      <c r="S1610" s="35" t="str">
        <f>MID(Tabla1[[#This Row],[Aplicación]],6,2)</f>
        <v>11</v>
      </c>
      <c r="T1610" s="35" t="str">
        <f>VLOOKUP(Tabla1[[#This Row],[AREA]],Hoja1!A:B,2,FALSE)</f>
        <v>11. Salud pública y seguridad ciudadana</v>
      </c>
      <c r="U1610" s="35" t="str">
        <f>MID(Tabla1[[#This Row],[Aplicación]],9,4)</f>
        <v>1361</v>
      </c>
      <c r="V1610" s="35" t="str">
        <f>VLOOKUP(Tabla1[[#This Row],[PROGRAMA]],Hoja1!A:B,2,FALSE)</f>
        <v>1361. Prevención y extinción de incencios</v>
      </c>
      <c r="W1610" s="35" t="str">
        <f>MID(Tabla1[[#This Row],[Aplicación]],14,2)</f>
        <v>22</v>
      </c>
      <c r="X1610" s="35" t="str">
        <f>MID(Tabla1[[#This Row],[Aplicación]],14,6)</f>
        <v>22199</v>
      </c>
    </row>
    <row r="1611" spans="1:24" x14ac:dyDescent="0.25">
      <c r="A1611" s="45">
        <v>220210007213</v>
      </c>
      <c r="B1611" s="46" t="s">
        <v>204</v>
      </c>
      <c r="C1611" s="47">
        <v>44264</v>
      </c>
      <c r="D1611" s="45">
        <v>22021002059</v>
      </c>
      <c r="E1611" s="46" t="s">
        <v>1183</v>
      </c>
      <c r="F1611" s="48">
        <v>14.34</v>
      </c>
      <c r="G1611" s="46" t="s">
        <v>264</v>
      </c>
      <c r="H1611" s="46" t="s">
        <v>2880</v>
      </c>
      <c r="I1611" s="45" t="s">
        <v>205</v>
      </c>
      <c r="J1611" s="46" t="s">
        <v>127</v>
      </c>
      <c r="K1611" s="46" t="s">
        <v>127</v>
      </c>
      <c r="L1611" s="46" t="s">
        <v>15</v>
      </c>
      <c r="M1611" s="46" t="s">
        <v>13</v>
      </c>
      <c r="N1611" s="46" t="s">
        <v>14</v>
      </c>
      <c r="O1611" s="49" t="s">
        <v>814</v>
      </c>
      <c r="P1611" s="46" t="s">
        <v>507</v>
      </c>
      <c r="Q1611" s="35" t="str">
        <f>MID(Tabla1[[#This Row],[Aplicación]],14,1)</f>
        <v>2</v>
      </c>
      <c r="R1611" s="35" t="s">
        <v>495</v>
      </c>
      <c r="S1611" s="35" t="str">
        <f>MID(Tabla1[[#This Row],[Aplicación]],6,2)</f>
        <v>11</v>
      </c>
      <c r="T1611" s="35" t="str">
        <f>VLOOKUP(Tabla1[[#This Row],[AREA]],Hoja1!A:B,2,FALSE)</f>
        <v>11. Salud pública y seguridad ciudadana</v>
      </c>
      <c r="U1611" s="35" t="str">
        <f>MID(Tabla1[[#This Row],[Aplicación]],9,4)</f>
        <v>1361</v>
      </c>
      <c r="V1611" s="35" t="str">
        <f>VLOOKUP(Tabla1[[#This Row],[PROGRAMA]],Hoja1!A:B,2,FALSE)</f>
        <v>1361. Prevención y extinción de incencios</v>
      </c>
      <c r="W1611" s="35" t="str">
        <f>MID(Tabla1[[#This Row],[Aplicación]],14,2)</f>
        <v>22</v>
      </c>
      <c r="X1611" s="35" t="str">
        <f>MID(Tabla1[[#This Row],[Aplicación]],14,6)</f>
        <v>22199</v>
      </c>
    </row>
    <row r="1612" spans="1:24" x14ac:dyDescent="0.25">
      <c r="A1612" s="45">
        <v>220210007215</v>
      </c>
      <c r="B1612" s="46" t="s">
        <v>204</v>
      </c>
      <c r="C1612" s="47">
        <v>44264</v>
      </c>
      <c r="D1612" s="45">
        <v>22021002059</v>
      </c>
      <c r="E1612" s="46" t="s">
        <v>1183</v>
      </c>
      <c r="F1612" s="48">
        <v>565.79999999999995</v>
      </c>
      <c r="G1612" s="46" t="s">
        <v>223</v>
      </c>
      <c r="H1612" s="46" t="s">
        <v>2881</v>
      </c>
      <c r="I1612" s="45" t="s">
        <v>205</v>
      </c>
      <c r="J1612" s="46" t="s">
        <v>127</v>
      </c>
      <c r="K1612" s="46" t="s">
        <v>127</v>
      </c>
      <c r="L1612" s="46" t="s">
        <v>15</v>
      </c>
      <c r="M1612" s="46" t="s">
        <v>13</v>
      </c>
      <c r="N1612" s="46" t="s">
        <v>14</v>
      </c>
      <c r="O1612" s="49" t="s">
        <v>814</v>
      </c>
      <c r="P1612" s="46" t="s">
        <v>507</v>
      </c>
      <c r="Q1612" s="35" t="str">
        <f>MID(Tabla1[[#This Row],[Aplicación]],14,1)</f>
        <v>2</v>
      </c>
      <c r="R1612" s="35" t="s">
        <v>495</v>
      </c>
      <c r="S1612" s="35" t="str">
        <f>MID(Tabla1[[#This Row],[Aplicación]],6,2)</f>
        <v>11</v>
      </c>
      <c r="T1612" s="35" t="str">
        <f>VLOOKUP(Tabla1[[#This Row],[AREA]],Hoja1!A:B,2,FALSE)</f>
        <v>11. Salud pública y seguridad ciudadana</v>
      </c>
      <c r="U1612" s="35" t="str">
        <f>MID(Tabla1[[#This Row],[Aplicación]],9,4)</f>
        <v>1361</v>
      </c>
      <c r="V1612" s="35" t="str">
        <f>VLOOKUP(Tabla1[[#This Row],[PROGRAMA]],Hoja1!A:B,2,FALSE)</f>
        <v>1361. Prevención y extinción de incencios</v>
      </c>
      <c r="W1612" s="35" t="str">
        <f>MID(Tabla1[[#This Row],[Aplicación]],14,2)</f>
        <v>22</v>
      </c>
      <c r="X1612" s="35" t="str">
        <f>MID(Tabla1[[#This Row],[Aplicación]],14,6)</f>
        <v>22199</v>
      </c>
    </row>
    <row r="1613" spans="1:24" x14ac:dyDescent="0.25">
      <c r="A1613" s="45">
        <v>220210007217</v>
      </c>
      <c r="B1613" s="46" t="s">
        <v>204</v>
      </c>
      <c r="C1613" s="47">
        <v>44264</v>
      </c>
      <c r="D1613" s="45">
        <v>22021002059</v>
      </c>
      <c r="E1613" s="46" t="s">
        <v>1183</v>
      </c>
      <c r="F1613" s="48">
        <v>257.20999999999998</v>
      </c>
      <c r="G1613" s="46" t="s">
        <v>236</v>
      </c>
      <c r="H1613" s="46" t="s">
        <v>2882</v>
      </c>
      <c r="I1613" s="45" t="s">
        <v>205</v>
      </c>
      <c r="J1613" s="46" t="s">
        <v>127</v>
      </c>
      <c r="K1613" s="46" t="s">
        <v>127</v>
      </c>
      <c r="L1613" s="46" t="s">
        <v>15</v>
      </c>
      <c r="M1613" s="46" t="s">
        <v>13</v>
      </c>
      <c r="N1613" s="46" t="s">
        <v>14</v>
      </c>
      <c r="O1613" s="49" t="s">
        <v>814</v>
      </c>
      <c r="P1613" s="46" t="s">
        <v>507</v>
      </c>
      <c r="Q1613" s="35" t="str">
        <f>MID(Tabla1[[#This Row],[Aplicación]],14,1)</f>
        <v>2</v>
      </c>
      <c r="R1613" s="35" t="s">
        <v>495</v>
      </c>
      <c r="S1613" s="35" t="str">
        <f>MID(Tabla1[[#This Row],[Aplicación]],6,2)</f>
        <v>11</v>
      </c>
      <c r="T1613" s="35" t="str">
        <f>VLOOKUP(Tabla1[[#This Row],[AREA]],Hoja1!A:B,2,FALSE)</f>
        <v>11. Salud pública y seguridad ciudadana</v>
      </c>
      <c r="U1613" s="35" t="str">
        <f>MID(Tabla1[[#This Row],[Aplicación]],9,4)</f>
        <v>1361</v>
      </c>
      <c r="V1613" s="35" t="str">
        <f>VLOOKUP(Tabla1[[#This Row],[PROGRAMA]],Hoja1!A:B,2,FALSE)</f>
        <v>1361. Prevención y extinción de incencios</v>
      </c>
      <c r="W1613" s="35" t="str">
        <f>MID(Tabla1[[#This Row],[Aplicación]],14,2)</f>
        <v>22</v>
      </c>
      <c r="X1613" s="35" t="str">
        <f>MID(Tabla1[[#This Row],[Aplicación]],14,6)</f>
        <v>22199</v>
      </c>
    </row>
    <row r="1614" spans="1:24" x14ac:dyDescent="0.25">
      <c r="A1614" s="45">
        <v>220210007219</v>
      </c>
      <c r="B1614" s="46" t="s">
        <v>204</v>
      </c>
      <c r="C1614" s="47">
        <v>44264</v>
      </c>
      <c r="D1614" s="45">
        <v>22021002059</v>
      </c>
      <c r="E1614" s="46" t="s">
        <v>1183</v>
      </c>
      <c r="F1614" s="48">
        <v>732.58</v>
      </c>
      <c r="G1614" s="46" t="s">
        <v>274</v>
      </c>
      <c r="H1614" s="46" t="s">
        <v>2883</v>
      </c>
      <c r="I1614" s="45" t="s">
        <v>205</v>
      </c>
      <c r="J1614" s="46" t="s">
        <v>127</v>
      </c>
      <c r="K1614" s="46" t="s">
        <v>127</v>
      </c>
      <c r="L1614" s="46" t="s">
        <v>15</v>
      </c>
      <c r="M1614" s="46" t="s">
        <v>13</v>
      </c>
      <c r="N1614" s="46" t="s">
        <v>14</v>
      </c>
      <c r="O1614" s="49" t="s">
        <v>814</v>
      </c>
      <c r="P1614" s="46" t="s">
        <v>507</v>
      </c>
      <c r="Q1614" s="35" t="str">
        <f>MID(Tabla1[[#This Row],[Aplicación]],14,1)</f>
        <v>2</v>
      </c>
      <c r="R1614" s="35" t="s">
        <v>495</v>
      </c>
      <c r="S1614" s="35" t="str">
        <f>MID(Tabla1[[#This Row],[Aplicación]],6,2)</f>
        <v>11</v>
      </c>
      <c r="T1614" s="35" t="str">
        <f>VLOOKUP(Tabla1[[#This Row],[AREA]],Hoja1!A:B,2,FALSE)</f>
        <v>11. Salud pública y seguridad ciudadana</v>
      </c>
      <c r="U1614" s="35" t="str">
        <f>MID(Tabla1[[#This Row],[Aplicación]],9,4)</f>
        <v>1361</v>
      </c>
      <c r="V1614" s="35" t="str">
        <f>VLOOKUP(Tabla1[[#This Row],[PROGRAMA]],Hoja1!A:B,2,FALSE)</f>
        <v>1361. Prevención y extinción de incencios</v>
      </c>
      <c r="W1614" s="35" t="str">
        <f>MID(Tabla1[[#This Row],[Aplicación]],14,2)</f>
        <v>22</v>
      </c>
      <c r="X1614" s="35" t="str">
        <f>MID(Tabla1[[#This Row],[Aplicación]],14,6)</f>
        <v>22199</v>
      </c>
    </row>
    <row r="1615" spans="1:24" x14ac:dyDescent="0.25">
      <c r="A1615" s="45">
        <v>220210007051</v>
      </c>
      <c r="B1615" s="46" t="s">
        <v>204</v>
      </c>
      <c r="C1615" s="47">
        <v>44260</v>
      </c>
      <c r="D1615" s="45">
        <v>22021001256</v>
      </c>
      <c r="E1615" s="46" t="s">
        <v>1700</v>
      </c>
      <c r="F1615" s="48">
        <v>63.65</v>
      </c>
      <c r="G1615" s="46" t="s">
        <v>102</v>
      </c>
      <c r="H1615" s="46" t="s">
        <v>2884</v>
      </c>
      <c r="I1615" s="45" t="s">
        <v>205</v>
      </c>
      <c r="J1615" s="46" t="s">
        <v>127</v>
      </c>
      <c r="K1615" s="46" t="s">
        <v>127</v>
      </c>
      <c r="L1615" s="46" t="s">
        <v>15</v>
      </c>
      <c r="M1615" s="46" t="s">
        <v>13</v>
      </c>
      <c r="N1615" s="46" t="s">
        <v>14</v>
      </c>
      <c r="O1615" s="49" t="s">
        <v>814</v>
      </c>
      <c r="P1615" s="46" t="s">
        <v>507</v>
      </c>
      <c r="Q1615" s="35" t="str">
        <f>MID(Tabla1[[#This Row],[Aplicación]],14,1)</f>
        <v>2</v>
      </c>
      <c r="R1615" s="35" t="s">
        <v>495</v>
      </c>
      <c r="S1615" s="35" t="str">
        <f>MID(Tabla1[[#This Row],[Aplicación]],6,2)</f>
        <v>07</v>
      </c>
      <c r="T1615" s="35" t="str">
        <f>VLOOKUP(Tabla1[[#This Row],[AREA]],Hoja1!A:B,2,FALSE)</f>
        <v>07. Medio ambiente y desarrollo sostenible</v>
      </c>
      <c r="U1615" s="35" t="str">
        <f>MID(Tabla1[[#This Row],[Aplicación]],9,4)</f>
        <v>1721</v>
      </c>
      <c r="V1615" s="35" t="str">
        <f>VLOOKUP(Tabla1[[#This Row],[PROGRAMA]],Hoja1!A:B,2,FALSE)</f>
        <v>1721. Protección del medio ambiente</v>
      </c>
      <c r="W1615" s="35" t="str">
        <f>MID(Tabla1[[#This Row],[Aplicación]],14,2)</f>
        <v>22</v>
      </c>
      <c r="X1615" s="35" t="str">
        <f>MID(Tabla1[[#This Row],[Aplicación]],14,6)</f>
        <v>22112</v>
      </c>
    </row>
    <row r="1616" spans="1:24" x14ac:dyDescent="0.25">
      <c r="A1616" s="45">
        <v>220210007056</v>
      </c>
      <c r="B1616" s="46" t="s">
        <v>204</v>
      </c>
      <c r="C1616" s="47">
        <v>44260</v>
      </c>
      <c r="D1616" s="45">
        <v>22021001275</v>
      </c>
      <c r="E1616" s="46" t="s">
        <v>1334</v>
      </c>
      <c r="F1616" s="48">
        <v>62.75</v>
      </c>
      <c r="G1616" s="46" t="s">
        <v>102</v>
      </c>
      <c r="H1616" s="46" t="s">
        <v>1335</v>
      </c>
      <c r="I1616" s="45" t="s">
        <v>205</v>
      </c>
      <c r="J1616" s="46" t="s">
        <v>127</v>
      </c>
      <c r="K1616" s="46" t="s">
        <v>127</v>
      </c>
      <c r="L1616" s="46" t="s">
        <v>15</v>
      </c>
      <c r="M1616" s="46" t="s">
        <v>13</v>
      </c>
      <c r="N1616" s="46" t="s">
        <v>14</v>
      </c>
      <c r="O1616" s="49" t="s">
        <v>814</v>
      </c>
      <c r="P1616" s="46" t="s">
        <v>507</v>
      </c>
      <c r="Q1616" s="35" t="str">
        <f>MID(Tabla1[[#This Row],[Aplicación]],14,1)</f>
        <v>2</v>
      </c>
      <c r="R1616" s="35" t="s">
        <v>495</v>
      </c>
      <c r="S1616" s="35" t="str">
        <f>MID(Tabla1[[#This Row],[Aplicación]],6,2)</f>
        <v>07</v>
      </c>
      <c r="T1616" s="35" t="str">
        <f>VLOOKUP(Tabla1[[#This Row],[AREA]],Hoja1!A:B,2,FALSE)</f>
        <v>07. Medio ambiente y desarrollo sostenible</v>
      </c>
      <c r="U1616" s="35" t="str">
        <f>MID(Tabla1[[#This Row],[Aplicación]],9,4)</f>
        <v>1711</v>
      </c>
      <c r="V1616" s="35" t="str">
        <f>VLOOKUP(Tabla1[[#This Row],[PROGRAMA]],Hoja1!A:B,2,FALSE)</f>
        <v>1711. Parques y jardines</v>
      </c>
      <c r="W1616" s="35" t="str">
        <f>MID(Tabla1[[#This Row],[Aplicación]],14,2)</f>
        <v>22</v>
      </c>
      <c r="X1616" s="35" t="str">
        <f>MID(Tabla1[[#This Row],[Aplicación]],14,6)</f>
        <v>22199</v>
      </c>
    </row>
    <row r="1617" spans="1:24" x14ac:dyDescent="0.25">
      <c r="A1617" s="45">
        <v>220210007020</v>
      </c>
      <c r="B1617" s="46" t="s">
        <v>204</v>
      </c>
      <c r="C1617" s="47">
        <v>44260</v>
      </c>
      <c r="D1617" s="45">
        <v>22021001039</v>
      </c>
      <c r="E1617" s="46" t="s">
        <v>844</v>
      </c>
      <c r="F1617" s="48">
        <v>46.76</v>
      </c>
      <c r="G1617" s="46" t="s">
        <v>235</v>
      </c>
      <c r="H1617" s="46" t="s">
        <v>2774</v>
      </c>
      <c r="I1617" s="45" t="s">
        <v>205</v>
      </c>
      <c r="J1617" s="46" t="s">
        <v>742</v>
      </c>
      <c r="K1617" s="46" t="s">
        <v>165</v>
      </c>
      <c r="L1617" s="46" t="s">
        <v>15</v>
      </c>
      <c r="M1617" s="46" t="s">
        <v>13</v>
      </c>
      <c r="N1617" s="46" t="s">
        <v>14</v>
      </c>
      <c r="O1617" s="49" t="s">
        <v>814</v>
      </c>
      <c r="P1617" s="46" t="s">
        <v>507</v>
      </c>
      <c r="Q1617" s="35" t="str">
        <f>MID(Tabla1[[#This Row],[Aplicación]],14,1)</f>
        <v>2</v>
      </c>
      <c r="R1617" s="35" t="s">
        <v>495</v>
      </c>
      <c r="S1617" s="35" t="str">
        <f>MID(Tabla1[[#This Row],[Aplicación]],6,2)</f>
        <v>10</v>
      </c>
      <c r="T1617" s="35" t="str">
        <f>VLOOKUP(Tabla1[[#This Row],[AREA]],Hoja1!A:B,2,FALSE)</f>
        <v>10. Servicios sociales y mediación comunitaria</v>
      </c>
      <c r="U1617" s="35" t="str">
        <f>MID(Tabla1[[#This Row],[Aplicación]],9,4)</f>
        <v>2312</v>
      </c>
      <c r="V1617" s="35" t="str">
        <f>VLOOKUP(Tabla1[[#This Row],[PROGRAMA]],Hoja1!A:B,2,FALSE)</f>
        <v>2312. Iniciativas sociales</v>
      </c>
      <c r="W1617" s="35" t="str">
        <f>MID(Tabla1[[#This Row],[Aplicación]],14,2)</f>
        <v>21</v>
      </c>
      <c r="X1617" s="35" t="str">
        <f>MID(Tabla1[[#This Row],[Aplicación]],14,6)</f>
        <v>212</v>
      </c>
    </row>
    <row r="1618" spans="1:24" x14ac:dyDescent="0.25">
      <c r="A1618" s="45">
        <v>220210007227</v>
      </c>
      <c r="B1618" s="46" t="s">
        <v>204</v>
      </c>
      <c r="C1618" s="47">
        <v>44264</v>
      </c>
      <c r="D1618" s="45">
        <v>22021002059</v>
      </c>
      <c r="E1618" s="46" t="s">
        <v>1183</v>
      </c>
      <c r="F1618" s="48">
        <v>44.35</v>
      </c>
      <c r="G1618" s="46" t="s">
        <v>238</v>
      </c>
      <c r="H1618" s="46" t="s">
        <v>2885</v>
      </c>
      <c r="I1618" s="45" t="s">
        <v>205</v>
      </c>
      <c r="J1618" s="46" t="s">
        <v>127</v>
      </c>
      <c r="K1618" s="46" t="s">
        <v>127</v>
      </c>
      <c r="L1618" s="46" t="s">
        <v>15</v>
      </c>
      <c r="M1618" s="46" t="s">
        <v>13</v>
      </c>
      <c r="N1618" s="46" t="s">
        <v>14</v>
      </c>
      <c r="O1618" s="49" t="s">
        <v>814</v>
      </c>
      <c r="P1618" s="46" t="s">
        <v>507</v>
      </c>
      <c r="Q1618" s="35" t="str">
        <f>MID(Tabla1[[#This Row],[Aplicación]],14,1)</f>
        <v>2</v>
      </c>
      <c r="R1618" s="35" t="s">
        <v>495</v>
      </c>
      <c r="S1618" s="35" t="str">
        <f>MID(Tabla1[[#This Row],[Aplicación]],6,2)</f>
        <v>11</v>
      </c>
      <c r="T1618" s="35" t="str">
        <f>VLOOKUP(Tabla1[[#This Row],[AREA]],Hoja1!A:B,2,FALSE)</f>
        <v>11. Salud pública y seguridad ciudadana</v>
      </c>
      <c r="U1618" s="35" t="str">
        <f>MID(Tabla1[[#This Row],[Aplicación]],9,4)</f>
        <v>1361</v>
      </c>
      <c r="V1618" s="35" t="str">
        <f>VLOOKUP(Tabla1[[#This Row],[PROGRAMA]],Hoja1!A:B,2,FALSE)</f>
        <v>1361. Prevención y extinción de incencios</v>
      </c>
      <c r="W1618" s="35" t="str">
        <f>MID(Tabla1[[#This Row],[Aplicación]],14,2)</f>
        <v>22</v>
      </c>
      <c r="X1618" s="35" t="str">
        <f>MID(Tabla1[[#This Row],[Aplicación]],14,6)</f>
        <v>22199</v>
      </c>
    </row>
    <row r="1619" spans="1:24" x14ac:dyDescent="0.25">
      <c r="A1619" s="45">
        <v>220210007221</v>
      </c>
      <c r="B1619" s="46" t="s">
        <v>204</v>
      </c>
      <c r="C1619" s="47">
        <v>44264</v>
      </c>
      <c r="D1619" s="45">
        <v>22021002059</v>
      </c>
      <c r="E1619" s="46" t="s">
        <v>1183</v>
      </c>
      <c r="F1619" s="48">
        <v>28.11</v>
      </c>
      <c r="G1619" s="46" t="s">
        <v>102</v>
      </c>
      <c r="H1619" s="46" t="s">
        <v>2886</v>
      </c>
      <c r="I1619" s="45" t="s">
        <v>205</v>
      </c>
      <c r="J1619" s="46" t="s">
        <v>127</v>
      </c>
      <c r="K1619" s="46" t="s">
        <v>127</v>
      </c>
      <c r="L1619" s="46" t="s">
        <v>15</v>
      </c>
      <c r="M1619" s="46" t="s">
        <v>13</v>
      </c>
      <c r="N1619" s="46" t="s">
        <v>14</v>
      </c>
      <c r="O1619" s="49" t="s">
        <v>814</v>
      </c>
      <c r="P1619" s="46" t="s">
        <v>507</v>
      </c>
      <c r="Q1619" s="35" t="str">
        <f>MID(Tabla1[[#This Row],[Aplicación]],14,1)</f>
        <v>2</v>
      </c>
      <c r="R1619" s="35" t="s">
        <v>495</v>
      </c>
      <c r="S1619" s="35" t="str">
        <f>MID(Tabla1[[#This Row],[Aplicación]],6,2)</f>
        <v>11</v>
      </c>
      <c r="T1619" s="35" t="str">
        <f>VLOOKUP(Tabla1[[#This Row],[AREA]],Hoja1!A:B,2,FALSE)</f>
        <v>11. Salud pública y seguridad ciudadana</v>
      </c>
      <c r="U1619" s="35" t="str">
        <f>MID(Tabla1[[#This Row],[Aplicación]],9,4)</f>
        <v>1361</v>
      </c>
      <c r="V1619" s="35" t="str">
        <f>VLOOKUP(Tabla1[[#This Row],[PROGRAMA]],Hoja1!A:B,2,FALSE)</f>
        <v>1361. Prevención y extinción de incencios</v>
      </c>
      <c r="W1619" s="35" t="str">
        <f>MID(Tabla1[[#This Row],[Aplicación]],14,2)</f>
        <v>22</v>
      </c>
      <c r="X1619" s="35" t="str">
        <f>MID(Tabla1[[#This Row],[Aplicación]],14,6)</f>
        <v>22199</v>
      </c>
    </row>
    <row r="1620" spans="1:24" x14ac:dyDescent="0.25">
      <c r="A1620" s="45">
        <v>220210007231</v>
      </c>
      <c r="B1620" s="46" t="s">
        <v>204</v>
      </c>
      <c r="C1620" s="47">
        <v>44264</v>
      </c>
      <c r="D1620" s="45">
        <v>22021002059</v>
      </c>
      <c r="E1620" s="46" t="s">
        <v>1183</v>
      </c>
      <c r="F1620" s="48">
        <v>497.37</v>
      </c>
      <c r="G1620" s="46" t="s">
        <v>274</v>
      </c>
      <c r="H1620" s="46" t="s">
        <v>2887</v>
      </c>
      <c r="I1620" s="45" t="s">
        <v>205</v>
      </c>
      <c r="J1620" s="46" t="s">
        <v>127</v>
      </c>
      <c r="K1620" s="46" t="s">
        <v>127</v>
      </c>
      <c r="L1620" s="46" t="s">
        <v>15</v>
      </c>
      <c r="M1620" s="46" t="s">
        <v>13</v>
      </c>
      <c r="N1620" s="46" t="s">
        <v>14</v>
      </c>
      <c r="O1620" s="49" t="s">
        <v>814</v>
      </c>
      <c r="P1620" s="46" t="s">
        <v>507</v>
      </c>
      <c r="Q1620" s="35" t="str">
        <f>MID(Tabla1[[#This Row],[Aplicación]],14,1)</f>
        <v>2</v>
      </c>
      <c r="R1620" s="35" t="s">
        <v>495</v>
      </c>
      <c r="S1620" s="35" t="str">
        <f>MID(Tabla1[[#This Row],[Aplicación]],6,2)</f>
        <v>11</v>
      </c>
      <c r="T1620" s="35" t="str">
        <f>VLOOKUP(Tabla1[[#This Row],[AREA]],Hoja1!A:B,2,FALSE)</f>
        <v>11. Salud pública y seguridad ciudadana</v>
      </c>
      <c r="U1620" s="35" t="str">
        <f>MID(Tabla1[[#This Row],[Aplicación]],9,4)</f>
        <v>1361</v>
      </c>
      <c r="V1620" s="35" t="str">
        <f>VLOOKUP(Tabla1[[#This Row],[PROGRAMA]],Hoja1!A:B,2,FALSE)</f>
        <v>1361. Prevención y extinción de incencios</v>
      </c>
      <c r="W1620" s="35" t="str">
        <f>MID(Tabla1[[#This Row],[Aplicación]],14,2)</f>
        <v>22</v>
      </c>
      <c r="X1620" s="35" t="str">
        <f>MID(Tabla1[[#This Row],[Aplicación]],14,6)</f>
        <v>22199</v>
      </c>
    </row>
    <row r="1621" spans="1:24" x14ac:dyDescent="0.25">
      <c r="A1621" s="45">
        <v>220210007233</v>
      </c>
      <c r="B1621" s="46" t="s">
        <v>204</v>
      </c>
      <c r="C1621" s="47">
        <v>44264</v>
      </c>
      <c r="D1621" s="45">
        <v>22021002059</v>
      </c>
      <c r="E1621" s="46" t="s">
        <v>1183</v>
      </c>
      <c r="F1621" s="48">
        <v>178.48</v>
      </c>
      <c r="G1621" s="46" t="s">
        <v>270</v>
      </c>
      <c r="H1621" s="46" t="s">
        <v>2888</v>
      </c>
      <c r="I1621" s="45" t="s">
        <v>205</v>
      </c>
      <c r="J1621" s="46" t="s">
        <v>127</v>
      </c>
      <c r="K1621" s="46" t="s">
        <v>127</v>
      </c>
      <c r="L1621" s="46" t="s">
        <v>15</v>
      </c>
      <c r="M1621" s="46" t="s">
        <v>13</v>
      </c>
      <c r="N1621" s="46" t="s">
        <v>14</v>
      </c>
      <c r="O1621" s="49" t="s">
        <v>814</v>
      </c>
      <c r="P1621" s="46" t="s">
        <v>507</v>
      </c>
      <c r="Q1621" s="35" t="str">
        <f>MID(Tabla1[[#This Row],[Aplicación]],14,1)</f>
        <v>2</v>
      </c>
      <c r="R1621" s="35" t="s">
        <v>495</v>
      </c>
      <c r="S1621" s="35" t="str">
        <f>MID(Tabla1[[#This Row],[Aplicación]],6,2)</f>
        <v>11</v>
      </c>
      <c r="T1621" s="35" t="str">
        <f>VLOOKUP(Tabla1[[#This Row],[AREA]],Hoja1!A:B,2,FALSE)</f>
        <v>11. Salud pública y seguridad ciudadana</v>
      </c>
      <c r="U1621" s="35" t="str">
        <f>MID(Tabla1[[#This Row],[Aplicación]],9,4)</f>
        <v>1361</v>
      </c>
      <c r="V1621" s="35" t="str">
        <f>VLOOKUP(Tabla1[[#This Row],[PROGRAMA]],Hoja1!A:B,2,FALSE)</f>
        <v>1361. Prevención y extinción de incencios</v>
      </c>
      <c r="W1621" s="35" t="str">
        <f>MID(Tabla1[[#This Row],[Aplicación]],14,2)</f>
        <v>22</v>
      </c>
      <c r="X1621" s="35" t="str">
        <f>MID(Tabla1[[#This Row],[Aplicación]],14,6)</f>
        <v>22199</v>
      </c>
    </row>
    <row r="1622" spans="1:24" x14ac:dyDescent="0.25">
      <c r="A1622" s="45">
        <v>220210007235</v>
      </c>
      <c r="B1622" s="46" t="s">
        <v>204</v>
      </c>
      <c r="C1622" s="47">
        <v>44264</v>
      </c>
      <c r="D1622" s="45">
        <v>22021002059</v>
      </c>
      <c r="E1622" s="46" t="s">
        <v>1183</v>
      </c>
      <c r="F1622" s="48">
        <v>2740.89</v>
      </c>
      <c r="G1622" s="46" t="s">
        <v>223</v>
      </c>
      <c r="H1622" s="46" t="s">
        <v>2889</v>
      </c>
      <c r="I1622" s="45" t="s">
        <v>205</v>
      </c>
      <c r="J1622" s="46" t="s">
        <v>127</v>
      </c>
      <c r="K1622" s="46" t="s">
        <v>127</v>
      </c>
      <c r="L1622" s="46" t="s">
        <v>15</v>
      </c>
      <c r="M1622" s="46" t="s">
        <v>13</v>
      </c>
      <c r="N1622" s="46" t="s">
        <v>14</v>
      </c>
      <c r="O1622" s="49" t="s">
        <v>814</v>
      </c>
      <c r="P1622" s="46" t="s">
        <v>507</v>
      </c>
      <c r="Q1622" s="35" t="str">
        <f>MID(Tabla1[[#This Row],[Aplicación]],14,1)</f>
        <v>2</v>
      </c>
      <c r="R1622" s="35" t="s">
        <v>495</v>
      </c>
      <c r="S1622" s="35" t="str">
        <f>MID(Tabla1[[#This Row],[Aplicación]],6,2)</f>
        <v>11</v>
      </c>
      <c r="T1622" s="35" t="str">
        <f>VLOOKUP(Tabla1[[#This Row],[AREA]],Hoja1!A:B,2,FALSE)</f>
        <v>11. Salud pública y seguridad ciudadana</v>
      </c>
      <c r="U1622" s="35" t="str">
        <f>MID(Tabla1[[#This Row],[Aplicación]],9,4)</f>
        <v>1361</v>
      </c>
      <c r="V1622" s="35" t="str">
        <f>VLOOKUP(Tabla1[[#This Row],[PROGRAMA]],Hoja1!A:B,2,FALSE)</f>
        <v>1361. Prevención y extinción de incencios</v>
      </c>
      <c r="W1622" s="35" t="str">
        <f>MID(Tabla1[[#This Row],[Aplicación]],14,2)</f>
        <v>22</v>
      </c>
      <c r="X1622" s="35" t="str">
        <f>MID(Tabla1[[#This Row],[Aplicación]],14,6)</f>
        <v>22199</v>
      </c>
    </row>
    <row r="1623" spans="1:24" x14ac:dyDescent="0.25">
      <c r="A1623" s="45">
        <v>220210007237</v>
      </c>
      <c r="B1623" s="46" t="s">
        <v>204</v>
      </c>
      <c r="C1623" s="47">
        <v>44264</v>
      </c>
      <c r="D1623" s="45">
        <v>22021002059</v>
      </c>
      <c r="E1623" s="46" t="s">
        <v>1183</v>
      </c>
      <c r="F1623" s="48">
        <v>931.82</v>
      </c>
      <c r="G1623" s="46" t="s">
        <v>264</v>
      </c>
      <c r="H1623" s="46" t="s">
        <v>2890</v>
      </c>
      <c r="I1623" s="45" t="s">
        <v>205</v>
      </c>
      <c r="J1623" s="46" t="s">
        <v>127</v>
      </c>
      <c r="K1623" s="46" t="s">
        <v>127</v>
      </c>
      <c r="L1623" s="46" t="s">
        <v>15</v>
      </c>
      <c r="M1623" s="46" t="s">
        <v>13</v>
      </c>
      <c r="N1623" s="46" t="s">
        <v>14</v>
      </c>
      <c r="O1623" s="49" t="s">
        <v>814</v>
      </c>
      <c r="P1623" s="46" t="s">
        <v>507</v>
      </c>
      <c r="Q1623" s="35" t="str">
        <f>MID(Tabla1[[#This Row],[Aplicación]],14,1)</f>
        <v>2</v>
      </c>
      <c r="R1623" s="35" t="s">
        <v>495</v>
      </c>
      <c r="S1623" s="35" t="str">
        <f>MID(Tabla1[[#This Row],[Aplicación]],6,2)</f>
        <v>11</v>
      </c>
      <c r="T1623" s="35" t="str">
        <f>VLOOKUP(Tabla1[[#This Row],[AREA]],Hoja1!A:B,2,FALSE)</f>
        <v>11. Salud pública y seguridad ciudadana</v>
      </c>
      <c r="U1623" s="35" t="str">
        <f>MID(Tabla1[[#This Row],[Aplicación]],9,4)</f>
        <v>1361</v>
      </c>
      <c r="V1623" s="35" t="str">
        <f>VLOOKUP(Tabla1[[#This Row],[PROGRAMA]],Hoja1!A:B,2,FALSE)</f>
        <v>1361. Prevención y extinción de incencios</v>
      </c>
      <c r="W1623" s="35" t="str">
        <f>MID(Tabla1[[#This Row],[Aplicación]],14,2)</f>
        <v>22</v>
      </c>
      <c r="X1623" s="35" t="str">
        <f>MID(Tabla1[[#This Row],[Aplicación]],14,6)</f>
        <v>22199</v>
      </c>
    </row>
    <row r="1624" spans="1:24" x14ac:dyDescent="0.25">
      <c r="A1624" s="45">
        <v>220210007239</v>
      </c>
      <c r="B1624" s="46" t="s">
        <v>204</v>
      </c>
      <c r="C1624" s="47">
        <v>44264</v>
      </c>
      <c r="D1624" s="45">
        <v>22021002059</v>
      </c>
      <c r="E1624" s="46" t="s">
        <v>1183</v>
      </c>
      <c r="F1624" s="48">
        <v>726.44</v>
      </c>
      <c r="G1624" s="46" t="s">
        <v>257</v>
      </c>
      <c r="H1624" s="46" t="s">
        <v>2891</v>
      </c>
      <c r="I1624" s="45" t="s">
        <v>205</v>
      </c>
      <c r="J1624" s="46" t="s">
        <v>127</v>
      </c>
      <c r="K1624" s="46" t="s">
        <v>127</v>
      </c>
      <c r="L1624" s="46" t="s">
        <v>15</v>
      </c>
      <c r="M1624" s="46" t="s">
        <v>13</v>
      </c>
      <c r="N1624" s="46" t="s">
        <v>14</v>
      </c>
      <c r="O1624" s="49" t="s">
        <v>814</v>
      </c>
      <c r="P1624" s="46" t="s">
        <v>507</v>
      </c>
      <c r="Q1624" s="35" t="str">
        <f>MID(Tabla1[[#This Row],[Aplicación]],14,1)</f>
        <v>2</v>
      </c>
      <c r="R1624" s="35" t="s">
        <v>495</v>
      </c>
      <c r="S1624" s="35" t="str">
        <f>MID(Tabla1[[#This Row],[Aplicación]],6,2)</f>
        <v>11</v>
      </c>
      <c r="T1624" s="35" t="str">
        <f>VLOOKUP(Tabla1[[#This Row],[AREA]],Hoja1!A:B,2,FALSE)</f>
        <v>11. Salud pública y seguridad ciudadana</v>
      </c>
      <c r="U1624" s="35" t="str">
        <f>MID(Tabla1[[#This Row],[Aplicación]],9,4)</f>
        <v>1361</v>
      </c>
      <c r="V1624" s="35" t="str">
        <f>VLOOKUP(Tabla1[[#This Row],[PROGRAMA]],Hoja1!A:B,2,FALSE)</f>
        <v>1361. Prevención y extinción de incencios</v>
      </c>
      <c r="W1624" s="35" t="str">
        <f>MID(Tabla1[[#This Row],[Aplicación]],14,2)</f>
        <v>22</v>
      </c>
      <c r="X1624" s="35" t="str">
        <f>MID(Tabla1[[#This Row],[Aplicación]],14,6)</f>
        <v>22199</v>
      </c>
    </row>
    <row r="1625" spans="1:24" x14ac:dyDescent="0.25">
      <c r="A1625" s="45">
        <v>220210007225</v>
      </c>
      <c r="B1625" s="46" t="s">
        <v>204</v>
      </c>
      <c r="C1625" s="47">
        <v>44264</v>
      </c>
      <c r="D1625" s="45">
        <v>22021002059</v>
      </c>
      <c r="E1625" s="46" t="s">
        <v>1183</v>
      </c>
      <c r="F1625" s="48">
        <v>133.34</v>
      </c>
      <c r="G1625" s="46" t="s">
        <v>235</v>
      </c>
      <c r="H1625" s="46" t="s">
        <v>2892</v>
      </c>
      <c r="I1625" s="45" t="s">
        <v>205</v>
      </c>
      <c r="J1625" s="46" t="s">
        <v>742</v>
      </c>
      <c r="K1625" s="46" t="s">
        <v>165</v>
      </c>
      <c r="L1625" s="46" t="s">
        <v>15</v>
      </c>
      <c r="M1625" s="46" t="s">
        <v>13</v>
      </c>
      <c r="N1625" s="46" t="s">
        <v>14</v>
      </c>
      <c r="O1625" s="49" t="s">
        <v>814</v>
      </c>
      <c r="P1625" s="46" t="s">
        <v>507</v>
      </c>
      <c r="Q1625" s="35" t="str">
        <f>MID(Tabla1[[#This Row],[Aplicación]],14,1)</f>
        <v>2</v>
      </c>
      <c r="R1625" s="35" t="s">
        <v>495</v>
      </c>
      <c r="S1625" s="35" t="str">
        <f>MID(Tabla1[[#This Row],[Aplicación]],6,2)</f>
        <v>11</v>
      </c>
      <c r="T1625" s="35" t="str">
        <f>VLOOKUP(Tabla1[[#This Row],[AREA]],Hoja1!A:B,2,FALSE)</f>
        <v>11. Salud pública y seguridad ciudadana</v>
      </c>
      <c r="U1625" s="35" t="str">
        <f>MID(Tabla1[[#This Row],[Aplicación]],9,4)</f>
        <v>1361</v>
      </c>
      <c r="V1625" s="35" t="str">
        <f>VLOOKUP(Tabla1[[#This Row],[PROGRAMA]],Hoja1!A:B,2,FALSE)</f>
        <v>1361. Prevención y extinción de incencios</v>
      </c>
      <c r="W1625" s="35" t="str">
        <f>MID(Tabla1[[#This Row],[Aplicación]],14,2)</f>
        <v>22</v>
      </c>
      <c r="X1625" s="35" t="str">
        <f>MID(Tabla1[[#This Row],[Aplicación]],14,6)</f>
        <v>22199</v>
      </c>
    </row>
    <row r="1626" spans="1:24" x14ac:dyDescent="0.25">
      <c r="A1626" s="45">
        <v>220210007243</v>
      </c>
      <c r="B1626" s="46" t="s">
        <v>204</v>
      </c>
      <c r="C1626" s="47">
        <v>44264</v>
      </c>
      <c r="D1626" s="45">
        <v>22021002059</v>
      </c>
      <c r="E1626" s="46" t="s">
        <v>1183</v>
      </c>
      <c r="F1626" s="48">
        <v>561.05999999999995</v>
      </c>
      <c r="G1626" s="46" t="s">
        <v>135</v>
      </c>
      <c r="H1626" s="46" t="s">
        <v>2893</v>
      </c>
      <c r="I1626" s="45" t="s">
        <v>205</v>
      </c>
      <c r="J1626" s="46" t="s">
        <v>127</v>
      </c>
      <c r="K1626" s="46" t="s">
        <v>127</v>
      </c>
      <c r="L1626" s="46" t="s">
        <v>15</v>
      </c>
      <c r="M1626" s="46" t="s">
        <v>13</v>
      </c>
      <c r="N1626" s="46" t="s">
        <v>14</v>
      </c>
      <c r="O1626" s="49" t="s">
        <v>814</v>
      </c>
      <c r="P1626" s="46" t="s">
        <v>507</v>
      </c>
      <c r="Q1626" s="35" t="str">
        <f>MID(Tabla1[[#This Row],[Aplicación]],14,1)</f>
        <v>2</v>
      </c>
      <c r="R1626" s="35" t="s">
        <v>495</v>
      </c>
      <c r="S1626" s="35" t="str">
        <f>MID(Tabla1[[#This Row],[Aplicación]],6,2)</f>
        <v>11</v>
      </c>
      <c r="T1626" s="35" t="str">
        <f>VLOOKUP(Tabla1[[#This Row],[AREA]],Hoja1!A:B,2,FALSE)</f>
        <v>11. Salud pública y seguridad ciudadana</v>
      </c>
      <c r="U1626" s="35" t="str">
        <f>MID(Tabla1[[#This Row],[Aplicación]],9,4)</f>
        <v>1361</v>
      </c>
      <c r="V1626" s="35" t="str">
        <f>VLOOKUP(Tabla1[[#This Row],[PROGRAMA]],Hoja1!A:B,2,FALSE)</f>
        <v>1361. Prevención y extinción de incencios</v>
      </c>
      <c r="W1626" s="35" t="str">
        <f>MID(Tabla1[[#This Row],[Aplicación]],14,2)</f>
        <v>22</v>
      </c>
      <c r="X1626" s="35" t="str">
        <f>MID(Tabla1[[#This Row],[Aplicación]],14,6)</f>
        <v>22199</v>
      </c>
    </row>
    <row r="1627" spans="1:24" x14ac:dyDescent="0.25">
      <c r="A1627" s="45">
        <v>220210007245</v>
      </c>
      <c r="B1627" s="46" t="s">
        <v>204</v>
      </c>
      <c r="C1627" s="47">
        <v>44264</v>
      </c>
      <c r="D1627" s="45">
        <v>22021002059</v>
      </c>
      <c r="E1627" s="46" t="s">
        <v>1183</v>
      </c>
      <c r="F1627" s="48">
        <v>173.65</v>
      </c>
      <c r="G1627" s="46" t="s">
        <v>135</v>
      </c>
      <c r="H1627" s="46" t="s">
        <v>2894</v>
      </c>
      <c r="I1627" s="45" t="s">
        <v>205</v>
      </c>
      <c r="J1627" s="46" t="s">
        <v>127</v>
      </c>
      <c r="K1627" s="46" t="s">
        <v>127</v>
      </c>
      <c r="L1627" s="46" t="s">
        <v>15</v>
      </c>
      <c r="M1627" s="46" t="s">
        <v>13</v>
      </c>
      <c r="N1627" s="46" t="s">
        <v>14</v>
      </c>
      <c r="O1627" s="49" t="s">
        <v>814</v>
      </c>
      <c r="P1627" s="46" t="s">
        <v>507</v>
      </c>
      <c r="Q1627" s="35" t="str">
        <f>MID(Tabla1[[#This Row],[Aplicación]],14,1)</f>
        <v>2</v>
      </c>
      <c r="R1627" s="35" t="s">
        <v>495</v>
      </c>
      <c r="S1627" s="35" t="str">
        <f>MID(Tabla1[[#This Row],[Aplicación]],6,2)</f>
        <v>11</v>
      </c>
      <c r="T1627" s="35" t="str">
        <f>VLOOKUP(Tabla1[[#This Row],[AREA]],Hoja1!A:B,2,FALSE)</f>
        <v>11. Salud pública y seguridad ciudadana</v>
      </c>
      <c r="U1627" s="35" t="str">
        <f>MID(Tabla1[[#This Row],[Aplicación]],9,4)</f>
        <v>1361</v>
      </c>
      <c r="V1627" s="35" t="str">
        <f>VLOOKUP(Tabla1[[#This Row],[PROGRAMA]],Hoja1!A:B,2,FALSE)</f>
        <v>1361. Prevención y extinción de incencios</v>
      </c>
      <c r="W1627" s="35" t="str">
        <f>MID(Tabla1[[#This Row],[Aplicación]],14,2)</f>
        <v>22</v>
      </c>
      <c r="X1627" s="35" t="str">
        <f>MID(Tabla1[[#This Row],[Aplicación]],14,6)</f>
        <v>22199</v>
      </c>
    </row>
    <row r="1628" spans="1:24" x14ac:dyDescent="0.25">
      <c r="A1628" s="45">
        <v>220210007247</v>
      </c>
      <c r="B1628" s="46" t="s">
        <v>204</v>
      </c>
      <c r="C1628" s="47">
        <v>44264</v>
      </c>
      <c r="D1628" s="45">
        <v>22021002059</v>
      </c>
      <c r="E1628" s="46" t="s">
        <v>1183</v>
      </c>
      <c r="F1628" s="48">
        <v>5.05</v>
      </c>
      <c r="G1628" s="46" t="s">
        <v>135</v>
      </c>
      <c r="H1628" s="46" t="s">
        <v>2895</v>
      </c>
      <c r="I1628" s="45" t="s">
        <v>205</v>
      </c>
      <c r="J1628" s="46" t="s">
        <v>127</v>
      </c>
      <c r="K1628" s="46" t="s">
        <v>127</v>
      </c>
      <c r="L1628" s="46" t="s">
        <v>15</v>
      </c>
      <c r="M1628" s="46" t="s">
        <v>13</v>
      </c>
      <c r="N1628" s="46" t="s">
        <v>14</v>
      </c>
      <c r="O1628" s="49" t="s">
        <v>814</v>
      </c>
      <c r="P1628" s="46" t="s">
        <v>507</v>
      </c>
      <c r="Q1628" s="35" t="str">
        <f>MID(Tabla1[[#This Row],[Aplicación]],14,1)</f>
        <v>2</v>
      </c>
      <c r="R1628" s="35" t="s">
        <v>495</v>
      </c>
      <c r="S1628" s="35" t="str">
        <f>MID(Tabla1[[#This Row],[Aplicación]],6,2)</f>
        <v>11</v>
      </c>
      <c r="T1628" s="35" t="str">
        <f>VLOOKUP(Tabla1[[#This Row],[AREA]],Hoja1!A:B,2,FALSE)</f>
        <v>11. Salud pública y seguridad ciudadana</v>
      </c>
      <c r="U1628" s="35" t="str">
        <f>MID(Tabla1[[#This Row],[Aplicación]],9,4)</f>
        <v>1361</v>
      </c>
      <c r="V1628" s="35" t="str">
        <f>VLOOKUP(Tabla1[[#This Row],[PROGRAMA]],Hoja1!A:B,2,FALSE)</f>
        <v>1361. Prevención y extinción de incencios</v>
      </c>
      <c r="W1628" s="35" t="str">
        <f>MID(Tabla1[[#This Row],[Aplicación]],14,2)</f>
        <v>22</v>
      </c>
      <c r="X1628" s="35" t="str">
        <f>MID(Tabla1[[#This Row],[Aplicación]],14,6)</f>
        <v>22199</v>
      </c>
    </row>
    <row r="1629" spans="1:24" x14ac:dyDescent="0.25">
      <c r="A1629" s="45">
        <v>220210007249</v>
      </c>
      <c r="B1629" s="46" t="s">
        <v>204</v>
      </c>
      <c r="C1629" s="47">
        <v>44264</v>
      </c>
      <c r="D1629" s="45">
        <v>22021002059</v>
      </c>
      <c r="E1629" s="46" t="s">
        <v>1183</v>
      </c>
      <c r="F1629" s="48">
        <v>119.79</v>
      </c>
      <c r="G1629" s="46" t="s">
        <v>135</v>
      </c>
      <c r="H1629" s="46" t="s">
        <v>2896</v>
      </c>
      <c r="I1629" s="45" t="s">
        <v>205</v>
      </c>
      <c r="J1629" s="46" t="s">
        <v>127</v>
      </c>
      <c r="K1629" s="46" t="s">
        <v>127</v>
      </c>
      <c r="L1629" s="46" t="s">
        <v>15</v>
      </c>
      <c r="M1629" s="46" t="s">
        <v>13</v>
      </c>
      <c r="N1629" s="46" t="s">
        <v>14</v>
      </c>
      <c r="O1629" s="49" t="s">
        <v>814</v>
      </c>
      <c r="P1629" s="46" t="s">
        <v>507</v>
      </c>
      <c r="Q1629" s="35" t="str">
        <f>MID(Tabla1[[#This Row],[Aplicación]],14,1)</f>
        <v>2</v>
      </c>
      <c r="R1629" s="35" t="s">
        <v>495</v>
      </c>
      <c r="S1629" s="35" t="str">
        <f>MID(Tabla1[[#This Row],[Aplicación]],6,2)</f>
        <v>11</v>
      </c>
      <c r="T1629" s="35" t="str">
        <f>VLOOKUP(Tabla1[[#This Row],[AREA]],Hoja1!A:B,2,FALSE)</f>
        <v>11. Salud pública y seguridad ciudadana</v>
      </c>
      <c r="U1629" s="35" t="str">
        <f>MID(Tabla1[[#This Row],[Aplicación]],9,4)</f>
        <v>1361</v>
      </c>
      <c r="V1629" s="35" t="str">
        <f>VLOOKUP(Tabla1[[#This Row],[PROGRAMA]],Hoja1!A:B,2,FALSE)</f>
        <v>1361. Prevención y extinción de incencios</v>
      </c>
      <c r="W1629" s="35" t="str">
        <f>MID(Tabla1[[#This Row],[Aplicación]],14,2)</f>
        <v>22</v>
      </c>
      <c r="X1629" s="35" t="str">
        <f>MID(Tabla1[[#This Row],[Aplicación]],14,6)</f>
        <v>22199</v>
      </c>
    </row>
    <row r="1630" spans="1:24" x14ac:dyDescent="0.25">
      <c r="A1630" s="45">
        <v>220210007251</v>
      </c>
      <c r="B1630" s="46" t="s">
        <v>204</v>
      </c>
      <c r="C1630" s="47">
        <v>44264</v>
      </c>
      <c r="D1630" s="45">
        <v>22021002059</v>
      </c>
      <c r="E1630" s="46" t="s">
        <v>1183</v>
      </c>
      <c r="F1630" s="48">
        <v>24.33</v>
      </c>
      <c r="G1630" s="46" t="s">
        <v>135</v>
      </c>
      <c r="H1630" s="46" t="s">
        <v>2897</v>
      </c>
      <c r="I1630" s="45" t="s">
        <v>205</v>
      </c>
      <c r="J1630" s="46" t="s">
        <v>127</v>
      </c>
      <c r="K1630" s="46" t="s">
        <v>127</v>
      </c>
      <c r="L1630" s="46" t="s">
        <v>15</v>
      </c>
      <c r="M1630" s="46" t="s">
        <v>13</v>
      </c>
      <c r="N1630" s="46" t="s">
        <v>14</v>
      </c>
      <c r="O1630" s="49" t="s">
        <v>814</v>
      </c>
      <c r="P1630" s="46" t="s">
        <v>507</v>
      </c>
      <c r="Q1630" s="35" t="str">
        <f>MID(Tabla1[[#This Row],[Aplicación]],14,1)</f>
        <v>2</v>
      </c>
      <c r="R1630" s="35" t="s">
        <v>495</v>
      </c>
      <c r="S1630" s="35" t="str">
        <f>MID(Tabla1[[#This Row],[Aplicación]],6,2)</f>
        <v>11</v>
      </c>
      <c r="T1630" s="35" t="str">
        <f>VLOOKUP(Tabla1[[#This Row],[AREA]],Hoja1!A:B,2,FALSE)</f>
        <v>11. Salud pública y seguridad ciudadana</v>
      </c>
      <c r="U1630" s="35" t="str">
        <f>MID(Tabla1[[#This Row],[Aplicación]],9,4)</f>
        <v>1361</v>
      </c>
      <c r="V1630" s="35" t="str">
        <f>VLOOKUP(Tabla1[[#This Row],[PROGRAMA]],Hoja1!A:B,2,FALSE)</f>
        <v>1361. Prevención y extinción de incencios</v>
      </c>
      <c r="W1630" s="35" t="str">
        <f>MID(Tabla1[[#This Row],[Aplicación]],14,2)</f>
        <v>22</v>
      </c>
      <c r="X1630" s="35" t="str">
        <f>MID(Tabla1[[#This Row],[Aplicación]],14,6)</f>
        <v>22199</v>
      </c>
    </row>
    <row r="1631" spans="1:24" x14ac:dyDescent="0.25">
      <c r="A1631" s="45">
        <v>220210007253</v>
      </c>
      <c r="B1631" s="46" t="s">
        <v>204</v>
      </c>
      <c r="C1631" s="47">
        <v>44264</v>
      </c>
      <c r="D1631" s="45">
        <v>22021002059</v>
      </c>
      <c r="E1631" s="46" t="s">
        <v>1183</v>
      </c>
      <c r="F1631" s="48">
        <v>602.22</v>
      </c>
      <c r="G1631" s="46" t="s">
        <v>135</v>
      </c>
      <c r="H1631" s="46" t="s">
        <v>2898</v>
      </c>
      <c r="I1631" s="45" t="s">
        <v>205</v>
      </c>
      <c r="J1631" s="46" t="s">
        <v>127</v>
      </c>
      <c r="K1631" s="46" t="s">
        <v>127</v>
      </c>
      <c r="L1631" s="46" t="s">
        <v>15</v>
      </c>
      <c r="M1631" s="46" t="s">
        <v>13</v>
      </c>
      <c r="N1631" s="46" t="s">
        <v>14</v>
      </c>
      <c r="O1631" s="49" t="s">
        <v>814</v>
      </c>
      <c r="P1631" s="46" t="s">
        <v>507</v>
      </c>
      <c r="Q1631" s="35" t="str">
        <f>MID(Tabla1[[#This Row],[Aplicación]],14,1)</f>
        <v>2</v>
      </c>
      <c r="R1631" s="35" t="s">
        <v>495</v>
      </c>
      <c r="S1631" s="35" t="str">
        <f>MID(Tabla1[[#This Row],[Aplicación]],6,2)</f>
        <v>11</v>
      </c>
      <c r="T1631" s="35" t="str">
        <f>VLOOKUP(Tabla1[[#This Row],[AREA]],Hoja1!A:B,2,FALSE)</f>
        <v>11. Salud pública y seguridad ciudadana</v>
      </c>
      <c r="U1631" s="35" t="str">
        <f>MID(Tabla1[[#This Row],[Aplicación]],9,4)</f>
        <v>1361</v>
      </c>
      <c r="V1631" s="35" t="str">
        <f>VLOOKUP(Tabla1[[#This Row],[PROGRAMA]],Hoja1!A:B,2,FALSE)</f>
        <v>1361. Prevención y extinción de incencios</v>
      </c>
      <c r="W1631" s="35" t="str">
        <f>MID(Tabla1[[#This Row],[Aplicación]],14,2)</f>
        <v>22</v>
      </c>
      <c r="X1631" s="35" t="str">
        <f>MID(Tabla1[[#This Row],[Aplicación]],14,6)</f>
        <v>22199</v>
      </c>
    </row>
    <row r="1632" spans="1:24" x14ac:dyDescent="0.25">
      <c r="A1632" s="45">
        <v>220210007255</v>
      </c>
      <c r="B1632" s="46" t="s">
        <v>204</v>
      </c>
      <c r="C1632" s="47">
        <v>44264</v>
      </c>
      <c r="D1632" s="45">
        <v>22021002059</v>
      </c>
      <c r="E1632" s="46" t="s">
        <v>1183</v>
      </c>
      <c r="F1632" s="48">
        <v>28.48</v>
      </c>
      <c r="G1632" s="46" t="s">
        <v>135</v>
      </c>
      <c r="H1632" s="46" t="s">
        <v>2899</v>
      </c>
      <c r="I1632" s="45" t="s">
        <v>205</v>
      </c>
      <c r="J1632" s="46" t="s">
        <v>127</v>
      </c>
      <c r="K1632" s="46" t="s">
        <v>127</v>
      </c>
      <c r="L1632" s="46" t="s">
        <v>15</v>
      </c>
      <c r="M1632" s="46" t="s">
        <v>13</v>
      </c>
      <c r="N1632" s="46" t="s">
        <v>14</v>
      </c>
      <c r="O1632" s="49" t="s">
        <v>814</v>
      </c>
      <c r="P1632" s="46" t="s">
        <v>507</v>
      </c>
      <c r="Q1632" s="35" t="str">
        <f>MID(Tabla1[[#This Row],[Aplicación]],14,1)</f>
        <v>2</v>
      </c>
      <c r="R1632" s="35" t="s">
        <v>495</v>
      </c>
      <c r="S1632" s="35" t="str">
        <f>MID(Tabla1[[#This Row],[Aplicación]],6,2)</f>
        <v>11</v>
      </c>
      <c r="T1632" s="35" t="str">
        <f>VLOOKUP(Tabla1[[#This Row],[AREA]],Hoja1!A:B,2,FALSE)</f>
        <v>11. Salud pública y seguridad ciudadana</v>
      </c>
      <c r="U1632" s="35" t="str">
        <f>MID(Tabla1[[#This Row],[Aplicación]],9,4)</f>
        <v>1361</v>
      </c>
      <c r="V1632" s="35" t="str">
        <f>VLOOKUP(Tabla1[[#This Row],[PROGRAMA]],Hoja1!A:B,2,FALSE)</f>
        <v>1361. Prevención y extinción de incencios</v>
      </c>
      <c r="W1632" s="35" t="str">
        <f>MID(Tabla1[[#This Row],[Aplicación]],14,2)</f>
        <v>22</v>
      </c>
      <c r="X1632" s="35" t="str">
        <f>MID(Tabla1[[#This Row],[Aplicación]],14,6)</f>
        <v>22199</v>
      </c>
    </row>
    <row r="1633" spans="1:24" x14ac:dyDescent="0.25">
      <c r="A1633" s="45">
        <v>220210007257</v>
      </c>
      <c r="B1633" s="46" t="s">
        <v>204</v>
      </c>
      <c r="C1633" s="47">
        <v>44264</v>
      </c>
      <c r="D1633" s="45">
        <v>22021002059</v>
      </c>
      <c r="E1633" s="46" t="s">
        <v>1183</v>
      </c>
      <c r="F1633" s="48">
        <v>25.64</v>
      </c>
      <c r="G1633" s="46" t="s">
        <v>135</v>
      </c>
      <c r="H1633" s="46" t="s">
        <v>2900</v>
      </c>
      <c r="I1633" s="45" t="s">
        <v>205</v>
      </c>
      <c r="J1633" s="46" t="s">
        <v>127</v>
      </c>
      <c r="K1633" s="46" t="s">
        <v>127</v>
      </c>
      <c r="L1633" s="46" t="s">
        <v>15</v>
      </c>
      <c r="M1633" s="46" t="s">
        <v>13</v>
      </c>
      <c r="N1633" s="46" t="s">
        <v>14</v>
      </c>
      <c r="O1633" s="49" t="s">
        <v>814</v>
      </c>
      <c r="P1633" s="46" t="s">
        <v>507</v>
      </c>
      <c r="Q1633" s="35" t="str">
        <f>MID(Tabla1[[#This Row],[Aplicación]],14,1)</f>
        <v>2</v>
      </c>
      <c r="R1633" s="35" t="s">
        <v>495</v>
      </c>
      <c r="S1633" s="35" t="str">
        <f>MID(Tabla1[[#This Row],[Aplicación]],6,2)</f>
        <v>11</v>
      </c>
      <c r="T1633" s="35" t="str">
        <f>VLOOKUP(Tabla1[[#This Row],[AREA]],Hoja1!A:B,2,FALSE)</f>
        <v>11. Salud pública y seguridad ciudadana</v>
      </c>
      <c r="U1633" s="35" t="str">
        <f>MID(Tabla1[[#This Row],[Aplicación]],9,4)</f>
        <v>1361</v>
      </c>
      <c r="V1633" s="35" t="str">
        <f>VLOOKUP(Tabla1[[#This Row],[PROGRAMA]],Hoja1!A:B,2,FALSE)</f>
        <v>1361. Prevención y extinción de incencios</v>
      </c>
      <c r="W1633" s="35" t="str">
        <f>MID(Tabla1[[#This Row],[Aplicación]],14,2)</f>
        <v>22</v>
      </c>
      <c r="X1633" s="35" t="str">
        <f>MID(Tabla1[[#This Row],[Aplicación]],14,6)</f>
        <v>22199</v>
      </c>
    </row>
    <row r="1634" spans="1:24" x14ac:dyDescent="0.25">
      <c r="A1634" s="45">
        <v>220210007263</v>
      </c>
      <c r="B1634" s="46" t="s">
        <v>204</v>
      </c>
      <c r="C1634" s="47">
        <v>44264</v>
      </c>
      <c r="D1634" s="45">
        <v>22021002048</v>
      </c>
      <c r="E1634" s="46" t="s">
        <v>890</v>
      </c>
      <c r="F1634" s="48">
        <v>1796.84</v>
      </c>
      <c r="G1634" s="46" t="s">
        <v>269</v>
      </c>
      <c r="H1634" s="46" t="s">
        <v>2901</v>
      </c>
      <c r="I1634" s="45" t="s">
        <v>205</v>
      </c>
      <c r="J1634" s="46" t="s">
        <v>127</v>
      </c>
      <c r="K1634" s="46" t="s">
        <v>127</v>
      </c>
      <c r="L1634" s="46" t="s">
        <v>15</v>
      </c>
      <c r="M1634" s="46" t="s">
        <v>13</v>
      </c>
      <c r="N1634" s="46" t="s">
        <v>14</v>
      </c>
      <c r="O1634" s="49" t="s">
        <v>814</v>
      </c>
      <c r="P1634" s="46" t="s">
        <v>507</v>
      </c>
      <c r="Q1634" s="35" t="str">
        <f>MID(Tabla1[[#This Row],[Aplicación]],14,1)</f>
        <v>2</v>
      </c>
      <c r="R1634" s="35" t="s">
        <v>495</v>
      </c>
      <c r="S1634" s="35" t="str">
        <f>MID(Tabla1[[#This Row],[Aplicación]],6,2)</f>
        <v>11</v>
      </c>
      <c r="T1634" s="35" t="str">
        <f>VLOOKUP(Tabla1[[#This Row],[AREA]],Hoja1!A:B,2,FALSE)</f>
        <v>11. Salud pública y seguridad ciudadana</v>
      </c>
      <c r="U1634" s="35" t="str">
        <f>MID(Tabla1[[#This Row],[Aplicación]],9,4)</f>
        <v>1621</v>
      </c>
      <c r="V1634" s="35" t="str">
        <f>VLOOKUP(Tabla1[[#This Row],[PROGRAMA]],Hoja1!A:B,2,FALSE)</f>
        <v>1621. Servicio de limpieza</v>
      </c>
      <c r="W1634" s="35" t="str">
        <f>MID(Tabla1[[#This Row],[Aplicación]],14,2)</f>
        <v>21</v>
      </c>
      <c r="X1634" s="35" t="str">
        <f>MID(Tabla1[[#This Row],[Aplicación]],14,6)</f>
        <v>214</v>
      </c>
    </row>
    <row r="1635" spans="1:24" x14ac:dyDescent="0.25">
      <c r="A1635" s="45">
        <v>220210007265</v>
      </c>
      <c r="B1635" s="46" t="s">
        <v>204</v>
      </c>
      <c r="C1635" s="47">
        <v>44264</v>
      </c>
      <c r="D1635" s="45">
        <v>22021002052</v>
      </c>
      <c r="E1635" s="46" t="s">
        <v>1340</v>
      </c>
      <c r="F1635" s="48">
        <v>3430.35</v>
      </c>
      <c r="G1635" s="46" t="s">
        <v>59</v>
      </c>
      <c r="H1635" s="46" t="s">
        <v>2902</v>
      </c>
      <c r="I1635" s="45" t="s">
        <v>205</v>
      </c>
      <c r="J1635" s="46" t="s">
        <v>127</v>
      </c>
      <c r="K1635" s="46" t="s">
        <v>127</v>
      </c>
      <c r="L1635" s="46" t="s">
        <v>15</v>
      </c>
      <c r="M1635" s="46" t="s">
        <v>13</v>
      </c>
      <c r="N1635" s="46" t="s">
        <v>14</v>
      </c>
      <c r="O1635" s="49" t="s">
        <v>814</v>
      </c>
      <c r="P1635" s="46" t="s">
        <v>507</v>
      </c>
      <c r="Q1635" s="35" t="str">
        <f>MID(Tabla1[[#This Row],[Aplicación]],14,1)</f>
        <v>2</v>
      </c>
      <c r="R1635" s="35" t="s">
        <v>495</v>
      </c>
      <c r="S1635" s="35" t="str">
        <f>MID(Tabla1[[#This Row],[Aplicación]],6,2)</f>
        <v>11</v>
      </c>
      <c r="T1635" s="35" t="str">
        <f>VLOOKUP(Tabla1[[#This Row],[AREA]],Hoja1!A:B,2,FALSE)</f>
        <v>11. Salud pública y seguridad ciudadana</v>
      </c>
      <c r="U1635" s="35" t="str">
        <f>MID(Tabla1[[#This Row],[Aplicación]],9,4)</f>
        <v>1621</v>
      </c>
      <c r="V1635" s="35" t="str">
        <f>VLOOKUP(Tabla1[[#This Row],[PROGRAMA]],Hoja1!A:B,2,FALSE)</f>
        <v>1621. Servicio de limpieza</v>
      </c>
      <c r="W1635" s="35" t="str">
        <f>MID(Tabla1[[#This Row],[Aplicación]],14,2)</f>
        <v>22</v>
      </c>
      <c r="X1635" s="35" t="str">
        <f>MID(Tabla1[[#This Row],[Aplicación]],14,6)</f>
        <v>22199</v>
      </c>
    </row>
    <row r="1636" spans="1:24" x14ac:dyDescent="0.25">
      <c r="A1636" s="45">
        <v>220210007277</v>
      </c>
      <c r="B1636" s="46" t="s">
        <v>32</v>
      </c>
      <c r="C1636" s="47">
        <v>44264</v>
      </c>
      <c r="D1636" s="45">
        <v>22021003271</v>
      </c>
      <c r="E1636" s="46" t="s">
        <v>974</v>
      </c>
      <c r="F1636" s="48">
        <v>32.1</v>
      </c>
      <c r="G1636" s="46" t="s">
        <v>68</v>
      </c>
      <c r="H1636" s="46" t="s">
        <v>2903</v>
      </c>
      <c r="I1636" s="45" t="s">
        <v>234</v>
      </c>
      <c r="J1636" s="46" t="s">
        <v>127</v>
      </c>
      <c r="K1636" s="46" t="s">
        <v>127</v>
      </c>
      <c r="L1636" s="46" t="s">
        <v>12</v>
      </c>
      <c r="M1636" s="46" t="s">
        <v>13</v>
      </c>
      <c r="N1636" s="46" t="s">
        <v>14</v>
      </c>
      <c r="O1636" s="49" t="s">
        <v>803</v>
      </c>
      <c r="P1636" s="46" t="s">
        <v>507</v>
      </c>
      <c r="Q1636" s="35" t="str">
        <f>MID(Tabla1[[#This Row],[Aplicación]],14,1)</f>
        <v>2</v>
      </c>
      <c r="R1636" s="35" t="s">
        <v>495</v>
      </c>
      <c r="S1636" s="35" t="str">
        <f>MID(Tabla1[[#This Row],[Aplicación]],6,2)</f>
        <v>01</v>
      </c>
      <c r="T1636" s="35" t="str">
        <f>VLOOKUP(Tabla1[[#This Row],[AREA]],Hoja1!A:B,2,FALSE)</f>
        <v>01. Alcaldía</v>
      </c>
      <c r="U1636" s="35" t="str">
        <f>MID(Tabla1[[#This Row],[Aplicación]],9,4)</f>
        <v>9206</v>
      </c>
      <c r="V1636" s="35" t="str">
        <f>VLOOKUP(Tabla1[[#This Row],[PROGRAMA]],Hoja1!A:B,2,FALSE)</f>
        <v>9206. Archivo municipal</v>
      </c>
      <c r="W1636" s="35" t="str">
        <f>MID(Tabla1[[#This Row],[Aplicación]],14,2)</f>
        <v>21</v>
      </c>
      <c r="X1636" s="35" t="str">
        <f>MID(Tabla1[[#This Row],[Aplicación]],14,6)</f>
        <v>213</v>
      </c>
    </row>
    <row r="1637" spans="1:24" x14ac:dyDescent="0.25">
      <c r="A1637" s="45">
        <v>220210007278</v>
      </c>
      <c r="B1637" s="46" t="s">
        <v>32</v>
      </c>
      <c r="C1637" s="47">
        <v>44264</v>
      </c>
      <c r="D1637" s="45">
        <v>22021003272</v>
      </c>
      <c r="E1637" s="46" t="s">
        <v>974</v>
      </c>
      <c r="F1637" s="48">
        <v>63.76</v>
      </c>
      <c r="G1637" s="46" t="s">
        <v>68</v>
      </c>
      <c r="H1637" s="46" t="s">
        <v>2904</v>
      </c>
      <c r="I1637" s="45" t="s">
        <v>234</v>
      </c>
      <c r="J1637" s="46" t="s">
        <v>127</v>
      </c>
      <c r="K1637" s="46" t="s">
        <v>127</v>
      </c>
      <c r="L1637" s="46" t="s">
        <v>12</v>
      </c>
      <c r="M1637" s="46" t="s">
        <v>13</v>
      </c>
      <c r="N1637" s="46" t="s">
        <v>14</v>
      </c>
      <c r="O1637" s="49" t="s">
        <v>803</v>
      </c>
      <c r="P1637" s="46" t="s">
        <v>507</v>
      </c>
      <c r="Q1637" s="35" t="str">
        <f>MID(Tabla1[[#This Row],[Aplicación]],14,1)</f>
        <v>2</v>
      </c>
      <c r="R1637" s="35" t="s">
        <v>495</v>
      </c>
      <c r="S1637" s="35" t="str">
        <f>MID(Tabla1[[#This Row],[Aplicación]],6,2)</f>
        <v>01</v>
      </c>
      <c r="T1637" s="35" t="str">
        <f>VLOOKUP(Tabla1[[#This Row],[AREA]],Hoja1!A:B,2,FALSE)</f>
        <v>01. Alcaldía</v>
      </c>
      <c r="U1637" s="35" t="str">
        <f>MID(Tabla1[[#This Row],[Aplicación]],9,4)</f>
        <v>9206</v>
      </c>
      <c r="V1637" s="35" t="str">
        <f>VLOOKUP(Tabla1[[#This Row],[PROGRAMA]],Hoja1!A:B,2,FALSE)</f>
        <v>9206. Archivo municipal</v>
      </c>
      <c r="W1637" s="35" t="str">
        <f>MID(Tabla1[[#This Row],[Aplicación]],14,2)</f>
        <v>21</v>
      </c>
      <c r="X1637" s="35" t="str">
        <f>MID(Tabla1[[#This Row],[Aplicación]],14,6)</f>
        <v>213</v>
      </c>
    </row>
    <row r="1638" spans="1:24" x14ac:dyDescent="0.25">
      <c r="A1638" s="45">
        <v>220210007223</v>
      </c>
      <c r="B1638" s="46" t="s">
        <v>204</v>
      </c>
      <c r="C1638" s="47">
        <v>44264</v>
      </c>
      <c r="D1638" s="45">
        <v>22021002059</v>
      </c>
      <c r="E1638" s="46" t="s">
        <v>1183</v>
      </c>
      <c r="F1638" s="48">
        <v>409.96</v>
      </c>
      <c r="G1638" s="46" t="s">
        <v>102</v>
      </c>
      <c r="H1638" s="46" t="s">
        <v>2905</v>
      </c>
      <c r="I1638" s="45" t="s">
        <v>205</v>
      </c>
      <c r="J1638" s="46" t="s">
        <v>127</v>
      </c>
      <c r="K1638" s="46" t="s">
        <v>127</v>
      </c>
      <c r="L1638" s="46" t="s">
        <v>15</v>
      </c>
      <c r="M1638" s="46" t="s">
        <v>13</v>
      </c>
      <c r="N1638" s="46" t="s">
        <v>14</v>
      </c>
      <c r="O1638" s="49" t="s">
        <v>814</v>
      </c>
      <c r="P1638" s="46" t="s">
        <v>507</v>
      </c>
      <c r="Q1638" s="35" t="str">
        <f>MID(Tabla1[[#This Row],[Aplicación]],14,1)</f>
        <v>2</v>
      </c>
      <c r="R1638" s="35" t="s">
        <v>495</v>
      </c>
      <c r="S1638" s="35" t="str">
        <f>MID(Tabla1[[#This Row],[Aplicación]],6,2)</f>
        <v>11</v>
      </c>
      <c r="T1638" s="35" t="str">
        <f>VLOOKUP(Tabla1[[#This Row],[AREA]],Hoja1!A:B,2,FALSE)</f>
        <v>11. Salud pública y seguridad ciudadana</v>
      </c>
      <c r="U1638" s="35" t="str">
        <f>MID(Tabla1[[#This Row],[Aplicación]],9,4)</f>
        <v>1361</v>
      </c>
      <c r="V1638" s="35" t="str">
        <f>VLOOKUP(Tabla1[[#This Row],[PROGRAMA]],Hoja1!A:B,2,FALSE)</f>
        <v>1361. Prevención y extinción de incencios</v>
      </c>
      <c r="W1638" s="35" t="str">
        <f>MID(Tabla1[[#This Row],[Aplicación]],14,2)</f>
        <v>22</v>
      </c>
      <c r="X1638" s="35" t="str">
        <f>MID(Tabla1[[#This Row],[Aplicación]],14,6)</f>
        <v>22199</v>
      </c>
    </row>
    <row r="1639" spans="1:24" x14ac:dyDescent="0.25">
      <c r="A1639" s="45">
        <v>220210007290</v>
      </c>
      <c r="B1639" s="46" t="s">
        <v>204</v>
      </c>
      <c r="C1639" s="47">
        <v>44264</v>
      </c>
      <c r="D1639" s="45">
        <v>22021001275</v>
      </c>
      <c r="E1639" s="46" t="s">
        <v>1334</v>
      </c>
      <c r="F1639" s="48">
        <v>25.49</v>
      </c>
      <c r="G1639" s="46" t="s">
        <v>87</v>
      </c>
      <c r="H1639" s="46" t="s">
        <v>2906</v>
      </c>
      <c r="I1639" s="45" t="s">
        <v>205</v>
      </c>
      <c r="J1639" s="46" t="s">
        <v>127</v>
      </c>
      <c r="K1639" s="46" t="s">
        <v>127</v>
      </c>
      <c r="L1639" s="46" t="s">
        <v>15</v>
      </c>
      <c r="M1639" s="46" t="s">
        <v>13</v>
      </c>
      <c r="N1639" s="46" t="s">
        <v>14</v>
      </c>
      <c r="O1639" s="49" t="s">
        <v>814</v>
      </c>
      <c r="P1639" s="46" t="s">
        <v>507</v>
      </c>
      <c r="Q1639" s="35" t="str">
        <f>MID(Tabla1[[#This Row],[Aplicación]],14,1)</f>
        <v>2</v>
      </c>
      <c r="R1639" s="35" t="s">
        <v>495</v>
      </c>
      <c r="S1639" s="35" t="str">
        <f>MID(Tabla1[[#This Row],[Aplicación]],6,2)</f>
        <v>07</v>
      </c>
      <c r="T1639" s="35" t="str">
        <f>VLOOKUP(Tabla1[[#This Row],[AREA]],Hoja1!A:B,2,FALSE)</f>
        <v>07. Medio ambiente y desarrollo sostenible</v>
      </c>
      <c r="U1639" s="35" t="str">
        <f>MID(Tabla1[[#This Row],[Aplicación]],9,4)</f>
        <v>1711</v>
      </c>
      <c r="V1639" s="35" t="str">
        <f>VLOOKUP(Tabla1[[#This Row],[PROGRAMA]],Hoja1!A:B,2,FALSE)</f>
        <v>1711. Parques y jardines</v>
      </c>
      <c r="W1639" s="35" t="str">
        <f>MID(Tabla1[[#This Row],[Aplicación]],14,2)</f>
        <v>22</v>
      </c>
      <c r="X1639" s="35" t="str">
        <f>MID(Tabla1[[#This Row],[Aplicación]],14,6)</f>
        <v>22199</v>
      </c>
    </row>
    <row r="1640" spans="1:24" x14ac:dyDescent="0.25">
      <c r="A1640" s="45">
        <v>220210007293</v>
      </c>
      <c r="B1640" s="46" t="s">
        <v>204</v>
      </c>
      <c r="C1640" s="47">
        <v>44264</v>
      </c>
      <c r="D1640" s="45">
        <v>22021001275</v>
      </c>
      <c r="E1640" s="46" t="s">
        <v>1334</v>
      </c>
      <c r="F1640" s="48">
        <v>1364</v>
      </c>
      <c r="G1640" s="46" t="s">
        <v>2907</v>
      </c>
      <c r="H1640" s="46" t="s">
        <v>2908</v>
      </c>
      <c r="I1640" s="45" t="s">
        <v>205</v>
      </c>
      <c r="J1640" s="46" t="s">
        <v>2909</v>
      </c>
      <c r="K1640" s="46" t="s">
        <v>127</v>
      </c>
      <c r="L1640" s="46" t="s">
        <v>15</v>
      </c>
      <c r="M1640" s="46" t="s">
        <v>13</v>
      </c>
      <c r="N1640" s="46" t="s">
        <v>14</v>
      </c>
      <c r="O1640" s="49" t="s">
        <v>814</v>
      </c>
      <c r="P1640" s="46" t="s">
        <v>507</v>
      </c>
      <c r="Q1640" s="35" t="str">
        <f>MID(Tabla1[[#This Row],[Aplicación]],14,1)</f>
        <v>2</v>
      </c>
      <c r="R1640" s="35" t="s">
        <v>495</v>
      </c>
      <c r="S1640" s="35" t="str">
        <f>MID(Tabla1[[#This Row],[Aplicación]],6,2)</f>
        <v>07</v>
      </c>
      <c r="T1640" s="35" t="str">
        <f>VLOOKUP(Tabla1[[#This Row],[AREA]],Hoja1!A:B,2,FALSE)</f>
        <v>07. Medio ambiente y desarrollo sostenible</v>
      </c>
      <c r="U1640" s="35" t="str">
        <f>MID(Tabla1[[#This Row],[Aplicación]],9,4)</f>
        <v>1711</v>
      </c>
      <c r="V1640" s="35" t="str">
        <f>VLOOKUP(Tabla1[[#This Row],[PROGRAMA]],Hoja1!A:B,2,FALSE)</f>
        <v>1711. Parques y jardines</v>
      </c>
      <c r="W1640" s="35" t="str">
        <f>MID(Tabla1[[#This Row],[Aplicación]],14,2)</f>
        <v>22</v>
      </c>
      <c r="X1640" s="35" t="str">
        <f>MID(Tabla1[[#This Row],[Aplicación]],14,6)</f>
        <v>22199</v>
      </c>
    </row>
    <row r="1641" spans="1:24" x14ac:dyDescent="0.25">
      <c r="A1641" s="45">
        <v>220210007229</v>
      </c>
      <c r="B1641" s="46" t="s">
        <v>204</v>
      </c>
      <c r="C1641" s="47">
        <v>44264</v>
      </c>
      <c r="D1641" s="45">
        <v>22021002059</v>
      </c>
      <c r="E1641" s="46" t="s">
        <v>1183</v>
      </c>
      <c r="F1641" s="48">
        <v>81.239999999999995</v>
      </c>
      <c r="G1641" s="46" t="s">
        <v>102</v>
      </c>
      <c r="H1641" s="46" t="s">
        <v>2910</v>
      </c>
      <c r="I1641" s="45" t="s">
        <v>205</v>
      </c>
      <c r="J1641" s="46" t="s">
        <v>127</v>
      </c>
      <c r="K1641" s="46" t="s">
        <v>127</v>
      </c>
      <c r="L1641" s="46" t="s">
        <v>15</v>
      </c>
      <c r="M1641" s="46" t="s">
        <v>13</v>
      </c>
      <c r="N1641" s="46" t="s">
        <v>14</v>
      </c>
      <c r="O1641" s="49" t="s">
        <v>814</v>
      </c>
      <c r="P1641" s="46" t="s">
        <v>507</v>
      </c>
      <c r="Q1641" s="35" t="str">
        <f>MID(Tabla1[[#This Row],[Aplicación]],14,1)</f>
        <v>2</v>
      </c>
      <c r="R1641" s="35" t="s">
        <v>495</v>
      </c>
      <c r="S1641" s="35" t="str">
        <f>MID(Tabla1[[#This Row],[Aplicación]],6,2)</f>
        <v>11</v>
      </c>
      <c r="T1641" s="35" t="str">
        <f>VLOOKUP(Tabla1[[#This Row],[AREA]],Hoja1!A:B,2,FALSE)</f>
        <v>11. Salud pública y seguridad ciudadana</v>
      </c>
      <c r="U1641" s="35" t="str">
        <f>MID(Tabla1[[#This Row],[Aplicación]],9,4)</f>
        <v>1361</v>
      </c>
      <c r="V1641" s="35" t="str">
        <f>VLOOKUP(Tabla1[[#This Row],[PROGRAMA]],Hoja1!A:B,2,FALSE)</f>
        <v>1361. Prevención y extinción de incencios</v>
      </c>
      <c r="W1641" s="35" t="str">
        <f>MID(Tabla1[[#This Row],[Aplicación]],14,2)</f>
        <v>22</v>
      </c>
      <c r="X1641" s="35" t="str">
        <f>MID(Tabla1[[#This Row],[Aplicación]],14,6)</f>
        <v>22199</v>
      </c>
    </row>
    <row r="1642" spans="1:24" x14ac:dyDescent="0.25">
      <c r="A1642" s="45">
        <v>220210002760</v>
      </c>
      <c r="B1642" s="46" t="s">
        <v>32</v>
      </c>
      <c r="C1642" s="47">
        <v>44237</v>
      </c>
      <c r="D1642" s="45">
        <v>22021001313</v>
      </c>
      <c r="E1642" s="46" t="s">
        <v>838</v>
      </c>
      <c r="F1642" s="48">
        <v>5041.63</v>
      </c>
      <c r="G1642" s="46" t="s">
        <v>570</v>
      </c>
      <c r="H1642" s="46" t="s">
        <v>2911</v>
      </c>
      <c r="I1642" s="45" t="s">
        <v>234</v>
      </c>
      <c r="J1642" s="46" t="s">
        <v>146</v>
      </c>
      <c r="K1642" s="46" t="s">
        <v>146</v>
      </c>
      <c r="L1642" s="46" t="s">
        <v>12</v>
      </c>
      <c r="M1642" s="46" t="s">
        <v>13</v>
      </c>
      <c r="N1642" s="46" t="s">
        <v>14</v>
      </c>
      <c r="O1642" s="49" t="s">
        <v>803</v>
      </c>
      <c r="P1642" s="46" t="s">
        <v>507</v>
      </c>
      <c r="Q1642" s="35" t="str">
        <f>MID(Tabla1[[#This Row],[Aplicación]],14,1)</f>
        <v>6</v>
      </c>
      <c r="R1642" s="35" t="s">
        <v>496</v>
      </c>
      <c r="S1642" s="35" t="str">
        <f>MID(Tabla1[[#This Row],[Aplicación]],6,2)</f>
        <v>07</v>
      </c>
      <c r="T1642" s="35" t="str">
        <f>VLOOKUP(Tabla1[[#This Row],[AREA]],Hoja1!A:B,2,FALSE)</f>
        <v>07. Medio ambiente y desarrollo sostenible</v>
      </c>
      <c r="U1642" s="35" t="str">
        <f>MID(Tabla1[[#This Row],[Aplicación]],9,4)</f>
        <v>1711</v>
      </c>
      <c r="V1642" s="35" t="str">
        <f>VLOOKUP(Tabla1[[#This Row],[PROGRAMA]],Hoja1!A:B,2,FALSE)</f>
        <v>1711. Parques y jardines</v>
      </c>
      <c r="W1642" s="35" t="str">
        <f>MID(Tabla1[[#This Row],[Aplicación]],14,2)</f>
        <v>61</v>
      </c>
      <c r="X1642" s="35" t="str">
        <f>MID(Tabla1[[#This Row],[Aplicación]],14,6)</f>
        <v>610</v>
      </c>
    </row>
    <row r="1643" spans="1:24" x14ac:dyDescent="0.25">
      <c r="A1643" s="45">
        <v>220210007313</v>
      </c>
      <c r="B1643" s="46" t="s">
        <v>204</v>
      </c>
      <c r="C1643" s="47">
        <v>44264</v>
      </c>
      <c r="D1643" s="45">
        <v>22021001967</v>
      </c>
      <c r="E1643" s="46" t="s">
        <v>1167</v>
      </c>
      <c r="F1643" s="48">
        <v>656.24</v>
      </c>
      <c r="G1643" s="46" t="s">
        <v>246</v>
      </c>
      <c r="H1643" s="46" t="s">
        <v>2912</v>
      </c>
      <c r="I1643" s="45" t="s">
        <v>205</v>
      </c>
      <c r="J1643" s="46" t="s">
        <v>127</v>
      </c>
      <c r="K1643" s="46" t="s">
        <v>127</v>
      </c>
      <c r="L1643" s="46" t="s">
        <v>15</v>
      </c>
      <c r="M1643" s="46" t="s">
        <v>13</v>
      </c>
      <c r="N1643" s="46" t="s">
        <v>14</v>
      </c>
      <c r="O1643" s="49" t="s">
        <v>814</v>
      </c>
      <c r="P1643" s="46" t="s">
        <v>507</v>
      </c>
      <c r="Q1643" s="35" t="str">
        <f>MID(Tabla1[[#This Row],[Aplicación]],14,1)</f>
        <v>2</v>
      </c>
      <c r="R1643" s="35" t="s">
        <v>495</v>
      </c>
      <c r="S1643" s="35" t="str">
        <f>MID(Tabla1[[#This Row],[Aplicación]],6,2)</f>
        <v>11</v>
      </c>
      <c r="T1643" s="35" t="str">
        <f>VLOOKUP(Tabla1[[#This Row],[AREA]],Hoja1!A:B,2,FALSE)</f>
        <v>11. Salud pública y seguridad ciudadana</v>
      </c>
      <c r="U1643" s="35" t="str">
        <f>MID(Tabla1[[#This Row],[Aplicación]],9,4)</f>
        <v>1321</v>
      </c>
      <c r="V1643" s="35" t="str">
        <f>VLOOKUP(Tabla1[[#This Row],[PROGRAMA]],Hoja1!A:B,2,FALSE)</f>
        <v>1321. Policía municipal</v>
      </c>
      <c r="W1643" s="35" t="str">
        <f>MID(Tabla1[[#This Row],[Aplicación]],14,2)</f>
        <v>21</v>
      </c>
      <c r="X1643" s="35" t="str">
        <f>MID(Tabla1[[#This Row],[Aplicación]],14,6)</f>
        <v>214</v>
      </c>
    </row>
    <row r="1644" spans="1:24" x14ac:dyDescent="0.25">
      <c r="A1644" s="45">
        <v>220210007333</v>
      </c>
      <c r="B1644" s="46" t="s">
        <v>204</v>
      </c>
      <c r="C1644" s="47">
        <v>44264</v>
      </c>
      <c r="D1644" s="45">
        <v>22021000542</v>
      </c>
      <c r="E1644" s="46" t="s">
        <v>2913</v>
      </c>
      <c r="F1644" s="48">
        <v>71.11</v>
      </c>
      <c r="G1644" s="46" t="s">
        <v>266</v>
      </c>
      <c r="H1644" s="46" t="s">
        <v>2914</v>
      </c>
      <c r="I1644" s="45" t="s">
        <v>205</v>
      </c>
      <c r="J1644" s="46" t="s">
        <v>127</v>
      </c>
      <c r="K1644" s="46" t="s">
        <v>127</v>
      </c>
      <c r="L1644" s="46" t="s">
        <v>15</v>
      </c>
      <c r="M1644" s="46" t="s">
        <v>13</v>
      </c>
      <c r="N1644" s="46" t="s">
        <v>14</v>
      </c>
      <c r="O1644" s="49" t="s">
        <v>814</v>
      </c>
      <c r="P1644" s="46" t="s">
        <v>507</v>
      </c>
      <c r="Q1644" s="35" t="str">
        <f>MID(Tabla1[[#This Row],[Aplicación]],14,1)</f>
        <v>2</v>
      </c>
      <c r="R1644" s="35" t="s">
        <v>495</v>
      </c>
      <c r="S1644" s="35" t="str">
        <f>MID(Tabla1[[#This Row],[Aplicación]],6,2)</f>
        <v>08</v>
      </c>
      <c r="T1644" s="35" t="str">
        <f>VLOOKUP(Tabla1[[#This Row],[AREA]],Hoja1!A:B,2,FALSE)</f>
        <v>08. Movilidad y espacio urbano</v>
      </c>
      <c r="U1644" s="35" t="str">
        <f>MID(Tabla1[[#This Row],[Aplicación]],9,4)</f>
        <v>1341</v>
      </c>
      <c r="V1644" s="35" t="str">
        <f>VLOOKUP(Tabla1[[#This Row],[PROGRAMA]],Hoja1!A:B,2,FALSE)</f>
        <v>1341. Movilidad</v>
      </c>
      <c r="W1644" s="35" t="str">
        <f>MID(Tabla1[[#This Row],[Aplicación]],14,2)</f>
        <v>22</v>
      </c>
      <c r="X1644" s="35" t="str">
        <f>MID(Tabla1[[#This Row],[Aplicación]],14,6)</f>
        <v>22699</v>
      </c>
    </row>
    <row r="1645" spans="1:24" x14ac:dyDescent="0.25">
      <c r="A1645" s="45">
        <v>220210007335</v>
      </c>
      <c r="B1645" s="46" t="s">
        <v>204</v>
      </c>
      <c r="C1645" s="47">
        <v>44264</v>
      </c>
      <c r="D1645" s="45">
        <v>22021000542</v>
      </c>
      <c r="E1645" s="46" t="s">
        <v>2913</v>
      </c>
      <c r="F1645" s="48">
        <v>62.91</v>
      </c>
      <c r="G1645" s="46" t="s">
        <v>135</v>
      </c>
      <c r="H1645" s="46" t="s">
        <v>2915</v>
      </c>
      <c r="I1645" s="45" t="s">
        <v>205</v>
      </c>
      <c r="J1645" s="46" t="s">
        <v>127</v>
      </c>
      <c r="K1645" s="46" t="s">
        <v>127</v>
      </c>
      <c r="L1645" s="46" t="s">
        <v>15</v>
      </c>
      <c r="M1645" s="46" t="s">
        <v>13</v>
      </c>
      <c r="N1645" s="46" t="s">
        <v>14</v>
      </c>
      <c r="O1645" s="49" t="s">
        <v>814</v>
      </c>
      <c r="P1645" s="46" t="s">
        <v>507</v>
      </c>
      <c r="Q1645" s="35" t="str">
        <f>MID(Tabla1[[#This Row],[Aplicación]],14,1)</f>
        <v>2</v>
      </c>
      <c r="R1645" s="35" t="s">
        <v>495</v>
      </c>
      <c r="S1645" s="35" t="str">
        <f>MID(Tabla1[[#This Row],[Aplicación]],6,2)</f>
        <v>08</v>
      </c>
      <c r="T1645" s="35" t="str">
        <f>VLOOKUP(Tabla1[[#This Row],[AREA]],Hoja1!A:B,2,FALSE)</f>
        <v>08. Movilidad y espacio urbano</v>
      </c>
      <c r="U1645" s="35" t="str">
        <f>MID(Tabla1[[#This Row],[Aplicación]],9,4)</f>
        <v>1341</v>
      </c>
      <c r="V1645" s="35" t="str">
        <f>VLOOKUP(Tabla1[[#This Row],[PROGRAMA]],Hoja1!A:B,2,FALSE)</f>
        <v>1341. Movilidad</v>
      </c>
      <c r="W1645" s="35" t="str">
        <f>MID(Tabla1[[#This Row],[Aplicación]],14,2)</f>
        <v>22</v>
      </c>
      <c r="X1645" s="35" t="str">
        <f>MID(Tabla1[[#This Row],[Aplicación]],14,6)</f>
        <v>22699</v>
      </c>
    </row>
    <row r="1646" spans="1:24" x14ac:dyDescent="0.25">
      <c r="A1646" s="45">
        <v>220210007337</v>
      </c>
      <c r="B1646" s="46" t="s">
        <v>204</v>
      </c>
      <c r="C1646" s="47">
        <v>44264</v>
      </c>
      <c r="D1646" s="45">
        <v>22021000547</v>
      </c>
      <c r="E1646" s="46" t="s">
        <v>1799</v>
      </c>
      <c r="F1646" s="48">
        <v>433.68</v>
      </c>
      <c r="G1646" s="46" t="s">
        <v>262</v>
      </c>
      <c r="H1646" s="46" t="s">
        <v>2916</v>
      </c>
      <c r="I1646" s="45" t="s">
        <v>205</v>
      </c>
      <c r="J1646" s="46" t="s">
        <v>127</v>
      </c>
      <c r="K1646" s="46" t="s">
        <v>127</v>
      </c>
      <c r="L1646" s="46" t="s">
        <v>12</v>
      </c>
      <c r="M1646" s="46" t="s">
        <v>13</v>
      </c>
      <c r="N1646" s="46" t="s">
        <v>14</v>
      </c>
      <c r="O1646" s="49" t="s">
        <v>814</v>
      </c>
      <c r="P1646" s="46" t="s">
        <v>507</v>
      </c>
      <c r="Q1646" s="35" t="str">
        <f>MID(Tabla1[[#This Row],[Aplicación]],14,1)</f>
        <v>2</v>
      </c>
      <c r="R1646" s="35" t="s">
        <v>495</v>
      </c>
      <c r="S1646" s="35" t="str">
        <f>MID(Tabla1[[#This Row],[Aplicación]],6,2)</f>
        <v>08</v>
      </c>
      <c r="T1646" s="35" t="str">
        <f>VLOOKUP(Tabla1[[#This Row],[AREA]],Hoja1!A:B,2,FALSE)</f>
        <v>08. Movilidad y espacio urbano</v>
      </c>
      <c r="U1646" s="35" t="str">
        <f>MID(Tabla1[[#This Row],[Aplicación]],9,4)</f>
        <v>1341</v>
      </c>
      <c r="V1646" s="35" t="str">
        <f>VLOOKUP(Tabla1[[#This Row],[PROGRAMA]],Hoja1!A:B,2,FALSE)</f>
        <v>1341. Movilidad</v>
      </c>
      <c r="W1646" s="35" t="str">
        <f>MID(Tabla1[[#This Row],[Aplicación]],14,2)</f>
        <v>21</v>
      </c>
      <c r="X1646" s="35" t="str">
        <f>MID(Tabla1[[#This Row],[Aplicación]],14,6)</f>
        <v>214</v>
      </c>
    </row>
    <row r="1647" spans="1:24" x14ac:dyDescent="0.25">
      <c r="A1647" s="45">
        <v>220210007339</v>
      </c>
      <c r="B1647" s="46" t="s">
        <v>204</v>
      </c>
      <c r="C1647" s="47">
        <v>44264</v>
      </c>
      <c r="D1647" s="45">
        <v>22021000547</v>
      </c>
      <c r="E1647" s="46" t="s">
        <v>1799</v>
      </c>
      <c r="F1647" s="48">
        <v>381.38</v>
      </c>
      <c r="G1647" s="46" t="s">
        <v>262</v>
      </c>
      <c r="H1647" s="46" t="s">
        <v>2917</v>
      </c>
      <c r="I1647" s="45" t="s">
        <v>205</v>
      </c>
      <c r="J1647" s="46" t="s">
        <v>127</v>
      </c>
      <c r="K1647" s="46" t="s">
        <v>127</v>
      </c>
      <c r="L1647" s="46" t="s">
        <v>12</v>
      </c>
      <c r="M1647" s="46" t="s">
        <v>13</v>
      </c>
      <c r="N1647" s="46" t="s">
        <v>14</v>
      </c>
      <c r="O1647" s="49" t="s">
        <v>814</v>
      </c>
      <c r="P1647" s="46" t="s">
        <v>507</v>
      </c>
      <c r="Q1647" s="35" t="str">
        <f>MID(Tabla1[[#This Row],[Aplicación]],14,1)</f>
        <v>2</v>
      </c>
      <c r="R1647" s="35" t="s">
        <v>495</v>
      </c>
      <c r="S1647" s="35" t="str">
        <f>MID(Tabla1[[#This Row],[Aplicación]],6,2)</f>
        <v>08</v>
      </c>
      <c r="T1647" s="35" t="str">
        <f>VLOOKUP(Tabla1[[#This Row],[AREA]],Hoja1!A:B,2,FALSE)</f>
        <v>08. Movilidad y espacio urbano</v>
      </c>
      <c r="U1647" s="35" t="str">
        <f>MID(Tabla1[[#This Row],[Aplicación]],9,4)</f>
        <v>1341</v>
      </c>
      <c r="V1647" s="35" t="str">
        <f>VLOOKUP(Tabla1[[#This Row],[PROGRAMA]],Hoja1!A:B,2,FALSE)</f>
        <v>1341. Movilidad</v>
      </c>
      <c r="W1647" s="35" t="str">
        <f>MID(Tabla1[[#This Row],[Aplicación]],14,2)</f>
        <v>21</v>
      </c>
      <c r="X1647" s="35" t="str">
        <f>MID(Tabla1[[#This Row],[Aplicación]],14,6)</f>
        <v>214</v>
      </c>
    </row>
    <row r="1648" spans="1:24" x14ac:dyDescent="0.25">
      <c r="A1648" s="45">
        <v>220210007341</v>
      </c>
      <c r="B1648" s="46" t="s">
        <v>204</v>
      </c>
      <c r="C1648" s="47">
        <v>44264</v>
      </c>
      <c r="D1648" s="45">
        <v>22021000547</v>
      </c>
      <c r="E1648" s="46" t="s">
        <v>1799</v>
      </c>
      <c r="F1648" s="48">
        <v>376.69</v>
      </c>
      <c r="G1648" s="46" t="s">
        <v>262</v>
      </c>
      <c r="H1648" s="46" t="s">
        <v>2918</v>
      </c>
      <c r="I1648" s="45" t="s">
        <v>205</v>
      </c>
      <c r="J1648" s="46" t="s">
        <v>127</v>
      </c>
      <c r="K1648" s="46" t="s">
        <v>127</v>
      </c>
      <c r="L1648" s="46" t="s">
        <v>12</v>
      </c>
      <c r="M1648" s="46" t="s">
        <v>13</v>
      </c>
      <c r="N1648" s="46" t="s">
        <v>14</v>
      </c>
      <c r="O1648" s="49" t="s">
        <v>814</v>
      </c>
      <c r="P1648" s="46" t="s">
        <v>507</v>
      </c>
      <c r="Q1648" s="35" t="str">
        <f>MID(Tabla1[[#This Row],[Aplicación]],14,1)</f>
        <v>2</v>
      </c>
      <c r="R1648" s="35" t="s">
        <v>495</v>
      </c>
      <c r="S1648" s="35" t="str">
        <f>MID(Tabla1[[#This Row],[Aplicación]],6,2)</f>
        <v>08</v>
      </c>
      <c r="T1648" s="35" t="str">
        <f>VLOOKUP(Tabla1[[#This Row],[AREA]],Hoja1!A:B,2,FALSE)</f>
        <v>08. Movilidad y espacio urbano</v>
      </c>
      <c r="U1648" s="35" t="str">
        <f>MID(Tabla1[[#This Row],[Aplicación]],9,4)</f>
        <v>1341</v>
      </c>
      <c r="V1648" s="35" t="str">
        <f>VLOOKUP(Tabla1[[#This Row],[PROGRAMA]],Hoja1!A:B,2,FALSE)</f>
        <v>1341. Movilidad</v>
      </c>
      <c r="W1648" s="35" t="str">
        <f>MID(Tabla1[[#This Row],[Aplicación]],14,2)</f>
        <v>21</v>
      </c>
      <c r="X1648" s="35" t="str">
        <f>MID(Tabla1[[#This Row],[Aplicación]],14,6)</f>
        <v>214</v>
      </c>
    </row>
    <row r="1649" spans="1:24" x14ac:dyDescent="0.25">
      <c r="A1649" s="45">
        <v>220210007343</v>
      </c>
      <c r="B1649" s="46" t="s">
        <v>204</v>
      </c>
      <c r="C1649" s="47">
        <v>44264</v>
      </c>
      <c r="D1649" s="45">
        <v>22021000547</v>
      </c>
      <c r="E1649" s="46" t="s">
        <v>1799</v>
      </c>
      <c r="F1649" s="48">
        <v>18.559999999999999</v>
      </c>
      <c r="G1649" s="46" t="s">
        <v>262</v>
      </c>
      <c r="H1649" s="46" t="s">
        <v>2919</v>
      </c>
      <c r="I1649" s="45" t="s">
        <v>205</v>
      </c>
      <c r="J1649" s="46" t="s">
        <v>127</v>
      </c>
      <c r="K1649" s="46" t="s">
        <v>127</v>
      </c>
      <c r="L1649" s="46" t="s">
        <v>12</v>
      </c>
      <c r="M1649" s="46" t="s">
        <v>13</v>
      </c>
      <c r="N1649" s="46" t="s">
        <v>14</v>
      </c>
      <c r="O1649" s="49" t="s">
        <v>814</v>
      </c>
      <c r="P1649" s="46" t="s">
        <v>507</v>
      </c>
      <c r="Q1649" s="35" t="str">
        <f>MID(Tabla1[[#This Row],[Aplicación]],14,1)</f>
        <v>2</v>
      </c>
      <c r="R1649" s="35" t="s">
        <v>495</v>
      </c>
      <c r="S1649" s="35" t="str">
        <f>MID(Tabla1[[#This Row],[Aplicación]],6,2)</f>
        <v>08</v>
      </c>
      <c r="T1649" s="35" t="str">
        <f>VLOOKUP(Tabla1[[#This Row],[AREA]],Hoja1!A:B,2,FALSE)</f>
        <v>08. Movilidad y espacio urbano</v>
      </c>
      <c r="U1649" s="35" t="str">
        <f>MID(Tabla1[[#This Row],[Aplicación]],9,4)</f>
        <v>1341</v>
      </c>
      <c r="V1649" s="35" t="str">
        <f>VLOOKUP(Tabla1[[#This Row],[PROGRAMA]],Hoja1!A:B,2,FALSE)</f>
        <v>1341. Movilidad</v>
      </c>
      <c r="W1649" s="35" t="str">
        <f>MID(Tabla1[[#This Row],[Aplicación]],14,2)</f>
        <v>21</v>
      </c>
      <c r="X1649" s="35" t="str">
        <f>MID(Tabla1[[#This Row],[Aplicación]],14,6)</f>
        <v>214</v>
      </c>
    </row>
    <row r="1650" spans="1:24" x14ac:dyDescent="0.25">
      <c r="A1650" s="45">
        <v>220210007284</v>
      </c>
      <c r="B1650" s="46" t="s">
        <v>204</v>
      </c>
      <c r="C1650" s="47">
        <v>44264</v>
      </c>
      <c r="D1650" s="45">
        <v>22021002228</v>
      </c>
      <c r="E1650" s="46" t="s">
        <v>1471</v>
      </c>
      <c r="F1650" s="48">
        <v>120.53</v>
      </c>
      <c r="G1650" s="46" t="s">
        <v>102</v>
      </c>
      <c r="H1650" s="46" t="s">
        <v>2920</v>
      </c>
      <c r="I1650" s="45" t="s">
        <v>205</v>
      </c>
      <c r="J1650" s="46" t="s">
        <v>127</v>
      </c>
      <c r="K1650" s="46" t="s">
        <v>127</v>
      </c>
      <c r="L1650" s="46" t="s">
        <v>15</v>
      </c>
      <c r="M1650" s="46" t="s">
        <v>13</v>
      </c>
      <c r="N1650" s="46" t="s">
        <v>14</v>
      </c>
      <c r="O1650" s="49" t="s">
        <v>814</v>
      </c>
      <c r="P1650" s="46" t="s">
        <v>507</v>
      </c>
      <c r="Q1650" s="35" t="str">
        <f>MID(Tabla1[[#This Row],[Aplicación]],14,1)</f>
        <v>2</v>
      </c>
      <c r="R1650" s="35" t="s">
        <v>495</v>
      </c>
      <c r="S1650" s="35" t="str">
        <f>MID(Tabla1[[#This Row],[Aplicación]],6,2)</f>
        <v>06</v>
      </c>
      <c r="T1650" s="35" t="str">
        <f>VLOOKUP(Tabla1[[#This Row],[AREA]],Hoja1!A:B,2,FALSE)</f>
        <v>06. Educación, infancia, juventud e igualdad</v>
      </c>
      <c r="U1650" s="35" t="str">
        <f>MID(Tabla1[[#This Row],[Aplicación]],9,4)</f>
        <v>3232</v>
      </c>
      <c r="V1650" s="35" t="str">
        <f>VLOOKUP(Tabla1[[#This Row],[PROGRAMA]],Hoja1!A:B,2,FALSE)</f>
        <v>3232. Conservación y mantenimiento centros educación infantil y primaria</v>
      </c>
      <c r="W1650" s="35" t="str">
        <f>MID(Tabla1[[#This Row],[Aplicación]],14,2)</f>
        <v>21</v>
      </c>
      <c r="X1650" s="35" t="str">
        <f>MID(Tabla1[[#This Row],[Aplicación]],14,6)</f>
        <v>212</v>
      </c>
    </row>
    <row r="1651" spans="1:24" x14ac:dyDescent="0.25">
      <c r="A1651" s="45">
        <v>220210000536</v>
      </c>
      <c r="B1651" s="46" t="s">
        <v>9</v>
      </c>
      <c r="C1651" s="47">
        <v>44221</v>
      </c>
      <c r="D1651" s="45">
        <v>22021001367</v>
      </c>
      <c r="E1651" s="46" t="s">
        <v>1457</v>
      </c>
      <c r="F1651" s="48">
        <v>5140</v>
      </c>
      <c r="G1651" s="46" t="s">
        <v>58</v>
      </c>
      <c r="H1651" s="46" t="s">
        <v>2921</v>
      </c>
      <c r="I1651" s="45" t="s">
        <v>125</v>
      </c>
      <c r="J1651" s="46" t="s">
        <v>127</v>
      </c>
      <c r="K1651" s="46" t="s">
        <v>127</v>
      </c>
      <c r="L1651" s="46" t="s">
        <v>12</v>
      </c>
      <c r="M1651" s="46" t="s">
        <v>13</v>
      </c>
      <c r="N1651" s="46" t="s">
        <v>14</v>
      </c>
      <c r="O1651" s="49" t="s">
        <v>803</v>
      </c>
      <c r="P1651" s="46" t="s">
        <v>507</v>
      </c>
      <c r="Q1651" s="35" t="str">
        <f>MID(Tabla1[[#This Row],[Aplicación]],14,1)</f>
        <v>2</v>
      </c>
      <c r="R1651" s="35" t="s">
        <v>495</v>
      </c>
      <c r="S1651" s="35" t="str">
        <f>MID(Tabla1[[#This Row],[Aplicación]],6,2)</f>
        <v>04</v>
      </c>
      <c r="T1651" s="35" t="str">
        <f>VLOOKUP(Tabla1[[#This Row],[AREA]],Hoja1!A:B,2,FALSE)</f>
        <v>04. Planificación y recursos</v>
      </c>
      <c r="U1651" s="35" t="str">
        <f>MID(Tabla1[[#This Row],[Aplicación]],9,4)</f>
        <v>9321</v>
      </c>
      <c r="V1651" s="35" t="str">
        <f>VLOOKUP(Tabla1[[#This Row],[PROGRAMA]],Hoja1!A:B,2,FALSE)</f>
        <v>9321. Gestión de ingresos e inspección</v>
      </c>
      <c r="W1651" s="35" t="str">
        <f>MID(Tabla1[[#This Row],[Aplicación]],14,2)</f>
        <v>22</v>
      </c>
      <c r="X1651" s="35" t="str">
        <f>MID(Tabla1[[#This Row],[Aplicación]],14,6)</f>
        <v>22799</v>
      </c>
    </row>
    <row r="1652" spans="1:24" x14ac:dyDescent="0.25">
      <c r="A1652" s="45">
        <v>220210007968</v>
      </c>
      <c r="B1652" s="46" t="s">
        <v>9</v>
      </c>
      <c r="C1652" s="47">
        <v>44264</v>
      </c>
      <c r="D1652" s="45">
        <v>22021003341</v>
      </c>
      <c r="E1652" s="46" t="s">
        <v>859</v>
      </c>
      <c r="F1652" s="48">
        <v>726</v>
      </c>
      <c r="G1652" s="46" t="s">
        <v>2922</v>
      </c>
      <c r="H1652" s="46" t="s">
        <v>2923</v>
      </c>
      <c r="I1652" s="45" t="s">
        <v>125</v>
      </c>
      <c r="J1652" s="46" t="s">
        <v>165</v>
      </c>
      <c r="K1652" s="46" t="s">
        <v>165</v>
      </c>
      <c r="L1652" s="46" t="s">
        <v>12</v>
      </c>
      <c r="M1652" s="46" t="s">
        <v>10</v>
      </c>
      <c r="N1652" s="46" t="s">
        <v>11</v>
      </c>
      <c r="O1652" s="49" t="s">
        <v>815</v>
      </c>
      <c r="P1652" s="46" t="s">
        <v>507</v>
      </c>
      <c r="Q1652" s="35" t="str">
        <f>MID(Tabla1[[#This Row],[Aplicación]],14,1)</f>
        <v>2</v>
      </c>
      <c r="R1652" s="35" t="s">
        <v>495</v>
      </c>
      <c r="S1652" s="35" t="str">
        <f>MID(Tabla1[[#This Row],[Aplicación]],6,2)</f>
        <v>05</v>
      </c>
      <c r="T1652" s="35" t="str">
        <f>VLOOKUP(Tabla1[[#This Row],[AREA]],Hoja1!A:B,2,FALSE)</f>
        <v>05. Innovación, desarrollo económico, empleo y comercio</v>
      </c>
      <c r="U1652" s="35" t="str">
        <f>MID(Tabla1[[#This Row],[Aplicación]],9,4)</f>
        <v>4331</v>
      </c>
      <c r="V1652" s="35" t="str">
        <f>VLOOKUP(Tabla1[[#This Row],[PROGRAMA]],Hoja1!A:B,2,FALSE)</f>
        <v>4331. Desarrollo empresarial</v>
      </c>
      <c r="W1652" s="35" t="str">
        <f>MID(Tabla1[[#This Row],[Aplicación]],14,2)</f>
        <v>22</v>
      </c>
      <c r="X1652" s="35" t="str">
        <f>MID(Tabla1[[#This Row],[Aplicación]],14,6)</f>
        <v>22706</v>
      </c>
    </row>
    <row r="1653" spans="1:24" x14ac:dyDescent="0.25">
      <c r="A1653" s="45">
        <v>220210007971</v>
      </c>
      <c r="B1653" s="46" t="s">
        <v>2924</v>
      </c>
      <c r="C1653" s="47">
        <v>44264</v>
      </c>
      <c r="D1653" s="45">
        <v>22021000232</v>
      </c>
      <c r="E1653" s="46" t="s">
        <v>924</v>
      </c>
      <c r="F1653" s="48">
        <v>-84.36</v>
      </c>
      <c r="G1653" s="46" t="s">
        <v>68</v>
      </c>
      <c r="H1653" s="46" t="s">
        <v>2925</v>
      </c>
      <c r="I1653" s="45" t="s">
        <v>2926</v>
      </c>
      <c r="J1653" s="46" t="s">
        <v>127</v>
      </c>
      <c r="K1653" s="46" t="s">
        <v>127</v>
      </c>
      <c r="L1653" s="46" t="s">
        <v>15</v>
      </c>
      <c r="M1653" s="46" t="s">
        <v>13</v>
      </c>
      <c r="N1653" s="46" t="s">
        <v>14</v>
      </c>
      <c r="O1653" s="49" t="s">
        <v>803</v>
      </c>
      <c r="P1653" s="46" t="s">
        <v>507</v>
      </c>
      <c r="Q1653" s="35" t="str">
        <f>MID(Tabla1[[#This Row],[Aplicación]],14,1)</f>
        <v>2</v>
      </c>
      <c r="R1653" s="35" t="s">
        <v>495</v>
      </c>
      <c r="S1653" s="35" t="str">
        <f>MID(Tabla1[[#This Row],[Aplicación]],6,2)</f>
        <v>04</v>
      </c>
      <c r="T1653" s="35" t="str">
        <f>VLOOKUP(Tabla1[[#This Row],[AREA]],Hoja1!A:B,2,FALSE)</f>
        <v>04. Planificación y recursos</v>
      </c>
      <c r="U1653" s="35" t="str">
        <f>MID(Tabla1[[#This Row],[Aplicación]],9,4)</f>
        <v>3121</v>
      </c>
      <c r="V1653" s="35" t="str">
        <f>VLOOKUP(Tabla1[[#This Row],[PROGRAMA]],Hoja1!A:B,2,FALSE)</f>
        <v>3121. Prevención y salud laboral</v>
      </c>
      <c r="W1653" s="35" t="str">
        <f>MID(Tabla1[[#This Row],[Aplicación]],14,2)</f>
        <v>21</v>
      </c>
      <c r="X1653" s="35" t="str">
        <f>MID(Tabla1[[#This Row],[Aplicación]],14,6)</f>
        <v>213</v>
      </c>
    </row>
    <row r="1654" spans="1:24" x14ac:dyDescent="0.25">
      <c r="A1654" s="45">
        <v>220210007973</v>
      </c>
      <c r="B1654" s="46" t="s">
        <v>2924</v>
      </c>
      <c r="C1654" s="47">
        <v>44264</v>
      </c>
      <c r="D1654" s="45">
        <v>22021000066</v>
      </c>
      <c r="E1654" s="46" t="s">
        <v>886</v>
      </c>
      <c r="F1654" s="48">
        <v>-161.72</v>
      </c>
      <c r="G1654" s="46" t="s">
        <v>68</v>
      </c>
      <c r="H1654" s="46" t="s">
        <v>2927</v>
      </c>
      <c r="I1654" s="45" t="s">
        <v>2926</v>
      </c>
      <c r="J1654" s="46" t="s">
        <v>127</v>
      </c>
      <c r="K1654" s="46" t="s">
        <v>127</v>
      </c>
      <c r="L1654" s="46" t="s">
        <v>15</v>
      </c>
      <c r="M1654" s="46" t="s">
        <v>13</v>
      </c>
      <c r="N1654" s="46" t="s">
        <v>14</v>
      </c>
      <c r="O1654" s="49" t="s">
        <v>803</v>
      </c>
      <c r="P1654" s="46" t="s">
        <v>507</v>
      </c>
      <c r="Q1654" s="35" t="str">
        <f>MID(Tabla1[[#This Row],[Aplicación]],14,1)</f>
        <v>2</v>
      </c>
      <c r="R1654" s="35" t="s">
        <v>495</v>
      </c>
      <c r="S1654" s="35" t="str">
        <f>MID(Tabla1[[#This Row],[Aplicación]],6,2)</f>
        <v>10</v>
      </c>
      <c r="T1654" s="35" t="str">
        <f>VLOOKUP(Tabla1[[#This Row],[AREA]],Hoja1!A:B,2,FALSE)</f>
        <v>10. Servicios sociales y mediación comunitaria</v>
      </c>
      <c r="U1654" s="35" t="str">
        <f>MID(Tabla1[[#This Row],[Aplicación]],9,4)</f>
        <v>2311</v>
      </c>
      <c r="V1654" s="35" t="str">
        <f>VLOOKUP(Tabla1[[#This Row],[PROGRAMA]],Hoja1!A:B,2,FALSE)</f>
        <v>2311. Intervención social</v>
      </c>
      <c r="W1654" s="35" t="str">
        <f>MID(Tabla1[[#This Row],[Aplicación]],14,2)</f>
        <v>21</v>
      </c>
      <c r="X1654" s="35" t="str">
        <f>MID(Tabla1[[#This Row],[Aplicación]],14,6)</f>
        <v>213</v>
      </c>
    </row>
    <row r="1655" spans="1:24" x14ac:dyDescent="0.25">
      <c r="A1655" s="45">
        <v>220210007974</v>
      </c>
      <c r="B1655" s="46" t="s">
        <v>2924</v>
      </c>
      <c r="C1655" s="47">
        <v>44264</v>
      </c>
      <c r="D1655" s="45">
        <v>22021000066</v>
      </c>
      <c r="E1655" s="46" t="s">
        <v>886</v>
      </c>
      <c r="F1655" s="48">
        <v>-161.72</v>
      </c>
      <c r="G1655" s="46" t="s">
        <v>68</v>
      </c>
      <c r="H1655" s="46" t="s">
        <v>2928</v>
      </c>
      <c r="I1655" s="45" t="s">
        <v>2926</v>
      </c>
      <c r="J1655" s="46" t="s">
        <v>127</v>
      </c>
      <c r="K1655" s="46" t="s">
        <v>127</v>
      </c>
      <c r="L1655" s="46" t="s">
        <v>15</v>
      </c>
      <c r="M1655" s="46" t="s">
        <v>13</v>
      </c>
      <c r="N1655" s="46" t="s">
        <v>14</v>
      </c>
      <c r="O1655" s="49" t="s">
        <v>803</v>
      </c>
      <c r="P1655" s="46" t="s">
        <v>507</v>
      </c>
      <c r="Q1655" s="35" t="str">
        <f>MID(Tabla1[[#This Row],[Aplicación]],14,1)</f>
        <v>2</v>
      </c>
      <c r="R1655" s="35" t="s">
        <v>495</v>
      </c>
      <c r="S1655" s="35" t="str">
        <f>MID(Tabla1[[#This Row],[Aplicación]],6,2)</f>
        <v>10</v>
      </c>
      <c r="T1655" s="35" t="str">
        <f>VLOOKUP(Tabla1[[#This Row],[AREA]],Hoja1!A:B,2,FALSE)</f>
        <v>10. Servicios sociales y mediación comunitaria</v>
      </c>
      <c r="U1655" s="35" t="str">
        <f>MID(Tabla1[[#This Row],[Aplicación]],9,4)</f>
        <v>2311</v>
      </c>
      <c r="V1655" s="35" t="str">
        <f>VLOOKUP(Tabla1[[#This Row],[PROGRAMA]],Hoja1!A:B,2,FALSE)</f>
        <v>2311. Intervención social</v>
      </c>
      <c r="W1655" s="35" t="str">
        <f>MID(Tabla1[[#This Row],[Aplicación]],14,2)</f>
        <v>21</v>
      </c>
      <c r="X1655" s="35" t="str">
        <f>MID(Tabla1[[#This Row],[Aplicación]],14,6)</f>
        <v>213</v>
      </c>
    </row>
    <row r="1656" spans="1:24" x14ac:dyDescent="0.25">
      <c r="A1656" s="45">
        <v>220210007975</v>
      </c>
      <c r="B1656" s="46" t="s">
        <v>2924</v>
      </c>
      <c r="C1656" s="47">
        <v>44264</v>
      </c>
      <c r="D1656" s="45">
        <v>22021000066</v>
      </c>
      <c r="E1656" s="46" t="s">
        <v>886</v>
      </c>
      <c r="F1656" s="48">
        <v>-161.72</v>
      </c>
      <c r="G1656" s="46" t="s">
        <v>68</v>
      </c>
      <c r="H1656" s="46" t="s">
        <v>2929</v>
      </c>
      <c r="I1656" s="45" t="s">
        <v>2926</v>
      </c>
      <c r="J1656" s="46" t="s">
        <v>127</v>
      </c>
      <c r="K1656" s="46" t="s">
        <v>127</v>
      </c>
      <c r="L1656" s="46" t="s">
        <v>15</v>
      </c>
      <c r="M1656" s="46" t="s">
        <v>13</v>
      </c>
      <c r="N1656" s="46" t="s">
        <v>14</v>
      </c>
      <c r="O1656" s="49" t="s">
        <v>803</v>
      </c>
      <c r="P1656" s="46" t="s">
        <v>507</v>
      </c>
      <c r="Q1656" s="35" t="str">
        <f>MID(Tabla1[[#This Row],[Aplicación]],14,1)</f>
        <v>2</v>
      </c>
      <c r="R1656" s="35" t="s">
        <v>495</v>
      </c>
      <c r="S1656" s="35" t="str">
        <f>MID(Tabla1[[#This Row],[Aplicación]],6,2)</f>
        <v>10</v>
      </c>
      <c r="T1656" s="35" t="str">
        <f>VLOOKUP(Tabla1[[#This Row],[AREA]],Hoja1!A:B,2,FALSE)</f>
        <v>10. Servicios sociales y mediación comunitaria</v>
      </c>
      <c r="U1656" s="35" t="str">
        <f>MID(Tabla1[[#This Row],[Aplicación]],9,4)</f>
        <v>2311</v>
      </c>
      <c r="V1656" s="35" t="str">
        <f>VLOOKUP(Tabla1[[#This Row],[PROGRAMA]],Hoja1!A:B,2,FALSE)</f>
        <v>2311. Intervención social</v>
      </c>
      <c r="W1656" s="35" t="str">
        <f>MID(Tabla1[[#This Row],[Aplicación]],14,2)</f>
        <v>21</v>
      </c>
      <c r="X1656" s="35" t="str">
        <f>MID(Tabla1[[#This Row],[Aplicación]],14,6)</f>
        <v>213</v>
      </c>
    </row>
    <row r="1657" spans="1:24" x14ac:dyDescent="0.25">
      <c r="A1657" s="45">
        <v>220210007976</v>
      </c>
      <c r="B1657" s="46" t="s">
        <v>2924</v>
      </c>
      <c r="C1657" s="47">
        <v>44264</v>
      </c>
      <c r="D1657" s="45">
        <v>22021000066</v>
      </c>
      <c r="E1657" s="46" t="s">
        <v>886</v>
      </c>
      <c r="F1657" s="48">
        <v>-161.72</v>
      </c>
      <c r="G1657" s="46" t="s">
        <v>68</v>
      </c>
      <c r="H1657" s="46" t="s">
        <v>2930</v>
      </c>
      <c r="I1657" s="45" t="s">
        <v>2926</v>
      </c>
      <c r="J1657" s="46" t="s">
        <v>127</v>
      </c>
      <c r="K1657" s="46" t="s">
        <v>127</v>
      </c>
      <c r="L1657" s="46" t="s">
        <v>15</v>
      </c>
      <c r="M1657" s="46" t="s">
        <v>13</v>
      </c>
      <c r="N1657" s="46" t="s">
        <v>14</v>
      </c>
      <c r="O1657" s="49" t="s">
        <v>803</v>
      </c>
      <c r="P1657" s="46" t="s">
        <v>507</v>
      </c>
      <c r="Q1657" s="35" t="str">
        <f>MID(Tabla1[[#This Row],[Aplicación]],14,1)</f>
        <v>2</v>
      </c>
      <c r="R1657" s="35" t="s">
        <v>495</v>
      </c>
      <c r="S1657" s="35" t="str">
        <f>MID(Tabla1[[#This Row],[Aplicación]],6,2)</f>
        <v>10</v>
      </c>
      <c r="T1657" s="35" t="str">
        <f>VLOOKUP(Tabla1[[#This Row],[AREA]],Hoja1!A:B,2,FALSE)</f>
        <v>10. Servicios sociales y mediación comunitaria</v>
      </c>
      <c r="U1657" s="35" t="str">
        <f>MID(Tabla1[[#This Row],[Aplicación]],9,4)</f>
        <v>2311</v>
      </c>
      <c r="V1657" s="35" t="str">
        <f>VLOOKUP(Tabla1[[#This Row],[PROGRAMA]],Hoja1!A:B,2,FALSE)</f>
        <v>2311. Intervención social</v>
      </c>
      <c r="W1657" s="35" t="str">
        <f>MID(Tabla1[[#This Row],[Aplicación]],14,2)</f>
        <v>21</v>
      </c>
      <c r="X1657" s="35" t="str">
        <f>MID(Tabla1[[#This Row],[Aplicación]],14,6)</f>
        <v>213</v>
      </c>
    </row>
    <row r="1658" spans="1:24" x14ac:dyDescent="0.25">
      <c r="A1658" s="45">
        <v>220210007977</v>
      </c>
      <c r="B1658" s="46" t="s">
        <v>2924</v>
      </c>
      <c r="C1658" s="47">
        <v>44264</v>
      </c>
      <c r="D1658" s="45">
        <v>22021000066</v>
      </c>
      <c r="E1658" s="46" t="s">
        <v>886</v>
      </c>
      <c r="F1658" s="48">
        <v>-161.72</v>
      </c>
      <c r="G1658" s="46" t="s">
        <v>68</v>
      </c>
      <c r="H1658" s="46" t="s">
        <v>2931</v>
      </c>
      <c r="I1658" s="45" t="s">
        <v>2926</v>
      </c>
      <c r="J1658" s="46" t="s">
        <v>127</v>
      </c>
      <c r="K1658" s="46" t="s">
        <v>127</v>
      </c>
      <c r="L1658" s="46" t="s">
        <v>15</v>
      </c>
      <c r="M1658" s="46" t="s">
        <v>13</v>
      </c>
      <c r="N1658" s="46" t="s">
        <v>14</v>
      </c>
      <c r="O1658" s="49" t="s">
        <v>803</v>
      </c>
      <c r="P1658" s="46" t="s">
        <v>507</v>
      </c>
      <c r="Q1658" s="35" t="str">
        <f>MID(Tabla1[[#This Row],[Aplicación]],14,1)</f>
        <v>2</v>
      </c>
      <c r="R1658" s="35" t="s">
        <v>495</v>
      </c>
      <c r="S1658" s="35" t="str">
        <f>MID(Tabla1[[#This Row],[Aplicación]],6,2)</f>
        <v>10</v>
      </c>
      <c r="T1658" s="35" t="str">
        <f>VLOOKUP(Tabla1[[#This Row],[AREA]],Hoja1!A:B,2,FALSE)</f>
        <v>10. Servicios sociales y mediación comunitaria</v>
      </c>
      <c r="U1658" s="35" t="str">
        <f>MID(Tabla1[[#This Row],[Aplicación]],9,4)</f>
        <v>2311</v>
      </c>
      <c r="V1658" s="35" t="str">
        <f>VLOOKUP(Tabla1[[#This Row],[PROGRAMA]],Hoja1!A:B,2,FALSE)</f>
        <v>2311. Intervención social</v>
      </c>
      <c r="W1658" s="35" t="str">
        <f>MID(Tabla1[[#This Row],[Aplicación]],14,2)</f>
        <v>21</v>
      </c>
      <c r="X1658" s="35" t="str">
        <f>MID(Tabla1[[#This Row],[Aplicación]],14,6)</f>
        <v>213</v>
      </c>
    </row>
    <row r="1659" spans="1:24" x14ac:dyDescent="0.25">
      <c r="A1659" s="45">
        <v>220210007978</v>
      </c>
      <c r="B1659" s="46" t="s">
        <v>2924</v>
      </c>
      <c r="C1659" s="47">
        <v>44264</v>
      </c>
      <c r="D1659" s="45">
        <v>22021000066</v>
      </c>
      <c r="E1659" s="46" t="s">
        <v>886</v>
      </c>
      <c r="F1659" s="48">
        <v>-197.84</v>
      </c>
      <c r="G1659" s="46" t="s">
        <v>68</v>
      </c>
      <c r="H1659" s="46" t="s">
        <v>2932</v>
      </c>
      <c r="I1659" s="45" t="s">
        <v>2926</v>
      </c>
      <c r="J1659" s="46" t="s">
        <v>127</v>
      </c>
      <c r="K1659" s="46" t="s">
        <v>127</v>
      </c>
      <c r="L1659" s="46" t="s">
        <v>15</v>
      </c>
      <c r="M1659" s="46" t="s">
        <v>13</v>
      </c>
      <c r="N1659" s="46" t="s">
        <v>14</v>
      </c>
      <c r="O1659" s="49" t="s">
        <v>803</v>
      </c>
      <c r="P1659" s="46" t="s">
        <v>507</v>
      </c>
      <c r="Q1659" s="35" t="str">
        <f>MID(Tabla1[[#This Row],[Aplicación]],14,1)</f>
        <v>2</v>
      </c>
      <c r="R1659" s="35" t="s">
        <v>495</v>
      </c>
      <c r="S1659" s="35" t="str">
        <f>MID(Tabla1[[#This Row],[Aplicación]],6,2)</f>
        <v>10</v>
      </c>
      <c r="T1659" s="35" t="str">
        <f>VLOOKUP(Tabla1[[#This Row],[AREA]],Hoja1!A:B,2,FALSE)</f>
        <v>10. Servicios sociales y mediación comunitaria</v>
      </c>
      <c r="U1659" s="35" t="str">
        <f>MID(Tabla1[[#This Row],[Aplicación]],9,4)</f>
        <v>2311</v>
      </c>
      <c r="V1659" s="35" t="str">
        <f>VLOOKUP(Tabla1[[#This Row],[PROGRAMA]],Hoja1!A:B,2,FALSE)</f>
        <v>2311. Intervención social</v>
      </c>
      <c r="W1659" s="35" t="str">
        <f>MID(Tabla1[[#This Row],[Aplicación]],14,2)</f>
        <v>21</v>
      </c>
      <c r="X1659" s="35" t="str">
        <f>MID(Tabla1[[#This Row],[Aplicación]],14,6)</f>
        <v>213</v>
      </c>
    </row>
    <row r="1660" spans="1:24" x14ac:dyDescent="0.25">
      <c r="A1660" s="45">
        <v>220210007979</v>
      </c>
      <c r="B1660" s="46" t="s">
        <v>2924</v>
      </c>
      <c r="C1660" s="47">
        <v>44264</v>
      </c>
      <c r="D1660" s="45">
        <v>22021000066</v>
      </c>
      <c r="E1660" s="46" t="s">
        <v>886</v>
      </c>
      <c r="F1660" s="48">
        <v>-33.76</v>
      </c>
      <c r="G1660" s="46" t="s">
        <v>68</v>
      </c>
      <c r="H1660" s="46" t="s">
        <v>2933</v>
      </c>
      <c r="I1660" s="45" t="s">
        <v>2926</v>
      </c>
      <c r="J1660" s="46" t="s">
        <v>127</v>
      </c>
      <c r="K1660" s="46" t="s">
        <v>127</v>
      </c>
      <c r="L1660" s="46" t="s">
        <v>15</v>
      </c>
      <c r="M1660" s="46" t="s">
        <v>13</v>
      </c>
      <c r="N1660" s="46" t="s">
        <v>14</v>
      </c>
      <c r="O1660" s="49" t="s">
        <v>803</v>
      </c>
      <c r="P1660" s="46" t="s">
        <v>507</v>
      </c>
      <c r="Q1660" s="35" t="str">
        <f>MID(Tabla1[[#This Row],[Aplicación]],14,1)</f>
        <v>2</v>
      </c>
      <c r="R1660" s="35" t="s">
        <v>495</v>
      </c>
      <c r="S1660" s="35" t="str">
        <f>MID(Tabla1[[#This Row],[Aplicación]],6,2)</f>
        <v>10</v>
      </c>
      <c r="T1660" s="35" t="str">
        <f>VLOOKUP(Tabla1[[#This Row],[AREA]],Hoja1!A:B,2,FALSE)</f>
        <v>10. Servicios sociales y mediación comunitaria</v>
      </c>
      <c r="U1660" s="35" t="str">
        <f>MID(Tabla1[[#This Row],[Aplicación]],9,4)</f>
        <v>2311</v>
      </c>
      <c r="V1660" s="35" t="str">
        <f>VLOOKUP(Tabla1[[#This Row],[PROGRAMA]],Hoja1!A:B,2,FALSE)</f>
        <v>2311. Intervención social</v>
      </c>
      <c r="W1660" s="35" t="str">
        <f>MID(Tabla1[[#This Row],[Aplicación]],14,2)</f>
        <v>21</v>
      </c>
      <c r="X1660" s="35" t="str">
        <f>MID(Tabla1[[#This Row],[Aplicación]],14,6)</f>
        <v>213</v>
      </c>
    </row>
    <row r="1661" spans="1:24" x14ac:dyDescent="0.25">
      <c r="A1661" s="45">
        <v>220210007980</v>
      </c>
      <c r="B1661" s="46" t="s">
        <v>2924</v>
      </c>
      <c r="C1661" s="47">
        <v>44264</v>
      </c>
      <c r="D1661" s="45">
        <v>22021000066</v>
      </c>
      <c r="E1661" s="46" t="s">
        <v>886</v>
      </c>
      <c r="F1661" s="48">
        <v>-31.68</v>
      </c>
      <c r="G1661" s="46" t="s">
        <v>68</v>
      </c>
      <c r="H1661" s="46" t="s">
        <v>2934</v>
      </c>
      <c r="I1661" s="45" t="s">
        <v>2926</v>
      </c>
      <c r="J1661" s="46" t="s">
        <v>127</v>
      </c>
      <c r="K1661" s="46" t="s">
        <v>127</v>
      </c>
      <c r="L1661" s="46" t="s">
        <v>15</v>
      </c>
      <c r="M1661" s="46" t="s">
        <v>13</v>
      </c>
      <c r="N1661" s="46" t="s">
        <v>14</v>
      </c>
      <c r="O1661" s="49" t="s">
        <v>803</v>
      </c>
      <c r="P1661" s="46" t="s">
        <v>507</v>
      </c>
      <c r="Q1661" s="35" t="str">
        <f>MID(Tabla1[[#This Row],[Aplicación]],14,1)</f>
        <v>2</v>
      </c>
      <c r="R1661" s="35" t="s">
        <v>495</v>
      </c>
      <c r="S1661" s="35" t="str">
        <f>MID(Tabla1[[#This Row],[Aplicación]],6,2)</f>
        <v>10</v>
      </c>
      <c r="T1661" s="35" t="str">
        <f>VLOOKUP(Tabla1[[#This Row],[AREA]],Hoja1!A:B,2,FALSE)</f>
        <v>10. Servicios sociales y mediación comunitaria</v>
      </c>
      <c r="U1661" s="35" t="str">
        <f>MID(Tabla1[[#This Row],[Aplicación]],9,4)</f>
        <v>2311</v>
      </c>
      <c r="V1661" s="35" t="str">
        <f>VLOOKUP(Tabla1[[#This Row],[PROGRAMA]],Hoja1!A:B,2,FALSE)</f>
        <v>2311. Intervención social</v>
      </c>
      <c r="W1661" s="35" t="str">
        <f>MID(Tabla1[[#This Row],[Aplicación]],14,2)</f>
        <v>21</v>
      </c>
      <c r="X1661" s="35" t="str">
        <f>MID(Tabla1[[#This Row],[Aplicación]],14,6)</f>
        <v>213</v>
      </c>
    </row>
    <row r="1662" spans="1:24" x14ac:dyDescent="0.25">
      <c r="A1662" s="45">
        <v>220210007981</v>
      </c>
      <c r="B1662" s="46" t="s">
        <v>2924</v>
      </c>
      <c r="C1662" s="47">
        <v>44264</v>
      </c>
      <c r="D1662" s="45">
        <v>22021000066</v>
      </c>
      <c r="E1662" s="46" t="s">
        <v>886</v>
      </c>
      <c r="F1662" s="48">
        <v>-52.57</v>
      </c>
      <c r="G1662" s="46" t="s">
        <v>68</v>
      </c>
      <c r="H1662" s="46" t="s">
        <v>2935</v>
      </c>
      <c r="I1662" s="45" t="s">
        <v>2926</v>
      </c>
      <c r="J1662" s="46" t="s">
        <v>127</v>
      </c>
      <c r="K1662" s="46" t="s">
        <v>127</v>
      </c>
      <c r="L1662" s="46" t="s">
        <v>15</v>
      </c>
      <c r="M1662" s="46" t="s">
        <v>13</v>
      </c>
      <c r="N1662" s="46" t="s">
        <v>14</v>
      </c>
      <c r="O1662" s="49" t="s">
        <v>803</v>
      </c>
      <c r="P1662" s="46" t="s">
        <v>507</v>
      </c>
      <c r="Q1662" s="35" t="str">
        <f>MID(Tabla1[[#This Row],[Aplicación]],14,1)</f>
        <v>2</v>
      </c>
      <c r="R1662" s="35" t="s">
        <v>495</v>
      </c>
      <c r="S1662" s="35" t="str">
        <f>MID(Tabla1[[#This Row],[Aplicación]],6,2)</f>
        <v>10</v>
      </c>
      <c r="T1662" s="35" t="str">
        <f>VLOOKUP(Tabla1[[#This Row],[AREA]],Hoja1!A:B,2,FALSE)</f>
        <v>10. Servicios sociales y mediación comunitaria</v>
      </c>
      <c r="U1662" s="35" t="str">
        <f>MID(Tabla1[[#This Row],[Aplicación]],9,4)</f>
        <v>2311</v>
      </c>
      <c r="V1662" s="35" t="str">
        <f>VLOOKUP(Tabla1[[#This Row],[PROGRAMA]],Hoja1!A:B,2,FALSE)</f>
        <v>2311. Intervención social</v>
      </c>
      <c r="W1662" s="35" t="str">
        <f>MID(Tabla1[[#This Row],[Aplicación]],14,2)</f>
        <v>21</v>
      </c>
      <c r="X1662" s="35" t="str">
        <f>MID(Tabla1[[#This Row],[Aplicación]],14,6)</f>
        <v>213</v>
      </c>
    </row>
    <row r="1663" spans="1:24" x14ac:dyDescent="0.25">
      <c r="A1663" s="45">
        <v>220210007982</v>
      </c>
      <c r="B1663" s="46" t="s">
        <v>2924</v>
      </c>
      <c r="C1663" s="47">
        <v>44264</v>
      </c>
      <c r="D1663" s="45">
        <v>22021000066</v>
      </c>
      <c r="E1663" s="46" t="s">
        <v>886</v>
      </c>
      <c r="F1663" s="48">
        <v>-17.86</v>
      </c>
      <c r="G1663" s="46" t="s">
        <v>68</v>
      </c>
      <c r="H1663" s="46" t="s">
        <v>2936</v>
      </c>
      <c r="I1663" s="45" t="s">
        <v>2926</v>
      </c>
      <c r="J1663" s="46" t="s">
        <v>127</v>
      </c>
      <c r="K1663" s="46" t="s">
        <v>127</v>
      </c>
      <c r="L1663" s="46" t="s">
        <v>15</v>
      </c>
      <c r="M1663" s="46" t="s">
        <v>13</v>
      </c>
      <c r="N1663" s="46" t="s">
        <v>14</v>
      </c>
      <c r="O1663" s="49" t="s">
        <v>803</v>
      </c>
      <c r="P1663" s="46" t="s">
        <v>507</v>
      </c>
      <c r="Q1663" s="35" t="str">
        <f>MID(Tabla1[[#This Row],[Aplicación]],14,1)</f>
        <v>2</v>
      </c>
      <c r="R1663" s="35" t="s">
        <v>495</v>
      </c>
      <c r="S1663" s="35" t="str">
        <f>MID(Tabla1[[#This Row],[Aplicación]],6,2)</f>
        <v>10</v>
      </c>
      <c r="T1663" s="35" t="str">
        <f>VLOOKUP(Tabla1[[#This Row],[AREA]],Hoja1!A:B,2,FALSE)</f>
        <v>10. Servicios sociales y mediación comunitaria</v>
      </c>
      <c r="U1663" s="35" t="str">
        <f>MID(Tabla1[[#This Row],[Aplicación]],9,4)</f>
        <v>2311</v>
      </c>
      <c r="V1663" s="35" t="str">
        <f>VLOOKUP(Tabla1[[#This Row],[PROGRAMA]],Hoja1!A:B,2,FALSE)</f>
        <v>2311. Intervención social</v>
      </c>
      <c r="W1663" s="35" t="str">
        <f>MID(Tabla1[[#This Row],[Aplicación]],14,2)</f>
        <v>21</v>
      </c>
      <c r="X1663" s="35" t="str">
        <f>MID(Tabla1[[#This Row],[Aplicación]],14,6)</f>
        <v>213</v>
      </c>
    </row>
    <row r="1664" spans="1:24" x14ac:dyDescent="0.25">
      <c r="A1664" s="45">
        <v>220210007983</v>
      </c>
      <c r="B1664" s="46" t="s">
        <v>2924</v>
      </c>
      <c r="C1664" s="47">
        <v>44264</v>
      </c>
      <c r="D1664" s="45">
        <v>22021000066</v>
      </c>
      <c r="E1664" s="46" t="s">
        <v>886</v>
      </c>
      <c r="F1664" s="48">
        <v>-6.57</v>
      </c>
      <c r="G1664" s="46" t="s">
        <v>68</v>
      </c>
      <c r="H1664" s="46" t="s">
        <v>2937</v>
      </c>
      <c r="I1664" s="45" t="s">
        <v>2926</v>
      </c>
      <c r="J1664" s="46" t="s">
        <v>127</v>
      </c>
      <c r="K1664" s="46" t="s">
        <v>127</v>
      </c>
      <c r="L1664" s="46" t="s">
        <v>15</v>
      </c>
      <c r="M1664" s="46" t="s">
        <v>13</v>
      </c>
      <c r="N1664" s="46" t="s">
        <v>14</v>
      </c>
      <c r="O1664" s="49" t="s">
        <v>803</v>
      </c>
      <c r="P1664" s="46" t="s">
        <v>507</v>
      </c>
      <c r="Q1664" s="35" t="str">
        <f>MID(Tabla1[[#This Row],[Aplicación]],14,1)</f>
        <v>2</v>
      </c>
      <c r="R1664" s="35" t="s">
        <v>495</v>
      </c>
      <c r="S1664" s="35" t="str">
        <f>MID(Tabla1[[#This Row],[Aplicación]],6,2)</f>
        <v>10</v>
      </c>
      <c r="T1664" s="35" t="str">
        <f>VLOOKUP(Tabla1[[#This Row],[AREA]],Hoja1!A:B,2,FALSE)</f>
        <v>10. Servicios sociales y mediación comunitaria</v>
      </c>
      <c r="U1664" s="35" t="str">
        <f>MID(Tabla1[[#This Row],[Aplicación]],9,4)</f>
        <v>2311</v>
      </c>
      <c r="V1664" s="35" t="str">
        <f>VLOOKUP(Tabla1[[#This Row],[PROGRAMA]],Hoja1!A:B,2,FALSE)</f>
        <v>2311. Intervención social</v>
      </c>
      <c r="W1664" s="35" t="str">
        <f>MID(Tabla1[[#This Row],[Aplicación]],14,2)</f>
        <v>21</v>
      </c>
      <c r="X1664" s="35" t="str">
        <f>MID(Tabla1[[#This Row],[Aplicación]],14,6)</f>
        <v>213</v>
      </c>
    </row>
    <row r="1665" spans="1:24" x14ac:dyDescent="0.25">
      <c r="A1665" s="45">
        <v>220209000072</v>
      </c>
      <c r="B1665" s="46" t="s">
        <v>9</v>
      </c>
      <c r="C1665" s="47">
        <v>44198</v>
      </c>
      <c r="D1665" s="45">
        <v>22021000202</v>
      </c>
      <c r="E1665" s="46" t="s">
        <v>1166</v>
      </c>
      <c r="F1665" s="48">
        <v>5212.7299999999996</v>
      </c>
      <c r="G1665" s="46" t="s">
        <v>42</v>
      </c>
      <c r="H1665" s="46" t="s">
        <v>687</v>
      </c>
      <c r="I1665" s="45" t="s">
        <v>125</v>
      </c>
      <c r="J1665" s="46" t="s">
        <v>127</v>
      </c>
      <c r="K1665" s="46" t="s">
        <v>127</v>
      </c>
      <c r="L1665" s="46" t="s">
        <v>12</v>
      </c>
      <c r="M1665" s="46" t="s">
        <v>13</v>
      </c>
      <c r="N1665" s="46" t="s">
        <v>14</v>
      </c>
      <c r="O1665" s="49" t="s">
        <v>803</v>
      </c>
      <c r="P1665" s="46" t="s">
        <v>507</v>
      </c>
      <c r="Q1665" s="35" t="str">
        <f>MID(Tabla1[[#This Row],[Aplicación]],14,1)</f>
        <v>2</v>
      </c>
      <c r="R1665" s="35" t="s">
        <v>495</v>
      </c>
      <c r="S1665" s="35" t="str">
        <f>MID(Tabla1[[#This Row],[Aplicación]],6,2)</f>
        <v>03</v>
      </c>
      <c r="T1665" s="35" t="str">
        <f>VLOOKUP(Tabla1[[#This Row],[AREA]],Hoja1!A:B,2,FALSE)</f>
        <v>03. Participación ciudadana y deportes</v>
      </c>
      <c r="U1665" s="35" t="str">
        <f>MID(Tabla1[[#This Row],[Aplicación]],9,4)</f>
        <v>9241</v>
      </c>
      <c r="V1665" s="35" t="str">
        <f>VLOOKUP(Tabla1[[#This Row],[PROGRAMA]],Hoja1!A:B,2,FALSE)</f>
        <v>9241. Participación ciudadana</v>
      </c>
      <c r="W1665" s="35" t="str">
        <f>MID(Tabla1[[#This Row],[Aplicación]],14,2)</f>
        <v>22</v>
      </c>
      <c r="X1665" s="35" t="str">
        <f>MID(Tabla1[[#This Row],[Aplicación]],14,6)</f>
        <v>22799</v>
      </c>
    </row>
    <row r="1666" spans="1:24" x14ac:dyDescent="0.25">
      <c r="A1666" s="45">
        <v>220210007985</v>
      </c>
      <c r="B1666" s="46" t="s">
        <v>9</v>
      </c>
      <c r="C1666" s="47">
        <v>44264</v>
      </c>
      <c r="D1666" s="45">
        <v>22021003264</v>
      </c>
      <c r="E1666" s="46" t="s">
        <v>1263</v>
      </c>
      <c r="F1666" s="48">
        <v>1309.02</v>
      </c>
      <c r="G1666" s="46" t="s">
        <v>583</v>
      </c>
      <c r="H1666" s="46" t="s">
        <v>2938</v>
      </c>
      <c r="I1666" s="45" t="s">
        <v>125</v>
      </c>
      <c r="J1666" s="46" t="s">
        <v>127</v>
      </c>
      <c r="K1666" s="46" t="s">
        <v>127</v>
      </c>
      <c r="L1666" s="46" t="s">
        <v>12</v>
      </c>
      <c r="M1666" s="46" t="s">
        <v>10</v>
      </c>
      <c r="N1666" s="46" t="s">
        <v>11</v>
      </c>
      <c r="O1666" s="49" t="s">
        <v>815</v>
      </c>
      <c r="P1666" s="46" t="s">
        <v>507</v>
      </c>
      <c r="Q1666" s="35" t="str">
        <f>MID(Tabla1[[#This Row],[Aplicación]],14,1)</f>
        <v>2</v>
      </c>
      <c r="R1666" s="35" t="s">
        <v>495</v>
      </c>
      <c r="S1666" s="35" t="str">
        <f>MID(Tabla1[[#This Row],[Aplicación]],6,2)</f>
        <v>02</v>
      </c>
      <c r="T1666" s="35" t="str">
        <f>VLOOKUP(Tabla1[[#This Row],[AREA]],Hoja1!A:B,2,FALSE)</f>
        <v>02. Planeamiento urbanístico y vivienda</v>
      </c>
      <c r="U1666" s="35" t="str">
        <f>MID(Tabla1[[#This Row],[Aplicación]],9,4)</f>
        <v>9332</v>
      </c>
      <c r="V1666" s="35" t="str">
        <f>VLOOKUP(Tabla1[[#This Row],[PROGRAMA]],Hoja1!A:B,2,FALSE)</f>
        <v>9332. Mantenimiento de edificios e instalaciones municipales</v>
      </c>
      <c r="W1666" s="35" t="str">
        <f>MID(Tabla1[[#This Row],[Aplicación]],14,2)</f>
        <v>21</v>
      </c>
      <c r="X1666" s="35" t="str">
        <f>MID(Tabla1[[#This Row],[Aplicación]],14,6)</f>
        <v>213</v>
      </c>
    </row>
    <row r="1667" spans="1:24" x14ac:dyDescent="0.25">
      <c r="A1667" s="45">
        <v>220209000371</v>
      </c>
      <c r="B1667" s="46" t="s">
        <v>9</v>
      </c>
      <c r="C1667" s="47">
        <v>44198</v>
      </c>
      <c r="D1667" s="45">
        <v>22021000274</v>
      </c>
      <c r="E1667" s="46" t="s">
        <v>980</v>
      </c>
      <c r="F1667" s="48">
        <v>3726.8</v>
      </c>
      <c r="G1667" s="46" t="s">
        <v>59</v>
      </c>
      <c r="H1667" s="46" t="s">
        <v>2939</v>
      </c>
      <c r="I1667" s="45" t="s">
        <v>125</v>
      </c>
      <c r="J1667" s="46" t="s">
        <v>127</v>
      </c>
      <c r="K1667" s="46" t="s">
        <v>127</v>
      </c>
      <c r="L1667" s="46" t="s">
        <v>12</v>
      </c>
      <c r="M1667" s="46" t="s">
        <v>13</v>
      </c>
      <c r="N1667" s="46" t="s">
        <v>14</v>
      </c>
      <c r="O1667" s="49" t="s">
        <v>803</v>
      </c>
      <c r="P1667" s="46" t="s">
        <v>507</v>
      </c>
      <c r="Q1667" s="35" t="str">
        <f>MID(Tabla1[[#This Row],[Aplicación]],14,1)</f>
        <v>2</v>
      </c>
      <c r="R1667" s="35" t="s">
        <v>495</v>
      </c>
      <c r="S1667" s="35" t="str">
        <f>MID(Tabla1[[#This Row],[Aplicación]],6,2)</f>
        <v>11</v>
      </c>
      <c r="T1667" s="35" t="str">
        <f>VLOOKUP(Tabla1[[#This Row],[AREA]],Hoja1!A:B,2,FALSE)</f>
        <v>11. Salud pública y seguridad ciudadana</v>
      </c>
      <c r="U1667" s="35" t="str">
        <f>MID(Tabla1[[#This Row],[Aplicación]],9,4)</f>
        <v>1361</v>
      </c>
      <c r="V1667" s="35" t="str">
        <f>VLOOKUP(Tabla1[[#This Row],[PROGRAMA]],Hoja1!A:B,2,FALSE)</f>
        <v>1361. Prevención y extinción de incencios</v>
      </c>
      <c r="W1667" s="35" t="str">
        <f>MID(Tabla1[[#This Row],[Aplicación]],14,2)</f>
        <v>21</v>
      </c>
      <c r="X1667" s="35" t="str">
        <f>MID(Tabla1[[#This Row],[Aplicación]],14,6)</f>
        <v>213</v>
      </c>
    </row>
    <row r="1668" spans="1:24" x14ac:dyDescent="0.25">
      <c r="A1668" s="45">
        <v>220209000241</v>
      </c>
      <c r="B1668" s="46" t="s">
        <v>9</v>
      </c>
      <c r="C1668" s="47">
        <v>44198</v>
      </c>
      <c r="D1668" s="45">
        <v>22021000248</v>
      </c>
      <c r="E1668" s="46" t="s">
        <v>2147</v>
      </c>
      <c r="F1668" s="48">
        <v>5308.88</v>
      </c>
      <c r="G1668" s="46" t="s">
        <v>771</v>
      </c>
      <c r="H1668" s="46" t="s">
        <v>2940</v>
      </c>
      <c r="I1668" s="45" t="s">
        <v>125</v>
      </c>
      <c r="J1668" s="46" t="s">
        <v>126</v>
      </c>
      <c r="K1668" s="46" t="s">
        <v>126</v>
      </c>
      <c r="L1668" s="46" t="s">
        <v>12</v>
      </c>
      <c r="M1668" s="46" t="s">
        <v>10</v>
      </c>
      <c r="N1668" s="46" t="s">
        <v>11</v>
      </c>
      <c r="O1668" s="49" t="s">
        <v>815</v>
      </c>
      <c r="P1668" s="46" t="s">
        <v>507</v>
      </c>
      <c r="Q1668" s="35" t="str">
        <f>MID(Tabla1[[#This Row],[Aplicación]],14,1)</f>
        <v>2</v>
      </c>
      <c r="R1668" s="35" t="s">
        <v>495</v>
      </c>
      <c r="S1668" s="35" t="str">
        <f>MID(Tabla1[[#This Row],[Aplicación]],6,2)</f>
        <v>04</v>
      </c>
      <c r="T1668" s="35" t="str">
        <f>VLOOKUP(Tabla1[[#This Row],[AREA]],Hoja1!A:B,2,FALSE)</f>
        <v>04. Planificación y recursos</v>
      </c>
      <c r="U1668" s="35" t="str">
        <f>MID(Tabla1[[#This Row],[Aplicación]],9,4)</f>
        <v>9204</v>
      </c>
      <c r="V1668" s="35" t="str">
        <f>VLOOKUP(Tabla1[[#This Row],[PROGRAMA]],Hoja1!A:B,2,FALSE)</f>
        <v>9204. Tecnologías de la información y comunicación</v>
      </c>
      <c r="W1668" s="35" t="str">
        <f>MID(Tabla1[[#This Row],[Aplicación]],14,2)</f>
        <v>22</v>
      </c>
      <c r="X1668" s="35" t="str">
        <f>MID(Tabla1[[#This Row],[Aplicación]],14,6)</f>
        <v>22200</v>
      </c>
    </row>
    <row r="1669" spans="1:24" x14ac:dyDescent="0.25">
      <c r="A1669" s="45">
        <v>220210000526</v>
      </c>
      <c r="B1669" s="46" t="s">
        <v>9</v>
      </c>
      <c r="C1669" s="47">
        <v>44221</v>
      </c>
      <c r="D1669" s="45">
        <v>22021000678</v>
      </c>
      <c r="E1669" s="46" t="s">
        <v>983</v>
      </c>
      <c r="F1669" s="48">
        <v>545.91999999999996</v>
      </c>
      <c r="G1669" s="46" t="s">
        <v>53</v>
      </c>
      <c r="H1669" s="46" t="s">
        <v>2714</v>
      </c>
      <c r="I1669" s="45" t="s">
        <v>125</v>
      </c>
      <c r="J1669" s="46" t="s">
        <v>127</v>
      </c>
      <c r="K1669" s="46" t="s">
        <v>127</v>
      </c>
      <c r="L1669" s="46" t="s">
        <v>12</v>
      </c>
      <c r="M1669" s="46" t="s">
        <v>10</v>
      </c>
      <c r="N1669" s="46" t="s">
        <v>11</v>
      </c>
      <c r="O1669" s="49" t="s">
        <v>815</v>
      </c>
      <c r="P1669" s="46" t="s">
        <v>507</v>
      </c>
      <c r="Q1669" s="35" t="str">
        <f>MID(Tabla1[[#This Row],[Aplicación]],14,1)</f>
        <v>2</v>
      </c>
      <c r="R1669" s="35" t="s">
        <v>495</v>
      </c>
      <c r="S1669" s="35" t="str">
        <f>MID(Tabla1[[#This Row],[Aplicación]],6,2)</f>
        <v>10</v>
      </c>
      <c r="T1669" s="35" t="str">
        <f>VLOOKUP(Tabla1[[#This Row],[AREA]],Hoja1!A:B,2,FALSE)</f>
        <v>10. Servicios sociales y mediación comunitaria</v>
      </c>
      <c r="U1669" s="35" t="str">
        <f>MID(Tabla1[[#This Row],[Aplicación]],9,4)</f>
        <v>2412</v>
      </c>
      <c r="V1669" s="35" t="str">
        <f>VLOOKUP(Tabla1[[#This Row],[PROGRAMA]],Hoja1!A:B,2,FALSE)</f>
        <v>2412. Formación para el empleo</v>
      </c>
      <c r="W1669" s="35" t="str">
        <f>MID(Tabla1[[#This Row],[Aplicación]],14,2)</f>
        <v>21</v>
      </c>
      <c r="X1669" s="35" t="str">
        <f>MID(Tabla1[[#This Row],[Aplicación]],14,6)</f>
        <v>213</v>
      </c>
    </row>
    <row r="1670" spans="1:24" x14ac:dyDescent="0.25">
      <c r="A1670" s="45">
        <v>220200073893</v>
      </c>
      <c r="B1670" s="46" t="s">
        <v>9</v>
      </c>
      <c r="C1670" s="47">
        <v>44284</v>
      </c>
      <c r="D1670" s="45">
        <v>22019007657</v>
      </c>
      <c r="E1670" s="46" t="s">
        <v>1936</v>
      </c>
      <c r="F1670" s="48">
        <v>226.39</v>
      </c>
      <c r="G1670" s="46" t="s">
        <v>120</v>
      </c>
      <c r="H1670" s="46" t="s">
        <v>2941</v>
      </c>
      <c r="I1670" s="45" t="s">
        <v>125</v>
      </c>
      <c r="J1670" s="46" t="s">
        <v>126</v>
      </c>
      <c r="K1670" s="46" t="s">
        <v>126</v>
      </c>
      <c r="L1670" s="46" t="s">
        <v>12</v>
      </c>
      <c r="M1670" s="46" t="s">
        <v>13</v>
      </c>
      <c r="N1670" s="46" t="s">
        <v>16</v>
      </c>
      <c r="O1670" s="49" t="s">
        <v>803</v>
      </c>
      <c r="P1670" s="46" t="s">
        <v>507</v>
      </c>
      <c r="Q1670" s="35" t="str">
        <f>MID(Tabla1[[#This Row],[Aplicación]],14,1)</f>
        <v>6</v>
      </c>
      <c r="R1670" s="35" t="s">
        <v>496</v>
      </c>
      <c r="S1670" s="35" t="str">
        <f>MID(Tabla1[[#This Row],[Aplicación]],6,2)</f>
        <v>11</v>
      </c>
      <c r="T1670" s="35" t="str">
        <f>VLOOKUP(Tabla1[[#This Row],[AREA]],Hoja1!A:B,2,FALSE)</f>
        <v>11. Salud pública y seguridad ciudadana</v>
      </c>
      <c r="U1670" s="35" t="str">
        <f>MID(Tabla1[[#This Row],[Aplicación]],9,4)</f>
        <v>1361</v>
      </c>
      <c r="V1670" s="35" t="str">
        <f>VLOOKUP(Tabla1[[#This Row],[PROGRAMA]],Hoja1!A:B,2,FALSE)</f>
        <v>1361. Prevención y extinción de incencios</v>
      </c>
      <c r="W1670" s="35" t="str">
        <f>MID(Tabla1[[#This Row],[Aplicación]],14,2)</f>
        <v>63</v>
      </c>
      <c r="X1670" s="35" t="str">
        <f>MID(Tabla1[[#This Row],[Aplicación]],14,6)</f>
        <v>632</v>
      </c>
    </row>
    <row r="1671" spans="1:24" x14ac:dyDescent="0.25">
      <c r="A1671" s="45">
        <v>220210006056</v>
      </c>
      <c r="B1671" s="46" t="s">
        <v>9</v>
      </c>
      <c r="C1671" s="47">
        <v>44251</v>
      </c>
      <c r="D1671" s="45">
        <v>22021002920</v>
      </c>
      <c r="E1671" s="46" t="s">
        <v>1503</v>
      </c>
      <c r="F1671" s="48">
        <v>5418.38</v>
      </c>
      <c r="G1671" s="46" t="s">
        <v>134</v>
      </c>
      <c r="H1671" s="46" t="s">
        <v>2942</v>
      </c>
      <c r="I1671" s="45" t="s">
        <v>125</v>
      </c>
      <c r="J1671" s="46" t="s">
        <v>659</v>
      </c>
      <c r="K1671" s="46" t="s">
        <v>127</v>
      </c>
      <c r="L1671" s="46" t="s">
        <v>12</v>
      </c>
      <c r="M1671" s="46" t="s">
        <v>10</v>
      </c>
      <c r="N1671" s="46" t="s">
        <v>11</v>
      </c>
      <c r="O1671" s="49" t="s">
        <v>815</v>
      </c>
      <c r="P1671" s="46" t="s">
        <v>507</v>
      </c>
      <c r="Q1671" s="35" t="str">
        <f>MID(Tabla1[[#This Row],[Aplicación]],14,1)</f>
        <v>2</v>
      </c>
      <c r="R1671" s="35" t="s">
        <v>495</v>
      </c>
      <c r="S1671" s="35" t="str">
        <f>MID(Tabla1[[#This Row],[Aplicación]],6,2)</f>
        <v>05</v>
      </c>
      <c r="T1671" s="35" t="str">
        <f>VLOOKUP(Tabla1[[#This Row],[AREA]],Hoja1!A:B,2,FALSE)</f>
        <v>05. Innovación, desarrollo económico, empleo y comercio</v>
      </c>
      <c r="U1671" s="35" t="str">
        <f>MID(Tabla1[[#This Row],[Aplicación]],9,4)</f>
        <v>4331</v>
      </c>
      <c r="V1671" s="35" t="str">
        <f>VLOOKUP(Tabla1[[#This Row],[PROGRAMA]],Hoja1!A:B,2,FALSE)</f>
        <v>4331. Desarrollo empresarial</v>
      </c>
      <c r="W1671" s="35" t="str">
        <f>MID(Tabla1[[#This Row],[Aplicación]],14,2)</f>
        <v>21</v>
      </c>
      <c r="X1671" s="35" t="str">
        <f>MID(Tabla1[[#This Row],[Aplicación]],14,6)</f>
        <v>213</v>
      </c>
    </row>
    <row r="1672" spans="1:24" x14ac:dyDescent="0.25">
      <c r="A1672" s="45">
        <v>220210003634</v>
      </c>
      <c r="B1672" s="46" t="s">
        <v>9</v>
      </c>
      <c r="C1672" s="47">
        <v>44243</v>
      </c>
      <c r="D1672" s="45">
        <v>22021002339</v>
      </c>
      <c r="E1672" s="46" t="s">
        <v>1378</v>
      </c>
      <c r="F1672" s="48">
        <v>5554.14</v>
      </c>
      <c r="G1672" s="46" t="s">
        <v>250</v>
      </c>
      <c r="H1672" s="46" t="s">
        <v>2943</v>
      </c>
      <c r="I1672" s="45" t="s">
        <v>125</v>
      </c>
      <c r="J1672" s="46" t="s">
        <v>127</v>
      </c>
      <c r="K1672" s="46" t="s">
        <v>127</v>
      </c>
      <c r="L1672" s="46" t="s">
        <v>15</v>
      </c>
      <c r="M1672" s="46" t="s">
        <v>10</v>
      </c>
      <c r="N1672" s="46" t="s">
        <v>11</v>
      </c>
      <c r="O1672" s="49" t="s">
        <v>815</v>
      </c>
      <c r="P1672" s="46" t="s">
        <v>507</v>
      </c>
      <c r="Q1672" s="35" t="str">
        <f>MID(Tabla1[[#This Row],[Aplicación]],14,1)</f>
        <v>2</v>
      </c>
      <c r="R1672" s="35" t="s">
        <v>495</v>
      </c>
      <c r="S1672" s="35" t="str">
        <f>MID(Tabla1[[#This Row],[Aplicación]],6,2)</f>
        <v>01</v>
      </c>
      <c r="T1672" s="35" t="str">
        <f>VLOOKUP(Tabla1[[#This Row],[AREA]],Hoja1!A:B,2,FALSE)</f>
        <v>01. Alcaldía</v>
      </c>
      <c r="U1672" s="35" t="str">
        <f>MID(Tabla1[[#This Row],[Aplicación]],9,4)</f>
        <v>9205</v>
      </c>
      <c r="V1672" s="35" t="str">
        <f>VLOOKUP(Tabla1[[#This Row],[PROGRAMA]],Hoja1!A:B,2,FALSE)</f>
        <v>9205. Imprenta municipal</v>
      </c>
      <c r="W1672" s="35" t="str">
        <f>MID(Tabla1[[#This Row],[Aplicación]],14,2)</f>
        <v>22</v>
      </c>
      <c r="X1672" s="35" t="str">
        <f>MID(Tabla1[[#This Row],[Aplicación]],14,6)</f>
        <v>22199</v>
      </c>
    </row>
    <row r="1673" spans="1:24" x14ac:dyDescent="0.25">
      <c r="A1673" s="45">
        <v>220210008411</v>
      </c>
      <c r="B1673" s="46" t="s">
        <v>9</v>
      </c>
      <c r="C1673" s="47">
        <v>44266</v>
      </c>
      <c r="D1673" s="45">
        <v>22021003253</v>
      </c>
      <c r="E1673" s="46" t="s">
        <v>2944</v>
      </c>
      <c r="F1673" s="48">
        <v>7260</v>
      </c>
      <c r="G1673" s="46" t="s">
        <v>580</v>
      </c>
      <c r="H1673" s="46" t="s">
        <v>2945</v>
      </c>
      <c r="I1673" s="45" t="s">
        <v>125</v>
      </c>
      <c r="J1673" s="46" t="s">
        <v>661</v>
      </c>
      <c r="K1673" s="46" t="s">
        <v>127</v>
      </c>
      <c r="L1673" s="46" t="s">
        <v>15</v>
      </c>
      <c r="M1673" s="46" t="s">
        <v>10</v>
      </c>
      <c r="N1673" s="46" t="s">
        <v>11</v>
      </c>
      <c r="O1673" s="49" t="s">
        <v>815</v>
      </c>
      <c r="P1673" s="46" t="s">
        <v>507</v>
      </c>
      <c r="Q1673" s="35" t="str">
        <f>MID(Tabla1[[#This Row],[Aplicación]],14,1)</f>
        <v>2</v>
      </c>
      <c r="R1673" s="35" t="s">
        <v>495</v>
      </c>
      <c r="S1673" s="35" t="str">
        <f>MID(Tabla1[[#This Row],[Aplicación]],6,2)</f>
        <v>02</v>
      </c>
      <c r="T1673" s="35" t="str">
        <f>VLOOKUP(Tabla1[[#This Row],[AREA]],Hoja1!A:B,2,FALSE)</f>
        <v>02. Planeamiento urbanístico y vivienda</v>
      </c>
      <c r="U1673" s="35" t="str">
        <f>MID(Tabla1[[#This Row],[Aplicación]],9,4)</f>
        <v>1511</v>
      </c>
      <c r="V1673" s="35" t="str">
        <f>VLOOKUP(Tabla1[[#This Row],[PROGRAMA]],Hoja1!A:B,2,FALSE)</f>
        <v>1511. Planficación y gestión del urbanismo</v>
      </c>
      <c r="W1673" s="35" t="str">
        <f>MID(Tabla1[[#This Row],[Aplicación]],14,2)</f>
        <v>22</v>
      </c>
      <c r="X1673" s="35" t="str">
        <f>MID(Tabla1[[#This Row],[Aplicación]],14,6)</f>
        <v>22799</v>
      </c>
    </row>
    <row r="1674" spans="1:24" x14ac:dyDescent="0.25">
      <c r="A1674" s="45">
        <v>220200051502</v>
      </c>
      <c r="B1674" s="46" t="s">
        <v>9</v>
      </c>
      <c r="C1674" s="47">
        <v>44284</v>
      </c>
      <c r="D1674" s="45">
        <v>22019007677</v>
      </c>
      <c r="E1674" s="46" t="s">
        <v>1991</v>
      </c>
      <c r="F1674" s="48">
        <v>5637</v>
      </c>
      <c r="G1674" s="46" t="s">
        <v>121</v>
      </c>
      <c r="H1674" s="46" t="s">
        <v>2946</v>
      </c>
      <c r="I1674" s="45" t="s">
        <v>125</v>
      </c>
      <c r="J1674" s="46" t="s">
        <v>664</v>
      </c>
      <c r="K1674" s="46" t="s">
        <v>127</v>
      </c>
      <c r="L1674" s="46" t="s">
        <v>31</v>
      </c>
      <c r="M1674" s="46" t="s">
        <v>13</v>
      </c>
      <c r="N1674" s="46" t="s">
        <v>14</v>
      </c>
      <c r="O1674" s="49" t="s">
        <v>803</v>
      </c>
      <c r="P1674" s="46" t="s">
        <v>507</v>
      </c>
      <c r="Q1674" s="35" t="str">
        <f>MID(Tabla1[[#This Row],[Aplicación]],14,1)</f>
        <v>6</v>
      </c>
      <c r="R1674" s="35" t="s">
        <v>496</v>
      </c>
      <c r="S1674" s="35" t="str">
        <f>MID(Tabla1[[#This Row],[Aplicación]],6,2)</f>
        <v>11</v>
      </c>
      <c r="T1674" s="35" t="str">
        <f>VLOOKUP(Tabla1[[#This Row],[AREA]],Hoja1!A:B,2,FALSE)</f>
        <v>11. Salud pública y seguridad ciudadana</v>
      </c>
      <c r="U1674" s="35" t="str">
        <f>MID(Tabla1[[#This Row],[Aplicación]],9,4)</f>
        <v>1321</v>
      </c>
      <c r="V1674" s="35" t="str">
        <f>VLOOKUP(Tabla1[[#This Row],[PROGRAMA]],Hoja1!A:B,2,FALSE)</f>
        <v>1321. Policía municipal</v>
      </c>
      <c r="W1674" s="35" t="str">
        <f>MID(Tabla1[[#This Row],[Aplicación]],14,2)</f>
        <v>63</v>
      </c>
      <c r="X1674" s="35" t="str">
        <f>MID(Tabla1[[#This Row],[Aplicación]],14,6)</f>
        <v>632</v>
      </c>
    </row>
    <row r="1675" spans="1:24" x14ac:dyDescent="0.25">
      <c r="A1675" s="45">
        <v>220210008413</v>
      </c>
      <c r="B1675" s="46" t="s">
        <v>204</v>
      </c>
      <c r="C1675" s="47">
        <v>44266</v>
      </c>
      <c r="D1675" s="45">
        <v>22021002489</v>
      </c>
      <c r="E1675" s="46" t="s">
        <v>2947</v>
      </c>
      <c r="F1675" s="48">
        <v>147609.39000000001</v>
      </c>
      <c r="G1675" s="46" t="s">
        <v>560</v>
      </c>
      <c r="H1675" s="46" t="s">
        <v>2948</v>
      </c>
      <c r="I1675" s="45" t="s">
        <v>205</v>
      </c>
      <c r="J1675" s="46" t="s">
        <v>126</v>
      </c>
      <c r="K1675" s="46" t="s">
        <v>126</v>
      </c>
      <c r="L1675" s="46" t="s">
        <v>12</v>
      </c>
      <c r="M1675" s="50" t="s">
        <v>13</v>
      </c>
      <c r="N1675" s="46" t="s">
        <v>14</v>
      </c>
      <c r="O1675" s="49" t="s">
        <v>803</v>
      </c>
      <c r="P1675" s="46" t="s">
        <v>507</v>
      </c>
      <c r="Q1675" s="35" t="str">
        <f>MID(Tabla1[[#This Row],[Aplicación]],14,1)</f>
        <v>1</v>
      </c>
      <c r="R1675" s="35" t="s">
        <v>504</v>
      </c>
      <c r="S1675" s="35" t="str">
        <f>MID(Tabla1[[#This Row],[Aplicación]],6,2)</f>
        <v>04</v>
      </c>
      <c r="T1675" s="35" t="str">
        <f>VLOOKUP(Tabla1[[#This Row],[AREA]],Hoja1!A:B,2,FALSE)</f>
        <v>04. Planificación y recursos</v>
      </c>
      <c r="U1675" s="35" t="str">
        <f>MID(Tabla1[[#This Row],[Aplicación]],9,4)</f>
        <v>9202</v>
      </c>
      <c r="V1675" s="35" t="str">
        <f>VLOOKUP(Tabla1[[#This Row],[PROGRAMA]],Hoja1!A:B,2,FALSE)</f>
        <v>9202. Gestión de recursos humanos</v>
      </c>
      <c r="W1675" s="35" t="str">
        <f>MID(Tabla1[[#This Row],[Aplicación]],14,2)</f>
        <v>16</v>
      </c>
      <c r="X1675" s="35" t="str">
        <f>MID(Tabla1[[#This Row],[Aplicación]],14,6)</f>
        <v>16205</v>
      </c>
    </row>
    <row r="1676" spans="1:24" x14ac:dyDescent="0.25">
      <c r="A1676" s="45">
        <v>220210008418</v>
      </c>
      <c r="B1676" s="46" t="s">
        <v>9</v>
      </c>
      <c r="C1676" s="47">
        <v>44266</v>
      </c>
      <c r="D1676" s="45">
        <v>22021002754</v>
      </c>
      <c r="E1676" s="46" t="s">
        <v>1203</v>
      </c>
      <c r="F1676" s="48">
        <v>1625.87</v>
      </c>
      <c r="G1676" s="46" t="s">
        <v>1359</v>
      </c>
      <c r="H1676" s="46" t="s">
        <v>2949</v>
      </c>
      <c r="I1676" s="45" t="s">
        <v>125</v>
      </c>
      <c r="J1676" s="46" t="s">
        <v>180</v>
      </c>
      <c r="K1676" s="46" t="s">
        <v>180</v>
      </c>
      <c r="L1676" s="46" t="s">
        <v>15</v>
      </c>
      <c r="M1676" s="46" t="s">
        <v>13</v>
      </c>
      <c r="N1676" s="46" t="s">
        <v>11</v>
      </c>
      <c r="O1676" s="49" t="s">
        <v>803</v>
      </c>
      <c r="P1676" s="46" t="s">
        <v>507</v>
      </c>
      <c r="Q1676" s="35" t="str">
        <f>MID(Tabla1[[#This Row],[Aplicación]],14,1)</f>
        <v>2</v>
      </c>
      <c r="R1676" s="35" t="s">
        <v>495</v>
      </c>
      <c r="S1676" s="35" t="str">
        <f>MID(Tabla1[[#This Row],[Aplicación]],6,2)</f>
        <v>01</v>
      </c>
      <c r="T1676" s="35" t="str">
        <f>VLOOKUP(Tabla1[[#This Row],[AREA]],Hoja1!A:B,2,FALSE)</f>
        <v>01. Alcaldía</v>
      </c>
      <c r="U1676" s="35" t="str">
        <f>MID(Tabla1[[#This Row],[Aplicación]],9,4)</f>
        <v>9203</v>
      </c>
      <c r="V1676" s="35" t="str">
        <f>VLOOKUP(Tabla1[[#This Row],[PROGRAMA]],Hoja1!A:B,2,FALSE)</f>
        <v>9203. Unidad de régimen interior</v>
      </c>
      <c r="W1676" s="35" t="str">
        <f>MID(Tabla1[[#This Row],[Aplicación]],14,2)</f>
        <v>22</v>
      </c>
      <c r="X1676" s="35" t="str">
        <f>MID(Tabla1[[#This Row],[Aplicación]],14,6)</f>
        <v>22000</v>
      </c>
    </row>
    <row r="1677" spans="1:24" x14ac:dyDescent="0.25">
      <c r="A1677" s="45">
        <v>220210008419</v>
      </c>
      <c r="B1677" s="46" t="s">
        <v>9</v>
      </c>
      <c r="C1677" s="47">
        <v>44266</v>
      </c>
      <c r="D1677" s="45">
        <v>22021002755</v>
      </c>
      <c r="E1677" s="46" t="s">
        <v>1203</v>
      </c>
      <c r="F1677" s="48">
        <v>8613.85</v>
      </c>
      <c r="G1677" s="46" t="s">
        <v>1359</v>
      </c>
      <c r="H1677" s="46" t="s">
        <v>2950</v>
      </c>
      <c r="I1677" s="45" t="s">
        <v>125</v>
      </c>
      <c r="J1677" s="46" t="s">
        <v>180</v>
      </c>
      <c r="K1677" s="46" t="s">
        <v>180</v>
      </c>
      <c r="L1677" s="46" t="s">
        <v>15</v>
      </c>
      <c r="M1677" s="46" t="s">
        <v>13</v>
      </c>
      <c r="N1677" s="46" t="s">
        <v>11</v>
      </c>
      <c r="O1677" s="49" t="s">
        <v>803</v>
      </c>
      <c r="P1677" s="46" t="s">
        <v>507</v>
      </c>
      <c r="Q1677" s="35" t="str">
        <f>MID(Tabla1[[#This Row],[Aplicación]],14,1)</f>
        <v>2</v>
      </c>
      <c r="R1677" s="35" t="s">
        <v>495</v>
      </c>
      <c r="S1677" s="35" t="str">
        <f>MID(Tabla1[[#This Row],[Aplicación]],6,2)</f>
        <v>01</v>
      </c>
      <c r="T1677" s="35" t="str">
        <f>VLOOKUP(Tabla1[[#This Row],[AREA]],Hoja1!A:B,2,FALSE)</f>
        <v>01. Alcaldía</v>
      </c>
      <c r="U1677" s="35" t="str">
        <f>MID(Tabla1[[#This Row],[Aplicación]],9,4)</f>
        <v>9203</v>
      </c>
      <c r="V1677" s="35" t="str">
        <f>VLOOKUP(Tabla1[[#This Row],[PROGRAMA]],Hoja1!A:B,2,FALSE)</f>
        <v>9203. Unidad de régimen interior</v>
      </c>
      <c r="W1677" s="35" t="str">
        <f>MID(Tabla1[[#This Row],[Aplicación]],14,2)</f>
        <v>22</v>
      </c>
      <c r="X1677" s="35" t="str">
        <f>MID(Tabla1[[#This Row],[Aplicación]],14,6)</f>
        <v>22000</v>
      </c>
    </row>
    <row r="1678" spans="1:24" x14ac:dyDescent="0.25">
      <c r="A1678" s="45">
        <v>220210008420</v>
      </c>
      <c r="B1678" s="46" t="s">
        <v>9</v>
      </c>
      <c r="C1678" s="47">
        <v>44266</v>
      </c>
      <c r="D1678" s="45">
        <v>22021002757</v>
      </c>
      <c r="E1678" s="46" t="s">
        <v>1203</v>
      </c>
      <c r="F1678" s="48">
        <v>4033.23</v>
      </c>
      <c r="G1678" s="46" t="s">
        <v>214</v>
      </c>
      <c r="H1678" s="46" t="s">
        <v>2951</v>
      </c>
      <c r="I1678" s="45" t="s">
        <v>125</v>
      </c>
      <c r="J1678" s="46" t="s">
        <v>127</v>
      </c>
      <c r="K1678" s="46" t="s">
        <v>127</v>
      </c>
      <c r="L1678" s="46" t="s">
        <v>15</v>
      </c>
      <c r="M1678" s="46" t="s">
        <v>13</v>
      </c>
      <c r="N1678" s="46" t="s">
        <v>11</v>
      </c>
      <c r="O1678" s="49" t="s">
        <v>803</v>
      </c>
      <c r="P1678" s="46" t="s">
        <v>507</v>
      </c>
      <c r="Q1678" s="35" t="str">
        <f>MID(Tabla1[[#This Row],[Aplicación]],14,1)</f>
        <v>2</v>
      </c>
      <c r="R1678" s="35" t="s">
        <v>495</v>
      </c>
      <c r="S1678" s="35" t="str">
        <f>MID(Tabla1[[#This Row],[Aplicación]],6,2)</f>
        <v>01</v>
      </c>
      <c r="T1678" s="35" t="str">
        <f>VLOOKUP(Tabla1[[#This Row],[AREA]],Hoja1!A:B,2,FALSE)</f>
        <v>01. Alcaldía</v>
      </c>
      <c r="U1678" s="35" t="str">
        <f>MID(Tabla1[[#This Row],[Aplicación]],9,4)</f>
        <v>9203</v>
      </c>
      <c r="V1678" s="35" t="str">
        <f>VLOOKUP(Tabla1[[#This Row],[PROGRAMA]],Hoja1!A:B,2,FALSE)</f>
        <v>9203. Unidad de régimen interior</v>
      </c>
      <c r="W1678" s="35" t="str">
        <f>MID(Tabla1[[#This Row],[Aplicación]],14,2)</f>
        <v>22</v>
      </c>
      <c r="X1678" s="35" t="str">
        <f>MID(Tabla1[[#This Row],[Aplicación]],14,6)</f>
        <v>22000</v>
      </c>
    </row>
    <row r="1679" spans="1:24" x14ac:dyDescent="0.25">
      <c r="A1679" s="45">
        <v>220210008421</v>
      </c>
      <c r="B1679" s="46" t="s">
        <v>9</v>
      </c>
      <c r="C1679" s="47">
        <v>44266</v>
      </c>
      <c r="D1679" s="45">
        <v>22021002758</v>
      </c>
      <c r="E1679" s="46" t="s">
        <v>1203</v>
      </c>
      <c r="F1679" s="48">
        <v>6372.42</v>
      </c>
      <c r="G1679" s="46" t="s">
        <v>214</v>
      </c>
      <c r="H1679" s="46" t="s">
        <v>2952</v>
      </c>
      <c r="I1679" s="45" t="s">
        <v>125</v>
      </c>
      <c r="J1679" s="46" t="s">
        <v>127</v>
      </c>
      <c r="K1679" s="46" t="s">
        <v>127</v>
      </c>
      <c r="L1679" s="46" t="s">
        <v>15</v>
      </c>
      <c r="M1679" s="46" t="s">
        <v>13</v>
      </c>
      <c r="N1679" s="46" t="s">
        <v>11</v>
      </c>
      <c r="O1679" s="49" t="s">
        <v>803</v>
      </c>
      <c r="P1679" s="46" t="s">
        <v>507</v>
      </c>
      <c r="Q1679" s="35" t="str">
        <f>MID(Tabla1[[#This Row],[Aplicación]],14,1)</f>
        <v>2</v>
      </c>
      <c r="R1679" s="35" t="s">
        <v>495</v>
      </c>
      <c r="S1679" s="35" t="str">
        <f>MID(Tabla1[[#This Row],[Aplicación]],6,2)</f>
        <v>01</v>
      </c>
      <c r="T1679" s="35" t="str">
        <f>VLOOKUP(Tabla1[[#This Row],[AREA]],Hoja1!A:B,2,FALSE)</f>
        <v>01. Alcaldía</v>
      </c>
      <c r="U1679" s="35" t="str">
        <f>MID(Tabla1[[#This Row],[Aplicación]],9,4)</f>
        <v>9203</v>
      </c>
      <c r="V1679" s="35" t="str">
        <f>VLOOKUP(Tabla1[[#This Row],[PROGRAMA]],Hoja1!A:B,2,FALSE)</f>
        <v>9203. Unidad de régimen interior</v>
      </c>
      <c r="W1679" s="35" t="str">
        <f>MID(Tabla1[[#This Row],[Aplicación]],14,2)</f>
        <v>22</v>
      </c>
      <c r="X1679" s="35" t="str">
        <f>MID(Tabla1[[#This Row],[Aplicación]],14,6)</f>
        <v>22000</v>
      </c>
    </row>
    <row r="1680" spans="1:24" x14ac:dyDescent="0.25">
      <c r="A1680" s="45">
        <v>220210008422</v>
      </c>
      <c r="B1680" s="46" t="s">
        <v>9</v>
      </c>
      <c r="C1680" s="47">
        <v>44266</v>
      </c>
      <c r="D1680" s="45">
        <v>22021002759</v>
      </c>
      <c r="E1680" s="46" t="s">
        <v>1203</v>
      </c>
      <c r="F1680" s="48">
        <v>12524.15</v>
      </c>
      <c r="G1680" s="46" t="s">
        <v>214</v>
      </c>
      <c r="H1680" s="46" t="s">
        <v>2953</v>
      </c>
      <c r="I1680" s="45" t="s">
        <v>125</v>
      </c>
      <c r="J1680" s="46" t="s">
        <v>127</v>
      </c>
      <c r="K1680" s="46" t="s">
        <v>127</v>
      </c>
      <c r="L1680" s="46" t="s">
        <v>15</v>
      </c>
      <c r="M1680" s="46" t="s">
        <v>13</v>
      </c>
      <c r="N1680" s="46" t="s">
        <v>11</v>
      </c>
      <c r="O1680" s="49" t="s">
        <v>803</v>
      </c>
      <c r="P1680" s="46" t="s">
        <v>507</v>
      </c>
      <c r="Q1680" s="35" t="str">
        <f>MID(Tabla1[[#This Row],[Aplicación]],14,1)</f>
        <v>2</v>
      </c>
      <c r="R1680" s="35" t="s">
        <v>495</v>
      </c>
      <c r="S1680" s="35" t="str">
        <f>MID(Tabla1[[#This Row],[Aplicación]],6,2)</f>
        <v>01</v>
      </c>
      <c r="T1680" s="35" t="str">
        <f>VLOOKUP(Tabla1[[#This Row],[AREA]],Hoja1!A:B,2,FALSE)</f>
        <v>01. Alcaldía</v>
      </c>
      <c r="U1680" s="35" t="str">
        <f>MID(Tabla1[[#This Row],[Aplicación]],9,4)</f>
        <v>9203</v>
      </c>
      <c r="V1680" s="35" t="str">
        <f>VLOOKUP(Tabla1[[#This Row],[PROGRAMA]],Hoja1!A:B,2,FALSE)</f>
        <v>9203. Unidad de régimen interior</v>
      </c>
      <c r="W1680" s="35" t="str">
        <f>MID(Tabla1[[#This Row],[Aplicación]],14,2)</f>
        <v>22</v>
      </c>
      <c r="X1680" s="35" t="str">
        <f>MID(Tabla1[[#This Row],[Aplicación]],14,6)</f>
        <v>22000</v>
      </c>
    </row>
    <row r="1681" spans="1:24" x14ac:dyDescent="0.25">
      <c r="A1681" s="45">
        <v>220210008423</v>
      </c>
      <c r="B1681" s="46" t="s">
        <v>9</v>
      </c>
      <c r="C1681" s="47">
        <v>44266</v>
      </c>
      <c r="D1681" s="45">
        <v>22021002760</v>
      </c>
      <c r="E1681" s="46" t="s">
        <v>1203</v>
      </c>
      <c r="F1681" s="48">
        <v>14983.57</v>
      </c>
      <c r="G1681" s="46" t="s">
        <v>1204</v>
      </c>
      <c r="H1681" s="46" t="s">
        <v>2954</v>
      </c>
      <c r="I1681" s="45" t="s">
        <v>125</v>
      </c>
      <c r="J1681" s="46" t="s">
        <v>127</v>
      </c>
      <c r="K1681" s="46" t="s">
        <v>127</v>
      </c>
      <c r="L1681" s="46" t="s">
        <v>15</v>
      </c>
      <c r="M1681" s="46" t="s">
        <v>13</v>
      </c>
      <c r="N1681" s="46" t="s">
        <v>11</v>
      </c>
      <c r="O1681" s="49" t="s">
        <v>803</v>
      </c>
      <c r="P1681" s="46" t="s">
        <v>507</v>
      </c>
      <c r="Q1681" s="35" t="str">
        <f>MID(Tabla1[[#This Row],[Aplicación]],14,1)</f>
        <v>2</v>
      </c>
      <c r="R1681" s="35" t="s">
        <v>495</v>
      </c>
      <c r="S1681" s="35" t="str">
        <f>MID(Tabla1[[#This Row],[Aplicación]],6,2)</f>
        <v>01</v>
      </c>
      <c r="T1681" s="35" t="str">
        <f>VLOOKUP(Tabla1[[#This Row],[AREA]],Hoja1!A:B,2,FALSE)</f>
        <v>01. Alcaldía</v>
      </c>
      <c r="U1681" s="35" t="str">
        <f>MID(Tabla1[[#This Row],[Aplicación]],9,4)</f>
        <v>9203</v>
      </c>
      <c r="V1681" s="35" t="str">
        <f>VLOOKUP(Tabla1[[#This Row],[PROGRAMA]],Hoja1!A:B,2,FALSE)</f>
        <v>9203. Unidad de régimen interior</v>
      </c>
      <c r="W1681" s="35" t="str">
        <f>MID(Tabla1[[#This Row],[Aplicación]],14,2)</f>
        <v>22</v>
      </c>
      <c r="X1681" s="35" t="str">
        <f>MID(Tabla1[[#This Row],[Aplicación]],14,6)</f>
        <v>22000</v>
      </c>
    </row>
    <row r="1682" spans="1:24" x14ac:dyDescent="0.25">
      <c r="A1682" s="45">
        <v>220210010354</v>
      </c>
      <c r="B1682" s="46" t="s">
        <v>9</v>
      </c>
      <c r="C1682" s="47">
        <v>44273</v>
      </c>
      <c r="D1682" s="45">
        <v>22021003493</v>
      </c>
      <c r="E1682" s="46" t="s">
        <v>2955</v>
      </c>
      <c r="F1682" s="48">
        <v>5647.02</v>
      </c>
      <c r="G1682" s="46" t="s">
        <v>1992</v>
      </c>
      <c r="H1682" s="46" t="s">
        <v>2956</v>
      </c>
      <c r="I1682" s="45" t="s">
        <v>125</v>
      </c>
      <c r="J1682" s="46" t="s">
        <v>634</v>
      </c>
      <c r="K1682" s="46" t="s">
        <v>127</v>
      </c>
      <c r="L1682" s="46" t="s">
        <v>12</v>
      </c>
      <c r="M1682" s="46" t="s">
        <v>10</v>
      </c>
      <c r="N1682" s="46" t="s">
        <v>11</v>
      </c>
      <c r="O1682" s="49" t="s">
        <v>815</v>
      </c>
      <c r="P1682" s="46" t="s">
        <v>507</v>
      </c>
      <c r="Q1682" s="35" t="str">
        <f>MID(Tabla1[[#This Row],[Aplicación]],14,1)</f>
        <v>2</v>
      </c>
      <c r="R1682" s="35" t="s">
        <v>495</v>
      </c>
      <c r="S1682" s="35" t="str">
        <f>MID(Tabla1[[#This Row],[Aplicación]],6,2)</f>
        <v>11</v>
      </c>
      <c r="T1682" s="35" t="str">
        <f>VLOOKUP(Tabla1[[#This Row],[AREA]],Hoja1!A:B,2,FALSE)</f>
        <v>11. Salud pública y seguridad ciudadana</v>
      </c>
      <c r="U1682" s="35" t="str">
        <f>MID(Tabla1[[#This Row],[Aplicación]],9,4)</f>
        <v>1321</v>
      </c>
      <c r="V1682" s="35" t="str">
        <f>VLOOKUP(Tabla1[[#This Row],[PROGRAMA]],Hoja1!A:B,2,FALSE)</f>
        <v>1321. Policía municipal</v>
      </c>
      <c r="W1682" s="35" t="str">
        <f>MID(Tabla1[[#This Row],[Aplicación]],14,2)</f>
        <v>21</v>
      </c>
      <c r="X1682" s="35" t="str">
        <f>MID(Tabla1[[#This Row],[Aplicación]],14,6)</f>
        <v>212</v>
      </c>
    </row>
    <row r="1683" spans="1:24" x14ac:dyDescent="0.25">
      <c r="A1683" s="45">
        <v>220210003655</v>
      </c>
      <c r="B1683" s="46" t="s">
        <v>9</v>
      </c>
      <c r="C1683" s="47">
        <v>44243</v>
      </c>
      <c r="D1683" s="45">
        <v>22021002583</v>
      </c>
      <c r="E1683" s="46" t="s">
        <v>830</v>
      </c>
      <c r="F1683" s="48">
        <v>5717.25</v>
      </c>
      <c r="G1683" s="46" t="s">
        <v>2957</v>
      </c>
      <c r="H1683" s="46" t="s">
        <v>2958</v>
      </c>
      <c r="I1683" s="45" t="s">
        <v>125</v>
      </c>
      <c r="J1683" s="46" t="s">
        <v>127</v>
      </c>
      <c r="K1683" s="46" t="s">
        <v>127</v>
      </c>
      <c r="L1683" s="46" t="s">
        <v>12</v>
      </c>
      <c r="M1683" s="46" t="s">
        <v>10</v>
      </c>
      <c r="N1683" s="46" t="s">
        <v>11</v>
      </c>
      <c r="O1683" s="49" t="s">
        <v>815</v>
      </c>
      <c r="P1683" s="46" t="s">
        <v>507</v>
      </c>
      <c r="Q1683" s="35" t="str">
        <f>MID(Tabla1[[#This Row],[Aplicación]],14,1)</f>
        <v>2</v>
      </c>
      <c r="R1683" s="35" t="s">
        <v>495</v>
      </c>
      <c r="S1683" s="35" t="str">
        <f>MID(Tabla1[[#This Row],[Aplicación]],6,2)</f>
        <v>01</v>
      </c>
      <c r="T1683" s="35" t="str">
        <f>VLOOKUP(Tabla1[[#This Row],[AREA]],Hoja1!A:B,2,FALSE)</f>
        <v>01. Alcaldía</v>
      </c>
      <c r="U1683" s="35" t="str">
        <f>MID(Tabla1[[#This Row],[Aplicación]],9,4)</f>
        <v>9203</v>
      </c>
      <c r="V1683" s="35" t="str">
        <f>VLOOKUP(Tabla1[[#This Row],[PROGRAMA]],Hoja1!A:B,2,FALSE)</f>
        <v>9203. Unidad de régimen interior</v>
      </c>
      <c r="W1683" s="35" t="str">
        <f>MID(Tabla1[[#This Row],[Aplicación]],14,2)</f>
        <v>21</v>
      </c>
      <c r="X1683" s="35" t="str">
        <f>MID(Tabla1[[#This Row],[Aplicación]],14,6)</f>
        <v>213</v>
      </c>
    </row>
    <row r="1684" spans="1:24" x14ac:dyDescent="0.25">
      <c r="A1684" s="45">
        <v>220200047926</v>
      </c>
      <c r="B1684" s="46" t="s">
        <v>9</v>
      </c>
      <c r="C1684" s="47">
        <v>44284</v>
      </c>
      <c r="D1684" s="45">
        <v>22020006026</v>
      </c>
      <c r="E1684" s="46" t="s">
        <v>2959</v>
      </c>
      <c r="F1684" s="48">
        <v>5808</v>
      </c>
      <c r="G1684" s="46" t="s">
        <v>2960</v>
      </c>
      <c r="H1684" s="46" t="s">
        <v>2961</v>
      </c>
      <c r="I1684" s="45" t="s">
        <v>125</v>
      </c>
      <c r="J1684" s="46" t="s">
        <v>162</v>
      </c>
      <c r="K1684" s="46" t="s">
        <v>162</v>
      </c>
      <c r="L1684" s="46" t="s">
        <v>12</v>
      </c>
      <c r="M1684" s="46" t="s">
        <v>10</v>
      </c>
      <c r="N1684" s="46" t="s">
        <v>11</v>
      </c>
      <c r="O1684" s="49" t="s">
        <v>815</v>
      </c>
      <c r="P1684" s="46" t="s">
        <v>507</v>
      </c>
      <c r="Q1684" s="35" t="str">
        <f>MID(Tabla1[[#This Row],[Aplicación]],14,1)</f>
        <v>6</v>
      </c>
      <c r="R1684" s="35" t="s">
        <v>496</v>
      </c>
      <c r="S1684" s="35" t="str">
        <f>MID(Tabla1[[#This Row],[Aplicación]],6,2)</f>
        <v>08</v>
      </c>
      <c r="T1684" s="35" t="str">
        <f>VLOOKUP(Tabla1[[#This Row],[AREA]],Hoja1!A:B,2,FALSE)</f>
        <v>08. Movilidad y espacio urbano</v>
      </c>
      <c r="U1684" s="35" t="str">
        <f>MID(Tabla1[[#This Row],[Aplicación]],9,4)</f>
        <v>1341</v>
      </c>
      <c r="V1684" s="35" t="str">
        <f>VLOOKUP(Tabla1[[#This Row],[PROGRAMA]],Hoja1!A:B,2,FALSE)</f>
        <v>1341. Movilidad</v>
      </c>
      <c r="W1684" s="35" t="str">
        <f>MID(Tabla1[[#This Row],[Aplicación]],14,2)</f>
        <v>60</v>
      </c>
      <c r="X1684" s="35" t="str">
        <f>MID(Tabla1[[#This Row],[Aplicación]],14,6)</f>
        <v>609</v>
      </c>
    </row>
    <row r="1685" spans="1:24" x14ac:dyDescent="0.25">
      <c r="A1685" s="45">
        <v>220210008430</v>
      </c>
      <c r="B1685" s="46" t="s">
        <v>9</v>
      </c>
      <c r="C1685" s="47">
        <v>44266</v>
      </c>
      <c r="D1685" s="45">
        <v>22021003370</v>
      </c>
      <c r="E1685" s="46" t="s">
        <v>1263</v>
      </c>
      <c r="F1685" s="48">
        <v>2342.44</v>
      </c>
      <c r="G1685" s="46" t="s">
        <v>50</v>
      </c>
      <c r="H1685" s="46" t="s">
        <v>2962</v>
      </c>
      <c r="I1685" s="45" t="s">
        <v>125</v>
      </c>
      <c r="J1685" s="46" t="s">
        <v>127</v>
      </c>
      <c r="K1685" s="46" t="s">
        <v>127</v>
      </c>
      <c r="L1685" s="46" t="s">
        <v>12</v>
      </c>
      <c r="M1685" s="46" t="s">
        <v>10</v>
      </c>
      <c r="N1685" s="46" t="s">
        <v>11</v>
      </c>
      <c r="O1685" s="49" t="s">
        <v>815</v>
      </c>
      <c r="P1685" s="46" t="s">
        <v>507</v>
      </c>
      <c r="Q1685" s="35" t="str">
        <f>MID(Tabla1[[#This Row],[Aplicación]],14,1)</f>
        <v>2</v>
      </c>
      <c r="R1685" s="35" t="s">
        <v>495</v>
      </c>
      <c r="S1685" s="35" t="str">
        <f>MID(Tabla1[[#This Row],[Aplicación]],6,2)</f>
        <v>02</v>
      </c>
      <c r="T1685" s="35" t="str">
        <f>VLOOKUP(Tabla1[[#This Row],[AREA]],Hoja1!A:B,2,FALSE)</f>
        <v>02. Planeamiento urbanístico y vivienda</v>
      </c>
      <c r="U1685" s="35" t="str">
        <f>MID(Tabla1[[#This Row],[Aplicación]],9,4)</f>
        <v>9332</v>
      </c>
      <c r="V1685" s="35" t="str">
        <f>VLOOKUP(Tabla1[[#This Row],[PROGRAMA]],Hoja1!A:B,2,FALSE)</f>
        <v>9332. Mantenimiento de edificios e instalaciones municipales</v>
      </c>
      <c r="W1685" s="35" t="str">
        <f>MID(Tabla1[[#This Row],[Aplicación]],14,2)</f>
        <v>21</v>
      </c>
      <c r="X1685" s="35" t="str">
        <f>MID(Tabla1[[#This Row],[Aplicación]],14,6)</f>
        <v>213</v>
      </c>
    </row>
    <row r="1686" spans="1:24" x14ac:dyDescent="0.25">
      <c r="A1686" s="45">
        <v>220200043317</v>
      </c>
      <c r="B1686" s="46" t="s">
        <v>9</v>
      </c>
      <c r="C1686" s="47">
        <v>44284</v>
      </c>
      <c r="D1686" s="45">
        <v>22019008560</v>
      </c>
      <c r="E1686" s="46" t="s">
        <v>1487</v>
      </c>
      <c r="F1686" s="48">
        <v>5885.84</v>
      </c>
      <c r="G1686" s="46" t="s">
        <v>2030</v>
      </c>
      <c r="H1686" s="46" t="s">
        <v>2963</v>
      </c>
      <c r="I1686" s="45" t="s">
        <v>125</v>
      </c>
      <c r="J1686" s="46" t="s">
        <v>749</v>
      </c>
      <c r="K1686" s="46" t="s">
        <v>127</v>
      </c>
      <c r="L1686" s="46" t="s">
        <v>31</v>
      </c>
      <c r="M1686" s="46" t="s">
        <v>13</v>
      </c>
      <c r="N1686" s="46" t="s">
        <v>14</v>
      </c>
      <c r="O1686" s="49" t="s">
        <v>803</v>
      </c>
      <c r="P1686" s="46" t="s">
        <v>507</v>
      </c>
      <c r="Q1686" s="35" t="str">
        <f>MID(Tabla1[[#This Row],[Aplicación]],14,1)</f>
        <v>6</v>
      </c>
      <c r="R1686" s="35" t="s">
        <v>496</v>
      </c>
      <c r="S1686" s="35" t="str">
        <f>MID(Tabla1[[#This Row],[Aplicación]],6,2)</f>
        <v>08</v>
      </c>
      <c r="T1686" s="35" t="str">
        <f>VLOOKUP(Tabla1[[#This Row],[AREA]],Hoja1!A:B,2,FALSE)</f>
        <v>08. Movilidad y espacio urbano</v>
      </c>
      <c r="U1686" s="35" t="str">
        <f>MID(Tabla1[[#This Row],[Aplicación]],9,4)</f>
        <v>1532</v>
      </c>
      <c r="V1686" s="35" t="str">
        <f>VLOOKUP(Tabla1[[#This Row],[PROGRAMA]],Hoja1!A:B,2,FALSE)</f>
        <v>1532. Pavimentación vias públicas y otros servicios urbanísticos</v>
      </c>
      <c r="W1686" s="35" t="str">
        <f>MID(Tabla1[[#This Row],[Aplicación]],14,2)</f>
        <v>61</v>
      </c>
      <c r="X1686" s="35" t="str">
        <f>MID(Tabla1[[#This Row],[Aplicación]],14,6)</f>
        <v>619</v>
      </c>
    </row>
    <row r="1687" spans="1:24" x14ac:dyDescent="0.25">
      <c r="A1687" s="45">
        <v>220210000488</v>
      </c>
      <c r="B1687" s="46" t="s">
        <v>9</v>
      </c>
      <c r="C1687" s="47">
        <v>44221</v>
      </c>
      <c r="D1687" s="45">
        <v>22021001234</v>
      </c>
      <c r="E1687" s="46" t="s">
        <v>840</v>
      </c>
      <c r="F1687" s="48">
        <v>5900</v>
      </c>
      <c r="G1687" s="46" t="s">
        <v>537</v>
      </c>
      <c r="H1687" s="46" t="s">
        <v>750</v>
      </c>
      <c r="I1687" s="45" t="s">
        <v>125</v>
      </c>
      <c r="J1687" s="46" t="s">
        <v>127</v>
      </c>
      <c r="K1687" s="46" t="s">
        <v>127</v>
      </c>
      <c r="L1687" s="46" t="s">
        <v>15</v>
      </c>
      <c r="M1687" s="46" t="s">
        <v>10</v>
      </c>
      <c r="N1687" s="46" t="s">
        <v>11</v>
      </c>
      <c r="O1687" s="49" t="s">
        <v>815</v>
      </c>
      <c r="P1687" s="46" t="s">
        <v>507</v>
      </c>
      <c r="Q1687" s="35" t="str">
        <f>MID(Tabla1[[#This Row],[Aplicación]],14,1)</f>
        <v>2</v>
      </c>
      <c r="R1687" s="35" t="s">
        <v>495</v>
      </c>
      <c r="S1687" s="35" t="str">
        <f>MID(Tabla1[[#This Row],[Aplicación]],6,2)</f>
        <v>07</v>
      </c>
      <c r="T1687" s="35" t="str">
        <f>VLOOKUP(Tabla1[[#This Row],[AREA]],Hoja1!A:B,2,FALSE)</f>
        <v>07. Medio ambiente y desarrollo sostenible</v>
      </c>
      <c r="U1687" s="35" t="str">
        <f>MID(Tabla1[[#This Row],[Aplicación]],9,4)</f>
        <v>1711</v>
      </c>
      <c r="V1687" s="35" t="str">
        <f>VLOOKUP(Tabla1[[#This Row],[PROGRAMA]],Hoja1!A:B,2,FALSE)</f>
        <v>1711. Parques y jardines</v>
      </c>
      <c r="W1687" s="35" t="str">
        <f>MID(Tabla1[[#This Row],[Aplicación]],14,2)</f>
        <v>22</v>
      </c>
      <c r="X1687" s="35" t="str">
        <f>MID(Tabla1[[#This Row],[Aplicación]],14,6)</f>
        <v>22799</v>
      </c>
    </row>
    <row r="1688" spans="1:24" x14ac:dyDescent="0.25">
      <c r="A1688" s="45">
        <v>220210002403</v>
      </c>
      <c r="B1688" s="46" t="s">
        <v>9</v>
      </c>
      <c r="C1688" s="47">
        <v>44235</v>
      </c>
      <c r="D1688" s="45">
        <v>22021002184</v>
      </c>
      <c r="E1688" s="46" t="s">
        <v>1267</v>
      </c>
      <c r="F1688" s="48">
        <v>5962.5</v>
      </c>
      <c r="G1688" s="46" t="s">
        <v>251</v>
      </c>
      <c r="H1688" s="46" t="s">
        <v>2964</v>
      </c>
      <c r="I1688" s="45" t="s">
        <v>125</v>
      </c>
      <c r="J1688" s="46" t="s">
        <v>127</v>
      </c>
      <c r="K1688" s="46" t="s">
        <v>127</v>
      </c>
      <c r="L1688" s="46" t="s">
        <v>15</v>
      </c>
      <c r="M1688" s="46" t="s">
        <v>10</v>
      </c>
      <c r="N1688" s="46" t="s">
        <v>11</v>
      </c>
      <c r="O1688" s="49" t="s">
        <v>815</v>
      </c>
      <c r="P1688" s="46" t="s">
        <v>507</v>
      </c>
      <c r="Q1688" s="35" t="str">
        <f>MID(Tabla1[[#This Row],[Aplicación]],14,1)</f>
        <v>2</v>
      </c>
      <c r="R1688" s="35" t="s">
        <v>495</v>
      </c>
      <c r="S1688" s="35" t="str">
        <f>MID(Tabla1[[#This Row],[Aplicación]],6,2)</f>
        <v>03</v>
      </c>
      <c r="T1688" s="35" t="str">
        <f>VLOOKUP(Tabla1[[#This Row],[AREA]],Hoja1!A:B,2,FALSE)</f>
        <v>03. Participación ciudadana y deportes</v>
      </c>
      <c r="U1688" s="35" t="str">
        <f>MID(Tabla1[[#This Row],[Aplicación]],9,4)</f>
        <v>9241</v>
      </c>
      <c r="V1688" s="35" t="str">
        <f>VLOOKUP(Tabla1[[#This Row],[PROGRAMA]],Hoja1!A:B,2,FALSE)</f>
        <v>9241. Participación ciudadana</v>
      </c>
      <c r="W1688" s="35" t="str">
        <f>MID(Tabla1[[#This Row],[Aplicación]],14,2)</f>
        <v>22</v>
      </c>
      <c r="X1688" s="35" t="str">
        <f>MID(Tabla1[[#This Row],[Aplicación]],14,6)</f>
        <v>22602</v>
      </c>
    </row>
    <row r="1689" spans="1:24" x14ac:dyDescent="0.25">
      <c r="A1689" s="45">
        <v>220200073892</v>
      </c>
      <c r="B1689" s="46" t="s">
        <v>9</v>
      </c>
      <c r="C1689" s="47">
        <v>44284</v>
      </c>
      <c r="D1689" s="45">
        <v>22019007657</v>
      </c>
      <c r="E1689" s="46" t="s">
        <v>1936</v>
      </c>
      <c r="F1689" s="48">
        <v>1284.1099999999999</v>
      </c>
      <c r="G1689" s="46" t="s">
        <v>121</v>
      </c>
      <c r="H1689" s="46" t="s">
        <v>2965</v>
      </c>
      <c r="I1689" s="45" t="s">
        <v>125</v>
      </c>
      <c r="J1689" s="46" t="s">
        <v>664</v>
      </c>
      <c r="K1689" s="46" t="s">
        <v>127</v>
      </c>
      <c r="L1689" s="46" t="s">
        <v>12</v>
      </c>
      <c r="M1689" s="46" t="s">
        <v>13</v>
      </c>
      <c r="N1689" s="46" t="s">
        <v>16</v>
      </c>
      <c r="O1689" s="49" t="s">
        <v>803</v>
      </c>
      <c r="P1689" s="46" t="s">
        <v>507</v>
      </c>
      <c r="Q1689" s="35" t="str">
        <f>MID(Tabla1[[#This Row],[Aplicación]],14,1)</f>
        <v>6</v>
      </c>
      <c r="R1689" s="35" t="s">
        <v>496</v>
      </c>
      <c r="S1689" s="35" t="str">
        <f>MID(Tabla1[[#This Row],[Aplicación]],6,2)</f>
        <v>11</v>
      </c>
      <c r="T1689" s="35" t="str">
        <f>VLOOKUP(Tabla1[[#This Row],[AREA]],Hoja1!A:B,2,FALSE)</f>
        <v>11. Salud pública y seguridad ciudadana</v>
      </c>
      <c r="U1689" s="35" t="str">
        <f>MID(Tabla1[[#This Row],[Aplicación]],9,4)</f>
        <v>1361</v>
      </c>
      <c r="V1689" s="35" t="str">
        <f>VLOOKUP(Tabla1[[#This Row],[PROGRAMA]],Hoja1!A:B,2,FALSE)</f>
        <v>1361. Prevención y extinción de incencios</v>
      </c>
      <c r="W1689" s="35" t="str">
        <f>MID(Tabla1[[#This Row],[Aplicación]],14,2)</f>
        <v>63</v>
      </c>
      <c r="X1689" s="35" t="str">
        <f>MID(Tabla1[[#This Row],[Aplicación]],14,6)</f>
        <v>632</v>
      </c>
    </row>
    <row r="1690" spans="1:24" x14ac:dyDescent="0.25">
      <c r="A1690" s="45">
        <v>220209000372</v>
      </c>
      <c r="B1690" s="46" t="s">
        <v>9</v>
      </c>
      <c r="C1690" s="47">
        <v>44198</v>
      </c>
      <c r="D1690" s="45">
        <v>22021000275</v>
      </c>
      <c r="E1690" s="46" t="s">
        <v>980</v>
      </c>
      <c r="F1690" s="48">
        <v>4583.33</v>
      </c>
      <c r="G1690" s="46" t="s">
        <v>59</v>
      </c>
      <c r="H1690" s="46" t="s">
        <v>2966</v>
      </c>
      <c r="I1690" s="45" t="s">
        <v>125</v>
      </c>
      <c r="J1690" s="46" t="s">
        <v>127</v>
      </c>
      <c r="K1690" s="46" t="s">
        <v>127</v>
      </c>
      <c r="L1690" s="46" t="s">
        <v>12</v>
      </c>
      <c r="M1690" s="46" t="s">
        <v>13</v>
      </c>
      <c r="N1690" s="46" t="s">
        <v>14</v>
      </c>
      <c r="O1690" s="49" t="s">
        <v>803</v>
      </c>
      <c r="P1690" s="46" t="s">
        <v>507</v>
      </c>
      <c r="Q1690" s="35" t="str">
        <f>MID(Tabla1[[#This Row],[Aplicación]],14,1)</f>
        <v>2</v>
      </c>
      <c r="R1690" s="35" t="s">
        <v>495</v>
      </c>
      <c r="S1690" s="35" t="str">
        <f>MID(Tabla1[[#This Row],[Aplicación]],6,2)</f>
        <v>11</v>
      </c>
      <c r="T1690" s="35" t="str">
        <f>VLOOKUP(Tabla1[[#This Row],[AREA]],Hoja1!A:B,2,FALSE)</f>
        <v>11. Salud pública y seguridad ciudadana</v>
      </c>
      <c r="U1690" s="35" t="str">
        <f>MID(Tabla1[[#This Row],[Aplicación]],9,4)</f>
        <v>1361</v>
      </c>
      <c r="V1690" s="35" t="str">
        <f>VLOOKUP(Tabla1[[#This Row],[PROGRAMA]],Hoja1!A:B,2,FALSE)</f>
        <v>1361. Prevención y extinción de incencios</v>
      </c>
      <c r="W1690" s="35" t="str">
        <f>MID(Tabla1[[#This Row],[Aplicación]],14,2)</f>
        <v>21</v>
      </c>
      <c r="X1690" s="35" t="str">
        <f>MID(Tabla1[[#This Row],[Aplicación]],14,6)</f>
        <v>213</v>
      </c>
    </row>
    <row r="1691" spans="1:24" x14ac:dyDescent="0.25">
      <c r="A1691" s="45">
        <v>220210001350</v>
      </c>
      <c r="B1691" s="46" t="s">
        <v>9</v>
      </c>
      <c r="C1691" s="47">
        <v>44228</v>
      </c>
      <c r="D1691" s="45">
        <v>22021000780</v>
      </c>
      <c r="E1691" s="46" t="s">
        <v>890</v>
      </c>
      <c r="F1691" s="48">
        <v>6000</v>
      </c>
      <c r="G1691" s="46" t="s">
        <v>114</v>
      </c>
      <c r="H1691" s="46" t="s">
        <v>2967</v>
      </c>
      <c r="I1691" s="45" t="s">
        <v>125</v>
      </c>
      <c r="J1691" s="46" t="s">
        <v>649</v>
      </c>
      <c r="K1691" s="46" t="s">
        <v>219</v>
      </c>
      <c r="L1691" s="46" t="s">
        <v>15</v>
      </c>
      <c r="M1691" s="46" t="s">
        <v>10</v>
      </c>
      <c r="N1691" s="46" t="s">
        <v>11</v>
      </c>
      <c r="O1691" s="49" t="s">
        <v>815</v>
      </c>
      <c r="P1691" s="46" t="s">
        <v>507</v>
      </c>
      <c r="Q1691" s="35" t="str">
        <f>MID(Tabla1[[#This Row],[Aplicación]],14,1)</f>
        <v>2</v>
      </c>
      <c r="R1691" s="35" t="s">
        <v>495</v>
      </c>
      <c r="S1691" s="35" t="str">
        <f>MID(Tabla1[[#This Row],[Aplicación]],6,2)</f>
        <v>11</v>
      </c>
      <c r="T1691" s="35" t="str">
        <f>VLOOKUP(Tabla1[[#This Row],[AREA]],Hoja1!A:B,2,FALSE)</f>
        <v>11. Salud pública y seguridad ciudadana</v>
      </c>
      <c r="U1691" s="35" t="str">
        <f>MID(Tabla1[[#This Row],[Aplicación]],9,4)</f>
        <v>1621</v>
      </c>
      <c r="V1691" s="35" t="str">
        <f>VLOOKUP(Tabla1[[#This Row],[PROGRAMA]],Hoja1!A:B,2,FALSE)</f>
        <v>1621. Servicio de limpieza</v>
      </c>
      <c r="W1691" s="35" t="str">
        <f>MID(Tabla1[[#This Row],[Aplicación]],14,2)</f>
        <v>21</v>
      </c>
      <c r="X1691" s="35" t="str">
        <f>MID(Tabla1[[#This Row],[Aplicación]],14,6)</f>
        <v>214</v>
      </c>
    </row>
    <row r="1692" spans="1:24" x14ac:dyDescent="0.25">
      <c r="A1692" s="45">
        <v>220210008453</v>
      </c>
      <c r="B1692" s="46" t="s">
        <v>9</v>
      </c>
      <c r="C1692" s="47">
        <v>44266</v>
      </c>
      <c r="D1692" s="45">
        <v>22021003365</v>
      </c>
      <c r="E1692" s="46" t="s">
        <v>1660</v>
      </c>
      <c r="F1692" s="48">
        <v>700</v>
      </c>
      <c r="G1692" s="46" t="s">
        <v>2968</v>
      </c>
      <c r="H1692" s="46" t="s">
        <v>2969</v>
      </c>
      <c r="I1692" s="45" t="s">
        <v>125</v>
      </c>
      <c r="J1692" s="46" t="s">
        <v>157</v>
      </c>
      <c r="K1692" s="46" t="s">
        <v>157</v>
      </c>
      <c r="L1692" s="46" t="s">
        <v>12</v>
      </c>
      <c r="M1692" s="46" t="s">
        <v>10</v>
      </c>
      <c r="N1692" s="46" t="s">
        <v>11</v>
      </c>
      <c r="O1692" s="49" t="s">
        <v>815</v>
      </c>
      <c r="P1692" s="46" t="s">
        <v>507</v>
      </c>
      <c r="Q1692" s="35" t="str">
        <f>MID(Tabla1[[#This Row],[Aplicación]],14,1)</f>
        <v>2</v>
      </c>
      <c r="R1692" s="35" t="s">
        <v>495</v>
      </c>
      <c r="S1692" s="35" t="str">
        <f>MID(Tabla1[[#This Row],[Aplicación]],6,2)</f>
        <v>04</v>
      </c>
      <c r="T1692" s="35" t="str">
        <f>VLOOKUP(Tabla1[[#This Row],[AREA]],Hoja1!A:B,2,FALSE)</f>
        <v>04. Planificación y recursos</v>
      </c>
      <c r="U1692" s="35" t="str">
        <f>MID(Tabla1[[#This Row],[Aplicación]],9,4)</f>
        <v>9202</v>
      </c>
      <c r="V1692" s="35" t="str">
        <f>VLOOKUP(Tabla1[[#This Row],[PROGRAMA]],Hoja1!A:B,2,FALSE)</f>
        <v>9202. Gestión de recursos humanos</v>
      </c>
      <c r="W1692" s="35" t="str">
        <f>MID(Tabla1[[#This Row],[Aplicación]],14,2)</f>
        <v>22</v>
      </c>
      <c r="X1692" s="35" t="str">
        <f>MID(Tabla1[[#This Row],[Aplicación]],14,6)</f>
        <v>22607</v>
      </c>
    </row>
    <row r="1693" spans="1:24" x14ac:dyDescent="0.25">
      <c r="A1693" s="45">
        <v>220210001357</v>
      </c>
      <c r="B1693" s="46" t="s">
        <v>9</v>
      </c>
      <c r="C1693" s="47">
        <v>44228</v>
      </c>
      <c r="D1693" s="45">
        <v>22021001246</v>
      </c>
      <c r="E1693" s="46" t="s">
        <v>1382</v>
      </c>
      <c r="F1693" s="48">
        <v>6000</v>
      </c>
      <c r="G1693" s="46" t="s">
        <v>107</v>
      </c>
      <c r="H1693" s="46" t="s">
        <v>2970</v>
      </c>
      <c r="I1693" s="45" t="s">
        <v>125</v>
      </c>
      <c r="J1693" s="46" t="s">
        <v>126</v>
      </c>
      <c r="K1693" s="46" t="s">
        <v>126</v>
      </c>
      <c r="L1693" s="46" t="s">
        <v>15</v>
      </c>
      <c r="M1693" s="46" t="s">
        <v>10</v>
      </c>
      <c r="N1693" s="46" t="s">
        <v>11</v>
      </c>
      <c r="O1693" s="49" t="s">
        <v>815</v>
      </c>
      <c r="P1693" s="46" t="s">
        <v>507</v>
      </c>
      <c r="Q1693" s="35" t="str">
        <f>MID(Tabla1[[#This Row],[Aplicación]],14,1)</f>
        <v>2</v>
      </c>
      <c r="R1693" s="35" t="s">
        <v>495</v>
      </c>
      <c r="S1693" s="35" t="str">
        <f>MID(Tabla1[[#This Row],[Aplicación]],6,2)</f>
        <v>11</v>
      </c>
      <c r="T1693" s="35" t="str">
        <f>VLOOKUP(Tabla1[[#This Row],[AREA]],Hoja1!A:B,2,FALSE)</f>
        <v>11. Salud pública y seguridad ciudadana</v>
      </c>
      <c r="U1693" s="35" t="str">
        <f>MID(Tabla1[[#This Row],[Aplicación]],9,4)</f>
        <v>1631</v>
      </c>
      <c r="V1693" s="35" t="str">
        <f>VLOOKUP(Tabla1[[#This Row],[PROGRAMA]],Hoja1!A:B,2,FALSE)</f>
        <v>1631. Limpieza viaria</v>
      </c>
      <c r="W1693" s="35" t="str">
        <f>MID(Tabla1[[#This Row],[Aplicación]],14,2)</f>
        <v>21</v>
      </c>
      <c r="X1693" s="35" t="str">
        <f>MID(Tabla1[[#This Row],[Aplicación]],14,6)</f>
        <v>214</v>
      </c>
    </row>
    <row r="1694" spans="1:24" x14ac:dyDescent="0.25">
      <c r="A1694" s="45">
        <v>220210012899</v>
      </c>
      <c r="B1694" s="46" t="s">
        <v>9</v>
      </c>
      <c r="C1694" s="47">
        <v>44284</v>
      </c>
      <c r="D1694" s="45">
        <v>22021003205</v>
      </c>
      <c r="E1694" s="46" t="s">
        <v>1617</v>
      </c>
      <c r="F1694" s="48">
        <v>14520</v>
      </c>
      <c r="G1694" s="46" t="s">
        <v>65</v>
      </c>
      <c r="H1694" s="46" t="s">
        <v>2971</v>
      </c>
      <c r="I1694" s="45" t="s">
        <v>216</v>
      </c>
      <c r="J1694" s="46" t="s">
        <v>127</v>
      </c>
      <c r="K1694" s="46" t="s">
        <v>127</v>
      </c>
      <c r="L1694" s="46" t="s">
        <v>12</v>
      </c>
      <c r="M1694" s="46" t="s">
        <v>13</v>
      </c>
      <c r="N1694" s="46" t="s">
        <v>14</v>
      </c>
      <c r="O1694" s="49" t="s">
        <v>814</v>
      </c>
      <c r="P1694" s="46" t="s">
        <v>507</v>
      </c>
      <c r="Q1694" s="35" t="str">
        <f>MID(Tabla1[[#This Row],[Aplicación]],14,1)</f>
        <v>2</v>
      </c>
      <c r="R1694" s="35" t="s">
        <v>495</v>
      </c>
      <c r="S1694" s="35" t="str">
        <f>MID(Tabla1[[#This Row],[Aplicación]],6,2)</f>
        <v>05</v>
      </c>
      <c r="T1694" s="35" t="str">
        <f>VLOOKUP(Tabla1[[#This Row],[AREA]],Hoja1!A:B,2,FALSE)</f>
        <v>05. Innovación, desarrollo económico, empleo y comercio</v>
      </c>
      <c r="U1694" s="35" t="str">
        <f>MID(Tabla1[[#This Row],[Aplicación]],9,4)</f>
        <v>4331</v>
      </c>
      <c r="V1694" s="35" t="str">
        <f>VLOOKUP(Tabla1[[#This Row],[PROGRAMA]],Hoja1!A:B,2,FALSE)</f>
        <v>4331. Desarrollo empresarial</v>
      </c>
      <c r="W1694" s="35" t="str">
        <f>MID(Tabla1[[#This Row],[Aplicación]],14,2)</f>
        <v>22</v>
      </c>
      <c r="X1694" s="35" t="str">
        <f>MID(Tabla1[[#This Row],[Aplicación]],14,6)</f>
        <v>22602</v>
      </c>
    </row>
    <row r="1695" spans="1:24" x14ac:dyDescent="0.25">
      <c r="A1695" s="45">
        <v>220209000406</v>
      </c>
      <c r="B1695" s="46" t="s">
        <v>9</v>
      </c>
      <c r="C1695" s="47">
        <v>44198</v>
      </c>
      <c r="D1695" s="45">
        <v>22021000292</v>
      </c>
      <c r="E1695" s="46" t="s">
        <v>980</v>
      </c>
      <c r="F1695" s="48">
        <v>3726.8</v>
      </c>
      <c r="G1695" s="46" t="s">
        <v>59</v>
      </c>
      <c r="H1695" s="46" t="s">
        <v>2972</v>
      </c>
      <c r="I1695" s="45" t="s">
        <v>125</v>
      </c>
      <c r="J1695" s="46" t="s">
        <v>127</v>
      </c>
      <c r="K1695" s="46" t="s">
        <v>127</v>
      </c>
      <c r="L1695" s="46" t="s">
        <v>12</v>
      </c>
      <c r="M1695" s="46" t="s">
        <v>13</v>
      </c>
      <c r="N1695" s="46" t="s">
        <v>14</v>
      </c>
      <c r="O1695" s="49" t="s">
        <v>803</v>
      </c>
      <c r="P1695" s="46" t="s">
        <v>507</v>
      </c>
      <c r="Q1695" s="35" t="str">
        <f>MID(Tabla1[[#This Row],[Aplicación]],14,1)</f>
        <v>2</v>
      </c>
      <c r="R1695" s="35" t="s">
        <v>495</v>
      </c>
      <c r="S1695" s="35" t="str">
        <f>MID(Tabla1[[#This Row],[Aplicación]],6,2)</f>
        <v>11</v>
      </c>
      <c r="T1695" s="35" t="str">
        <f>VLOOKUP(Tabla1[[#This Row],[AREA]],Hoja1!A:B,2,FALSE)</f>
        <v>11. Salud pública y seguridad ciudadana</v>
      </c>
      <c r="U1695" s="35" t="str">
        <f>MID(Tabla1[[#This Row],[Aplicación]],9,4)</f>
        <v>1361</v>
      </c>
      <c r="V1695" s="35" t="str">
        <f>VLOOKUP(Tabla1[[#This Row],[PROGRAMA]],Hoja1!A:B,2,FALSE)</f>
        <v>1361. Prevención y extinción de incencios</v>
      </c>
      <c r="W1695" s="35" t="str">
        <f>MID(Tabla1[[#This Row],[Aplicación]],14,2)</f>
        <v>21</v>
      </c>
      <c r="X1695" s="35" t="str">
        <f>MID(Tabla1[[#This Row],[Aplicación]],14,6)</f>
        <v>213</v>
      </c>
    </row>
    <row r="1696" spans="1:24" x14ac:dyDescent="0.25">
      <c r="A1696" s="45">
        <v>220209000389</v>
      </c>
      <c r="B1696" s="46" t="s">
        <v>9</v>
      </c>
      <c r="C1696" s="47">
        <v>44198</v>
      </c>
      <c r="D1696" s="45">
        <v>22021000281</v>
      </c>
      <c r="E1696" s="46" t="s">
        <v>2973</v>
      </c>
      <c r="F1696" s="48">
        <v>6000</v>
      </c>
      <c r="G1696" s="46" t="s">
        <v>188</v>
      </c>
      <c r="H1696" s="46" t="s">
        <v>2974</v>
      </c>
      <c r="I1696" s="45" t="s">
        <v>125</v>
      </c>
      <c r="J1696" s="46" t="s">
        <v>126</v>
      </c>
      <c r="K1696" s="46" t="s">
        <v>126</v>
      </c>
      <c r="L1696" s="46" t="s">
        <v>15</v>
      </c>
      <c r="M1696" s="46" t="s">
        <v>13</v>
      </c>
      <c r="N1696" s="46" t="s">
        <v>14</v>
      </c>
      <c r="O1696" s="49" t="s">
        <v>803</v>
      </c>
      <c r="P1696" s="46" t="s">
        <v>507</v>
      </c>
      <c r="Q1696" s="35" t="str">
        <f>MID(Tabla1[[#This Row],[Aplicación]],14,1)</f>
        <v>2</v>
      </c>
      <c r="R1696" s="35" t="s">
        <v>495</v>
      </c>
      <c r="S1696" s="35" t="str">
        <f>MID(Tabla1[[#This Row],[Aplicación]],6,2)</f>
        <v>02</v>
      </c>
      <c r="T1696" s="35" t="str">
        <f>VLOOKUP(Tabla1[[#This Row],[AREA]],Hoja1!A:B,2,FALSE)</f>
        <v>02. Planeamiento urbanístico y vivienda</v>
      </c>
      <c r="U1696" s="35" t="str">
        <f>MID(Tabla1[[#This Row],[Aplicación]],9,4)</f>
        <v>9332</v>
      </c>
      <c r="V1696" s="35" t="str">
        <f>VLOOKUP(Tabla1[[#This Row],[PROGRAMA]],Hoja1!A:B,2,FALSE)</f>
        <v>9332. Mantenimiento de edificios e instalaciones municipales</v>
      </c>
      <c r="W1696" s="35" t="str">
        <f>MID(Tabla1[[#This Row],[Aplicación]],14,2)</f>
        <v>22</v>
      </c>
      <c r="X1696" s="35" t="str">
        <f>MID(Tabla1[[#This Row],[Aplicación]],14,6)</f>
        <v>22103</v>
      </c>
    </row>
    <row r="1697" spans="1:24" x14ac:dyDescent="0.25">
      <c r="A1697" s="45">
        <v>220209000394</v>
      </c>
      <c r="B1697" s="46" t="s">
        <v>9</v>
      </c>
      <c r="C1697" s="47">
        <v>44198</v>
      </c>
      <c r="D1697" s="45">
        <v>22021000286</v>
      </c>
      <c r="E1697" s="46" t="s">
        <v>1564</v>
      </c>
      <c r="F1697" s="48">
        <v>6000</v>
      </c>
      <c r="G1697" s="46" t="s">
        <v>188</v>
      </c>
      <c r="H1697" s="46" t="s">
        <v>2975</v>
      </c>
      <c r="I1697" s="45" t="s">
        <v>125</v>
      </c>
      <c r="J1697" s="46" t="s">
        <v>126</v>
      </c>
      <c r="K1697" s="46" t="s">
        <v>126</v>
      </c>
      <c r="L1697" s="46" t="s">
        <v>15</v>
      </c>
      <c r="M1697" s="46" t="s">
        <v>13</v>
      </c>
      <c r="N1697" s="46" t="s">
        <v>14</v>
      </c>
      <c r="O1697" s="49" t="s">
        <v>803</v>
      </c>
      <c r="P1697" s="46" t="s">
        <v>507</v>
      </c>
      <c r="Q1697" s="35" t="str">
        <f>MID(Tabla1[[#This Row],[Aplicación]],14,1)</f>
        <v>2</v>
      </c>
      <c r="R1697" s="35" t="s">
        <v>495</v>
      </c>
      <c r="S1697" s="35" t="str">
        <f>MID(Tabla1[[#This Row],[Aplicación]],6,2)</f>
        <v>08</v>
      </c>
      <c r="T1697" s="35" t="str">
        <f>VLOOKUP(Tabla1[[#This Row],[AREA]],Hoja1!A:B,2,FALSE)</f>
        <v>08. Movilidad y espacio urbano</v>
      </c>
      <c r="U1697" s="35" t="str">
        <f>MID(Tabla1[[#This Row],[Aplicación]],9,4)</f>
        <v>1532</v>
      </c>
      <c r="V1697" s="35" t="str">
        <f>VLOOKUP(Tabla1[[#This Row],[PROGRAMA]],Hoja1!A:B,2,FALSE)</f>
        <v>1532. Pavimentación vias públicas y otros servicios urbanísticos</v>
      </c>
      <c r="W1697" s="35" t="str">
        <f>MID(Tabla1[[#This Row],[Aplicación]],14,2)</f>
        <v>22</v>
      </c>
      <c r="X1697" s="35" t="str">
        <f>MID(Tabla1[[#This Row],[Aplicación]],14,6)</f>
        <v>22103</v>
      </c>
    </row>
    <row r="1698" spans="1:24" x14ac:dyDescent="0.25">
      <c r="A1698" s="45">
        <v>220210008477</v>
      </c>
      <c r="B1698" s="46" t="s">
        <v>204</v>
      </c>
      <c r="C1698" s="47">
        <v>44266</v>
      </c>
      <c r="D1698" s="45">
        <v>22021002088</v>
      </c>
      <c r="E1698" s="46" t="s">
        <v>1478</v>
      </c>
      <c r="F1698" s="48">
        <v>816.2</v>
      </c>
      <c r="G1698" s="46" t="s">
        <v>746</v>
      </c>
      <c r="H1698" s="46" t="s">
        <v>2976</v>
      </c>
      <c r="I1698" s="45" t="s">
        <v>205</v>
      </c>
      <c r="J1698" s="46" t="s">
        <v>747</v>
      </c>
      <c r="K1698" s="46" t="s">
        <v>127</v>
      </c>
      <c r="L1698" s="46" t="s">
        <v>15</v>
      </c>
      <c r="M1698" s="46" t="s">
        <v>13</v>
      </c>
      <c r="N1698" s="46" t="s">
        <v>16</v>
      </c>
      <c r="O1698" s="49" t="s">
        <v>814</v>
      </c>
      <c r="P1698" s="46" t="s">
        <v>507</v>
      </c>
      <c r="Q1698" s="35" t="str">
        <f>MID(Tabla1[[#This Row],[Aplicación]],14,1)</f>
        <v>2</v>
      </c>
      <c r="R1698" s="35" t="s">
        <v>495</v>
      </c>
      <c r="S1698" s="35" t="str">
        <f>MID(Tabla1[[#This Row],[Aplicación]],6,2)</f>
        <v>03</v>
      </c>
      <c r="T1698" s="35" t="str">
        <f>VLOOKUP(Tabla1[[#This Row],[AREA]],Hoja1!A:B,2,FALSE)</f>
        <v>03. Participación ciudadana y deportes</v>
      </c>
      <c r="U1698" s="35" t="str">
        <f>MID(Tabla1[[#This Row],[Aplicación]],9,4)</f>
        <v>9241</v>
      </c>
      <c r="V1698" s="35" t="str">
        <f>VLOOKUP(Tabla1[[#This Row],[PROGRAMA]],Hoja1!A:B,2,FALSE)</f>
        <v>9241. Participación ciudadana</v>
      </c>
      <c r="W1698" s="35" t="str">
        <f>MID(Tabla1[[#This Row],[Aplicación]],14,2)</f>
        <v>21</v>
      </c>
      <c r="X1698" s="35" t="str">
        <f>MID(Tabla1[[#This Row],[Aplicación]],14,6)</f>
        <v>212</v>
      </c>
    </row>
    <row r="1699" spans="1:24" x14ac:dyDescent="0.25">
      <c r="A1699" s="45">
        <v>220210007241</v>
      </c>
      <c r="B1699" s="46" t="s">
        <v>204</v>
      </c>
      <c r="C1699" s="47">
        <v>44264</v>
      </c>
      <c r="D1699" s="45">
        <v>22021002059</v>
      </c>
      <c r="E1699" s="46" t="s">
        <v>1183</v>
      </c>
      <c r="F1699" s="48">
        <v>25.11</v>
      </c>
      <c r="G1699" s="46" t="s">
        <v>235</v>
      </c>
      <c r="H1699" s="46" t="s">
        <v>2977</v>
      </c>
      <c r="I1699" s="45" t="s">
        <v>205</v>
      </c>
      <c r="J1699" s="46" t="s">
        <v>742</v>
      </c>
      <c r="K1699" s="46" t="s">
        <v>165</v>
      </c>
      <c r="L1699" s="46" t="s">
        <v>15</v>
      </c>
      <c r="M1699" s="46" t="s">
        <v>13</v>
      </c>
      <c r="N1699" s="46" t="s">
        <v>14</v>
      </c>
      <c r="O1699" s="49" t="s">
        <v>814</v>
      </c>
      <c r="P1699" s="46" t="s">
        <v>507</v>
      </c>
      <c r="Q1699" s="35" t="str">
        <f>MID(Tabla1[[#This Row],[Aplicación]],14,1)</f>
        <v>2</v>
      </c>
      <c r="R1699" s="35" t="s">
        <v>495</v>
      </c>
      <c r="S1699" s="35" t="str">
        <f>MID(Tabla1[[#This Row],[Aplicación]],6,2)</f>
        <v>11</v>
      </c>
      <c r="T1699" s="35" t="str">
        <f>VLOOKUP(Tabla1[[#This Row],[AREA]],Hoja1!A:B,2,FALSE)</f>
        <v>11. Salud pública y seguridad ciudadana</v>
      </c>
      <c r="U1699" s="35" t="str">
        <f>MID(Tabla1[[#This Row],[Aplicación]],9,4)</f>
        <v>1361</v>
      </c>
      <c r="V1699" s="35" t="str">
        <f>VLOOKUP(Tabla1[[#This Row],[PROGRAMA]],Hoja1!A:B,2,FALSE)</f>
        <v>1361. Prevención y extinción de incencios</v>
      </c>
      <c r="W1699" s="35" t="str">
        <f>MID(Tabla1[[#This Row],[Aplicación]],14,2)</f>
        <v>22</v>
      </c>
      <c r="X1699" s="35" t="str">
        <f>MID(Tabla1[[#This Row],[Aplicación]],14,6)</f>
        <v>22199</v>
      </c>
    </row>
    <row r="1700" spans="1:24" x14ac:dyDescent="0.25">
      <c r="A1700" s="45">
        <v>220210008482</v>
      </c>
      <c r="B1700" s="46" t="s">
        <v>204</v>
      </c>
      <c r="C1700" s="47">
        <v>44266</v>
      </c>
      <c r="D1700" s="45">
        <v>22021002228</v>
      </c>
      <c r="E1700" s="46" t="s">
        <v>1471</v>
      </c>
      <c r="F1700" s="48">
        <v>27.14</v>
      </c>
      <c r="G1700" s="46" t="s">
        <v>257</v>
      </c>
      <c r="H1700" s="46" t="s">
        <v>2978</v>
      </c>
      <c r="I1700" s="45" t="s">
        <v>205</v>
      </c>
      <c r="J1700" s="46" t="s">
        <v>127</v>
      </c>
      <c r="K1700" s="46" t="s">
        <v>127</v>
      </c>
      <c r="L1700" s="46" t="s">
        <v>15</v>
      </c>
      <c r="M1700" s="46" t="s">
        <v>13</v>
      </c>
      <c r="N1700" s="46" t="s">
        <v>14</v>
      </c>
      <c r="O1700" s="49" t="s">
        <v>814</v>
      </c>
      <c r="P1700" s="46" t="s">
        <v>507</v>
      </c>
      <c r="Q1700" s="35" t="str">
        <f>MID(Tabla1[[#This Row],[Aplicación]],14,1)</f>
        <v>2</v>
      </c>
      <c r="R1700" s="35" t="s">
        <v>495</v>
      </c>
      <c r="S1700" s="35" t="str">
        <f>MID(Tabla1[[#This Row],[Aplicación]],6,2)</f>
        <v>06</v>
      </c>
      <c r="T1700" s="35" t="str">
        <f>VLOOKUP(Tabla1[[#This Row],[AREA]],Hoja1!A:B,2,FALSE)</f>
        <v>06. Educación, infancia, juventud e igualdad</v>
      </c>
      <c r="U1700" s="35" t="str">
        <f>MID(Tabla1[[#This Row],[Aplicación]],9,4)</f>
        <v>3232</v>
      </c>
      <c r="V1700" s="35" t="str">
        <f>VLOOKUP(Tabla1[[#This Row],[PROGRAMA]],Hoja1!A:B,2,FALSE)</f>
        <v>3232. Conservación y mantenimiento centros educación infantil y primaria</v>
      </c>
      <c r="W1700" s="35" t="str">
        <f>MID(Tabla1[[#This Row],[Aplicación]],14,2)</f>
        <v>21</v>
      </c>
      <c r="X1700" s="35" t="str">
        <f>MID(Tabla1[[#This Row],[Aplicación]],14,6)</f>
        <v>212</v>
      </c>
    </row>
    <row r="1701" spans="1:24" x14ac:dyDescent="0.25">
      <c r="A1701" s="45">
        <v>220209000407</v>
      </c>
      <c r="B1701" s="46" t="s">
        <v>9</v>
      </c>
      <c r="C1701" s="47">
        <v>44198</v>
      </c>
      <c r="D1701" s="45">
        <v>22021000293</v>
      </c>
      <c r="E1701" s="46" t="s">
        <v>980</v>
      </c>
      <c r="F1701" s="48">
        <v>4583.33</v>
      </c>
      <c r="G1701" s="46" t="s">
        <v>59</v>
      </c>
      <c r="H1701" s="46" t="s">
        <v>2979</v>
      </c>
      <c r="I1701" s="45" t="s">
        <v>125</v>
      </c>
      <c r="J1701" s="46" t="s">
        <v>127</v>
      </c>
      <c r="K1701" s="46" t="s">
        <v>127</v>
      </c>
      <c r="L1701" s="46" t="s">
        <v>12</v>
      </c>
      <c r="M1701" s="46" t="s">
        <v>13</v>
      </c>
      <c r="N1701" s="46" t="s">
        <v>14</v>
      </c>
      <c r="O1701" s="49" t="s">
        <v>803</v>
      </c>
      <c r="P1701" s="46" t="s">
        <v>507</v>
      </c>
      <c r="Q1701" s="35" t="str">
        <f>MID(Tabla1[[#This Row],[Aplicación]],14,1)</f>
        <v>2</v>
      </c>
      <c r="R1701" s="35" t="s">
        <v>495</v>
      </c>
      <c r="S1701" s="35" t="str">
        <f>MID(Tabla1[[#This Row],[Aplicación]],6,2)</f>
        <v>11</v>
      </c>
      <c r="T1701" s="35" t="str">
        <f>VLOOKUP(Tabla1[[#This Row],[AREA]],Hoja1!A:B,2,FALSE)</f>
        <v>11. Salud pública y seguridad ciudadana</v>
      </c>
      <c r="U1701" s="35" t="str">
        <f>MID(Tabla1[[#This Row],[Aplicación]],9,4)</f>
        <v>1361</v>
      </c>
      <c r="V1701" s="35" t="str">
        <f>VLOOKUP(Tabla1[[#This Row],[PROGRAMA]],Hoja1!A:B,2,FALSE)</f>
        <v>1361. Prevención y extinción de incencios</v>
      </c>
      <c r="W1701" s="35" t="str">
        <f>MID(Tabla1[[#This Row],[Aplicación]],14,2)</f>
        <v>21</v>
      </c>
      <c r="X1701" s="35" t="str">
        <f>MID(Tabla1[[#This Row],[Aplicación]],14,6)</f>
        <v>213</v>
      </c>
    </row>
    <row r="1702" spans="1:24" x14ac:dyDescent="0.25">
      <c r="A1702" s="45">
        <v>220210007297</v>
      </c>
      <c r="B1702" s="46" t="s">
        <v>204</v>
      </c>
      <c r="C1702" s="47">
        <v>44264</v>
      </c>
      <c r="D1702" s="45">
        <v>22021002133</v>
      </c>
      <c r="E1702" s="46" t="s">
        <v>1326</v>
      </c>
      <c r="F1702" s="48">
        <v>413.46</v>
      </c>
      <c r="G1702" s="46" t="s">
        <v>102</v>
      </c>
      <c r="H1702" s="46" t="s">
        <v>2980</v>
      </c>
      <c r="I1702" s="45" t="s">
        <v>205</v>
      </c>
      <c r="J1702" s="46" t="s">
        <v>127</v>
      </c>
      <c r="K1702" s="46" t="s">
        <v>127</v>
      </c>
      <c r="L1702" s="46" t="s">
        <v>15</v>
      </c>
      <c r="M1702" s="46" t="s">
        <v>13</v>
      </c>
      <c r="N1702" s="46" t="s">
        <v>14</v>
      </c>
      <c r="O1702" s="49" t="s">
        <v>814</v>
      </c>
      <c r="P1702" s="46" t="s">
        <v>507</v>
      </c>
      <c r="Q1702" s="35" t="str">
        <f>MID(Tabla1[[#This Row],[Aplicación]],14,1)</f>
        <v>2</v>
      </c>
      <c r="R1702" s="35" t="s">
        <v>495</v>
      </c>
      <c r="S1702" s="35" t="str">
        <f>MID(Tabla1[[#This Row],[Aplicación]],6,2)</f>
        <v>08</v>
      </c>
      <c r="T1702" s="35" t="str">
        <f>VLOOKUP(Tabla1[[#This Row],[AREA]],Hoja1!A:B,2,FALSE)</f>
        <v>08. Movilidad y espacio urbano</v>
      </c>
      <c r="U1702" s="35" t="str">
        <f>MID(Tabla1[[#This Row],[Aplicación]],9,4)</f>
        <v>1651</v>
      </c>
      <c r="V1702" s="35" t="str">
        <f>VLOOKUP(Tabla1[[#This Row],[PROGRAMA]],Hoja1!A:B,2,FALSE)</f>
        <v>1651. Alumbrado público</v>
      </c>
      <c r="W1702" s="35" t="str">
        <f>MID(Tabla1[[#This Row],[Aplicación]],14,2)</f>
        <v>22</v>
      </c>
      <c r="X1702" s="35" t="str">
        <f>MID(Tabla1[[#This Row],[Aplicación]],14,6)</f>
        <v>22199</v>
      </c>
    </row>
    <row r="1703" spans="1:24" x14ac:dyDescent="0.25">
      <c r="A1703" s="45">
        <v>220210007347</v>
      </c>
      <c r="B1703" s="46" t="s">
        <v>204</v>
      </c>
      <c r="C1703" s="47">
        <v>44264</v>
      </c>
      <c r="D1703" s="45">
        <v>22021001966</v>
      </c>
      <c r="E1703" s="46" t="s">
        <v>950</v>
      </c>
      <c r="F1703" s="48">
        <v>74.900000000000006</v>
      </c>
      <c r="G1703" s="46" t="s">
        <v>102</v>
      </c>
      <c r="H1703" s="46" t="s">
        <v>2981</v>
      </c>
      <c r="I1703" s="45" t="s">
        <v>205</v>
      </c>
      <c r="J1703" s="46" t="s">
        <v>127</v>
      </c>
      <c r="K1703" s="46" t="s">
        <v>127</v>
      </c>
      <c r="L1703" s="46" t="s">
        <v>15</v>
      </c>
      <c r="M1703" s="46" t="s">
        <v>13</v>
      </c>
      <c r="N1703" s="46" t="s">
        <v>14</v>
      </c>
      <c r="O1703" s="49" t="s">
        <v>814</v>
      </c>
      <c r="P1703" s="46" t="s">
        <v>507</v>
      </c>
      <c r="Q1703" s="35" t="str">
        <f>MID(Tabla1[[#This Row],[Aplicación]],14,1)</f>
        <v>2</v>
      </c>
      <c r="R1703" s="35" t="s">
        <v>495</v>
      </c>
      <c r="S1703" s="35" t="str">
        <f>MID(Tabla1[[#This Row],[Aplicación]],6,2)</f>
        <v>11</v>
      </c>
      <c r="T1703" s="35" t="str">
        <f>VLOOKUP(Tabla1[[#This Row],[AREA]],Hoja1!A:B,2,FALSE)</f>
        <v>11. Salud pública y seguridad ciudadana</v>
      </c>
      <c r="U1703" s="35" t="str">
        <f>MID(Tabla1[[#This Row],[Aplicación]],9,4)</f>
        <v>1321</v>
      </c>
      <c r="V1703" s="35" t="str">
        <f>VLOOKUP(Tabla1[[#This Row],[PROGRAMA]],Hoja1!A:B,2,FALSE)</f>
        <v>1321. Policía municipal</v>
      </c>
      <c r="W1703" s="35" t="str">
        <f>MID(Tabla1[[#This Row],[Aplicación]],14,2)</f>
        <v>21</v>
      </c>
      <c r="X1703" s="35" t="str">
        <f>MID(Tabla1[[#This Row],[Aplicación]],14,6)</f>
        <v>213</v>
      </c>
    </row>
    <row r="1704" spans="1:24" x14ac:dyDescent="0.25">
      <c r="A1704" s="45">
        <v>220210008489</v>
      </c>
      <c r="B1704" s="46" t="s">
        <v>204</v>
      </c>
      <c r="C1704" s="47">
        <v>44266</v>
      </c>
      <c r="D1704" s="45">
        <v>22021002089</v>
      </c>
      <c r="E1704" s="46" t="s">
        <v>1220</v>
      </c>
      <c r="F1704" s="48">
        <v>9.1</v>
      </c>
      <c r="G1704" s="46" t="s">
        <v>102</v>
      </c>
      <c r="H1704" s="46" t="s">
        <v>2982</v>
      </c>
      <c r="I1704" s="45" t="s">
        <v>205</v>
      </c>
      <c r="J1704" s="46" t="s">
        <v>127</v>
      </c>
      <c r="K1704" s="46" t="s">
        <v>127</v>
      </c>
      <c r="L1704" s="46" t="s">
        <v>15</v>
      </c>
      <c r="M1704" s="46" t="s">
        <v>13</v>
      </c>
      <c r="N1704" s="46" t="s">
        <v>16</v>
      </c>
      <c r="O1704" s="49" t="s">
        <v>814</v>
      </c>
      <c r="P1704" s="46" t="s">
        <v>507</v>
      </c>
      <c r="Q1704" s="35" t="str">
        <f>MID(Tabla1[[#This Row],[Aplicación]],14,1)</f>
        <v>2</v>
      </c>
      <c r="R1704" s="35" t="s">
        <v>495</v>
      </c>
      <c r="S1704" s="35" t="str">
        <f>MID(Tabla1[[#This Row],[Aplicación]],6,2)</f>
        <v>03</v>
      </c>
      <c r="T1704" s="35" t="str">
        <f>VLOOKUP(Tabla1[[#This Row],[AREA]],Hoja1!A:B,2,FALSE)</f>
        <v>03. Participación ciudadana y deportes</v>
      </c>
      <c r="U1704" s="35" t="str">
        <f>MID(Tabla1[[#This Row],[Aplicación]],9,4)</f>
        <v>9241</v>
      </c>
      <c r="V1704" s="35" t="str">
        <f>VLOOKUP(Tabla1[[#This Row],[PROGRAMA]],Hoja1!A:B,2,FALSE)</f>
        <v>9241. Participación ciudadana</v>
      </c>
      <c r="W1704" s="35" t="str">
        <f>MID(Tabla1[[#This Row],[Aplicación]],14,2)</f>
        <v>21</v>
      </c>
      <c r="X1704" s="35" t="str">
        <f>MID(Tabla1[[#This Row],[Aplicación]],14,6)</f>
        <v>213</v>
      </c>
    </row>
    <row r="1705" spans="1:24" x14ac:dyDescent="0.25">
      <c r="A1705" s="45">
        <v>220210008493</v>
      </c>
      <c r="B1705" s="46" t="s">
        <v>204</v>
      </c>
      <c r="C1705" s="47">
        <v>44266</v>
      </c>
      <c r="D1705" s="45">
        <v>22021002089</v>
      </c>
      <c r="E1705" s="46" t="s">
        <v>1220</v>
      </c>
      <c r="F1705" s="48">
        <v>2288.92</v>
      </c>
      <c r="G1705" s="46" t="s">
        <v>102</v>
      </c>
      <c r="H1705" s="46" t="s">
        <v>2983</v>
      </c>
      <c r="I1705" s="45" t="s">
        <v>205</v>
      </c>
      <c r="J1705" s="46" t="s">
        <v>127</v>
      </c>
      <c r="K1705" s="46" t="s">
        <v>127</v>
      </c>
      <c r="L1705" s="46" t="s">
        <v>15</v>
      </c>
      <c r="M1705" s="46" t="s">
        <v>13</v>
      </c>
      <c r="N1705" s="46" t="s">
        <v>16</v>
      </c>
      <c r="O1705" s="49" t="s">
        <v>814</v>
      </c>
      <c r="P1705" s="46" t="s">
        <v>507</v>
      </c>
      <c r="Q1705" s="35" t="str">
        <f>MID(Tabla1[[#This Row],[Aplicación]],14,1)</f>
        <v>2</v>
      </c>
      <c r="R1705" s="35" t="s">
        <v>495</v>
      </c>
      <c r="S1705" s="35" t="str">
        <f>MID(Tabla1[[#This Row],[Aplicación]],6,2)</f>
        <v>03</v>
      </c>
      <c r="T1705" s="35" t="str">
        <f>VLOOKUP(Tabla1[[#This Row],[AREA]],Hoja1!A:B,2,FALSE)</f>
        <v>03. Participación ciudadana y deportes</v>
      </c>
      <c r="U1705" s="35" t="str">
        <f>MID(Tabla1[[#This Row],[Aplicación]],9,4)</f>
        <v>9241</v>
      </c>
      <c r="V1705" s="35" t="str">
        <f>VLOOKUP(Tabla1[[#This Row],[PROGRAMA]],Hoja1!A:B,2,FALSE)</f>
        <v>9241. Participación ciudadana</v>
      </c>
      <c r="W1705" s="35" t="str">
        <f>MID(Tabla1[[#This Row],[Aplicación]],14,2)</f>
        <v>21</v>
      </c>
      <c r="X1705" s="35" t="str">
        <f>MID(Tabla1[[#This Row],[Aplicación]],14,6)</f>
        <v>213</v>
      </c>
    </row>
    <row r="1706" spans="1:24" x14ac:dyDescent="0.25">
      <c r="A1706" s="45">
        <v>220210008505</v>
      </c>
      <c r="B1706" s="46" t="s">
        <v>204</v>
      </c>
      <c r="C1706" s="47">
        <v>44266</v>
      </c>
      <c r="D1706" s="45">
        <v>22021002089</v>
      </c>
      <c r="E1706" s="46" t="s">
        <v>1220</v>
      </c>
      <c r="F1706" s="48">
        <v>53.88</v>
      </c>
      <c r="G1706" s="46" t="s">
        <v>257</v>
      </c>
      <c r="H1706" s="46" t="s">
        <v>2984</v>
      </c>
      <c r="I1706" s="45" t="s">
        <v>205</v>
      </c>
      <c r="J1706" s="46" t="s">
        <v>127</v>
      </c>
      <c r="K1706" s="46" t="s">
        <v>127</v>
      </c>
      <c r="L1706" s="46" t="s">
        <v>15</v>
      </c>
      <c r="M1706" s="46" t="s">
        <v>13</v>
      </c>
      <c r="N1706" s="46" t="s">
        <v>16</v>
      </c>
      <c r="O1706" s="49" t="s">
        <v>814</v>
      </c>
      <c r="P1706" s="46" t="s">
        <v>507</v>
      </c>
      <c r="Q1706" s="35" t="str">
        <f>MID(Tabla1[[#This Row],[Aplicación]],14,1)</f>
        <v>2</v>
      </c>
      <c r="R1706" s="35" t="s">
        <v>495</v>
      </c>
      <c r="S1706" s="35" t="str">
        <f>MID(Tabla1[[#This Row],[Aplicación]],6,2)</f>
        <v>03</v>
      </c>
      <c r="T1706" s="35" t="str">
        <f>VLOOKUP(Tabla1[[#This Row],[AREA]],Hoja1!A:B,2,FALSE)</f>
        <v>03. Participación ciudadana y deportes</v>
      </c>
      <c r="U1706" s="35" t="str">
        <f>MID(Tabla1[[#This Row],[Aplicación]],9,4)</f>
        <v>9241</v>
      </c>
      <c r="V1706" s="35" t="str">
        <f>VLOOKUP(Tabla1[[#This Row],[PROGRAMA]],Hoja1!A:B,2,FALSE)</f>
        <v>9241. Participación ciudadana</v>
      </c>
      <c r="W1706" s="35" t="str">
        <f>MID(Tabla1[[#This Row],[Aplicación]],14,2)</f>
        <v>21</v>
      </c>
      <c r="X1706" s="35" t="str">
        <f>MID(Tabla1[[#This Row],[Aplicación]],14,6)</f>
        <v>213</v>
      </c>
    </row>
    <row r="1707" spans="1:24" x14ac:dyDescent="0.25">
      <c r="A1707" s="45">
        <v>220209000731</v>
      </c>
      <c r="B1707" s="46" t="s">
        <v>9</v>
      </c>
      <c r="C1707" s="47">
        <v>44198</v>
      </c>
      <c r="D1707" s="45">
        <v>22021000465</v>
      </c>
      <c r="E1707" s="46" t="s">
        <v>982</v>
      </c>
      <c r="F1707" s="48">
        <v>2160</v>
      </c>
      <c r="G1707" s="46" t="s">
        <v>59</v>
      </c>
      <c r="H1707" s="46" t="s">
        <v>2985</v>
      </c>
      <c r="I1707" s="45" t="s">
        <v>125</v>
      </c>
      <c r="J1707" s="46" t="s">
        <v>127</v>
      </c>
      <c r="K1707" s="46" t="s">
        <v>127</v>
      </c>
      <c r="L1707" s="46" t="s">
        <v>12</v>
      </c>
      <c r="M1707" s="46" t="s">
        <v>13</v>
      </c>
      <c r="N1707" s="46" t="s">
        <v>14</v>
      </c>
      <c r="O1707" s="49" t="s">
        <v>803</v>
      </c>
      <c r="P1707" s="46" t="s">
        <v>507</v>
      </c>
      <c r="Q1707" s="35" t="str">
        <f>MID(Tabla1[[#This Row],[Aplicación]],14,1)</f>
        <v>2</v>
      </c>
      <c r="R1707" s="35" t="s">
        <v>495</v>
      </c>
      <c r="S1707" s="35" t="str">
        <f>MID(Tabla1[[#This Row],[Aplicación]],6,2)</f>
        <v>10</v>
      </c>
      <c r="T1707" s="35" t="str">
        <f>VLOOKUP(Tabla1[[#This Row],[AREA]],Hoja1!A:B,2,FALSE)</f>
        <v>10. Servicios sociales y mediación comunitaria</v>
      </c>
      <c r="U1707" s="35" t="str">
        <f>MID(Tabla1[[#This Row],[Aplicación]],9,4)</f>
        <v>2312</v>
      </c>
      <c r="V1707" s="35" t="str">
        <f>VLOOKUP(Tabla1[[#This Row],[PROGRAMA]],Hoja1!A:B,2,FALSE)</f>
        <v>2312. Iniciativas sociales</v>
      </c>
      <c r="W1707" s="35" t="str">
        <f>MID(Tabla1[[#This Row],[Aplicación]],14,2)</f>
        <v>21</v>
      </c>
      <c r="X1707" s="35" t="str">
        <f>MID(Tabla1[[#This Row],[Aplicación]],14,6)</f>
        <v>213</v>
      </c>
    </row>
    <row r="1708" spans="1:24" x14ac:dyDescent="0.25">
      <c r="A1708" s="45">
        <v>220210008495</v>
      </c>
      <c r="B1708" s="46" t="s">
        <v>204</v>
      </c>
      <c r="C1708" s="47">
        <v>44266</v>
      </c>
      <c r="D1708" s="45">
        <v>22021002089</v>
      </c>
      <c r="E1708" s="46" t="s">
        <v>1220</v>
      </c>
      <c r="F1708" s="48">
        <v>176.57</v>
      </c>
      <c r="G1708" s="46" t="s">
        <v>102</v>
      </c>
      <c r="H1708" s="46" t="s">
        <v>2986</v>
      </c>
      <c r="I1708" s="45" t="s">
        <v>205</v>
      </c>
      <c r="J1708" s="46" t="s">
        <v>127</v>
      </c>
      <c r="K1708" s="46" t="s">
        <v>127</v>
      </c>
      <c r="L1708" s="46" t="s">
        <v>15</v>
      </c>
      <c r="M1708" s="46" t="s">
        <v>13</v>
      </c>
      <c r="N1708" s="46" t="s">
        <v>16</v>
      </c>
      <c r="O1708" s="49" t="s">
        <v>814</v>
      </c>
      <c r="P1708" s="46" t="s">
        <v>507</v>
      </c>
      <c r="Q1708" s="35" t="str">
        <f>MID(Tabla1[[#This Row],[Aplicación]],14,1)</f>
        <v>2</v>
      </c>
      <c r="R1708" s="35" t="s">
        <v>495</v>
      </c>
      <c r="S1708" s="35" t="str">
        <f>MID(Tabla1[[#This Row],[Aplicación]],6,2)</f>
        <v>03</v>
      </c>
      <c r="T1708" s="35" t="str">
        <f>VLOOKUP(Tabla1[[#This Row],[AREA]],Hoja1!A:B,2,FALSE)</f>
        <v>03. Participación ciudadana y deportes</v>
      </c>
      <c r="U1708" s="35" t="str">
        <f>MID(Tabla1[[#This Row],[Aplicación]],9,4)</f>
        <v>9241</v>
      </c>
      <c r="V1708" s="35" t="str">
        <f>VLOOKUP(Tabla1[[#This Row],[PROGRAMA]],Hoja1!A:B,2,FALSE)</f>
        <v>9241. Participación ciudadana</v>
      </c>
      <c r="W1708" s="35" t="str">
        <f>MID(Tabla1[[#This Row],[Aplicación]],14,2)</f>
        <v>21</v>
      </c>
      <c r="X1708" s="35" t="str">
        <f>MID(Tabla1[[#This Row],[Aplicación]],14,6)</f>
        <v>213</v>
      </c>
    </row>
    <row r="1709" spans="1:24" x14ac:dyDescent="0.25">
      <c r="A1709" s="45">
        <v>220210008480</v>
      </c>
      <c r="B1709" s="46" t="s">
        <v>204</v>
      </c>
      <c r="C1709" s="47">
        <v>44266</v>
      </c>
      <c r="D1709" s="45">
        <v>22021002228</v>
      </c>
      <c r="E1709" s="46" t="s">
        <v>1471</v>
      </c>
      <c r="F1709" s="48">
        <v>840.21</v>
      </c>
      <c r="G1709" s="46" t="s">
        <v>235</v>
      </c>
      <c r="H1709" s="46" t="s">
        <v>2987</v>
      </c>
      <c r="I1709" s="45" t="s">
        <v>205</v>
      </c>
      <c r="J1709" s="46" t="s">
        <v>742</v>
      </c>
      <c r="K1709" s="46" t="s">
        <v>165</v>
      </c>
      <c r="L1709" s="46" t="s">
        <v>15</v>
      </c>
      <c r="M1709" s="46" t="s">
        <v>13</v>
      </c>
      <c r="N1709" s="46" t="s">
        <v>14</v>
      </c>
      <c r="O1709" s="49" t="s">
        <v>814</v>
      </c>
      <c r="P1709" s="46" t="s">
        <v>507</v>
      </c>
      <c r="Q1709" s="35" t="str">
        <f>MID(Tabla1[[#This Row],[Aplicación]],14,1)</f>
        <v>2</v>
      </c>
      <c r="R1709" s="35" t="s">
        <v>495</v>
      </c>
      <c r="S1709" s="35" t="str">
        <f>MID(Tabla1[[#This Row],[Aplicación]],6,2)</f>
        <v>06</v>
      </c>
      <c r="T1709" s="35" t="str">
        <f>VLOOKUP(Tabla1[[#This Row],[AREA]],Hoja1!A:B,2,FALSE)</f>
        <v>06. Educación, infancia, juventud e igualdad</v>
      </c>
      <c r="U1709" s="35" t="str">
        <f>MID(Tabla1[[#This Row],[Aplicación]],9,4)</f>
        <v>3232</v>
      </c>
      <c r="V1709" s="35" t="str">
        <f>VLOOKUP(Tabla1[[#This Row],[PROGRAMA]],Hoja1!A:B,2,FALSE)</f>
        <v>3232. Conservación y mantenimiento centros educación infantil y primaria</v>
      </c>
      <c r="W1709" s="35" t="str">
        <f>MID(Tabla1[[#This Row],[Aplicación]],14,2)</f>
        <v>21</v>
      </c>
      <c r="X1709" s="35" t="str">
        <f>MID(Tabla1[[#This Row],[Aplicación]],14,6)</f>
        <v>212</v>
      </c>
    </row>
    <row r="1710" spans="1:24" x14ac:dyDescent="0.25">
      <c r="A1710" s="45">
        <v>220209000763</v>
      </c>
      <c r="B1710" s="46" t="s">
        <v>9</v>
      </c>
      <c r="C1710" s="47">
        <v>44198</v>
      </c>
      <c r="D1710" s="45">
        <v>22021000487</v>
      </c>
      <c r="E1710" s="46" t="s">
        <v>886</v>
      </c>
      <c r="F1710" s="48">
        <v>1644.72</v>
      </c>
      <c r="G1710" s="46" t="s">
        <v>59</v>
      </c>
      <c r="H1710" s="46" t="s">
        <v>2988</v>
      </c>
      <c r="I1710" s="45" t="s">
        <v>125</v>
      </c>
      <c r="J1710" s="46" t="s">
        <v>127</v>
      </c>
      <c r="K1710" s="46" t="s">
        <v>127</v>
      </c>
      <c r="L1710" s="46" t="s">
        <v>12</v>
      </c>
      <c r="M1710" s="46" t="s">
        <v>13</v>
      </c>
      <c r="N1710" s="46" t="s">
        <v>14</v>
      </c>
      <c r="O1710" s="49" t="s">
        <v>803</v>
      </c>
      <c r="P1710" s="46" t="s">
        <v>507</v>
      </c>
      <c r="Q1710" s="35" t="str">
        <f>MID(Tabla1[[#This Row],[Aplicación]],14,1)</f>
        <v>2</v>
      </c>
      <c r="R1710" s="35" t="s">
        <v>495</v>
      </c>
      <c r="S1710" s="35" t="str">
        <f>MID(Tabla1[[#This Row],[Aplicación]],6,2)</f>
        <v>10</v>
      </c>
      <c r="T1710" s="35" t="str">
        <f>VLOOKUP(Tabla1[[#This Row],[AREA]],Hoja1!A:B,2,FALSE)</f>
        <v>10. Servicios sociales y mediación comunitaria</v>
      </c>
      <c r="U1710" s="35" t="str">
        <f>MID(Tabla1[[#This Row],[Aplicación]],9,4)</f>
        <v>2311</v>
      </c>
      <c r="V1710" s="35" t="str">
        <f>VLOOKUP(Tabla1[[#This Row],[PROGRAMA]],Hoja1!A:B,2,FALSE)</f>
        <v>2311. Intervención social</v>
      </c>
      <c r="W1710" s="35" t="str">
        <f>MID(Tabla1[[#This Row],[Aplicación]],14,2)</f>
        <v>21</v>
      </c>
      <c r="X1710" s="35" t="str">
        <f>MID(Tabla1[[#This Row],[Aplicación]],14,6)</f>
        <v>213</v>
      </c>
    </row>
    <row r="1711" spans="1:24" x14ac:dyDescent="0.25">
      <c r="A1711" s="45">
        <v>220209000823</v>
      </c>
      <c r="B1711" s="46" t="s">
        <v>9</v>
      </c>
      <c r="C1711" s="47">
        <v>44198</v>
      </c>
      <c r="D1711" s="45">
        <v>22021001159</v>
      </c>
      <c r="E1711" s="46" t="s">
        <v>859</v>
      </c>
      <c r="F1711" s="48">
        <v>6050</v>
      </c>
      <c r="G1711" s="46" t="s">
        <v>2989</v>
      </c>
      <c r="H1711" s="46" t="s">
        <v>2990</v>
      </c>
      <c r="I1711" s="45" t="s">
        <v>125</v>
      </c>
      <c r="J1711" s="46" t="s">
        <v>2991</v>
      </c>
      <c r="K1711" s="46" t="s">
        <v>126</v>
      </c>
      <c r="L1711" s="46" t="s">
        <v>12</v>
      </c>
      <c r="M1711" s="46" t="s">
        <v>10</v>
      </c>
      <c r="N1711" s="46" t="s">
        <v>11</v>
      </c>
      <c r="O1711" s="49" t="s">
        <v>815</v>
      </c>
      <c r="P1711" s="46" t="s">
        <v>507</v>
      </c>
      <c r="Q1711" s="35" t="str">
        <f>MID(Tabla1[[#This Row],[Aplicación]],14,1)</f>
        <v>2</v>
      </c>
      <c r="R1711" s="35" t="s">
        <v>495</v>
      </c>
      <c r="S1711" s="35" t="str">
        <f>MID(Tabla1[[#This Row],[Aplicación]],6,2)</f>
        <v>05</v>
      </c>
      <c r="T1711" s="35" t="str">
        <f>VLOOKUP(Tabla1[[#This Row],[AREA]],Hoja1!A:B,2,FALSE)</f>
        <v>05. Innovación, desarrollo económico, empleo y comercio</v>
      </c>
      <c r="U1711" s="35" t="str">
        <f>MID(Tabla1[[#This Row],[Aplicación]],9,4)</f>
        <v>4331</v>
      </c>
      <c r="V1711" s="35" t="str">
        <f>VLOOKUP(Tabla1[[#This Row],[PROGRAMA]],Hoja1!A:B,2,FALSE)</f>
        <v>4331. Desarrollo empresarial</v>
      </c>
      <c r="W1711" s="35" t="str">
        <f>MID(Tabla1[[#This Row],[Aplicación]],14,2)</f>
        <v>22</v>
      </c>
      <c r="X1711" s="35" t="str">
        <f>MID(Tabla1[[#This Row],[Aplicación]],14,6)</f>
        <v>22706</v>
      </c>
    </row>
    <row r="1712" spans="1:24" x14ac:dyDescent="0.25">
      <c r="A1712" s="45">
        <v>220210005268</v>
      </c>
      <c r="B1712" s="46" t="s">
        <v>9</v>
      </c>
      <c r="C1712" s="47">
        <v>44249</v>
      </c>
      <c r="D1712" s="45">
        <v>22021002840</v>
      </c>
      <c r="E1712" s="46" t="s">
        <v>2992</v>
      </c>
      <c r="F1712" s="48">
        <v>6050</v>
      </c>
      <c r="G1712" s="46" t="s">
        <v>775</v>
      </c>
      <c r="H1712" s="46" t="s">
        <v>2993</v>
      </c>
      <c r="I1712" s="45" t="s">
        <v>125</v>
      </c>
      <c r="J1712" s="46" t="s">
        <v>165</v>
      </c>
      <c r="K1712" s="46" t="s">
        <v>165</v>
      </c>
      <c r="L1712" s="46" t="s">
        <v>12</v>
      </c>
      <c r="M1712" s="46" t="s">
        <v>10</v>
      </c>
      <c r="N1712" s="46" t="s">
        <v>11</v>
      </c>
      <c r="O1712" s="49" t="s">
        <v>815</v>
      </c>
      <c r="P1712" s="46" t="s">
        <v>507</v>
      </c>
      <c r="Q1712" s="35" t="str">
        <f>MID(Tabla1[[#This Row],[Aplicación]],14,1)</f>
        <v>2</v>
      </c>
      <c r="R1712" s="35" t="s">
        <v>495</v>
      </c>
      <c r="S1712" s="35" t="str">
        <f>MID(Tabla1[[#This Row],[Aplicación]],6,2)</f>
        <v>05</v>
      </c>
      <c r="T1712" s="35" t="str">
        <f>VLOOKUP(Tabla1[[#This Row],[AREA]],Hoja1!A:B,2,FALSE)</f>
        <v>05. Innovación, desarrollo económico, empleo y comercio</v>
      </c>
      <c r="U1712" s="35" t="str">
        <f>MID(Tabla1[[#This Row],[Aplicación]],9,4)</f>
        <v>4314</v>
      </c>
      <c r="V1712" s="35" t="str">
        <f>VLOOKUP(Tabla1[[#This Row],[PROGRAMA]],Hoja1!A:B,2,FALSE)</f>
        <v>4314. Fomento del comercio</v>
      </c>
      <c r="W1712" s="35" t="str">
        <f>MID(Tabla1[[#This Row],[Aplicación]],14,2)</f>
        <v>22</v>
      </c>
      <c r="X1712" s="35" t="str">
        <f>MID(Tabla1[[#This Row],[Aplicación]],14,6)</f>
        <v>22706</v>
      </c>
    </row>
    <row r="1713" spans="1:24" x14ac:dyDescent="0.25">
      <c r="A1713" s="45">
        <v>220210010356</v>
      </c>
      <c r="B1713" s="46" t="s">
        <v>9</v>
      </c>
      <c r="C1713" s="47">
        <v>44273</v>
      </c>
      <c r="D1713" s="45">
        <v>22021003491</v>
      </c>
      <c r="E1713" s="46" t="s">
        <v>1380</v>
      </c>
      <c r="F1713" s="48">
        <v>6050</v>
      </c>
      <c r="G1713" s="46" t="s">
        <v>773</v>
      </c>
      <c r="H1713" s="46" t="s">
        <v>2994</v>
      </c>
      <c r="I1713" s="45" t="s">
        <v>125</v>
      </c>
      <c r="J1713" s="46" t="s">
        <v>674</v>
      </c>
      <c r="K1713" s="46" t="s">
        <v>127</v>
      </c>
      <c r="L1713" s="46" t="s">
        <v>12</v>
      </c>
      <c r="M1713" s="46" t="s">
        <v>10</v>
      </c>
      <c r="N1713" s="46" t="s">
        <v>11</v>
      </c>
      <c r="O1713" s="49" t="s">
        <v>815</v>
      </c>
      <c r="P1713" s="46" t="s">
        <v>507</v>
      </c>
      <c r="Q1713" s="35" t="str">
        <f>MID(Tabla1[[#This Row],[Aplicación]],14,1)</f>
        <v>2</v>
      </c>
      <c r="R1713" s="35" t="s">
        <v>495</v>
      </c>
      <c r="S1713" s="35" t="str">
        <f>MID(Tabla1[[#This Row],[Aplicación]],6,2)</f>
        <v>03</v>
      </c>
      <c r="T1713" s="35" t="str">
        <f>VLOOKUP(Tabla1[[#This Row],[AREA]],Hoja1!A:B,2,FALSE)</f>
        <v>03. Participación ciudadana y deportes</v>
      </c>
      <c r="U1713" s="35" t="str">
        <f>MID(Tabla1[[#This Row],[Aplicación]],9,4)</f>
        <v>9241</v>
      </c>
      <c r="V1713" s="35" t="str">
        <f>VLOOKUP(Tabla1[[#This Row],[PROGRAMA]],Hoja1!A:B,2,FALSE)</f>
        <v>9241. Participación ciudadana</v>
      </c>
      <c r="W1713" s="35" t="str">
        <f>MID(Tabla1[[#This Row],[Aplicación]],14,2)</f>
        <v>22</v>
      </c>
      <c r="X1713" s="35" t="str">
        <f>MID(Tabla1[[#This Row],[Aplicación]],14,6)</f>
        <v>22699</v>
      </c>
    </row>
    <row r="1714" spans="1:24" x14ac:dyDescent="0.25">
      <c r="A1714" s="45">
        <v>220200042276</v>
      </c>
      <c r="B1714" s="46" t="s">
        <v>9</v>
      </c>
      <c r="C1714" s="47">
        <v>44284</v>
      </c>
      <c r="D1714" s="45">
        <v>22020004492</v>
      </c>
      <c r="E1714" s="46" t="s">
        <v>1196</v>
      </c>
      <c r="F1714" s="48">
        <v>6096.8</v>
      </c>
      <c r="G1714" s="46" t="s">
        <v>221</v>
      </c>
      <c r="H1714" s="46" t="s">
        <v>2995</v>
      </c>
      <c r="I1714" s="45" t="s">
        <v>125</v>
      </c>
      <c r="J1714" s="46" t="s">
        <v>565</v>
      </c>
      <c r="K1714" s="46" t="s">
        <v>126</v>
      </c>
      <c r="L1714" s="46" t="s">
        <v>12</v>
      </c>
      <c r="M1714" s="46" t="s">
        <v>13</v>
      </c>
      <c r="N1714" s="46" t="s">
        <v>14</v>
      </c>
      <c r="O1714" s="49" t="s">
        <v>803</v>
      </c>
      <c r="P1714" s="46" t="s">
        <v>507</v>
      </c>
      <c r="Q1714" s="35" t="str">
        <f>MID(Tabla1[[#This Row],[Aplicación]],14,1)</f>
        <v>6</v>
      </c>
      <c r="R1714" s="35" t="s">
        <v>496</v>
      </c>
      <c r="S1714" s="35" t="str">
        <f>MID(Tabla1[[#This Row],[Aplicación]],6,2)</f>
        <v>08</v>
      </c>
      <c r="T1714" s="35" t="str">
        <f>VLOOKUP(Tabla1[[#This Row],[AREA]],Hoja1!A:B,2,FALSE)</f>
        <v>08. Movilidad y espacio urbano</v>
      </c>
      <c r="U1714" s="35" t="str">
        <f>MID(Tabla1[[#This Row],[Aplicación]],9,4)</f>
        <v>1341</v>
      </c>
      <c r="V1714" s="35" t="str">
        <f>VLOOKUP(Tabla1[[#This Row],[PROGRAMA]],Hoja1!A:B,2,FALSE)</f>
        <v>1341. Movilidad</v>
      </c>
      <c r="W1714" s="35" t="str">
        <f>MID(Tabla1[[#This Row],[Aplicación]],14,2)</f>
        <v>61</v>
      </c>
      <c r="X1714" s="35" t="str">
        <f>MID(Tabla1[[#This Row],[Aplicación]],14,6)</f>
        <v>619</v>
      </c>
    </row>
    <row r="1715" spans="1:24" x14ac:dyDescent="0.25">
      <c r="A1715" s="45">
        <v>220209000698</v>
      </c>
      <c r="B1715" s="46" t="s">
        <v>9</v>
      </c>
      <c r="C1715" s="47">
        <v>44198</v>
      </c>
      <c r="D1715" s="45">
        <v>22021002459</v>
      </c>
      <c r="E1715" s="46" t="s">
        <v>2996</v>
      </c>
      <c r="F1715" s="48">
        <v>6161.09</v>
      </c>
      <c r="G1715" s="46" t="s">
        <v>101</v>
      </c>
      <c r="H1715" s="46" t="s">
        <v>2997</v>
      </c>
      <c r="I1715" s="45" t="s">
        <v>125</v>
      </c>
      <c r="J1715" s="46" t="s">
        <v>127</v>
      </c>
      <c r="K1715" s="46" t="s">
        <v>127</v>
      </c>
      <c r="L1715" s="46" t="s">
        <v>12</v>
      </c>
      <c r="M1715" s="46" t="s">
        <v>13</v>
      </c>
      <c r="N1715" s="46" t="s">
        <v>14</v>
      </c>
      <c r="O1715" s="49" t="s">
        <v>803</v>
      </c>
      <c r="P1715" s="46" t="s">
        <v>507</v>
      </c>
      <c r="Q1715" s="35" t="str">
        <f>MID(Tabla1[[#This Row],[Aplicación]],14,1)</f>
        <v>2</v>
      </c>
      <c r="R1715" s="35" t="s">
        <v>495</v>
      </c>
      <c r="S1715" s="35" t="str">
        <f>MID(Tabla1[[#This Row],[Aplicación]],6,2)</f>
        <v>08</v>
      </c>
      <c r="T1715" s="35" t="str">
        <f>VLOOKUP(Tabla1[[#This Row],[AREA]],Hoja1!A:B,2,FALSE)</f>
        <v>08. Movilidad y espacio urbano</v>
      </c>
      <c r="U1715" s="35" t="str">
        <f>MID(Tabla1[[#This Row],[Aplicación]],9,4)</f>
        <v>1532</v>
      </c>
      <c r="V1715" s="35" t="str">
        <f>VLOOKUP(Tabla1[[#This Row],[PROGRAMA]],Hoja1!A:B,2,FALSE)</f>
        <v>1532. Pavimentación vias públicas y otros servicios urbanísticos</v>
      </c>
      <c r="W1715" s="35" t="str">
        <f>MID(Tabla1[[#This Row],[Aplicación]],14,2)</f>
        <v>22</v>
      </c>
      <c r="X1715" s="35" t="str">
        <f>MID(Tabla1[[#This Row],[Aplicación]],14,6)</f>
        <v>22700</v>
      </c>
    </row>
    <row r="1716" spans="1:24" x14ac:dyDescent="0.25">
      <c r="A1716" s="45">
        <v>220210000548</v>
      </c>
      <c r="B1716" s="46" t="s">
        <v>204</v>
      </c>
      <c r="C1716" s="47">
        <v>44221</v>
      </c>
      <c r="D1716" s="45">
        <v>22021001096</v>
      </c>
      <c r="E1716" s="46" t="s">
        <v>2385</v>
      </c>
      <c r="F1716" s="48">
        <v>6398.4</v>
      </c>
      <c r="G1716" s="46" t="s">
        <v>684</v>
      </c>
      <c r="H1716" s="46" t="s">
        <v>2998</v>
      </c>
      <c r="I1716" s="45" t="s">
        <v>205</v>
      </c>
      <c r="J1716" s="46" t="s">
        <v>126</v>
      </c>
      <c r="K1716" s="46" t="s">
        <v>126</v>
      </c>
      <c r="L1716" s="46" t="s">
        <v>12</v>
      </c>
      <c r="M1716" s="46" t="s">
        <v>13</v>
      </c>
      <c r="N1716" s="46" t="s">
        <v>14</v>
      </c>
      <c r="O1716" s="49" t="s">
        <v>803</v>
      </c>
      <c r="P1716" s="46" t="s">
        <v>507</v>
      </c>
      <c r="Q1716" s="35" t="str">
        <f>MID(Tabla1[[#This Row],[Aplicación]],14,1)</f>
        <v>2</v>
      </c>
      <c r="R1716" s="35" t="s">
        <v>495</v>
      </c>
      <c r="S1716" s="35" t="str">
        <f>MID(Tabla1[[#This Row],[Aplicación]],6,2)</f>
        <v>10</v>
      </c>
      <c r="T1716" s="35" t="str">
        <f>VLOOKUP(Tabla1[[#This Row],[AREA]],Hoja1!A:B,2,FALSE)</f>
        <v>10. Servicios sociales y mediación comunitaria</v>
      </c>
      <c r="U1716" s="35" t="str">
        <f>MID(Tabla1[[#This Row],[Aplicación]],9,4)</f>
        <v>2312</v>
      </c>
      <c r="V1716" s="35" t="str">
        <f>VLOOKUP(Tabla1[[#This Row],[PROGRAMA]],Hoja1!A:B,2,FALSE)</f>
        <v>2312. Iniciativas sociales</v>
      </c>
      <c r="W1716" s="35" t="str">
        <f>MID(Tabla1[[#This Row],[Aplicación]],14,2)</f>
        <v>21</v>
      </c>
      <c r="X1716" s="35" t="str">
        <f>MID(Tabla1[[#This Row],[Aplicación]],14,6)</f>
        <v>216</v>
      </c>
    </row>
    <row r="1717" spans="1:24" x14ac:dyDescent="0.25">
      <c r="A1717" s="45">
        <v>220210008646</v>
      </c>
      <c r="B1717" s="46" t="s">
        <v>32</v>
      </c>
      <c r="C1717" s="47">
        <v>44266</v>
      </c>
      <c r="D1717" s="45">
        <v>22021003291</v>
      </c>
      <c r="E1717" s="46" t="s">
        <v>1660</v>
      </c>
      <c r="F1717" s="48">
        <v>192</v>
      </c>
      <c r="G1717" s="46" t="s">
        <v>2999</v>
      </c>
      <c r="H1717" s="46" t="s">
        <v>3000</v>
      </c>
      <c r="I1717" s="45" t="s">
        <v>234</v>
      </c>
      <c r="J1717" s="46" t="s">
        <v>127</v>
      </c>
      <c r="K1717" s="46" t="s">
        <v>127</v>
      </c>
      <c r="L1717" s="46" t="s">
        <v>12</v>
      </c>
      <c r="M1717" s="46" t="s">
        <v>10</v>
      </c>
      <c r="N1717" s="46" t="s">
        <v>11</v>
      </c>
      <c r="O1717" s="49" t="s">
        <v>815</v>
      </c>
      <c r="P1717" s="46" t="s">
        <v>507</v>
      </c>
      <c r="Q1717" s="35" t="str">
        <f>MID(Tabla1[[#This Row],[Aplicación]],14,1)</f>
        <v>2</v>
      </c>
      <c r="R1717" s="35" t="s">
        <v>495</v>
      </c>
      <c r="S1717" s="35" t="str">
        <f>MID(Tabla1[[#This Row],[Aplicación]],6,2)</f>
        <v>04</v>
      </c>
      <c r="T1717" s="35" t="str">
        <f>VLOOKUP(Tabla1[[#This Row],[AREA]],Hoja1!A:B,2,FALSE)</f>
        <v>04. Planificación y recursos</v>
      </c>
      <c r="U1717" s="35" t="str">
        <f>MID(Tabla1[[#This Row],[Aplicación]],9,4)</f>
        <v>9202</v>
      </c>
      <c r="V1717" s="35" t="str">
        <f>VLOOKUP(Tabla1[[#This Row],[PROGRAMA]],Hoja1!A:B,2,FALSE)</f>
        <v>9202. Gestión de recursos humanos</v>
      </c>
      <c r="W1717" s="35" t="str">
        <f>MID(Tabla1[[#This Row],[Aplicación]],14,2)</f>
        <v>22</v>
      </c>
      <c r="X1717" s="35" t="str">
        <f>MID(Tabla1[[#This Row],[Aplicación]],14,6)</f>
        <v>22607</v>
      </c>
    </row>
    <row r="1718" spans="1:24" x14ac:dyDescent="0.25">
      <c r="A1718" s="45">
        <v>220209000727</v>
      </c>
      <c r="B1718" s="46" t="s">
        <v>9</v>
      </c>
      <c r="C1718" s="47">
        <v>44198</v>
      </c>
      <c r="D1718" s="45">
        <v>22021000462</v>
      </c>
      <c r="E1718" s="46" t="s">
        <v>982</v>
      </c>
      <c r="F1718" s="48">
        <v>1774.5</v>
      </c>
      <c r="G1718" s="46" t="s">
        <v>53</v>
      </c>
      <c r="H1718" s="46" t="s">
        <v>3001</v>
      </c>
      <c r="I1718" s="45" t="s">
        <v>125</v>
      </c>
      <c r="J1718" s="46" t="s">
        <v>127</v>
      </c>
      <c r="K1718" s="46" t="s">
        <v>127</v>
      </c>
      <c r="L1718" s="46" t="s">
        <v>12</v>
      </c>
      <c r="M1718" s="46" t="s">
        <v>10</v>
      </c>
      <c r="N1718" s="46" t="s">
        <v>11</v>
      </c>
      <c r="O1718" s="49" t="s">
        <v>815</v>
      </c>
      <c r="P1718" s="46" t="s">
        <v>507</v>
      </c>
      <c r="Q1718" s="35" t="str">
        <f>MID(Tabla1[[#This Row],[Aplicación]],14,1)</f>
        <v>2</v>
      </c>
      <c r="R1718" s="35" t="s">
        <v>495</v>
      </c>
      <c r="S1718" s="35" t="str">
        <f>MID(Tabla1[[#This Row],[Aplicación]],6,2)</f>
        <v>10</v>
      </c>
      <c r="T1718" s="35" t="str">
        <f>VLOOKUP(Tabla1[[#This Row],[AREA]],Hoja1!A:B,2,FALSE)</f>
        <v>10. Servicios sociales y mediación comunitaria</v>
      </c>
      <c r="U1718" s="35" t="str">
        <f>MID(Tabla1[[#This Row],[Aplicación]],9,4)</f>
        <v>2312</v>
      </c>
      <c r="V1718" s="35" t="str">
        <f>VLOOKUP(Tabla1[[#This Row],[PROGRAMA]],Hoja1!A:B,2,FALSE)</f>
        <v>2312. Iniciativas sociales</v>
      </c>
      <c r="W1718" s="35" t="str">
        <f>MID(Tabla1[[#This Row],[Aplicación]],14,2)</f>
        <v>21</v>
      </c>
      <c r="X1718" s="35" t="str">
        <f>MID(Tabla1[[#This Row],[Aplicación]],14,6)</f>
        <v>213</v>
      </c>
    </row>
    <row r="1719" spans="1:24" x14ac:dyDescent="0.25">
      <c r="A1719" s="45">
        <v>220210008503</v>
      </c>
      <c r="B1719" s="46" t="s">
        <v>204</v>
      </c>
      <c r="C1719" s="47">
        <v>44266</v>
      </c>
      <c r="D1719" s="45">
        <v>22021002089</v>
      </c>
      <c r="E1719" s="46" t="s">
        <v>1220</v>
      </c>
      <c r="F1719" s="48">
        <v>116.88</v>
      </c>
      <c r="G1719" s="46" t="s">
        <v>102</v>
      </c>
      <c r="H1719" s="46" t="s">
        <v>3002</v>
      </c>
      <c r="I1719" s="45" t="s">
        <v>205</v>
      </c>
      <c r="J1719" s="46" t="s">
        <v>127</v>
      </c>
      <c r="K1719" s="46" t="s">
        <v>127</v>
      </c>
      <c r="L1719" s="46" t="s">
        <v>15</v>
      </c>
      <c r="M1719" s="46" t="s">
        <v>13</v>
      </c>
      <c r="N1719" s="46" t="s">
        <v>16</v>
      </c>
      <c r="O1719" s="49" t="s">
        <v>814</v>
      </c>
      <c r="P1719" s="46" t="s">
        <v>507</v>
      </c>
      <c r="Q1719" s="35" t="str">
        <f>MID(Tabla1[[#This Row],[Aplicación]],14,1)</f>
        <v>2</v>
      </c>
      <c r="R1719" s="35" t="s">
        <v>495</v>
      </c>
      <c r="S1719" s="35" t="str">
        <f>MID(Tabla1[[#This Row],[Aplicación]],6,2)</f>
        <v>03</v>
      </c>
      <c r="T1719" s="35" t="str">
        <f>VLOOKUP(Tabla1[[#This Row],[AREA]],Hoja1!A:B,2,FALSE)</f>
        <v>03. Participación ciudadana y deportes</v>
      </c>
      <c r="U1719" s="35" t="str">
        <f>MID(Tabla1[[#This Row],[Aplicación]],9,4)</f>
        <v>9241</v>
      </c>
      <c r="V1719" s="35" t="str">
        <f>VLOOKUP(Tabla1[[#This Row],[PROGRAMA]],Hoja1!A:B,2,FALSE)</f>
        <v>9241. Participación ciudadana</v>
      </c>
      <c r="W1719" s="35" t="str">
        <f>MID(Tabla1[[#This Row],[Aplicación]],14,2)</f>
        <v>21</v>
      </c>
      <c r="X1719" s="35" t="str">
        <f>MID(Tabla1[[#This Row],[Aplicación]],14,6)</f>
        <v>213</v>
      </c>
    </row>
    <row r="1720" spans="1:24" x14ac:dyDescent="0.25">
      <c r="A1720" s="45">
        <v>220210008650</v>
      </c>
      <c r="B1720" s="46" t="s">
        <v>204</v>
      </c>
      <c r="C1720" s="47">
        <v>44266</v>
      </c>
      <c r="D1720" s="45">
        <v>22021002059</v>
      </c>
      <c r="E1720" s="46" t="s">
        <v>1183</v>
      </c>
      <c r="F1720" s="48">
        <v>196.13</v>
      </c>
      <c r="G1720" s="46" t="s">
        <v>271</v>
      </c>
      <c r="H1720" s="46" t="s">
        <v>3003</v>
      </c>
      <c r="I1720" s="45" t="s">
        <v>205</v>
      </c>
      <c r="J1720" s="46" t="s">
        <v>127</v>
      </c>
      <c r="K1720" s="46" t="s">
        <v>127</v>
      </c>
      <c r="L1720" s="46" t="s">
        <v>15</v>
      </c>
      <c r="M1720" s="46" t="s">
        <v>13</v>
      </c>
      <c r="N1720" s="46" t="s">
        <v>14</v>
      </c>
      <c r="O1720" s="49" t="s">
        <v>814</v>
      </c>
      <c r="P1720" s="46" t="s">
        <v>507</v>
      </c>
      <c r="Q1720" s="35" t="str">
        <f>MID(Tabla1[[#This Row],[Aplicación]],14,1)</f>
        <v>2</v>
      </c>
      <c r="R1720" s="35" t="s">
        <v>495</v>
      </c>
      <c r="S1720" s="35" t="str">
        <f>MID(Tabla1[[#This Row],[Aplicación]],6,2)</f>
        <v>11</v>
      </c>
      <c r="T1720" s="35" t="str">
        <f>VLOOKUP(Tabla1[[#This Row],[AREA]],Hoja1!A:B,2,FALSE)</f>
        <v>11. Salud pública y seguridad ciudadana</v>
      </c>
      <c r="U1720" s="35" t="str">
        <f>MID(Tabla1[[#This Row],[Aplicación]],9,4)</f>
        <v>1361</v>
      </c>
      <c r="V1720" s="35" t="str">
        <f>VLOOKUP(Tabla1[[#This Row],[PROGRAMA]],Hoja1!A:B,2,FALSE)</f>
        <v>1361. Prevención y extinción de incencios</v>
      </c>
      <c r="W1720" s="35" t="str">
        <f>MID(Tabla1[[#This Row],[Aplicación]],14,2)</f>
        <v>22</v>
      </c>
      <c r="X1720" s="35" t="str">
        <f>MID(Tabla1[[#This Row],[Aplicación]],14,6)</f>
        <v>22199</v>
      </c>
    </row>
    <row r="1721" spans="1:24" x14ac:dyDescent="0.25">
      <c r="A1721" s="45">
        <v>220210008519</v>
      </c>
      <c r="B1721" s="46" t="s">
        <v>204</v>
      </c>
      <c r="C1721" s="47">
        <v>44266</v>
      </c>
      <c r="D1721" s="45">
        <v>22021002143</v>
      </c>
      <c r="E1721" s="46" t="s">
        <v>1328</v>
      </c>
      <c r="F1721" s="48">
        <v>34.130000000000003</v>
      </c>
      <c r="G1721" s="46" t="s">
        <v>235</v>
      </c>
      <c r="H1721" s="46" t="s">
        <v>3004</v>
      </c>
      <c r="I1721" s="45" t="s">
        <v>205</v>
      </c>
      <c r="J1721" s="46" t="s">
        <v>742</v>
      </c>
      <c r="K1721" s="46" t="s">
        <v>165</v>
      </c>
      <c r="L1721" s="46" t="s">
        <v>15</v>
      </c>
      <c r="M1721" s="46" t="s">
        <v>13</v>
      </c>
      <c r="N1721" s="46" t="s">
        <v>14</v>
      </c>
      <c r="O1721" s="49" t="s">
        <v>814</v>
      </c>
      <c r="P1721" s="46" t="s">
        <v>507</v>
      </c>
      <c r="Q1721" s="35" t="str">
        <f>MID(Tabla1[[#This Row],[Aplicación]],14,1)</f>
        <v>2</v>
      </c>
      <c r="R1721" s="35" t="s">
        <v>495</v>
      </c>
      <c r="S1721" s="35" t="str">
        <f>MID(Tabla1[[#This Row],[Aplicación]],6,2)</f>
        <v>10</v>
      </c>
      <c r="T1721" s="35" t="str">
        <f>VLOOKUP(Tabla1[[#This Row],[AREA]],Hoja1!A:B,2,FALSE)</f>
        <v>10. Servicios sociales y mediación comunitaria</v>
      </c>
      <c r="U1721" s="35" t="str">
        <f>MID(Tabla1[[#This Row],[Aplicación]],9,4)</f>
        <v>2311</v>
      </c>
      <c r="V1721" s="35" t="str">
        <f>VLOOKUP(Tabla1[[#This Row],[PROGRAMA]],Hoja1!A:B,2,FALSE)</f>
        <v>2311. Intervención social</v>
      </c>
      <c r="W1721" s="35" t="str">
        <f>MID(Tabla1[[#This Row],[Aplicación]],14,2)</f>
        <v>21</v>
      </c>
      <c r="X1721" s="35" t="str">
        <f>MID(Tabla1[[#This Row],[Aplicación]],14,6)</f>
        <v>212</v>
      </c>
    </row>
    <row r="1722" spans="1:24" x14ac:dyDescent="0.25">
      <c r="A1722" s="45">
        <v>220210008665</v>
      </c>
      <c r="B1722" s="46" t="s">
        <v>204</v>
      </c>
      <c r="C1722" s="47">
        <v>44266</v>
      </c>
      <c r="D1722" s="45">
        <v>22021002052</v>
      </c>
      <c r="E1722" s="46" t="s">
        <v>1340</v>
      </c>
      <c r="F1722" s="48">
        <v>20.45</v>
      </c>
      <c r="G1722" s="46" t="s">
        <v>150</v>
      </c>
      <c r="H1722" s="46" t="s">
        <v>3005</v>
      </c>
      <c r="I1722" s="45" t="s">
        <v>205</v>
      </c>
      <c r="J1722" s="46" t="s">
        <v>146</v>
      </c>
      <c r="K1722" s="46" t="s">
        <v>146</v>
      </c>
      <c r="L1722" s="46" t="s">
        <v>15</v>
      </c>
      <c r="M1722" s="46" t="s">
        <v>13</v>
      </c>
      <c r="N1722" s="46" t="s">
        <v>14</v>
      </c>
      <c r="O1722" s="49" t="s">
        <v>814</v>
      </c>
      <c r="P1722" s="46" t="s">
        <v>507</v>
      </c>
      <c r="Q1722" s="35" t="str">
        <f>MID(Tabla1[[#This Row],[Aplicación]],14,1)</f>
        <v>2</v>
      </c>
      <c r="R1722" s="35" t="s">
        <v>495</v>
      </c>
      <c r="S1722" s="35" t="str">
        <f>MID(Tabla1[[#This Row],[Aplicación]],6,2)</f>
        <v>11</v>
      </c>
      <c r="T1722" s="35" t="str">
        <f>VLOOKUP(Tabla1[[#This Row],[AREA]],Hoja1!A:B,2,FALSE)</f>
        <v>11. Salud pública y seguridad ciudadana</v>
      </c>
      <c r="U1722" s="35" t="str">
        <f>MID(Tabla1[[#This Row],[Aplicación]],9,4)</f>
        <v>1621</v>
      </c>
      <c r="V1722" s="35" t="str">
        <f>VLOOKUP(Tabla1[[#This Row],[PROGRAMA]],Hoja1!A:B,2,FALSE)</f>
        <v>1621. Servicio de limpieza</v>
      </c>
      <c r="W1722" s="35" t="str">
        <f>MID(Tabla1[[#This Row],[Aplicación]],14,2)</f>
        <v>22</v>
      </c>
      <c r="X1722" s="35" t="str">
        <f>MID(Tabla1[[#This Row],[Aplicación]],14,6)</f>
        <v>22199</v>
      </c>
    </row>
    <row r="1723" spans="1:24" x14ac:dyDescent="0.25">
      <c r="A1723" s="45">
        <v>220210008514</v>
      </c>
      <c r="B1723" s="46" t="s">
        <v>204</v>
      </c>
      <c r="C1723" s="47">
        <v>44266</v>
      </c>
      <c r="D1723" s="45">
        <v>22021002089</v>
      </c>
      <c r="E1723" s="46" t="s">
        <v>1220</v>
      </c>
      <c r="F1723" s="48">
        <v>175.79</v>
      </c>
      <c r="G1723" s="46" t="s">
        <v>102</v>
      </c>
      <c r="H1723" s="46" t="s">
        <v>3006</v>
      </c>
      <c r="I1723" s="45" t="s">
        <v>205</v>
      </c>
      <c r="J1723" s="46" t="s">
        <v>127</v>
      </c>
      <c r="K1723" s="46" t="s">
        <v>127</v>
      </c>
      <c r="L1723" s="46" t="s">
        <v>15</v>
      </c>
      <c r="M1723" s="46" t="s">
        <v>13</v>
      </c>
      <c r="N1723" s="46" t="s">
        <v>16</v>
      </c>
      <c r="O1723" s="49" t="s">
        <v>814</v>
      </c>
      <c r="P1723" s="46" t="s">
        <v>507</v>
      </c>
      <c r="Q1723" s="35" t="str">
        <f>MID(Tabla1[[#This Row],[Aplicación]],14,1)</f>
        <v>2</v>
      </c>
      <c r="R1723" s="35" t="s">
        <v>495</v>
      </c>
      <c r="S1723" s="35" t="str">
        <f>MID(Tabla1[[#This Row],[Aplicación]],6,2)</f>
        <v>03</v>
      </c>
      <c r="T1723" s="35" t="str">
        <f>VLOOKUP(Tabla1[[#This Row],[AREA]],Hoja1!A:B,2,FALSE)</f>
        <v>03. Participación ciudadana y deportes</v>
      </c>
      <c r="U1723" s="35" t="str">
        <f>MID(Tabla1[[#This Row],[Aplicación]],9,4)</f>
        <v>9241</v>
      </c>
      <c r="V1723" s="35" t="str">
        <f>VLOOKUP(Tabla1[[#This Row],[PROGRAMA]],Hoja1!A:B,2,FALSE)</f>
        <v>9241. Participación ciudadana</v>
      </c>
      <c r="W1723" s="35" t="str">
        <f>MID(Tabla1[[#This Row],[Aplicación]],14,2)</f>
        <v>21</v>
      </c>
      <c r="X1723" s="35" t="str">
        <f>MID(Tabla1[[#This Row],[Aplicación]],14,6)</f>
        <v>213</v>
      </c>
    </row>
    <row r="1724" spans="1:24" x14ac:dyDescent="0.25">
      <c r="A1724" s="45">
        <v>220210008671</v>
      </c>
      <c r="B1724" s="46" t="s">
        <v>204</v>
      </c>
      <c r="C1724" s="47">
        <v>44266</v>
      </c>
      <c r="D1724" s="45">
        <v>22021002052</v>
      </c>
      <c r="E1724" s="46" t="s">
        <v>1340</v>
      </c>
      <c r="F1724" s="48">
        <v>636.52</v>
      </c>
      <c r="G1724" s="46" t="s">
        <v>270</v>
      </c>
      <c r="H1724" s="46" t="s">
        <v>3007</v>
      </c>
      <c r="I1724" s="45" t="s">
        <v>205</v>
      </c>
      <c r="J1724" s="46" t="s">
        <v>127</v>
      </c>
      <c r="K1724" s="46" t="s">
        <v>127</v>
      </c>
      <c r="L1724" s="46" t="s">
        <v>15</v>
      </c>
      <c r="M1724" s="46" t="s">
        <v>13</v>
      </c>
      <c r="N1724" s="46" t="s">
        <v>14</v>
      </c>
      <c r="O1724" s="49" t="s">
        <v>814</v>
      </c>
      <c r="P1724" s="46" t="s">
        <v>507</v>
      </c>
      <c r="Q1724" s="35" t="str">
        <f>MID(Tabla1[[#This Row],[Aplicación]],14,1)</f>
        <v>2</v>
      </c>
      <c r="R1724" s="35" t="s">
        <v>495</v>
      </c>
      <c r="S1724" s="35" t="str">
        <f>MID(Tabla1[[#This Row],[Aplicación]],6,2)</f>
        <v>11</v>
      </c>
      <c r="T1724" s="35" t="str">
        <f>VLOOKUP(Tabla1[[#This Row],[AREA]],Hoja1!A:B,2,FALSE)</f>
        <v>11. Salud pública y seguridad ciudadana</v>
      </c>
      <c r="U1724" s="35" t="str">
        <f>MID(Tabla1[[#This Row],[Aplicación]],9,4)</f>
        <v>1621</v>
      </c>
      <c r="V1724" s="35" t="str">
        <f>VLOOKUP(Tabla1[[#This Row],[PROGRAMA]],Hoja1!A:B,2,FALSE)</f>
        <v>1621. Servicio de limpieza</v>
      </c>
      <c r="W1724" s="35" t="str">
        <f>MID(Tabla1[[#This Row],[Aplicación]],14,2)</f>
        <v>22</v>
      </c>
      <c r="X1724" s="35" t="str">
        <f>MID(Tabla1[[#This Row],[Aplicación]],14,6)</f>
        <v>22199</v>
      </c>
    </row>
    <row r="1725" spans="1:24" x14ac:dyDescent="0.25">
      <c r="A1725" s="45">
        <v>220210008682</v>
      </c>
      <c r="B1725" s="46" t="s">
        <v>204</v>
      </c>
      <c r="C1725" s="47">
        <v>44266</v>
      </c>
      <c r="D1725" s="45">
        <v>22021002057</v>
      </c>
      <c r="E1725" s="46" t="s">
        <v>1715</v>
      </c>
      <c r="F1725" s="48">
        <v>1453.15</v>
      </c>
      <c r="G1725" s="46" t="s">
        <v>270</v>
      </c>
      <c r="H1725" s="46" t="s">
        <v>3008</v>
      </c>
      <c r="I1725" s="45" t="s">
        <v>205</v>
      </c>
      <c r="J1725" s="46" t="s">
        <v>127</v>
      </c>
      <c r="K1725" s="46" t="s">
        <v>127</v>
      </c>
      <c r="L1725" s="46" t="s">
        <v>15</v>
      </c>
      <c r="M1725" s="46" t="s">
        <v>13</v>
      </c>
      <c r="N1725" s="46" t="s">
        <v>14</v>
      </c>
      <c r="O1725" s="49" t="s">
        <v>814</v>
      </c>
      <c r="P1725" s="46" t="s">
        <v>507</v>
      </c>
      <c r="Q1725" s="35" t="str">
        <f>MID(Tabla1[[#This Row],[Aplicación]],14,1)</f>
        <v>2</v>
      </c>
      <c r="R1725" s="35" t="s">
        <v>495</v>
      </c>
      <c r="S1725" s="35" t="str">
        <f>MID(Tabla1[[#This Row],[Aplicación]],6,2)</f>
        <v>11</v>
      </c>
      <c r="T1725" s="35" t="str">
        <f>VLOOKUP(Tabla1[[#This Row],[AREA]],Hoja1!A:B,2,FALSE)</f>
        <v>11. Salud pública y seguridad ciudadana</v>
      </c>
      <c r="U1725" s="35" t="str">
        <f>MID(Tabla1[[#This Row],[Aplicación]],9,4)</f>
        <v>1631</v>
      </c>
      <c r="V1725" s="35" t="str">
        <f>VLOOKUP(Tabla1[[#This Row],[PROGRAMA]],Hoja1!A:B,2,FALSE)</f>
        <v>1631. Limpieza viaria</v>
      </c>
      <c r="W1725" s="35" t="str">
        <f>MID(Tabla1[[#This Row],[Aplicación]],14,2)</f>
        <v>22</v>
      </c>
      <c r="X1725" s="35" t="str">
        <f>MID(Tabla1[[#This Row],[Aplicación]],14,6)</f>
        <v>22199</v>
      </c>
    </row>
    <row r="1726" spans="1:24" x14ac:dyDescent="0.25">
      <c r="A1726" s="45">
        <v>220210008648</v>
      </c>
      <c r="B1726" s="46" t="s">
        <v>204</v>
      </c>
      <c r="C1726" s="47">
        <v>44266</v>
      </c>
      <c r="D1726" s="45">
        <v>22021002059</v>
      </c>
      <c r="E1726" s="46" t="s">
        <v>1183</v>
      </c>
      <c r="F1726" s="48">
        <v>56.71</v>
      </c>
      <c r="G1726" s="46" t="s">
        <v>102</v>
      </c>
      <c r="H1726" s="46" t="s">
        <v>3009</v>
      </c>
      <c r="I1726" s="45" t="s">
        <v>205</v>
      </c>
      <c r="J1726" s="46" t="s">
        <v>127</v>
      </c>
      <c r="K1726" s="46" t="s">
        <v>127</v>
      </c>
      <c r="L1726" s="46" t="s">
        <v>15</v>
      </c>
      <c r="M1726" s="46" t="s">
        <v>13</v>
      </c>
      <c r="N1726" s="46" t="s">
        <v>14</v>
      </c>
      <c r="O1726" s="49" t="s">
        <v>814</v>
      </c>
      <c r="P1726" s="46" t="s">
        <v>507</v>
      </c>
      <c r="Q1726" s="35" t="str">
        <f>MID(Tabla1[[#This Row],[Aplicación]],14,1)</f>
        <v>2</v>
      </c>
      <c r="R1726" s="35" t="s">
        <v>495</v>
      </c>
      <c r="S1726" s="35" t="str">
        <f>MID(Tabla1[[#This Row],[Aplicación]],6,2)</f>
        <v>11</v>
      </c>
      <c r="T1726" s="35" t="str">
        <f>VLOOKUP(Tabla1[[#This Row],[AREA]],Hoja1!A:B,2,FALSE)</f>
        <v>11. Salud pública y seguridad ciudadana</v>
      </c>
      <c r="U1726" s="35" t="str">
        <f>MID(Tabla1[[#This Row],[Aplicación]],9,4)</f>
        <v>1361</v>
      </c>
      <c r="V1726" s="35" t="str">
        <f>VLOOKUP(Tabla1[[#This Row],[PROGRAMA]],Hoja1!A:B,2,FALSE)</f>
        <v>1361. Prevención y extinción de incencios</v>
      </c>
      <c r="W1726" s="35" t="str">
        <f>MID(Tabla1[[#This Row],[Aplicación]],14,2)</f>
        <v>22</v>
      </c>
      <c r="X1726" s="35" t="str">
        <f>MID(Tabla1[[#This Row],[Aplicación]],14,6)</f>
        <v>22199</v>
      </c>
    </row>
    <row r="1727" spans="1:24" x14ac:dyDescent="0.25">
      <c r="A1727" s="45">
        <v>220210008687</v>
      </c>
      <c r="B1727" s="46" t="s">
        <v>204</v>
      </c>
      <c r="C1727" s="47">
        <v>44266</v>
      </c>
      <c r="D1727" s="45">
        <v>22021002057</v>
      </c>
      <c r="E1727" s="46" t="s">
        <v>1715</v>
      </c>
      <c r="F1727" s="48">
        <v>1125.4100000000001</v>
      </c>
      <c r="G1727" s="46" t="s">
        <v>272</v>
      </c>
      <c r="H1727" s="46" t="s">
        <v>3010</v>
      </c>
      <c r="I1727" s="45" t="s">
        <v>205</v>
      </c>
      <c r="J1727" s="46" t="s">
        <v>127</v>
      </c>
      <c r="K1727" s="46" t="s">
        <v>127</v>
      </c>
      <c r="L1727" s="46" t="s">
        <v>15</v>
      </c>
      <c r="M1727" s="46" t="s">
        <v>13</v>
      </c>
      <c r="N1727" s="46" t="s">
        <v>14</v>
      </c>
      <c r="O1727" s="49" t="s">
        <v>814</v>
      </c>
      <c r="P1727" s="46" t="s">
        <v>507</v>
      </c>
      <c r="Q1727" s="35" t="str">
        <f>MID(Tabla1[[#This Row],[Aplicación]],14,1)</f>
        <v>2</v>
      </c>
      <c r="R1727" s="35" t="s">
        <v>495</v>
      </c>
      <c r="S1727" s="35" t="str">
        <f>MID(Tabla1[[#This Row],[Aplicación]],6,2)</f>
        <v>11</v>
      </c>
      <c r="T1727" s="35" t="str">
        <f>VLOOKUP(Tabla1[[#This Row],[AREA]],Hoja1!A:B,2,FALSE)</f>
        <v>11. Salud pública y seguridad ciudadana</v>
      </c>
      <c r="U1727" s="35" t="str">
        <f>MID(Tabla1[[#This Row],[Aplicación]],9,4)</f>
        <v>1631</v>
      </c>
      <c r="V1727" s="35" t="str">
        <f>VLOOKUP(Tabla1[[#This Row],[PROGRAMA]],Hoja1!A:B,2,FALSE)</f>
        <v>1631. Limpieza viaria</v>
      </c>
      <c r="W1727" s="35" t="str">
        <f>MID(Tabla1[[#This Row],[Aplicación]],14,2)</f>
        <v>22</v>
      </c>
      <c r="X1727" s="35" t="str">
        <f>MID(Tabla1[[#This Row],[Aplicación]],14,6)</f>
        <v>22199</v>
      </c>
    </row>
    <row r="1728" spans="1:24" x14ac:dyDescent="0.25">
      <c r="A1728" s="45">
        <v>220209000671</v>
      </c>
      <c r="B1728" s="46" t="s">
        <v>9</v>
      </c>
      <c r="C1728" s="47">
        <v>44198</v>
      </c>
      <c r="D1728" s="45">
        <v>22021000528</v>
      </c>
      <c r="E1728" s="46" t="s">
        <v>1724</v>
      </c>
      <c r="F1728" s="48">
        <v>64626.69</v>
      </c>
      <c r="G1728" s="46" t="s">
        <v>3011</v>
      </c>
      <c r="H1728" s="46" t="s">
        <v>3012</v>
      </c>
      <c r="I1728" s="45" t="s">
        <v>125</v>
      </c>
      <c r="J1728" s="46" t="s">
        <v>127</v>
      </c>
      <c r="K1728" s="46" t="s">
        <v>127</v>
      </c>
      <c r="L1728" s="46" t="s">
        <v>31</v>
      </c>
      <c r="M1728" s="46" t="s">
        <v>13</v>
      </c>
      <c r="N1728" s="46" t="s">
        <v>14</v>
      </c>
      <c r="O1728" s="49" t="s">
        <v>814</v>
      </c>
      <c r="P1728" s="46" t="s">
        <v>507</v>
      </c>
      <c r="Q1728" s="35" t="str">
        <f>MID(Tabla1[[#This Row],[Aplicación]],14,1)</f>
        <v>6</v>
      </c>
      <c r="R1728" s="35" t="s">
        <v>496</v>
      </c>
      <c r="S1728" s="35" t="str">
        <f>MID(Tabla1[[#This Row],[Aplicación]],6,2)</f>
        <v>07</v>
      </c>
      <c r="T1728" s="35" t="str">
        <f>VLOOKUP(Tabla1[[#This Row],[AREA]],Hoja1!A:B,2,FALSE)</f>
        <v>07. Medio ambiente y desarrollo sostenible</v>
      </c>
      <c r="U1728" s="35" t="str">
        <f>MID(Tabla1[[#This Row],[Aplicación]],9,4)</f>
        <v>1711</v>
      </c>
      <c r="V1728" s="35" t="str">
        <f>VLOOKUP(Tabla1[[#This Row],[PROGRAMA]],Hoja1!A:B,2,FALSE)</f>
        <v>1711. Parques y jardines</v>
      </c>
      <c r="W1728" s="35" t="str">
        <f>MID(Tabla1[[#This Row],[Aplicación]],14,2)</f>
        <v>61</v>
      </c>
      <c r="X1728" s="35" t="str">
        <f>MID(Tabla1[[#This Row],[Aplicación]],14,6)</f>
        <v>619</v>
      </c>
    </row>
    <row r="1729" spans="1:24" x14ac:dyDescent="0.25">
      <c r="A1729" s="45">
        <v>220209000672</v>
      </c>
      <c r="B1729" s="46" t="s">
        <v>9</v>
      </c>
      <c r="C1729" s="47">
        <v>44198</v>
      </c>
      <c r="D1729" s="45">
        <v>22021000529</v>
      </c>
      <c r="E1729" s="46" t="s">
        <v>1724</v>
      </c>
      <c r="F1729" s="48">
        <v>20943.03</v>
      </c>
      <c r="G1729" s="46" t="s">
        <v>3011</v>
      </c>
      <c r="H1729" s="46" t="s">
        <v>3013</v>
      </c>
      <c r="I1729" s="45" t="s">
        <v>125</v>
      </c>
      <c r="J1729" s="46" t="s">
        <v>127</v>
      </c>
      <c r="K1729" s="46" t="s">
        <v>127</v>
      </c>
      <c r="L1729" s="46" t="s">
        <v>31</v>
      </c>
      <c r="M1729" s="46" t="s">
        <v>13</v>
      </c>
      <c r="N1729" s="46" t="s">
        <v>14</v>
      </c>
      <c r="O1729" s="49" t="s">
        <v>814</v>
      </c>
      <c r="P1729" s="46" t="s">
        <v>507</v>
      </c>
      <c r="Q1729" s="35" t="str">
        <f>MID(Tabla1[[#This Row],[Aplicación]],14,1)</f>
        <v>6</v>
      </c>
      <c r="R1729" s="35" t="s">
        <v>496</v>
      </c>
      <c r="S1729" s="35" t="str">
        <f>MID(Tabla1[[#This Row],[Aplicación]],6,2)</f>
        <v>07</v>
      </c>
      <c r="T1729" s="35" t="str">
        <f>VLOOKUP(Tabla1[[#This Row],[AREA]],Hoja1!A:B,2,FALSE)</f>
        <v>07. Medio ambiente y desarrollo sostenible</v>
      </c>
      <c r="U1729" s="35" t="str">
        <f>MID(Tabla1[[#This Row],[Aplicación]],9,4)</f>
        <v>1711</v>
      </c>
      <c r="V1729" s="35" t="str">
        <f>VLOOKUP(Tabla1[[#This Row],[PROGRAMA]],Hoja1!A:B,2,FALSE)</f>
        <v>1711. Parques y jardines</v>
      </c>
      <c r="W1729" s="35" t="str">
        <f>MID(Tabla1[[#This Row],[Aplicación]],14,2)</f>
        <v>61</v>
      </c>
      <c r="X1729" s="35" t="str">
        <f>MID(Tabla1[[#This Row],[Aplicación]],14,6)</f>
        <v>619</v>
      </c>
    </row>
    <row r="1730" spans="1:24" x14ac:dyDescent="0.25">
      <c r="A1730" s="45">
        <v>220210008737</v>
      </c>
      <c r="B1730" s="46" t="s">
        <v>204</v>
      </c>
      <c r="C1730" s="47">
        <v>44266</v>
      </c>
      <c r="D1730" s="45">
        <v>22021001968</v>
      </c>
      <c r="E1730" s="46" t="s">
        <v>1388</v>
      </c>
      <c r="F1730" s="48">
        <v>263.3</v>
      </c>
      <c r="G1730" s="46" t="s">
        <v>135</v>
      </c>
      <c r="H1730" s="46" t="s">
        <v>3014</v>
      </c>
      <c r="I1730" s="45" t="s">
        <v>205</v>
      </c>
      <c r="J1730" s="46" t="s">
        <v>127</v>
      </c>
      <c r="K1730" s="46" t="s">
        <v>127</v>
      </c>
      <c r="L1730" s="46" t="s">
        <v>15</v>
      </c>
      <c r="M1730" s="46" t="s">
        <v>13</v>
      </c>
      <c r="N1730" s="46" t="s">
        <v>14</v>
      </c>
      <c r="O1730" s="49" t="s">
        <v>814</v>
      </c>
      <c r="P1730" s="46" t="s">
        <v>507</v>
      </c>
      <c r="Q1730" s="35" t="str">
        <f>MID(Tabla1[[#This Row],[Aplicación]],14,1)</f>
        <v>2</v>
      </c>
      <c r="R1730" s="35" t="s">
        <v>495</v>
      </c>
      <c r="S1730" s="35" t="str">
        <f>MID(Tabla1[[#This Row],[Aplicación]],6,2)</f>
        <v>11</v>
      </c>
      <c r="T1730" s="35" t="str">
        <f>VLOOKUP(Tabla1[[#This Row],[AREA]],Hoja1!A:B,2,FALSE)</f>
        <v>11. Salud pública y seguridad ciudadana</v>
      </c>
      <c r="U1730" s="35" t="str">
        <f>MID(Tabla1[[#This Row],[Aplicación]],9,4)</f>
        <v>1321</v>
      </c>
      <c r="V1730" s="35" t="str">
        <f>VLOOKUP(Tabla1[[#This Row],[PROGRAMA]],Hoja1!A:B,2,FALSE)</f>
        <v>1321. Policía municipal</v>
      </c>
      <c r="W1730" s="35" t="str">
        <f>MID(Tabla1[[#This Row],[Aplicación]],14,2)</f>
        <v>22</v>
      </c>
      <c r="X1730" s="35" t="str">
        <f>MID(Tabla1[[#This Row],[Aplicación]],14,6)</f>
        <v>22199</v>
      </c>
    </row>
    <row r="1731" spans="1:24" x14ac:dyDescent="0.25">
      <c r="A1731" s="45">
        <v>220210008739</v>
      </c>
      <c r="B1731" s="46" t="s">
        <v>204</v>
      </c>
      <c r="C1731" s="47">
        <v>44266</v>
      </c>
      <c r="D1731" s="45">
        <v>22021001966</v>
      </c>
      <c r="E1731" s="46" t="s">
        <v>950</v>
      </c>
      <c r="F1731" s="48">
        <v>150.94999999999999</v>
      </c>
      <c r="G1731" s="46" t="s">
        <v>223</v>
      </c>
      <c r="H1731" s="46" t="s">
        <v>3015</v>
      </c>
      <c r="I1731" s="45" t="s">
        <v>205</v>
      </c>
      <c r="J1731" s="46" t="s">
        <v>127</v>
      </c>
      <c r="K1731" s="46" t="s">
        <v>127</v>
      </c>
      <c r="L1731" s="46" t="s">
        <v>15</v>
      </c>
      <c r="M1731" s="46" t="s">
        <v>13</v>
      </c>
      <c r="N1731" s="46" t="s">
        <v>14</v>
      </c>
      <c r="O1731" s="49" t="s">
        <v>814</v>
      </c>
      <c r="P1731" s="46" t="s">
        <v>507</v>
      </c>
      <c r="Q1731" s="35" t="str">
        <f>MID(Tabla1[[#This Row],[Aplicación]],14,1)</f>
        <v>2</v>
      </c>
      <c r="R1731" s="35" t="s">
        <v>495</v>
      </c>
      <c r="S1731" s="35" t="str">
        <f>MID(Tabla1[[#This Row],[Aplicación]],6,2)</f>
        <v>11</v>
      </c>
      <c r="T1731" s="35" t="str">
        <f>VLOOKUP(Tabla1[[#This Row],[AREA]],Hoja1!A:B,2,FALSE)</f>
        <v>11. Salud pública y seguridad ciudadana</v>
      </c>
      <c r="U1731" s="35" t="str">
        <f>MID(Tabla1[[#This Row],[Aplicación]],9,4)</f>
        <v>1321</v>
      </c>
      <c r="V1731" s="35" t="str">
        <f>VLOOKUP(Tabla1[[#This Row],[PROGRAMA]],Hoja1!A:B,2,FALSE)</f>
        <v>1321. Policía municipal</v>
      </c>
      <c r="W1731" s="35" t="str">
        <f>MID(Tabla1[[#This Row],[Aplicación]],14,2)</f>
        <v>21</v>
      </c>
      <c r="X1731" s="35" t="str">
        <f>MID(Tabla1[[#This Row],[Aplicación]],14,6)</f>
        <v>213</v>
      </c>
    </row>
    <row r="1732" spans="1:24" x14ac:dyDescent="0.25">
      <c r="A1732" s="45">
        <v>220210008741</v>
      </c>
      <c r="B1732" s="46" t="s">
        <v>204</v>
      </c>
      <c r="C1732" s="47">
        <v>44266</v>
      </c>
      <c r="D1732" s="45">
        <v>22021002059</v>
      </c>
      <c r="E1732" s="46" t="s">
        <v>1183</v>
      </c>
      <c r="F1732" s="48">
        <v>118.86</v>
      </c>
      <c r="G1732" s="46" t="s">
        <v>135</v>
      </c>
      <c r="H1732" s="46" t="s">
        <v>3016</v>
      </c>
      <c r="I1732" s="45" t="s">
        <v>205</v>
      </c>
      <c r="J1732" s="46" t="s">
        <v>127</v>
      </c>
      <c r="K1732" s="46" t="s">
        <v>127</v>
      </c>
      <c r="L1732" s="46" t="s">
        <v>15</v>
      </c>
      <c r="M1732" s="46" t="s">
        <v>13</v>
      </c>
      <c r="N1732" s="46" t="s">
        <v>14</v>
      </c>
      <c r="O1732" s="49" t="s">
        <v>814</v>
      </c>
      <c r="P1732" s="46" t="s">
        <v>507</v>
      </c>
      <c r="Q1732" s="35" t="str">
        <f>MID(Tabla1[[#This Row],[Aplicación]],14,1)</f>
        <v>2</v>
      </c>
      <c r="R1732" s="35" t="s">
        <v>495</v>
      </c>
      <c r="S1732" s="35" t="str">
        <f>MID(Tabla1[[#This Row],[Aplicación]],6,2)</f>
        <v>11</v>
      </c>
      <c r="T1732" s="35" t="str">
        <f>VLOOKUP(Tabla1[[#This Row],[AREA]],Hoja1!A:B,2,FALSE)</f>
        <v>11. Salud pública y seguridad ciudadana</v>
      </c>
      <c r="U1732" s="35" t="str">
        <f>MID(Tabla1[[#This Row],[Aplicación]],9,4)</f>
        <v>1361</v>
      </c>
      <c r="V1732" s="35" t="str">
        <f>VLOOKUP(Tabla1[[#This Row],[PROGRAMA]],Hoja1!A:B,2,FALSE)</f>
        <v>1361. Prevención y extinción de incencios</v>
      </c>
      <c r="W1732" s="35" t="str">
        <f>MID(Tabla1[[#This Row],[Aplicación]],14,2)</f>
        <v>22</v>
      </c>
      <c r="X1732" s="35" t="str">
        <f>MID(Tabla1[[#This Row],[Aplicación]],14,6)</f>
        <v>22199</v>
      </c>
    </row>
    <row r="1733" spans="1:24" x14ac:dyDescent="0.25">
      <c r="A1733" s="45">
        <v>220210008743</v>
      </c>
      <c r="B1733" s="46" t="s">
        <v>204</v>
      </c>
      <c r="C1733" s="47">
        <v>44266</v>
      </c>
      <c r="D1733" s="45">
        <v>22021002059</v>
      </c>
      <c r="E1733" s="46" t="s">
        <v>1183</v>
      </c>
      <c r="F1733" s="48">
        <v>186.24</v>
      </c>
      <c r="G1733" s="46" t="s">
        <v>135</v>
      </c>
      <c r="H1733" s="46" t="s">
        <v>3017</v>
      </c>
      <c r="I1733" s="45" t="s">
        <v>205</v>
      </c>
      <c r="J1733" s="46" t="s">
        <v>127</v>
      </c>
      <c r="K1733" s="46" t="s">
        <v>127</v>
      </c>
      <c r="L1733" s="46" t="s">
        <v>15</v>
      </c>
      <c r="M1733" s="46" t="s">
        <v>13</v>
      </c>
      <c r="N1733" s="46" t="s">
        <v>14</v>
      </c>
      <c r="O1733" s="49" t="s">
        <v>814</v>
      </c>
      <c r="P1733" s="46" t="s">
        <v>507</v>
      </c>
      <c r="Q1733" s="35" t="str">
        <f>MID(Tabla1[[#This Row],[Aplicación]],14,1)</f>
        <v>2</v>
      </c>
      <c r="R1733" s="35" t="s">
        <v>495</v>
      </c>
      <c r="S1733" s="35" t="str">
        <f>MID(Tabla1[[#This Row],[Aplicación]],6,2)</f>
        <v>11</v>
      </c>
      <c r="T1733" s="35" t="str">
        <f>VLOOKUP(Tabla1[[#This Row],[AREA]],Hoja1!A:B,2,FALSE)</f>
        <v>11. Salud pública y seguridad ciudadana</v>
      </c>
      <c r="U1733" s="35" t="str">
        <f>MID(Tabla1[[#This Row],[Aplicación]],9,4)</f>
        <v>1361</v>
      </c>
      <c r="V1733" s="35" t="str">
        <f>VLOOKUP(Tabla1[[#This Row],[PROGRAMA]],Hoja1!A:B,2,FALSE)</f>
        <v>1361. Prevención y extinción de incencios</v>
      </c>
      <c r="W1733" s="35" t="str">
        <f>MID(Tabla1[[#This Row],[Aplicación]],14,2)</f>
        <v>22</v>
      </c>
      <c r="X1733" s="35" t="str">
        <f>MID(Tabla1[[#This Row],[Aplicación]],14,6)</f>
        <v>22199</v>
      </c>
    </row>
    <row r="1734" spans="1:24" x14ac:dyDescent="0.25">
      <c r="A1734" s="45">
        <v>220209000673</v>
      </c>
      <c r="B1734" s="46" t="s">
        <v>9</v>
      </c>
      <c r="C1734" s="47">
        <v>44198</v>
      </c>
      <c r="D1734" s="45">
        <v>22021000530</v>
      </c>
      <c r="E1734" s="46" t="s">
        <v>1724</v>
      </c>
      <c r="F1734" s="48">
        <v>77586.649999999994</v>
      </c>
      <c r="G1734" s="46" t="s">
        <v>3011</v>
      </c>
      <c r="H1734" s="46" t="s">
        <v>3018</v>
      </c>
      <c r="I1734" s="45" t="s">
        <v>125</v>
      </c>
      <c r="J1734" s="46" t="s">
        <v>127</v>
      </c>
      <c r="K1734" s="46" t="s">
        <v>127</v>
      </c>
      <c r="L1734" s="46" t="s">
        <v>31</v>
      </c>
      <c r="M1734" s="46" t="s">
        <v>13</v>
      </c>
      <c r="N1734" s="46" t="s">
        <v>14</v>
      </c>
      <c r="O1734" s="49" t="s">
        <v>814</v>
      </c>
      <c r="P1734" s="46" t="s">
        <v>507</v>
      </c>
      <c r="Q1734" s="35" t="str">
        <f>MID(Tabla1[[#This Row],[Aplicación]],14,1)</f>
        <v>6</v>
      </c>
      <c r="R1734" s="35" t="s">
        <v>496</v>
      </c>
      <c r="S1734" s="35" t="str">
        <f>MID(Tabla1[[#This Row],[Aplicación]],6,2)</f>
        <v>07</v>
      </c>
      <c r="T1734" s="35" t="str">
        <f>VLOOKUP(Tabla1[[#This Row],[AREA]],Hoja1!A:B,2,FALSE)</f>
        <v>07. Medio ambiente y desarrollo sostenible</v>
      </c>
      <c r="U1734" s="35" t="str">
        <f>MID(Tabla1[[#This Row],[Aplicación]],9,4)</f>
        <v>1711</v>
      </c>
      <c r="V1734" s="35" t="str">
        <f>VLOOKUP(Tabla1[[#This Row],[PROGRAMA]],Hoja1!A:B,2,FALSE)</f>
        <v>1711. Parques y jardines</v>
      </c>
      <c r="W1734" s="35" t="str">
        <f>MID(Tabla1[[#This Row],[Aplicación]],14,2)</f>
        <v>61</v>
      </c>
      <c r="X1734" s="35" t="str">
        <f>MID(Tabla1[[#This Row],[Aplicación]],14,6)</f>
        <v>619</v>
      </c>
    </row>
    <row r="1735" spans="1:24" x14ac:dyDescent="0.25">
      <c r="A1735" s="45">
        <v>220210008663</v>
      </c>
      <c r="B1735" s="46" t="s">
        <v>204</v>
      </c>
      <c r="C1735" s="47">
        <v>44266</v>
      </c>
      <c r="D1735" s="45">
        <v>22021002052</v>
      </c>
      <c r="E1735" s="46" t="s">
        <v>1340</v>
      </c>
      <c r="F1735" s="48">
        <v>41.42</v>
      </c>
      <c r="G1735" s="46" t="s">
        <v>235</v>
      </c>
      <c r="H1735" s="46" t="s">
        <v>3019</v>
      </c>
      <c r="I1735" s="45" t="s">
        <v>205</v>
      </c>
      <c r="J1735" s="46" t="s">
        <v>742</v>
      </c>
      <c r="K1735" s="46" t="s">
        <v>165</v>
      </c>
      <c r="L1735" s="46" t="s">
        <v>15</v>
      </c>
      <c r="M1735" s="46" t="s">
        <v>13</v>
      </c>
      <c r="N1735" s="46" t="s">
        <v>14</v>
      </c>
      <c r="O1735" s="49" t="s">
        <v>814</v>
      </c>
      <c r="P1735" s="46" t="s">
        <v>507</v>
      </c>
      <c r="Q1735" s="35" t="str">
        <f>MID(Tabla1[[#This Row],[Aplicación]],14,1)</f>
        <v>2</v>
      </c>
      <c r="R1735" s="35" t="s">
        <v>495</v>
      </c>
      <c r="S1735" s="35" t="str">
        <f>MID(Tabla1[[#This Row],[Aplicación]],6,2)</f>
        <v>11</v>
      </c>
      <c r="T1735" s="35" t="str">
        <f>VLOOKUP(Tabla1[[#This Row],[AREA]],Hoja1!A:B,2,FALSE)</f>
        <v>11. Salud pública y seguridad ciudadana</v>
      </c>
      <c r="U1735" s="35" t="str">
        <f>MID(Tabla1[[#This Row],[Aplicación]],9,4)</f>
        <v>1621</v>
      </c>
      <c r="V1735" s="35" t="str">
        <f>VLOOKUP(Tabla1[[#This Row],[PROGRAMA]],Hoja1!A:B,2,FALSE)</f>
        <v>1621. Servicio de limpieza</v>
      </c>
      <c r="W1735" s="35" t="str">
        <f>MID(Tabla1[[#This Row],[Aplicación]],14,2)</f>
        <v>22</v>
      </c>
      <c r="X1735" s="35" t="str">
        <f>MID(Tabla1[[#This Row],[Aplicación]],14,6)</f>
        <v>22199</v>
      </c>
    </row>
    <row r="1736" spans="1:24" x14ac:dyDescent="0.25">
      <c r="A1736" s="45">
        <v>220210008667</v>
      </c>
      <c r="B1736" s="46" t="s">
        <v>204</v>
      </c>
      <c r="C1736" s="47">
        <v>44266</v>
      </c>
      <c r="D1736" s="45">
        <v>22021002052</v>
      </c>
      <c r="E1736" s="46" t="s">
        <v>1340</v>
      </c>
      <c r="F1736" s="48">
        <v>32.75</v>
      </c>
      <c r="G1736" s="46" t="s">
        <v>102</v>
      </c>
      <c r="H1736" s="46" t="s">
        <v>3020</v>
      </c>
      <c r="I1736" s="45" t="s">
        <v>205</v>
      </c>
      <c r="J1736" s="46" t="s">
        <v>127</v>
      </c>
      <c r="K1736" s="46" t="s">
        <v>127</v>
      </c>
      <c r="L1736" s="46" t="s">
        <v>15</v>
      </c>
      <c r="M1736" s="46" t="s">
        <v>13</v>
      </c>
      <c r="N1736" s="46" t="s">
        <v>14</v>
      </c>
      <c r="O1736" s="49" t="s">
        <v>814</v>
      </c>
      <c r="P1736" s="46" t="s">
        <v>507</v>
      </c>
      <c r="Q1736" s="35" t="str">
        <f>MID(Tabla1[[#This Row],[Aplicación]],14,1)</f>
        <v>2</v>
      </c>
      <c r="R1736" s="35" t="s">
        <v>495</v>
      </c>
      <c r="S1736" s="35" t="str">
        <f>MID(Tabla1[[#This Row],[Aplicación]],6,2)</f>
        <v>11</v>
      </c>
      <c r="T1736" s="35" t="str">
        <f>VLOOKUP(Tabla1[[#This Row],[AREA]],Hoja1!A:B,2,FALSE)</f>
        <v>11. Salud pública y seguridad ciudadana</v>
      </c>
      <c r="U1736" s="35" t="str">
        <f>MID(Tabla1[[#This Row],[Aplicación]],9,4)</f>
        <v>1621</v>
      </c>
      <c r="V1736" s="35" t="str">
        <f>VLOOKUP(Tabla1[[#This Row],[PROGRAMA]],Hoja1!A:B,2,FALSE)</f>
        <v>1621. Servicio de limpieza</v>
      </c>
      <c r="W1736" s="35" t="str">
        <f>MID(Tabla1[[#This Row],[Aplicación]],14,2)</f>
        <v>22</v>
      </c>
      <c r="X1736" s="35" t="str">
        <f>MID(Tabla1[[#This Row],[Aplicación]],14,6)</f>
        <v>22199</v>
      </c>
    </row>
    <row r="1737" spans="1:24" x14ac:dyDescent="0.25">
      <c r="A1737" s="45">
        <v>220209000674</v>
      </c>
      <c r="B1737" s="46" t="s">
        <v>9</v>
      </c>
      <c r="C1737" s="47">
        <v>44198</v>
      </c>
      <c r="D1737" s="45">
        <v>22021000531</v>
      </c>
      <c r="E1737" s="46" t="s">
        <v>1724</v>
      </c>
      <c r="F1737" s="48">
        <v>46641.32</v>
      </c>
      <c r="G1737" s="46" t="s">
        <v>3011</v>
      </c>
      <c r="H1737" s="46" t="s">
        <v>3021</v>
      </c>
      <c r="I1737" s="45" t="s">
        <v>125</v>
      </c>
      <c r="J1737" s="46" t="s">
        <v>127</v>
      </c>
      <c r="K1737" s="46" t="s">
        <v>127</v>
      </c>
      <c r="L1737" s="46" t="s">
        <v>31</v>
      </c>
      <c r="M1737" s="46" t="s">
        <v>13</v>
      </c>
      <c r="N1737" s="46" t="s">
        <v>14</v>
      </c>
      <c r="O1737" s="49" t="s">
        <v>814</v>
      </c>
      <c r="P1737" s="46" t="s">
        <v>507</v>
      </c>
      <c r="Q1737" s="35" t="str">
        <f>MID(Tabla1[[#This Row],[Aplicación]],14,1)</f>
        <v>6</v>
      </c>
      <c r="R1737" s="35" t="s">
        <v>496</v>
      </c>
      <c r="S1737" s="35" t="str">
        <f>MID(Tabla1[[#This Row],[Aplicación]],6,2)</f>
        <v>07</v>
      </c>
      <c r="T1737" s="35" t="str">
        <f>VLOOKUP(Tabla1[[#This Row],[AREA]],Hoja1!A:B,2,FALSE)</f>
        <v>07. Medio ambiente y desarrollo sostenible</v>
      </c>
      <c r="U1737" s="35" t="str">
        <f>MID(Tabla1[[#This Row],[Aplicación]],9,4)</f>
        <v>1711</v>
      </c>
      <c r="V1737" s="35" t="str">
        <f>VLOOKUP(Tabla1[[#This Row],[PROGRAMA]],Hoja1!A:B,2,FALSE)</f>
        <v>1711. Parques y jardines</v>
      </c>
      <c r="W1737" s="35" t="str">
        <f>MID(Tabla1[[#This Row],[Aplicación]],14,2)</f>
        <v>61</v>
      </c>
      <c r="X1737" s="35" t="str">
        <f>MID(Tabla1[[#This Row],[Aplicación]],14,6)</f>
        <v>619</v>
      </c>
    </row>
    <row r="1738" spans="1:24" x14ac:dyDescent="0.25">
      <c r="A1738" s="45">
        <v>220210008785</v>
      </c>
      <c r="B1738" s="46" t="s">
        <v>204</v>
      </c>
      <c r="C1738" s="47">
        <v>44266</v>
      </c>
      <c r="D1738" s="45">
        <v>22021002369</v>
      </c>
      <c r="E1738" s="46" t="s">
        <v>1336</v>
      </c>
      <c r="F1738" s="48">
        <v>23</v>
      </c>
      <c r="G1738" s="46" t="s">
        <v>235</v>
      </c>
      <c r="H1738" s="46" t="s">
        <v>3022</v>
      </c>
      <c r="I1738" s="45" t="s">
        <v>205</v>
      </c>
      <c r="J1738" s="46" t="s">
        <v>742</v>
      </c>
      <c r="K1738" s="46" t="s">
        <v>165</v>
      </c>
      <c r="L1738" s="46" t="s">
        <v>15</v>
      </c>
      <c r="M1738" s="46" t="s">
        <v>13</v>
      </c>
      <c r="N1738" s="46" t="s">
        <v>14</v>
      </c>
      <c r="O1738" s="49" t="s">
        <v>814</v>
      </c>
      <c r="P1738" s="46" t="s">
        <v>507</v>
      </c>
      <c r="Q1738" s="35" t="str">
        <f>MID(Tabla1[[#This Row],[Aplicación]],14,1)</f>
        <v>2</v>
      </c>
      <c r="R1738" s="35" t="s">
        <v>495</v>
      </c>
      <c r="S1738" s="35" t="str">
        <f>MID(Tabla1[[#This Row],[Aplicación]],6,2)</f>
        <v>02</v>
      </c>
      <c r="T1738" s="35" t="str">
        <f>VLOOKUP(Tabla1[[#This Row],[AREA]],Hoja1!A:B,2,FALSE)</f>
        <v>02. Planeamiento urbanístico y vivienda</v>
      </c>
      <c r="U1738" s="35" t="str">
        <f>MID(Tabla1[[#This Row],[Aplicación]],9,4)</f>
        <v>9332</v>
      </c>
      <c r="V1738" s="35" t="str">
        <f>VLOOKUP(Tabla1[[#This Row],[PROGRAMA]],Hoja1!A:B,2,FALSE)</f>
        <v>9332. Mantenimiento de edificios e instalaciones municipales</v>
      </c>
      <c r="W1738" s="35" t="str">
        <f>MID(Tabla1[[#This Row],[Aplicación]],14,2)</f>
        <v>21</v>
      </c>
      <c r="X1738" s="35" t="str">
        <f>MID(Tabla1[[#This Row],[Aplicación]],14,6)</f>
        <v>212</v>
      </c>
    </row>
    <row r="1739" spans="1:24" x14ac:dyDescent="0.25">
      <c r="A1739" s="45">
        <v>220210008685</v>
      </c>
      <c r="B1739" s="46" t="s">
        <v>204</v>
      </c>
      <c r="C1739" s="47">
        <v>44266</v>
      </c>
      <c r="D1739" s="45">
        <v>22021002057</v>
      </c>
      <c r="E1739" s="46" t="s">
        <v>1715</v>
      </c>
      <c r="F1739" s="48">
        <v>4.82</v>
      </c>
      <c r="G1739" s="46" t="s">
        <v>102</v>
      </c>
      <c r="H1739" s="46" t="s">
        <v>3023</v>
      </c>
      <c r="I1739" s="45" t="s">
        <v>205</v>
      </c>
      <c r="J1739" s="46" t="s">
        <v>127</v>
      </c>
      <c r="K1739" s="46" t="s">
        <v>127</v>
      </c>
      <c r="L1739" s="46" t="s">
        <v>15</v>
      </c>
      <c r="M1739" s="46" t="s">
        <v>13</v>
      </c>
      <c r="N1739" s="46" t="s">
        <v>14</v>
      </c>
      <c r="O1739" s="49" t="s">
        <v>814</v>
      </c>
      <c r="P1739" s="46" t="s">
        <v>507</v>
      </c>
      <c r="Q1739" s="35" t="str">
        <f>MID(Tabla1[[#This Row],[Aplicación]],14,1)</f>
        <v>2</v>
      </c>
      <c r="R1739" s="35" t="s">
        <v>495</v>
      </c>
      <c r="S1739" s="35" t="str">
        <f>MID(Tabla1[[#This Row],[Aplicación]],6,2)</f>
        <v>11</v>
      </c>
      <c r="T1739" s="35" t="str">
        <f>VLOOKUP(Tabla1[[#This Row],[AREA]],Hoja1!A:B,2,FALSE)</f>
        <v>11. Salud pública y seguridad ciudadana</v>
      </c>
      <c r="U1739" s="35" t="str">
        <f>MID(Tabla1[[#This Row],[Aplicación]],9,4)</f>
        <v>1631</v>
      </c>
      <c r="V1739" s="35" t="str">
        <f>VLOOKUP(Tabla1[[#This Row],[PROGRAMA]],Hoja1!A:B,2,FALSE)</f>
        <v>1631. Limpieza viaria</v>
      </c>
      <c r="W1739" s="35" t="str">
        <f>MID(Tabla1[[#This Row],[Aplicación]],14,2)</f>
        <v>22</v>
      </c>
      <c r="X1739" s="35" t="str">
        <f>MID(Tabla1[[#This Row],[Aplicación]],14,6)</f>
        <v>22199</v>
      </c>
    </row>
    <row r="1740" spans="1:24" x14ac:dyDescent="0.25">
      <c r="A1740" s="45">
        <v>220210007118</v>
      </c>
      <c r="B1740" s="46" t="s">
        <v>9</v>
      </c>
      <c r="C1740" s="47">
        <v>44260</v>
      </c>
      <c r="D1740" s="45">
        <v>22021003171</v>
      </c>
      <c r="E1740" s="46" t="s">
        <v>1187</v>
      </c>
      <c r="F1740" s="48">
        <v>6500</v>
      </c>
      <c r="G1740" s="46" t="s">
        <v>104</v>
      </c>
      <c r="H1740" s="46" t="s">
        <v>3024</v>
      </c>
      <c r="I1740" s="45" t="s">
        <v>125</v>
      </c>
      <c r="J1740" s="46" t="s">
        <v>711</v>
      </c>
      <c r="K1740" s="46" t="s">
        <v>127</v>
      </c>
      <c r="L1740" s="46" t="s">
        <v>12</v>
      </c>
      <c r="M1740" s="46" t="s">
        <v>10</v>
      </c>
      <c r="N1740" s="46" t="s">
        <v>11</v>
      </c>
      <c r="O1740" s="49" t="s">
        <v>815</v>
      </c>
      <c r="P1740" s="46" t="s">
        <v>507</v>
      </c>
      <c r="Q1740" s="35" t="str">
        <f>MID(Tabla1[[#This Row],[Aplicación]],14,1)</f>
        <v>2</v>
      </c>
      <c r="R1740" s="35" t="s">
        <v>495</v>
      </c>
      <c r="S1740" s="35" t="str">
        <f>MID(Tabla1[[#This Row],[Aplicación]],6,2)</f>
        <v>06</v>
      </c>
      <c r="T1740" s="35" t="str">
        <f>VLOOKUP(Tabla1[[#This Row],[AREA]],Hoja1!A:B,2,FALSE)</f>
        <v>06. Educación, infancia, juventud e igualdad</v>
      </c>
      <c r="U1740" s="35" t="str">
        <f>MID(Tabla1[[#This Row],[Aplicación]],9,4)</f>
        <v>2315</v>
      </c>
      <c r="V1740" s="35" t="str">
        <f>VLOOKUP(Tabla1[[#This Row],[PROGRAMA]],Hoja1!A:B,2,FALSE)</f>
        <v>2315. Políticas de Igualdad e infancia</v>
      </c>
      <c r="W1740" s="35" t="str">
        <f>MID(Tabla1[[#This Row],[Aplicación]],14,2)</f>
        <v>22</v>
      </c>
      <c r="X1740" s="35" t="str">
        <f>MID(Tabla1[[#This Row],[Aplicación]],14,6)</f>
        <v>22611</v>
      </c>
    </row>
    <row r="1741" spans="1:24" x14ac:dyDescent="0.25">
      <c r="A1741" s="45">
        <v>220210010516</v>
      </c>
      <c r="B1741" s="46" t="s">
        <v>9</v>
      </c>
      <c r="C1741" s="47">
        <v>44277</v>
      </c>
      <c r="D1741" s="45">
        <v>22021003542</v>
      </c>
      <c r="E1741" s="46" t="s">
        <v>1478</v>
      </c>
      <c r="F1741" s="48">
        <v>6506.37</v>
      </c>
      <c r="G1741" s="46" t="s">
        <v>3025</v>
      </c>
      <c r="H1741" s="46" t="s">
        <v>3026</v>
      </c>
      <c r="I1741" s="45" t="s">
        <v>125</v>
      </c>
      <c r="J1741" s="46" t="s">
        <v>127</v>
      </c>
      <c r="K1741" s="46" t="s">
        <v>127</v>
      </c>
      <c r="L1741" s="46" t="s">
        <v>12</v>
      </c>
      <c r="M1741" s="46" t="s">
        <v>10</v>
      </c>
      <c r="N1741" s="46" t="s">
        <v>11</v>
      </c>
      <c r="O1741" s="49" t="s">
        <v>815</v>
      </c>
      <c r="P1741" s="46" t="s">
        <v>507</v>
      </c>
      <c r="Q1741" s="35" t="str">
        <f>MID(Tabla1[[#This Row],[Aplicación]],14,1)</f>
        <v>2</v>
      </c>
      <c r="R1741" s="35" t="s">
        <v>495</v>
      </c>
      <c r="S1741" s="35" t="str">
        <f>MID(Tabla1[[#This Row],[Aplicación]],6,2)</f>
        <v>03</v>
      </c>
      <c r="T1741" s="35" t="str">
        <f>VLOOKUP(Tabla1[[#This Row],[AREA]],Hoja1!A:B,2,FALSE)</f>
        <v>03. Participación ciudadana y deportes</v>
      </c>
      <c r="U1741" s="35" t="str">
        <f>MID(Tabla1[[#This Row],[Aplicación]],9,4)</f>
        <v>9241</v>
      </c>
      <c r="V1741" s="35" t="str">
        <f>VLOOKUP(Tabla1[[#This Row],[PROGRAMA]],Hoja1!A:B,2,FALSE)</f>
        <v>9241. Participación ciudadana</v>
      </c>
      <c r="W1741" s="35" t="str">
        <f>MID(Tabla1[[#This Row],[Aplicación]],14,2)</f>
        <v>21</v>
      </c>
      <c r="X1741" s="35" t="str">
        <f>MID(Tabla1[[#This Row],[Aplicación]],14,6)</f>
        <v>212</v>
      </c>
    </row>
    <row r="1742" spans="1:24" x14ac:dyDescent="0.25">
      <c r="A1742" s="45">
        <v>220210006982</v>
      </c>
      <c r="B1742" s="46" t="s">
        <v>501</v>
      </c>
      <c r="C1742" s="47">
        <v>44259</v>
      </c>
      <c r="D1742" s="45">
        <v>22021000566</v>
      </c>
      <c r="E1742" s="46" t="s">
        <v>1671</v>
      </c>
      <c r="F1742" s="48">
        <v>-120000</v>
      </c>
      <c r="G1742" s="46" t="s">
        <v>73</v>
      </c>
      <c r="H1742" s="46" t="s">
        <v>3027</v>
      </c>
      <c r="I1742" s="45" t="s">
        <v>125</v>
      </c>
      <c r="J1742" s="46" t="s">
        <v>127</v>
      </c>
      <c r="K1742" s="46" t="s">
        <v>127</v>
      </c>
      <c r="L1742" s="46" t="s">
        <v>15</v>
      </c>
      <c r="M1742" s="46" t="s">
        <v>13</v>
      </c>
      <c r="N1742" s="46" t="s">
        <v>14</v>
      </c>
      <c r="O1742" s="49" t="s">
        <v>803</v>
      </c>
      <c r="P1742" s="46" t="s">
        <v>507</v>
      </c>
      <c r="Q1742" s="35" t="str">
        <f>MID(Tabla1[[#This Row],[Aplicación]],14,1)</f>
        <v>2</v>
      </c>
      <c r="R1742" s="35" t="s">
        <v>495</v>
      </c>
      <c r="S1742" s="35" t="str">
        <f>MID(Tabla1[[#This Row],[Aplicación]],6,2)</f>
        <v>11</v>
      </c>
      <c r="T1742" s="35" t="str">
        <f>VLOOKUP(Tabla1[[#This Row],[AREA]],Hoja1!A:B,2,FALSE)</f>
        <v>11. Salud pública y seguridad ciudadana</v>
      </c>
      <c r="U1742" s="35" t="str">
        <f>MID(Tabla1[[#This Row],[Aplicación]],9,4)</f>
        <v>1621</v>
      </c>
      <c r="V1742" s="35" t="str">
        <f>VLOOKUP(Tabla1[[#This Row],[PROGRAMA]],Hoja1!A:B,2,FALSE)</f>
        <v>1621. Servicio de limpieza</v>
      </c>
      <c r="W1742" s="35" t="str">
        <f>MID(Tabla1[[#This Row],[Aplicación]],14,2)</f>
        <v>22</v>
      </c>
      <c r="X1742" s="35" t="str">
        <f>MID(Tabla1[[#This Row],[Aplicación]],14,6)</f>
        <v>22103</v>
      </c>
    </row>
    <row r="1743" spans="1:24" x14ac:dyDescent="0.25">
      <c r="A1743" s="45">
        <v>220210007099</v>
      </c>
      <c r="B1743" s="46" t="s">
        <v>9</v>
      </c>
      <c r="C1743" s="47">
        <v>44260</v>
      </c>
      <c r="D1743" s="45">
        <v>22021003198</v>
      </c>
      <c r="E1743" s="46" t="s">
        <v>950</v>
      </c>
      <c r="F1743" s="48">
        <v>6647.2</v>
      </c>
      <c r="G1743" s="46" t="s">
        <v>2498</v>
      </c>
      <c r="H1743" s="46" t="s">
        <v>3028</v>
      </c>
      <c r="I1743" s="45" t="s">
        <v>125</v>
      </c>
      <c r="J1743" s="46" t="s">
        <v>2500</v>
      </c>
      <c r="K1743" s="46" t="s">
        <v>2175</v>
      </c>
      <c r="L1743" s="46" t="s">
        <v>12</v>
      </c>
      <c r="M1743" s="46" t="s">
        <v>10</v>
      </c>
      <c r="N1743" s="46" t="s">
        <v>11</v>
      </c>
      <c r="O1743" s="49" t="s">
        <v>815</v>
      </c>
      <c r="P1743" s="46" t="s">
        <v>507</v>
      </c>
      <c r="Q1743" s="35" t="str">
        <f>MID(Tabla1[[#This Row],[Aplicación]],14,1)</f>
        <v>2</v>
      </c>
      <c r="R1743" s="35" t="s">
        <v>495</v>
      </c>
      <c r="S1743" s="35" t="str">
        <f>MID(Tabla1[[#This Row],[Aplicación]],6,2)</f>
        <v>11</v>
      </c>
      <c r="T1743" s="35" t="str">
        <f>VLOOKUP(Tabla1[[#This Row],[AREA]],Hoja1!A:B,2,FALSE)</f>
        <v>11. Salud pública y seguridad ciudadana</v>
      </c>
      <c r="U1743" s="35" t="str">
        <f>MID(Tabla1[[#This Row],[Aplicación]],9,4)</f>
        <v>1321</v>
      </c>
      <c r="V1743" s="35" t="str">
        <f>VLOOKUP(Tabla1[[#This Row],[PROGRAMA]],Hoja1!A:B,2,FALSE)</f>
        <v>1321. Policía municipal</v>
      </c>
      <c r="W1743" s="35" t="str">
        <f>MID(Tabla1[[#This Row],[Aplicación]],14,2)</f>
        <v>21</v>
      </c>
      <c r="X1743" s="35" t="str">
        <f>MID(Tabla1[[#This Row],[Aplicación]],14,6)</f>
        <v>213</v>
      </c>
    </row>
    <row r="1744" spans="1:24" x14ac:dyDescent="0.25">
      <c r="A1744" s="45">
        <v>220200028357</v>
      </c>
      <c r="B1744" s="46" t="s">
        <v>9</v>
      </c>
      <c r="C1744" s="47">
        <v>44284</v>
      </c>
      <c r="D1744" s="45">
        <v>22020004439</v>
      </c>
      <c r="E1744" s="46" t="s">
        <v>2203</v>
      </c>
      <c r="F1744" s="48">
        <v>6655</v>
      </c>
      <c r="G1744" s="46" t="s">
        <v>3029</v>
      </c>
      <c r="H1744" s="46" t="s">
        <v>3030</v>
      </c>
      <c r="I1744" s="45" t="s">
        <v>125</v>
      </c>
      <c r="J1744" s="46" t="s">
        <v>126</v>
      </c>
      <c r="K1744" s="46" t="s">
        <v>126</v>
      </c>
      <c r="L1744" s="46" t="s">
        <v>12</v>
      </c>
      <c r="M1744" s="46" t="s">
        <v>10</v>
      </c>
      <c r="N1744" s="46" t="s">
        <v>11</v>
      </c>
      <c r="O1744" s="49" t="s">
        <v>815</v>
      </c>
      <c r="P1744" s="46" t="s">
        <v>507</v>
      </c>
      <c r="Q1744" s="35" t="str">
        <f>MID(Tabla1[[#This Row],[Aplicación]],14,1)</f>
        <v>6</v>
      </c>
      <c r="R1744" s="35" t="s">
        <v>496</v>
      </c>
      <c r="S1744" s="35" t="str">
        <f>MID(Tabla1[[#This Row],[Aplicación]],6,2)</f>
        <v>02</v>
      </c>
      <c r="T1744" s="35" t="str">
        <f>VLOOKUP(Tabla1[[#This Row],[AREA]],Hoja1!A:B,2,FALSE)</f>
        <v>02. Planeamiento urbanístico y vivienda</v>
      </c>
      <c r="U1744" s="35" t="str">
        <f>MID(Tabla1[[#This Row],[Aplicación]],9,4)</f>
        <v>1511</v>
      </c>
      <c r="V1744" s="35" t="str">
        <f>VLOOKUP(Tabla1[[#This Row],[PROGRAMA]],Hoja1!A:B,2,FALSE)</f>
        <v>1511. Planficación y gestión del urbanismo</v>
      </c>
      <c r="W1744" s="35" t="str">
        <f>MID(Tabla1[[#This Row],[Aplicación]],14,2)</f>
        <v>61</v>
      </c>
      <c r="X1744" s="35" t="str">
        <f>MID(Tabla1[[#This Row],[Aplicación]],14,6)</f>
        <v>619</v>
      </c>
    </row>
    <row r="1745" spans="1:24" x14ac:dyDescent="0.25">
      <c r="A1745" s="45">
        <v>220210009383</v>
      </c>
      <c r="B1745" s="46" t="s">
        <v>9</v>
      </c>
      <c r="C1745" s="47">
        <v>44270</v>
      </c>
      <c r="D1745" s="45">
        <v>22021003401</v>
      </c>
      <c r="E1745" s="46" t="s">
        <v>1660</v>
      </c>
      <c r="F1745" s="48">
        <v>500</v>
      </c>
      <c r="G1745" s="46" t="s">
        <v>2968</v>
      </c>
      <c r="H1745" s="46" t="s">
        <v>3031</v>
      </c>
      <c r="I1745" s="45" t="s">
        <v>125</v>
      </c>
      <c r="J1745" s="46" t="s">
        <v>157</v>
      </c>
      <c r="K1745" s="46" t="s">
        <v>157</v>
      </c>
      <c r="L1745" s="46" t="s">
        <v>12</v>
      </c>
      <c r="M1745" s="46" t="s">
        <v>10</v>
      </c>
      <c r="N1745" s="46" t="s">
        <v>11</v>
      </c>
      <c r="O1745" s="49" t="s">
        <v>815</v>
      </c>
      <c r="P1745" s="46" t="s">
        <v>507</v>
      </c>
      <c r="Q1745" s="35" t="str">
        <f>MID(Tabla1[[#This Row],[Aplicación]],14,1)</f>
        <v>2</v>
      </c>
      <c r="R1745" s="35" t="s">
        <v>495</v>
      </c>
      <c r="S1745" s="35" t="str">
        <f>MID(Tabla1[[#This Row],[Aplicación]],6,2)</f>
        <v>04</v>
      </c>
      <c r="T1745" s="35" t="str">
        <f>VLOOKUP(Tabla1[[#This Row],[AREA]],Hoja1!A:B,2,FALSE)</f>
        <v>04. Planificación y recursos</v>
      </c>
      <c r="U1745" s="35" t="str">
        <f>MID(Tabla1[[#This Row],[Aplicación]],9,4)</f>
        <v>9202</v>
      </c>
      <c r="V1745" s="35" t="str">
        <f>VLOOKUP(Tabla1[[#This Row],[PROGRAMA]],Hoja1!A:B,2,FALSE)</f>
        <v>9202. Gestión de recursos humanos</v>
      </c>
      <c r="W1745" s="35" t="str">
        <f>MID(Tabla1[[#This Row],[Aplicación]],14,2)</f>
        <v>22</v>
      </c>
      <c r="X1745" s="35" t="str">
        <f>MID(Tabla1[[#This Row],[Aplicación]],14,6)</f>
        <v>22607</v>
      </c>
    </row>
    <row r="1746" spans="1:24" x14ac:dyDescent="0.25">
      <c r="A1746" s="45">
        <v>220210006562</v>
      </c>
      <c r="B1746" s="46" t="s">
        <v>9</v>
      </c>
      <c r="C1746" s="47">
        <v>44256</v>
      </c>
      <c r="D1746" s="45">
        <v>22021002951</v>
      </c>
      <c r="E1746" s="46" t="s">
        <v>3032</v>
      </c>
      <c r="F1746" s="48">
        <v>6674.43</v>
      </c>
      <c r="G1746" s="46" t="s">
        <v>651</v>
      </c>
      <c r="H1746" s="46" t="s">
        <v>3033</v>
      </c>
      <c r="I1746" s="45" t="s">
        <v>125</v>
      </c>
      <c r="J1746" s="46" t="s">
        <v>652</v>
      </c>
      <c r="K1746" s="46" t="s">
        <v>126</v>
      </c>
      <c r="L1746" s="46" t="s">
        <v>12</v>
      </c>
      <c r="M1746" s="46" t="s">
        <v>10</v>
      </c>
      <c r="N1746" s="46" t="s">
        <v>11</v>
      </c>
      <c r="O1746" s="49" t="s">
        <v>815</v>
      </c>
      <c r="P1746" s="46" t="s">
        <v>507</v>
      </c>
      <c r="Q1746" s="35" t="str">
        <f>MID(Tabla1[[#This Row],[Aplicación]],14,1)</f>
        <v>2</v>
      </c>
      <c r="R1746" s="35" t="s">
        <v>495</v>
      </c>
      <c r="S1746" s="35" t="str">
        <f>MID(Tabla1[[#This Row],[Aplicación]],6,2)</f>
        <v>06</v>
      </c>
      <c r="T1746" s="35" t="str">
        <f>VLOOKUP(Tabla1[[#This Row],[AREA]],Hoja1!A:B,2,FALSE)</f>
        <v>06. Educación, infancia, juventud e igualdad</v>
      </c>
      <c r="U1746" s="35" t="str">
        <f>MID(Tabla1[[#This Row],[Aplicación]],9,4)</f>
        <v>2314</v>
      </c>
      <c r="V1746" s="35" t="str">
        <f>VLOOKUP(Tabla1[[#This Row],[PROGRAMA]],Hoja1!A:B,2,FALSE)</f>
        <v>2314. Centro de programas juveniles</v>
      </c>
      <c r="W1746" s="35" t="str">
        <f>MID(Tabla1[[#This Row],[Aplicación]],14,2)</f>
        <v>22</v>
      </c>
      <c r="X1746" s="35" t="str">
        <f>MID(Tabla1[[#This Row],[Aplicación]],14,6)</f>
        <v>22701</v>
      </c>
    </row>
    <row r="1747" spans="1:24" x14ac:dyDescent="0.25">
      <c r="A1747" s="45">
        <v>220210001025</v>
      </c>
      <c r="B1747" s="46" t="s">
        <v>9</v>
      </c>
      <c r="C1747" s="47">
        <v>44223</v>
      </c>
      <c r="D1747" s="45">
        <v>22021002032</v>
      </c>
      <c r="E1747" s="46" t="s">
        <v>1378</v>
      </c>
      <c r="F1747" s="48">
        <v>6704.61</v>
      </c>
      <c r="G1747" s="46" t="s">
        <v>544</v>
      </c>
      <c r="H1747" s="46" t="s">
        <v>3034</v>
      </c>
      <c r="I1747" s="45" t="s">
        <v>125</v>
      </c>
      <c r="J1747" s="46" t="s">
        <v>127</v>
      </c>
      <c r="K1747" s="46" t="s">
        <v>127</v>
      </c>
      <c r="L1747" s="46" t="s">
        <v>15</v>
      </c>
      <c r="M1747" s="46" t="s">
        <v>10</v>
      </c>
      <c r="N1747" s="46" t="s">
        <v>11</v>
      </c>
      <c r="O1747" s="49" t="s">
        <v>815</v>
      </c>
      <c r="P1747" s="46" t="s">
        <v>507</v>
      </c>
      <c r="Q1747" s="35" t="str">
        <f>MID(Tabla1[[#This Row],[Aplicación]],14,1)</f>
        <v>2</v>
      </c>
      <c r="R1747" s="35" t="s">
        <v>495</v>
      </c>
      <c r="S1747" s="35" t="str">
        <f>MID(Tabla1[[#This Row],[Aplicación]],6,2)</f>
        <v>01</v>
      </c>
      <c r="T1747" s="35" t="str">
        <f>VLOOKUP(Tabla1[[#This Row],[AREA]],Hoja1!A:B,2,FALSE)</f>
        <v>01. Alcaldía</v>
      </c>
      <c r="U1747" s="35" t="str">
        <f>MID(Tabla1[[#This Row],[Aplicación]],9,4)</f>
        <v>9205</v>
      </c>
      <c r="V1747" s="35" t="str">
        <f>VLOOKUP(Tabla1[[#This Row],[PROGRAMA]],Hoja1!A:B,2,FALSE)</f>
        <v>9205. Imprenta municipal</v>
      </c>
      <c r="W1747" s="35" t="str">
        <f>MID(Tabla1[[#This Row],[Aplicación]],14,2)</f>
        <v>22</v>
      </c>
      <c r="X1747" s="35" t="str">
        <f>MID(Tabla1[[#This Row],[Aplicación]],14,6)</f>
        <v>22199</v>
      </c>
    </row>
    <row r="1748" spans="1:24" x14ac:dyDescent="0.25">
      <c r="A1748" s="45">
        <v>220210009387</v>
      </c>
      <c r="B1748" s="46" t="s">
        <v>9</v>
      </c>
      <c r="C1748" s="47">
        <v>44270</v>
      </c>
      <c r="D1748" s="45">
        <v>22021003427</v>
      </c>
      <c r="E1748" s="46" t="s">
        <v>1314</v>
      </c>
      <c r="F1748" s="48">
        <v>32.65</v>
      </c>
      <c r="G1748" s="46" t="s">
        <v>150</v>
      </c>
      <c r="H1748" s="46" t="s">
        <v>3035</v>
      </c>
      <c r="I1748" s="45" t="s">
        <v>125</v>
      </c>
      <c r="J1748" s="46" t="s">
        <v>146</v>
      </c>
      <c r="K1748" s="46" t="s">
        <v>146</v>
      </c>
      <c r="L1748" s="46" t="s">
        <v>15</v>
      </c>
      <c r="M1748" s="46" t="s">
        <v>10</v>
      </c>
      <c r="N1748" s="46" t="s">
        <v>11</v>
      </c>
      <c r="O1748" s="49" t="s">
        <v>815</v>
      </c>
      <c r="P1748" s="46" t="s">
        <v>507</v>
      </c>
      <c r="Q1748" s="35" t="str">
        <f>MID(Tabla1[[#This Row],[Aplicación]],14,1)</f>
        <v>2</v>
      </c>
      <c r="R1748" s="35" t="s">
        <v>495</v>
      </c>
      <c r="S1748" s="35" t="str">
        <f>MID(Tabla1[[#This Row],[Aplicación]],6,2)</f>
        <v>01</v>
      </c>
      <c r="T1748" s="35" t="str">
        <f>VLOOKUP(Tabla1[[#This Row],[AREA]],Hoja1!A:B,2,FALSE)</f>
        <v>01. Alcaldía</v>
      </c>
      <c r="U1748" s="35" t="str">
        <f>MID(Tabla1[[#This Row],[Aplicación]],9,4)</f>
        <v>9206</v>
      </c>
      <c r="V1748" s="35" t="str">
        <f>VLOOKUP(Tabla1[[#This Row],[PROGRAMA]],Hoja1!A:B,2,FALSE)</f>
        <v>9206. Archivo municipal</v>
      </c>
      <c r="W1748" s="35" t="str">
        <f>MID(Tabla1[[#This Row],[Aplicación]],14,2)</f>
        <v>22</v>
      </c>
      <c r="X1748" s="35" t="str">
        <f>MID(Tabla1[[#This Row],[Aplicación]],14,6)</f>
        <v>22199</v>
      </c>
    </row>
    <row r="1749" spans="1:24" x14ac:dyDescent="0.25">
      <c r="A1749" s="45">
        <v>220210009388</v>
      </c>
      <c r="B1749" s="46" t="s">
        <v>9</v>
      </c>
      <c r="C1749" s="47">
        <v>44270</v>
      </c>
      <c r="D1749" s="45">
        <v>22021003429</v>
      </c>
      <c r="E1749" s="46" t="s">
        <v>3036</v>
      </c>
      <c r="F1749" s="48">
        <v>1034.55</v>
      </c>
      <c r="G1749" s="46" t="s">
        <v>561</v>
      </c>
      <c r="H1749" s="46" t="s">
        <v>3037</v>
      </c>
      <c r="I1749" s="45" t="s">
        <v>125</v>
      </c>
      <c r="J1749" s="46" t="s">
        <v>127</v>
      </c>
      <c r="K1749" s="46" t="s">
        <v>127</v>
      </c>
      <c r="L1749" s="46" t="s">
        <v>15</v>
      </c>
      <c r="M1749" s="46" t="s">
        <v>10</v>
      </c>
      <c r="N1749" s="46" t="s">
        <v>11</v>
      </c>
      <c r="O1749" s="49" t="s">
        <v>815</v>
      </c>
      <c r="P1749" s="46" t="s">
        <v>507</v>
      </c>
      <c r="Q1749" s="35" t="str">
        <f>MID(Tabla1[[#This Row],[Aplicación]],14,1)</f>
        <v>6</v>
      </c>
      <c r="R1749" s="35" t="s">
        <v>496</v>
      </c>
      <c r="S1749" s="35" t="str">
        <f>MID(Tabla1[[#This Row],[Aplicación]],6,2)</f>
        <v>01</v>
      </c>
      <c r="T1749" s="35" t="str">
        <f>VLOOKUP(Tabla1[[#This Row],[AREA]],Hoja1!A:B,2,FALSE)</f>
        <v>01. Alcaldía</v>
      </c>
      <c r="U1749" s="35" t="str">
        <f>MID(Tabla1[[#This Row],[Aplicación]],9,4)</f>
        <v>9206</v>
      </c>
      <c r="V1749" s="35" t="str">
        <f>VLOOKUP(Tabla1[[#This Row],[PROGRAMA]],Hoja1!A:B,2,FALSE)</f>
        <v>9206. Archivo municipal</v>
      </c>
      <c r="W1749" s="35" t="str">
        <f>MID(Tabla1[[#This Row],[Aplicación]],14,2)</f>
        <v>62</v>
      </c>
      <c r="X1749" s="35" t="str">
        <f>MID(Tabla1[[#This Row],[Aplicación]],14,6)</f>
        <v>623</v>
      </c>
    </row>
    <row r="1750" spans="1:24" x14ac:dyDescent="0.25">
      <c r="A1750" s="45">
        <v>220210003990</v>
      </c>
      <c r="B1750" s="46" t="s">
        <v>9</v>
      </c>
      <c r="C1750" s="47">
        <v>44244</v>
      </c>
      <c r="D1750" s="45">
        <v>22021002562</v>
      </c>
      <c r="E1750" s="46" t="s">
        <v>866</v>
      </c>
      <c r="F1750" s="48">
        <v>7000</v>
      </c>
      <c r="G1750" s="46" t="s">
        <v>757</v>
      </c>
      <c r="H1750" s="46" t="s">
        <v>3038</v>
      </c>
      <c r="I1750" s="45" t="s">
        <v>125</v>
      </c>
      <c r="J1750" s="46" t="s">
        <v>146</v>
      </c>
      <c r="K1750" s="46" t="s">
        <v>146</v>
      </c>
      <c r="L1750" s="46" t="s">
        <v>15</v>
      </c>
      <c r="M1750" s="46" t="s">
        <v>10</v>
      </c>
      <c r="N1750" s="46" t="s">
        <v>11</v>
      </c>
      <c r="O1750" s="49" t="s">
        <v>815</v>
      </c>
      <c r="P1750" s="46" t="s">
        <v>507</v>
      </c>
      <c r="Q1750" s="35" t="str">
        <f>MID(Tabla1[[#This Row],[Aplicación]],14,1)</f>
        <v>2</v>
      </c>
      <c r="R1750" s="35" t="s">
        <v>495</v>
      </c>
      <c r="S1750" s="35" t="str">
        <f>MID(Tabla1[[#This Row],[Aplicación]],6,2)</f>
        <v>07</v>
      </c>
      <c r="T1750" s="35" t="str">
        <f>VLOOKUP(Tabla1[[#This Row],[AREA]],Hoja1!A:B,2,FALSE)</f>
        <v>07. Medio ambiente y desarrollo sostenible</v>
      </c>
      <c r="U1750" s="35" t="str">
        <f>MID(Tabla1[[#This Row],[Aplicación]],9,4)</f>
        <v>1721</v>
      </c>
      <c r="V1750" s="35" t="str">
        <f>VLOOKUP(Tabla1[[#This Row],[PROGRAMA]],Hoja1!A:B,2,FALSE)</f>
        <v>1721. Protección del medio ambiente</v>
      </c>
      <c r="W1750" s="35" t="str">
        <f>MID(Tabla1[[#This Row],[Aplicación]],14,2)</f>
        <v>22</v>
      </c>
      <c r="X1750" s="35" t="str">
        <f>MID(Tabla1[[#This Row],[Aplicación]],14,6)</f>
        <v>22199</v>
      </c>
    </row>
    <row r="1751" spans="1:24" x14ac:dyDescent="0.25">
      <c r="A1751" s="45">
        <v>220210009391</v>
      </c>
      <c r="B1751" s="46" t="s">
        <v>9</v>
      </c>
      <c r="C1751" s="47">
        <v>44270</v>
      </c>
      <c r="D1751" s="45">
        <v>22021003372</v>
      </c>
      <c r="E1751" s="46" t="s">
        <v>1263</v>
      </c>
      <c r="F1751" s="48">
        <v>1458.59</v>
      </c>
      <c r="G1751" s="46" t="s">
        <v>583</v>
      </c>
      <c r="H1751" s="46" t="s">
        <v>3039</v>
      </c>
      <c r="I1751" s="45" t="s">
        <v>125</v>
      </c>
      <c r="J1751" s="46" t="s">
        <v>127</v>
      </c>
      <c r="K1751" s="46" t="s">
        <v>127</v>
      </c>
      <c r="L1751" s="46" t="s">
        <v>12</v>
      </c>
      <c r="M1751" s="46" t="s">
        <v>10</v>
      </c>
      <c r="N1751" s="46" t="s">
        <v>11</v>
      </c>
      <c r="O1751" s="49" t="s">
        <v>815</v>
      </c>
      <c r="P1751" s="46" t="s">
        <v>507</v>
      </c>
      <c r="Q1751" s="35" t="str">
        <f>MID(Tabla1[[#This Row],[Aplicación]],14,1)</f>
        <v>2</v>
      </c>
      <c r="R1751" s="35" t="s">
        <v>495</v>
      </c>
      <c r="S1751" s="35" t="str">
        <f>MID(Tabla1[[#This Row],[Aplicación]],6,2)</f>
        <v>02</v>
      </c>
      <c r="T1751" s="35" t="str">
        <f>VLOOKUP(Tabla1[[#This Row],[AREA]],Hoja1!A:B,2,FALSE)</f>
        <v>02. Planeamiento urbanístico y vivienda</v>
      </c>
      <c r="U1751" s="35" t="str">
        <f>MID(Tabla1[[#This Row],[Aplicación]],9,4)</f>
        <v>9332</v>
      </c>
      <c r="V1751" s="35" t="str">
        <f>VLOOKUP(Tabla1[[#This Row],[PROGRAMA]],Hoja1!A:B,2,FALSE)</f>
        <v>9332. Mantenimiento de edificios e instalaciones municipales</v>
      </c>
      <c r="W1751" s="35" t="str">
        <f>MID(Tabla1[[#This Row],[Aplicación]],14,2)</f>
        <v>21</v>
      </c>
      <c r="X1751" s="35" t="str">
        <f>MID(Tabla1[[#This Row],[Aplicación]],14,6)</f>
        <v>213</v>
      </c>
    </row>
    <row r="1752" spans="1:24" x14ac:dyDescent="0.25">
      <c r="A1752" s="45">
        <v>220209000762</v>
      </c>
      <c r="B1752" s="46" t="s">
        <v>9</v>
      </c>
      <c r="C1752" s="47">
        <v>44198</v>
      </c>
      <c r="D1752" s="45">
        <v>22021000486</v>
      </c>
      <c r="E1752" s="46" t="s">
        <v>886</v>
      </c>
      <c r="F1752" s="48">
        <v>2122.4</v>
      </c>
      <c r="G1752" s="46" t="s">
        <v>53</v>
      </c>
      <c r="H1752" s="46" t="s">
        <v>3040</v>
      </c>
      <c r="I1752" s="45" t="s">
        <v>125</v>
      </c>
      <c r="J1752" s="46" t="s">
        <v>127</v>
      </c>
      <c r="K1752" s="46" t="s">
        <v>127</v>
      </c>
      <c r="L1752" s="46" t="s">
        <v>12</v>
      </c>
      <c r="M1752" s="46" t="s">
        <v>10</v>
      </c>
      <c r="N1752" s="46" t="s">
        <v>11</v>
      </c>
      <c r="O1752" s="49" t="s">
        <v>815</v>
      </c>
      <c r="P1752" s="46" t="s">
        <v>507</v>
      </c>
      <c r="Q1752" s="35" t="str">
        <f>MID(Tabla1[[#This Row],[Aplicación]],14,1)</f>
        <v>2</v>
      </c>
      <c r="R1752" s="35" t="s">
        <v>495</v>
      </c>
      <c r="S1752" s="35" t="str">
        <f>MID(Tabla1[[#This Row],[Aplicación]],6,2)</f>
        <v>10</v>
      </c>
      <c r="T1752" s="35" t="str">
        <f>VLOOKUP(Tabla1[[#This Row],[AREA]],Hoja1!A:B,2,FALSE)</f>
        <v>10. Servicios sociales y mediación comunitaria</v>
      </c>
      <c r="U1752" s="35" t="str">
        <f>MID(Tabla1[[#This Row],[Aplicación]],9,4)</f>
        <v>2311</v>
      </c>
      <c r="V1752" s="35" t="str">
        <f>VLOOKUP(Tabla1[[#This Row],[PROGRAMA]],Hoja1!A:B,2,FALSE)</f>
        <v>2311. Intervención social</v>
      </c>
      <c r="W1752" s="35" t="str">
        <f>MID(Tabla1[[#This Row],[Aplicación]],14,2)</f>
        <v>21</v>
      </c>
      <c r="X1752" s="35" t="str">
        <f>MID(Tabla1[[#This Row],[Aplicación]],14,6)</f>
        <v>213</v>
      </c>
    </row>
    <row r="1753" spans="1:24" x14ac:dyDescent="0.25">
      <c r="A1753" s="45">
        <v>220209000678</v>
      </c>
      <c r="B1753" s="46" t="s">
        <v>9</v>
      </c>
      <c r="C1753" s="47">
        <v>44198</v>
      </c>
      <c r="D1753" s="45">
        <v>22021000533</v>
      </c>
      <c r="E1753" s="46" t="s">
        <v>1724</v>
      </c>
      <c r="F1753" s="48">
        <v>89583.26</v>
      </c>
      <c r="G1753" s="46" t="s">
        <v>3011</v>
      </c>
      <c r="H1753" s="46" t="s">
        <v>3041</v>
      </c>
      <c r="I1753" s="45" t="s">
        <v>125</v>
      </c>
      <c r="J1753" s="46" t="s">
        <v>127</v>
      </c>
      <c r="K1753" s="46" t="s">
        <v>127</v>
      </c>
      <c r="L1753" s="46" t="s">
        <v>31</v>
      </c>
      <c r="M1753" s="46" t="s">
        <v>13</v>
      </c>
      <c r="N1753" s="46" t="s">
        <v>14</v>
      </c>
      <c r="O1753" s="49" t="s">
        <v>814</v>
      </c>
      <c r="P1753" s="46" t="s">
        <v>507</v>
      </c>
      <c r="Q1753" s="35" t="str">
        <f>MID(Tabla1[[#This Row],[Aplicación]],14,1)</f>
        <v>6</v>
      </c>
      <c r="R1753" s="35" t="s">
        <v>496</v>
      </c>
      <c r="S1753" s="35" t="str">
        <f>MID(Tabla1[[#This Row],[Aplicación]],6,2)</f>
        <v>07</v>
      </c>
      <c r="T1753" s="35" t="str">
        <f>VLOOKUP(Tabla1[[#This Row],[AREA]],Hoja1!A:B,2,FALSE)</f>
        <v>07. Medio ambiente y desarrollo sostenible</v>
      </c>
      <c r="U1753" s="35" t="str">
        <f>MID(Tabla1[[#This Row],[Aplicación]],9,4)</f>
        <v>1711</v>
      </c>
      <c r="V1753" s="35" t="str">
        <f>VLOOKUP(Tabla1[[#This Row],[PROGRAMA]],Hoja1!A:B,2,FALSE)</f>
        <v>1711. Parques y jardines</v>
      </c>
      <c r="W1753" s="35" t="str">
        <f>MID(Tabla1[[#This Row],[Aplicación]],14,2)</f>
        <v>61</v>
      </c>
      <c r="X1753" s="35" t="str">
        <f>MID(Tabla1[[#This Row],[Aplicación]],14,6)</f>
        <v>619</v>
      </c>
    </row>
    <row r="1754" spans="1:24" x14ac:dyDescent="0.25">
      <c r="A1754" s="45">
        <v>220210007119</v>
      </c>
      <c r="B1754" s="46" t="s">
        <v>9</v>
      </c>
      <c r="C1754" s="47">
        <v>44260</v>
      </c>
      <c r="D1754" s="45">
        <v>22021003174</v>
      </c>
      <c r="E1754" s="46" t="s">
        <v>1655</v>
      </c>
      <c r="F1754" s="48">
        <v>7108.75</v>
      </c>
      <c r="G1754" s="46" t="s">
        <v>3042</v>
      </c>
      <c r="H1754" s="46" t="s">
        <v>3043</v>
      </c>
      <c r="I1754" s="45" t="s">
        <v>125</v>
      </c>
      <c r="J1754" s="46" t="s">
        <v>126</v>
      </c>
      <c r="K1754" s="46" t="s">
        <v>126</v>
      </c>
      <c r="L1754" s="46" t="s">
        <v>12</v>
      </c>
      <c r="M1754" s="46" t="s">
        <v>10</v>
      </c>
      <c r="N1754" s="46" t="s">
        <v>11</v>
      </c>
      <c r="O1754" s="49" t="s">
        <v>815</v>
      </c>
      <c r="P1754" s="46" t="s">
        <v>507</v>
      </c>
      <c r="Q1754" s="35" t="str">
        <f>MID(Tabla1[[#This Row],[Aplicación]],14,1)</f>
        <v>2</v>
      </c>
      <c r="R1754" s="35" t="s">
        <v>495</v>
      </c>
      <c r="S1754" s="35" t="str">
        <f>MID(Tabla1[[#This Row],[Aplicación]],6,2)</f>
        <v>08</v>
      </c>
      <c r="T1754" s="35" t="str">
        <f>VLOOKUP(Tabla1[[#This Row],[AREA]],Hoja1!A:B,2,FALSE)</f>
        <v>08. Movilidad y espacio urbano</v>
      </c>
      <c r="U1754" s="35" t="str">
        <f>MID(Tabla1[[#This Row],[Aplicación]],9,4)</f>
        <v>1341</v>
      </c>
      <c r="V1754" s="35" t="str">
        <f>VLOOKUP(Tabla1[[#This Row],[PROGRAMA]],Hoja1!A:B,2,FALSE)</f>
        <v>1341. Movilidad</v>
      </c>
      <c r="W1754" s="35" t="str">
        <f>MID(Tabla1[[#This Row],[Aplicación]],14,2)</f>
        <v>22</v>
      </c>
      <c r="X1754" s="35" t="str">
        <f>MID(Tabla1[[#This Row],[Aplicación]],14,6)</f>
        <v>22706</v>
      </c>
    </row>
    <row r="1755" spans="1:24" x14ac:dyDescent="0.25">
      <c r="A1755" s="45">
        <v>220210007195</v>
      </c>
      <c r="B1755" s="46" t="s">
        <v>9</v>
      </c>
      <c r="C1755" s="47">
        <v>44263</v>
      </c>
      <c r="D1755" s="45">
        <v>22021003065</v>
      </c>
      <c r="E1755" s="46" t="s">
        <v>2528</v>
      </c>
      <c r="F1755" s="48">
        <v>7139</v>
      </c>
      <c r="G1755" s="46" t="s">
        <v>3044</v>
      </c>
      <c r="H1755" s="46" t="s">
        <v>3045</v>
      </c>
      <c r="I1755" s="45" t="s">
        <v>125</v>
      </c>
      <c r="J1755" s="46" t="s">
        <v>127</v>
      </c>
      <c r="K1755" s="46" t="s">
        <v>127</v>
      </c>
      <c r="L1755" s="46" t="s">
        <v>12</v>
      </c>
      <c r="M1755" s="46" t="s">
        <v>10</v>
      </c>
      <c r="N1755" s="46" t="s">
        <v>11</v>
      </c>
      <c r="O1755" s="49" t="s">
        <v>815</v>
      </c>
      <c r="P1755" s="46" t="s">
        <v>507</v>
      </c>
      <c r="Q1755" s="35" t="str">
        <f>MID(Tabla1[[#This Row],[Aplicación]],14,1)</f>
        <v>2</v>
      </c>
      <c r="R1755" s="35" t="s">
        <v>495</v>
      </c>
      <c r="S1755" s="35" t="str">
        <f>MID(Tabla1[[#This Row],[Aplicación]],6,2)</f>
        <v>01</v>
      </c>
      <c r="T1755" s="35" t="str">
        <f>VLOOKUP(Tabla1[[#This Row],[AREA]],Hoja1!A:B,2,FALSE)</f>
        <v>01. Alcaldía</v>
      </c>
      <c r="U1755" s="35" t="str">
        <f>MID(Tabla1[[#This Row],[Aplicación]],9,4)</f>
        <v>9206</v>
      </c>
      <c r="V1755" s="35" t="str">
        <f>VLOOKUP(Tabla1[[#This Row],[PROGRAMA]],Hoja1!A:B,2,FALSE)</f>
        <v>9206. Archivo municipal</v>
      </c>
      <c r="W1755" s="35" t="str">
        <f>MID(Tabla1[[#This Row],[Aplicación]],14,2)</f>
        <v>22</v>
      </c>
      <c r="X1755" s="35" t="str">
        <f>MID(Tabla1[[#This Row],[Aplicación]],14,6)</f>
        <v>22799</v>
      </c>
    </row>
    <row r="1756" spans="1:24" x14ac:dyDescent="0.25">
      <c r="A1756" s="45">
        <v>220210009396</v>
      </c>
      <c r="B1756" s="46" t="s">
        <v>9</v>
      </c>
      <c r="C1756" s="47">
        <v>44270</v>
      </c>
      <c r="D1756" s="45">
        <v>22021003456</v>
      </c>
      <c r="E1756" s="46" t="s">
        <v>1596</v>
      </c>
      <c r="F1756" s="48">
        <v>529.53</v>
      </c>
      <c r="G1756" s="46" t="s">
        <v>540</v>
      </c>
      <c r="H1756" s="46" t="s">
        <v>3046</v>
      </c>
      <c r="I1756" s="45" t="s">
        <v>125</v>
      </c>
      <c r="J1756" s="46" t="s">
        <v>778</v>
      </c>
      <c r="K1756" s="46" t="s">
        <v>126</v>
      </c>
      <c r="L1756" s="46" t="s">
        <v>12</v>
      </c>
      <c r="M1756" s="46" t="s">
        <v>10</v>
      </c>
      <c r="N1756" s="46" t="s">
        <v>11</v>
      </c>
      <c r="O1756" s="49" t="s">
        <v>815</v>
      </c>
      <c r="P1756" s="46" t="s">
        <v>507</v>
      </c>
      <c r="Q1756" s="35" t="str">
        <f>MID(Tabla1[[#This Row],[Aplicación]],14,1)</f>
        <v>2</v>
      </c>
      <c r="R1756" s="35" t="s">
        <v>495</v>
      </c>
      <c r="S1756" s="35" t="str">
        <f>MID(Tabla1[[#This Row],[Aplicación]],6,2)</f>
        <v>11</v>
      </c>
      <c r="T1756" s="35" t="str">
        <f>VLOOKUP(Tabla1[[#This Row],[AREA]],Hoja1!A:B,2,FALSE)</f>
        <v>11. Salud pública y seguridad ciudadana</v>
      </c>
      <c r="U1756" s="35" t="str">
        <f>MID(Tabla1[[#This Row],[Aplicación]],9,4)</f>
        <v>1321</v>
      </c>
      <c r="V1756" s="35" t="str">
        <f>VLOOKUP(Tabla1[[#This Row],[PROGRAMA]],Hoja1!A:B,2,FALSE)</f>
        <v>1321. Policía municipal</v>
      </c>
      <c r="W1756" s="35" t="str">
        <f>MID(Tabla1[[#This Row],[Aplicación]],14,2)</f>
        <v>22</v>
      </c>
      <c r="X1756" s="35" t="str">
        <f>MID(Tabla1[[#This Row],[Aplicación]],14,6)</f>
        <v>22699</v>
      </c>
    </row>
    <row r="1757" spans="1:24" x14ac:dyDescent="0.25">
      <c r="A1757" s="45">
        <v>220210009397</v>
      </c>
      <c r="B1757" s="46" t="s">
        <v>9</v>
      </c>
      <c r="C1757" s="47">
        <v>44270</v>
      </c>
      <c r="D1757" s="45">
        <v>22021003393</v>
      </c>
      <c r="E1757" s="46" t="s">
        <v>1623</v>
      </c>
      <c r="F1757" s="48">
        <v>104</v>
      </c>
      <c r="G1757" s="46" t="s">
        <v>720</v>
      </c>
      <c r="H1757" s="46" t="s">
        <v>3047</v>
      </c>
      <c r="I1757" s="45" t="s">
        <v>125</v>
      </c>
      <c r="J1757" s="46" t="s">
        <v>127</v>
      </c>
      <c r="K1757" s="46" t="s">
        <v>127</v>
      </c>
      <c r="L1757" s="46" t="s">
        <v>15</v>
      </c>
      <c r="M1757" s="46" t="s">
        <v>10</v>
      </c>
      <c r="N1757" s="46" t="s">
        <v>11</v>
      </c>
      <c r="O1757" s="49" t="s">
        <v>815</v>
      </c>
      <c r="P1757" s="46" t="s">
        <v>507</v>
      </c>
      <c r="Q1757" s="35" t="str">
        <f>MID(Tabla1[[#This Row],[Aplicación]],14,1)</f>
        <v>2</v>
      </c>
      <c r="R1757" s="35" t="s">
        <v>495</v>
      </c>
      <c r="S1757" s="35" t="str">
        <f>MID(Tabla1[[#This Row],[Aplicación]],6,2)</f>
        <v>01</v>
      </c>
      <c r="T1757" s="35" t="str">
        <f>VLOOKUP(Tabla1[[#This Row],[AREA]],Hoja1!A:B,2,FALSE)</f>
        <v>01. Alcaldía</v>
      </c>
      <c r="U1757" s="35" t="str">
        <f>MID(Tabla1[[#This Row],[Aplicación]],9,4)</f>
        <v>9207</v>
      </c>
      <c r="V1757" s="35" t="str">
        <f>VLOOKUP(Tabla1[[#This Row],[PROGRAMA]],Hoja1!A:B,2,FALSE)</f>
        <v>9207. Gobierno y relaciones</v>
      </c>
      <c r="W1757" s="35" t="str">
        <f>MID(Tabla1[[#This Row],[Aplicación]],14,2)</f>
        <v>22</v>
      </c>
      <c r="X1757" s="35" t="str">
        <f>MID(Tabla1[[#This Row],[Aplicación]],14,6)</f>
        <v>22001</v>
      </c>
    </row>
    <row r="1758" spans="1:24" x14ac:dyDescent="0.25">
      <c r="A1758" s="45">
        <v>220210009398</v>
      </c>
      <c r="B1758" s="46" t="s">
        <v>9</v>
      </c>
      <c r="C1758" s="47">
        <v>44270</v>
      </c>
      <c r="D1758" s="45">
        <v>22021003411</v>
      </c>
      <c r="E1758" s="46" t="s">
        <v>1161</v>
      </c>
      <c r="F1758" s="48">
        <v>73.37</v>
      </c>
      <c r="G1758" s="46" t="s">
        <v>131</v>
      </c>
      <c r="H1758" s="46" t="s">
        <v>3048</v>
      </c>
      <c r="I1758" s="45" t="s">
        <v>125</v>
      </c>
      <c r="J1758" s="46" t="s">
        <v>660</v>
      </c>
      <c r="K1758" s="46" t="s">
        <v>126</v>
      </c>
      <c r="L1758" s="46" t="s">
        <v>15</v>
      </c>
      <c r="M1758" s="46" t="s">
        <v>10</v>
      </c>
      <c r="N1758" s="46" t="s">
        <v>11</v>
      </c>
      <c r="O1758" s="49" t="s">
        <v>815</v>
      </c>
      <c r="P1758" s="46" t="s">
        <v>507</v>
      </c>
      <c r="Q1758" s="35" t="str">
        <f>MID(Tabla1[[#This Row],[Aplicación]],14,1)</f>
        <v>2</v>
      </c>
      <c r="R1758" s="35" t="s">
        <v>495</v>
      </c>
      <c r="S1758" s="35" t="str">
        <f>MID(Tabla1[[#This Row],[Aplicación]],6,2)</f>
        <v>11</v>
      </c>
      <c r="T1758" s="35" t="str">
        <f>VLOOKUP(Tabla1[[#This Row],[AREA]],Hoja1!A:B,2,FALSE)</f>
        <v>11. Salud pública y seguridad ciudadana</v>
      </c>
      <c r="U1758" s="35" t="str">
        <f>MID(Tabla1[[#This Row],[Aplicación]],9,4)</f>
        <v>1321</v>
      </c>
      <c r="V1758" s="35" t="str">
        <f>VLOOKUP(Tabla1[[#This Row],[PROGRAMA]],Hoja1!A:B,2,FALSE)</f>
        <v>1321. Policía municipal</v>
      </c>
      <c r="W1758" s="35" t="str">
        <f>MID(Tabla1[[#This Row],[Aplicación]],14,2)</f>
        <v>22</v>
      </c>
      <c r="X1758" s="35" t="str">
        <f>MID(Tabla1[[#This Row],[Aplicación]],14,6)</f>
        <v>22103</v>
      </c>
    </row>
    <row r="1759" spans="1:24" x14ac:dyDescent="0.25">
      <c r="A1759" s="45">
        <v>220209000728</v>
      </c>
      <c r="B1759" s="46" t="s">
        <v>9</v>
      </c>
      <c r="C1759" s="47">
        <v>44198</v>
      </c>
      <c r="D1759" s="45">
        <v>22021000463</v>
      </c>
      <c r="E1759" s="46" t="s">
        <v>982</v>
      </c>
      <c r="F1759" s="48">
        <v>2477</v>
      </c>
      <c r="G1759" s="46" t="s">
        <v>53</v>
      </c>
      <c r="H1759" s="46" t="s">
        <v>3049</v>
      </c>
      <c r="I1759" s="45" t="s">
        <v>125</v>
      </c>
      <c r="J1759" s="46" t="s">
        <v>127</v>
      </c>
      <c r="K1759" s="46" t="s">
        <v>127</v>
      </c>
      <c r="L1759" s="46" t="s">
        <v>12</v>
      </c>
      <c r="M1759" s="46" t="s">
        <v>10</v>
      </c>
      <c r="N1759" s="46" t="s">
        <v>11</v>
      </c>
      <c r="O1759" s="49" t="s">
        <v>815</v>
      </c>
      <c r="P1759" s="46" t="s">
        <v>507</v>
      </c>
      <c r="Q1759" s="35" t="str">
        <f>MID(Tabla1[[#This Row],[Aplicación]],14,1)</f>
        <v>2</v>
      </c>
      <c r="R1759" s="35" t="s">
        <v>495</v>
      </c>
      <c r="S1759" s="35" t="str">
        <f>MID(Tabla1[[#This Row],[Aplicación]],6,2)</f>
        <v>10</v>
      </c>
      <c r="T1759" s="35" t="str">
        <f>VLOOKUP(Tabla1[[#This Row],[AREA]],Hoja1!A:B,2,FALSE)</f>
        <v>10. Servicios sociales y mediación comunitaria</v>
      </c>
      <c r="U1759" s="35" t="str">
        <f>MID(Tabla1[[#This Row],[Aplicación]],9,4)</f>
        <v>2312</v>
      </c>
      <c r="V1759" s="35" t="str">
        <f>VLOOKUP(Tabla1[[#This Row],[PROGRAMA]],Hoja1!A:B,2,FALSE)</f>
        <v>2312. Iniciativas sociales</v>
      </c>
      <c r="W1759" s="35" t="str">
        <f>MID(Tabla1[[#This Row],[Aplicación]],14,2)</f>
        <v>21</v>
      </c>
      <c r="X1759" s="35" t="str">
        <f>MID(Tabla1[[#This Row],[Aplicación]],14,6)</f>
        <v>213</v>
      </c>
    </row>
    <row r="1760" spans="1:24" x14ac:dyDescent="0.25">
      <c r="A1760" s="45">
        <v>220200062285</v>
      </c>
      <c r="B1760" s="46" t="s">
        <v>9</v>
      </c>
      <c r="C1760" s="47">
        <v>44284</v>
      </c>
      <c r="D1760" s="45">
        <v>22020005818</v>
      </c>
      <c r="E1760" s="46" t="s">
        <v>1724</v>
      </c>
      <c r="F1760" s="48">
        <v>191229.33</v>
      </c>
      <c r="G1760" s="46" t="s">
        <v>3011</v>
      </c>
      <c r="H1760" s="46" t="s">
        <v>3050</v>
      </c>
      <c r="I1760" s="45" t="s">
        <v>125</v>
      </c>
      <c r="J1760" s="46" t="s">
        <v>127</v>
      </c>
      <c r="K1760" s="46" t="s">
        <v>127</v>
      </c>
      <c r="L1760" s="46" t="s">
        <v>31</v>
      </c>
      <c r="M1760" s="46" t="s">
        <v>13</v>
      </c>
      <c r="N1760" s="46" t="s">
        <v>14</v>
      </c>
      <c r="O1760" s="49" t="s">
        <v>814</v>
      </c>
      <c r="P1760" s="46" t="s">
        <v>507</v>
      </c>
      <c r="Q1760" s="35" t="str">
        <f>MID(Tabla1[[#This Row],[Aplicación]],14,1)</f>
        <v>6</v>
      </c>
      <c r="R1760" s="35" t="s">
        <v>496</v>
      </c>
      <c r="S1760" s="35" t="str">
        <f>MID(Tabla1[[#This Row],[Aplicación]],6,2)</f>
        <v>07</v>
      </c>
      <c r="T1760" s="35" t="str">
        <f>VLOOKUP(Tabla1[[#This Row],[AREA]],Hoja1!A:B,2,FALSE)</f>
        <v>07. Medio ambiente y desarrollo sostenible</v>
      </c>
      <c r="U1760" s="35" t="str">
        <f>MID(Tabla1[[#This Row],[Aplicación]],9,4)</f>
        <v>1711</v>
      </c>
      <c r="V1760" s="35" t="str">
        <f>VLOOKUP(Tabla1[[#This Row],[PROGRAMA]],Hoja1!A:B,2,FALSE)</f>
        <v>1711. Parques y jardines</v>
      </c>
      <c r="W1760" s="35" t="str">
        <f>MID(Tabla1[[#This Row],[Aplicación]],14,2)</f>
        <v>61</v>
      </c>
      <c r="X1760" s="35" t="str">
        <f>MID(Tabla1[[#This Row],[Aplicación]],14,6)</f>
        <v>619</v>
      </c>
    </row>
    <row r="1761" spans="1:24" x14ac:dyDescent="0.25">
      <c r="A1761" s="45">
        <v>220210008787</v>
      </c>
      <c r="B1761" s="46" t="s">
        <v>204</v>
      </c>
      <c r="C1761" s="47">
        <v>44266</v>
      </c>
      <c r="D1761" s="45">
        <v>22021002371</v>
      </c>
      <c r="E1761" s="46" t="s">
        <v>1336</v>
      </c>
      <c r="F1761" s="48">
        <v>26.2</v>
      </c>
      <c r="G1761" s="46" t="s">
        <v>102</v>
      </c>
      <c r="H1761" s="46" t="s">
        <v>3051</v>
      </c>
      <c r="I1761" s="45" t="s">
        <v>205</v>
      </c>
      <c r="J1761" s="46" t="s">
        <v>127</v>
      </c>
      <c r="K1761" s="46" t="s">
        <v>127</v>
      </c>
      <c r="L1761" s="46" t="s">
        <v>15</v>
      </c>
      <c r="M1761" s="46" t="s">
        <v>13</v>
      </c>
      <c r="N1761" s="46" t="s">
        <v>14</v>
      </c>
      <c r="O1761" s="49" t="s">
        <v>814</v>
      </c>
      <c r="P1761" s="46" t="s">
        <v>507</v>
      </c>
      <c r="Q1761" s="35" t="str">
        <f>MID(Tabla1[[#This Row],[Aplicación]],14,1)</f>
        <v>2</v>
      </c>
      <c r="R1761" s="35" t="s">
        <v>495</v>
      </c>
      <c r="S1761" s="35" t="str">
        <f>MID(Tabla1[[#This Row],[Aplicación]],6,2)</f>
        <v>02</v>
      </c>
      <c r="T1761" s="35" t="str">
        <f>VLOOKUP(Tabla1[[#This Row],[AREA]],Hoja1!A:B,2,FALSE)</f>
        <v>02. Planeamiento urbanístico y vivienda</v>
      </c>
      <c r="U1761" s="35" t="str">
        <f>MID(Tabla1[[#This Row],[Aplicación]],9,4)</f>
        <v>9332</v>
      </c>
      <c r="V1761" s="35" t="str">
        <f>VLOOKUP(Tabla1[[#This Row],[PROGRAMA]],Hoja1!A:B,2,FALSE)</f>
        <v>9332. Mantenimiento de edificios e instalaciones municipales</v>
      </c>
      <c r="W1761" s="35" t="str">
        <f>MID(Tabla1[[#This Row],[Aplicación]],14,2)</f>
        <v>21</v>
      </c>
      <c r="X1761" s="35" t="str">
        <f>MID(Tabla1[[#This Row],[Aplicación]],14,6)</f>
        <v>212</v>
      </c>
    </row>
    <row r="1762" spans="1:24" x14ac:dyDescent="0.25">
      <c r="A1762" s="45">
        <v>220210001024</v>
      </c>
      <c r="B1762" s="46" t="s">
        <v>9</v>
      </c>
      <c r="C1762" s="47">
        <v>44223</v>
      </c>
      <c r="D1762" s="45">
        <v>22021002031</v>
      </c>
      <c r="E1762" s="46" t="s">
        <v>1378</v>
      </c>
      <c r="F1762" s="48">
        <v>7199.5</v>
      </c>
      <c r="G1762" s="46" t="s">
        <v>81</v>
      </c>
      <c r="H1762" s="46" t="s">
        <v>3052</v>
      </c>
      <c r="I1762" s="45" t="s">
        <v>125</v>
      </c>
      <c r="J1762" s="46" t="s">
        <v>127</v>
      </c>
      <c r="K1762" s="46" t="s">
        <v>127</v>
      </c>
      <c r="L1762" s="46" t="s">
        <v>15</v>
      </c>
      <c r="M1762" s="46" t="s">
        <v>10</v>
      </c>
      <c r="N1762" s="46" t="s">
        <v>11</v>
      </c>
      <c r="O1762" s="49" t="s">
        <v>815</v>
      </c>
      <c r="P1762" s="46" t="s">
        <v>507</v>
      </c>
      <c r="Q1762" s="35" t="str">
        <f>MID(Tabla1[[#This Row],[Aplicación]],14,1)</f>
        <v>2</v>
      </c>
      <c r="R1762" s="35" t="s">
        <v>495</v>
      </c>
      <c r="S1762" s="35" t="str">
        <f>MID(Tabla1[[#This Row],[Aplicación]],6,2)</f>
        <v>01</v>
      </c>
      <c r="T1762" s="35" t="str">
        <f>VLOOKUP(Tabla1[[#This Row],[AREA]],Hoja1!A:B,2,FALSE)</f>
        <v>01. Alcaldía</v>
      </c>
      <c r="U1762" s="35" t="str">
        <f>MID(Tabla1[[#This Row],[Aplicación]],9,4)</f>
        <v>9205</v>
      </c>
      <c r="V1762" s="35" t="str">
        <f>VLOOKUP(Tabla1[[#This Row],[PROGRAMA]],Hoja1!A:B,2,FALSE)</f>
        <v>9205. Imprenta municipal</v>
      </c>
      <c r="W1762" s="35" t="str">
        <f>MID(Tabla1[[#This Row],[Aplicación]],14,2)</f>
        <v>22</v>
      </c>
      <c r="X1762" s="35" t="str">
        <f>MID(Tabla1[[#This Row],[Aplicación]],14,6)</f>
        <v>22199</v>
      </c>
    </row>
    <row r="1763" spans="1:24" x14ac:dyDescent="0.25">
      <c r="A1763" s="45">
        <v>220210009419</v>
      </c>
      <c r="B1763" s="46" t="s">
        <v>204</v>
      </c>
      <c r="C1763" s="47">
        <v>44271</v>
      </c>
      <c r="D1763" s="45">
        <v>22021002369</v>
      </c>
      <c r="E1763" s="46" t="s">
        <v>1336</v>
      </c>
      <c r="F1763" s="48">
        <v>169.34</v>
      </c>
      <c r="G1763" s="46" t="s">
        <v>257</v>
      </c>
      <c r="H1763" s="46" t="s">
        <v>3053</v>
      </c>
      <c r="I1763" s="45" t="s">
        <v>205</v>
      </c>
      <c r="J1763" s="46" t="s">
        <v>127</v>
      </c>
      <c r="K1763" s="46" t="s">
        <v>127</v>
      </c>
      <c r="L1763" s="46" t="s">
        <v>15</v>
      </c>
      <c r="M1763" s="46" t="s">
        <v>13</v>
      </c>
      <c r="N1763" s="46" t="s">
        <v>14</v>
      </c>
      <c r="O1763" s="49" t="s">
        <v>814</v>
      </c>
      <c r="P1763" s="46" t="s">
        <v>507</v>
      </c>
      <c r="Q1763" s="35" t="str">
        <f>MID(Tabla1[[#This Row],[Aplicación]],14,1)</f>
        <v>2</v>
      </c>
      <c r="R1763" s="35" t="s">
        <v>495</v>
      </c>
      <c r="S1763" s="35" t="str">
        <f>MID(Tabla1[[#This Row],[Aplicación]],6,2)</f>
        <v>02</v>
      </c>
      <c r="T1763" s="35" t="str">
        <f>VLOOKUP(Tabla1[[#This Row],[AREA]],Hoja1!A:B,2,FALSE)</f>
        <v>02. Planeamiento urbanístico y vivienda</v>
      </c>
      <c r="U1763" s="35" t="str">
        <f>MID(Tabla1[[#This Row],[Aplicación]],9,4)</f>
        <v>9332</v>
      </c>
      <c r="V1763" s="35" t="str">
        <f>VLOOKUP(Tabla1[[#This Row],[PROGRAMA]],Hoja1!A:B,2,FALSE)</f>
        <v>9332. Mantenimiento de edificios e instalaciones municipales</v>
      </c>
      <c r="W1763" s="35" t="str">
        <f>MID(Tabla1[[#This Row],[Aplicación]],14,2)</f>
        <v>21</v>
      </c>
      <c r="X1763" s="35" t="str">
        <f>MID(Tabla1[[#This Row],[Aplicación]],14,6)</f>
        <v>212</v>
      </c>
    </row>
    <row r="1764" spans="1:24" x14ac:dyDescent="0.25">
      <c r="A1764" s="45">
        <v>220210008792</v>
      </c>
      <c r="B1764" s="46" t="s">
        <v>204</v>
      </c>
      <c r="C1764" s="47">
        <v>44266</v>
      </c>
      <c r="D1764" s="45">
        <v>22021002369</v>
      </c>
      <c r="E1764" s="46" t="s">
        <v>1336</v>
      </c>
      <c r="F1764" s="48">
        <v>282.43</v>
      </c>
      <c r="G1764" s="46" t="s">
        <v>235</v>
      </c>
      <c r="H1764" s="46" t="s">
        <v>3054</v>
      </c>
      <c r="I1764" s="45" t="s">
        <v>205</v>
      </c>
      <c r="J1764" s="46" t="s">
        <v>742</v>
      </c>
      <c r="K1764" s="46" t="s">
        <v>165</v>
      </c>
      <c r="L1764" s="46" t="s">
        <v>15</v>
      </c>
      <c r="M1764" s="46" t="s">
        <v>13</v>
      </c>
      <c r="N1764" s="46" t="s">
        <v>14</v>
      </c>
      <c r="O1764" s="49" t="s">
        <v>814</v>
      </c>
      <c r="P1764" s="46" t="s">
        <v>507</v>
      </c>
      <c r="Q1764" s="35" t="str">
        <f>MID(Tabla1[[#This Row],[Aplicación]],14,1)</f>
        <v>2</v>
      </c>
      <c r="R1764" s="35" t="s">
        <v>495</v>
      </c>
      <c r="S1764" s="35" t="str">
        <f>MID(Tabla1[[#This Row],[Aplicación]],6,2)</f>
        <v>02</v>
      </c>
      <c r="T1764" s="35" t="str">
        <f>VLOOKUP(Tabla1[[#This Row],[AREA]],Hoja1!A:B,2,FALSE)</f>
        <v>02. Planeamiento urbanístico y vivienda</v>
      </c>
      <c r="U1764" s="35" t="str">
        <f>MID(Tabla1[[#This Row],[Aplicación]],9,4)</f>
        <v>9332</v>
      </c>
      <c r="V1764" s="35" t="str">
        <f>VLOOKUP(Tabla1[[#This Row],[PROGRAMA]],Hoja1!A:B,2,FALSE)</f>
        <v>9332. Mantenimiento de edificios e instalaciones municipales</v>
      </c>
      <c r="W1764" s="35" t="str">
        <f>MID(Tabla1[[#This Row],[Aplicación]],14,2)</f>
        <v>21</v>
      </c>
      <c r="X1764" s="35" t="str">
        <f>MID(Tabla1[[#This Row],[Aplicación]],14,6)</f>
        <v>212</v>
      </c>
    </row>
    <row r="1765" spans="1:24" x14ac:dyDescent="0.25">
      <c r="A1765" s="45">
        <v>220210009439</v>
      </c>
      <c r="B1765" s="46" t="s">
        <v>204</v>
      </c>
      <c r="C1765" s="47">
        <v>44271</v>
      </c>
      <c r="D1765" s="45">
        <v>22021002088</v>
      </c>
      <c r="E1765" s="46" t="s">
        <v>1478</v>
      </c>
      <c r="F1765" s="48">
        <v>370.08</v>
      </c>
      <c r="G1765" s="46" t="s">
        <v>256</v>
      </c>
      <c r="H1765" s="46" t="s">
        <v>3055</v>
      </c>
      <c r="I1765" s="45" t="s">
        <v>205</v>
      </c>
      <c r="J1765" s="46" t="s">
        <v>127</v>
      </c>
      <c r="K1765" s="46" t="s">
        <v>127</v>
      </c>
      <c r="L1765" s="46" t="s">
        <v>15</v>
      </c>
      <c r="M1765" s="46" t="s">
        <v>13</v>
      </c>
      <c r="N1765" s="46" t="s">
        <v>16</v>
      </c>
      <c r="O1765" s="49" t="s">
        <v>814</v>
      </c>
      <c r="P1765" s="46" t="s">
        <v>507</v>
      </c>
      <c r="Q1765" s="35" t="str">
        <f>MID(Tabla1[[#This Row],[Aplicación]],14,1)</f>
        <v>2</v>
      </c>
      <c r="R1765" s="35" t="s">
        <v>495</v>
      </c>
      <c r="S1765" s="35" t="str">
        <f>MID(Tabla1[[#This Row],[Aplicación]],6,2)</f>
        <v>03</v>
      </c>
      <c r="T1765" s="35" t="str">
        <f>VLOOKUP(Tabla1[[#This Row],[AREA]],Hoja1!A:B,2,FALSE)</f>
        <v>03. Participación ciudadana y deportes</v>
      </c>
      <c r="U1765" s="35" t="str">
        <f>MID(Tabla1[[#This Row],[Aplicación]],9,4)</f>
        <v>9241</v>
      </c>
      <c r="V1765" s="35" t="str">
        <f>VLOOKUP(Tabla1[[#This Row],[PROGRAMA]],Hoja1!A:B,2,FALSE)</f>
        <v>9241. Participación ciudadana</v>
      </c>
      <c r="W1765" s="35" t="str">
        <f>MID(Tabla1[[#This Row],[Aplicación]],14,2)</f>
        <v>21</v>
      </c>
      <c r="X1765" s="35" t="str">
        <f>MID(Tabla1[[#This Row],[Aplicación]],14,6)</f>
        <v>212</v>
      </c>
    </row>
    <row r="1766" spans="1:24" x14ac:dyDescent="0.25">
      <c r="A1766" s="45">
        <v>220210006471</v>
      </c>
      <c r="B1766" s="46" t="s">
        <v>204</v>
      </c>
      <c r="C1766" s="47">
        <v>44253</v>
      </c>
      <c r="D1766" s="45">
        <v>22021002449</v>
      </c>
      <c r="E1766" s="46" t="s">
        <v>1724</v>
      </c>
      <c r="F1766" s="48">
        <v>747.49</v>
      </c>
      <c r="G1766" s="46" t="s">
        <v>263</v>
      </c>
      <c r="H1766" s="46" t="s">
        <v>1725</v>
      </c>
      <c r="I1766" s="45" t="s">
        <v>205</v>
      </c>
      <c r="J1766" s="46" t="s">
        <v>127</v>
      </c>
      <c r="K1766" s="46" t="s">
        <v>127</v>
      </c>
      <c r="L1766" s="46" t="s">
        <v>15</v>
      </c>
      <c r="M1766" s="46" t="s">
        <v>13</v>
      </c>
      <c r="N1766" s="46" t="s">
        <v>14</v>
      </c>
      <c r="O1766" s="49" t="s">
        <v>814</v>
      </c>
      <c r="P1766" s="46" t="s">
        <v>507</v>
      </c>
      <c r="Q1766" s="35" t="str">
        <f>MID(Tabla1[[#This Row],[Aplicación]],14,1)</f>
        <v>6</v>
      </c>
      <c r="R1766" s="35" t="s">
        <v>496</v>
      </c>
      <c r="S1766" s="35" t="str">
        <f>MID(Tabla1[[#This Row],[Aplicación]],6,2)</f>
        <v>07</v>
      </c>
      <c r="T1766" s="35" t="str">
        <f>VLOOKUP(Tabla1[[#This Row],[AREA]],Hoja1!A:B,2,FALSE)</f>
        <v>07. Medio ambiente y desarrollo sostenible</v>
      </c>
      <c r="U1766" s="35" t="str">
        <f>MID(Tabla1[[#This Row],[Aplicación]],9,4)</f>
        <v>1711</v>
      </c>
      <c r="V1766" s="35" t="str">
        <f>VLOOKUP(Tabla1[[#This Row],[PROGRAMA]],Hoja1!A:B,2,FALSE)</f>
        <v>1711. Parques y jardines</v>
      </c>
      <c r="W1766" s="35" t="str">
        <f>MID(Tabla1[[#This Row],[Aplicación]],14,2)</f>
        <v>61</v>
      </c>
      <c r="X1766" s="35" t="str">
        <f>MID(Tabla1[[#This Row],[Aplicación]],14,6)</f>
        <v>619</v>
      </c>
    </row>
    <row r="1767" spans="1:24" x14ac:dyDescent="0.25">
      <c r="A1767" s="45">
        <v>220210009445</v>
      </c>
      <c r="B1767" s="46" t="s">
        <v>204</v>
      </c>
      <c r="C1767" s="47">
        <v>44271</v>
      </c>
      <c r="D1767" s="45">
        <v>22021000542</v>
      </c>
      <c r="E1767" s="46" t="s">
        <v>2913</v>
      </c>
      <c r="F1767" s="48">
        <v>13.42</v>
      </c>
      <c r="G1767" s="46" t="s">
        <v>135</v>
      </c>
      <c r="H1767" s="46" t="s">
        <v>3056</v>
      </c>
      <c r="I1767" s="45" t="s">
        <v>205</v>
      </c>
      <c r="J1767" s="46" t="s">
        <v>127</v>
      </c>
      <c r="K1767" s="46" t="s">
        <v>127</v>
      </c>
      <c r="L1767" s="46" t="s">
        <v>15</v>
      </c>
      <c r="M1767" s="46" t="s">
        <v>13</v>
      </c>
      <c r="N1767" s="46" t="s">
        <v>14</v>
      </c>
      <c r="O1767" s="49" t="s">
        <v>814</v>
      </c>
      <c r="P1767" s="46" t="s">
        <v>507</v>
      </c>
      <c r="Q1767" s="35" t="str">
        <f>MID(Tabla1[[#This Row],[Aplicación]],14,1)</f>
        <v>2</v>
      </c>
      <c r="R1767" s="35" t="s">
        <v>495</v>
      </c>
      <c r="S1767" s="35" t="str">
        <f>MID(Tabla1[[#This Row],[Aplicación]],6,2)</f>
        <v>08</v>
      </c>
      <c r="T1767" s="35" t="str">
        <f>VLOOKUP(Tabla1[[#This Row],[AREA]],Hoja1!A:B,2,FALSE)</f>
        <v>08. Movilidad y espacio urbano</v>
      </c>
      <c r="U1767" s="35" t="str">
        <f>MID(Tabla1[[#This Row],[Aplicación]],9,4)</f>
        <v>1341</v>
      </c>
      <c r="V1767" s="35" t="str">
        <f>VLOOKUP(Tabla1[[#This Row],[PROGRAMA]],Hoja1!A:B,2,FALSE)</f>
        <v>1341. Movilidad</v>
      </c>
      <c r="W1767" s="35" t="str">
        <f>MID(Tabla1[[#This Row],[Aplicación]],14,2)</f>
        <v>22</v>
      </c>
      <c r="X1767" s="35" t="str">
        <f>MID(Tabla1[[#This Row],[Aplicación]],14,6)</f>
        <v>22699</v>
      </c>
    </row>
    <row r="1768" spans="1:24" x14ac:dyDescent="0.25">
      <c r="A1768" s="45">
        <v>220210007163</v>
      </c>
      <c r="B1768" s="46" t="s">
        <v>9</v>
      </c>
      <c r="C1768" s="47">
        <v>44263</v>
      </c>
      <c r="D1768" s="45">
        <v>22021003338</v>
      </c>
      <c r="E1768" s="46" t="s">
        <v>950</v>
      </c>
      <c r="F1768" s="48">
        <v>7226.12</v>
      </c>
      <c r="G1768" s="46" t="s">
        <v>3057</v>
      </c>
      <c r="H1768" s="46" t="s">
        <v>3058</v>
      </c>
      <c r="I1768" s="45" t="s">
        <v>125</v>
      </c>
      <c r="J1768" s="46" t="s">
        <v>565</v>
      </c>
      <c r="K1768" s="46" t="s">
        <v>126</v>
      </c>
      <c r="L1768" s="46" t="s">
        <v>12</v>
      </c>
      <c r="M1768" s="46" t="s">
        <v>10</v>
      </c>
      <c r="N1768" s="46" t="s">
        <v>11</v>
      </c>
      <c r="O1768" s="49" t="s">
        <v>815</v>
      </c>
      <c r="P1768" s="46" t="s">
        <v>507</v>
      </c>
      <c r="Q1768" s="35" t="str">
        <f>MID(Tabla1[[#This Row],[Aplicación]],14,1)</f>
        <v>2</v>
      </c>
      <c r="R1768" s="35" t="s">
        <v>495</v>
      </c>
      <c r="S1768" s="35" t="str">
        <f>MID(Tabla1[[#This Row],[Aplicación]],6,2)</f>
        <v>11</v>
      </c>
      <c r="T1768" s="35" t="str">
        <f>VLOOKUP(Tabla1[[#This Row],[AREA]],Hoja1!A:B,2,FALSE)</f>
        <v>11. Salud pública y seguridad ciudadana</v>
      </c>
      <c r="U1768" s="35" t="str">
        <f>MID(Tabla1[[#This Row],[Aplicación]],9,4)</f>
        <v>1321</v>
      </c>
      <c r="V1768" s="35" t="str">
        <f>VLOOKUP(Tabla1[[#This Row],[PROGRAMA]],Hoja1!A:B,2,FALSE)</f>
        <v>1321. Policía municipal</v>
      </c>
      <c r="W1768" s="35" t="str">
        <f>MID(Tabla1[[#This Row],[Aplicación]],14,2)</f>
        <v>21</v>
      </c>
      <c r="X1768" s="35" t="str">
        <f>MID(Tabla1[[#This Row],[Aplicación]],14,6)</f>
        <v>213</v>
      </c>
    </row>
    <row r="1769" spans="1:24" x14ac:dyDescent="0.25">
      <c r="A1769" s="45">
        <v>220210009590</v>
      </c>
      <c r="B1769" s="46" t="s">
        <v>9</v>
      </c>
      <c r="C1769" s="47">
        <v>44271</v>
      </c>
      <c r="D1769" s="45">
        <v>22021002972</v>
      </c>
      <c r="E1769" s="46" t="s">
        <v>1267</v>
      </c>
      <c r="F1769" s="48">
        <v>484</v>
      </c>
      <c r="G1769" s="46" t="s">
        <v>3059</v>
      </c>
      <c r="H1769" s="46" t="s">
        <v>3060</v>
      </c>
      <c r="I1769" s="45" t="s">
        <v>125</v>
      </c>
      <c r="J1769" s="46" t="s">
        <v>634</v>
      </c>
      <c r="K1769" s="46" t="s">
        <v>127</v>
      </c>
      <c r="L1769" s="46" t="s">
        <v>12</v>
      </c>
      <c r="M1769" s="46" t="s">
        <v>10</v>
      </c>
      <c r="N1769" s="46" t="s">
        <v>11</v>
      </c>
      <c r="O1769" s="49" t="s">
        <v>815</v>
      </c>
      <c r="P1769" s="46" t="s">
        <v>507</v>
      </c>
      <c r="Q1769" s="35" t="str">
        <f>MID(Tabla1[[#This Row],[Aplicación]],14,1)</f>
        <v>2</v>
      </c>
      <c r="R1769" s="35" t="s">
        <v>495</v>
      </c>
      <c r="S1769" s="35" t="str">
        <f>MID(Tabla1[[#This Row],[Aplicación]],6,2)</f>
        <v>03</v>
      </c>
      <c r="T1769" s="35" t="str">
        <f>VLOOKUP(Tabla1[[#This Row],[AREA]],Hoja1!A:B,2,FALSE)</f>
        <v>03. Participación ciudadana y deportes</v>
      </c>
      <c r="U1769" s="35" t="str">
        <f>MID(Tabla1[[#This Row],[Aplicación]],9,4)</f>
        <v>9241</v>
      </c>
      <c r="V1769" s="35" t="str">
        <f>VLOOKUP(Tabla1[[#This Row],[PROGRAMA]],Hoja1!A:B,2,FALSE)</f>
        <v>9241. Participación ciudadana</v>
      </c>
      <c r="W1769" s="35" t="str">
        <f>MID(Tabla1[[#This Row],[Aplicación]],14,2)</f>
        <v>22</v>
      </c>
      <c r="X1769" s="35" t="str">
        <f>MID(Tabla1[[#This Row],[Aplicación]],14,6)</f>
        <v>22602</v>
      </c>
    </row>
    <row r="1770" spans="1:24" x14ac:dyDescent="0.25">
      <c r="A1770" s="45">
        <v>220210009933</v>
      </c>
      <c r="B1770" s="46" t="s">
        <v>9</v>
      </c>
      <c r="C1770" s="47">
        <v>44272</v>
      </c>
      <c r="D1770" s="45">
        <v>22021003419</v>
      </c>
      <c r="E1770" s="46" t="s">
        <v>1286</v>
      </c>
      <c r="F1770" s="48">
        <v>7247.9</v>
      </c>
      <c r="G1770" s="46" t="s">
        <v>3061</v>
      </c>
      <c r="H1770" s="46" t="s">
        <v>3062</v>
      </c>
      <c r="I1770" s="45" t="s">
        <v>125</v>
      </c>
      <c r="J1770" s="46" t="s">
        <v>136</v>
      </c>
      <c r="K1770" s="46" t="s">
        <v>136</v>
      </c>
      <c r="L1770" s="46" t="s">
        <v>12</v>
      </c>
      <c r="M1770" s="46" t="s">
        <v>10</v>
      </c>
      <c r="N1770" s="46" t="s">
        <v>11</v>
      </c>
      <c r="O1770" s="49" t="s">
        <v>815</v>
      </c>
      <c r="P1770" s="46" t="s">
        <v>507</v>
      </c>
      <c r="Q1770" s="35" t="str">
        <f>MID(Tabla1[[#This Row],[Aplicación]],14,1)</f>
        <v>6</v>
      </c>
      <c r="R1770" s="35" t="s">
        <v>496</v>
      </c>
      <c r="S1770" s="35" t="str">
        <f>MID(Tabla1[[#This Row],[Aplicación]],6,2)</f>
        <v>04</v>
      </c>
      <c r="T1770" s="35" t="str">
        <f>VLOOKUP(Tabla1[[#This Row],[AREA]],Hoja1!A:B,2,FALSE)</f>
        <v>04. Planificación y recursos</v>
      </c>
      <c r="U1770" s="35" t="str">
        <f>MID(Tabla1[[#This Row],[Aplicación]],9,4)</f>
        <v>9204</v>
      </c>
      <c r="V1770" s="35" t="str">
        <f>VLOOKUP(Tabla1[[#This Row],[PROGRAMA]],Hoja1!A:B,2,FALSE)</f>
        <v>9204. Tecnologías de la información y comunicación</v>
      </c>
      <c r="W1770" s="35" t="str">
        <f>MID(Tabla1[[#This Row],[Aplicación]],14,2)</f>
        <v>64</v>
      </c>
      <c r="X1770" s="35" t="str">
        <f>MID(Tabla1[[#This Row],[Aplicación]],14,6)</f>
        <v>641</v>
      </c>
    </row>
    <row r="1771" spans="1:24" x14ac:dyDescent="0.25">
      <c r="A1771" s="45">
        <v>220210006561</v>
      </c>
      <c r="B1771" s="46" t="s">
        <v>9</v>
      </c>
      <c r="C1771" s="47">
        <v>44256</v>
      </c>
      <c r="D1771" s="45">
        <v>22021002772</v>
      </c>
      <c r="E1771" s="46" t="s">
        <v>2528</v>
      </c>
      <c r="F1771" s="48">
        <v>7251.76</v>
      </c>
      <c r="G1771" s="46" t="s">
        <v>149</v>
      </c>
      <c r="H1771" s="46" t="s">
        <v>3063</v>
      </c>
      <c r="I1771" s="45" t="s">
        <v>125</v>
      </c>
      <c r="J1771" s="46" t="s">
        <v>619</v>
      </c>
      <c r="K1771" s="46" t="s">
        <v>127</v>
      </c>
      <c r="L1771" s="46" t="s">
        <v>12</v>
      </c>
      <c r="M1771" s="46" t="s">
        <v>10</v>
      </c>
      <c r="N1771" s="46" t="s">
        <v>11</v>
      </c>
      <c r="O1771" s="49" t="s">
        <v>815</v>
      </c>
      <c r="P1771" s="46" t="s">
        <v>507</v>
      </c>
      <c r="Q1771" s="35" t="str">
        <f>MID(Tabla1[[#This Row],[Aplicación]],14,1)</f>
        <v>2</v>
      </c>
      <c r="R1771" s="35" t="s">
        <v>495</v>
      </c>
      <c r="S1771" s="35" t="str">
        <f>MID(Tabla1[[#This Row],[Aplicación]],6,2)</f>
        <v>01</v>
      </c>
      <c r="T1771" s="35" t="str">
        <f>VLOOKUP(Tabla1[[#This Row],[AREA]],Hoja1!A:B,2,FALSE)</f>
        <v>01. Alcaldía</v>
      </c>
      <c r="U1771" s="35" t="str">
        <f>MID(Tabla1[[#This Row],[Aplicación]],9,4)</f>
        <v>9206</v>
      </c>
      <c r="V1771" s="35" t="str">
        <f>VLOOKUP(Tabla1[[#This Row],[PROGRAMA]],Hoja1!A:B,2,FALSE)</f>
        <v>9206. Archivo municipal</v>
      </c>
      <c r="W1771" s="35" t="str">
        <f>MID(Tabla1[[#This Row],[Aplicación]],14,2)</f>
        <v>22</v>
      </c>
      <c r="X1771" s="35" t="str">
        <f>MID(Tabla1[[#This Row],[Aplicación]],14,6)</f>
        <v>22799</v>
      </c>
    </row>
    <row r="1772" spans="1:24" x14ac:dyDescent="0.25">
      <c r="A1772" s="45">
        <v>220210010043</v>
      </c>
      <c r="B1772" s="46" t="s">
        <v>9</v>
      </c>
      <c r="C1772" s="47">
        <v>44272</v>
      </c>
      <c r="D1772" s="45">
        <v>22021002825</v>
      </c>
      <c r="E1772" s="46" t="s">
        <v>1415</v>
      </c>
      <c r="F1772" s="48">
        <v>7254</v>
      </c>
      <c r="G1772" s="46" t="s">
        <v>2310</v>
      </c>
      <c r="H1772" s="46" t="s">
        <v>3064</v>
      </c>
      <c r="I1772" s="45" t="s">
        <v>125</v>
      </c>
      <c r="J1772" s="46" t="s">
        <v>127</v>
      </c>
      <c r="K1772" s="46" t="s">
        <v>127</v>
      </c>
      <c r="L1772" s="46" t="s">
        <v>12</v>
      </c>
      <c r="M1772" s="46" t="s">
        <v>10</v>
      </c>
      <c r="N1772" s="46" t="s">
        <v>11</v>
      </c>
      <c r="O1772" s="49" t="s">
        <v>815</v>
      </c>
      <c r="P1772" s="46" t="s">
        <v>507</v>
      </c>
      <c r="Q1772" s="35" t="str">
        <f>MID(Tabla1[[#This Row],[Aplicación]],14,1)</f>
        <v>2</v>
      </c>
      <c r="R1772" s="35" t="s">
        <v>495</v>
      </c>
      <c r="S1772" s="35" t="str">
        <f>MID(Tabla1[[#This Row],[Aplicación]],6,2)</f>
        <v>10</v>
      </c>
      <c r="T1772" s="35" t="str">
        <f>VLOOKUP(Tabla1[[#This Row],[AREA]],Hoja1!A:B,2,FALSE)</f>
        <v>10. Servicios sociales y mediación comunitaria</v>
      </c>
      <c r="U1772" s="35" t="str">
        <f>MID(Tabla1[[#This Row],[Aplicación]],9,4)</f>
        <v>2312</v>
      </c>
      <c r="V1772" s="35" t="str">
        <f>VLOOKUP(Tabla1[[#This Row],[PROGRAMA]],Hoja1!A:B,2,FALSE)</f>
        <v>2312. Iniciativas sociales</v>
      </c>
      <c r="W1772" s="35" t="str">
        <f>MID(Tabla1[[#This Row],[Aplicación]],14,2)</f>
        <v>22</v>
      </c>
      <c r="X1772" s="35" t="str">
        <f>MID(Tabla1[[#This Row],[Aplicación]],14,6)</f>
        <v>22799</v>
      </c>
    </row>
    <row r="1773" spans="1:24" x14ac:dyDescent="0.25">
      <c r="A1773" s="45">
        <v>220210009597</v>
      </c>
      <c r="B1773" s="46" t="s">
        <v>9</v>
      </c>
      <c r="C1773" s="47">
        <v>44271</v>
      </c>
      <c r="D1773" s="45">
        <v>22021003424</v>
      </c>
      <c r="E1773" s="46" t="s">
        <v>1263</v>
      </c>
      <c r="F1773" s="48">
        <v>601.55999999999995</v>
      </c>
      <c r="G1773" s="46" t="s">
        <v>583</v>
      </c>
      <c r="H1773" s="46" t="s">
        <v>3065</v>
      </c>
      <c r="I1773" s="45" t="s">
        <v>125</v>
      </c>
      <c r="J1773" s="46" t="s">
        <v>127</v>
      </c>
      <c r="K1773" s="46" t="s">
        <v>127</v>
      </c>
      <c r="L1773" s="46" t="s">
        <v>12</v>
      </c>
      <c r="M1773" s="46" t="s">
        <v>10</v>
      </c>
      <c r="N1773" s="46" t="s">
        <v>11</v>
      </c>
      <c r="O1773" s="49" t="s">
        <v>815</v>
      </c>
      <c r="P1773" s="46" t="s">
        <v>507</v>
      </c>
      <c r="Q1773" s="35" t="str">
        <f>MID(Tabla1[[#This Row],[Aplicación]],14,1)</f>
        <v>2</v>
      </c>
      <c r="R1773" s="35" t="s">
        <v>495</v>
      </c>
      <c r="S1773" s="35" t="str">
        <f>MID(Tabla1[[#This Row],[Aplicación]],6,2)</f>
        <v>02</v>
      </c>
      <c r="T1773" s="35" t="str">
        <f>VLOOKUP(Tabla1[[#This Row],[AREA]],Hoja1!A:B,2,FALSE)</f>
        <v>02. Planeamiento urbanístico y vivienda</v>
      </c>
      <c r="U1773" s="35" t="str">
        <f>MID(Tabla1[[#This Row],[Aplicación]],9,4)</f>
        <v>9332</v>
      </c>
      <c r="V1773" s="35" t="str">
        <f>VLOOKUP(Tabla1[[#This Row],[PROGRAMA]],Hoja1!A:B,2,FALSE)</f>
        <v>9332. Mantenimiento de edificios e instalaciones municipales</v>
      </c>
      <c r="W1773" s="35" t="str">
        <f>MID(Tabla1[[#This Row],[Aplicación]],14,2)</f>
        <v>21</v>
      </c>
      <c r="X1773" s="35" t="str">
        <f>MID(Tabla1[[#This Row],[Aplicación]],14,6)</f>
        <v>213</v>
      </c>
    </row>
    <row r="1774" spans="1:24" x14ac:dyDescent="0.25">
      <c r="A1774" s="45">
        <v>220210000196</v>
      </c>
      <c r="B1774" s="46" t="s">
        <v>9</v>
      </c>
      <c r="C1774" s="47">
        <v>44216</v>
      </c>
      <c r="D1774" s="45">
        <v>22021000650</v>
      </c>
      <c r="E1774" s="46" t="s">
        <v>1247</v>
      </c>
      <c r="F1774" s="48">
        <v>7256.31</v>
      </c>
      <c r="G1774" s="46" t="s">
        <v>292</v>
      </c>
      <c r="H1774" s="46" t="s">
        <v>3066</v>
      </c>
      <c r="I1774" s="45" t="s">
        <v>125</v>
      </c>
      <c r="J1774" s="46" t="s">
        <v>127</v>
      </c>
      <c r="K1774" s="46" t="s">
        <v>127</v>
      </c>
      <c r="L1774" s="46" t="s">
        <v>12</v>
      </c>
      <c r="M1774" s="46" t="s">
        <v>10</v>
      </c>
      <c r="N1774" s="46" t="s">
        <v>11</v>
      </c>
      <c r="O1774" s="49" t="s">
        <v>815</v>
      </c>
      <c r="P1774" s="46" t="s">
        <v>507</v>
      </c>
      <c r="Q1774" s="35" t="str">
        <f>MID(Tabla1[[#This Row],[Aplicación]],14,1)</f>
        <v>2</v>
      </c>
      <c r="R1774" s="35" t="s">
        <v>495</v>
      </c>
      <c r="S1774" s="35" t="str">
        <f>MID(Tabla1[[#This Row],[Aplicación]],6,2)</f>
        <v>10</v>
      </c>
      <c r="T1774" s="35" t="str">
        <f>VLOOKUP(Tabla1[[#This Row],[AREA]],Hoja1!A:B,2,FALSE)</f>
        <v>10. Servicios sociales y mediación comunitaria</v>
      </c>
      <c r="U1774" s="35" t="str">
        <f>MID(Tabla1[[#This Row],[Aplicación]],9,4)</f>
        <v>2311</v>
      </c>
      <c r="V1774" s="35" t="str">
        <f>VLOOKUP(Tabla1[[#This Row],[PROGRAMA]],Hoja1!A:B,2,FALSE)</f>
        <v>2311. Intervención social</v>
      </c>
      <c r="W1774" s="35" t="str">
        <f>MID(Tabla1[[#This Row],[Aplicación]],14,2)</f>
        <v>22</v>
      </c>
      <c r="X1774" s="35" t="str">
        <f>MID(Tabla1[[#This Row],[Aplicación]],14,6)</f>
        <v>22799</v>
      </c>
    </row>
    <row r="1775" spans="1:24" x14ac:dyDescent="0.25">
      <c r="A1775" s="45">
        <v>220210006054</v>
      </c>
      <c r="B1775" s="46" t="s">
        <v>9</v>
      </c>
      <c r="C1775" s="47">
        <v>44251</v>
      </c>
      <c r="D1775" s="45">
        <v>22021002613</v>
      </c>
      <c r="E1775" s="46" t="s">
        <v>1724</v>
      </c>
      <c r="F1775" s="48">
        <v>7258.19</v>
      </c>
      <c r="G1775" s="46" t="s">
        <v>3067</v>
      </c>
      <c r="H1775" s="46" t="s">
        <v>3068</v>
      </c>
      <c r="I1775" s="45" t="s">
        <v>125</v>
      </c>
      <c r="J1775" s="46" t="s">
        <v>3069</v>
      </c>
      <c r="K1775" s="46" t="s">
        <v>579</v>
      </c>
      <c r="L1775" s="46" t="s">
        <v>15</v>
      </c>
      <c r="M1775" s="46" t="s">
        <v>10</v>
      </c>
      <c r="N1775" s="46" t="s">
        <v>11</v>
      </c>
      <c r="O1775" s="49" t="s">
        <v>815</v>
      </c>
      <c r="P1775" s="46" t="s">
        <v>507</v>
      </c>
      <c r="Q1775" s="35" t="str">
        <f>MID(Tabla1[[#This Row],[Aplicación]],14,1)</f>
        <v>6</v>
      </c>
      <c r="R1775" s="35" t="s">
        <v>496</v>
      </c>
      <c r="S1775" s="35" t="str">
        <f>MID(Tabla1[[#This Row],[Aplicación]],6,2)</f>
        <v>07</v>
      </c>
      <c r="T1775" s="35" t="str">
        <f>VLOOKUP(Tabla1[[#This Row],[AREA]],Hoja1!A:B,2,FALSE)</f>
        <v>07. Medio ambiente y desarrollo sostenible</v>
      </c>
      <c r="U1775" s="35" t="str">
        <f>MID(Tabla1[[#This Row],[Aplicación]],9,4)</f>
        <v>1711</v>
      </c>
      <c r="V1775" s="35" t="str">
        <f>VLOOKUP(Tabla1[[#This Row],[PROGRAMA]],Hoja1!A:B,2,FALSE)</f>
        <v>1711. Parques y jardines</v>
      </c>
      <c r="W1775" s="35" t="str">
        <f>MID(Tabla1[[#This Row],[Aplicación]],14,2)</f>
        <v>61</v>
      </c>
      <c r="X1775" s="35" t="str">
        <f>MID(Tabla1[[#This Row],[Aplicación]],14,6)</f>
        <v>619</v>
      </c>
    </row>
    <row r="1776" spans="1:24" x14ac:dyDescent="0.25">
      <c r="A1776" s="45">
        <v>220210009934</v>
      </c>
      <c r="B1776" s="46" t="s">
        <v>9</v>
      </c>
      <c r="C1776" s="47">
        <v>44272</v>
      </c>
      <c r="D1776" s="45">
        <v>22021002520</v>
      </c>
      <c r="E1776" s="46" t="s">
        <v>3070</v>
      </c>
      <c r="F1776" s="48">
        <v>60500</v>
      </c>
      <c r="G1776" s="46" t="s">
        <v>764</v>
      </c>
      <c r="H1776" s="46" t="s">
        <v>3071</v>
      </c>
      <c r="I1776" s="45" t="s">
        <v>125</v>
      </c>
      <c r="J1776" s="46" t="s">
        <v>127</v>
      </c>
      <c r="K1776" s="46" t="s">
        <v>127</v>
      </c>
      <c r="L1776" s="46" t="s">
        <v>12</v>
      </c>
      <c r="M1776" s="46" t="s">
        <v>13</v>
      </c>
      <c r="N1776" s="46" t="s">
        <v>14</v>
      </c>
      <c r="O1776" s="49" t="s">
        <v>803</v>
      </c>
      <c r="P1776" s="46" t="s">
        <v>507</v>
      </c>
      <c r="Q1776" s="35" t="str">
        <f>MID(Tabla1[[#This Row],[Aplicación]],14,1)</f>
        <v>6</v>
      </c>
      <c r="R1776" s="35" t="s">
        <v>496</v>
      </c>
      <c r="S1776" s="35" t="str">
        <f>MID(Tabla1[[#This Row],[Aplicación]],6,2)</f>
        <v>02</v>
      </c>
      <c r="T1776" s="35" t="str">
        <f>VLOOKUP(Tabla1[[#This Row],[AREA]],Hoja1!A:B,2,FALSE)</f>
        <v>02. Planeamiento urbanístico y vivienda</v>
      </c>
      <c r="U1776" s="35" t="str">
        <f>MID(Tabla1[[#This Row],[Aplicación]],9,4)</f>
        <v>1501</v>
      </c>
      <c r="V1776" s="35" t="str">
        <f>VLOOKUP(Tabla1[[#This Row],[PROGRAMA]],Hoja1!A:B,2,FALSE)</f>
        <v>1501. Dirección del área de urbanismo</v>
      </c>
      <c r="W1776" s="35" t="str">
        <f>MID(Tabla1[[#This Row],[Aplicación]],14,2)</f>
        <v>61</v>
      </c>
      <c r="X1776" s="35" t="str">
        <f>MID(Tabla1[[#This Row],[Aplicación]],14,6)</f>
        <v>619</v>
      </c>
    </row>
    <row r="1777" spans="1:24" x14ac:dyDescent="0.25">
      <c r="A1777" s="45">
        <v>220210003986</v>
      </c>
      <c r="B1777" s="46" t="s">
        <v>9</v>
      </c>
      <c r="C1777" s="47">
        <v>44244</v>
      </c>
      <c r="D1777" s="45">
        <v>22021002527</v>
      </c>
      <c r="E1777" s="46" t="s">
        <v>869</v>
      </c>
      <c r="F1777" s="48">
        <v>7260</v>
      </c>
      <c r="G1777" s="46" t="s">
        <v>754</v>
      </c>
      <c r="H1777" s="46" t="s">
        <v>3072</v>
      </c>
      <c r="I1777" s="45" t="s">
        <v>125</v>
      </c>
      <c r="J1777" s="46" t="s">
        <v>730</v>
      </c>
      <c r="K1777" s="46" t="s">
        <v>126</v>
      </c>
      <c r="L1777" s="46" t="s">
        <v>12</v>
      </c>
      <c r="M1777" s="46" t="s">
        <v>10</v>
      </c>
      <c r="N1777" s="46" t="s">
        <v>11</v>
      </c>
      <c r="O1777" s="49" t="s">
        <v>815</v>
      </c>
      <c r="P1777" s="46" t="s">
        <v>507</v>
      </c>
      <c r="Q1777" s="35" t="str">
        <f>MID(Tabla1[[#This Row],[Aplicación]],14,1)</f>
        <v>2</v>
      </c>
      <c r="R1777" s="35" t="s">
        <v>495</v>
      </c>
      <c r="S1777" s="35" t="str">
        <f>MID(Tabla1[[#This Row],[Aplicación]],6,2)</f>
        <v>07</v>
      </c>
      <c r="T1777" s="35" t="str">
        <f>VLOOKUP(Tabla1[[#This Row],[AREA]],Hoja1!A:B,2,FALSE)</f>
        <v>07. Medio ambiente y desarrollo sostenible</v>
      </c>
      <c r="U1777" s="35" t="str">
        <f>MID(Tabla1[[#This Row],[Aplicación]],9,4)</f>
        <v>1721</v>
      </c>
      <c r="V1777" s="35" t="str">
        <f>VLOOKUP(Tabla1[[#This Row],[PROGRAMA]],Hoja1!A:B,2,FALSE)</f>
        <v>1721. Protección del medio ambiente</v>
      </c>
      <c r="W1777" s="35" t="str">
        <f>MID(Tabla1[[#This Row],[Aplicación]],14,2)</f>
        <v>21</v>
      </c>
      <c r="X1777" s="35" t="str">
        <f>MID(Tabla1[[#This Row],[Aplicación]],14,6)</f>
        <v>213</v>
      </c>
    </row>
    <row r="1778" spans="1:24" x14ac:dyDescent="0.25">
      <c r="A1778" s="45">
        <v>220210007179</v>
      </c>
      <c r="B1778" s="46" t="s">
        <v>9</v>
      </c>
      <c r="C1778" s="47">
        <v>44263</v>
      </c>
      <c r="D1778" s="45">
        <v>22021003300</v>
      </c>
      <c r="E1778" s="46" t="s">
        <v>1220</v>
      </c>
      <c r="F1778" s="48">
        <v>7260</v>
      </c>
      <c r="G1778" s="46" t="s">
        <v>66</v>
      </c>
      <c r="H1778" s="46" t="s">
        <v>3073</v>
      </c>
      <c r="I1778" s="45" t="s">
        <v>125</v>
      </c>
      <c r="J1778" s="46" t="s">
        <v>127</v>
      </c>
      <c r="K1778" s="46" t="s">
        <v>127</v>
      </c>
      <c r="L1778" s="46" t="s">
        <v>12</v>
      </c>
      <c r="M1778" s="46" t="s">
        <v>10</v>
      </c>
      <c r="N1778" s="46" t="s">
        <v>11</v>
      </c>
      <c r="O1778" s="49" t="s">
        <v>815</v>
      </c>
      <c r="P1778" s="46" t="s">
        <v>507</v>
      </c>
      <c r="Q1778" s="35" t="str">
        <f>MID(Tabla1[[#This Row],[Aplicación]],14,1)</f>
        <v>2</v>
      </c>
      <c r="R1778" s="35" t="s">
        <v>495</v>
      </c>
      <c r="S1778" s="35" t="str">
        <f>MID(Tabla1[[#This Row],[Aplicación]],6,2)</f>
        <v>03</v>
      </c>
      <c r="T1778" s="35" t="str">
        <f>VLOOKUP(Tabla1[[#This Row],[AREA]],Hoja1!A:B,2,FALSE)</f>
        <v>03. Participación ciudadana y deportes</v>
      </c>
      <c r="U1778" s="35" t="str">
        <f>MID(Tabla1[[#This Row],[Aplicación]],9,4)</f>
        <v>9241</v>
      </c>
      <c r="V1778" s="35" t="str">
        <f>VLOOKUP(Tabla1[[#This Row],[PROGRAMA]],Hoja1!A:B,2,FALSE)</f>
        <v>9241. Participación ciudadana</v>
      </c>
      <c r="W1778" s="35" t="str">
        <f>MID(Tabla1[[#This Row],[Aplicación]],14,2)</f>
        <v>21</v>
      </c>
      <c r="X1778" s="35" t="str">
        <f>MID(Tabla1[[#This Row],[Aplicación]],14,6)</f>
        <v>213</v>
      </c>
    </row>
    <row r="1779" spans="1:24" x14ac:dyDescent="0.25">
      <c r="A1779" s="45">
        <v>220210006956</v>
      </c>
      <c r="B1779" s="46" t="s">
        <v>9</v>
      </c>
      <c r="C1779" s="47">
        <v>44259</v>
      </c>
      <c r="D1779" s="45">
        <v>22021003135</v>
      </c>
      <c r="E1779" s="46" t="s">
        <v>1187</v>
      </c>
      <c r="F1779" s="48">
        <v>7260</v>
      </c>
      <c r="G1779" s="46" t="s">
        <v>3074</v>
      </c>
      <c r="H1779" s="46" t="s">
        <v>3075</v>
      </c>
      <c r="I1779" s="45" t="s">
        <v>125</v>
      </c>
      <c r="J1779" s="46" t="s">
        <v>127</v>
      </c>
      <c r="K1779" s="46" t="s">
        <v>127</v>
      </c>
      <c r="L1779" s="46" t="s">
        <v>12</v>
      </c>
      <c r="M1779" s="46" t="s">
        <v>10</v>
      </c>
      <c r="N1779" s="46" t="s">
        <v>11</v>
      </c>
      <c r="O1779" s="49" t="s">
        <v>815</v>
      </c>
      <c r="P1779" s="46" t="s">
        <v>507</v>
      </c>
      <c r="Q1779" s="35" t="str">
        <f>MID(Tabla1[[#This Row],[Aplicación]],14,1)</f>
        <v>2</v>
      </c>
      <c r="R1779" s="35" t="s">
        <v>495</v>
      </c>
      <c r="S1779" s="35" t="str">
        <f>MID(Tabla1[[#This Row],[Aplicación]],6,2)</f>
        <v>06</v>
      </c>
      <c r="T1779" s="35" t="str">
        <f>VLOOKUP(Tabla1[[#This Row],[AREA]],Hoja1!A:B,2,FALSE)</f>
        <v>06. Educación, infancia, juventud e igualdad</v>
      </c>
      <c r="U1779" s="35" t="str">
        <f>MID(Tabla1[[#This Row],[Aplicación]],9,4)</f>
        <v>2315</v>
      </c>
      <c r="V1779" s="35" t="str">
        <f>VLOOKUP(Tabla1[[#This Row],[PROGRAMA]],Hoja1!A:B,2,FALSE)</f>
        <v>2315. Políticas de Igualdad e infancia</v>
      </c>
      <c r="W1779" s="35" t="str">
        <f>MID(Tabla1[[#This Row],[Aplicación]],14,2)</f>
        <v>22</v>
      </c>
      <c r="X1779" s="35" t="str">
        <f>MID(Tabla1[[#This Row],[Aplicación]],14,6)</f>
        <v>22611</v>
      </c>
    </row>
    <row r="1780" spans="1:24" x14ac:dyDescent="0.25">
      <c r="A1780" s="45">
        <v>220210004224</v>
      </c>
      <c r="B1780" s="46" t="s">
        <v>9</v>
      </c>
      <c r="C1780" s="47">
        <v>44245</v>
      </c>
      <c r="D1780" s="45">
        <v>22021002828</v>
      </c>
      <c r="E1780" s="46" t="s">
        <v>1187</v>
      </c>
      <c r="F1780" s="48">
        <v>7260</v>
      </c>
      <c r="G1780" s="46" t="s">
        <v>297</v>
      </c>
      <c r="H1780" s="46" t="s">
        <v>3076</v>
      </c>
      <c r="I1780" s="45" t="s">
        <v>125</v>
      </c>
      <c r="J1780" s="46" t="s">
        <v>127</v>
      </c>
      <c r="K1780" s="46" t="s">
        <v>127</v>
      </c>
      <c r="L1780" s="46" t="s">
        <v>12</v>
      </c>
      <c r="M1780" s="46" t="s">
        <v>10</v>
      </c>
      <c r="N1780" s="46" t="s">
        <v>11</v>
      </c>
      <c r="O1780" s="49" t="s">
        <v>815</v>
      </c>
      <c r="P1780" s="46" t="s">
        <v>507</v>
      </c>
      <c r="Q1780" s="35" t="str">
        <f>MID(Tabla1[[#This Row],[Aplicación]],14,1)</f>
        <v>2</v>
      </c>
      <c r="R1780" s="35" t="s">
        <v>495</v>
      </c>
      <c r="S1780" s="35" t="str">
        <f>MID(Tabla1[[#This Row],[Aplicación]],6,2)</f>
        <v>06</v>
      </c>
      <c r="T1780" s="35" t="str">
        <f>VLOOKUP(Tabla1[[#This Row],[AREA]],Hoja1!A:B,2,FALSE)</f>
        <v>06. Educación, infancia, juventud e igualdad</v>
      </c>
      <c r="U1780" s="35" t="str">
        <f>MID(Tabla1[[#This Row],[Aplicación]],9,4)</f>
        <v>2315</v>
      </c>
      <c r="V1780" s="35" t="str">
        <f>VLOOKUP(Tabla1[[#This Row],[PROGRAMA]],Hoja1!A:B,2,FALSE)</f>
        <v>2315. Políticas de Igualdad e infancia</v>
      </c>
      <c r="W1780" s="35" t="str">
        <f>MID(Tabla1[[#This Row],[Aplicación]],14,2)</f>
        <v>22</v>
      </c>
      <c r="X1780" s="35" t="str">
        <f>MID(Tabla1[[#This Row],[Aplicación]],14,6)</f>
        <v>22611</v>
      </c>
    </row>
    <row r="1781" spans="1:24" x14ac:dyDescent="0.25">
      <c r="A1781" s="45">
        <v>220210006949</v>
      </c>
      <c r="B1781" s="46" t="s">
        <v>9</v>
      </c>
      <c r="C1781" s="47">
        <v>44259</v>
      </c>
      <c r="D1781" s="45">
        <v>22021003058</v>
      </c>
      <c r="E1781" s="46" t="s">
        <v>2803</v>
      </c>
      <c r="F1781" s="48">
        <v>7260</v>
      </c>
      <c r="G1781" s="46" t="s">
        <v>297</v>
      </c>
      <c r="H1781" s="46" t="s">
        <v>3077</v>
      </c>
      <c r="I1781" s="45" t="s">
        <v>125</v>
      </c>
      <c r="J1781" s="46" t="s">
        <v>127</v>
      </c>
      <c r="K1781" s="46" t="s">
        <v>127</v>
      </c>
      <c r="L1781" s="46" t="s">
        <v>12</v>
      </c>
      <c r="M1781" s="46" t="s">
        <v>10</v>
      </c>
      <c r="N1781" s="46" t="s">
        <v>11</v>
      </c>
      <c r="O1781" s="49" t="s">
        <v>815</v>
      </c>
      <c r="P1781" s="46" t="s">
        <v>507</v>
      </c>
      <c r="Q1781" s="35" t="str">
        <f>MID(Tabla1[[#This Row],[Aplicación]],14,1)</f>
        <v>2</v>
      </c>
      <c r="R1781" s="35" t="s">
        <v>495</v>
      </c>
      <c r="S1781" s="35" t="str">
        <f>MID(Tabla1[[#This Row],[Aplicación]],6,2)</f>
        <v>06</v>
      </c>
      <c r="T1781" s="35" t="str">
        <f>VLOOKUP(Tabla1[[#This Row],[AREA]],Hoja1!A:B,2,FALSE)</f>
        <v>06. Educación, infancia, juventud e igualdad</v>
      </c>
      <c r="U1781" s="35" t="str">
        <f>MID(Tabla1[[#This Row],[Aplicación]],9,4)</f>
        <v>2314</v>
      </c>
      <c r="V1781" s="35" t="str">
        <f>VLOOKUP(Tabla1[[#This Row],[PROGRAMA]],Hoja1!A:B,2,FALSE)</f>
        <v>2314. Centro de programas juveniles</v>
      </c>
      <c r="W1781" s="35" t="str">
        <f>MID(Tabla1[[#This Row],[Aplicación]],14,2)</f>
        <v>22</v>
      </c>
      <c r="X1781" s="35" t="str">
        <f>MID(Tabla1[[#This Row],[Aplicación]],14,6)</f>
        <v>22602</v>
      </c>
    </row>
    <row r="1782" spans="1:24" x14ac:dyDescent="0.25">
      <c r="A1782" s="45">
        <v>220210000543</v>
      </c>
      <c r="B1782" s="46" t="s">
        <v>9</v>
      </c>
      <c r="C1782" s="47">
        <v>44221</v>
      </c>
      <c r="D1782" s="45">
        <v>22021001098</v>
      </c>
      <c r="E1782" s="46" t="s">
        <v>1617</v>
      </c>
      <c r="F1782" s="48">
        <v>999.46</v>
      </c>
      <c r="G1782" s="46" t="s">
        <v>2724</v>
      </c>
      <c r="H1782" s="46" t="s">
        <v>3078</v>
      </c>
      <c r="I1782" s="45" t="s">
        <v>125</v>
      </c>
      <c r="J1782" s="46" t="s">
        <v>162</v>
      </c>
      <c r="K1782" s="46" t="s">
        <v>162</v>
      </c>
      <c r="L1782" s="46" t="s">
        <v>12</v>
      </c>
      <c r="M1782" s="46" t="s">
        <v>13</v>
      </c>
      <c r="N1782" s="46" t="s">
        <v>14</v>
      </c>
      <c r="O1782" s="49" t="s">
        <v>814</v>
      </c>
      <c r="P1782" s="46" t="s">
        <v>507</v>
      </c>
      <c r="Q1782" s="35" t="str">
        <f>MID(Tabla1[[#This Row],[Aplicación]],14,1)</f>
        <v>2</v>
      </c>
      <c r="R1782" s="35" t="s">
        <v>495</v>
      </c>
      <c r="S1782" s="35" t="str">
        <f>MID(Tabla1[[#This Row],[Aplicación]],6,2)</f>
        <v>05</v>
      </c>
      <c r="T1782" s="35" t="str">
        <f>VLOOKUP(Tabla1[[#This Row],[AREA]],Hoja1!A:B,2,FALSE)</f>
        <v>05. Innovación, desarrollo económico, empleo y comercio</v>
      </c>
      <c r="U1782" s="35" t="str">
        <f>MID(Tabla1[[#This Row],[Aplicación]],9,4)</f>
        <v>4331</v>
      </c>
      <c r="V1782" s="35" t="str">
        <f>VLOOKUP(Tabla1[[#This Row],[PROGRAMA]],Hoja1!A:B,2,FALSE)</f>
        <v>4331. Desarrollo empresarial</v>
      </c>
      <c r="W1782" s="35" t="str">
        <f>MID(Tabla1[[#This Row],[Aplicación]],14,2)</f>
        <v>22</v>
      </c>
      <c r="X1782" s="35" t="str">
        <f>MID(Tabla1[[#This Row],[Aplicación]],14,6)</f>
        <v>22602</v>
      </c>
    </row>
    <row r="1783" spans="1:24" x14ac:dyDescent="0.25">
      <c r="A1783" s="45">
        <v>220210009406</v>
      </c>
      <c r="B1783" s="46" t="s">
        <v>204</v>
      </c>
      <c r="C1783" s="47">
        <v>44271</v>
      </c>
      <c r="D1783" s="45">
        <v>22021002006</v>
      </c>
      <c r="E1783" s="46" t="s">
        <v>1310</v>
      </c>
      <c r="F1783" s="48">
        <v>300.99</v>
      </c>
      <c r="G1783" s="46" t="s">
        <v>102</v>
      </c>
      <c r="H1783" s="46" t="s">
        <v>3079</v>
      </c>
      <c r="I1783" s="45" t="s">
        <v>205</v>
      </c>
      <c r="J1783" s="46" t="s">
        <v>127</v>
      </c>
      <c r="K1783" s="46" t="s">
        <v>127</v>
      </c>
      <c r="L1783" s="46" t="s">
        <v>15</v>
      </c>
      <c r="M1783" s="46" t="s">
        <v>13</v>
      </c>
      <c r="N1783" s="46" t="s">
        <v>14</v>
      </c>
      <c r="O1783" s="49" t="s">
        <v>814</v>
      </c>
      <c r="P1783" s="46" t="s">
        <v>507</v>
      </c>
      <c r="Q1783" s="35" t="str">
        <f>MID(Tabla1[[#This Row],[Aplicación]],14,1)</f>
        <v>2</v>
      </c>
      <c r="R1783" s="35" t="s">
        <v>495</v>
      </c>
      <c r="S1783" s="35" t="str">
        <f>MID(Tabla1[[#This Row],[Aplicación]],6,2)</f>
        <v>11</v>
      </c>
      <c r="T1783" s="35" t="str">
        <f>VLOOKUP(Tabla1[[#This Row],[AREA]],Hoja1!A:B,2,FALSE)</f>
        <v>11. Salud pública y seguridad ciudadana</v>
      </c>
      <c r="U1783" s="35" t="str">
        <f>MID(Tabla1[[#This Row],[Aplicación]],9,4)</f>
        <v>3111</v>
      </c>
      <c r="V1783" s="35" t="str">
        <f>VLOOKUP(Tabla1[[#This Row],[PROGRAMA]],Hoja1!A:B,2,FALSE)</f>
        <v>3111. Protección de la salubridad pública</v>
      </c>
      <c r="W1783" s="35" t="str">
        <f>MID(Tabla1[[#This Row],[Aplicación]],14,2)</f>
        <v>22</v>
      </c>
      <c r="X1783" s="35" t="str">
        <f>MID(Tabla1[[#This Row],[Aplicación]],14,6)</f>
        <v>22199</v>
      </c>
    </row>
    <row r="1784" spans="1:24" x14ac:dyDescent="0.25">
      <c r="A1784" s="45">
        <v>220210010071</v>
      </c>
      <c r="B1784" s="46" t="s">
        <v>204</v>
      </c>
      <c r="C1784" s="47">
        <v>44273</v>
      </c>
      <c r="D1784" s="45">
        <v>22021002143</v>
      </c>
      <c r="E1784" s="46" t="s">
        <v>1328</v>
      </c>
      <c r="F1784" s="48">
        <v>26.86</v>
      </c>
      <c r="G1784" s="46" t="s">
        <v>102</v>
      </c>
      <c r="H1784" s="46" t="s">
        <v>3080</v>
      </c>
      <c r="I1784" s="45" t="s">
        <v>205</v>
      </c>
      <c r="J1784" s="46" t="s">
        <v>127</v>
      </c>
      <c r="K1784" s="46" t="s">
        <v>127</v>
      </c>
      <c r="L1784" s="46" t="s">
        <v>15</v>
      </c>
      <c r="M1784" s="46" t="s">
        <v>13</v>
      </c>
      <c r="N1784" s="46" t="s">
        <v>14</v>
      </c>
      <c r="O1784" s="49" t="s">
        <v>814</v>
      </c>
      <c r="P1784" s="46" t="s">
        <v>507</v>
      </c>
      <c r="Q1784" s="35" t="str">
        <f>MID(Tabla1[[#This Row],[Aplicación]],14,1)</f>
        <v>2</v>
      </c>
      <c r="R1784" s="35" t="s">
        <v>495</v>
      </c>
      <c r="S1784" s="35" t="str">
        <f>MID(Tabla1[[#This Row],[Aplicación]],6,2)</f>
        <v>10</v>
      </c>
      <c r="T1784" s="35" t="str">
        <f>VLOOKUP(Tabla1[[#This Row],[AREA]],Hoja1!A:B,2,FALSE)</f>
        <v>10. Servicios sociales y mediación comunitaria</v>
      </c>
      <c r="U1784" s="35" t="str">
        <f>MID(Tabla1[[#This Row],[Aplicación]],9,4)</f>
        <v>2311</v>
      </c>
      <c r="V1784" s="35" t="str">
        <f>VLOOKUP(Tabla1[[#This Row],[PROGRAMA]],Hoja1!A:B,2,FALSE)</f>
        <v>2311. Intervención social</v>
      </c>
      <c r="W1784" s="35" t="str">
        <f>MID(Tabla1[[#This Row],[Aplicación]],14,2)</f>
        <v>21</v>
      </c>
      <c r="X1784" s="35" t="str">
        <f>MID(Tabla1[[#This Row],[Aplicación]],14,6)</f>
        <v>212</v>
      </c>
    </row>
    <row r="1785" spans="1:24" x14ac:dyDescent="0.25">
      <c r="A1785" s="45">
        <v>220210010071</v>
      </c>
      <c r="B1785" s="46" t="s">
        <v>204</v>
      </c>
      <c r="C1785" s="47">
        <v>44273</v>
      </c>
      <c r="D1785" s="45">
        <v>22021002144</v>
      </c>
      <c r="E1785" s="46" t="s">
        <v>1328</v>
      </c>
      <c r="F1785" s="48">
        <v>73.81</v>
      </c>
      <c r="G1785" s="46" t="s">
        <v>102</v>
      </c>
      <c r="H1785" s="46" t="s">
        <v>3080</v>
      </c>
      <c r="I1785" s="45" t="s">
        <v>205</v>
      </c>
      <c r="J1785" s="46" t="s">
        <v>127</v>
      </c>
      <c r="K1785" s="46" t="s">
        <v>127</v>
      </c>
      <c r="L1785" s="46" t="s">
        <v>15</v>
      </c>
      <c r="M1785" s="46" t="s">
        <v>13</v>
      </c>
      <c r="N1785" s="46" t="s">
        <v>14</v>
      </c>
      <c r="O1785" s="49" t="s">
        <v>814</v>
      </c>
      <c r="P1785" s="46" t="s">
        <v>507</v>
      </c>
      <c r="Q1785" s="35" t="str">
        <f>MID(Tabla1[[#This Row],[Aplicación]],14,1)</f>
        <v>2</v>
      </c>
      <c r="R1785" s="35" t="s">
        <v>495</v>
      </c>
      <c r="S1785" s="35" t="str">
        <f>MID(Tabla1[[#This Row],[Aplicación]],6,2)</f>
        <v>10</v>
      </c>
      <c r="T1785" s="35" t="str">
        <f>VLOOKUP(Tabla1[[#This Row],[AREA]],Hoja1!A:B,2,FALSE)</f>
        <v>10. Servicios sociales y mediación comunitaria</v>
      </c>
      <c r="U1785" s="35" t="str">
        <f>MID(Tabla1[[#This Row],[Aplicación]],9,4)</f>
        <v>2311</v>
      </c>
      <c r="V1785" s="35" t="str">
        <f>VLOOKUP(Tabla1[[#This Row],[PROGRAMA]],Hoja1!A:B,2,FALSE)</f>
        <v>2311. Intervención social</v>
      </c>
      <c r="W1785" s="35" t="str">
        <f>MID(Tabla1[[#This Row],[Aplicación]],14,2)</f>
        <v>21</v>
      </c>
      <c r="X1785" s="35" t="str">
        <f>MID(Tabla1[[#This Row],[Aplicación]],14,6)</f>
        <v>212</v>
      </c>
    </row>
    <row r="1786" spans="1:24" x14ac:dyDescent="0.25">
      <c r="A1786" s="45">
        <v>220210010100</v>
      </c>
      <c r="B1786" s="46" t="s">
        <v>204</v>
      </c>
      <c r="C1786" s="47">
        <v>44273</v>
      </c>
      <c r="D1786" s="45">
        <v>22021001038</v>
      </c>
      <c r="E1786" s="46" t="s">
        <v>844</v>
      </c>
      <c r="F1786" s="48">
        <v>495.95</v>
      </c>
      <c r="G1786" s="46" t="s">
        <v>102</v>
      </c>
      <c r="H1786" s="46" t="s">
        <v>3081</v>
      </c>
      <c r="I1786" s="45" t="s">
        <v>205</v>
      </c>
      <c r="J1786" s="46" t="s">
        <v>127</v>
      </c>
      <c r="K1786" s="46" t="s">
        <v>127</v>
      </c>
      <c r="L1786" s="46" t="s">
        <v>15</v>
      </c>
      <c r="M1786" s="46" t="s">
        <v>13</v>
      </c>
      <c r="N1786" s="46" t="s">
        <v>14</v>
      </c>
      <c r="O1786" s="49" t="s">
        <v>814</v>
      </c>
      <c r="P1786" s="46" t="s">
        <v>507</v>
      </c>
      <c r="Q1786" s="35" t="str">
        <f>MID(Tabla1[[#This Row],[Aplicación]],14,1)</f>
        <v>2</v>
      </c>
      <c r="R1786" s="35" t="s">
        <v>495</v>
      </c>
      <c r="S1786" s="35" t="str">
        <f>MID(Tabla1[[#This Row],[Aplicación]],6,2)</f>
        <v>10</v>
      </c>
      <c r="T1786" s="35" t="str">
        <f>VLOOKUP(Tabla1[[#This Row],[AREA]],Hoja1!A:B,2,FALSE)</f>
        <v>10. Servicios sociales y mediación comunitaria</v>
      </c>
      <c r="U1786" s="35" t="str">
        <f>MID(Tabla1[[#This Row],[Aplicación]],9,4)</f>
        <v>2312</v>
      </c>
      <c r="V1786" s="35" t="str">
        <f>VLOOKUP(Tabla1[[#This Row],[PROGRAMA]],Hoja1!A:B,2,FALSE)</f>
        <v>2312. Iniciativas sociales</v>
      </c>
      <c r="W1786" s="35" t="str">
        <f>MID(Tabla1[[#This Row],[Aplicación]],14,2)</f>
        <v>21</v>
      </c>
      <c r="X1786" s="35" t="str">
        <f>MID(Tabla1[[#This Row],[Aplicación]],14,6)</f>
        <v>212</v>
      </c>
    </row>
    <row r="1787" spans="1:24" x14ac:dyDescent="0.25">
      <c r="A1787" s="45">
        <v>220210010117</v>
      </c>
      <c r="B1787" s="46" t="s">
        <v>204</v>
      </c>
      <c r="C1787" s="47">
        <v>44273</v>
      </c>
      <c r="D1787" s="45">
        <v>22021002052</v>
      </c>
      <c r="E1787" s="46" t="s">
        <v>1340</v>
      </c>
      <c r="F1787" s="48">
        <v>291.08</v>
      </c>
      <c r="G1787" s="46" t="s">
        <v>274</v>
      </c>
      <c r="H1787" s="46" t="s">
        <v>3082</v>
      </c>
      <c r="I1787" s="45" t="s">
        <v>205</v>
      </c>
      <c r="J1787" s="46" t="s">
        <v>127</v>
      </c>
      <c r="K1787" s="46" t="s">
        <v>127</v>
      </c>
      <c r="L1787" s="46" t="s">
        <v>15</v>
      </c>
      <c r="M1787" s="46" t="s">
        <v>13</v>
      </c>
      <c r="N1787" s="46" t="s">
        <v>14</v>
      </c>
      <c r="O1787" s="49" t="s">
        <v>814</v>
      </c>
      <c r="P1787" s="46" t="s">
        <v>507</v>
      </c>
      <c r="Q1787" s="35" t="str">
        <f>MID(Tabla1[[#This Row],[Aplicación]],14,1)</f>
        <v>2</v>
      </c>
      <c r="R1787" s="35" t="s">
        <v>495</v>
      </c>
      <c r="S1787" s="35" t="str">
        <f>MID(Tabla1[[#This Row],[Aplicación]],6,2)</f>
        <v>11</v>
      </c>
      <c r="T1787" s="35" t="str">
        <f>VLOOKUP(Tabla1[[#This Row],[AREA]],Hoja1!A:B,2,FALSE)</f>
        <v>11. Salud pública y seguridad ciudadana</v>
      </c>
      <c r="U1787" s="35" t="str">
        <f>MID(Tabla1[[#This Row],[Aplicación]],9,4)</f>
        <v>1621</v>
      </c>
      <c r="V1787" s="35" t="str">
        <f>VLOOKUP(Tabla1[[#This Row],[PROGRAMA]],Hoja1!A:B,2,FALSE)</f>
        <v>1621. Servicio de limpieza</v>
      </c>
      <c r="W1787" s="35" t="str">
        <f>MID(Tabla1[[#This Row],[Aplicación]],14,2)</f>
        <v>22</v>
      </c>
      <c r="X1787" s="35" t="str">
        <f>MID(Tabla1[[#This Row],[Aplicación]],14,6)</f>
        <v>22199</v>
      </c>
    </row>
    <row r="1788" spans="1:24" x14ac:dyDescent="0.25">
      <c r="A1788" s="45">
        <v>220210010119</v>
      </c>
      <c r="B1788" s="46" t="s">
        <v>204</v>
      </c>
      <c r="C1788" s="47">
        <v>44273</v>
      </c>
      <c r="D1788" s="45">
        <v>22021002048</v>
      </c>
      <c r="E1788" s="46" t="s">
        <v>890</v>
      </c>
      <c r="F1788" s="48">
        <v>532.4</v>
      </c>
      <c r="G1788" s="46" t="s">
        <v>265</v>
      </c>
      <c r="H1788" s="46" t="s">
        <v>3083</v>
      </c>
      <c r="I1788" s="45" t="s">
        <v>205</v>
      </c>
      <c r="J1788" s="46" t="s">
        <v>157</v>
      </c>
      <c r="K1788" s="46" t="s">
        <v>157</v>
      </c>
      <c r="L1788" s="46" t="s">
        <v>15</v>
      </c>
      <c r="M1788" s="46" t="s">
        <v>13</v>
      </c>
      <c r="N1788" s="46" t="s">
        <v>14</v>
      </c>
      <c r="O1788" s="49" t="s">
        <v>814</v>
      </c>
      <c r="P1788" s="46" t="s">
        <v>507</v>
      </c>
      <c r="Q1788" s="35" t="str">
        <f>MID(Tabla1[[#This Row],[Aplicación]],14,1)</f>
        <v>2</v>
      </c>
      <c r="R1788" s="35" t="s">
        <v>495</v>
      </c>
      <c r="S1788" s="35" t="str">
        <f>MID(Tabla1[[#This Row],[Aplicación]],6,2)</f>
        <v>11</v>
      </c>
      <c r="T1788" s="35" t="str">
        <f>VLOOKUP(Tabla1[[#This Row],[AREA]],Hoja1!A:B,2,FALSE)</f>
        <v>11. Salud pública y seguridad ciudadana</v>
      </c>
      <c r="U1788" s="35" t="str">
        <f>MID(Tabla1[[#This Row],[Aplicación]],9,4)</f>
        <v>1621</v>
      </c>
      <c r="V1788" s="35" t="str">
        <f>VLOOKUP(Tabla1[[#This Row],[PROGRAMA]],Hoja1!A:B,2,FALSE)</f>
        <v>1621. Servicio de limpieza</v>
      </c>
      <c r="W1788" s="35" t="str">
        <f>MID(Tabla1[[#This Row],[Aplicación]],14,2)</f>
        <v>21</v>
      </c>
      <c r="X1788" s="35" t="str">
        <f>MID(Tabla1[[#This Row],[Aplicación]],14,6)</f>
        <v>214</v>
      </c>
    </row>
    <row r="1789" spans="1:24" x14ac:dyDescent="0.25">
      <c r="A1789" s="45">
        <v>220210010121</v>
      </c>
      <c r="B1789" s="46" t="s">
        <v>204</v>
      </c>
      <c r="C1789" s="47">
        <v>44273</v>
      </c>
      <c r="D1789" s="45">
        <v>22021002048</v>
      </c>
      <c r="E1789" s="46" t="s">
        <v>890</v>
      </c>
      <c r="F1789" s="48">
        <v>132.31</v>
      </c>
      <c r="G1789" s="46" t="s">
        <v>265</v>
      </c>
      <c r="H1789" s="46" t="s">
        <v>3084</v>
      </c>
      <c r="I1789" s="45" t="s">
        <v>205</v>
      </c>
      <c r="J1789" s="46" t="s">
        <v>157</v>
      </c>
      <c r="K1789" s="46" t="s">
        <v>157</v>
      </c>
      <c r="L1789" s="46" t="s">
        <v>15</v>
      </c>
      <c r="M1789" s="46" t="s">
        <v>13</v>
      </c>
      <c r="N1789" s="46" t="s">
        <v>14</v>
      </c>
      <c r="O1789" s="49" t="s">
        <v>814</v>
      </c>
      <c r="P1789" s="46" t="s">
        <v>507</v>
      </c>
      <c r="Q1789" s="35" t="str">
        <f>MID(Tabla1[[#This Row],[Aplicación]],14,1)</f>
        <v>2</v>
      </c>
      <c r="R1789" s="35" t="s">
        <v>495</v>
      </c>
      <c r="S1789" s="35" t="str">
        <f>MID(Tabla1[[#This Row],[Aplicación]],6,2)</f>
        <v>11</v>
      </c>
      <c r="T1789" s="35" t="str">
        <f>VLOOKUP(Tabla1[[#This Row],[AREA]],Hoja1!A:B,2,FALSE)</f>
        <v>11. Salud pública y seguridad ciudadana</v>
      </c>
      <c r="U1789" s="35" t="str">
        <f>MID(Tabla1[[#This Row],[Aplicación]],9,4)</f>
        <v>1621</v>
      </c>
      <c r="V1789" s="35" t="str">
        <f>VLOOKUP(Tabla1[[#This Row],[PROGRAMA]],Hoja1!A:B,2,FALSE)</f>
        <v>1621. Servicio de limpieza</v>
      </c>
      <c r="W1789" s="35" t="str">
        <f>MID(Tabla1[[#This Row],[Aplicación]],14,2)</f>
        <v>21</v>
      </c>
      <c r="X1789" s="35" t="str">
        <f>MID(Tabla1[[#This Row],[Aplicación]],14,6)</f>
        <v>214</v>
      </c>
    </row>
    <row r="1790" spans="1:24" x14ac:dyDescent="0.25">
      <c r="A1790" s="45">
        <v>220210010123</v>
      </c>
      <c r="B1790" s="46" t="s">
        <v>204</v>
      </c>
      <c r="C1790" s="47">
        <v>44273</v>
      </c>
      <c r="D1790" s="45">
        <v>22021002049</v>
      </c>
      <c r="E1790" s="46" t="s">
        <v>1671</v>
      </c>
      <c r="F1790" s="48">
        <v>562.65</v>
      </c>
      <c r="G1790" s="46" t="s">
        <v>265</v>
      </c>
      <c r="H1790" s="46" t="s">
        <v>3085</v>
      </c>
      <c r="I1790" s="45" t="s">
        <v>205</v>
      </c>
      <c r="J1790" s="46" t="s">
        <v>157</v>
      </c>
      <c r="K1790" s="46" t="s">
        <v>157</v>
      </c>
      <c r="L1790" s="46" t="s">
        <v>15</v>
      </c>
      <c r="M1790" s="46" t="s">
        <v>13</v>
      </c>
      <c r="N1790" s="46" t="s">
        <v>14</v>
      </c>
      <c r="O1790" s="49" t="s">
        <v>814</v>
      </c>
      <c r="P1790" s="46" t="s">
        <v>507</v>
      </c>
      <c r="Q1790" s="35" t="str">
        <f>MID(Tabla1[[#This Row],[Aplicación]],14,1)</f>
        <v>2</v>
      </c>
      <c r="R1790" s="35" t="s">
        <v>495</v>
      </c>
      <c r="S1790" s="35" t="str">
        <f>MID(Tabla1[[#This Row],[Aplicación]],6,2)</f>
        <v>11</v>
      </c>
      <c r="T1790" s="35" t="str">
        <f>VLOOKUP(Tabla1[[#This Row],[AREA]],Hoja1!A:B,2,FALSE)</f>
        <v>11. Salud pública y seguridad ciudadana</v>
      </c>
      <c r="U1790" s="35" t="str">
        <f>MID(Tabla1[[#This Row],[Aplicación]],9,4)</f>
        <v>1621</v>
      </c>
      <c r="V1790" s="35" t="str">
        <f>VLOOKUP(Tabla1[[#This Row],[PROGRAMA]],Hoja1!A:B,2,FALSE)</f>
        <v>1621. Servicio de limpieza</v>
      </c>
      <c r="W1790" s="35" t="str">
        <f>MID(Tabla1[[#This Row],[Aplicación]],14,2)</f>
        <v>22</v>
      </c>
      <c r="X1790" s="35" t="str">
        <f>MID(Tabla1[[#This Row],[Aplicación]],14,6)</f>
        <v>22103</v>
      </c>
    </row>
    <row r="1791" spans="1:24" x14ac:dyDescent="0.25">
      <c r="A1791" s="45">
        <v>220210010125</v>
      </c>
      <c r="B1791" s="46" t="s">
        <v>204</v>
      </c>
      <c r="C1791" s="47">
        <v>44273</v>
      </c>
      <c r="D1791" s="45">
        <v>22021002049</v>
      </c>
      <c r="E1791" s="46" t="s">
        <v>1671</v>
      </c>
      <c r="F1791" s="48">
        <v>2633.29</v>
      </c>
      <c r="G1791" s="46" t="s">
        <v>265</v>
      </c>
      <c r="H1791" s="46" t="s">
        <v>3086</v>
      </c>
      <c r="I1791" s="45" t="s">
        <v>205</v>
      </c>
      <c r="J1791" s="46" t="s">
        <v>157</v>
      </c>
      <c r="K1791" s="46" t="s">
        <v>157</v>
      </c>
      <c r="L1791" s="46" t="s">
        <v>15</v>
      </c>
      <c r="M1791" s="46" t="s">
        <v>13</v>
      </c>
      <c r="N1791" s="46" t="s">
        <v>14</v>
      </c>
      <c r="O1791" s="49" t="s">
        <v>814</v>
      </c>
      <c r="P1791" s="46" t="s">
        <v>507</v>
      </c>
      <c r="Q1791" s="35" t="str">
        <f>MID(Tabla1[[#This Row],[Aplicación]],14,1)</f>
        <v>2</v>
      </c>
      <c r="R1791" s="35" t="s">
        <v>495</v>
      </c>
      <c r="S1791" s="35" t="str">
        <f>MID(Tabla1[[#This Row],[Aplicación]],6,2)</f>
        <v>11</v>
      </c>
      <c r="T1791" s="35" t="str">
        <f>VLOOKUP(Tabla1[[#This Row],[AREA]],Hoja1!A:B,2,FALSE)</f>
        <v>11. Salud pública y seguridad ciudadana</v>
      </c>
      <c r="U1791" s="35" t="str">
        <f>MID(Tabla1[[#This Row],[Aplicación]],9,4)</f>
        <v>1621</v>
      </c>
      <c r="V1791" s="35" t="str">
        <f>VLOOKUP(Tabla1[[#This Row],[PROGRAMA]],Hoja1!A:B,2,FALSE)</f>
        <v>1621. Servicio de limpieza</v>
      </c>
      <c r="W1791" s="35" t="str">
        <f>MID(Tabla1[[#This Row],[Aplicación]],14,2)</f>
        <v>22</v>
      </c>
      <c r="X1791" s="35" t="str">
        <f>MID(Tabla1[[#This Row],[Aplicación]],14,6)</f>
        <v>22103</v>
      </c>
    </row>
    <row r="1792" spans="1:24" x14ac:dyDescent="0.25">
      <c r="A1792" s="45">
        <v>220210010129</v>
      </c>
      <c r="B1792" s="46" t="s">
        <v>204</v>
      </c>
      <c r="C1792" s="47">
        <v>44273</v>
      </c>
      <c r="D1792" s="45">
        <v>22021002048</v>
      </c>
      <c r="E1792" s="46" t="s">
        <v>890</v>
      </c>
      <c r="F1792" s="48">
        <v>1513.52</v>
      </c>
      <c r="G1792" s="46" t="s">
        <v>271</v>
      </c>
      <c r="H1792" s="46" t="s">
        <v>3087</v>
      </c>
      <c r="I1792" s="45" t="s">
        <v>205</v>
      </c>
      <c r="J1792" s="46" t="s">
        <v>127</v>
      </c>
      <c r="K1792" s="46" t="s">
        <v>127</v>
      </c>
      <c r="L1792" s="46" t="s">
        <v>15</v>
      </c>
      <c r="M1792" s="46" t="s">
        <v>13</v>
      </c>
      <c r="N1792" s="46" t="s">
        <v>14</v>
      </c>
      <c r="O1792" s="49" t="s">
        <v>814</v>
      </c>
      <c r="P1792" s="46" t="s">
        <v>507</v>
      </c>
      <c r="Q1792" s="35" t="str">
        <f>MID(Tabla1[[#This Row],[Aplicación]],14,1)</f>
        <v>2</v>
      </c>
      <c r="R1792" s="35" t="s">
        <v>495</v>
      </c>
      <c r="S1792" s="35" t="str">
        <f>MID(Tabla1[[#This Row],[Aplicación]],6,2)</f>
        <v>11</v>
      </c>
      <c r="T1792" s="35" t="str">
        <f>VLOOKUP(Tabla1[[#This Row],[AREA]],Hoja1!A:B,2,FALSE)</f>
        <v>11. Salud pública y seguridad ciudadana</v>
      </c>
      <c r="U1792" s="35" t="str">
        <f>MID(Tabla1[[#This Row],[Aplicación]],9,4)</f>
        <v>1621</v>
      </c>
      <c r="V1792" s="35" t="str">
        <f>VLOOKUP(Tabla1[[#This Row],[PROGRAMA]],Hoja1!A:B,2,FALSE)</f>
        <v>1621. Servicio de limpieza</v>
      </c>
      <c r="W1792" s="35" t="str">
        <f>MID(Tabla1[[#This Row],[Aplicación]],14,2)</f>
        <v>21</v>
      </c>
      <c r="X1792" s="35" t="str">
        <f>MID(Tabla1[[#This Row],[Aplicación]],14,6)</f>
        <v>214</v>
      </c>
    </row>
    <row r="1793" spans="1:24" x14ac:dyDescent="0.25">
      <c r="A1793" s="45">
        <v>220210010135</v>
      </c>
      <c r="B1793" s="46" t="s">
        <v>204</v>
      </c>
      <c r="C1793" s="47">
        <v>44273</v>
      </c>
      <c r="D1793" s="45">
        <v>22021002056</v>
      </c>
      <c r="E1793" s="46" t="s">
        <v>876</v>
      </c>
      <c r="F1793" s="48">
        <v>612.02</v>
      </c>
      <c r="G1793" s="46" t="s">
        <v>274</v>
      </c>
      <c r="H1793" s="46" t="s">
        <v>3088</v>
      </c>
      <c r="I1793" s="45" t="s">
        <v>205</v>
      </c>
      <c r="J1793" s="46" t="s">
        <v>127</v>
      </c>
      <c r="K1793" s="46" t="s">
        <v>127</v>
      </c>
      <c r="L1793" s="46" t="s">
        <v>15</v>
      </c>
      <c r="M1793" s="46" t="s">
        <v>13</v>
      </c>
      <c r="N1793" s="46" t="s">
        <v>14</v>
      </c>
      <c r="O1793" s="49" t="s">
        <v>814</v>
      </c>
      <c r="P1793" s="46" t="s">
        <v>507</v>
      </c>
      <c r="Q1793" s="35" t="str">
        <f>MID(Tabla1[[#This Row],[Aplicación]],14,1)</f>
        <v>2</v>
      </c>
      <c r="R1793" s="35" t="s">
        <v>495</v>
      </c>
      <c r="S1793" s="35" t="str">
        <f>MID(Tabla1[[#This Row],[Aplicación]],6,2)</f>
        <v>11</v>
      </c>
      <c r="T1793" s="35" t="str">
        <f>VLOOKUP(Tabla1[[#This Row],[AREA]],Hoja1!A:B,2,FALSE)</f>
        <v>11. Salud pública y seguridad ciudadana</v>
      </c>
      <c r="U1793" s="35" t="str">
        <f>MID(Tabla1[[#This Row],[Aplicación]],9,4)</f>
        <v>1631</v>
      </c>
      <c r="V1793" s="35" t="str">
        <f>VLOOKUP(Tabla1[[#This Row],[PROGRAMA]],Hoja1!A:B,2,FALSE)</f>
        <v>1631. Limpieza viaria</v>
      </c>
      <c r="W1793" s="35" t="str">
        <f>MID(Tabla1[[#This Row],[Aplicación]],14,2)</f>
        <v>22</v>
      </c>
      <c r="X1793" s="35" t="str">
        <f>MID(Tabla1[[#This Row],[Aplicación]],14,6)</f>
        <v>22110</v>
      </c>
    </row>
    <row r="1794" spans="1:24" x14ac:dyDescent="0.25">
      <c r="A1794" s="45">
        <v>220210010137</v>
      </c>
      <c r="B1794" s="46" t="s">
        <v>204</v>
      </c>
      <c r="C1794" s="47">
        <v>44273</v>
      </c>
      <c r="D1794" s="45">
        <v>22021002057</v>
      </c>
      <c r="E1794" s="46" t="s">
        <v>1715</v>
      </c>
      <c r="F1794" s="48">
        <v>364.31</v>
      </c>
      <c r="G1794" s="46" t="s">
        <v>269</v>
      </c>
      <c r="H1794" s="46" t="s">
        <v>3089</v>
      </c>
      <c r="I1794" s="45" t="s">
        <v>205</v>
      </c>
      <c r="J1794" s="46" t="s">
        <v>127</v>
      </c>
      <c r="K1794" s="46" t="s">
        <v>127</v>
      </c>
      <c r="L1794" s="46" t="s">
        <v>15</v>
      </c>
      <c r="M1794" s="46" t="s">
        <v>13</v>
      </c>
      <c r="N1794" s="46" t="s">
        <v>14</v>
      </c>
      <c r="O1794" s="49" t="s">
        <v>814</v>
      </c>
      <c r="P1794" s="46" t="s">
        <v>507</v>
      </c>
      <c r="Q1794" s="35" t="str">
        <f>MID(Tabla1[[#This Row],[Aplicación]],14,1)</f>
        <v>2</v>
      </c>
      <c r="R1794" s="35" t="s">
        <v>495</v>
      </c>
      <c r="S1794" s="35" t="str">
        <f>MID(Tabla1[[#This Row],[Aplicación]],6,2)</f>
        <v>11</v>
      </c>
      <c r="T1794" s="35" t="str">
        <f>VLOOKUP(Tabla1[[#This Row],[AREA]],Hoja1!A:B,2,FALSE)</f>
        <v>11. Salud pública y seguridad ciudadana</v>
      </c>
      <c r="U1794" s="35" t="str">
        <f>MID(Tabla1[[#This Row],[Aplicación]],9,4)</f>
        <v>1631</v>
      </c>
      <c r="V1794" s="35" t="str">
        <f>VLOOKUP(Tabla1[[#This Row],[PROGRAMA]],Hoja1!A:B,2,FALSE)</f>
        <v>1631. Limpieza viaria</v>
      </c>
      <c r="W1794" s="35" t="str">
        <f>MID(Tabla1[[#This Row],[Aplicación]],14,2)</f>
        <v>22</v>
      </c>
      <c r="X1794" s="35" t="str">
        <f>MID(Tabla1[[#This Row],[Aplicación]],14,6)</f>
        <v>22199</v>
      </c>
    </row>
    <row r="1795" spans="1:24" x14ac:dyDescent="0.25">
      <c r="A1795" s="45">
        <v>220210001421</v>
      </c>
      <c r="B1795" s="46" t="s">
        <v>32</v>
      </c>
      <c r="C1795" s="47">
        <v>44229</v>
      </c>
      <c r="D1795" s="45">
        <v>22021002061</v>
      </c>
      <c r="E1795" s="46" t="s">
        <v>1705</v>
      </c>
      <c r="F1795" s="48">
        <v>998.25</v>
      </c>
      <c r="G1795" s="46" t="s">
        <v>2724</v>
      </c>
      <c r="H1795" s="46" t="s">
        <v>3090</v>
      </c>
      <c r="I1795" s="45" t="s">
        <v>234</v>
      </c>
      <c r="J1795" s="46" t="s">
        <v>162</v>
      </c>
      <c r="K1795" s="46" t="s">
        <v>162</v>
      </c>
      <c r="L1795" s="46" t="s">
        <v>12</v>
      </c>
      <c r="M1795" s="46" t="s">
        <v>13</v>
      </c>
      <c r="N1795" s="46" t="s">
        <v>14</v>
      </c>
      <c r="O1795" s="49" t="s">
        <v>814</v>
      </c>
      <c r="P1795" s="46" t="s">
        <v>507</v>
      </c>
      <c r="Q1795" s="35" t="str">
        <f>MID(Tabla1[[#This Row],[Aplicación]],14,1)</f>
        <v>2</v>
      </c>
      <c r="R1795" s="35" t="s">
        <v>495</v>
      </c>
      <c r="S1795" s="35" t="str">
        <f>MID(Tabla1[[#This Row],[Aplicación]],6,2)</f>
        <v>05</v>
      </c>
      <c r="T1795" s="35" t="str">
        <f>VLOOKUP(Tabla1[[#This Row],[AREA]],Hoja1!A:B,2,FALSE)</f>
        <v>05. Innovación, desarrollo económico, empleo y comercio</v>
      </c>
      <c r="U1795" s="35" t="str">
        <f>MID(Tabla1[[#This Row],[Aplicación]],9,4)</f>
        <v>4315</v>
      </c>
      <c r="V1795" s="35" t="str">
        <f>VLOOKUP(Tabla1[[#This Row],[PROGRAMA]],Hoja1!A:B,2,FALSE)</f>
        <v>4315. Actuaciones en materia de consumo</v>
      </c>
      <c r="W1795" s="35" t="str">
        <f>MID(Tabla1[[#This Row],[Aplicación]],14,2)</f>
        <v>22</v>
      </c>
      <c r="X1795" s="35" t="str">
        <f>MID(Tabla1[[#This Row],[Aplicación]],14,6)</f>
        <v>22602</v>
      </c>
    </row>
    <row r="1796" spans="1:24" x14ac:dyDescent="0.25">
      <c r="A1796" s="45">
        <v>220210005189</v>
      </c>
      <c r="B1796" s="46" t="s">
        <v>9</v>
      </c>
      <c r="C1796" s="47">
        <v>44246</v>
      </c>
      <c r="D1796" s="45">
        <v>22021002639</v>
      </c>
      <c r="E1796" s="46" t="s">
        <v>2513</v>
      </c>
      <c r="F1796" s="48">
        <v>1815</v>
      </c>
      <c r="G1796" s="46" t="s">
        <v>2724</v>
      </c>
      <c r="H1796" s="46" t="s">
        <v>3091</v>
      </c>
      <c r="I1796" s="45" t="s">
        <v>125</v>
      </c>
      <c r="J1796" s="46" t="s">
        <v>162</v>
      </c>
      <c r="K1796" s="46" t="s">
        <v>162</v>
      </c>
      <c r="L1796" s="46" t="s">
        <v>12</v>
      </c>
      <c r="M1796" s="46" t="s">
        <v>13</v>
      </c>
      <c r="N1796" s="46" t="s">
        <v>14</v>
      </c>
      <c r="O1796" s="49" t="s">
        <v>814</v>
      </c>
      <c r="P1796" s="46" t="s">
        <v>507</v>
      </c>
      <c r="Q1796" s="35" t="str">
        <f>MID(Tabla1[[#This Row],[Aplicación]],14,1)</f>
        <v>2</v>
      </c>
      <c r="R1796" s="35" t="s">
        <v>495</v>
      </c>
      <c r="S1796" s="35" t="str">
        <f>MID(Tabla1[[#This Row],[Aplicación]],6,2)</f>
        <v>05</v>
      </c>
      <c r="T1796" s="35" t="str">
        <f>VLOOKUP(Tabla1[[#This Row],[AREA]],Hoja1!A:B,2,FALSE)</f>
        <v>05. Innovación, desarrollo económico, empleo y comercio</v>
      </c>
      <c r="U1796" s="35" t="str">
        <f>MID(Tabla1[[#This Row],[Aplicación]],9,4)</f>
        <v>4314</v>
      </c>
      <c r="V1796" s="35" t="str">
        <f>VLOOKUP(Tabla1[[#This Row],[PROGRAMA]],Hoja1!A:B,2,FALSE)</f>
        <v>4314. Fomento del comercio</v>
      </c>
      <c r="W1796" s="35" t="str">
        <f>MID(Tabla1[[#This Row],[Aplicación]],14,2)</f>
        <v>22</v>
      </c>
      <c r="X1796" s="35" t="str">
        <f>MID(Tabla1[[#This Row],[Aplicación]],14,6)</f>
        <v>22602</v>
      </c>
    </row>
    <row r="1797" spans="1:24" x14ac:dyDescent="0.25">
      <c r="A1797" s="45">
        <v>220210010169</v>
      </c>
      <c r="B1797" s="46" t="s">
        <v>204</v>
      </c>
      <c r="C1797" s="47">
        <v>44273</v>
      </c>
      <c r="D1797" s="45">
        <v>22021001181</v>
      </c>
      <c r="E1797" s="46" t="s">
        <v>873</v>
      </c>
      <c r="F1797" s="48">
        <v>211</v>
      </c>
      <c r="G1797" s="46" t="s">
        <v>257</v>
      </c>
      <c r="H1797" s="46" t="s">
        <v>3092</v>
      </c>
      <c r="I1797" s="45" t="s">
        <v>205</v>
      </c>
      <c r="J1797" s="46" t="s">
        <v>127</v>
      </c>
      <c r="K1797" s="46" t="s">
        <v>127</v>
      </c>
      <c r="L1797" s="46" t="s">
        <v>15</v>
      </c>
      <c r="M1797" s="46" t="s">
        <v>13</v>
      </c>
      <c r="N1797" s="46" t="s">
        <v>14</v>
      </c>
      <c r="O1797" s="49" t="s">
        <v>814</v>
      </c>
      <c r="P1797" s="46" t="s">
        <v>507</v>
      </c>
      <c r="Q1797" s="35" t="str">
        <f>MID(Tabla1[[#This Row],[Aplicación]],14,1)</f>
        <v>2</v>
      </c>
      <c r="R1797" s="35" t="s">
        <v>495</v>
      </c>
      <c r="S1797" s="35" t="str">
        <f>MID(Tabla1[[#This Row],[Aplicación]],6,2)</f>
        <v>10</v>
      </c>
      <c r="T1797" s="35" t="str">
        <f>VLOOKUP(Tabla1[[#This Row],[AREA]],Hoja1!A:B,2,FALSE)</f>
        <v>10. Servicios sociales y mediación comunitaria</v>
      </c>
      <c r="U1797" s="35" t="str">
        <f>MID(Tabla1[[#This Row],[Aplicación]],9,4)</f>
        <v>2412</v>
      </c>
      <c r="V1797" s="35" t="str">
        <f>VLOOKUP(Tabla1[[#This Row],[PROGRAMA]],Hoja1!A:B,2,FALSE)</f>
        <v>2412. Formación para el empleo</v>
      </c>
      <c r="W1797" s="35" t="str">
        <f>MID(Tabla1[[#This Row],[Aplicación]],14,2)</f>
        <v>22</v>
      </c>
      <c r="X1797" s="35" t="str">
        <f>MID(Tabla1[[#This Row],[Aplicación]],14,6)</f>
        <v>22199</v>
      </c>
    </row>
    <row r="1798" spans="1:24" x14ac:dyDescent="0.25">
      <c r="A1798" s="45">
        <v>220210010171</v>
      </c>
      <c r="B1798" s="46" t="s">
        <v>204</v>
      </c>
      <c r="C1798" s="47">
        <v>44273</v>
      </c>
      <c r="D1798" s="45">
        <v>22021001183</v>
      </c>
      <c r="E1798" s="46" t="s">
        <v>873</v>
      </c>
      <c r="F1798" s="48">
        <v>227.26</v>
      </c>
      <c r="G1798" s="46" t="s">
        <v>257</v>
      </c>
      <c r="H1798" s="46" t="s">
        <v>3093</v>
      </c>
      <c r="I1798" s="45" t="s">
        <v>205</v>
      </c>
      <c r="J1798" s="46" t="s">
        <v>127</v>
      </c>
      <c r="K1798" s="46" t="s">
        <v>127</v>
      </c>
      <c r="L1798" s="46" t="s">
        <v>15</v>
      </c>
      <c r="M1798" s="46" t="s">
        <v>13</v>
      </c>
      <c r="N1798" s="46" t="s">
        <v>14</v>
      </c>
      <c r="O1798" s="49" t="s">
        <v>814</v>
      </c>
      <c r="P1798" s="46" t="s">
        <v>507</v>
      </c>
      <c r="Q1798" s="35" t="str">
        <f>MID(Tabla1[[#This Row],[Aplicación]],14,1)</f>
        <v>2</v>
      </c>
      <c r="R1798" s="35" t="s">
        <v>495</v>
      </c>
      <c r="S1798" s="35" t="str">
        <f>MID(Tabla1[[#This Row],[Aplicación]],6,2)</f>
        <v>10</v>
      </c>
      <c r="T1798" s="35" t="str">
        <f>VLOOKUP(Tabla1[[#This Row],[AREA]],Hoja1!A:B,2,FALSE)</f>
        <v>10. Servicios sociales y mediación comunitaria</v>
      </c>
      <c r="U1798" s="35" t="str">
        <f>MID(Tabla1[[#This Row],[Aplicación]],9,4)</f>
        <v>2412</v>
      </c>
      <c r="V1798" s="35" t="str">
        <f>VLOOKUP(Tabla1[[#This Row],[PROGRAMA]],Hoja1!A:B,2,FALSE)</f>
        <v>2412. Formación para el empleo</v>
      </c>
      <c r="W1798" s="35" t="str">
        <f>MID(Tabla1[[#This Row],[Aplicación]],14,2)</f>
        <v>22</v>
      </c>
      <c r="X1798" s="35" t="str">
        <f>MID(Tabla1[[#This Row],[Aplicación]],14,6)</f>
        <v>22199</v>
      </c>
    </row>
    <row r="1799" spans="1:24" x14ac:dyDescent="0.25">
      <c r="A1799" s="45">
        <v>220210010173</v>
      </c>
      <c r="B1799" s="46" t="s">
        <v>204</v>
      </c>
      <c r="C1799" s="47">
        <v>44273</v>
      </c>
      <c r="D1799" s="45">
        <v>22021001169</v>
      </c>
      <c r="E1799" s="46" t="s">
        <v>1319</v>
      </c>
      <c r="F1799" s="48">
        <v>23.09</v>
      </c>
      <c r="G1799" s="46" t="s">
        <v>257</v>
      </c>
      <c r="H1799" s="46" t="s">
        <v>3094</v>
      </c>
      <c r="I1799" s="45" t="s">
        <v>205</v>
      </c>
      <c r="J1799" s="46" t="s">
        <v>127</v>
      </c>
      <c r="K1799" s="46" t="s">
        <v>127</v>
      </c>
      <c r="L1799" s="46" t="s">
        <v>15</v>
      </c>
      <c r="M1799" s="46" t="s">
        <v>13</v>
      </c>
      <c r="N1799" s="46" t="s">
        <v>14</v>
      </c>
      <c r="O1799" s="49" t="s">
        <v>814</v>
      </c>
      <c r="P1799" s="46" t="s">
        <v>507</v>
      </c>
      <c r="Q1799" s="35" t="str">
        <f>MID(Tabla1[[#This Row],[Aplicación]],14,1)</f>
        <v>2</v>
      </c>
      <c r="R1799" s="35" t="s">
        <v>495</v>
      </c>
      <c r="S1799" s="35" t="str">
        <f>MID(Tabla1[[#This Row],[Aplicación]],6,2)</f>
        <v>10</v>
      </c>
      <c r="T1799" s="35" t="str">
        <f>VLOOKUP(Tabla1[[#This Row],[AREA]],Hoja1!A:B,2,FALSE)</f>
        <v>10. Servicios sociales y mediación comunitaria</v>
      </c>
      <c r="U1799" s="35" t="str">
        <f>MID(Tabla1[[#This Row],[Aplicación]],9,4)</f>
        <v>2412</v>
      </c>
      <c r="V1799" s="35" t="str">
        <f>VLOOKUP(Tabla1[[#This Row],[PROGRAMA]],Hoja1!A:B,2,FALSE)</f>
        <v>2412. Formación para el empleo</v>
      </c>
      <c r="W1799" s="35" t="str">
        <f>MID(Tabla1[[#This Row],[Aplicación]],14,2)</f>
        <v>21</v>
      </c>
      <c r="X1799" s="35" t="str">
        <f>MID(Tabla1[[#This Row],[Aplicación]],14,6)</f>
        <v>212</v>
      </c>
    </row>
    <row r="1800" spans="1:24" x14ac:dyDescent="0.25">
      <c r="A1800" s="45">
        <v>220210009442</v>
      </c>
      <c r="B1800" s="46" t="s">
        <v>204</v>
      </c>
      <c r="C1800" s="47">
        <v>44271</v>
      </c>
      <c r="D1800" s="45">
        <v>22021002088</v>
      </c>
      <c r="E1800" s="46" t="s">
        <v>1478</v>
      </c>
      <c r="F1800" s="48">
        <v>73.58</v>
      </c>
      <c r="G1800" s="46" t="s">
        <v>263</v>
      </c>
      <c r="H1800" s="46" t="s">
        <v>3095</v>
      </c>
      <c r="I1800" s="45" t="s">
        <v>205</v>
      </c>
      <c r="J1800" s="46" t="s">
        <v>127</v>
      </c>
      <c r="K1800" s="46" t="s">
        <v>127</v>
      </c>
      <c r="L1800" s="46" t="s">
        <v>15</v>
      </c>
      <c r="M1800" s="46" t="s">
        <v>13</v>
      </c>
      <c r="N1800" s="46" t="s">
        <v>16</v>
      </c>
      <c r="O1800" s="49" t="s">
        <v>814</v>
      </c>
      <c r="P1800" s="46" t="s">
        <v>507</v>
      </c>
      <c r="Q1800" s="35" t="str">
        <f>MID(Tabla1[[#This Row],[Aplicación]],14,1)</f>
        <v>2</v>
      </c>
      <c r="R1800" s="35" t="s">
        <v>495</v>
      </c>
      <c r="S1800" s="35" t="str">
        <f>MID(Tabla1[[#This Row],[Aplicación]],6,2)</f>
        <v>03</v>
      </c>
      <c r="T1800" s="35" t="str">
        <f>VLOOKUP(Tabla1[[#This Row],[AREA]],Hoja1!A:B,2,FALSE)</f>
        <v>03. Participación ciudadana y deportes</v>
      </c>
      <c r="U1800" s="35" t="str">
        <f>MID(Tabla1[[#This Row],[Aplicación]],9,4)</f>
        <v>9241</v>
      </c>
      <c r="V1800" s="35" t="str">
        <f>VLOOKUP(Tabla1[[#This Row],[PROGRAMA]],Hoja1!A:B,2,FALSE)</f>
        <v>9241. Participación ciudadana</v>
      </c>
      <c r="W1800" s="35" t="str">
        <f>MID(Tabla1[[#This Row],[Aplicación]],14,2)</f>
        <v>21</v>
      </c>
      <c r="X1800" s="35" t="str">
        <f>MID(Tabla1[[#This Row],[Aplicación]],14,6)</f>
        <v>212</v>
      </c>
    </row>
    <row r="1801" spans="1:24" x14ac:dyDescent="0.25">
      <c r="A1801" s="45">
        <v>220210010179</v>
      </c>
      <c r="B1801" s="46" t="s">
        <v>204</v>
      </c>
      <c r="C1801" s="47">
        <v>44273</v>
      </c>
      <c r="D1801" s="45">
        <v>22021001968</v>
      </c>
      <c r="E1801" s="46" t="s">
        <v>1388</v>
      </c>
      <c r="F1801" s="48">
        <v>160.22</v>
      </c>
      <c r="G1801" s="46" t="s">
        <v>256</v>
      </c>
      <c r="H1801" s="46" t="s">
        <v>3096</v>
      </c>
      <c r="I1801" s="45" t="s">
        <v>205</v>
      </c>
      <c r="J1801" s="46" t="s">
        <v>127</v>
      </c>
      <c r="K1801" s="46" t="s">
        <v>127</v>
      </c>
      <c r="L1801" s="46" t="s">
        <v>15</v>
      </c>
      <c r="M1801" s="46" t="s">
        <v>13</v>
      </c>
      <c r="N1801" s="46" t="s">
        <v>11</v>
      </c>
      <c r="O1801" s="49" t="s">
        <v>814</v>
      </c>
      <c r="P1801" s="46" t="s">
        <v>507</v>
      </c>
      <c r="Q1801" s="35" t="str">
        <f>MID(Tabla1[[#This Row],[Aplicación]],14,1)</f>
        <v>2</v>
      </c>
      <c r="R1801" s="35" t="s">
        <v>495</v>
      </c>
      <c r="S1801" s="35" t="str">
        <f>MID(Tabla1[[#This Row],[Aplicación]],6,2)</f>
        <v>11</v>
      </c>
      <c r="T1801" s="35" t="str">
        <f>VLOOKUP(Tabla1[[#This Row],[AREA]],Hoja1!A:B,2,FALSE)</f>
        <v>11. Salud pública y seguridad ciudadana</v>
      </c>
      <c r="U1801" s="35" t="str">
        <f>MID(Tabla1[[#This Row],[Aplicación]],9,4)</f>
        <v>1321</v>
      </c>
      <c r="V1801" s="35" t="str">
        <f>VLOOKUP(Tabla1[[#This Row],[PROGRAMA]],Hoja1!A:B,2,FALSE)</f>
        <v>1321. Policía municipal</v>
      </c>
      <c r="W1801" s="35" t="str">
        <f>MID(Tabla1[[#This Row],[Aplicación]],14,2)</f>
        <v>22</v>
      </c>
      <c r="X1801" s="35" t="str">
        <f>MID(Tabla1[[#This Row],[Aplicación]],14,6)</f>
        <v>22199</v>
      </c>
    </row>
    <row r="1802" spans="1:24" x14ac:dyDescent="0.25">
      <c r="A1802" s="45">
        <v>220210010182</v>
      </c>
      <c r="B1802" s="46" t="s">
        <v>204</v>
      </c>
      <c r="C1802" s="47">
        <v>44273</v>
      </c>
      <c r="D1802" s="45">
        <v>22021001275</v>
      </c>
      <c r="E1802" s="46" t="s">
        <v>1334</v>
      </c>
      <c r="F1802" s="48">
        <v>64.069999999999993</v>
      </c>
      <c r="G1802" s="46" t="s">
        <v>135</v>
      </c>
      <c r="H1802" s="46" t="s">
        <v>1461</v>
      </c>
      <c r="I1802" s="45" t="s">
        <v>205</v>
      </c>
      <c r="J1802" s="46" t="s">
        <v>127</v>
      </c>
      <c r="K1802" s="46" t="s">
        <v>127</v>
      </c>
      <c r="L1802" s="46" t="s">
        <v>15</v>
      </c>
      <c r="M1802" s="46" t="s">
        <v>13</v>
      </c>
      <c r="N1802" s="46" t="s">
        <v>14</v>
      </c>
      <c r="O1802" s="49" t="s">
        <v>814</v>
      </c>
      <c r="P1802" s="46" t="s">
        <v>507</v>
      </c>
      <c r="Q1802" s="35" t="str">
        <f>MID(Tabla1[[#This Row],[Aplicación]],14,1)</f>
        <v>2</v>
      </c>
      <c r="R1802" s="35" t="s">
        <v>495</v>
      </c>
      <c r="S1802" s="35" t="str">
        <f>MID(Tabla1[[#This Row],[Aplicación]],6,2)</f>
        <v>07</v>
      </c>
      <c r="T1802" s="35" t="str">
        <f>VLOOKUP(Tabla1[[#This Row],[AREA]],Hoja1!A:B,2,FALSE)</f>
        <v>07. Medio ambiente y desarrollo sostenible</v>
      </c>
      <c r="U1802" s="35" t="str">
        <f>MID(Tabla1[[#This Row],[Aplicación]],9,4)</f>
        <v>1711</v>
      </c>
      <c r="V1802" s="35" t="str">
        <f>VLOOKUP(Tabla1[[#This Row],[PROGRAMA]],Hoja1!A:B,2,FALSE)</f>
        <v>1711. Parques y jardines</v>
      </c>
      <c r="W1802" s="35" t="str">
        <f>MID(Tabla1[[#This Row],[Aplicación]],14,2)</f>
        <v>22</v>
      </c>
      <c r="X1802" s="35" t="str">
        <f>MID(Tabla1[[#This Row],[Aplicación]],14,6)</f>
        <v>22199</v>
      </c>
    </row>
    <row r="1803" spans="1:24" x14ac:dyDescent="0.25">
      <c r="A1803" s="45">
        <v>220210010184</v>
      </c>
      <c r="B1803" s="46" t="s">
        <v>204</v>
      </c>
      <c r="C1803" s="47">
        <v>44273</v>
      </c>
      <c r="D1803" s="45">
        <v>22021001276</v>
      </c>
      <c r="E1803" s="46" t="s">
        <v>2510</v>
      </c>
      <c r="F1803" s="48">
        <v>396</v>
      </c>
      <c r="G1803" s="46" t="s">
        <v>3097</v>
      </c>
      <c r="H1803" s="46" t="s">
        <v>3098</v>
      </c>
      <c r="I1803" s="45" t="s">
        <v>205</v>
      </c>
      <c r="J1803" s="46" t="s">
        <v>749</v>
      </c>
      <c r="K1803" s="46" t="s">
        <v>127</v>
      </c>
      <c r="L1803" s="46" t="s">
        <v>15</v>
      </c>
      <c r="M1803" s="46" t="s">
        <v>13</v>
      </c>
      <c r="N1803" s="46" t="s">
        <v>14</v>
      </c>
      <c r="O1803" s="49" t="s">
        <v>814</v>
      </c>
      <c r="P1803" s="46" t="s">
        <v>507</v>
      </c>
      <c r="Q1803" s="35" t="str">
        <f>MID(Tabla1[[#This Row],[Aplicación]],14,1)</f>
        <v>2</v>
      </c>
      <c r="R1803" s="35" t="s">
        <v>495</v>
      </c>
      <c r="S1803" s="35" t="str">
        <f>MID(Tabla1[[#This Row],[Aplicación]],6,2)</f>
        <v>07</v>
      </c>
      <c r="T1803" s="35" t="str">
        <f>VLOOKUP(Tabla1[[#This Row],[AREA]],Hoja1!A:B,2,FALSE)</f>
        <v>07. Medio ambiente y desarrollo sostenible</v>
      </c>
      <c r="U1803" s="35" t="str">
        <f>MID(Tabla1[[#This Row],[Aplicación]],9,4)</f>
        <v>1711</v>
      </c>
      <c r="V1803" s="35" t="str">
        <f>VLOOKUP(Tabla1[[#This Row],[PROGRAMA]],Hoja1!A:B,2,FALSE)</f>
        <v>1711. Parques y jardines</v>
      </c>
      <c r="W1803" s="35" t="str">
        <f>MID(Tabla1[[#This Row],[Aplicación]],14,2)</f>
        <v>22</v>
      </c>
      <c r="X1803" s="35" t="str">
        <f>MID(Tabla1[[#This Row],[Aplicación]],14,6)</f>
        <v>22106</v>
      </c>
    </row>
    <row r="1804" spans="1:24" x14ac:dyDescent="0.25">
      <c r="A1804" s="45">
        <v>220210010188</v>
      </c>
      <c r="B1804" s="46" t="s">
        <v>204</v>
      </c>
      <c r="C1804" s="47">
        <v>44273</v>
      </c>
      <c r="D1804" s="45">
        <v>22021001275</v>
      </c>
      <c r="E1804" s="46" t="s">
        <v>1334</v>
      </c>
      <c r="F1804" s="48">
        <v>54.45</v>
      </c>
      <c r="G1804" s="46" t="s">
        <v>574</v>
      </c>
      <c r="H1804" s="46" t="s">
        <v>3099</v>
      </c>
      <c r="I1804" s="45" t="s">
        <v>205</v>
      </c>
      <c r="J1804" s="46" t="s">
        <v>127</v>
      </c>
      <c r="K1804" s="46" t="s">
        <v>127</v>
      </c>
      <c r="L1804" s="46" t="s">
        <v>15</v>
      </c>
      <c r="M1804" s="46" t="s">
        <v>13</v>
      </c>
      <c r="N1804" s="46" t="s">
        <v>14</v>
      </c>
      <c r="O1804" s="49" t="s">
        <v>814</v>
      </c>
      <c r="P1804" s="46" t="s">
        <v>507</v>
      </c>
      <c r="Q1804" s="35" t="str">
        <f>MID(Tabla1[[#This Row],[Aplicación]],14,1)</f>
        <v>2</v>
      </c>
      <c r="R1804" s="35" t="s">
        <v>495</v>
      </c>
      <c r="S1804" s="35" t="str">
        <f>MID(Tabla1[[#This Row],[Aplicación]],6,2)</f>
        <v>07</v>
      </c>
      <c r="T1804" s="35" t="str">
        <f>VLOOKUP(Tabla1[[#This Row],[AREA]],Hoja1!A:B,2,FALSE)</f>
        <v>07. Medio ambiente y desarrollo sostenible</v>
      </c>
      <c r="U1804" s="35" t="str">
        <f>MID(Tabla1[[#This Row],[Aplicación]],9,4)</f>
        <v>1711</v>
      </c>
      <c r="V1804" s="35" t="str">
        <f>VLOOKUP(Tabla1[[#This Row],[PROGRAMA]],Hoja1!A:B,2,FALSE)</f>
        <v>1711. Parques y jardines</v>
      </c>
      <c r="W1804" s="35" t="str">
        <f>MID(Tabla1[[#This Row],[Aplicación]],14,2)</f>
        <v>22</v>
      </c>
      <c r="X1804" s="35" t="str">
        <f>MID(Tabla1[[#This Row],[Aplicación]],14,6)</f>
        <v>22199</v>
      </c>
    </row>
    <row r="1805" spans="1:24" x14ac:dyDescent="0.25">
      <c r="A1805" s="45">
        <v>220210010046</v>
      </c>
      <c r="B1805" s="46" t="s">
        <v>9</v>
      </c>
      <c r="C1805" s="47">
        <v>44272</v>
      </c>
      <c r="D1805" s="45">
        <v>22021003301</v>
      </c>
      <c r="E1805" s="46" t="s">
        <v>1187</v>
      </c>
      <c r="F1805" s="48">
        <v>7260</v>
      </c>
      <c r="G1805" s="46" t="s">
        <v>3100</v>
      </c>
      <c r="H1805" s="46" t="s">
        <v>3101</v>
      </c>
      <c r="I1805" s="45" t="s">
        <v>125</v>
      </c>
      <c r="J1805" s="46" t="s">
        <v>126</v>
      </c>
      <c r="K1805" s="46" t="s">
        <v>126</v>
      </c>
      <c r="L1805" s="46" t="s">
        <v>12</v>
      </c>
      <c r="M1805" s="46" t="s">
        <v>10</v>
      </c>
      <c r="N1805" s="46" t="s">
        <v>11</v>
      </c>
      <c r="O1805" s="49" t="s">
        <v>815</v>
      </c>
      <c r="P1805" s="46" t="s">
        <v>507</v>
      </c>
      <c r="Q1805" s="35" t="str">
        <f>MID(Tabla1[[#This Row],[Aplicación]],14,1)</f>
        <v>2</v>
      </c>
      <c r="R1805" s="35" t="s">
        <v>495</v>
      </c>
      <c r="S1805" s="35" t="str">
        <f>MID(Tabla1[[#This Row],[Aplicación]],6,2)</f>
        <v>06</v>
      </c>
      <c r="T1805" s="35" t="str">
        <f>VLOOKUP(Tabla1[[#This Row],[AREA]],Hoja1!A:B,2,FALSE)</f>
        <v>06. Educación, infancia, juventud e igualdad</v>
      </c>
      <c r="U1805" s="35" t="str">
        <f>MID(Tabla1[[#This Row],[Aplicación]],9,4)</f>
        <v>2315</v>
      </c>
      <c r="V1805" s="35" t="str">
        <f>VLOOKUP(Tabla1[[#This Row],[PROGRAMA]],Hoja1!A:B,2,FALSE)</f>
        <v>2315. Políticas de Igualdad e infancia</v>
      </c>
      <c r="W1805" s="35" t="str">
        <f>MID(Tabla1[[#This Row],[Aplicación]],14,2)</f>
        <v>22</v>
      </c>
      <c r="X1805" s="35" t="str">
        <f>MID(Tabla1[[#This Row],[Aplicación]],14,6)</f>
        <v>22611</v>
      </c>
    </row>
    <row r="1806" spans="1:24" x14ac:dyDescent="0.25">
      <c r="A1806" s="45">
        <v>220210010210</v>
      </c>
      <c r="B1806" s="46" t="s">
        <v>204</v>
      </c>
      <c r="C1806" s="47">
        <v>44273</v>
      </c>
      <c r="D1806" s="45">
        <v>22021002378</v>
      </c>
      <c r="E1806" s="46" t="s">
        <v>1228</v>
      </c>
      <c r="F1806" s="48">
        <v>1811.82</v>
      </c>
      <c r="G1806" s="46" t="s">
        <v>262</v>
      </c>
      <c r="H1806" s="46" t="s">
        <v>3102</v>
      </c>
      <c r="I1806" s="45" t="s">
        <v>205</v>
      </c>
      <c r="J1806" s="46" t="s">
        <v>127</v>
      </c>
      <c r="K1806" s="46" t="s">
        <v>127</v>
      </c>
      <c r="L1806" s="46" t="s">
        <v>15</v>
      </c>
      <c r="M1806" s="46" t="s">
        <v>13</v>
      </c>
      <c r="N1806" s="46" t="s">
        <v>14</v>
      </c>
      <c r="O1806" s="49" t="s">
        <v>814</v>
      </c>
      <c r="P1806" s="46" t="s">
        <v>507</v>
      </c>
      <c r="Q1806" s="35" t="str">
        <f>MID(Tabla1[[#This Row],[Aplicación]],14,1)</f>
        <v>2</v>
      </c>
      <c r="R1806" s="35" t="s">
        <v>495</v>
      </c>
      <c r="S1806" s="35" t="str">
        <f>MID(Tabla1[[#This Row],[Aplicación]],6,2)</f>
        <v>02</v>
      </c>
      <c r="T1806" s="35" t="str">
        <f>VLOOKUP(Tabla1[[#This Row],[AREA]],Hoja1!A:B,2,FALSE)</f>
        <v>02. Planeamiento urbanístico y vivienda</v>
      </c>
      <c r="U1806" s="35" t="str">
        <f>MID(Tabla1[[#This Row],[Aplicación]],9,4)</f>
        <v>9332</v>
      </c>
      <c r="V1806" s="35" t="str">
        <f>VLOOKUP(Tabla1[[#This Row],[PROGRAMA]],Hoja1!A:B,2,FALSE)</f>
        <v>9332. Mantenimiento de edificios e instalaciones municipales</v>
      </c>
      <c r="W1806" s="35" t="str">
        <f>MID(Tabla1[[#This Row],[Aplicación]],14,2)</f>
        <v>21</v>
      </c>
      <c r="X1806" s="35" t="str">
        <f>MID(Tabla1[[#This Row],[Aplicación]],14,6)</f>
        <v>214</v>
      </c>
    </row>
    <row r="1807" spans="1:24" x14ac:dyDescent="0.25">
      <c r="A1807" s="45">
        <v>220210010175</v>
      </c>
      <c r="B1807" s="46" t="s">
        <v>204</v>
      </c>
      <c r="C1807" s="47">
        <v>44273</v>
      </c>
      <c r="D1807" s="45">
        <v>22021001181</v>
      </c>
      <c r="E1807" s="46" t="s">
        <v>873</v>
      </c>
      <c r="F1807" s="48">
        <v>47.31</v>
      </c>
      <c r="G1807" s="46" t="s">
        <v>263</v>
      </c>
      <c r="H1807" s="46" t="s">
        <v>3103</v>
      </c>
      <c r="I1807" s="45" t="s">
        <v>205</v>
      </c>
      <c r="J1807" s="46" t="s">
        <v>127</v>
      </c>
      <c r="K1807" s="46" t="s">
        <v>127</v>
      </c>
      <c r="L1807" s="46" t="s">
        <v>15</v>
      </c>
      <c r="M1807" s="46" t="s">
        <v>13</v>
      </c>
      <c r="N1807" s="46" t="s">
        <v>14</v>
      </c>
      <c r="O1807" s="49" t="s">
        <v>814</v>
      </c>
      <c r="P1807" s="46" t="s">
        <v>507</v>
      </c>
      <c r="Q1807" s="35" t="str">
        <f>MID(Tabla1[[#This Row],[Aplicación]],14,1)</f>
        <v>2</v>
      </c>
      <c r="R1807" s="35" t="s">
        <v>495</v>
      </c>
      <c r="S1807" s="35" t="str">
        <f>MID(Tabla1[[#This Row],[Aplicación]],6,2)</f>
        <v>10</v>
      </c>
      <c r="T1807" s="35" t="str">
        <f>VLOOKUP(Tabla1[[#This Row],[AREA]],Hoja1!A:B,2,FALSE)</f>
        <v>10. Servicios sociales y mediación comunitaria</v>
      </c>
      <c r="U1807" s="35" t="str">
        <f>MID(Tabla1[[#This Row],[Aplicación]],9,4)</f>
        <v>2412</v>
      </c>
      <c r="V1807" s="35" t="str">
        <f>VLOOKUP(Tabla1[[#This Row],[PROGRAMA]],Hoja1!A:B,2,FALSE)</f>
        <v>2412. Formación para el empleo</v>
      </c>
      <c r="W1807" s="35" t="str">
        <f>MID(Tabla1[[#This Row],[Aplicación]],14,2)</f>
        <v>22</v>
      </c>
      <c r="X1807" s="35" t="str">
        <f>MID(Tabla1[[#This Row],[Aplicación]],14,6)</f>
        <v>22199</v>
      </c>
    </row>
    <row r="1808" spans="1:24" x14ac:dyDescent="0.25">
      <c r="A1808" s="45">
        <v>220210010105</v>
      </c>
      <c r="B1808" s="46" t="s">
        <v>204</v>
      </c>
      <c r="C1808" s="47">
        <v>44273</v>
      </c>
      <c r="D1808" s="45">
        <v>22021001038</v>
      </c>
      <c r="E1808" s="46" t="s">
        <v>844</v>
      </c>
      <c r="F1808" s="48">
        <v>118.62</v>
      </c>
      <c r="G1808" s="46" t="s">
        <v>102</v>
      </c>
      <c r="H1808" s="46" t="s">
        <v>3104</v>
      </c>
      <c r="I1808" s="45" t="s">
        <v>205</v>
      </c>
      <c r="J1808" s="46" t="s">
        <v>127</v>
      </c>
      <c r="K1808" s="46" t="s">
        <v>127</v>
      </c>
      <c r="L1808" s="46" t="s">
        <v>15</v>
      </c>
      <c r="M1808" s="46" t="s">
        <v>13</v>
      </c>
      <c r="N1808" s="46" t="s">
        <v>14</v>
      </c>
      <c r="O1808" s="49" t="s">
        <v>814</v>
      </c>
      <c r="P1808" s="46" t="s">
        <v>507</v>
      </c>
      <c r="Q1808" s="35" t="str">
        <f>MID(Tabla1[[#This Row],[Aplicación]],14,1)</f>
        <v>2</v>
      </c>
      <c r="R1808" s="35" t="s">
        <v>495</v>
      </c>
      <c r="S1808" s="35" t="str">
        <f>MID(Tabla1[[#This Row],[Aplicación]],6,2)</f>
        <v>10</v>
      </c>
      <c r="T1808" s="35" t="str">
        <f>VLOOKUP(Tabla1[[#This Row],[AREA]],Hoja1!A:B,2,FALSE)</f>
        <v>10. Servicios sociales y mediación comunitaria</v>
      </c>
      <c r="U1808" s="35" t="str">
        <f>MID(Tabla1[[#This Row],[Aplicación]],9,4)</f>
        <v>2312</v>
      </c>
      <c r="V1808" s="35" t="str">
        <f>VLOOKUP(Tabla1[[#This Row],[PROGRAMA]],Hoja1!A:B,2,FALSE)</f>
        <v>2312. Iniciativas sociales</v>
      </c>
      <c r="W1808" s="35" t="str">
        <f>MID(Tabla1[[#This Row],[Aplicación]],14,2)</f>
        <v>21</v>
      </c>
      <c r="X1808" s="35" t="str">
        <f>MID(Tabla1[[#This Row],[Aplicación]],14,6)</f>
        <v>212</v>
      </c>
    </row>
    <row r="1809" spans="1:24" x14ac:dyDescent="0.25">
      <c r="A1809" s="45">
        <v>220210002882</v>
      </c>
      <c r="B1809" s="46" t="s">
        <v>9</v>
      </c>
      <c r="C1809" s="47">
        <v>44238</v>
      </c>
      <c r="D1809" s="45">
        <v>22021002394</v>
      </c>
      <c r="E1809" s="46" t="s">
        <v>1471</v>
      </c>
      <c r="F1809" s="48">
        <v>7260</v>
      </c>
      <c r="G1809" s="46" t="s">
        <v>255</v>
      </c>
      <c r="H1809" s="46" t="s">
        <v>3105</v>
      </c>
      <c r="I1809" s="45" t="s">
        <v>125</v>
      </c>
      <c r="J1809" s="46" t="s">
        <v>127</v>
      </c>
      <c r="K1809" s="46" t="s">
        <v>127</v>
      </c>
      <c r="L1809" s="46" t="s">
        <v>15</v>
      </c>
      <c r="M1809" s="46" t="s">
        <v>10</v>
      </c>
      <c r="N1809" s="46" t="s">
        <v>11</v>
      </c>
      <c r="O1809" s="49" t="s">
        <v>815</v>
      </c>
      <c r="P1809" s="46" t="s">
        <v>507</v>
      </c>
      <c r="Q1809" s="35" t="str">
        <f>MID(Tabla1[[#This Row],[Aplicación]],14,1)</f>
        <v>2</v>
      </c>
      <c r="R1809" s="35" t="s">
        <v>495</v>
      </c>
      <c r="S1809" s="35" t="str">
        <f>MID(Tabla1[[#This Row],[Aplicación]],6,2)</f>
        <v>06</v>
      </c>
      <c r="T1809" s="35" t="str">
        <f>VLOOKUP(Tabla1[[#This Row],[AREA]],Hoja1!A:B,2,FALSE)</f>
        <v>06. Educación, infancia, juventud e igualdad</v>
      </c>
      <c r="U1809" s="35" t="str">
        <f>MID(Tabla1[[#This Row],[Aplicación]],9,4)</f>
        <v>3232</v>
      </c>
      <c r="V1809" s="35" t="str">
        <f>VLOOKUP(Tabla1[[#This Row],[PROGRAMA]],Hoja1!A:B,2,FALSE)</f>
        <v>3232. Conservación y mantenimiento centros educación infantil y primaria</v>
      </c>
      <c r="W1809" s="35" t="str">
        <f>MID(Tabla1[[#This Row],[Aplicación]],14,2)</f>
        <v>21</v>
      </c>
      <c r="X1809" s="35" t="str">
        <f>MID(Tabla1[[#This Row],[Aplicación]],14,6)</f>
        <v>212</v>
      </c>
    </row>
    <row r="1810" spans="1:24" x14ac:dyDescent="0.25">
      <c r="A1810" s="45">
        <v>220210009435</v>
      </c>
      <c r="B1810" s="46" t="s">
        <v>204</v>
      </c>
      <c r="C1810" s="47">
        <v>44271</v>
      </c>
      <c r="D1810" s="45">
        <v>22021002089</v>
      </c>
      <c r="E1810" s="46" t="s">
        <v>1220</v>
      </c>
      <c r="F1810" s="48">
        <v>38.89</v>
      </c>
      <c r="G1810" s="46" t="s">
        <v>235</v>
      </c>
      <c r="H1810" s="46" t="s">
        <v>3106</v>
      </c>
      <c r="I1810" s="45" t="s">
        <v>205</v>
      </c>
      <c r="J1810" s="46" t="s">
        <v>742</v>
      </c>
      <c r="K1810" s="46" t="s">
        <v>165</v>
      </c>
      <c r="L1810" s="46" t="s">
        <v>15</v>
      </c>
      <c r="M1810" s="46" t="s">
        <v>13</v>
      </c>
      <c r="N1810" s="46" t="s">
        <v>16</v>
      </c>
      <c r="O1810" s="49" t="s">
        <v>814</v>
      </c>
      <c r="P1810" s="46" t="s">
        <v>507</v>
      </c>
      <c r="Q1810" s="35" t="str">
        <f>MID(Tabla1[[#This Row],[Aplicación]],14,1)</f>
        <v>2</v>
      </c>
      <c r="R1810" s="35" t="s">
        <v>495</v>
      </c>
      <c r="S1810" s="35" t="str">
        <f>MID(Tabla1[[#This Row],[Aplicación]],6,2)</f>
        <v>03</v>
      </c>
      <c r="T1810" s="35" t="str">
        <f>VLOOKUP(Tabla1[[#This Row],[AREA]],Hoja1!A:B,2,FALSE)</f>
        <v>03. Participación ciudadana y deportes</v>
      </c>
      <c r="U1810" s="35" t="str">
        <f>MID(Tabla1[[#This Row],[Aplicación]],9,4)</f>
        <v>9241</v>
      </c>
      <c r="V1810" s="35" t="str">
        <f>VLOOKUP(Tabla1[[#This Row],[PROGRAMA]],Hoja1!A:B,2,FALSE)</f>
        <v>9241. Participación ciudadana</v>
      </c>
      <c r="W1810" s="35" t="str">
        <f>MID(Tabla1[[#This Row],[Aplicación]],14,2)</f>
        <v>21</v>
      </c>
      <c r="X1810" s="35" t="str">
        <f>MID(Tabla1[[#This Row],[Aplicación]],14,6)</f>
        <v>213</v>
      </c>
    </row>
    <row r="1811" spans="1:24" x14ac:dyDescent="0.25">
      <c r="A1811" s="45">
        <v>220210010223</v>
      </c>
      <c r="B1811" s="46" t="s">
        <v>204</v>
      </c>
      <c r="C1811" s="47">
        <v>44273</v>
      </c>
      <c r="D1811" s="45">
        <v>22021002128</v>
      </c>
      <c r="E1811" s="46" t="s">
        <v>1415</v>
      </c>
      <c r="F1811" s="48">
        <v>1200</v>
      </c>
      <c r="G1811" s="46" t="s">
        <v>3107</v>
      </c>
      <c r="H1811" s="46" t="s">
        <v>3108</v>
      </c>
      <c r="I1811" s="45" t="s">
        <v>205</v>
      </c>
      <c r="J1811" s="46" t="s">
        <v>126</v>
      </c>
      <c r="K1811" s="46" t="s">
        <v>126</v>
      </c>
      <c r="L1811" s="46" t="s">
        <v>12</v>
      </c>
      <c r="M1811" s="46" t="s">
        <v>13</v>
      </c>
      <c r="N1811" s="46" t="s">
        <v>14</v>
      </c>
      <c r="O1811" s="49" t="s">
        <v>803</v>
      </c>
      <c r="P1811" s="46" t="s">
        <v>507</v>
      </c>
      <c r="Q1811" s="35" t="str">
        <f>MID(Tabla1[[#This Row],[Aplicación]],14,1)</f>
        <v>2</v>
      </c>
      <c r="R1811" s="35" t="s">
        <v>495</v>
      </c>
      <c r="S1811" s="35" t="str">
        <f>MID(Tabla1[[#This Row],[Aplicación]],6,2)</f>
        <v>10</v>
      </c>
      <c r="T1811" s="35" t="str">
        <f>VLOOKUP(Tabla1[[#This Row],[AREA]],Hoja1!A:B,2,FALSE)</f>
        <v>10. Servicios sociales y mediación comunitaria</v>
      </c>
      <c r="U1811" s="35" t="str">
        <f>MID(Tabla1[[#This Row],[Aplicación]],9,4)</f>
        <v>2312</v>
      </c>
      <c r="V1811" s="35" t="str">
        <f>VLOOKUP(Tabla1[[#This Row],[PROGRAMA]],Hoja1!A:B,2,FALSE)</f>
        <v>2312. Iniciativas sociales</v>
      </c>
      <c r="W1811" s="35" t="str">
        <f>MID(Tabla1[[#This Row],[Aplicación]],14,2)</f>
        <v>22</v>
      </c>
      <c r="X1811" s="35" t="str">
        <f>MID(Tabla1[[#This Row],[Aplicación]],14,6)</f>
        <v>22799</v>
      </c>
    </row>
    <row r="1812" spans="1:24" x14ac:dyDescent="0.25">
      <c r="A1812" s="45">
        <v>220210010224</v>
      </c>
      <c r="B1812" s="46" t="s">
        <v>204</v>
      </c>
      <c r="C1812" s="47">
        <v>44273</v>
      </c>
      <c r="D1812" s="45">
        <v>22021002128</v>
      </c>
      <c r="E1812" s="46" t="s">
        <v>1415</v>
      </c>
      <c r="F1812" s="48">
        <v>2596</v>
      </c>
      <c r="G1812" s="46" t="s">
        <v>96</v>
      </c>
      <c r="H1812" s="46" t="s">
        <v>3109</v>
      </c>
      <c r="I1812" s="45" t="s">
        <v>205</v>
      </c>
      <c r="J1812" s="46" t="s">
        <v>127</v>
      </c>
      <c r="K1812" s="46" t="s">
        <v>127</v>
      </c>
      <c r="L1812" s="46" t="s">
        <v>12</v>
      </c>
      <c r="M1812" s="46" t="s">
        <v>13</v>
      </c>
      <c r="N1812" s="46" t="s">
        <v>14</v>
      </c>
      <c r="O1812" s="49" t="s">
        <v>803</v>
      </c>
      <c r="P1812" s="46" t="s">
        <v>507</v>
      </c>
      <c r="Q1812" s="35" t="str">
        <f>MID(Tabla1[[#This Row],[Aplicación]],14,1)</f>
        <v>2</v>
      </c>
      <c r="R1812" s="35" t="s">
        <v>495</v>
      </c>
      <c r="S1812" s="35" t="str">
        <f>MID(Tabla1[[#This Row],[Aplicación]],6,2)</f>
        <v>10</v>
      </c>
      <c r="T1812" s="35" t="str">
        <f>VLOOKUP(Tabla1[[#This Row],[AREA]],Hoja1!A:B,2,FALSE)</f>
        <v>10. Servicios sociales y mediación comunitaria</v>
      </c>
      <c r="U1812" s="35" t="str">
        <f>MID(Tabla1[[#This Row],[Aplicación]],9,4)</f>
        <v>2312</v>
      </c>
      <c r="V1812" s="35" t="str">
        <f>VLOOKUP(Tabla1[[#This Row],[PROGRAMA]],Hoja1!A:B,2,FALSE)</f>
        <v>2312. Iniciativas sociales</v>
      </c>
      <c r="W1812" s="35" t="str">
        <f>MID(Tabla1[[#This Row],[Aplicación]],14,2)</f>
        <v>22</v>
      </c>
      <c r="X1812" s="35" t="str">
        <f>MID(Tabla1[[#This Row],[Aplicación]],14,6)</f>
        <v>22799</v>
      </c>
    </row>
    <row r="1813" spans="1:24" x14ac:dyDescent="0.25">
      <c r="A1813" s="45">
        <v>220210010225</v>
      </c>
      <c r="B1813" s="46" t="s">
        <v>204</v>
      </c>
      <c r="C1813" s="47">
        <v>44273</v>
      </c>
      <c r="D1813" s="45">
        <v>22021002129</v>
      </c>
      <c r="E1813" s="46" t="s">
        <v>1415</v>
      </c>
      <c r="F1813" s="48">
        <v>8684</v>
      </c>
      <c r="G1813" s="46" t="s">
        <v>96</v>
      </c>
      <c r="H1813" s="46" t="s">
        <v>3110</v>
      </c>
      <c r="I1813" s="45" t="s">
        <v>205</v>
      </c>
      <c r="J1813" s="46" t="s">
        <v>127</v>
      </c>
      <c r="K1813" s="46" t="s">
        <v>127</v>
      </c>
      <c r="L1813" s="46" t="s">
        <v>12</v>
      </c>
      <c r="M1813" s="46" t="s">
        <v>13</v>
      </c>
      <c r="N1813" s="46" t="s">
        <v>14</v>
      </c>
      <c r="O1813" s="49" t="s">
        <v>803</v>
      </c>
      <c r="P1813" s="46" t="s">
        <v>507</v>
      </c>
      <c r="Q1813" s="35" t="str">
        <f>MID(Tabla1[[#This Row],[Aplicación]],14,1)</f>
        <v>2</v>
      </c>
      <c r="R1813" s="35" t="s">
        <v>495</v>
      </c>
      <c r="S1813" s="35" t="str">
        <f>MID(Tabla1[[#This Row],[Aplicación]],6,2)</f>
        <v>10</v>
      </c>
      <c r="T1813" s="35" t="str">
        <f>VLOOKUP(Tabla1[[#This Row],[AREA]],Hoja1!A:B,2,FALSE)</f>
        <v>10. Servicios sociales y mediación comunitaria</v>
      </c>
      <c r="U1813" s="35" t="str">
        <f>MID(Tabla1[[#This Row],[Aplicación]],9,4)</f>
        <v>2312</v>
      </c>
      <c r="V1813" s="35" t="str">
        <f>VLOOKUP(Tabla1[[#This Row],[PROGRAMA]],Hoja1!A:B,2,FALSE)</f>
        <v>2312. Iniciativas sociales</v>
      </c>
      <c r="W1813" s="35" t="str">
        <f>MID(Tabla1[[#This Row],[Aplicación]],14,2)</f>
        <v>22</v>
      </c>
      <c r="X1813" s="35" t="str">
        <f>MID(Tabla1[[#This Row],[Aplicación]],14,6)</f>
        <v>22799</v>
      </c>
    </row>
    <row r="1814" spans="1:24" x14ac:dyDescent="0.25">
      <c r="A1814" s="45">
        <v>220210010212</v>
      </c>
      <c r="B1814" s="46" t="s">
        <v>204</v>
      </c>
      <c r="C1814" s="47">
        <v>44273</v>
      </c>
      <c r="D1814" s="45">
        <v>22021002369</v>
      </c>
      <c r="E1814" s="46" t="s">
        <v>1336</v>
      </c>
      <c r="F1814" s="48">
        <v>9.76</v>
      </c>
      <c r="G1814" s="46" t="s">
        <v>263</v>
      </c>
      <c r="H1814" s="46" t="s">
        <v>3111</v>
      </c>
      <c r="I1814" s="45" t="s">
        <v>205</v>
      </c>
      <c r="J1814" s="46" t="s">
        <v>127</v>
      </c>
      <c r="K1814" s="46" t="s">
        <v>127</v>
      </c>
      <c r="L1814" s="46" t="s">
        <v>15</v>
      </c>
      <c r="M1814" s="46" t="s">
        <v>13</v>
      </c>
      <c r="N1814" s="46" t="s">
        <v>14</v>
      </c>
      <c r="O1814" s="49" t="s">
        <v>814</v>
      </c>
      <c r="P1814" s="46" t="s">
        <v>507</v>
      </c>
      <c r="Q1814" s="35" t="str">
        <f>MID(Tabla1[[#This Row],[Aplicación]],14,1)</f>
        <v>2</v>
      </c>
      <c r="R1814" s="35" t="s">
        <v>495</v>
      </c>
      <c r="S1814" s="35" t="str">
        <f>MID(Tabla1[[#This Row],[Aplicación]],6,2)</f>
        <v>02</v>
      </c>
      <c r="T1814" s="35" t="str">
        <f>VLOOKUP(Tabla1[[#This Row],[AREA]],Hoja1!A:B,2,FALSE)</f>
        <v>02. Planeamiento urbanístico y vivienda</v>
      </c>
      <c r="U1814" s="35" t="str">
        <f>MID(Tabla1[[#This Row],[Aplicación]],9,4)</f>
        <v>9332</v>
      </c>
      <c r="V1814" s="35" t="str">
        <f>VLOOKUP(Tabla1[[#This Row],[PROGRAMA]],Hoja1!A:B,2,FALSE)</f>
        <v>9332. Mantenimiento de edificios e instalaciones municipales</v>
      </c>
      <c r="W1814" s="35" t="str">
        <f>MID(Tabla1[[#This Row],[Aplicación]],14,2)</f>
        <v>21</v>
      </c>
      <c r="X1814" s="35" t="str">
        <f>MID(Tabla1[[#This Row],[Aplicación]],14,6)</f>
        <v>212</v>
      </c>
    </row>
    <row r="1815" spans="1:24" x14ac:dyDescent="0.25">
      <c r="A1815" s="45">
        <v>220210002603</v>
      </c>
      <c r="B1815" s="46" t="s">
        <v>9</v>
      </c>
      <c r="C1815" s="47">
        <v>44236</v>
      </c>
      <c r="D1815" s="45">
        <v>22021002004</v>
      </c>
      <c r="E1815" s="46" t="s">
        <v>3032</v>
      </c>
      <c r="F1815" s="48">
        <v>7260</v>
      </c>
      <c r="G1815" s="46" t="s">
        <v>651</v>
      </c>
      <c r="H1815" s="46" t="s">
        <v>3112</v>
      </c>
      <c r="I1815" s="45" t="s">
        <v>125</v>
      </c>
      <c r="J1815" s="46" t="s">
        <v>652</v>
      </c>
      <c r="K1815" s="46" t="s">
        <v>126</v>
      </c>
      <c r="L1815" s="46" t="s">
        <v>12</v>
      </c>
      <c r="M1815" s="46" t="s">
        <v>10</v>
      </c>
      <c r="N1815" s="46" t="s">
        <v>11</v>
      </c>
      <c r="O1815" s="49" t="s">
        <v>815</v>
      </c>
      <c r="P1815" s="46" t="s">
        <v>507</v>
      </c>
      <c r="Q1815" s="35" t="str">
        <f>MID(Tabla1[[#This Row],[Aplicación]],14,1)</f>
        <v>2</v>
      </c>
      <c r="R1815" s="35" t="s">
        <v>495</v>
      </c>
      <c r="S1815" s="35" t="str">
        <f>MID(Tabla1[[#This Row],[Aplicación]],6,2)</f>
        <v>06</v>
      </c>
      <c r="T1815" s="35" t="str">
        <f>VLOOKUP(Tabla1[[#This Row],[AREA]],Hoja1!A:B,2,FALSE)</f>
        <v>06. Educación, infancia, juventud e igualdad</v>
      </c>
      <c r="U1815" s="35" t="str">
        <f>MID(Tabla1[[#This Row],[Aplicación]],9,4)</f>
        <v>2314</v>
      </c>
      <c r="V1815" s="35" t="str">
        <f>VLOOKUP(Tabla1[[#This Row],[PROGRAMA]],Hoja1!A:B,2,FALSE)</f>
        <v>2314. Centro de programas juveniles</v>
      </c>
      <c r="W1815" s="35" t="str">
        <f>MID(Tabla1[[#This Row],[Aplicación]],14,2)</f>
        <v>22</v>
      </c>
      <c r="X1815" s="35" t="str">
        <f>MID(Tabla1[[#This Row],[Aplicación]],14,6)</f>
        <v>22701</v>
      </c>
    </row>
    <row r="1816" spans="1:24" x14ac:dyDescent="0.25">
      <c r="A1816" s="45">
        <v>220210010233</v>
      </c>
      <c r="B1816" s="46" t="s">
        <v>9</v>
      </c>
      <c r="C1816" s="47">
        <v>44273</v>
      </c>
      <c r="D1816" s="45">
        <v>22021003478</v>
      </c>
      <c r="E1816" s="46" t="s">
        <v>873</v>
      </c>
      <c r="F1816" s="48">
        <v>166.32</v>
      </c>
      <c r="G1816" s="46" t="s">
        <v>1407</v>
      </c>
      <c r="H1816" s="46" t="s">
        <v>3113</v>
      </c>
      <c r="I1816" s="45" t="s">
        <v>125</v>
      </c>
      <c r="J1816" s="46" t="s">
        <v>127</v>
      </c>
      <c r="K1816" s="46" t="s">
        <v>127</v>
      </c>
      <c r="L1816" s="46" t="s">
        <v>15</v>
      </c>
      <c r="M1816" s="46" t="s">
        <v>10</v>
      </c>
      <c r="N1816" s="46" t="s">
        <v>11</v>
      </c>
      <c r="O1816" s="49" t="s">
        <v>815</v>
      </c>
      <c r="P1816" s="46" t="s">
        <v>507</v>
      </c>
      <c r="Q1816" s="35" t="str">
        <f>MID(Tabla1[[#This Row],[Aplicación]],14,1)</f>
        <v>2</v>
      </c>
      <c r="R1816" s="35" t="s">
        <v>495</v>
      </c>
      <c r="S1816" s="35" t="str">
        <f>MID(Tabla1[[#This Row],[Aplicación]],6,2)</f>
        <v>10</v>
      </c>
      <c r="T1816" s="35" t="str">
        <f>VLOOKUP(Tabla1[[#This Row],[AREA]],Hoja1!A:B,2,FALSE)</f>
        <v>10. Servicios sociales y mediación comunitaria</v>
      </c>
      <c r="U1816" s="35" t="str">
        <f>MID(Tabla1[[#This Row],[Aplicación]],9,4)</f>
        <v>2412</v>
      </c>
      <c r="V1816" s="35" t="str">
        <f>VLOOKUP(Tabla1[[#This Row],[PROGRAMA]],Hoja1!A:B,2,FALSE)</f>
        <v>2412. Formación para el empleo</v>
      </c>
      <c r="W1816" s="35" t="str">
        <f>MID(Tabla1[[#This Row],[Aplicación]],14,2)</f>
        <v>22</v>
      </c>
      <c r="X1816" s="35" t="str">
        <f>MID(Tabla1[[#This Row],[Aplicación]],14,6)</f>
        <v>22199</v>
      </c>
    </row>
    <row r="1817" spans="1:24" x14ac:dyDescent="0.25">
      <c r="A1817" s="45">
        <v>220210010234</v>
      </c>
      <c r="B1817" s="46" t="s">
        <v>9</v>
      </c>
      <c r="C1817" s="47">
        <v>44273</v>
      </c>
      <c r="D1817" s="45">
        <v>22021003486</v>
      </c>
      <c r="E1817" s="46" t="s">
        <v>3114</v>
      </c>
      <c r="F1817" s="48">
        <v>341.22</v>
      </c>
      <c r="G1817" s="46" t="s">
        <v>267</v>
      </c>
      <c r="H1817" s="46" t="s">
        <v>3115</v>
      </c>
      <c r="I1817" s="45" t="s">
        <v>125</v>
      </c>
      <c r="J1817" s="46" t="s">
        <v>633</v>
      </c>
      <c r="K1817" s="46" t="s">
        <v>127</v>
      </c>
      <c r="L1817" s="46" t="s">
        <v>15</v>
      </c>
      <c r="M1817" s="46" t="s">
        <v>10</v>
      </c>
      <c r="N1817" s="46" t="s">
        <v>11</v>
      </c>
      <c r="O1817" s="49" t="s">
        <v>815</v>
      </c>
      <c r="P1817" s="46" t="s">
        <v>507</v>
      </c>
      <c r="Q1817" s="35" t="str">
        <f>MID(Tabla1[[#This Row],[Aplicación]],14,1)</f>
        <v>2</v>
      </c>
      <c r="R1817" s="35" t="s">
        <v>495</v>
      </c>
      <c r="S1817" s="35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35" t="str">
        <f>MID(Tabla1[[#This Row],[Aplicación]],9,4)</f>
        <v>2412</v>
      </c>
      <c r="V1817" s="35" t="str">
        <f>VLOOKUP(Tabla1[[#This Row],[PROGRAMA]],Hoja1!A:B,2,FALSE)</f>
        <v>2412. Formación para el empleo</v>
      </c>
      <c r="W1817" s="35" t="str">
        <f>MID(Tabla1[[#This Row],[Aplicación]],14,2)</f>
        <v>20</v>
      </c>
      <c r="X1817" s="35" t="str">
        <f>MID(Tabla1[[#This Row],[Aplicación]],14,6)</f>
        <v>203</v>
      </c>
    </row>
    <row r="1818" spans="1:24" x14ac:dyDescent="0.25">
      <c r="A1818" s="45">
        <v>220210010235</v>
      </c>
      <c r="B1818" s="46" t="s">
        <v>9</v>
      </c>
      <c r="C1818" s="47">
        <v>44273</v>
      </c>
      <c r="D1818" s="45">
        <v>22021003407</v>
      </c>
      <c r="E1818" s="46" t="s">
        <v>982</v>
      </c>
      <c r="F1818" s="48">
        <v>108.9</v>
      </c>
      <c r="G1818" s="46" t="s">
        <v>43</v>
      </c>
      <c r="H1818" s="46" t="s">
        <v>3116</v>
      </c>
      <c r="I1818" s="45" t="s">
        <v>125</v>
      </c>
      <c r="J1818" s="46" t="s">
        <v>127</v>
      </c>
      <c r="K1818" s="46" t="s">
        <v>127</v>
      </c>
      <c r="L1818" s="46" t="s">
        <v>12</v>
      </c>
      <c r="M1818" s="46" t="s">
        <v>10</v>
      </c>
      <c r="N1818" s="46" t="s">
        <v>11</v>
      </c>
      <c r="O1818" s="49" t="s">
        <v>815</v>
      </c>
      <c r="P1818" s="46" t="s">
        <v>507</v>
      </c>
      <c r="Q1818" s="35" t="str">
        <f>MID(Tabla1[[#This Row],[Aplicación]],14,1)</f>
        <v>2</v>
      </c>
      <c r="R1818" s="35" t="s">
        <v>495</v>
      </c>
      <c r="S1818" s="35" t="str">
        <f>MID(Tabla1[[#This Row],[Aplicación]],6,2)</f>
        <v>10</v>
      </c>
      <c r="T1818" s="35" t="str">
        <f>VLOOKUP(Tabla1[[#This Row],[AREA]],Hoja1!A:B,2,FALSE)</f>
        <v>10. Servicios sociales y mediación comunitaria</v>
      </c>
      <c r="U1818" s="35" t="str">
        <f>MID(Tabla1[[#This Row],[Aplicación]],9,4)</f>
        <v>2312</v>
      </c>
      <c r="V1818" s="35" t="str">
        <f>VLOOKUP(Tabla1[[#This Row],[PROGRAMA]],Hoja1!A:B,2,FALSE)</f>
        <v>2312. Iniciativas sociales</v>
      </c>
      <c r="W1818" s="35" t="str">
        <f>MID(Tabla1[[#This Row],[Aplicación]],14,2)</f>
        <v>21</v>
      </c>
      <c r="X1818" s="35" t="str">
        <f>MID(Tabla1[[#This Row],[Aplicación]],14,6)</f>
        <v>213</v>
      </c>
    </row>
    <row r="1819" spans="1:24" x14ac:dyDescent="0.25">
      <c r="A1819" s="45">
        <v>220209000764</v>
      </c>
      <c r="B1819" s="46" t="s">
        <v>9</v>
      </c>
      <c r="C1819" s="47">
        <v>44198</v>
      </c>
      <c r="D1819" s="45">
        <v>22021000488</v>
      </c>
      <c r="E1819" s="46" t="s">
        <v>886</v>
      </c>
      <c r="F1819" s="48">
        <v>234.96</v>
      </c>
      <c r="G1819" s="46" t="s">
        <v>59</v>
      </c>
      <c r="H1819" s="46" t="s">
        <v>3117</v>
      </c>
      <c r="I1819" s="45" t="s">
        <v>125</v>
      </c>
      <c r="J1819" s="46" t="s">
        <v>127</v>
      </c>
      <c r="K1819" s="46" t="s">
        <v>127</v>
      </c>
      <c r="L1819" s="46" t="s">
        <v>12</v>
      </c>
      <c r="M1819" s="46" t="s">
        <v>13</v>
      </c>
      <c r="N1819" s="46" t="s">
        <v>14</v>
      </c>
      <c r="O1819" s="49" t="s">
        <v>803</v>
      </c>
      <c r="P1819" s="46" t="s">
        <v>507</v>
      </c>
      <c r="Q1819" s="35" t="str">
        <f>MID(Tabla1[[#This Row],[Aplicación]],14,1)</f>
        <v>2</v>
      </c>
      <c r="R1819" s="35" t="s">
        <v>495</v>
      </c>
      <c r="S1819" s="35" t="str">
        <f>MID(Tabla1[[#This Row],[Aplicación]],6,2)</f>
        <v>10</v>
      </c>
      <c r="T1819" s="35" t="str">
        <f>VLOOKUP(Tabla1[[#This Row],[AREA]],Hoja1!A:B,2,FALSE)</f>
        <v>10. Servicios sociales y mediación comunitaria</v>
      </c>
      <c r="U1819" s="35" t="str">
        <f>MID(Tabla1[[#This Row],[Aplicación]],9,4)</f>
        <v>2311</v>
      </c>
      <c r="V1819" s="35" t="str">
        <f>VLOOKUP(Tabla1[[#This Row],[PROGRAMA]],Hoja1!A:B,2,FALSE)</f>
        <v>2311. Intervención social</v>
      </c>
      <c r="W1819" s="35" t="str">
        <f>MID(Tabla1[[#This Row],[Aplicación]],14,2)</f>
        <v>21</v>
      </c>
      <c r="X1819" s="35" t="str">
        <f>MID(Tabla1[[#This Row],[Aplicación]],14,6)</f>
        <v>213</v>
      </c>
    </row>
    <row r="1820" spans="1:24" x14ac:dyDescent="0.25">
      <c r="A1820" s="45">
        <v>220210000542</v>
      </c>
      <c r="B1820" s="46" t="s">
        <v>9</v>
      </c>
      <c r="C1820" s="47">
        <v>44221</v>
      </c>
      <c r="D1820" s="45">
        <v>22021001097</v>
      </c>
      <c r="E1820" s="46" t="s">
        <v>1471</v>
      </c>
      <c r="F1820" s="48">
        <v>7260</v>
      </c>
      <c r="G1820" s="46" t="s">
        <v>87</v>
      </c>
      <c r="H1820" s="46" t="s">
        <v>3118</v>
      </c>
      <c r="I1820" s="45" t="s">
        <v>125</v>
      </c>
      <c r="J1820" s="46" t="s">
        <v>127</v>
      </c>
      <c r="K1820" s="46" t="s">
        <v>127</v>
      </c>
      <c r="L1820" s="46" t="s">
        <v>15</v>
      </c>
      <c r="M1820" s="46" t="s">
        <v>10</v>
      </c>
      <c r="N1820" s="46" t="s">
        <v>11</v>
      </c>
      <c r="O1820" s="49" t="s">
        <v>815</v>
      </c>
      <c r="P1820" s="46" t="s">
        <v>507</v>
      </c>
      <c r="Q1820" s="35" t="str">
        <f>MID(Tabla1[[#This Row],[Aplicación]],14,1)</f>
        <v>2</v>
      </c>
      <c r="R1820" s="35" t="s">
        <v>495</v>
      </c>
      <c r="S1820" s="35" t="str">
        <f>MID(Tabla1[[#This Row],[Aplicación]],6,2)</f>
        <v>06</v>
      </c>
      <c r="T1820" s="35" t="str">
        <f>VLOOKUP(Tabla1[[#This Row],[AREA]],Hoja1!A:B,2,FALSE)</f>
        <v>06. Educación, infancia, juventud e igualdad</v>
      </c>
      <c r="U1820" s="35" t="str">
        <f>MID(Tabla1[[#This Row],[Aplicación]],9,4)</f>
        <v>3232</v>
      </c>
      <c r="V1820" s="35" t="str">
        <f>VLOOKUP(Tabla1[[#This Row],[PROGRAMA]],Hoja1!A:B,2,FALSE)</f>
        <v>3232. Conservación y mantenimiento centros educación infantil y primaria</v>
      </c>
      <c r="W1820" s="35" t="str">
        <f>MID(Tabla1[[#This Row],[Aplicación]],14,2)</f>
        <v>21</v>
      </c>
      <c r="X1820" s="35" t="str">
        <f>MID(Tabla1[[#This Row],[Aplicación]],14,6)</f>
        <v>212</v>
      </c>
    </row>
    <row r="1821" spans="1:24" x14ac:dyDescent="0.25">
      <c r="A1821" s="45">
        <v>220210002412</v>
      </c>
      <c r="B1821" s="46" t="s">
        <v>9</v>
      </c>
      <c r="C1821" s="47">
        <v>44235</v>
      </c>
      <c r="D1821" s="45">
        <v>22021002342</v>
      </c>
      <c r="E1821" s="46" t="s">
        <v>1802</v>
      </c>
      <c r="F1821" s="48">
        <v>7260</v>
      </c>
      <c r="G1821" s="46" t="s">
        <v>101</v>
      </c>
      <c r="H1821" s="46" t="s">
        <v>3119</v>
      </c>
      <c r="I1821" s="45" t="s">
        <v>125</v>
      </c>
      <c r="J1821" s="46" t="s">
        <v>127</v>
      </c>
      <c r="K1821" s="46" t="s">
        <v>127</v>
      </c>
      <c r="L1821" s="46" t="s">
        <v>12</v>
      </c>
      <c r="M1821" s="46" t="s">
        <v>10</v>
      </c>
      <c r="N1821" s="46" t="s">
        <v>11</v>
      </c>
      <c r="O1821" s="49" t="s">
        <v>815</v>
      </c>
      <c r="P1821" s="46" t="s">
        <v>507</v>
      </c>
      <c r="Q1821" s="35" t="str">
        <f>MID(Tabla1[[#This Row],[Aplicación]],14,1)</f>
        <v>2</v>
      </c>
      <c r="R1821" s="35" t="s">
        <v>495</v>
      </c>
      <c r="S1821" s="35" t="str">
        <f>MID(Tabla1[[#This Row],[Aplicación]],6,2)</f>
        <v>06</v>
      </c>
      <c r="T1821" s="35" t="str">
        <f>VLOOKUP(Tabla1[[#This Row],[AREA]],Hoja1!A:B,2,FALSE)</f>
        <v>06. Educación, infancia, juventud e igualdad</v>
      </c>
      <c r="U1821" s="35" t="str">
        <f>MID(Tabla1[[#This Row],[Aplicación]],9,4)</f>
        <v>3232</v>
      </c>
      <c r="V1821" s="35" t="str">
        <f>VLOOKUP(Tabla1[[#This Row],[PROGRAMA]],Hoja1!A:B,2,FALSE)</f>
        <v>3232. Conservación y mantenimiento centros educación infantil y primaria</v>
      </c>
      <c r="W1821" s="35" t="str">
        <f>MID(Tabla1[[#This Row],[Aplicación]],14,2)</f>
        <v>22</v>
      </c>
      <c r="X1821" s="35" t="str">
        <f>MID(Tabla1[[#This Row],[Aplicación]],14,6)</f>
        <v>22799</v>
      </c>
    </row>
    <row r="1822" spans="1:24" x14ac:dyDescent="0.25">
      <c r="A1822" s="45">
        <v>220209000623</v>
      </c>
      <c r="B1822" s="46" t="s">
        <v>9</v>
      </c>
      <c r="C1822" s="47">
        <v>44198</v>
      </c>
      <c r="D1822" s="45">
        <v>22021000745</v>
      </c>
      <c r="E1822" s="46" t="s">
        <v>1286</v>
      </c>
      <c r="F1822" s="48">
        <v>7356.8</v>
      </c>
      <c r="G1822" s="46" t="s">
        <v>296</v>
      </c>
      <c r="H1822" s="46" t="s">
        <v>3120</v>
      </c>
      <c r="I1822" s="45" t="s">
        <v>125</v>
      </c>
      <c r="J1822" s="46" t="s">
        <v>719</v>
      </c>
      <c r="K1822" s="46" t="s">
        <v>126</v>
      </c>
      <c r="L1822" s="46" t="s">
        <v>12</v>
      </c>
      <c r="M1822" s="46" t="s">
        <v>10</v>
      </c>
      <c r="N1822" s="46" t="s">
        <v>11</v>
      </c>
      <c r="O1822" s="49" t="s">
        <v>815</v>
      </c>
      <c r="P1822" s="46" t="s">
        <v>507</v>
      </c>
      <c r="Q1822" s="35" t="str">
        <f>MID(Tabla1[[#This Row],[Aplicación]],14,1)</f>
        <v>6</v>
      </c>
      <c r="R1822" s="35" t="s">
        <v>496</v>
      </c>
      <c r="S1822" s="35" t="str">
        <f>MID(Tabla1[[#This Row],[Aplicación]],6,2)</f>
        <v>04</v>
      </c>
      <c r="T1822" s="35" t="str">
        <f>VLOOKUP(Tabla1[[#This Row],[AREA]],Hoja1!A:B,2,FALSE)</f>
        <v>04. Planificación y recursos</v>
      </c>
      <c r="U1822" s="35" t="str">
        <f>MID(Tabla1[[#This Row],[Aplicación]],9,4)</f>
        <v>9204</v>
      </c>
      <c r="V1822" s="35" t="str">
        <f>VLOOKUP(Tabla1[[#This Row],[PROGRAMA]],Hoja1!A:B,2,FALSE)</f>
        <v>9204. Tecnologías de la información y comunicación</v>
      </c>
      <c r="W1822" s="35" t="str">
        <f>MID(Tabla1[[#This Row],[Aplicación]],14,2)</f>
        <v>64</v>
      </c>
      <c r="X1822" s="35" t="str">
        <f>MID(Tabla1[[#This Row],[Aplicación]],14,6)</f>
        <v>641</v>
      </c>
    </row>
    <row r="1823" spans="1:24" x14ac:dyDescent="0.25">
      <c r="A1823" s="45">
        <v>220209000696</v>
      </c>
      <c r="B1823" s="46" t="s">
        <v>9</v>
      </c>
      <c r="C1823" s="47">
        <v>44198</v>
      </c>
      <c r="D1823" s="45">
        <v>22021000440</v>
      </c>
      <c r="E1823" s="46" t="s">
        <v>3121</v>
      </c>
      <c r="F1823" s="48">
        <v>7510.47</v>
      </c>
      <c r="G1823" s="46" t="s">
        <v>2122</v>
      </c>
      <c r="H1823" s="46" t="s">
        <v>3122</v>
      </c>
      <c r="I1823" s="45" t="s">
        <v>125</v>
      </c>
      <c r="J1823" s="46" t="s">
        <v>127</v>
      </c>
      <c r="K1823" s="46" t="s">
        <v>127</v>
      </c>
      <c r="L1823" s="46" t="s">
        <v>12</v>
      </c>
      <c r="M1823" s="46" t="s">
        <v>13</v>
      </c>
      <c r="N1823" s="46" t="s">
        <v>14</v>
      </c>
      <c r="O1823" s="49" t="s">
        <v>803</v>
      </c>
      <c r="P1823" s="46" t="s">
        <v>507</v>
      </c>
      <c r="Q1823" s="35" t="str">
        <f>MID(Tabla1[[#This Row],[Aplicación]],14,1)</f>
        <v>2</v>
      </c>
      <c r="R1823" s="35" t="s">
        <v>495</v>
      </c>
      <c r="S1823" s="35" t="str">
        <f>MID(Tabla1[[#This Row],[Aplicación]],6,2)</f>
        <v>04</v>
      </c>
      <c r="T1823" s="35" t="str">
        <f>VLOOKUP(Tabla1[[#This Row],[AREA]],Hoja1!A:B,2,FALSE)</f>
        <v>04. Planificación y recursos</v>
      </c>
      <c r="U1823" s="35" t="str">
        <f>MID(Tabla1[[#This Row],[Aplicación]],9,4)</f>
        <v>9204</v>
      </c>
      <c r="V1823" s="35" t="str">
        <f>VLOOKUP(Tabla1[[#This Row],[PROGRAMA]],Hoja1!A:B,2,FALSE)</f>
        <v>9204. Tecnologías de la información y comunicación</v>
      </c>
      <c r="W1823" s="35" t="str">
        <f>MID(Tabla1[[#This Row],[Aplicación]],14,2)</f>
        <v>22</v>
      </c>
      <c r="X1823" s="35" t="str">
        <f>MID(Tabla1[[#This Row],[Aplicación]],14,6)</f>
        <v>22700</v>
      </c>
    </row>
    <row r="1824" spans="1:24" x14ac:dyDescent="0.25">
      <c r="A1824" s="45">
        <v>220210010214</v>
      </c>
      <c r="B1824" s="46" t="s">
        <v>204</v>
      </c>
      <c r="C1824" s="47">
        <v>44273</v>
      </c>
      <c r="D1824" s="45">
        <v>22021002371</v>
      </c>
      <c r="E1824" s="46" t="s">
        <v>1336</v>
      </c>
      <c r="F1824" s="48">
        <v>55.54</v>
      </c>
      <c r="G1824" s="46" t="s">
        <v>102</v>
      </c>
      <c r="H1824" s="46" t="s">
        <v>3123</v>
      </c>
      <c r="I1824" s="45" t="s">
        <v>205</v>
      </c>
      <c r="J1824" s="46" t="s">
        <v>127</v>
      </c>
      <c r="K1824" s="46" t="s">
        <v>127</v>
      </c>
      <c r="L1824" s="46" t="s">
        <v>15</v>
      </c>
      <c r="M1824" s="46" t="s">
        <v>13</v>
      </c>
      <c r="N1824" s="46" t="s">
        <v>14</v>
      </c>
      <c r="O1824" s="49" t="s">
        <v>814</v>
      </c>
      <c r="P1824" s="46" t="s">
        <v>507</v>
      </c>
      <c r="Q1824" s="35" t="str">
        <f>MID(Tabla1[[#This Row],[Aplicación]],14,1)</f>
        <v>2</v>
      </c>
      <c r="R1824" s="35" t="s">
        <v>495</v>
      </c>
      <c r="S1824" s="35" t="str">
        <f>MID(Tabla1[[#This Row],[Aplicación]],6,2)</f>
        <v>02</v>
      </c>
      <c r="T1824" s="35" t="str">
        <f>VLOOKUP(Tabla1[[#This Row],[AREA]],Hoja1!A:B,2,FALSE)</f>
        <v>02. Planeamiento urbanístico y vivienda</v>
      </c>
      <c r="U1824" s="35" t="str">
        <f>MID(Tabla1[[#This Row],[Aplicación]],9,4)</f>
        <v>9332</v>
      </c>
      <c r="V1824" s="35" t="str">
        <f>VLOOKUP(Tabla1[[#This Row],[PROGRAMA]],Hoja1!A:B,2,FALSE)</f>
        <v>9332. Mantenimiento de edificios e instalaciones municipales</v>
      </c>
      <c r="W1824" s="35" t="str">
        <f>MID(Tabla1[[#This Row],[Aplicación]],14,2)</f>
        <v>21</v>
      </c>
      <c r="X1824" s="35" t="str">
        <f>MID(Tabla1[[#This Row],[Aplicación]],14,6)</f>
        <v>212</v>
      </c>
    </row>
    <row r="1825" spans="1:24" x14ac:dyDescent="0.25">
      <c r="A1825" s="45">
        <v>220210010290</v>
      </c>
      <c r="B1825" s="46" t="s">
        <v>204</v>
      </c>
      <c r="C1825" s="47">
        <v>44273</v>
      </c>
      <c r="D1825" s="45">
        <v>22021002133</v>
      </c>
      <c r="E1825" s="46" t="s">
        <v>1326</v>
      </c>
      <c r="F1825" s="48">
        <v>123</v>
      </c>
      <c r="G1825" s="46" t="s">
        <v>272</v>
      </c>
      <c r="H1825" s="46" t="s">
        <v>3124</v>
      </c>
      <c r="I1825" s="45" t="s">
        <v>205</v>
      </c>
      <c r="J1825" s="46" t="s">
        <v>127</v>
      </c>
      <c r="K1825" s="46" t="s">
        <v>127</v>
      </c>
      <c r="L1825" s="46" t="s">
        <v>15</v>
      </c>
      <c r="M1825" s="46" t="s">
        <v>13</v>
      </c>
      <c r="N1825" s="46" t="s">
        <v>14</v>
      </c>
      <c r="O1825" s="49" t="s">
        <v>814</v>
      </c>
      <c r="P1825" s="46" t="s">
        <v>507</v>
      </c>
      <c r="Q1825" s="35" t="str">
        <f>MID(Tabla1[[#This Row],[Aplicación]],14,1)</f>
        <v>2</v>
      </c>
      <c r="R1825" s="35" t="s">
        <v>495</v>
      </c>
      <c r="S1825" s="35" t="str">
        <f>MID(Tabla1[[#This Row],[Aplicación]],6,2)</f>
        <v>08</v>
      </c>
      <c r="T1825" s="35" t="str">
        <f>VLOOKUP(Tabla1[[#This Row],[AREA]],Hoja1!A:B,2,FALSE)</f>
        <v>08. Movilidad y espacio urbano</v>
      </c>
      <c r="U1825" s="35" t="str">
        <f>MID(Tabla1[[#This Row],[Aplicación]],9,4)</f>
        <v>1651</v>
      </c>
      <c r="V1825" s="35" t="str">
        <f>VLOOKUP(Tabla1[[#This Row],[PROGRAMA]],Hoja1!A:B,2,FALSE)</f>
        <v>1651. Alumbrado público</v>
      </c>
      <c r="W1825" s="35" t="str">
        <f>MID(Tabla1[[#This Row],[Aplicación]],14,2)</f>
        <v>22</v>
      </c>
      <c r="X1825" s="35" t="str">
        <f>MID(Tabla1[[#This Row],[Aplicación]],14,6)</f>
        <v>22199</v>
      </c>
    </row>
    <row r="1826" spans="1:24" x14ac:dyDescent="0.25">
      <c r="A1826" s="45">
        <v>220210010318</v>
      </c>
      <c r="B1826" s="46" t="s">
        <v>204</v>
      </c>
      <c r="C1826" s="47">
        <v>44273</v>
      </c>
      <c r="D1826" s="45">
        <v>22021002088</v>
      </c>
      <c r="E1826" s="46" t="s">
        <v>1478</v>
      </c>
      <c r="F1826" s="48">
        <v>8.99</v>
      </c>
      <c r="G1826" s="46" t="s">
        <v>263</v>
      </c>
      <c r="H1826" s="46" t="s">
        <v>3125</v>
      </c>
      <c r="I1826" s="45" t="s">
        <v>205</v>
      </c>
      <c r="J1826" s="46" t="s">
        <v>127</v>
      </c>
      <c r="K1826" s="46" t="s">
        <v>127</v>
      </c>
      <c r="L1826" s="46" t="s">
        <v>15</v>
      </c>
      <c r="M1826" s="46" t="s">
        <v>13</v>
      </c>
      <c r="N1826" s="46" t="s">
        <v>16</v>
      </c>
      <c r="O1826" s="49" t="s">
        <v>814</v>
      </c>
      <c r="P1826" s="46" t="s">
        <v>507</v>
      </c>
      <c r="Q1826" s="35" t="str">
        <f>MID(Tabla1[[#This Row],[Aplicación]],14,1)</f>
        <v>2</v>
      </c>
      <c r="R1826" s="35" t="s">
        <v>495</v>
      </c>
      <c r="S1826" s="35" t="str">
        <f>MID(Tabla1[[#This Row],[Aplicación]],6,2)</f>
        <v>03</v>
      </c>
      <c r="T1826" s="35" t="str">
        <f>VLOOKUP(Tabla1[[#This Row],[AREA]],Hoja1!A:B,2,FALSE)</f>
        <v>03. Participación ciudadana y deportes</v>
      </c>
      <c r="U1826" s="35" t="str">
        <f>MID(Tabla1[[#This Row],[Aplicación]],9,4)</f>
        <v>9241</v>
      </c>
      <c r="V1826" s="35" t="str">
        <f>VLOOKUP(Tabla1[[#This Row],[PROGRAMA]],Hoja1!A:B,2,FALSE)</f>
        <v>9241. Participación ciudadana</v>
      </c>
      <c r="W1826" s="35" t="str">
        <f>MID(Tabla1[[#This Row],[Aplicación]],14,2)</f>
        <v>21</v>
      </c>
      <c r="X1826" s="35" t="str">
        <f>MID(Tabla1[[#This Row],[Aplicación]],14,6)</f>
        <v>212</v>
      </c>
    </row>
    <row r="1827" spans="1:24" x14ac:dyDescent="0.25">
      <c r="A1827" s="45">
        <v>220210010321</v>
      </c>
      <c r="B1827" s="46" t="s">
        <v>204</v>
      </c>
      <c r="C1827" s="47">
        <v>44273</v>
      </c>
      <c r="D1827" s="45">
        <v>22021001038</v>
      </c>
      <c r="E1827" s="46" t="s">
        <v>844</v>
      </c>
      <c r="F1827" s="48">
        <v>20.81</v>
      </c>
      <c r="G1827" s="46" t="s">
        <v>102</v>
      </c>
      <c r="H1827" s="46" t="s">
        <v>3126</v>
      </c>
      <c r="I1827" s="45" t="s">
        <v>205</v>
      </c>
      <c r="J1827" s="46" t="s">
        <v>127</v>
      </c>
      <c r="K1827" s="46" t="s">
        <v>127</v>
      </c>
      <c r="L1827" s="46" t="s">
        <v>15</v>
      </c>
      <c r="M1827" s="46" t="s">
        <v>13</v>
      </c>
      <c r="N1827" s="46" t="s">
        <v>14</v>
      </c>
      <c r="O1827" s="49" t="s">
        <v>814</v>
      </c>
      <c r="P1827" s="46" t="s">
        <v>507</v>
      </c>
      <c r="Q1827" s="35" t="str">
        <f>MID(Tabla1[[#This Row],[Aplicación]],14,1)</f>
        <v>2</v>
      </c>
      <c r="R1827" s="35" t="s">
        <v>495</v>
      </c>
      <c r="S1827" s="35" t="str">
        <f>MID(Tabla1[[#This Row],[Aplicación]],6,2)</f>
        <v>10</v>
      </c>
      <c r="T1827" s="35" t="str">
        <f>VLOOKUP(Tabla1[[#This Row],[AREA]],Hoja1!A:B,2,FALSE)</f>
        <v>10. Servicios sociales y mediación comunitaria</v>
      </c>
      <c r="U1827" s="35" t="str">
        <f>MID(Tabla1[[#This Row],[Aplicación]],9,4)</f>
        <v>2312</v>
      </c>
      <c r="V1827" s="35" t="str">
        <f>VLOOKUP(Tabla1[[#This Row],[PROGRAMA]],Hoja1!A:B,2,FALSE)</f>
        <v>2312. Iniciativas sociales</v>
      </c>
      <c r="W1827" s="35" t="str">
        <f>MID(Tabla1[[#This Row],[Aplicación]],14,2)</f>
        <v>21</v>
      </c>
      <c r="X1827" s="35" t="str">
        <f>MID(Tabla1[[#This Row],[Aplicación]],14,6)</f>
        <v>212</v>
      </c>
    </row>
    <row r="1828" spans="1:24" x14ac:dyDescent="0.25">
      <c r="A1828" s="45">
        <v>220209000772</v>
      </c>
      <c r="B1828" s="46" t="s">
        <v>9</v>
      </c>
      <c r="C1828" s="47">
        <v>44198</v>
      </c>
      <c r="D1828" s="45">
        <v>22021000496</v>
      </c>
      <c r="E1828" s="46" t="s">
        <v>3127</v>
      </c>
      <c r="F1828" s="48">
        <v>7946.07</v>
      </c>
      <c r="G1828" s="46" t="s">
        <v>2122</v>
      </c>
      <c r="H1828" s="46" t="s">
        <v>3128</v>
      </c>
      <c r="I1828" s="45" t="s">
        <v>125</v>
      </c>
      <c r="J1828" s="46" t="s">
        <v>127</v>
      </c>
      <c r="K1828" s="46" t="s">
        <v>127</v>
      </c>
      <c r="L1828" s="46" t="s">
        <v>12</v>
      </c>
      <c r="M1828" s="46" t="s">
        <v>13</v>
      </c>
      <c r="N1828" s="46" t="s">
        <v>14</v>
      </c>
      <c r="O1828" s="49" t="s">
        <v>803</v>
      </c>
      <c r="P1828" s="46" t="s">
        <v>507</v>
      </c>
      <c r="Q1828" s="35" t="str">
        <f>MID(Tabla1[[#This Row],[Aplicación]],14,1)</f>
        <v>2</v>
      </c>
      <c r="R1828" s="35" t="s">
        <v>495</v>
      </c>
      <c r="S1828" s="35" t="str">
        <f>MID(Tabla1[[#This Row],[Aplicación]],6,2)</f>
        <v>09</v>
      </c>
      <c r="T1828" s="35" t="str">
        <f>VLOOKUP(Tabla1[[#This Row],[AREA]],Hoja1!A:B,2,FALSE)</f>
        <v>09. Cultura y turismo</v>
      </c>
      <c r="U1828" s="35" t="str">
        <f>MID(Tabla1[[#This Row],[Aplicación]],9,4)</f>
        <v>3341</v>
      </c>
      <c r="V1828" s="35" t="str">
        <f>VLOOKUP(Tabla1[[#This Row],[PROGRAMA]],Hoja1!A:B,2,FALSE)</f>
        <v>3341. Coordinación de políticas culturales</v>
      </c>
      <c r="W1828" s="35" t="str">
        <f>MID(Tabla1[[#This Row],[Aplicación]],14,2)</f>
        <v>22</v>
      </c>
      <c r="X1828" s="35" t="str">
        <f>MID(Tabla1[[#This Row],[Aplicación]],14,6)</f>
        <v>22700</v>
      </c>
    </row>
    <row r="1829" spans="1:24" x14ac:dyDescent="0.25">
      <c r="A1829" s="45">
        <v>220200065527</v>
      </c>
      <c r="B1829" s="46" t="s">
        <v>9</v>
      </c>
      <c r="C1829" s="47">
        <v>44284</v>
      </c>
      <c r="D1829" s="45">
        <v>22020006183</v>
      </c>
      <c r="E1829" s="46" t="s">
        <v>3129</v>
      </c>
      <c r="F1829" s="48">
        <v>8336.9</v>
      </c>
      <c r="G1829" s="46" t="s">
        <v>2356</v>
      </c>
      <c r="H1829" s="46" t="s">
        <v>3130</v>
      </c>
      <c r="I1829" s="45" t="s">
        <v>125</v>
      </c>
      <c r="J1829" s="46" t="s">
        <v>127</v>
      </c>
      <c r="K1829" s="46" t="s">
        <v>127</v>
      </c>
      <c r="L1829" s="46" t="s">
        <v>12</v>
      </c>
      <c r="M1829" s="46" t="s">
        <v>10</v>
      </c>
      <c r="N1829" s="46" t="s">
        <v>11</v>
      </c>
      <c r="O1829" s="49" t="s">
        <v>815</v>
      </c>
      <c r="P1829" s="46" t="s">
        <v>507</v>
      </c>
      <c r="Q1829" s="35" t="str">
        <f>MID(Tabla1[[#This Row],[Aplicación]],14,1)</f>
        <v>2</v>
      </c>
      <c r="R1829" s="35" t="s">
        <v>495</v>
      </c>
      <c r="S1829" s="35" t="str">
        <f>MID(Tabla1[[#This Row],[Aplicación]],6,2)</f>
        <v>01</v>
      </c>
      <c r="T1829" s="35" t="str">
        <f>VLOOKUP(Tabla1[[#This Row],[AREA]],Hoja1!A:B,2,FALSE)</f>
        <v>01. Alcaldía</v>
      </c>
      <c r="U1829" s="35" t="str">
        <f>MID(Tabla1[[#This Row],[Aplicación]],9,4)</f>
        <v>9312</v>
      </c>
      <c r="V1829" s="35" t="str">
        <f>VLOOKUP(Tabla1[[#This Row],[PROGRAMA]],Hoja1!A:B,2,FALSE)</f>
        <v>9312. Intervención general</v>
      </c>
      <c r="W1829" s="35" t="str">
        <f>MID(Tabla1[[#This Row],[Aplicación]],14,2)</f>
        <v>22</v>
      </c>
      <c r="X1829" s="35" t="str">
        <f>MID(Tabla1[[#This Row],[Aplicación]],14,6)</f>
        <v>22706</v>
      </c>
    </row>
    <row r="1830" spans="1:24" x14ac:dyDescent="0.25">
      <c r="A1830" s="45">
        <v>220200057344</v>
      </c>
      <c r="B1830" s="46" t="s">
        <v>9</v>
      </c>
      <c r="C1830" s="47">
        <v>44284</v>
      </c>
      <c r="D1830" s="45">
        <v>22020006465</v>
      </c>
      <c r="E1830" s="46" t="s">
        <v>1483</v>
      </c>
      <c r="F1830" s="48">
        <v>8463.9500000000007</v>
      </c>
      <c r="G1830" s="46" t="s">
        <v>701</v>
      </c>
      <c r="H1830" s="46" t="s">
        <v>3131</v>
      </c>
      <c r="I1830" s="45" t="s">
        <v>125</v>
      </c>
      <c r="J1830" s="46" t="s">
        <v>127</v>
      </c>
      <c r="K1830" s="46" t="s">
        <v>127</v>
      </c>
      <c r="L1830" s="46" t="s">
        <v>31</v>
      </c>
      <c r="M1830" s="46" t="s">
        <v>10</v>
      </c>
      <c r="N1830" s="46" t="s">
        <v>11</v>
      </c>
      <c r="O1830" s="49" t="s">
        <v>815</v>
      </c>
      <c r="P1830" s="46" t="s">
        <v>507</v>
      </c>
      <c r="Q1830" s="35" t="str">
        <f>MID(Tabla1[[#This Row],[Aplicación]],14,1)</f>
        <v>6</v>
      </c>
      <c r="R1830" s="35" t="s">
        <v>496</v>
      </c>
      <c r="S1830" s="35" t="str">
        <f>MID(Tabla1[[#This Row],[Aplicación]],6,2)</f>
        <v>03</v>
      </c>
      <c r="T1830" s="35" t="str">
        <f>VLOOKUP(Tabla1[[#This Row],[AREA]],Hoja1!A:B,2,FALSE)</f>
        <v>03. Participación ciudadana y deportes</v>
      </c>
      <c r="U1830" s="35" t="str">
        <f>MID(Tabla1[[#This Row],[Aplicación]],9,4)</f>
        <v>9241</v>
      </c>
      <c r="V1830" s="35" t="str">
        <f>VLOOKUP(Tabla1[[#This Row],[PROGRAMA]],Hoja1!A:B,2,FALSE)</f>
        <v>9241. Participación ciudadana</v>
      </c>
      <c r="W1830" s="35" t="str">
        <f>MID(Tabla1[[#This Row],[Aplicación]],14,2)</f>
        <v>63</v>
      </c>
      <c r="X1830" s="35" t="str">
        <f>MID(Tabla1[[#This Row],[Aplicación]],14,6)</f>
        <v>632</v>
      </c>
    </row>
    <row r="1831" spans="1:24" x14ac:dyDescent="0.25">
      <c r="A1831" s="45">
        <v>220210010357</v>
      </c>
      <c r="B1831" s="46" t="s">
        <v>9</v>
      </c>
      <c r="C1831" s="47">
        <v>44273</v>
      </c>
      <c r="D1831" s="45">
        <v>22021003471</v>
      </c>
      <c r="E1831" s="46" t="s">
        <v>1478</v>
      </c>
      <c r="F1831" s="48">
        <v>266.2</v>
      </c>
      <c r="G1831" s="46" t="s">
        <v>1481</v>
      </c>
      <c r="H1831" s="46" t="s">
        <v>3132</v>
      </c>
      <c r="I1831" s="45" t="s">
        <v>125</v>
      </c>
      <c r="J1831" s="46" t="s">
        <v>127</v>
      </c>
      <c r="K1831" s="46" t="s">
        <v>127</v>
      </c>
      <c r="L1831" s="46" t="s">
        <v>31</v>
      </c>
      <c r="M1831" s="46" t="s">
        <v>10</v>
      </c>
      <c r="N1831" s="46" t="s">
        <v>11</v>
      </c>
      <c r="O1831" s="49" t="s">
        <v>815</v>
      </c>
      <c r="P1831" s="46" t="s">
        <v>507</v>
      </c>
      <c r="Q1831" s="35" t="str">
        <f>MID(Tabla1[[#This Row],[Aplicación]],14,1)</f>
        <v>2</v>
      </c>
      <c r="R1831" s="35" t="s">
        <v>495</v>
      </c>
      <c r="S1831" s="35" t="str">
        <f>MID(Tabla1[[#This Row],[Aplicación]],6,2)</f>
        <v>03</v>
      </c>
      <c r="T1831" s="35" t="str">
        <f>VLOOKUP(Tabla1[[#This Row],[AREA]],Hoja1!A:B,2,FALSE)</f>
        <v>03. Participación ciudadana y deportes</v>
      </c>
      <c r="U1831" s="35" t="str">
        <f>MID(Tabla1[[#This Row],[Aplicación]],9,4)</f>
        <v>9241</v>
      </c>
      <c r="V1831" s="35" t="str">
        <f>VLOOKUP(Tabla1[[#This Row],[PROGRAMA]],Hoja1!A:B,2,FALSE)</f>
        <v>9241. Participación ciudadana</v>
      </c>
      <c r="W1831" s="35" t="str">
        <f>MID(Tabla1[[#This Row],[Aplicación]],14,2)</f>
        <v>21</v>
      </c>
      <c r="X1831" s="35" t="str">
        <f>MID(Tabla1[[#This Row],[Aplicación]],14,6)</f>
        <v>212</v>
      </c>
    </row>
    <row r="1832" spans="1:24" x14ac:dyDescent="0.25">
      <c r="A1832" s="45">
        <v>220210010358</v>
      </c>
      <c r="B1832" s="46" t="s">
        <v>9</v>
      </c>
      <c r="C1832" s="47">
        <v>44273</v>
      </c>
      <c r="D1832" s="45">
        <v>22021003473</v>
      </c>
      <c r="E1832" s="46" t="s">
        <v>1267</v>
      </c>
      <c r="F1832" s="48">
        <v>120.94</v>
      </c>
      <c r="G1832" s="46" t="s">
        <v>249</v>
      </c>
      <c r="H1832" s="46" t="s">
        <v>3133</v>
      </c>
      <c r="I1832" s="45" t="s">
        <v>125</v>
      </c>
      <c r="J1832" s="46" t="s">
        <v>127</v>
      </c>
      <c r="K1832" s="46" t="s">
        <v>127</v>
      </c>
      <c r="L1832" s="46" t="s">
        <v>15</v>
      </c>
      <c r="M1832" s="46" t="s">
        <v>10</v>
      </c>
      <c r="N1832" s="46" t="s">
        <v>11</v>
      </c>
      <c r="O1832" s="49" t="s">
        <v>815</v>
      </c>
      <c r="P1832" s="46" t="s">
        <v>507</v>
      </c>
      <c r="Q1832" s="35" t="str">
        <f>MID(Tabla1[[#This Row],[Aplicación]],14,1)</f>
        <v>2</v>
      </c>
      <c r="R1832" s="35" t="s">
        <v>495</v>
      </c>
      <c r="S1832" s="35" t="str">
        <f>MID(Tabla1[[#This Row],[Aplicación]],6,2)</f>
        <v>03</v>
      </c>
      <c r="T1832" s="35" t="str">
        <f>VLOOKUP(Tabla1[[#This Row],[AREA]],Hoja1!A:B,2,FALSE)</f>
        <v>03. Participación ciudadana y deportes</v>
      </c>
      <c r="U1832" s="35" t="str">
        <f>MID(Tabla1[[#This Row],[Aplicación]],9,4)</f>
        <v>9241</v>
      </c>
      <c r="V1832" s="35" t="str">
        <f>VLOOKUP(Tabla1[[#This Row],[PROGRAMA]],Hoja1!A:B,2,FALSE)</f>
        <v>9241. Participación ciudadana</v>
      </c>
      <c r="W1832" s="35" t="str">
        <f>MID(Tabla1[[#This Row],[Aplicación]],14,2)</f>
        <v>22</v>
      </c>
      <c r="X1832" s="35" t="str">
        <f>MID(Tabla1[[#This Row],[Aplicación]],14,6)</f>
        <v>22602</v>
      </c>
    </row>
    <row r="1833" spans="1:24" x14ac:dyDescent="0.25">
      <c r="A1833" s="45">
        <v>220210006459</v>
      </c>
      <c r="B1833" s="46" t="s">
        <v>9</v>
      </c>
      <c r="C1833" s="47">
        <v>44253</v>
      </c>
      <c r="D1833" s="45">
        <v>22021002761</v>
      </c>
      <c r="E1833" s="46" t="s">
        <v>1474</v>
      </c>
      <c r="F1833" s="48">
        <v>8468.1200000000008</v>
      </c>
      <c r="G1833" s="46" t="s">
        <v>2716</v>
      </c>
      <c r="H1833" s="46" t="s">
        <v>3134</v>
      </c>
      <c r="I1833" s="45" t="s">
        <v>125</v>
      </c>
      <c r="J1833" s="46" t="s">
        <v>2718</v>
      </c>
      <c r="K1833" s="46" t="s">
        <v>127</v>
      </c>
      <c r="L1833" s="46" t="s">
        <v>31</v>
      </c>
      <c r="M1833" s="46" t="s">
        <v>10</v>
      </c>
      <c r="N1833" s="46" t="s">
        <v>11</v>
      </c>
      <c r="O1833" s="49" t="s">
        <v>815</v>
      </c>
      <c r="P1833" s="46" t="s">
        <v>507</v>
      </c>
      <c r="Q1833" s="35" t="str">
        <f>MID(Tabla1[[#This Row],[Aplicación]],14,1)</f>
        <v>6</v>
      </c>
      <c r="R1833" s="35" t="s">
        <v>496</v>
      </c>
      <c r="S1833" s="35" t="str">
        <f>MID(Tabla1[[#This Row],[Aplicación]],6,2)</f>
        <v>08</v>
      </c>
      <c r="T1833" s="35" t="str">
        <f>VLOOKUP(Tabla1[[#This Row],[AREA]],Hoja1!A:B,2,FALSE)</f>
        <v>08. Movilidad y espacio urbano</v>
      </c>
      <c r="U1833" s="35" t="str">
        <f>MID(Tabla1[[#This Row],[Aplicación]],9,4)</f>
        <v>1651</v>
      </c>
      <c r="V1833" s="35" t="str">
        <f>VLOOKUP(Tabla1[[#This Row],[PROGRAMA]],Hoja1!A:B,2,FALSE)</f>
        <v>1651. Alumbrado público</v>
      </c>
      <c r="W1833" s="35" t="str">
        <f>MID(Tabla1[[#This Row],[Aplicación]],14,2)</f>
        <v>61</v>
      </c>
      <c r="X1833" s="35" t="str">
        <f>MID(Tabla1[[#This Row],[Aplicación]],14,6)</f>
        <v>619</v>
      </c>
    </row>
    <row r="1834" spans="1:24" x14ac:dyDescent="0.25">
      <c r="A1834" s="45">
        <v>220209000817</v>
      </c>
      <c r="B1834" s="46" t="s">
        <v>9</v>
      </c>
      <c r="C1834" s="47">
        <v>44198</v>
      </c>
      <c r="D1834" s="45">
        <v>22021000754</v>
      </c>
      <c r="E1834" s="46" t="s">
        <v>1270</v>
      </c>
      <c r="F1834" s="48">
        <v>9008.11</v>
      </c>
      <c r="G1834" s="46" t="s">
        <v>244</v>
      </c>
      <c r="H1834" s="46" t="s">
        <v>3135</v>
      </c>
      <c r="I1834" s="45" t="s">
        <v>125</v>
      </c>
      <c r="J1834" s="46" t="s">
        <v>127</v>
      </c>
      <c r="K1834" s="46" t="s">
        <v>127</v>
      </c>
      <c r="L1834" s="46" t="s">
        <v>12</v>
      </c>
      <c r="M1834" s="46" t="s">
        <v>10</v>
      </c>
      <c r="N1834" s="46" t="s">
        <v>11</v>
      </c>
      <c r="O1834" s="49" t="s">
        <v>815</v>
      </c>
      <c r="P1834" s="46" t="s">
        <v>507</v>
      </c>
      <c r="Q1834" s="35" t="str">
        <f>MID(Tabla1[[#This Row],[Aplicación]],14,1)</f>
        <v>6</v>
      </c>
      <c r="R1834" s="35" t="s">
        <v>496</v>
      </c>
      <c r="S1834" s="35" t="str">
        <f>MID(Tabla1[[#This Row],[Aplicación]],6,2)</f>
        <v>11</v>
      </c>
      <c r="T1834" s="35" t="str">
        <f>VLOOKUP(Tabla1[[#This Row],[AREA]],Hoja1!A:B,2,FALSE)</f>
        <v>11. Salud pública y seguridad ciudadana</v>
      </c>
      <c r="U1834" s="35" t="str">
        <f>MID(Tabla1[[#This Row],[Aplicación]],9,4)</f>
        <v>1621</v>
      </c>
      <c r="V1834" s="35" t="str">
        <f>VLOOKUP(Tabla1[[#This Row],[PROGRAMA]],Hoja1!A:B,2,FALSE)</f>
        <v>1621. Servicio de limpieza</v>
      </c>
      <c r="W1834" s="35" t="str">
        <f>MID(Tabla1[[#This Row],[Aplicación]],14,2)</f>
        <v>63</v>
      </c>
      <c r="X1834" s="35" t="str">
        <f>MID(Tabla1[[#This Row],[Aplicación]],14,6)</f>
        <v>634</v>
      </c>
    </row>
    <row r="1835" spans="1:24" x14ac:dyDescent="0.25">
      <c r="A1835" s="45">
        <v>220209000054</v>
      </c>
      <c r="B1835" s="46" t="s">
        <v>9</v>
      </c>
      <c r="C1835" s="47">
        <v>44198</v>
      </c>
      <c r="D1835" s="45">
        <v>22021000195</v>
      </c>
      <c r="E1835" s="46" t="s">
        <v>1648</v>
      </c>
      <c r="F1835" s="48">
        <v>9333.67</v>
      </c>
      <c r="G1835" s="46" t="s">
        <v>159</v>
      </c>
      <c r="H1835" s="46" t="s">
        <v>3136</v>
      </c>
      <c r="I1835" s="45" t="s">
        <v>125</v>
      </c>
      <c r="J1835" s="46" t="s">
        <v>642</v>
      </c>
      <c r="K1835" s="46" t="s">
        <v>160</v>
      </c>
      <c r="L1835" s="46" t="s">
        <v>12</v>
      </c>
      <c r="M1835" s="46" t="s">
        <v>13</v>
      </c>
      <c r="N1835" s="46" t="s">
        <v>14</v>
      </c>
      <c r="O1835" s="49" t="s">
        <v>803</v>
      </c>
      <c r="P1835" s="46" t="s">
        <v>507</v>
      </c>
      <c r="Q1835" s="35" t="str">
        <f>MID(Tabla1[[#This Row],[Aplicación]],14,1)</f>
        <v>2</v>
      </c>
      <c r="R1835" s="35" t="s">
        <v>495</v>
      </c>
      <c r="S1835" s="35" t="str">
        <f>MID(Tabla1[[#This Row],[Aplicación]],6,2)</f>
        <v>09</v>
      </c>
      <c r="T1835" s="35" t="str">
        <f>VLOOKUP(Tabla1[[#This Row],[AREA]],Hoja1!A:B,2,FALSE)</f>
        <v>09. Cultura y turismo</v>
      </c>
      <c r="U1835" s="35" t="str">
        <f>MID(Tabla1[[#This Row],[Aplicación]],9,4)</f>
        <v>3341</v>
      </c>
      <c r="V1835" s="35" t="str">
        <f>VLOOKUP(Tabla1[[#This Row],[PROGRAMA]],Hoja1!A:B,2,FALSE)</f>
        <v>3341. Coordinación de políticas culturales</v>
      </c>
      <c r="W1835" s="35" t="str">
        <f>MID(Tabla1[[#This Row],[Aplicación]],14,2)</f>
        <v>22</v>
      </c>
      <c r="X1835" s="35" t="str">
        <f>MID(Tabla1[[#This Row],[Aplicación]],14,6)</f>
        <v>22799</v>
      </c>
    </row>
    <row r="1836" spans="1:24" x14ac:dyDescent="0.25">
      <c r="A1836" s="45">
        <v>220210010363</v>
      </c>
      <c r="B1836" s="46" t="s">
        <v>9</v>
      </c>
      <c r="C1836" s="47">
        <v>44273</v>
      </c>
      <c r="D1836" s="45">
        <v>22021003095</v>
      </c>
      <c r="E1836" s="46" t="s">
        <v>1372</v>
      </c>
      <c r="F1836" s="48">
        <v>12100</v>
      </c>
      <c r="G1836" s="46" t="s">
        <v>290</v>
      </c>
      <c r="H1836" s="46" t="s">
        <v>2522</v>
      </c>
      <c r="I1836" s="45" t="s">
        <v>125</v>
      </c>
      <c r="J1836" s="46" t="s">
        <v>127</v>
      </c>
      <c r="K1836" s="46" t="s">
        <v>127</v>
      </c>
      <c r="L1836" s="46" t="s">
        <v>12</v>
      </c>
      <c r="M1836" s="46" t="s">
        <v>10</v>
      </c>
      <c r="N1836" s="46" t="s">
        <v>11</v>
      </c>
      <c r="O1836" s="49" t="s">
        <v>815</v>
      </c>
      <c r="P1836" s="46" t="s">
        <v>507</v>
      </c>
      <c r="Q1836" s="35" t="str">
        <f>MID(Tabla1[[#This Row],[Aplicación]],14,1)</f>
        <v>2</v>
      </c>
      <c r="R1836" s="35" t="s">
        <v>495</v>
      </c>
      <c r="S1836" s="35" t="str">
        <f>MID(Tabla1[[#This Row],[Aplicación]],6,2)</f>
        <v>07</v>
      </c>
      <c r="T1836" s="35" t="str">
        <f>VLOOKUP(Tabla1[[#This Row],[AREA]],Hoja1!A:B,2,FALSE)</f>
        <v>07. Medio ambiente y desarrollo sostenible</v>
      </c>
      <c r="U1836" s="35" t="str">
        <f>MID(Tabla1[[#This Row],[Aplicación]],9,4)</f>
        <v>1711</v>
      </c>
      <c r="V1836" s="35" t="str">
        <f>VLOOKUP(Tabla1[[#This Row],[PROGRAMA]],Hoja1!A:B,2,FALSE)</f>
        <v>1711. Parques y jardines</v>
      </c>
      <c r="W1836" s="35" t="str">
        <f>MID(Tabla1[[#This Row],[Aplicación]],14,2)</f>
        <v>21</v>
      </c>
      <c r="X1836" s="35" t="str">
        <f>MID(Tabla1[[#This Row],[Aplicación]],14,6)</f>
        <v>213</v>
      </c>
    </row>
    <row r="1837" spans="1:24" x14ac:dyDescent="0.25">
      <c r="A1837" s="45">
        <v>220210006994</v>
      </c>
      <c r="B1837" s="46" t="s">
        <v>32</v>
      </c>
      <c r="C1837" s="47">
        <v>44260</v>
      </c>
      <c r="D1837" s="45">
        <v>22021002907</v>
      </c>
      <c r="E1837" s="46" t="s">
        <v>1683</v>
      </c>
      <c r="F1837" s="48">
        <v>9942.57</v>
      </c>
      <c r="G1837" s="46" t="s">
        <v>2598</v>
      </c>
      <c r="H1837" s="46" t="s">
        <v>3137</v>
      </c>
      <c r="I1837" s="45" t="s">
        <v>234</v>
      </c>
      <c r="J1837" s="46" t="s">
        <v>2600</v>
      </c>
      <c r="K1837" s="46" t="s">
        <v>180</v>
      </c>
      <c r="L1837" s="46" t="s">
        <v>15</v>
      </c>
      <c r="M1837" s="46" t="s">
        <v>13</v>
      </c>
      <c r="N1837" s="46" t="s">
        <v>14</v>
      </c>
      <c r="O1837" s="49" t="s">
        <v>803</v>
      </c>
      <c r="P1837" s="46" t="s">
        <v>507</v>
      </c>
      <c r="Q1837" s="35" t="str">
        <f>MID(Tabla1[[#This Row],[Aplicación]],14,1)</f>
        <v>2</v>
      </c>
      <c r="R1837" s="35" t="s">
        <v>495</v>
      </c>
      <c r="S1837" s="35" t="str">
        <f>MID(Tabla1[[#This Row],[Aplicación]],6,2)</f>
        <v>11</v>
      </c>
      <c r="T1837" s="35" t="str">
        <f>VLOOKUP(Tabla1[[#This Row],[AREA]],Hoja1!A:B,2,FALSE)</f>
        <v>11. Salud pública y seguridad ciudadana</v>
      </c>
      <c r="U1837" s="35" t="str">
        <f>MID(Tabla1[[#This Row],[Aplicación]],9,4)</f>
        <v>1361</v>
      </c>
      <c r="V1837" s="35" t="str">
        <f>VLOOKUP(Tabla1[[#This Row],[PROGRAMA]],Hoja1!A:B,2,FALSE)</f>
        <v>1361. Prevención y extinción de incencios</v>
      </c>
      <c r="W1837" s="35" t="str">
        <f>MID(Tabla1[[#This Row],[Aplicación]],14,2)</f>
        <v>22</v>
      </c>
      <c r="X1837" s="35" t="str">
        <f>MID(Tabla1[[#This Row],[Aplicación]],14,6)</f>
        <v>22103</v>
      </c>
    </row>
    <row r="1838" spans="1:24" x14ac:dyDescent="0.25">
      <c r="A1838" s="45">
        <v>220210010372</v>
      </c>
      <c r="B1838" s="46" t="s">
        <v>9</v>
      </c>
      <c r="C1838" s="47">
        <v>44274</v>
      </c>
      <c r="D1838" s="45">
        <v>22021003442</v>
      </c>
      <c r="E1838" s="46" t="s">
        <v>921</v>
      </c>
      <c r="F1838" s="48">
        <v>3967.24</v>
      </c>
      <c r="G1838" s="46" t="s">
        <v>3138</v>
      </c>
      <c r="H1838" s="46" t="s">
        <v>3139</v>
      </c>
      <c r="I1838" s="45" t="s">
        <v>125</v>
      </c>
      <c r="J1838" s="46" t="s">
        <v>127</v>
      </c>
      <c r="K1838" s="46" t="s">
        <v>127</v>
      </c>
      <c r="L1838" s="46" t="s">
        <v>12</v>
      </c>
      <c r="M1838" s="46" t="s">
        <v>10</v>
      </c>
      <c r="N1838" s="46" t="s">
        <v>11</v>
      </c>
      <c r="O1838" s="49" t="s">
        <v>815</v>
      </c>
      <c r="P1838" s="46" t="s">
        <v>507</v>
      </c>
      <c r="Q1838" s="35" t="str">
        <f>MID(Tabla1[[#This Row],[Aplicación]],14,1)</f>
        <v>2</v>
      </c>
      <c r="R1838" s="35" t="s">
        <v>495</v>
      </c>
      <c r="S1838" s="35" t="str">
        <f>MID(Tabla1[[#This Row],[Aplicación]],6,2)</f>
        <v>04</v>
      </c>
      <c r="T1838" s="35" t="str">
        <f>VLOOKUP(Tabla1[[#This Row],[AREA]],Hoja1!A:B,2,FALSE)</f>
        <v>04. Planificación y recursos</v>
      </c>
      <c r="U1838" s="35" t="str">
        <f>MID(Tabla1[[#This Row],[Aplicación]],9,4)</f>
        <v>9204</v>
      </c>
      <c r="V1838" s="35" t="str">
        <f>VLOOKUP(Tabla1[[#This Row],[PROGRAMA]],Hoja1!A:B,2,FALSE)</f>
        <v>9204. Tecnologías de la información y comunicación</v>
      </c>
      <c r="W1838" s="35" t="str">
        <f>MID(Tabla1[[#This Row],[Aplicación]],14,2)</f>
        <v>21</v>
      </c>
      <c r="X1838" s="35" t="str">
        <f>MID(Tabla1[[#This Row],[Aplicación]],14,6)</f>
        <v>213</v>
      </c>
    </row>
    <row r="1839" spans="1:24" x14ac:dyDescent="0.25">
      <c r="A1839" s="45">
        <v>220209000104</v>
      </c>
      <c r="B1839" s="46" t="s">
        <v>9</v>
      </c>
      <c r="C1839" s="47">
        <v>44198</v>
      </c>
      <c r="D1839" s="45">
        <v>22021000090</v>
      </c>
      <c r="E1839" s="46" t="s">
        <v>3140</v>
      </c>
      <c r="F1839" s="48">
        <v>1973.94</v>
      </c>
      <c r="G1839" s="46" t="s">
        <v>124</v>
      </c>
      <c r="H1839" s="46" t="s">
        <v>3141</v>
      </c>
      <c r="I1839" s="45" t="s">
        <v>125</v>
      </c>
      <c r="J1839" s="46" t="s">
        <v>126</v>
      </c>
      <c r="K1839" s="46" t="s">
        <v>126</v>
      </c>
      <c r="L1839" s="46" t="s">
        <v>12</v>
      </c>
      <c r="M1839" s="46" t="s">
        <v>13</v>
      </c>
      <c r="N1839" s="46" t="s">
        <v>14</v>
      </c>
      <c r="O1839" s="49" t="s">
        <v>803</v>
      </c>
      <c r="P1839" s="46" t="s">
        <v>507</v>
      </c>
      <c r="Q1839" s="35" t="str">
        <f>MID(Tabla1[[#This Row],[Aplicación]],14,1)</f>
        <v>2</v>
      </c>
      <c r="R1839" s="35" t="s">
        <v>495</v>
      </c>
      <c r="S1839" s="35" t="str">
        <f>MID(Tabla1[[#This Row],[Aplicación]],6,2)</f>
        <v>06</v>
      </c>
      <c r="T1839" s="35" t="str">
        <f>VLOOKUP(Tabla1[[#This Row],[AREA]],Hoja1!A:B,2,FALSE)</f>
        <v>06. Educación, infancia, juventud e igualdad</v>
      </c>
      <c r="U1839" s="35" t="str">
        <f>MID(Tabla1[[#This Row],[Aplicación]],9,4)</f>
        <v>3232</v>
      </c>
      <c r="V1839" s="35" t="str">
        <f>VLOOKUP(Tabla1[[#This Row],[PROGRAMA]],Hoja1!A:B,2,FALSE)</f>
        <v>3232. Conservación y mantenimiento centros educación infantil y primaria</v>
      </c>
      <c r="W1839" s="35" t="str">
        <f>MID(Tabla1[[#This Row],[Aplicación]],14,2)</f>
        <v>22</v>
      </c>
      <c r="X1839" s="35" t="str">
        <f>MID(Tabla1[[#This Row],[Aplicación]],14,6)</f>
        <v>22200</v>
      </c>
    </row>
    <row r="1840" spans="1:24" x14ac:dyDescent="0.25">
      <c r="A1840" s="45">
        <v>220210010390</v>
      </c>
      <c r="B1840" s="46" t="s">
        <v>9</v>
      </c>
      <c r="C1840" s="47">
        <v>44274</v>
      </c>
      <c r="D1840" s="45">
        <v>22021003428</v>
      </c>
      <c r="E1840" s="46" t="s">
        <v>836</v>
      </c>
      <c r="F1840" s="48">
        <v>726</v>
      </c>
      <c r="G1840" s="46" t="s">
        <v>309</v>
      </c>
      <c r="H1840" s="46" t="s">
        <v>3142</v>
      </c>
      <c r="I1840" s="45" t="s">
        <v>125</v>
      </c>
      <c r="J1840" s="46" t="s">
        <v>126</v>
      </c>
      <c r="K1840" s="46" t="s">
        <v>126</v>
      </c>
      <c r="L1840" s="46" t="s">
        <v>15</v>
      </c>
      <c r="M1840" s="46" t="s">
        <v>10</v>
      </c>
      <c r="N1840" s="46" t="s">
        <v>11</v>
      </c>
      <c r="O1840" s="49" t="s">
        <v>815</v>
      </c>
      <c r="P1840" s="46" t="s">
        <v>507</v>
      </c>
      <c r="Q1840" s="35" t="str">
        <f>MID(Tabla1[[#This Row],[Aplicación]],14,1)</f>
        <v>2</v>
      </c>
      <c r="R1840" s="35" t="s">
        <v>495</v>
      </c>
      <c r="S1840" s="35" t="str">
        <f>MID(Tabla1[[#This Row],[Aplicación]],6,2)</f>
        <v>05</v>
      </c>
      <c r="T1840" s="35" t="str">
        <f>VLOOKUP(Tabla1[[#This Row],[AREA]],Hoja1!A:B,2,FALSE)</f>
        <v>05. Innovación, desarrollo económico, empleo y comercio</v>
      </c>
      <c r="U1840" s="35" t="str">
        <f>MID(Tabla1[[#This Row],[Aplicación]],9,4)</f>
        <v>4331</v>
      </c>
      <c r="V1840" s="35" t="str">
        <f>VLOOKUP(Tabla1[[#This Row],[PROGRAMA]],Hoja1!A:B,2,FALSE)</f>
        <v>4331. Desarrollo empresarial</v>
      </c>
      <c r="W1840" s="35" t="str">
        <f>MID(Tabla1[[#This Row],[Aplicación]],14,2)</f>
        <v>22</v>
      </c>
      <c r="X1840" s="35" t="str">
        <f>MID(Tabla1[[#This Row],[Aplicación]],14,6)</f>
        <v>22699</v>
      </c>
    </row>
    <row r="1841" spans="1:24" x14ac:dyDescent="0.25">
      <c r="A1841" s="45">
        <v>220209000105</v>
      </c>
      <c r="B1841" s="46" t="s">
        <v>9</v>
      </c>
      <c r="C1841" s="47">
        <v>44198</v>
      </c>
      <c r="D1841" s="45">
        <v>22021000091</v>
      </c>
      <c r="E1841" s="46" t="s">
        <v>3143</v>
      </c>
      <c r="F1841" s="48">
        <v>3910.4</v>
      </c>
      <c r="G1841" s="46" t="s">
        <v>124</v>
      </c>
      <c r="H1841" s="46" t="s">
        <v>3144</v>
      </c>
      <c r="I1841" s="45" t="s">
        <v>125</v>
      </c>
      <c r="J1841" s="46" t="s">
        <v>126</v>
      </c>
      <c r="K1841" s="46" t="s">
        <v>126</v>
      </c>
      <c r="L1841" s="46" t="s">
        <v>12</v>
      </c>
      <c r="M1841" s="46" t="s">
        <v>13</v>
      </c>
      <c r="N1841" s="46" t="s">
        <v>14</v>
      </c>
      <c r="O1841" s="49" t="s">
        <v>803</v>
      </c>
      <c r="P1841" s="46" t="s">
        <v>507</v>
      </c>
      <c r="Q1841" s="35" t="str">
        <f>MID(Tabla1[[#This Row],[Aplicación]],14,1)</f>
        <v>2</v>
      </c>
      <c r="R1841" s="35" t="s">
        <v>495</v>
      </c>
      <c r="S1841" s="35" t="str">
        <f>MID(Tabla1[[#This Row],[Aplicación]],6,2)</f>
        <v>05</v>
      </c>
      <c r="T1841" s="35" t="str">
        <f>VLOOKUP(Tabla1[[#This Row],[AREA]],Hoja1!A:B,2,FALSE)</f>
        <v>05. Innovación, desarrollo económico, empleo y comercio</v>
      </c>
      <c r="U1841" s="35" t="str">
        <f>MID(Tabla1[[#This Row],[Aplicación]],9,4)</f>
        <v>4331</v>
      </c>
      <c r="V1841" s="35" t="str">
        <f>VLOOKUP(Tabla1[[#This Row],[PROGRAMA]],Hoja1!A:B,2,FALSE)</f>
        <v>4331. Desarrollo empresarial</v>
      </c>
      <c r="W1841" s="35" t="str">
        <f>MID(Tabla1[[#This Row],[Aplicación]],14,2)</f>
        <v>22</v>
      </c>
      <c r="X1841" s="35" t="str">
        <f>MID(Tabla1[[#This Row],[Aplicación]],14,6)</f>
        <v>22200</v>
      </c>
    </row>
    <row r="1842" spans="1:24" x14ac:dyDescent="0.25">
      <c r="A1842" s="45">
        <v>220210010421</v>
      </c>
      <c r="B1842" s="46" t="s">
        <v>204</v>
      </c>
      <c r="C1842" s="47">
        <v>44277</v>
      </c>
      <c r="D1842" s="45">
        <v>22021001275</v>
      </c>
      <c r="E1842" s="46" t="s">
        <v>1334</v>
      </c>
      <c r="F1842" s="48">
        <v>11.76</v>
      </c>
      <c r="G1842" s="46" t="s">
        <v>236</v>
      </c>
      <c r="H1842" s="46" t="s">
        <v>3145</v>
      </c>
      <c r="I1842" s="45" t="s">
        <v>205</v>
      </c>
      <c r="J1842" s="46" t="s">
        <v>127</v>
      </c>
      <c r="K1842" s="46" t="s">
        <v>127</v>
      </c>
      <c r="L1842" s="46" t="s">
        <v>15</v>
      </c>
      <c r="M1842" s="46" t="s">
        <v>13</v>
      </c>
      <c r="N1842" s="46" t="s">
        <v>14</v>
      </c>
      <c r="O1842" s="49" t="s">
        <v>814</v>
      </c>
      <c r="P1842" s="46" t="s">
        <v>507</v>
      </c>
      <c r="Q1842" s="35" t="str">
        <f>MID(Tabla1[[#This Row],[Aplicación]],14,1)</f>
        <v>2</v>
      </c>
      <c r="R1842" s="35" t="s">
        <v>495</v>
      </c>
      <c r="S1842" s="35" t="str">
        <f>MID(Tabla1[[#This Row],[Aplicación]],6,2)</f>
        <v>07</v>
      </c>
      <c r="T1842" s="35" t="str">
        <f>VLOOKUP(Tabla1[[#This Row],[AREA]],Hoja1!A:B,2,FALSE)</f>
        <v>07. Medio ambiente y desarrollo sostenible</v>
      </c>
      <c r="U1842" s="35" t="str">
        <f>MID(Tabla1[[#This Row],[Aplicación]],9,4)</f>
        <v>1711</v>
      </c>
      <c r="V1842" s="35" t="str">
        <f>VLOOKUP(Tabla1[[#This Row],[PROGRAMA]],Hoja1!A:B,2,FALSE)</f>
        <v>1711. Parques y jardines</v>
      </c>
      <c r="W1842" s="35" t="str">
        <f>MID(Tabla1[[#This Row],[Aplicación]],14,2)</f>
        <v>22</v>
      </c>
      <c r="X1842" s="35" t="str">
        <f>MID(Tabla1[[#This Row],[Aplicación]],14,6)</f>
        <v>22199</v>
      </c>
    </row>
    <row r="1843" spans="1:24" x14ac:dyDescent="0.25">
      <c r="A1843" s="45">
        <v>220210010423</v>
      </c>
      <c r="B1843" s="46" t="s">
        <v>204</v>
      </c>
      <c r="C1843" s="47">
        <v>44277</v>
      </c>
      <c r="D1843" s="45">
        <v>22021001275</v>
      </c>
      <c r="E1843" s="46" t="s">
        <v>1334</v>
      </c>
      <c r="F1843" s="48">
        <v>393.8</v>
      </c>
      <c r="G1843" s="46" t="s">
        <v>270</v>
      </c>
      <c r="H1843" s="46" t="s">
        <v>1461</v>
      </c>
      <c r="I1843" s="45" t="s">
        <v>205</v>
      </c>
      <c r="J1843" s="46" t="s">
        <v>127</v>
      </c>
      <c r="K1843" s="46" t="s">
        <v>127</v>
      </c>
      <c r="L1843" s="46" t="s">
        <v>15</v>
      </c>
      <c r="M1843" s="46" t="s">
        <v>13</v>
      </c>
      <c r="N1843" s="46" t="s">
        <v>14</v>
      </c>
      <c r="O1843" s="49" t="s">
        <v>814</v>
      </c>
      <c r="P1843" s="46" t="s">
        <v>507</v>
      </c>
      <c r="Q1843" s="35" t="str">
        <f>MID(Tabla1[[#This Row],[Aplicación]],14,1)</f>
        <v>2</v>
      </c>
      <c r="R1843" s="35" t="s">
        <v>495</v>
      </c>
      <c r="S1843" s="35" t="str">
        <f>MID(Tabla1[[#This Row],[Aplicación]],6,2)</f>
        <v>07</v>
      </c>
      <c r="T1843" s="35" t="str">
        <f>VLOOKUP(Tabla1[[#This Row],[AREA]],Hoja1!A:B,2,FALSE)</f>
        <v>07. Medio ambiente y desarrollo sostenible</v>
      </c>
      <c r="U1843" s="35" t="str">
        <f>MID(Tabla1[[#This Row],[Aplicación]],9,4)</f>
        <v>1711</v>
      </c>
      <c r="V1843" s="35" t="str">
        <f>VLOOKUP(Tabla1[[#This Row],[PROGRAMA]],Hoja1!A:B,2,FALSE)</f>
        <v>1711. Parques y jardines</v>
      </c>
      <c r="W1843" s="35" t="str">
        <f>MID(Tabla1[[#This Row],[Aplicación]],14,2)</f>
        <v>22</v>
      </c>
      <c r="X1843" s="35" t="str">
        <f>MID(Tabla1[[#This Row],[Aplicación]],14,6)</f>
        <v>22199</v>
      </c>
    </row>
    <row r="1844" spans="1:24" x14ac:dyDescent="0.25">
      <c r="A1844" s="45">
        <v>220210010425</v>
      </c>
      <c r="B1844" s="46" t="s">
        <v>204</v>
      </c>
      <c r="C1844" s="47">
        <v>44277</v>
      </c>
      <c r="D1844" s="45">
        <v>22021001275</v>
      </c>
      <c r="E1844" s="46" t="s">
        <v>1334</v>
      </c>
      <c r="F1844" s="48">
        <v>1132.08</v>
      </c>
      <c r="G1844" s="46" t="s">
        <v>257</v>
      </c>
      <c r="H1844" s="46" t="s">
        <v>1461</v>
      </c>
      <c r="I1844" s="45" t="s">
        <v>205</v>
      </c>
      <c r="J1844" s="46" t="s">
        <v>127</v>
      </c>
      <c r="K1844" s="46" t="s">
        <v>127</v>
      </c>
      <c r="L1844" s="46" t="s">
        <v>15</v>
      </c>
      <c r="M1844" s="46" t="s">
        <v>13</v>
      </c>
      <c r="N1844" s="46" t="s">
        <v>14</v>
      </c>
      <c r="O1844" s="49" t="s">
        <v>814</v>
      </c>
      <c r="P1844" s="46" t="s">
        <v>507</v>
      </c>
      <c r="Q1844" s="35" t="str">
        <f>MID(Tabla1[[#This Row],[Aplicación]],14,1)</f>
        <v>2</v>
      </c>
      <c r="R1844" s="35" t="s">
        <v>495</v>
      </c>
      <c r="S1844" s="35" t="str">
        <f>MID(Tabla1[[#This Row],[Aplicación]],6,2)</f>
        <v>07</v>
      </c>
      <c r="T1844" s="35" t="str">
        <f>VLOOKUP(Tabla1[[#This Row],[AREA]],Hoja1!A:B,2,FALSE)</f>
        <v>07. Medio ambiente y desarrollo sostenible</v>
      </c>
      <c r="U1844" s="35" t="str">
        <f>MID(Tabla1[[#This Row],[Aplicación]],9,4)</f>
        <v>1711</v>
      </c>
      <c r="V1844" s="35" t="str">
        <f>VLOOKUP(Tabla1[[#This Row],[PROGRAMA]],Hoja1!A:B,2,FALSE)</f>
        <v>1711. Parques y jardines</v>
      </c>
      <c r="W1844" s="35" t="str">
        <f>MID(Tabla1[[#This Row],[Aplicación]],14,2)</f>
        <v>22</v>
      </c>
      <c r="X1844" s="35" t="str">
        <f>MID(Tabla1[[#This Row],[Aplicación]],14,6)</f>
        <v>22199</v>
      </c>
    </row>
    <row r="1845" spans="1:24" x14ac:dyDescent="0.25">
      <c r="A1845" s="45">
        <v>220210010432</v>
      </c>
      <c r="B1845" s="46" t="s">
        <v>204</v>
      </c>
      <c r="C1845" s="47">
        <v>44277</v>
      </c>
      <c r="D1845" s="45">
        <v>22021002048</v>
      </c>
      <c r="E1845" s="46" t="s">
        <v>890</v>
      </c>
      <c r="F1845" s="48">
        <v>853.86</v>
      </c>
      <c r="G1845" s="46" t="s">
        <v>269</v>
      </c>
      <c r="H1845" s="46" t="s">
        <v>3146</v>
      </c>
      <c r="I1845" s="45" t="s">
        <v>205</v>
      </c>
      <c r="J1845" s="46" t="s">
        <v>127</v>
      </c>
      <c r="K1845" s="46" t="s">
        <v>127</v>
      </c>
      <c r="L1845" s="46" t="s">
        <v>15</v>
      </c>
      <c r="M1845" s="46" t="s">
        <v>13</v>
      </c>
      <c r="N1845" s="46" t="s">
        <v>14</v>
      </c>
      <c r="O1845" s="49" t="s">
        <v>814</v>
      </c>
      <c r="P1845" s="46" t="s">
        <v>507</v>
      </c>
      <c r="Q1845" s="35" t="str">
        <f>MID(Tabla1[[#This Row],[Aplicación]],14,1)</f>
        <v>2</v>
      </c>
      <c r="R1845" s="35" t="s">
        <v>495</v>
      </c>
      <c r="S1845" s="35" t="str">
        <f>MID(Tabla1[[#This Row],[Aplicación]],6,2)</f>
        <v>11</v>
      </c>
      <c r="T1845" s="35" t="str">
        <f>VLOOKUP(Tabla1[[#This Row],[AREA]],Hoja1!A:B,2,FALSE)</f>
        <v>11. Salud pública y seguridad ciudadana</v>
      </c>
      <c r="U1845" s="35" t="str">
        <f>MID(Tabla1[[#This Row],[Aplicación]],9,4)</f>
        <v>1621</v>
      </c>
      <c r="V1845" s="35" t="str">
        <f>VLOOKUP(Tabla1[[#This Row],[PROGRAMA]],Hoja1!A:B,2,FALSE)</f>
        <v>1621. Servicio de limpieza</v>
      </c>
      <c r="W1845" s="35" t="str">
        <f>MID(Tabla1[[#This Row],[Aplicación]],14,2)</f>
        <v>21</v>
      </c>
      <c r="X1845" s="35" t="str">
        <f>MID(Tabla1[[#This Row],[Aplicación]],14,6)</f>
        <v>214</v>
      </c>
    </row>
    <row r="1846" spans="1:24" x14ac:dyDescent="0.25">
      <c r="A1846" s="45">
        <v>220210010435</v>
      </c>
      <c r="B1846" s="46" t="s">
        <v>204</v>
      </c>
      <c r="C1846" s="47">
        <v>44277</v>
      </c>
      <c r="D1846" s="45">
        <v>22021002048</v>
      </c>
      <c r="E1846" s="46" t="s">
        <v>890</v>
      </c>
      <c r="F1846" s="48">
        <v>121.85</v>
      </c>
      <c r="G1846" s="46" t="s">
        <v>273</v>
      </c>
      <c r="H1846" s="46" t="s">
        <v>3147</v>
      </c>
      <c r="I1846" s="45" t="s">
        <v>205</v>
      </c>
      <c r="J1846" s="46" t="s">
        <v>127</v>
      </c>
      <c r="K1846" s="46" t="s">
        <v>127</v>
      </c>
      <c r="L1846" s="46" t="s">
        <v>15</v>
      </c>
      <c r="M1846" s="46" t="s">
        <v>13</v>
      </c>
      <c r="N1846" s="46" t="s">
        <v>14</v>
      </c>
      <c r="O1846" s="49" t="s">
        <v>814</v>
      </c>
      <c r="P1846" s="46" t="s">
        <v>507</v>
      </c>
      <c r="Q1846" s="35" t="str">
        <f>MID(Tabla1[[#This Row],[Aplicación]],14,1)</f>
        <v>2</v>
      </c>
      <c r="R1846" s="35" t="s">
        <v>495</v>
      </c>
      <c r="S1846" s="35" t="str">
        <f>MID(Tabla1[[#This Row],[Aplicación]],6,2)</f>
        <v>11</v>
      </c>
      <c r="T1846" s="35" t="str">
        <f>VLOOKUP(Tabla1[[#This Row],[AREA]],Hoja1!A:B,2,FALSE)</f>
        <v>11. Salud pública y seguridad ciudadana</v>
      </c>
      <c r="U1846" s="35" t="str">
        <f>MID(Tabla1[[#This Row],[Aplicación]],9,4)</f>
        <v>1621</v>
      </c>
      <c r="V1846" s="35" t="str">
        <f>VLOOKUP(Tabla1[[#This Row],[PROGRAMA]],Hoja1!A:B,2,FALSE)</f>
        <v>1621. Servicio de limpieza</v>
      </c>
      <c r="W1846" s="35" t="str">
        <f>MID(Tabla1[[#This Row],[Aplicación]],14,2)</f>
        <v>21</v>
      </c>
      <c r="X1846" s="35" t="str">
        <f>MID(Tabla1[[#This Row],[Aplicación]],14,6)</f>
        <v>214</v>
      </c>
    </row>
    <row r="1847" spans="1:24" x14ac:dyDescent="0.25">
      <c r="A1847" s="45">
        <v>220210010440</v>
      </c>
      <c r="B1847" s="46" t="s">
        <v>204</v>
      </c>
      <c r="C1847" s="47">
        <v>44277</v>
      </c>
      <c r="D1847" s="45">
        <v>22021002054</v>
      </c>
      <c r="E1847" s="46" t="s">
        <v>1382</v>
      </c>
      <c r="F1847" s="48">
        <v>2814.41</v>
      </c>
      <c r="G1847" s="46" t="s">
        <v>269</v>
      </c>
      <c r="H1847" s="46" t="s">
        <v>3148</v>
      </c>
      <c r="I1847" s="45" t="s">
        <v>205</v>
      </c>
      <c r="J1847" s="46" t="s">
        <v>127</v>
      </c>
      <c r="K1847" s="46" t="s">
        <v>127</v>
      </c>
      <c r="L1847" s="46" t="s">
        <v>15</v>
      </c>
      <c r="M1847" s="46" t="s">
        <v>13</v>
      </c>
      <c r="N1847" s="46" t="s">
        <v>14</v>
      </c>
      <c r="O1847" s="49" t="s">
        <v>814</v>
      </c>
      <c r="P1847" s="46" t="s">
        <v>507</v>
      </c>
      <c r="Q1847" s="35" t="str">
        <f>MID(Tabla1[[#This Row],[Aplicación]],14,1)</f>
        <v>2</v>
      </c>
      <c r="R1847" s="35" t="s">
        <v>495</v>
      </c>
      <c r="S1847" s="35" t="str">
        <f>MID(Tabla1[[#This Row],[Aplicación]],6,2)</f>
        <v>11</v>
      </c>
      <c r="T1847" s="35" t="str">
        <f>VLOOKUP(Tabla1[[#This Row],[AREA]],Hoja1!A:B,2,FALSE)</f>
        <v>11. Salud pública y seguridad ciudadana</v>
      </c>
      <c r="U1847" s="35" t="str">
        <f>MID(Tabla1[[#This Row],[Aplicación]],9,4)</f>
        <v>1631</v>
      </c>
      <c r="V1847" s="35" t="str">
        <f>VLOOKUP(Tabla1[[#This Row],[PROGRAMA]],Hoja1!A:B,2,FALSE)</f>
        <v>1631. Limpieza viaria</v>
      </c>
      <c r="W1847" s="35" t="str">
        <f>MID(Tabla1[[#This Row],[Aplicación]],14,2)</f>
        <v>21</v>
      </c>
      <c r="X1847" s="35" t="str">
        <f>MID(Tabla1[[#This Row],[Aplicación]],14,6)</f>
        <v>214</v>
      </c>
    </row>
    <row r="1848" spans="1:24" x14ac:dyDescent="0.25">
      <c r="A1848" s="45">
        <v>220210010444</v>
      </c>
      <c r="B1848" s="46" t="s">
        <v>204</v>
      </c>
      <c r="C1848" s="47">
        <v>44277</v>
      </c>
      <c r="D1848" s="45">
        <v>22021002057</v>
      </c>
      <c r="E1848" s="46" t="s">
        <v>1715</v>
      </c>
      <c r="F1848" s="48">
        <v>113.64</v>
      </c>
      <c r="G1848" s="46" t="s">
        <v>263</v>
      </c>
      <c r="H1848" s="46" t="s">
        <v>3149</v>
      </c>
      <c r="I1848" s="45" t="s">
        <v>205</v>
      </c>
      <c r="J1848" s="46" t="s">
        <v>127</v>
      </c>
      <c r="K1848" s="46" t="s">
        <v>127</v>
      </c>
      <c r="L1848" s="46" t="s">
        <v>15</v>
      </c>
      <c r="M1848" s="46" t="s">
        <v>13</v>
      </c>
      <c r="N1848" s="46" t="s">
        <v>14</v>
      </c>
      <c r="O1848" s="49" t="s">
        <v>814</v>
      </c>
      <c r="P1848" s="46" t="s">
        <v>507</v>
      </c>
      <c r="Q1848" s="35" t="str">
        <f>MID(Tabla1[[#This Row],[Aplicación]],14,1)</f>
        <v>2</v>
      </c>
      <c r="R1848" s="35" t="s">
        <v>495</v>
      </c>
      <c r="S1848" s="35" t="str">
        <f>MID(Tabla1[[#This Row],[Aplicación]],6,2)</f>
        <v>11</v>
      </c>
      <c r="T1848" s="35" t="str">
        <f>VLOOKUP(Tabla1[[#This Row],[AREA]],Hoja1!A:B,2,FALSE)</f>
        <v>11. Salud pública y seguridad ciudadana</v>
      </c>
      <c r="U1848" s="35" t="str">
        <f>MID(Tabla1[[#This Row],[Aplicación]],9,4)</f>
        <v>1631</v>
      </c>
      <c r="V1848" s="35" t="str">
        <f>VLOOKUP(Tabla1[[#This Row],[PROGRAMA]],Hoja1!A:B,2,FALSE)</f>
        <v>1631. Limpieza viaria</v>
      </c>
      <c r="W1848" s="35" t="str">
        <f>MID(Tabla1[[#This Row],[Aplicación]],14,2)</f>
        <v>22</v>
      </c>
      <c r="X1848" s="35" t="str">
        <f>MID(Tabla1[[#This Row],[Aplicación]],14,6)</f>
        <v>22199</v>
      </c>
    </row>
    <row r="1849" spans="1:24" x14ac:dyDescent="0.25">
      <c r="A1849" s="45">
        <v>220210010450</v>
      </c>
      <c r="B1849" s="46" t="s">
        <v>204</v>
      </c>
      <c r="C1849" s="47">
        <v>44277</v>
      </c>
      <c r="D1849" s="45">
        <v>22021001275</v>
      </c>
      <c r="E1849" s="46" t="s">
        <v>1334</v>
      </c>
      <c r="F1849" s="48">
        <v>99.9</v>
      </c>
      <c r="G1849" s="46" t="s">
        <v>1475</v>
      </c>
      <c r="H1849" s="46" t="s">
        <v>3150</v>
      </c>
      <c r="I1849" s="45" t="s">
        <v>205</v>
      </c>
      <c r="J1849" s="46" t="s">
        <v>127</v>
      </c>
      <c r="K1849" s="46" t="s">
        <v>127</v>
      </c>
      <c r="L1849" s="46" t="s">
        <v>15</v>
      </c>
      <c r="M1849" s="46" t="s">
        <v>13</v>
      </c>
      <c r="N1849" s="46" t="s">
        <v>14</v>
      </c>
      <c r="O1849" s="49" t="s">
        <v>814</v>
      </c>
      <c r="P1849" s="46" t="s">
        <v>507</v>
      </c>
      <c r="Q1849" s="35" t="str">
        <f>MID(Tabla1[[#This Row],[Aplicación]],14,1)</f>
        <v>2</v>
      </c>
      <c r="R1849" s="35" t="s">
        <v>495</v>
      </c>
      <c r="S1849" s="35" t="str">
        <f>MID(Tabla1[[#This Row],[Aplicación]],6,2)</f>
        <v>07</v>
      </c>
      <c r="T1849" s="35" t="str">
        <f>VLOOKUP(Tabla1[[#This Row],[AREA]],Hoja1!A:B,2,FALSE)</f>
        <v>07. Medio ambiente y desarrollo sostenible</v>
      </c>
      <c r="U1849" s="35" t="str">
        <f>MID(Tabla1[[#This Row],[Aplicación]],9,4)</f>
        <v>1711</v>
      </c>
      <c r="V1849" s="35" t="str">
        <f>VLOOKUP(Tabla1[[#This Row],[PROGRAMA]],Hoja1!A:B,2,FALSE)</f>
        <v>1711. Parques y jardines</v>
      </c>
      <c r="W1849" s="35" t="str">
        <f>MID(Tabla1[[#This Row],[Aplicación]],14,2)</f>
        <v>22</v>
      </c>
      <c r="X1849" s="35" t="str">
        <f>MID(Tabla1[[#This Row],[Aplicación]],14,6)</f>
        <v>22199</v>
      </c>
    </row>
    <row r="1850" spans="1:24" x14ac:dyDescent="0.25">
      <c r="A1850" s="45">
        <v>220209000109</v>
      </c>
      <c r="B1850" s="46" t="s">
        <v>9</v>
      </c>
      <c r="C1850" s="47">
        <v>44198</v>
      </c>
      <c r="D1850" s="45">
        <v>22021000095</v>
      </c>
      <c r="E1850" s="46" t="s">
        <v>2112</v>
      </c>
      <c r="F1850" s="48">
        <v>1442.17</v>
      </c>
      <c r="G1850" s="46" t="s">
        <v>124</v>
      </c>
      <c r="H1850" s="46" t="s">
        <v>3151</v>
      </c>
      <c r="I1850" s="45" t="s">
        <v>125</v>
      </c>
      <c r="J1850" s="46" t="s">
        <v>126</v>
      </c>
      <c r="K1850" s="46" t="s">
        <v>126</v>
      </c>
      <c r="L1850" s="46" t="s">
        <v>12</v>
      </c>
      <c r="M1850" s="46" t="s">
        <v>13</v>
      </c>
      <c r="N1850" s="46" t="s">
        <v>14</v>
      </c>
      <c r="O1850" s="49" t="s">
        <v>803</v>
      </c>
      <c r="P1850" s="46" t="s">
        <v>507</v>
      </c>
      <c r="Q1850" s="35" t="str">
        <f>MID(Tabla1[[#This Row],[Aplicación]],14,1)</f>
        <v>2</v>
      </c>
      <c r="R1850" s="35" t="s">
        <v>495</v>
      </c>
      <c r="S1850" s="35" t="str">
        <f>MID(Tabla1[[#This Row],[Aplicación]],6,2)</f>
        <v>10</v>
      </c>
      <c r="T1850" s="35" t="str">
        <f>VLOOKUP(Tabla1[[#This Row],[AREA]],Hoja1!A:B,2,FALSE)</f>
        <v>10. Servicios sociales y mediación comunitaria</v>
      </c>
      <c r="U1850" s="35" t="str">
        <f>MID(Tabla1[[#This Row],[Aplicación]],9,4)</f>
        <v>2311</v>
      </c>
      <c r="V1850" s="35" t="str">
        <f>VLOOKUP(Tabla1[[#This Row],[PROGRAMA]],Hoja1!A:B,2,FALSE)</f>
        <v>2311. Intervención social</v>
      </c>
      <c r="W1850" s="35" t="str">
        <f>MID(Tabla1[[#This Row],[Aplicación]],14,2)</f>
        <v>22</v>
      </c>
      <c r="X1850" s="35" t="str">
        <f>MID(Tabla1[[#This Row],[Aplicación]],14,6)</f>
        <v>22200</v>
      </c>
    </row>
    <row r="1851" spans="1:24" x14ac:dyDescent="0.25">
      <c r="A1851" s="45">
        <v>220209000110</v>
      </c>
      <c r="B1851" s="46" t="s">
        <v>9</v>
      </c>
      <c r="C1851" s="47">
        <v>44198</v>
      </c>
      <c r="D1851" s="45">
        <v>22021000096</v>
      </c>
      <c r="E1851" s="46" t="s">
        <v>2112</v>
      </c>
      <c r="F1851" s="48">
        <v>12780.5</v>
      </c>
      <c r="G1851" s="46" t="s">
        <v>124</v>
      </c>
      <c r="H1851" s="46" t="s">
        <v>3152</v>
      </c>
      <c r="I1851" s="45" t="s">
        <v>125</v>
      </c>
      <c r="J1851" s="46" t="s">
        <v>126</v>
      </c>
      <c r="K1851" s="46" t="s">
        <v>126</v>
      </c>
      <c r="L1851" s="46" t="s">
        <v>12</v>
      </c>
      <c r="M1851" s="46" t="s">
        <v>13</v>
      </c>
      <c r="N1851" s="46" t="s">
        <v>14</v>
      </c>
      <c r="O1851" s="49" t="s">
        <v>803</v>
      </c>
      <c r="P1851" s="46" t="s">
        <v>507</v>
      </c>
      <c r="Q1851" s="35" t="str">
        <f>MID(Tabla1[[#This Row],[Aplicación]],14,1)</f>
        <v>2</v>
      </c>
      <c r="R1851" s="35" t="s">
        <v>495</v>
      </c>
      <c r="S1851" s="35" t="str">
        <f>MID(Tabla1[[#This Row],[Aplicación]],6,2)</f>
        <v>10</v>
      </c>
      <c r="T1851" s="35" t="str">
        <f>VLOOKUP(Tabla1[[#This Row],[AREA]],Hoja1!A:B,2,FALSE)</f>
        <v>10. Servicios sociales y mediación comunitaria</v>
      </c>
      <c r="U1851" s="35" t="str">
        <f>MID(Tabla1[[#This Row],[Aplicación]],9,4)</f>
        <v>2311</v>
      </c>
      <c r="V1851" s="35" t="str">
        <f>VLOOKUP(Tabla1[[#This Row],[PROGRAMA]],Hoja1!A:B,2,FALSE)</f>
        <v>2311. Intervención social</v>
      </c>
      <c r="W1851" s="35" t="str">
        <f>MID(Tabla1[[#This Row],[Aplicación]],14,2)</f>
        <v>22</v>
      </c>
      <c r="X1851" s="35" t="str">
        <f>MID(Tabla1[[#This Row],[Aplicación]],14,6)</f>
        <v>22200</v>
      </c>
    </row>
    <row r="1852" spans="1:24" x14ac:dyDescent="0.25">
      <c r="A1852" s="45">
        <v>220210010220</v>
      </c>
      <c r="B1852" s="46" t="s">
        <v>204</v>
      </c>
      <c r="C1852" s="47">
        <v>44273</v>
      </c>
      <c r="D1852" s="45">
        <v>22021002225</v>
      </c>
      <c r="E1852" s="46" t="s">
        <v>1574</v>
      </c>
      <c r="F1852" s="48">
        <v>76.69</v>
      </c>
      <c r="G1852" s="46" t="s">
        <v>235</v>
      </c>
      <c r="H1852" s="46" t="s">
        <v>3153</v>
      </c>
      <c r="I1852" s="45" t="s">
        <v>205</v>
      </c>
      <c r="J1852" s="46" t="s">
        <v>742</v>
      </c>
      <c r="K1852" s="46" t="s">
        <v>165</v>
      </c>
      <c r="L1852" s="46" t="s">
        <v>15</v>
      </c>
      <c r="M1852" s="46" t="s">
        <v>13</v>
      </c>
      <c r="N1852" s="46" t="s">
        <v>16</v>
      </c>
      <c r="O1852" s="49" t="s">
        <v>814</v>
      </c>
      <c r="P1852" s="46" t="s">
        <v>507</v>
      </c>
      <c r="Q1852" s="35" t="str">
        <f>MID(Tabla1[[#This Row],[Aplicación]],14,1)</f>
        <v>2</v>
      </c>
      <c r="R1852" s="35" t="s">
        <v>495</v>
      </c>
      <c r="S1852" s="35" t="str">
        <f>MID(Tabla1[[#This Row],[Aplicación]],6,2)</f>
        <v>06</v>
      </c>
      <c r="T1852" s="35" t="str">
        <f>VLOOKUP(Tabla1[[#This Row],[AREA]],Hoja1!A:B,2,FALSE)</f>
        <v>06. Educación, infancia, juventud e igualdad</v>
      </c>
      <c r="U1852" s="35" t="str">
        <f>MID(Tabla1[[#This Row],[Aplicación]],9,4)</f>
        <v>3231</v>
      </c>
      <c r="V1852" s="35" t="str">
        <f>VLOOKUP(Tabla1[[#This Row],[PROGRAMA]],Hoja1!A:B,2,FALSE)</f>
        <v>3231. Escuelas infantiles</v>
      </c>
      <c r="W1852" s="35" t="str">
        <f>MID(Tabla1[[#This Row],[Aplicación]],14,2)</f>
        <v>21</v>
      </c>
      <c r="X1852" s="35" t="str">
        <f>MID(Tabla1[[#This Row],[Aplicación]],14,6)</f>
        <v>212</v>
      </c>
    </row>
    <row r="1853" spans="1:24" x14ac:dyDescent="0.25">
      <c r="A1853" s="45">
        <v>220210010477</v>
      </c>
      <c r="B1853" s="46" t="s">
        <v>204</v>
      </c>
      <c r="C1853" s="47">
        <v>44277</v>
      </c>
      <c r="D1853" s="45">
        <v>22021002228</v>
      </c>
      <c r="E1853" s="46" t="s">
        <v>1471</v>
      </c>
      <c r="F1853" s="48">
        <v>1091.4000000000001</v>
      </c>
      <c r="G1853" s="46" t="s">
        <v>235</v>
      </c>
      <c r="H1853" s="46" t="s">
        <v>3154</v>
      </c>
      <c r="I1853" s="45" t="s">
        <v>205</v>
      </c>
      <c r="J1853" s="46" t="s">
        <v>742</v>
      </c>
      <c r="K1853" s="46" t="s">
        <v>165</v>
      </c>
      <c r="L1853" s="46" t="s">
        <v>15</v>
      </c>
      <c r="M1853" s="46" t="s">
        <v>13</v>
      </c>
      <c r="N1853" s="46" t="s">
        <v>16</v>
      </c>
      <c r="O1853" s="49" t="s">
        <v>814</v>
      </c>
      <c r="P1853" s="46" t="s">
        <v>507</v>
      </c>
      <c r="Q1853" s="35" t="str">
        <f>MID(Tabla1[[#This Row],[Aplicación]],14,1)</f>
        <v>2</v>
      </c>
      <c r="R1853" s="35" t="s">
        <v>495</v>
      </c>
      <c r="S1853" s="35" t="str">
        <f>MID(Tabla1[[#This Row],[Aplicación]],6,2)</f>
        <v>06</v>
      </c>
      <c r="T1853" s="35" t="str">
        <f>VLOOKUP(Tabla1[[#This Row],[AREA]],Hoja1!A:B,2,FALSE)</f>
        <v>06. Educación, infancia, juventud e igualdad</v>
      </c>
      <c r="U1853" s="35" t="str">
        <f>MID(Tabla1[[#This Row],[Aplicación]],9,4)</f>
        <v>3232</v>
      </c>
      <c r="V1853" s="35" t="str">
        <f>VLOOKUP(Tabla1[[#This Row],[PROGRAMA]],Hoja1!A:B,2,FALSE)</f>
        <v>3232. Conservación y mantenimiento centros educación infantil y primaria</v>
      </c>
      <c r="W1853" s="35" t="str">
        <f>MID(Tabla1[[#This Row],[Aplicación]],14,2)</f>
        <v>21</v>
      </c>
      <c r="X1853" s="35" t="str">
        <f>MID(Tabla1[[#This Row],[Aplicación]],14,6)</f>
        <v>212</v>
      </c>
    </row>
    <row r="1854" spans="1:24" x14ac:dyDescent="0.25">
      <c r="A1854" s="45">
        <v>220209000111</v>
      </c>
      <c r="B1854" s="46" t="s">
        <v>9</v>
      </c>
      <c r="C1854" s="47">
        <v>44198</v>
      </c>
      <c r="D1854" s="45">
        <v>22021000097</v>
      </c>
      <c r="E1854" s="46" t="s">
        <v>3155</v>
      </c>
      <c r="F1854" s="48">
        <v>8902.81</v>
      </c>
      <c r="G1854" s="46" t="s">
        <v>124</v>
      </c>
      <c r="H1854" s="46" t="s">
        <v>3156</v>
      </c>
      <c r="I1854" s="45" t="s">
        <v>125</v>
      </c>
      <c r="J1854" s="46" t="s">
        <v>126</v>
      </c>
      <c r="K1854" s="46" t="s">
        <v>126</v>
      </c>
      <c r="L1854" s="46" t="s">
        <v>12</v>
      </c>
      <c r="M1854" s="46" t="s">
        <v>13</v>
      </c>
      <c r="N1854" s="46" t="s">
        <v>14</v>
      </c>
      <c r="O1854" s="49" t="s">
        <v>803</v>
      </c>
      <c r="P1854" s="46" t="s">
        <v>507</v>
      </c>
      <c r="Q1854" s="35" t="str">
        <f>MID(Tabla1[[#This Row],[Aplicación]],14,1)</f>
        <v>2</v>
      </c>
      <c r="R1854" s="35" t="s">
        <v>495</v>
      </c>
      <c r="S1854" s="35" t="str">
        <f>MID(Tabla1[[#This Row],[Aplicación]],6,2)</f>
        <v>10</v>
      </c>
      <c r="T1854" s="35" t="str">
        <f>VLOOKUP(Tabla1[[#This Row],[AREA]],Hoja1!A:B,2,FALSE)</f>
        <v>10. Servicios sociales y mediación comunitaria</v>
      </c>
      <c r="U1854" s="35" t="str">
        <f>MID(Tabla1[[#This Row],[Aplicación]],9,4)</f>
        <v>2312</v>
      </c>
      <c r="V1854" s="35" t="str">
        <f>VLOOKUP(Tabla1[[#This Row],[PROGRAMA]],Hoja1!A:B,2,FALSE)</f>
        <v>2312. Iniciativas sociales</v>
      </c>
      <c r="W1854" s="35" t="str">
        <f>MID(Tabla1[[#This Row],[Aplicación]],14,2)</f>
        <v>22</v>
      </c>
      <c r="X1854" s="35" t="str">
        <f>MID(Tabla1[[#This Row],[Aplicación]],14,6)</f>
        <v>22200</v>
      </c>
    </row>
    <row r="1855" spans="1:24" x14ac:dyDescent="0.25">
      <c r="A1855" s="45">
        <v>220209000112</v>
      </c>
      <c r="B1855" s="46" t="s">
        <v>9</v>
      </c>
      <c r="C1855" s="47">
        <v>44198</v>
      </c>
      <c r="D1855" s="45">
        <v>22021000098</v>
      </c>
      <c r="E1855" s="46" t="s">
        <v>3155</v>
      </c>
      <c r="F1855" s="48">
        <v>6744.8</v>
      </c>
      <c r="G1855" s="46" t="s">
        <v>124</v>
      </c>
      <c r="H1855" s="46" t="s">
        <v>3157</v>
      </c>
      <c r="I1855" s="45" t="s">
        <v>125</v>
      </c>
      <c r="J1855" s="46" t="s">
        <v>126</v>
      </c>
      <c r="K1855" s="46" t="s">
        <v>126</v>
      </c>
      <c r="L1855" s="46" t="s">
        <v>12</v>
      </c>
      <c r="M1855" s="46" t="s">
        <v>13</v>
      </c>
      <c r="N1855" s="46" t="s">
        <v>14</v>
      </c>
      <c r="O1855" s="49" t="s">
        <v>803</v>
      </c>
      <c r="P1855" s="46" t="s">
        <v>507</v>
      </c>
      <c r="Q1855" s="35" t="str">
        <f>MID(Tabla1[[#This Row],[Aplicación]],14,1)</f>
        <v>2</v>
      </c>
      <c r="R1855" s="35" t="s">
        <v>495</v>
      </c>
      <c r="S1855" s="35" t="str">
        <f>MID(Tabla1[[#This Row],[Aplicación]],6,2)</f>
        <v>10</v>
      </c>
      <c r="T1855" s="35" t="str">
        <f>VLOOKUP(Tabla1[[#This Row],[AREA]],Hoja1!A:B,2,FALSE)</f>
        <v>10. Servicios sociales y mediación comunitaria</v>
      </c>
      <c r="U1855" s="35" t="str">
        <f>MID(Tabla1[[#This Row],[Aplicación]],9,4)</f>
        <v>2312</v>
      </c>
      <c r="V1855" s="35" t="str">
        <f>VLOOKUP(Tabla1[[#This Row],[PROGRAMA]],Hoja1!A:B,2,FALSE)</f>
        <v>2312. Iniciativas sociales</v>
      </c>
      <c r="W1855" s="35" t="str">
        <f>MID(Tabla1[[#This Row],[Aplicación]],14,2)</f>
        <v>22</v>
      </c>
      <c r="X1855" s="35" t="str">
        <f>MID(Tabla1[[#This Row],[Aplicación]],14,6)</f>
        <v>22200</v>
      </c>
    </row>
    <row r="1856" spans="1:24" x14ac:dyDescent="0.25">
      <c r="A1856" s="45">
        <v>220210010490</v>
      </c>
      <c r="B1856" s="46" t="s">
        <v>204</v>
      </c>
      <c r="C1856" s="47">
        <v>44277</v>
      </c>
      <c r="D1856" s="45">
        <v>22021002132</v>
      </c>
      <c r="E1856" s="46" t="s">
        <v>1180</v>
      </c>
      <c r="F1856" s="48">
        <v>2350</v>
      </c>
      <c r="G1856" s="46" t="s">
        <v>263</v>
      </c>
      <c r="H1856" s="46" t="s">
        <v>3158</v>
      </c>
      <c r="I1856" s="45" t="s">
        <v>205</v>
      </c>
      <c r="J1856" s="46" t="s">
        <v>127</v>
      </c>
      <c r="K1856" s="46" t="s">
        <v>127</v>
      </c>
      <c r="L1856" s="46" t="s">
        <v>15</v>
      </c>
      <c r="M1856" s="46" t="s">
        <v>13</v>
      </c>
      <c r="N1856" s="46" t="s">
        <v>14</v>
      </c>
      <c r="O1856" s="49" t="s">
        <v>814</v>
      </c>
      <c r="P1856" s="46" t="s">
        <v>507</v>
      </c>
      <c r="Q1856" s="35" t="str">
        <f>MID(Tabla1[[#This Row],[Aplicación]],14,1)</f>
        <v>2</v>
      </c>
      <c r="R1856" s="35" t="s">
        <v>495</v>
      </c>
      <c r="S1856" s="35" t="str">
        <f>MID(Tabla1[[#This Row],[Aplicación]],6,2)</f>
        <v>08</v>
      </c>
      <c r="T1856" s="35" t="str">
        <f>VLOOKUP(Tabla1[[#This Row],[AREA]],Hoja1!A:B,2,FALSE)</f>
        <v>08. Movilidad y espacio urbano</v>
      </c>
      <c r="U1856" s="35" t="str">
        <f>MID(Tabla1[[#This Row],[Aplicación]],9,4)</f>
        <v>1532</v>
      </c>
      <c r="V1856" s="35" t="str">
        <f>VLOOKUP(Tabla1[[#This Row],[PROGRAMA]],Hoja1!A:B,2,FALSE)</f>
        <v>1532. Pavimentación vias públicas y otros servicios urbanísticos</v>
      </c>
      <c r="W1856" s="35" t="str">
        <f>MID(Tabla1[[#This Row],[Aplicación]],14,2)</f>
        <v>21</v>
      </c>
      <c r="X1856" s="35" t="str">
        <f>MID(Tabla1[[#This Row],[Aplicación]],14,6)</f>
        <v>210</v>
      </c>
    </row>
    <row r="1857" spans="1:24" x14ac:dyDescent="0.25">
      <c r="A1857" s="45">
        <v>220210010501</v>
      </c>
      <c r="B1857" s="46" t="s">
        <v>204</v>
      </c>
      <c r="C1857" s="47">
        <v>44277</v>
      </c>
      <c r="D1857" s="45">
        <v>22021002132</v>
      </c>
      <c r="E1857" s="46" t="s">
        <v>1180</v>
      </c>
      <c r="F1857" s="48">
        <v>1020.88</v>
      </c>
      <c r="G1857" s="46" t="s">
        <v>257</v>
      </c>
      <c r="H1857" s="46" t="s">
        <v>3159</v>
      </c>
      <c r="I1857" s="45" t="s">
        <v>205</v>
      </c>
      <c r="J1857" s="46" t="s">
        <v>127</v>
      </c>
      <c r="K1857" s="46" t="s">
        <v>127</v>
      </c>
      <c r="L1857" s="46" t="s">
        <v>15</v>
      </c>
      <c r="M1857" s="46" t="s">
        <v>13</v>
      </c>
      <c r="N1857" s="46" t="s">
        <v>14</v>
      </c>
      <c r="O1857" s="49" t="s">
        <v>814</v>
      </c>
      <c r="P1857" s="46" t="s">
        <v>507</v>
      </c>
      <c r="Q1857" s="35" t="str">
        <f>MID(Tabla1[[#This Row],[Aplicación]],14,1)</f>
        <v>2</v>
      </c>
      <c r="R1857" s="35" t="s">
        <v>495</v>
      </c>
      <c r="S1857" s="35" t="str">
        <f>MID(Tabla1[[#This Row],[Aplicación]],6,2)</f>
        <v>08</v>
      </c>
      <c r="T1857" s="35" t="str">
        <f>VLOOKUP(Tabla1[[#This Row],[AREA]],Hoja1!A:B,2,FALSE)</f>
        <v>08. Movilidad y espacio urbano</v>
      </c>
      <c r="U1857" s="35" t="str">
        <f>MID(Tabla1[[#This Row],[Aplicación]],9,4)</f>
        <v>1532</v>
      </c>
      <c r="V1857" s="35" t="str">
        <f>VLOOKUP(Tabla1[[#This Row],[PROGRAMA]],Hoja1!A:B,2,FALSE)</f>
        <v>1532. Pavimentación vias públicas y otros servicios urbanísticos</v>
      </c>
      <c r="W1857" s="35" t="str">
        <f>MID(Tabla1[[#This Row],[Aplicación]],14,2)</f>
        <v>21</v>
      </c>
      <c r="X1857" s="35" t="str">
        <f>MID(Tabla1[[#This Row],[Aplicación]],14,6)</f>
        <v>210</v>
      </c>
    </row>
    <row r="1858" spans="1:24" x14ac:dyDescent="0.25">
      <c r="A1858" s="45">
        <v>220209000387</v>
      </c>
      <c r="B1858" s="46" t="s">
        <v>9</v>
      </c>
      <c r="C1858" s="47">
        <v>44198</v>
      </c>
      <c r="D1858" s="45">
        <v>22021000279</v>
      </c>
      <c r="E1858" s="46" t="s">
        <v>1675</v>
      </c>
      <c r="F1858" s="48">
        <v>10000</v>
      </c>
      <c r="G1858" s="46" t="s">
        <v>188</v>
      </c>
      <c r="H1858" s="46" t="s">
        <v>3160</v>
      </c>
      <c r="I1858" s="45" t="s">
        <v>125</v>
      </c>
      <c r="J1858" s="46" t="s">
        <v>126</v>
      </c>
      <c r="K1858" s="46" t="s">
        <v>126</v>
      </c>
      <c r="L1858" s="46" t="s">
        <v>15</v>
      </c>
      <c r="M1858" s="46" t="s">
        <v>13</v>
      </c>
      <c r="N1858" s="46" t="s">
        <v>14</v>
      </c>
      <c r="O1858" s="49" t="s">
        <v>803</v>
      </c>
      <c r="P1858" s="46" t="s">
        <v>507</v>
      </c>
      <c r="Q1858" s="35" t="str">
        <f>MID(Tabla1[[#This Row],[Aplicación]],14,1)</f>
        <v>2</v>
      </c>
      <c r="R1858" s="35" t="s">
        <v>495</v>
      </c>
      <c r="S1858" s="35" t="str">
        <f>MID(Tabla1[[#This Row],[Aplicación]],6,2)</f>
        <v>11</v>
      </c>
      <c r="T1858" s="35" t="str">
        <f>VLOOKUP(Tabla1[[#This Row],[AREA]],Hoja1!A:B,2,FALSE)</f>
        <v>11. Salud pública y seguridad ciudadana</v>
      </c>
      <c r="U1858" s="35" t="str">
        <f>MID(Tabla1[[#This Row],[Aplicación]],9,4)</f>
        <v>1631</v>
      </c>
      <c r="V1858" s="35" t="str">
        <f>VLOOKUP(Tabla1[[#This Row],[PROGRAMA]],Hoja1!A:B,2,FALSE)</f>
        <v>1631. Limpieza viaria</v>
      </c>
      <c r="W1858" s="35" t="str">
        <f>MID(Tabla1[[#This Row],[Aplicación]],14,2)</f>
        <v>22</v>
      </c>
      <c r="X1858" s="35" t="str">
        <f>MID(Tabla1[[#This Row],[Aplicación]],14,6)</f>
        <v>22103</v>
      </c>
    </row>
    <row r="1859" spans="1:24" x14ac:dyDescent="0.25">
      <c r="A1859" s="45">
        <v>220210000029</v>
      </c>
      <c r="B1859" s="46" t="s">
        <v>32</v>
      </c>
      <c r="C1859" s="47">
        <v>44215</v>
      </c>
      <c r="D1859" s="45">
        <v>22021000681</v>
      </c>
      <c r="E1859" s="46" t="s">
        <v>3161</v>
      </c>
      <c r="F1859" s="48">
        <v>10763</v>
      </c>
      <c r="G1859" s="46" t="s">
        <v>3162</v>
      </c>
      <c r="H1859" s="46" t="s">
        <v>3163</v>
      </c>
      <c r="I1859" s="45" t="s">
        <v>234</v>
      </c>
      <c r="J1859" s="46" t="s">
        <v>127</v>
      </c>
      <c r="K1859" s="46" t="s">
        <v>127</v>
      </c>
      <c r="L1859" s="46" t="s">
        <v>15</v>
      </c>
      <c r="M1859" s="46" t="s">
        <v>10</v>
      </c>
      <c r="N1859" s="46" t="s">
        <v>11</v>
      </c>
      <c r="O1859" s="49" t="s">
        <v>815</v>
      </c>
      <c r="P1859" s="46" t="s">
        <v>507</v>
      </c>
      <c r="Q1859" s="35" t="str">
        <f>MID(Tabla1[[#This Row],[Aplicación]],14,1)</f>
        <v>6</v>
      </c>
      <c r="R1859" s="35" t="s">
        <v>496</v>
      </c>
      <c r="S1859" s="35" t="str">
        <f>MID(Tabla1[[#This Row],[Aplicación]],6,2)</f>
        <v>10</v>
      </c>
      <c r="T1859" s="35" t="str">
        <f>VLOOKUP(Tabla1[[#This Row],[AREA]],Hoja1!A:B,2,FALSE)</f>
        <v>10. Servicios sociales y mediación comunitaria</v>
      </c>
      <c r="U1859" s="35" t="str">
        <f>MID(Tabla1[[#This Row],[Aplicación]],9,4)</f>
        <v>2312</v>
      </c>
      <c r="V1859" s="35" t="str">
        <f>VLOOKUP(Tabla1[[#This Row],[PROGRAMA]],Hoja1!A:B,2,FALSE)</f>
        <v>2312. Iniciativas sociales</v>
      </c>
      <c r="W1859" s="35" t="str">
        <f>MID(Tabla1[[#This Row],[Aplicación]],14,2)</f>
        <v>63</v>
      </c>
      <c r="X1859" s="35" t="str">
        <f>MID(Tabla1[[#This Row],[Aplicación]],14,6)</f>
        <v>632</v>
      </c>
    </row>
    <row r="1860" spans="1:24" x14ac:dyDescent="0.25">
      <c r="A1860" s="45">
        <v>220200062619</v>
      </c>
      <c r="B1860" s="46" t="s">
        <v>9</v>
      </c>
      <c r="C1860" s="47">
        <v>44284</v>
      </c>
      <c r="D1860" s="45">
        <v>22020007055</v>
      </c>
      <c r="E1860" s="46" t="s">
        <v>3161</v>
      </c>
      <c r="F1860" s="48">
        <v>10763</v>
      </c>
      <c r="G1860" s="46" t="s">
        <v>3162</v>
      </c>
      <c r="H1860" s="46" t="s">
        <v>3164</v>
      </c>
      <c r="I1860" s="45" t="s">
        <v>125</v>
      </c>
      <c r="J1860" s="46" t="s">
        <v>127</v>
      </c>
      <c r="K1860" s="46" t="s">
        <v>127</v>
      </c>
      <c r="L1860" s="46" t="s">
        <v>15</v>
      </c>
      <c r="M1860" s="46" t="s">
        <v>10</v>
      </c>
      <c r="N1860" s="46" t="s">
        <v>11</v>
      </c>
      <c r="O1860" s="49" t="s">
        <v>815</v>
      </c>
      <c r="P1860" s="46" t="s">
        <v>507</v>
      </c>
      <c r="Q1860" s="35" t="str">
        <f>MID(Tabla1[[#This Row],[Aplicación]],14,1)</f>
        <v>6</v>
      </c>
      <c r="R1860" s="35" t="s">
        <v>496</v>
      </c>
      <c r="S1860" s="35" t="str">
        <f>MID(Tabla1[[#This Row],[Aplicación]],6,2)</f>
        <v>10</v>
      </c>
      <c r="T1860" s="35" t="str">
        <f>VLOOKUP(Tabla1[[#This Row],[AREA]],Hoja1!A:B,2,FALSE)</f>
        <v>10. Servicios sociales y mediación comunitaria</v>
      </c>
      <c r="U1860" s="35" t="str">
        <f>MID(Tabla1[[#This Row],[Aplicación]],9,4)</f>
        <v>2312</v>
      </c>
      <c r="V1860" s="35" t="str">
        <f>VLOOKUP(Tabla1[[#This Row],[PROGRAMA]],Hoja1!A:B,2,FALSE)</f>
        <v>2312. Iniciativas sociales</v>
      </c>
      <c r="W1860" s="35" t="str">
        <f>MID(Tabla1[[#This Row],[Aplicación]],14,2)</f>
        <v>63</v>
      </c>
      <c r="X1860" s="35" t="str">
        <f>MID(Tabla1[[#This Row],[Aplicación]],14,6)</f>
        <v>632</v>
      </c>
    </row>
    <row r="1861" spans="1:24" x14ac:dyDescent="0.25">
      <c r="A1861" s="45">
        <v>220209000789</v>
      </c>
      <c r="B1861" s="46" t="s">
        <v>9</v>
      </c>
      <c r="C1861" s="47">
        <v>44198</v>
      </c>
      <c r="D1861" s="45">
        <v>22021000948</v>
      </c>
      <c r="E1861" s="46" t="s">
        <v>1483</v>
      </c>
      <c r="F1861" s="48">
        <v>11185.94</v>
      </c>
      <c r="G1861" s="46" t="s">
        <v>1941</v>
      </c>
      <c r="H1861" s="46" t="s">
        <v>3165</v>
      </c>
      <c r="I1861" s="45" t="s">
        <v>125</v>
      </c>
      <c r="J1861" s="46" t="s">
        <v>650</v>
      </c>
      <c r="K1861" s="46" t="s">
        <v>127</v>
      </c>
      <c r="L1861" s="46" t="s">
        <v>31</v>
      </c>
      <c r="M1861" s="46" t="s">
        <v>10</v>
      </c>
      <c r="N1861" s="46" t="s">
        <v>11</v>
      </c>
      <c r="O1861" s="49" t="s">
        <v>815</v>
      </c>
      <c r="P1861" s="46" t="s">
        <v>507</v>
      </c>
      <c r="Q1861" s="35" t="str">
        <f>MID(Tabla1[[#This Row],[Aplicación]],14,1)</f>
        <v>6</v>
      </c>
      <c r="R1861" s="35" t="s">
        <v>496</v>
      </c>
      <c r="S1861" s="35" t="str">
        <f>MID(Tabla1[[#This Row],[Aplicación]],6,2)</f>
        <v>03</v>
      </c>
      <c r="T1861" s="35" t="str">
        <f>VLOOKUP(Tabla1[[#This Row],[AREA]],Hoja1!A:B,2,FALSE)</f>
        <v>03. Participación ciudadana y deportes</v>
      </c>
      <c r="U1861" s="35" t="str">
        <f>MID(Tabla1[[#This Row],[Aplicación]],9,4)</f>
        <v>9241</v>
      </c>
      <c r="V1861" s="35" t="str">
        <f>VLOOKUP(Tabla1[[#This Row],[PROGRAMA]],Hoja1!A:B,2,FALSE)</f>
        <v>9241. Participación ciudadana</v>
      </c>
      <c r="W1861" s="35" t="str">
        <f>MID(Tabla1[[#This Row],[Aplicación]],14,2)</f>
        <v>63</v>
      </c>
      <c r="X1861" s="35" t="str">
        <f>MID(Tabla1[[#This Row],[Aplicación]],14,6)</f>
        <v>632</v>
      </c>
    </row>
    <row r="1862" spans="1:24" x14ac:dyDescent="0.25">
      <c r="A1862" s="45">
        <v>220209000714</v>
      </c>
      <c r="B1862" s="46" t="s">
        <v>9</v>
      </c>
      <c r="C1862" s="47">
        <v>44198</v>
      </c>
      <c r="D1862" s="45">
        <v>22021000451</v>
      </c>
      <c r="E1862" s="46" t="s">
        <v>2834</v>
      </c>
      <c r="F1862" s="48">
        <v>11197.23</v>
      </c>
      <c r="G1862" s="46" t="s">
        <v>101</v>
      </c>
      <c r="H1862" s="46" t="s">
        <v>3166</v>
      </c>
      <c r="I1862" s="45" t="s">
        <v>125</v>
      </c>
      <c r="J1862" s="46" t="s">
        <v>127</v>
      </c>
      <c r="K1862" s="46" t="s">
        <v>127</v>
      </c>
      <c r="L1862" s="46" t="s">
        <v>12</v>
      </c>
      <c r="M1862" s="46" t="s">
        <v>13</v>
      </c>
      <c r="N1862" s="46" t="s">
        <v>14</v>
      </c>
      <c r="O1862" s="49" t="s">
        <v>803</v>
      </c>
      <c r="P1862" s="46" t="s">
        <v>507</v>
      </c>
      <c r="Q1862" s="35" t="str">
        <f>MID(Tabla1[[#This Row],[Aplicación]],14,1)</f>
        <v>2</v>
      </c>
      <c r="R1862" s="35" t="s">
        <v>495</v>
      </c>
      <c r="S1862" s="35" t="str">
        <f>MID(Tabla1[[#This Row],[Aplicación]],6,2)</f>
        <v>10</v>
      </c>
      <c r="T1862" s="35" t="str">
        <f>VLOOKUP(Tabla1[[#This Row],[AREA]],Hoja1!A:B,2,FALSE)</f>
        <v>10. Servicios sociales y mediación comunitaria</v>
      </c>
      <c r="U1862" s="35" t="str">
        <f>MID(Tabla1[[#This Row],[Aplicación]],9,4)</f>
        <v>2412</v>
      </c>
      <c r="V1862" s="35" t="str">
        <f>VLOOKUP(Tabla1[[#This Row],[PROGRAMA]],Hoja1!A:B,2,FALSE)</f>
        <v>2412. Formación para el empleo</v>
      </c>
      <c r="W1862" s="35" t="str">
        <f>MID(Tabla1[[#This Row],[Aplicación]],14,2)</f>
        <v>22</v>
      </c>
      <c r="X1862" s="35" t="str">
        <f>MID(Tabla1[[#This Row],[Aplicación]],14,6)</f>
        <v>22700</v>
      </c>
    </row>
    <row r="1863" spans="1:24" x14ac:dyDescent="0.25">
      <c r="A1863" s="45">
        <v>220209000710</v>
      </c>
      <c r="B1863" s="46" t="s">
        <v>9</v>
      </c>
      <c r="C1863" s="47">
        <v>44198</v>
      </c>
      <c r="D1863" s="45">
        <v>22021000447</v>
      </c>
      <c r="E1863" s="46" t="s">
        <v>2026</v>
      </c>
      <c r="F1863" s="48">
        <v>11325.38</v>
      </c>
      <c r="G1863" s="46" t="s">
        <v>56</v>
      </c>
      <c r="H1863" s="46" t="s">
        <v>3167</v>
      </c>
      <c r="I1863" s="45" t="s">
        <v>125</v>
      </c>
      <c r="J1863" s="46" t="s">
        <v>127</v>
      </c>
      <c r="K1863" s="46" t="s">
        <v>127</v>
      </c>
      <c r="L1863" s="46" t="s">
        <v>12</v>
      </c>
      <c r="M1863" s="46" t="s">
        <v>13</v>
      </c>
      <c r="N1863" s="46" t="s">
        <v>14</v>
      </c>
      <c r="O1863" s="49" t="s">
        <v>803</v>
      </c>
      <c r="P1863" s="46" t="s">
        <v>507</v>
      </c>
      <c r="Q1863" s="35" t="str">
        <f>MID(Tabla1[[#This Row],[Aplicación]],14,1)</f>
        <v>2</v>
      </c>
      <c r="R1863" s="35" t="s">
        <v>495</v>
      </c>
      <c r="S1863" s="35" t="str">
        <f>MID(Tabla1[[#This Row],[Aplicación]],6,2)</f>
        <v>10</v>
      </c>
      <c r="T1863" s="35" t="str">
        <f>VLOOKUP(Tabla1[[#This Row],[AREA]],Hoja1!A:B,2,FALSE)</f>
        <v>10. Servicios sociales y mediación comunitaria</v>
      </c>
      <c r="U1863" s="35" t="str">
        <f>MID(Tabla1[[#This Row],[Aplicación]],9,4)</f>
        <v>2412</v>
      </c>
      <c r="V1863" s="35" t="str">
        <f>VLOOKUP(Tabla1[[#This Row],[PROGRAMA]],Hoja1!A:B,2,FALSE)</f>
        <v>2412. Formación para el empleo</v>
      </c>
      <c r="W1863" s="35" t="str">
        <f>MID(Tabla1[[#This Row],[Aplicación]],14,2)</f>
        <v>22</v>
      </c>
      <c r="X1863" s="35" t="str">
        <f>MID(Tabla1[[#This Row],[Aplicación]],14,6)</f>
        <v>22799</v>
      </c>
    </row>
    <row r="1864" spans="1:24" x14ac:dyDescent="0.25">
      <c r="A1864" s="45">
        <v>220210006446</v>
      </c>
      <c r="B1864" s="46" t="s">
        <v>9</v>
      </c>
      <c r="C1864" s="47">
        <v>44252</v>
      </c>
      <c r="D1864" s="45">
        <v>22021001205</v>
      </c>
      <c r="E1864" s="46" t="s">
        <v>1457</v>
      </c>
      <c r="F1864" s="48">
        <v>11674.08</v>
      </c>
      <c r="G1864" s="46" t="s">
        <v>74</v>
      </c>
      <c r="H1864" s="46" t="s">
        <v>3169</v>
      </c>
      <c r="I1864" s="45" t="s">
        <v>125</v>
      </c>
      <c r="J1864" s="46" t="s">
        <v>127</v>
      </c>
      <c r="K1864" s="46" t="s">
        <v>127</v>
      </c>
      <c r="L1864" s="46" t="s">
        <v>12</v>
      </c>
      <c r="M1864" s="46" t="s">
        <v>10</v>
      </c>
      <c r="N1864" s="46" t="s">
        <v>11</v>
      </c>
      <c r="O1864" s="49" t="s">
        <v>815</v>
      </c>
      <c r="P1864" s="46" t="s">
        <v>507</v>
      </c>
      <c r="Q1864" s="35" t="str">
        <f>MID(Tabla1[[#This Row],[Aplicación]],14,1)</f>
        <v>2</v>
      </c>
      <c r="R1864" s="35" t="s">
        <v>495</v>
      </c>
      <c r="S1864" s="35" t="str">
        <f>MID(Tabla1[[#This Row],[Aplicación]],6,2)</f>
        <v>04</v>
      </c>
      <c r="T1864" s="35" t="str">
        <f>VLOOKUP(Tabla1[[#This Row],[AREA]],Hoja1!A:B,2,FALSE)</f>
        <v>04. Planificación y recursos</v>
      </c>
      <c r="U1864" s="35" t="str">
        <f>MID(Tabla1[[#This Row],[Aplicación]],9,4)</f>
        <v>9321</v>
      </c>
      <c r="V1864" s="35" t="str">
        <f>VLOOKUP(Tabla1[[#This Row],[PROGRAMA]],Hoja1!A:B,2,FALSE)</f>
        <v>9321. Gestión de ingresos e inspección</v>
      </c>
      <c r="W1864" s="35" t="str">
        <f>MID(Tabla1[[#This Row],[Aplicación]],14,2)</f>
        <v>22</v>
      </c>
      <c r="X1864" s="35" t="str">
        <f>MID(Tabla1[[#This Row],[Aplicación]],14,6)</f>
        <v>22799</v>
      </c>
    </row>
    <row r="1865" spans="1:24" x14ac:dyDescent="0.25">
      <c r="A1865" s="45">
        <v>220210006158</v>
      </c>
      <c r="B1865" s="46" t="s">
        <v>9</v>
      </c>
      <c r="C1865" s="47">
        <v>44252</v>
      </c>
      <c r="D1865" s="45">
        <v>22021002518</v>
      </c>
      <c r="E1865" s="46" t="s">
        <v>1187</v>
      </c>
      <c r="F1865" s="48">
        <v>11979</v>
      </c>
      <c r="G1865" s="46" t="s">
        <v>79</v>
      </c>
      <c r="H1865" s="46" t="s">
        <v>3170</v>
      </c>
      <c r="I1865" s="45" t="s">
        <v>125</v>
      </c>
      <c r="J1865" s="46" t="s">
        <v>127</v>
      </c>
      <c r="K1865" s="46" t="s">
        <v>127</v>
      </c>
      <c r="L1865" s="46" t="s">
        <v>12</v>
      </c>
      <c r="M1865" s="46" t="s">
        <v>10</v>
      </c>
      <c r="N1865" s="46" t="s">
        <v>11</v>
      </c>
      <c r="O1865" s="49" t="s">
        <v>815</v>
      </c>
      <c r="P1865" s="46" t="s">
        <v>507</v>
      </c>
      <c r="Q1865" s="35" t="str">
        <f>MID(Tabla1[[#This Row],[Aplicación]],14,1)</f>
        <v>2</v>
      </c>
      <c r="R1865" s="35" t="s">
        <v>495</v>
      </c>
      <c r="S1865" s="35" t="str">
        <f>MID(Tabla1[[#This Row],[Aplicación]],6,2)</f>
        <v>06</v>
      </c>
      <c r="T1865" s="35" t="str">
        <f>VLOOKUP(Tabla1[[#This Row],[AREA]],Hoja1!A:B,2,FALSE)</f>
        <v>06. Educación, infancia, juventud e igualdad</v>
      </c>
      <c r="U1865" s="35" t="str">
        <f>MID(Tabla1[[#This Row],[Aplicación]],9,4)</f>
        <v>2315</v>
      </c>
      <c r="V1865" s="35" t="str">
        <f>VLOOKUP(Tabla1[[#This Row],[PROGRAMA]],Hoja1!A:B,2,FALSE)</f>
        <v>2315. Políticas de Igualdad e infancia</v>
      </c>
      <c r="W1865" s="35" t="str">
        <f>MID(Tabla1[[#This Row],[Aplicación]],14,2)</f>
        <v>22</v>
      </c>
      <c r="X1865" s="35" t="str">
        <f>MID(Tabla1[[#This Row],[Aplicación]],14,6)</f>
        <v>22611</v>
      </c>
    </row>
    <row r="1866" spans="1:24" x14ac:dyDescent="0.25">
      <c r="A1866" s="45">
        <v>220209000570</v>
      </c>
      <c r="B1866" s="46" t="s">
        <v>9</v>
      </c>
      <c r="C1866" s="47">
        <v>44198</v>
      </c>
      <c r="D1866" s="45">
        <v>22021000595</v>
      </c>
      <c r="E1866" s="46" t="s">
        <v>2636</v>
      </c>
      <c r="F1866" s="48">
        <v>12000</v>
      </c>
      <c r="G1866" s="46" t="s">
        <v>3171</v>
      </c>
      <c r="H1866" s="46" t="s">
        <v>3172</v>
      </c>
      <c r="I1866" s="45" t="s">
        <v>125</v>
      </c>
      <c r="J1866" s="46" t="s">
        <v>146</v>
      </c>
      <c r="K1866" s="46" t="s">
        <v>146</v>
      </c>
      <c r="L1866" s="46" t="s">
        <v>12</v>
      </c>
      <c r="M1866" s="46" t="s">
        <v>10</v>
      </c>
      <c r="N1866" s="46" t="s">
        <v>11</v>
      </c>
      <c r="O1866" s="49" t="s">
        <v>815</v>
      </c>
      <c r="P1866" s="46" t="s">
        <v>507</v>
      </c>
      <c r="Q1866" s="35" t="str">
        <f>MID(Tabla1[[#This Row],[Aplicación]],14,1)</f>
        <v>2</v>
      </c>
      <c r="R1866" s="35" t="s">
        <v>495</v>
      </c>
      <c r="S1866" s="35" t="str">
        <f>MID(Tabla1[[#This Row],[Aplicación]],6,2)</f>
        <v>07</v>
      </c>
      <c r="T1866" s="35" t="str">
        <f>VLOOKUP(Tabla1[[#This Row],[AREA]],Hoja1!A:B,2,FALSE)</f>
        <v>07. Medio ambiente y desarrollo sostenible</v>
      </c>
      <c r="U1866" s="35" t="str">
        <f>MID(Tabla1[[#This Row],[Aplicación]],9,4)</f>
        <v>1721</v>
      </c>
      <c r="V1866" s="35" t="str">
        <f>VLOOKUP(Tabla1[[#This Row],[PROGRAMA]],Hoja1!A:B,2,FALSE)</f>
        <v>1721. Protección del medio ambiente</v>
      </c>
      <c r="W1866" s="35" t="str">
        <f>MID(Tabla1[[#This Row],[Aplicación]],14,2)</f>
        <v>22</v>
      </c>
      <c r="X1866" s="35" t="str">
        <f>MID(Tabla1[[#This Row],[Aplicación]],14,6)</f>
        <v>22706</v>
      </c>
    </row>
    <row r="1867" spans="1:24" x14ac:dyDescent="0.25">
      <c r="A1867" s="45">
        <v>220210010648</v>
      </c>
      <c r="B1867" s="46" t="s">
        <v>9</v>
      </c>
      <c r="C1867" s="47">
        <v>44278</v>
      </c>
      <c r="D1867" s="45">
        <v>22021002969</v>
      </c>
      <c r="E1867" s="46" t="s">
        <v>1382</v>
      </c>
      <c r="F1867" s="48">
        <v>122.7</v>
      </c>
      <c r="G1867" s="46" t="s">
        <v>1383</v>
      </c>
      <c r="H1867" s="46" t="s">
        <v>3173</v>
      </c>
      <c r="I1867" s="45" t="s">
        <v>125</v>
      </c>
      <c r="J1867" s="46" t="s">
        <v>126</v>
      </c>
      <c r="K1867" s="46" t="s">
        <v>126</v>
      </c>
      <c r="L1867" s="46" t="s">
        <v>15</v>
      </c>
      <c r="M1867" s="46" t="s">
        <v>10</v>
      </c>
      <c r="N1867" s="46" t="s">
        <v>11</v>
      </c>
      <c r="O1867" s="49" t="s">
        <v>815</v>
      </c>
      <c r="P1867" s="46" t="s">
        <v>507</v>
      </c>
      <c r="Q1867" s="35" t="str">
        <f>MID(Tabla1[[#This Row],[Aplicación]],14,1)</f>
        <v>2</v>
      </c>
      <c r="R1867" s="35" t="s">
        <v>495</v>
      </c>
      <c r="S1867" s="35" t="str">
        <f>MID(Tabla1[[#This Row],[Aplicación]],6,2)</f>
        <v>11</v>
      </c>
      <c r="T1867" s="35" t="str">
        <f>VLOOKUP(Tabla1[[#This Row],[AREA]],Hoja1!A:B,2,FALSE)</f>
        <v>11. Salud pública y seguridad ciudadana</v>
      </c>
      <c r="U1867" s="35" t="str">
        <f>MID(Tabla1[[#This Row],[Aplicación]],9,4)</f>
        <v>1631</v>
      </c>
      <c r="V1867" s="35" t="str">
        <f>VLOOKUP(Tabla1[[#This Row],[PROGRAMA]],Hoja1!A:B,2,FALSE)</f>
        <v>1631. Limpieza viaria</v>
      </c>
      <c r="W1867" s="35" t="str">
        <f>MID(Tabla1[[#This Row],[Aplicación]],14,2)</f>
        <v>21</v>
      </c>
      <c r="X1867" s="35" t="str">
        <f>MID(Tabla1[[#This Row],[Aplicación]],14,6)</f>
        <v>214</v>
      </c>
    </row>
    <row r="1868" spans="1:24" x14ac:dyDescent="0.25">
      <c r="A1868" s="45">
        <v>220210005454</v>
      </c>
      <c r="B1868" s="46" t="s">
        <v>9</v>
      </c>
      <c r="C1868" s="47">
        <v>44250</v>
      </c>
      <c r="D1868" s="45">
        <v>22021000780</v>
      </c>
      <c r="E1868" s="46" t="s">
        <v>890</v>
      </c>
      <c r="F1868" s="48">
        <v>12000</v>
      </c>
      <c r="G1868" s="46" t="s">
        <v>114</v>
      </c>
      <c r="H1868" s="46" t="s">
        <v>3174</v>
      </c>
      <c r="I1868" s="45" t="s">
        <v>125</v>
      </c>
      <c r="J1868" s="46" t="s">
        <v>649</v>
      </c>
      <c r="K1868" s="46" t="s">
        <v>219</v>
      </c>
      <c r="L1868" s="46" t="s">
        <v>15</v>
      </c>
      <c r="M1868" s="46" t="s">
        <v>10</v>
      </c>
      <c r="N1868" s="46" t="s">
        <v>11</v>
      </c>
      <c r="O1868" s="49" t="s">
        <v>815</v>
      </c>
      <c r="P1868" s="46" t="s">
        <v>507</v>
      </c>
      <c r="Q1868" s="35" t="str">
        <f>MID(Tabla1[[#This Row],[Aplicación]],14,1)</f>
        <v>2</v>
      </c>
      <c r="R1868" s="35" t="s">
        <v>495</v>
      </c>
      <c r="S1868" s="35" t="str">
        <f>MID(Tabla1[[#This Row],[Aplicación]],6,2)</f>
        <v>11</v>
      </c>
      <c r="T1868" s="35" t="str">
        <f>VLOOKUP(Tabla1[[#This Row],[AREA]],Hoja1!A:B,2,FALSE)</f>
        <v>11. Salud pública y seguridad ciudadana</v>
      </c>
      <c r="U1868" s="35" t="str">
        <f>MID(Tabla1[[#This Row],[Aplicación]],9,4)</f>
        <v>1621</v>
      </c>
      <c r="V1868" s="35" t="str">
        <f>VLOOKUP(Tabla1[[#This Row],[PROGRAMA]],Hoja1!A:B,2,FALSE)</f>
        <v>1621. Servicio de limpieza</v>
      </c>
      <c r="W1868" s="35" t="str">
        <f>MID(Tabla1[[#This Row],[Aplicación]],14,2)</f>
        <v>21</v>
      </c>
      <c r="X1868" s="35" t="str">
        <f>MID(Tabla1[[#This Row],[Aplicación]],14,6)</f>
        <v>214</v>
      </c>
    </row>
    <row r="1869" spans="1:24" x14ac:dyDescent="0.25">
      <c r="A1869" s="45">
        <v>220210006946</v>
      </c>
      <c r="B1869" s="46" t="s">
        <v>9</v>
      </c>
      <c r="C1869" s="47">
        <v>44259</v>
      </c>
      <c r="D1869" s="45">
        <v>22021003046</v>
      </c>
      <c r="E1869" s="46" t="s">
        <v>2973</v>
      </c>
      <c r="F1869" s="48">
        <v>12000</v>
      </c>
      <c r="G1869" s="46" t="s">
        <v>39</v>
      </c>
      <c r="H1869" s="46" t="s">
        <v>3175</v>
      </c>
      <c r="I1869" s="45" t="s">
        <v>125</v>
      </c>
      <c r="J1869" s="46" t="s">
        <v>126</v>
      </c>
      <c r="K1869" s="46" t="s">
        <v>126</v>
      </c>
      <c r="L1869" s="46" t="s">
        <v>15</v>
      </c>
      <c r="M1869" s="46" t="s">
        <v>13</v>
      </c>
      <c r="N1869" s="46" t="s">
        <v>14</v>
      </c>
      <c r="O1869" s="49" t="s">
        <v>803</v>
      </c>
      <c r="P1869" s="46" t="s">
        <v>507</v>
      </c>
      <c r="Q1869" s="35" t="str">
        <f>MID(Tabla1[[#This Row],[Aplicación]],14,1)</f>
        <v>2</v>
      </c>
      <c r="R1869" s="35" t="s">
        <v>495</v>
      </c>
      <c r="S1869" s="35" t="str">
        <f>MID(Tabla1[[#This Row],[Aplicación]],6,2)</f>
        <v>02</v>
      </c>
      <c r="T1869" s="35" t="str">
        <f>VLOOKUP(Tabla1[[#This Row],[AREA]],Hoja1!A:B,2,FALSE)</f>
        <v>02. Planeamiento urbanístico y vivienda</v>
      </c>
      <c r="U1869" s="35" t="str">
        <f>MID(Tabla1[[#This Row],[Aplicación]],9,4)</f>
        <v>9332</v>
      </c>
      <c r="V1869" s="35" t="str">
        <f>VLOOKUP(Tabla1[[#This Row],[PROGRAMA]],Hoja1!A:B,2,FALSE)</f>
        <v>9332. Mantenimiento de edificios e instalaciones municipales</v>
      </c>
      <c r="W1869" s="35" t="str">
        <f>MID(Tabla1[[#This Row],[Aplicación]],14,2)</f>
        <v>22</v>
      </c>
      <c r="X1869" s="35" t="str">
        <f>MID(Tabla1[[#This Row],[Aplicación]],14,6)</f>
        <v>22103</v>
      </c>
    </row>
    <row r="1870" spans="1:24" x14ac:dyDescent="0.25">
      <c r="A1870" s="45">
        <v>220210010677</v>
      </c>
      <c r="B1870" s="46" t="s">
        <v>9</v>
      </c>
      <c r="C1870" s="47">
        <v>44278</v>
      </c>
      <c r="D1870" s="45">
        <v>22021003556</v>
      </c>
      <c r="E1870" s="46" t="s">
        <v>1336</v>
      </c>
      <c r="F1870" s="48">
        <v>500</v>
      </c>
      <c r="G1870" s="46" t="s">
        <v>3176</v>
      </c>
      <c r="H1870" s="46" t="s">
        <v>3177</v>
      </c>
      <c r="I1870" s="45" t="s">
        <v>125</v>
      </c>
      <c r="J1870" s="46" t="s">
        <v>127</v>
      </c>
      <c r="K1870" s="46" t="s">
        <v>127</v>
      </c>
      <c r="L1870" s="46" t="s">
        <v>12</v>
      </c>
      <c r="M1870" s="46" t="s">
        <v>10</v>
      </c>
      <c r="N1870" s="46" t="s">
        <v>11</v>
      </c>
      <c r="O1870" s="49" t="s">
        <v>815</v>
      </c>
      <c r="P1870" s="46" t="s">
        <v>507</v>
      </c>
      <c r="Q1870" s="35" t="str">
        <f>MID(Tabla1[[#This Row],[Aplicación]],14,1)</f>
        <v>2</v>
      </c>
      <c r="R1870" s="35" t="s">
        <v>495</v>
      </c>
      <c r="S1870" s="35" t="str">
        <f>MID(Tabla1[[#This Row],[Aplicación]],6,2)</f>
        <v>02</v>
      </c>
      <c r="T1870" s="35" t="str">
        <f>VLOOKUP(Tabla1[[#This Row],[AREA]],Hoja1!A:B,2,FALSE)</f>
        <v>02. Planeamiento urbanístico y vivienda</v>
      </c>
      <c r="U1870" s="35" t="str">
        <f>MID(Tabla1[[#This Row],[Aplicación]],9,4)</f>
        <v>9332</v>
      </c>
      <c r="V1870" s="35" t="str">
        <f>VLOOKUP(Tabla1[[#This Row],[PROGRAMA]],Hoja1!A:B,2,FALSE)</f>
        <v>9332. Mantenimiento de edificios e instalaciones municipales</v>
      </c>
      <c r="W1870" s="35" t="str">
        <f>MID(Tabla1[[#This Row],[Aplicación]],14,2)</f>
        <v>21</v>
      </c>
      <c r="X1870" s="35" t="str">
        <f>MID(Tabla1[[#This Row],[Aplicación]],14,6)</f>
        <v>212</v>
      </c>
    </row>
    <row r="1871" spans="1:24" x14ac:dyDescent="0.25">
      <c r="A1871" s="45">
        <v>220209000113</v>
      </c>
      <c r="B1871" s="46" t="s">
        <v>9</v>
      </c>
      <c r="C1871" s="47">
        <v>44198</v>
      </c>
      <c r="D1871" s="45">
        <v>22021000099</v>
      </c>
      <c r="E1871" s="46" t="s">
        <v>3178</v>
      </c>
      <c r="F1871" s="48">
        <v>1233.71</v>
      </c>
      <c r="G1871" s="46" t="s">
        <v>124</v>
      </c>
      <c r="H1871" s="46" t="s">
        <v>3179</v>
      </c>
      <c r="I1871" s="45" t="s">
        <v>125</v>
      </c>
      <c r="J1871" s="46" t="s">
        <v>126</v>
      </c>
      <c r="K1871" s="46" t="s">
        <v>126</v>
      </c>
      <c r="L1871" s="46" t="s">
        <v>12</v>
      </c>
      <c r="M1871" s="46" t="s">
        <v>13</v>
      </c>
      <c r="N1871" s="46" t="s">
        <v>14</v>
      </c>
      <c r="O1871" s="49" t="s">
        <v>803</v>
      </c>
      <c r="P1871" s="46" t="s">
        <v>507</v>
      </c>
      <c r="Q1871" s="35" t="str">
        <f>MID(Tabla1[[#This Row],[Aplicación]],14,1)</f>
        <v>2</v>
      </c>
      <c r="R1871" s="35" t="s">
        <v>495</v>
      </c>
      <c r="S1871" s="35" t="str">
        <f>MID(Tabla1[[#This Row],[Aplicación]],6,2)</f>
        <v>10</v>
      </c>
      <c r="T1871" s="35" t="str">
        <f>VLOOKUP(Tabla1[[#This Row],[AREA]],Hoja1!A:B,2,FALSE)</f>
        <v>10. Servicios sociales y mediación comunitaria</v>
      </c>
      <c r="U1871" s="35" t="str">
        <f>MID(Tabla1[[#This Row],[Aplicación]],9,4)</f>
        <v>2412</v>
      </c>
      <c r="V1871" s="35" t="str">
        <f>VLOOKUP(Tabla1[[#This Row],[PROGRAMA]],Hoja1!A:B,2,FALSE)</f>
        <v>2412. Formación para el empleo</v>
      </c>
      <c r="W1871" s="35" t="str">
        <f>MID(Tabla1[[#This Row],[Aplicación]],14,2)</f>
        <v>22</v>
      </c>
      <c r="X1871" s="35" t="str">
        <f>MID(Tabla1[[#This Row],[Aplicación]],14,6)</f>
        <v>22200</v>
      </c>
    </row>
    <row r="1872" spans="1:24" x14ac:dyDescent="0.25">
      <c r="A1872" s="45">
        <v>220209000114</v>
      </c>
      <c r="B1872" s="46" t="s">
        <v>9</v>
      </c>
      <c r="C1872" s="47">
        <v>44198</v>
      </c>
      <c r="D1872" s="45">
        <v>22021000100</v>
      </c>
      <c r="E1872" s="46" t="s">
        <v>3180</v>
      </c>
      <c r="F1872" s="48">
        <v>20561.900000000001</v>
      </c>
      <c r="G1872" s="46" t="s">
        <v>124</v>
      </c>
      <c r="H1872" s="46" t="s">
        <v>3181</v>
      </c>
      <c r="I1872" s="45" t="s">
        <v>125</v>
      </c>
      <c r="J1872" s="46" t="s">
        <v>126</v>
      </c>
      <c r="K1872" s="46" t="s">
        <v>126</v>
      </c>
      <c r="L1872" s="46" t="s">
        <v>12</v>
      </c>
      <c r="M1872" s="46" t="s">
        <v>13</v>
      </c>
      <c r="N1872" s="46" t="s">
        <v>14</v>
      </c>
      <c r="O1872" s="49" t="s">
        <v>803</v>
      </c>
      <c r="P1872" s="46" t="s">
        <v>507</v>
      </c>
      <c r="Q1872" s="35" t="str">
        <f>MID(Tabla1[[#This Row],[Aplicación]],14,1)</f>
        <v>2</v>
      </c>
      <c r="R1872" s="35" t="s">
        <v>495</v>
      </c>
      <c r="S1872" s="35" t="str">
        <f>MID(Tabla1[[#This Row],[Aplicación]],6,2)</f>
        <v>03</v>
      </c>
      <c r="T1872" s="35" t="str">
        <f>VLOOKUP(Tabla1[[#This Row],[AREA]],Hoja1!A:B,2,FALSE)</f>
        <v>03. Participación ciudadana y deportes</v>
      </c>
      <c r="U1872" s="35" t="str">
        <f>MID(Tabla1[[#This Row],[Aplicación]],9,4)</f>
        <v>9241</v>
      </c>
      <c r="V1872" s="35" t="str">
        <f>VLOOKUP(Tabla1[[#This Row],[PROGRAMA]],Hoja1!A:B,2,FALSE)</f>
        <v>9241. Participación ciudadana</v>
      </c>
      <c r="W1872" s="35" t="str">
        <f>MID(Tabla1[[#This Row],[Aplicación]],14,2)</f>
        <v>22</v>
      </c>
      <c r="X1872" s="35" t="str">
        <f>MID(Tabla1[[#This Row],[Aplicación]],14,6)</f>
        <v>22200</v>
      </c>
    </row>
    <row r="1873" spans="1:24" x14ac:dyDescent="0.25">
      <c r="A1873" s="45">
        <v>220210010759</v>
      </c>
      <c r="B1873" s="46" t="s">
        <v>204</v>
      </c>
      <c r="C1873" s="47">
        <v>44278</v>
      </c>
      <c r="D1873" s="45">
        <v>22021002059</v>
      </c>
      <c r="E1873" s="46" t="s">
        <v>1183</v>
      </c>
      <c r="F1873" s="48">
        <v>160.13999999999999</v>
      </c>
      <c r="G1873" s="46" t="s">
        <v>236</v>
      </c>
      <c r="H1873" s="46" t="s">
        <v>3182</v>
      </c>
      <c r="I1873" s="45" t="s">
        <v>205</v>
      </c>
      <c r="J1873" s="46" t="s">
        <v>127</v>
      </c>
      <c r="K1873" s="46" t="s">
        <v>127</v>
      </c>
      <c r="L1873" s="46" t="s">
        <v>15</v>
      </c>
      <c r="M1873" s="46" t="s">
        <v>13</v>
      </c>
      <c r="N1873" s="46" t="s">
        <v>14</v>
      </c>
      <c r="O1873" s="49" t="s">
        <v>814</v>
      </c>
      <c r="P1873" s="46" t="s">
        <v>507</v>
      </c>
      <c r="Q1873" s="35" t="str">
        <f>MID(Tabla1[[#This Row],[Aplicación]],14,1)</f>
        <v>2</v>
      </c>
      <c r="R1873" s="35" t="s">
        <v>495</v>
      </c>
      <c r="S1873" s="35" t="str">
        <f>MID(Tabla1[[#This Row],[Aplicación]],6,2)</f>
        <v>11</v>
      </c>
      <c r="T1873" s="35" t="str">
        <f>VLOOKUP(Tabla1[[#This Row],[AREA]],Hoja1!A:B,2,FALSE)</f>
        <v>11. Salud pública y seguridad ciudadana</v>
      </c>
      <c r="U1873" s="35" t="str">
        <f>MID(Tabla1[[#This Row],[Aplicación]],9,4)</f>
        <v>1361</v>
      </c>
      <c r="V1873" s="35" t="str">
        <f>VLOOKUP(Tabla1[[#This Row],[PROGRAMA]],Hoja1!A:B,2,FALSE)</f>
        <v>1361. Prevención y extinción de incencios</v>
      </c>
      <c r="W1873" s="35" t="str">
        <f>MID(Tabla1[[#This Row],[Aplicación]],14,2)</f>
        <v>22</v>
      </c>
      <c r="X1873" s="35" t="str">
        <f>MID(Tabla1[[#This Row],[Aplicación]],14,6)</f>
        <v>22199</v>
      </c>
    </row>
    <row r="1874" spans="1:24" x14ac:dyDescent="0.25">
      <c r="A1874" s="45">
        <v>220210010761</v>
      </c>
      <c r="B1874" s="46" t="s">
        <v>204</v>
      </c>
      <c r="C1874" s="47">
        <v>44278</v>
      </c>
      <c r="D1874" s="45">
        <v>22021002059</v>
      </c>
      <c r="E1874" s="46" t="s">
        <v>1183</v>
      </c>
      <c r="F1874" s="48">
        <v>4.03</v>
      </c>
      <c r="G1874" s="46" t="s">
        <v>102</v>
      </c>
      <c r="H1874" s="46" t="s">
        <v>3183</v>
      </c>
      <c r="I1874" s="45" t="s">
        <v>205</v>
      </c>
      <c r="J1874" s="46" t="s">
        <v>127</v>
      </c>
      <c r="K1874" s="46" t="s">
        <v>127</v>
      </c>
      <c r="L1874" s="46" t="s">
        <v>15</v>
      </c>
      <c r="M1874" s="46" t="s">
        <v>13</v>
      </c>
      <c r="N1874" s="46" t="s">
        <v>14</v>
      </c>
      <c r="O1874" s="49" t="s">
        <v>814</v>
      </c>
      <c r="P1874" s="46" t="s">
        <v>507</v>
      </c>
      <c r="Q1874" s="35" t="str">
        <f>MID(Tabla1[[#This Row],[Aplicación]],14,1)</f>
        <v>2</v>
      </c>
      <c r="R1874" s="35" t="s">
        <v>495</v>
      </c>
      <c r="S1874" s="35" t="str">
        <f>MID(Tabla1[[#This Row],[Aplicación]],6,2)</f>
        <v>11</v>
      </c>
      <c r="T1874" s="35" t="str">
        <f>VLOOKUP(Tabla1[[#This Row],[AREA]],Hoja1!A:B,2,FALSE)</f>
        <v>11. Salud pública y seguridad ciudadana</v>
      </c>
      <c r="U1874" s="35" t="str">
        <f>MID(Tabla1[[#This Row],[Aplicación]],9,4)</f>
        <v>1361</v>
      </c>
      <c r="V1874" s="35" t="str">
        <f>VLOOKUP(Tabla1[[#This Row],[PROGRAMA]],Hoja1!A:B,2,FALSE)</f>
        <v>1361. Prevención y extinción de incencios</v>
      </c>
      <c r="W1874" s="35" t="str">
        <f>MID(Tabla1[[#This Row],[Aplicación]],14,2)</f>
        <v>22</v>
      </c>
      <c r="X1874" s="35" t="str">
        <f>MID(Tabla1[[#This Row],[Aplicación]],14,6)</f>
        <v>22199</v>
      </c>
    </row>
    <row r="1875" spans="1:24" x14ac:dyDescent="0.25">
      <c r="A1875" s="45">
        <v>220210010763</v>
      </c>
      <c r="B1875" s="46" t="s">
        <v>204</v>
      </c>
      <c r="C1875" s="47">
        <v>44278</v>
      </c>
      <c r="D1875" s="45">
        <v>22021002059</v>
      </c>
      <c r="E1875" s="46" t="s">
        <v>1183</v>
      </c>
      <c r="F1875" s="48">
        <v>152.11000000000001</v>
      </c>
      <c r="G1875" s="46" t="s">
        <v>246</v>
      </c>
      <c r="H1875" s="46" t="s">
        <v>3184</v>
      </c>
      <c r="I1875" s="45" t="s">
        <v>205</v>
      </c>
      <c r="J1875" s="46" t="s">
        <v>127</v>
      </c>
      <c r="K1875" s="46" t="s">
        <v>127</v>
      </c>
      <c r="L1875" s="46" t="s">
        <v>15</v>
      </c>
      <c r="M1875" s="46" t="s">
        <v>13</v>
      </c>
      <c r="N1875" s="46" t="s">
        <v>14</v>
      </c>
      <c r="O1875" s="49" t="s">
        <v>814</v>
      </c>
      <c r="P1875" s="46" t="s">
        <v>507</v>
      </c>
      <c r="Q1875" s="35" t="str">
        <f>MID(Tabla1[[#This Row],[Aplicación]],14,1)</f>
        <v>2</v>
      </c>
      <c r="R1875" s="35" t="s">
        <v>495</v>
      </c>
      <c r="S1875" s="35" t="str">
        <f>MID(Tabla1[[#This Row],[Aplicación]],6,2)</f>
        <v>11</v>
      </c>
      <c r="T1875" s="35" t="str">
        <f>VLOOKUP(Tabla1[[#This Row],[AREA]],Hoja1!A:B,2,FALSE)</f>
        <v>11. Salud pública y seguridad ciudadana</v>
      </c>
      <c r="U1875" s="35" t="str">
        <f>MID(Tabla1[[#This Row],[Aplicación]],9,4)</f>
        <v>1361</v>
      </c>
      <c r="V1875" s="35" t="str">
        <f>VLOOKUP(Tabla1[[#This Row],[PROGRAMA]],Hoja1!A:B,2,FALSE)</f>
        <v>1361. Prevención y extinción de incencios</v>
      </c>
      <c r="W1875" s="35" t="str">
        <f>MID(Tabla1[[#This Row],[Aplicación]],14,2)</f>
        <v>22</v>
      </c>
      <c r="X1875" s="35" t="str">
        <f>MID(Tabla1[[#This Row],[Aplicación]],14,6)</f>
        <v>22199</v>
      </c>
    </row>
    <row r="1876" spans="1:24" x14ac:dyDescent="0.25">
      <c r="A1876" s="45">
        <v>220210010771</v>
      </c>
      <c r="B1876" s="46" t="s">
        <v>204</v>
      </c>
      <c r="C1876" s="47">
        <v>44278</v>
      </c>
      <c r="D1876" s="45">
        <v>22021002059</v>
      </c>
      <c r="E1876" s="46" t="s">
        <v>1183</v>
      </c>
      <c r="F1876" s="48">
        <v>108.88</v>
      </c>
      <c r="G1876" s="46" t="s">
        <v>238</v>
      </c>
      <c r="H1876" s="46" t="s">
        <v>3185</v>
      </c>
      <c r="I1876" s="45" t="s">
        <v>205</v>
      </c>
      <c r="J1876" s="46" t="s">
        <v>127</v>
      </c>
      <c r="K1876" s="46" t="s">
        <v>127</v>
      </c>
      <c r="L1876" s="46" t="s">
        <v>15</v>
      </c>
      <c r="M1876" s="46" t="s">
        <v>13</v>
      </c>
      <c r="N1876" s="46" t="s">
        <v>14</v>
      </c>
      <c r="O1876" s="49" t="s">
        <v>814</v>
      </c>
      <c r="P1876" s="46" t="s">
        <v>507</v>
      </c>
      <c r="Q1876" s="35" t="str">
        <f>MID(Tabla1[[#This Row],[Aplicación]],14,1)</f>
        <v>2</v>
      </c>
      <c r="R1876" s="35" t="s">
        <v>495</v>
      </c>
      <c r="S1876" s="35" t="str">
        <f>MID(Tabla1[[#This Row],[Aplicación]],6,2)</f>
        <v>11</v>
      </c>
      <c r="T1876" s="35" t="str">
        <f>VLOOKUP(Tabla1[[#This Row],[AREA]],Hoja1!A:B,2,FALSE)</f>
        <v>11. Salud pública y seguridad ciudadana</v>
      </c>
      <c r="U1876" s="35" t="str">
        <f>MID(Tabla1[[#This Row],[Aplicación]],9,4)</f>
        <v>1361</v>
      </c>
      <c r="V1876" s="35" t="str">
        <f>VLOOKUP(Tabla1[[#This Row],[PROGRAMA]],Hoja1!A:B,2,FALSE)</f>
        <v>1361. Prevención y extinción de incencios</v>
      </c>
      <c r="W1876" s="35" t="str">
        <f>MID(Tabla1[[#This Row],[Aplicación]],14,2)</f>
        <v>22</v>
      </c>
      <c r="X1876" s="35" t="str">
        <f>MID(Tabla1[[#This Row],[Aplicación]],14,6)</f>
        <v>22199</v>
      </c>
    </row>
    <row r="1877" spans="1:24" x14ac:dyDescent="0.25">
      <c r="A1877" s="45">
        <v>220210010778</v>
      </c>
      <c r="B1877" s="46" t="s">
        <v>204</v>
      </c>
      <c r="C1877" s="47">
        <v>44278</v>
      </c>
      <c r="D1877" s="45">
        <v>22021002048</v>
      </c>
      <c r="E1877" s="46" t="s">
        <v>890</v>
      </c>
      <c r="F1877" s="48">
        <v>116.61</v>
      </c>
      <c r="G1877" s="46" t="s">
        <v>273</v>
      </c>
      <c r="H1877" s="46" t="s">
        <v>3186</v>
      </c>
      <c r="I1877" s="45" t="s">
        <v>205</v>
      </c>
      <c r="J1877" s="46" t="s">
        <v>127</v>
      </c>
      <c r="K1877" s="46" t="s">
        <v>127</v>
      </c>
      <c r="L1877" s="46" t="s">
        <v>15</v>
      </c>
      <c r="M1877" s="46" t="s">
        <v>13</v>
      </c>
      <c r="N1877" s="46" t="s">
        <v>14</v>
      </c>
      <c r="O1877" s="49" t="s">
        <v>814</v>
      </c>
      <c r="P1877" s="46" t="s">
        <v>507</v>
      </c>
      <c r="Q1877" s="35" t="str">
        <f>MID(Tabla1[[#This Row],[Aplicación]],14,1)</f>
        <v>2</v>
      </c>
      <c r="R1877" s="35" t="s">
        <v>495</v>
      </c>
      <c r="S1877" s="35" t="str">
        <f>MID(Tabla1[[#This Row],[Aplicación]],6,2)</f>
        <v>11</v>
      </c>
      <c r="T1877" s="35" t="str">
        <f>VLOOKUP(Tabla1[[#This Row],[AREA]],Hoja1!A:B,2,FALSE)</f>
        <v>11. Salud pública y seguridad ciudadana</v>
      </c>
      <c r="U1877" s="35" t="str">
        <f>MID(Tabla1[[#This Row],[Aplicación]],9,4)</f>
        <v>1621</v>
      </c>
      <c r="V1877" s="35" t="str">
        <f>VLOOKUP(Tabla1[[#This Row],[PROGRAMA]],Hoja1!A:B,2,FALSE)</f>
        <v>1621. Servicio de limpieza</v>
      </c>
      <c r="W1877" s="35" t="str">
        <f>MID(Tabla1[[#This Row],[Aplicación]],14,2)</f>
        <v>21</v>
      </c>
      <c r="X1877" s="35" t="str">
        <f>MID(Tabla1[[#This Row],[Aplicación]],14,6)</f>
        <v>214</v>
      </c>
    </row>
    <row r="1878" spans="1:24" x14ac:dyDescent="0.25">
      <c r="A1878" s="45">
        <v>220210010793</v>
      </c>
      <c r="B1878" s="46" t="s">
        <v>204</v>
      </c>
      <c r="C1878" s="47">
        <v>44278</v>
      </c>
      <c r="D1878" s="45">
        <v>22021002048</v>
      </c>
      <c r="E1878" s="46" t="s">
        <v>890</v>
      </c>
      <c r="F1878" s="48">
        <v>2621.95</v>
      </c>
      <c r="G1878" s="46" t="s">
        <v>269</v>
      </c>
      <c r="H1878" s="46" t="s">
        <v>3187</v>
      </c>
      <c r="I1878" s="45" t="s">
        <v>205</v>
      </c>
      <c r="J1878" s="46" t="s">
        <v>127</v>
      </c>
      <c r="K1878" s="46" t="s">
        <v>127</v>
      </c>
      <c r="L1878" s="46" t="s">
        <v>15</v>
      </c>
      <c r="M1878" s="46" t="s">
        <v>13</v>
      </c>
      <c r="N1878" s="46" t="s">
        <v>14</v>
      </c>
      <c r="O1878" s="49" t="s">
        <v>814</v>
      </c>
      <c r="P1878" s="46" t="s">
        <v>507</v>
      </c>
      <c r="Q1878" s="35" t="str">
        <f>MID(Tabla1[[#This Row],[Aplicación]],14,1)</f>
        <v>2</v>
      </c>
      <c r="R1878" s="35" t="s">
        <v>495</v>
      </c>
      <c r="S1878" s="35" t="str">
        <f>MID(Tabla1[[#This Row],[Aplicación]],6,2)</f>
        <v>11</v>
      </c>
      <c r="T1878" s="35" t="str">
        <f>VLOOKUP(Tabla1[[#This Row],[AREA]],Hoja1!A:B,2,FALSE)</f>
        <v>11. Salud pública y seguridad ciudadana</v>
      </c>
      <c r="U1878" s="35" t="str">
        <f>MID(Tabla1[[#This Row],[Aplicación]],9,4)</f>
        <v>1621</v>
      </c>
      <c r="V1878" s="35" t="str">
        <f>VLOOKUP(Tabla1[[#This Row],[PROGRAMA]],Hoja1!A:B,2,FALSE)</f>
        <v>1621. Servicio de limpieza</v>
      </c>
      <c r="W1878" s="35" t="str">
        <f>MID(Tabla1[[#This Row],[Aplicación]],14,2)</f>
        <v>21</v>
      </c>
      <c r="X1878" s="35" t="str">
        <f>MID(Tabla1[[#This Row],[Aplicación]],14,6)</f>
        <v>214</v>
      </c>
    </row>
    <row r="1879" spans="1:24" x14ac:dyDescent="0.25">
      <c r="A1879" s="45">
        <v>220210010479</v>
      </c>
      <c r="B1879" s="46" t="s">
        <v>204</v>
      </c>
      <c r="C1879" s="47">
        <v>44277</v>
      </c>
      <c r="D1879" s="45">
        <v>22021002089</v>
      </c>
      <c r="E1879" s="46" t="s">
        <v>1220</v>
      </c>
      <c r="F1879" s="48">
        <v>31.16</v>
      </c>
      <c r="G1879" s="46" t="s">
        <v>235</v>
      </c>
      <c r="H1879" s="46" t="s">
        <v>3188</v>
      </c>
      <c r="I1879" s="45" t="s">
        <v>205</v>
      </c>
      <c r="J1879" s="46" t="s">
        <v>742</v>
      </c>
      <c r="K1879" s="46" t="s">
        <v>165</v>
      </c>
      <c r="L1879" s="46" t="s">
        <v>15</v>
      </c>
      <c r="M1879" s="46" t="s">
        <v>13</v>
      </c>
      <c r="N1879" s="46" t="s">
        <v>16</v>
      </c>
      <c r="O1879" s="49" t="s">
        <v>814</v>
      </c>
      <c r="P1879" s="46" t="s">
        <v>507</v>
      </c>
      <c r="Q1879" s="35" t="str">
        <f>MID(Tabla1[[#This Row],[Aplicación]],14,1)</f>
        <v>2</v>
      </c>
      <c r="R1879" s="35" t="s">
        <v>495</v>
      </c>
      <c r="S1879" s="35" t="str">
        <f>MID(Tabla1[[#This Row],[Aplicación]],6,2)</f>
        <v>03</v>
      </c>
      <c r="T1879" s="35" t="str">
        <f>VLOOKUP(Tabla1[[#This Row],[AREA]],Hoja1!A:B,2,FALSE)</f>
        <v>03. Participación ciudadana y deportes</v>
      </c>
      <c r="U1879" s="35" t="str">
        <f>MID(Tabla1[[#This Row],[Aplicación]],9,4)</f>
        <v>9241</v>
      </c>
      <c r="V1879" s="35" t="str">
        <f>VLOOKUP(Tabla1[[#This Row],[PROGRAMA]],Hoja1!A:B,2,FALSE)</f>
        <v>9241. Participación ciudadana</v>
      </c>
      <c r="W1879" s="35" t="str">
        <f>MID(Tabla1[[#This Row],[Aplicación]],14,2)</f>
        <v>21</v>
      </c>
      <c r="X1879" s="35" t="str">
        <f>MID(Tabla1[[#This Row],[Aplicación]],14,6)</f>
        <v>213</v>
      </c>
    </row>
    <row r="1880" spans="1:24" x14ac:dyDescent="0.25">
      <c r="A1880" s="45">
        <v>220210010800</v>
      </c>
      <c r="B1880" s="46" t="s">
        <v>204</v>
      </c>
      <c r="C1880" s="47">
        <v>44278</v>
      </c>
      <c r="D1880" s="45">
        <v>22021002054</v>
      </c>
      <c r="E1880" s="46" t="s">
        <v>1382</v>
      </c>
      <c r="F1880" s="48">
        <v>1309.9100000000001</v>
      </c>
      <c r="G1880" s="46" t="s">
        <v>272</v>
      </c>
      <c r="H1880" s="46" t="s">
        <v>3189</v>
      </c>
      <c r="I1880" s="45" t="s">
        <v>205</v>
      </c>
      <c r="J1880" s="46" t="s">
        <v>127</v>
      </c>
      <c r="K1880" s="46" t="s">
        <v>127</v>
      </c>
      <c r="L1880" s="46" t="s">
        <v>15</v>
      </c>
      <c r="M1880" s="46" t="s">
        <v>13</v>
      </c>
      <c r="N1880" s="46" t="s">
        <v>14</v>
      </c>
      <c r="O1880" s="49" t="s">
        <v>814</v>
      </c>
      <c r="P1880" s="46" t="s">
        <v>507</v>
      </c>
      <c r="Q1880" s="35" t="str">
        <f>MID(Tabla1[[#This Row],[Aplicación]],14,1)</f>
        <v>2</v>
      </c>
      <c r="R1880" s="35" t="s">
        <v>495</v>
      </c>
      <c r="S1880" s="35" t="str">
        <f>MID(Tabla1[[#This Row],[Aplicación]],6,2)</f>
        <v>11</v>
      </c>
      <c r="T1880" s="35" t="str">
        <f>VLOOKUP(Tabla1[[#This Row],[AREA]],Hoja1!A:B,2,FALSE)</f>
        <v>11. Salud pública y seguridad ciudadana</v>
      </c>
      <c r="U1880" s="35" t="str">
        <f>MID(Tabla1[[#This Row],[Aplicación]],9,4)</f>
        <v>1631</v>
      </c>
      <c r="V1880" s="35" t="str">
        <f>VLOOKUP(Tabla1[[#This Row],[PROGRAMA]],Hoja1!A:B,2,FALSE)</f>
        <v>1631. Limpieza viaria</v>
      </c>
      <c r="W1880" s="35" t="str">
        <f>MID(Tabla1[[#This Row],[Aplicación]],14,2)</f>
        <v>21</v>
      </c>
      <c r="X1880" s="35" t="str">
        <f>MID(Tabla1[[#This Row],[Aplicación]],14,6)</f>
        <v>214</v>
      </c>
    </row>
    <row r="1881" spans="1:24" x14ac:dyDescent="0.25">
      <c r="A1881" s="45">
        <v>220210010808</v>
      </c>
      <c r="B1881" s="46" t="s">
        <v>204</v>
      </c>
      <c r="C1881" s="47">
        <v>44278</v>
      </c>
      <c r="D1881" s="45">
        <v>22021002057</v>
      </c>
      <c r="E1881" s="46" t="s">
        <v>1715</v>
      </c>
      <c r="F1881" s="48">
        <v>549.61</v>
      </c>
      <c r="G1881" s="46" t="s">
        <v>272</v>
      </c>
      <c r="H1881" s="46" t="s">
        <v>3190</v>
      </c>
      <c r="I1881" s="45" t="s">
        <v>205</v>
      </c>
      <c r="J1881" s="46" t="s">
        <v>127</v>
      </c>
      <c r="K1881" s="46" t="s">
        <v>127</v>
      </c>
      <c r="L1881" s="46" t="s">
        <v>15</v>
      </c>
      <c r="M1881" s="46" t="s">
        <v>13</v>
      </c>
      <c r="N1881" s="46" t="s">
        <v>14</v>
      </c>
      <c r="O1881" s="49" t="s">
        <v>814</v>
      </c>
      <c r="P1881" s="46" t="s">
        <v>507</v>
      </c>
      <c r="Q1881" s="35" t="str">
        <f>MID(Tabla1[[#This Row],[Aplicación]],14,1)</f>
        <v>2</v>
      </c>
      <c r="R1881" s="35" t="s">
        <v>495</v>
      </c>
      <c r="S1881" s="35" t="str">
        <f>MID(Tabla1[[#This Row],[Aplicación]],6,2)</f>
        <v>11</v>
      </c>
      <c r="T1881" s="35" t="str">
        <f>VLOOKUP(Tabla1[[#This Row],[AREA]],Hoja1!A:B,2,FALSE)</f>
        <v>11. Salud pública y seguridad ciudadana</v>
      </c>
      <c r="U1881" s="35" t="str">
        <f>MID(Tabla1[[#This Row],[Aplicación]],9,4)</f>
        <v>1631</v>
      </c>
      <c r="V1881" s="35" t="str">
        <f>VLOOKUP(Tabla1[[#This Row],[PROGRAMA]],Hoja1!A:B,2,FALSE)</f>
        <v>1631. Limpieza viaria</v>
      </c>
      <c r="W1881" s="35" t="str">
        <f>MID(Tabla1[[#This Row],[Aplicación]],14,2)</f>
        <v>22</v>
      </c>
      <c r="X1881" s="35" t="str">
        <f>MID(Tabla1[[#This Row],[Aplicación]],14,6)</f>
        <v>22199</v>
      </c>
    </row>
    <row r="1882" spans="1:24" x14ac:dyDescent="0.25">
      <c r="A1882" s="45">
        <v>220210010852</v>
      </c>
      <c r="B1882" s="46" t="s">
        <v>204</v>
      </c>
      <c r="C1882" s="47">
        <v>44278</v>
      </c>
      <c r="D1882" s="45">
        <v>22021002049</v>
      </c>
      <c r="E1882" s="46" t="s">
        <v>1671</v>
      </c>
      <c r="F1882" s="48">
        <v>525.14</v>
      </c>
      <c r="G1882" s="46" t="s">
        <v>265</v>
      </c>
      <c r="H1882" s="46" t="s">
        <v>3191</v>
      </c>
      <c r="I1882" s="45" t="s">
        <v>205</v>
      </c>
      <c r="J1882" s="46" t="s">
        <v>157</v>
      </c>
      <c r="K1882" s="46" t="s">
        <v>157</v>
      </c>
      <c r="L1882" s="46" t="s">
        <v>15</v>
      </c>
      <c r="M1882" s="46" t="s">
        <v>13</v>
      </c>
      <c r="N1882" s="46" t="s">
        <v>14</v>
      </c>
      <c r="O1882" s="49" t="s">
        <v>814</v>
      </c>
      <c r="P1882" s="46" t="s">
        <v>507</v>
      </c>
      <c r="Q1882" s="35" t="str">
        <f>MID(Tabla1[[#This Row],[Aplicación]],14,1)</f>
        <v>2</v>
      </c>
      <c r="R1882" s="35" t="s">
        <v>495</v>
      </c>
      <c r="S1882" s="35" t="str">
        <f>MID(Tabla1[[#This Row],[Aplicación]],6,2)</f>
        <v>11</v>
      </c>
      <c r="T1882" s="35" t="str">
        <f>VLOOKUP(Tabla1[[#This Row],[AREA]],Hoja1!A:B,2,FALSE)</f>
        <v>11. Salud pública y seguridad ciudadana</v>
      </c>
      <c r="U1882" s="35" t="str">
        <f>MID(Tabla1[[#This Row],[Aplicación]],9,4)</f>
        <v>1621</v>
      </c>
      <c r="V1882" s="35" t="str">
        <f>VLOOKUP(Tabla1[[#This Row],[PROGRAMA]],Hoja1!A:B,2,FALSE)</f>
        <v>1621. Servicio de limpieza</v>
      </c>
      <c r="W1882" s="35" t="str">
        <f>MID(Tabla1[[#This Row],[Aplicación]],14,2)</f>
        <v>22</v>
      </c>
      <c r="X1882" s="35" t="str">
        <f>MID(Tabla1[[#This Row],[Aplicación]],14,6)</f>
        <v>22103</v>
      </c>
    </row>
    <row r="1883" spans="1:24" x14ac:dyDescent="0.25">
      <c r="A1883" s="45">
        <v>220209000812</v>
      </c>
      <c r="B1883" s="46" t="s">
        <v>9</v>
      </c>
      <c r="C1883" s="47">
        <v>44198</v>
      </c>
      <c r="D1883" s="45">
        <v>22021000750</v>
      </c>
      <c r="E1883" s="46" t="s">
        <v>2554</v>
      </c>
      <c r="F1883" s="48">
        <v>12068.74</v>
      </c>
      <c r="G1883" s="46" t="s">
        <v>213</v>
      </c>
      <c r="H1883" s="46" t="s">
        <v>3192</v>
      </c>
      <c r="I1883" s="45" t="s">
        <v>125</v>
      </c>
      <c r="J1883" s="46" t="s">
        <v>127</v>
      </c>
      <c r="K1883" s="46" t="s">
        <v>127</v>
      </c>
      <c r="L1883" s="46" t="s">
        <v>12</v>
      </c>
      <c r="M1883" s="46" t="s">
        <v>10</v>
      </c>
      <c r="N1883" s="46" t="s">
        <v>11</v>
      </c>
      <c r="O1883" s="49" t="s">
        <v>815</v>
      </c>
      <c r="P1883" s="46" t="s">
        <v>507</v>
      </c>
      <c r="Q1883" s="35" t="str">
        <f>MID(Tabla1[[#This Row],[Aplicación]],14,1)</f>
        <v>2</v>
      </c>
      <c r="R1883" s="35" t="s">
        <v>495</v>
      </c>
      <c r="S1883" s="35" t="str">
        <f>MID(Tabla1[[#This Row],[Aplicación]],6,2)</f>
        <v>02</v>
      </c>
      <c r="T1883" s="35" t="str">
        <f>VLOOKUP(Tabla1[[#This Row],[AREA]],Hoja1!A:B,2,FALSE)</f>
        <v>02. Planeamiento urbanístico y vivienda</v>
      </c>
      <c r="U1883" s="35" t="str">
        <f>MID(Tabla1[[#This Row],[Aplicación]],9,4)</f>
        <v>1511</v>
      </c>
      <c r="V1883" s="35" t="str">
        <f>VLOOKUP(Tabla1[[#This Row],[PROGRAMA]],Hoja1!A:B,2,FALSE)</f>
        <v>1511. Planficación y gestión del urbanismo</v>
      </c>
      <c r="W1883" s="35" t="str">
        <f>MID(Tabla1[[#This Row],[Aplicación]],14,2)</f>
        <v>22</v>
      </c>
      <c r="X1883" s="35" t="str">
        <f>MID(Tabla1[[#This Row],[Aplicación]],14,6)</f>
        <v>22706</v>
      </c>
    </row>
    <row r="1884" spans="1:24" x14ac:dyDescent="0.25">
      <c r="A1884" s="45">
        <v>220210012684</v>
      </c>
      <c r="B1884" s="46" t="s">
        <v>9</v>
      </c>
      <c r="C1884" s="47">
        <v>44280</v>
      </c>
      <c r="D1884" s="45">
        <v>22021003458</v>
      </c>
      <c r="E1884" s="46" t="s">
        <v>1550</v>
      </c>
      <c r="F1884" s="48">
        <v>18.149999999999999</v>
      </c>
      <c r="G1884" s="46" t="s">
        <v>249</v>
      </c>
      <c r="H1884" s="46" t="s">
        <v>3193</v>
      </c>
      <c r="I1884" s="45" t="s">
        <v>125</v>
      </c>
      <c r="J1884" s="46" t="s">
        <v>127</v>
      </c>
      <c r="K1884" s="46" t="s">
        <v>127</v>
      </c>
      <c r="L1884" s="46" t="s">
        <v>12</v>
      </c>
      <c r="M1884" s="46" t="s">
        <v>10</v>
      </c>
      <c r="N1884" s="46" t="s">
        <v>11</v>
      </c>
      <c r="O1884" s="49" t="s">
        <v>815</v>
      </c>
      <c r="P1884" s="46" t="s">
        <v>507</v>
      </c>
      <c r="Q1884" s="35" t="str">
        <f>MID(Tabla1[[#This Row],[Aplicación]],14,1)</f>
        <v>2</v>
      </c>
      <c r="R1884" s="35" t="s">
        <v>495</v>
      </c>
      <c r="S1884" s="35" t="str">
        <f>MID(Tabla1[[#This Row],[Aplicación]],6,2)</f>
        <v>06</v>
      </c>
      <c r="T1884" s="35" t="str">
        <f>VLOOKUP(Tabla1[[#This Row],[AREA]],Hoja1!A:B,2,FALSE)</f>
        <v>06. Educación, infancia, juventud e igualdad</v>
      </c>
      <c r="U1884" s="35" t="str">
        <f>MID(Tabla1[[#This Row],[Aplicación]],9,4)</f>
        <v>2315</v>
      </c>
      <c r="V1884" s="35" t="str">
        <f>VLOOKUP(Tabla1[[#This Row],[PROGRAMA]],Hoja1!A:B,2,FALSE)</f>
        <v>2315. Políticas de Igualdad e infancia</v>
      </c>
      <c r="W1884" s="35" t="str">
        <f>MID(Tabla1[[#This Row],[Aplicación]],14,2)</f>
        <v>22</v>
      </c>
      <c r="X1884" s="35" t="str">
        <f>MID(Tabla1[[#This Row],[Aplicación]],14,6)</f>
        <v>22799</v>
      </c>
    </row>
    <row r="1885" spans="1:24" x14ac:dyDescent="0.25">
      <c r="A1885" s="45">
        <v>220209000822</v>
      </c>
      <c r="B1885" s="46" t="s">
        <v>9</v>
      </c>
      <c r="C1885" s="47">
        <v>44198</v>
      </c>
      <c r="D1885" s="45">
        <v>22021001158</v>
      </c>
      <c r="E1885" s="46" t="s">
        <v>883</v>
      </c>
      <c r="F1885" s="48">
        <v>12100</v>
      </c>
      <c r="G1885" s="46" t="s">
        <v>3194</v>
      </c>
      <c r="H1885" s="46" t="s">
        <v>3195</v>
      </c>
      <c r="I1885" s="45" t="s">
        <v>125</v>
      </c>
      <c r="J1885" s="46" t="s">
        <v>127</v>
      </c>
      <c r="K1885" s="46" t="s">
        <v>127</v>
      </c>
      <c r="L1885" s="46" t="s">
        <v>12</v>
      </c>
      <c r="M1885" s="46" t="s">
        <v>10</v>
      </c>
      <c r="N1885" s="46" t="s">
        <v>11</v>
      </c>
      <c r="O1885" s="49" t="s">
        <v>815</v>
      </c>
      <c r="P1885" s="46" t="s">
        <v>507</v>
      </c>
      <c r="Q1885" s="35" t="str">
        <f>MID(Tabla1[[#This Row],[Aplicación]],14,1)</f>
        <v>2</v>
      </c>
      <c r="R1885" s="35" t="s">
        <v>495</v>
      </c>
      <c r="S1885" s="35" t="str">
        <f>MID(Tabla1[[#This Row],[Aplicación]],6,2)</f>
        <v>11</v>
      </c>
      <c r="T1885" s="35" t="str">
        <f>VLOOKUP(Tabla1[[#This Row],[AREA]],Hoja1!A:B,2,FALSE)</f>
        <v>11. Salud pública y seguridad ciudadana</v>
      </c>
      <c r="U1885" s="35" t="str">
        <f>MID(Tabla1[[#This Row],[Aplicación]],9,4)</f>
        <v>1621</v>
      </c>
      <c r="V1885" s="35" t="str">
        <f>VLOOKUP(Tabla1[[#This Row],[PROGRAMA]],Hoja1!A:B,2,FALSE)</f>
        <v>1621. Servicio de limpieza</v>
      </c>
      <c r="W1885" s="35" t="str">
        <f>MID(Tabla1[[#This Row],[Aplicación]],14,2)</f>
        <v>22</v>
      </c>
      <c r="X1885" s="35" t="str">
        <f>MID(Tabla1[[#This Row],[Aplicación]],14,6)</f>
        <v>22700</v>
      </c>
    </row>
    <row r="1886" spans="1:24" x14ac:dyDescent="0.25">
      <c r="A1886" s="45">
        <v>220210012686</v>
      </c>
      <c r="B1886" s="46" t="s">
        <v>9</v>
      </c>
      <c r="C1886" s="47">
        <v>44280</v>
      </c>
      <c r="D1886" s="45">
        <v>22021003461</v>
      </c>
      <c r="E1886" s="46" t="s">
        <v>1550</v>
      </c>
      <c r="F1886" s="48">
        <v>2500</v>
      </c>
      <c r="G1886" s="46" t="s">
        <v>3196</v>
      </c>
      <c r="H1886" s="46" t="s">
        <v>3197</v>
      </c>
      <c r="I1886" s="45" t="s">
        <v>125</v>
      </c>
      <c r="J1886" s="46" t="s">
        <v>127</v>
      </c>
      <c r="K1886" s="46" t="s">
        <v>127</v>
      </c>
      <c r="L1886" s="46" t="s">
        <v>12</v>
      </c>
      <c r="M1886" s="46" t="s">
        <v>10</v>
      </c>
      <c r="N1886" s="46" t="s">
        <v>11</v>
      </c>
      <c r="O1886" s="49" t="s">
        <v>815</v>
      </c>
      <c r="P1886" s="46" t="s">
        <v>507</v>
      </c>
      <c r="Q1886" s="35" t="str">
        <f>MID(Tabla1[[#This Row],[Aplicación]],14,1)</f>
        <v>2</v>
      </c>
      <c r="R1886" s="35" t="s">
        <v>495</v>
      </c>
      <c r="S1886" s="35" t="str">
        <f>MID(Tabla1[[#This Row],[Aplicación]],6,2)</f>
        <v>06</v>
      </c>
      <c r="T1886" s="35" t="str">
        <f>VLOOKUP(Tabla1[[#This Row],[AREA]],Hoja1!A:B,2,FALSE)</f>
        <v>06. Educación, infancia, juventud e igualdad</v>
      </c>
      <c r="U1886" s="35" t="str">
        <f>MID(Tabla1[[#This Row],[Aplicación]],9,4)</f>
        <v>2315</v>
      </c>
      <c r="V1886" s="35" t="str">
        <f>VLOOKUP(Tabla1[[#This Row],[PROGRAMA]],Hoja1!A:B,2,FALSE)</f>
        <v>2315. Políticas de Igualdad e infancia</v>
      </c>
      <c r="W1886" s="35" t="str">
        <f>MID(Tabla1[[#This Row],[Aplicación]],14,2)</f>
        <v>22</v>
      </c>
      <c r="X1886" s="35" t="str">
        <f>MID(Tabla1[[#This Row],[Aplicación]],14,6)</f>
        <v>22799</v>
      </c>
    </row>
    <row r="1887" spans="1:24" x14ac:dyDescent="0.25">
      <c r="A1887" s="45">
        <v>220210013065</v>
      </c>
      <c r="B1887" s="46" t="s">
        <v>204</v>
      </c>
      <c r="C1887" s="47">
        <v>44285</v>
      </c>
      <c r="D1887" s="45">
        <v>22021002371</v>
      </c>
      <c r="E1887" s="46" t="s">
        <v>1336</v>
      </c>
      <c r="F1887" s="48">
        <v>65.62</v>
      </c>
      <c r="G1887" s="46" t="s">
        <v>223</v>
      </c>
      <c r="H1887" s="46" t="s">
        <v>3198</v>
      </c>
      <c r="I1887" s="45" t="s">
        <v>205</v>
      </c>
      <c r="J1887" s="46" t="s">
        <v>127</v>
      </c>
      <c r="K1887" s="46" t="s">
        <v>127</v>
      </c>
      <c r="L1887" s="46" t="s">
        <v>15</v>
      </c>
      <c r="M1887" s="46" t="s">
        <v>13</v>
      </c>
      <c r="N1887" s="46" t="s">
        <v>14</v>
      </c>
      <c r="O1887" s="49" t="s">
        <v>814</v>
      </c>
      <c r="P1887" s="46" t="s">
        <v>507</v>
      </c>
      <c r="Q1887" s="35" t="str">
        <f>MID(Tabla1[[#This Row],[Aplicación]],14,1)</f>
        <v>2</v>
      </c>
      <c r="R1887" s="35" t="s">
        <v>495</v>
      </c>
      <c r="S1887" s="35" t="str">
        <f>MID(Tabla1[[#This Row],[Aplicación]],6,2)</f>
        <v>02</v>
      </c>
      <c r="T1887" s="35" t="str">
        <f>VLOOKUP(Tabla1[[#This Row],[AREA]],Hoja1!A:B,2,FALSE)</f>
        <v>02. Planeamiento urbanístico y vivienda</v>
      </c>
      <c r="U1887" s="35" t="str">
        <f>MID(Tabla1[[#This Row],[Aplicación]],9,4)</f>
        <v>9332</v>
      </c>
      <c r="V1887" s="35" t="str">
        <f>VLOOKUP(Tabla1[[#This Row],[PROGRAMA]],Hoja1!A:B,2,FALSE)</f>
        <v>9332. Mantenimiento de edificios e instalaciones municipales</v>
      </c>
      <c r="W1887" s="35" t="str">
        <f>MID(Tabla1[[#This Row],[Aplicación]],14,2)</f>
        <v>21</v>
      </c>
      <c r="X1887" s="35" t="str">
        <f>MID(Tabla1[[#This Row],[Aplicación]],14,6)</f>
        <v>212</v>
      </c>
    </row>
    <row r="1888" spans="1:24" x14ac:dyDescent="0.25">
      <c r="A1888" s="45">
        <v>220210012688</v>
      </c>
      <c r="B1888" s="46" t="s">
        <v>9</v>
      </c>
      <c r="C1888" s="47">
        <v>44280</v>
      </c>
      <c r="D1888" s="45">
        <v>22021003648</v>
      </c>
      <c r="E1888" s="46" t="s">
        <v>2613</v>
      </c>
      <c r="F1888" s="48">
        <v>5720.21</v>
      </c>
      <c r="G1888" s="46" t="s">
        <v>3199</v>
      </c>
      <c r="H1888" s="46" t="s">
        <v>3200</v>
      </c>
      <c r="I1888" s="45" t="s">
        <v>125</v>
      </c>
      <c r="J1888" s="46" t="s">
        <v>127</v>
      </c>
      <c r="K1888" s="46" t="s">
        <v>127</v>
      </c>
      <c r="L1888" s="46" t="s">
        <v>12</v>
      </c>
      <c r="M1888" s="46" t="s">
        <v>10</v>
      </c>
      <c r="N1888" s="46" t="s">
        <v>11</v>
      </c>
      <c r="O1888" s="49" t="s">
        <v>815</v>
      </c>
      <c r="P1888" s="46" t="s">
        <v>507</v>
      </c>
      <c r="Q1888" s="35" t="str">
        <f>MID(Tabla1[[#This Row],[Aplicación]],14,1)</f>
        <v>2</v>
      </c>
      <c r="R1888" s="35" t="s">
        <v>495</v>
      </c>
      <c r="S1888" s="35" t="str">
        <f>MID(Tabla1[[#This Row],[Aplicación]],6,2)</f>
        <v>09</v>
      </c>
      <c r="T1888" s="35" t="str">
        <f>VLOOKUP(Tabla1[[#This Row],[AREA]],Hoja1!A:B,2,FALSE)</f>
        <v>09. Cultura y turismo</v>
      </c>
      <c r="U1888" s="35" t="str">
        <f>MID(Tabla1[[#This Row],[Aplicación]],9,4)</f>
        <v>3341</v>
      </c>
      <c r="V1888" s="35" t="str">
        <f>VLOOKUP(Tabla1[[#This Row],[PROGRAMA]],Hoja1!A:B,2,FALSE)</f>
        <v>3341. Coordinación de políticas culturales</v>
      </c>
      <c r="W1888" s="35" t="str">
        <f>MID(Tabla1[[#This Row],[Aplicación]],14,2)</f>
        <v>22</v>
      </c>
      <c r="X1888" s="35" t="str">
        <f>MID(Tabla1[[#This Row],[Aplicación]],14,6)</f>
        <v>22200</v>
      </c>
    </row>
    <row r="1889" spans="1:24" x14ac:dyDescent="0.25">
      <c r="A1889" s="45">
        <v>220209000853</v>
      </c>
      <c r="B1889" s="46" t="s">
        <v>9</v>
      </c>
      <c r="C1889" s="47">
        <v>44198</v>
      </c>
      <c r="D1889" s="45">
        <v>22021001892</v>
      </c>
      <c r="E1889" s="46" t="s">
        <v>2801</v>
      </c>
      <c r="F1889" s="48">
        <v>12450.9</v>
      </c>
      <c r="G1889" s="46" t="s">
        <v>3201</v>
      </c>
      <c r="H1889" s="46" t="s">
        <v>3202</v>
      </c>
      <c r="I1889" s="45" t="s">
        <v>125</v>
      </c>
      <c r="J1889" s="46" t="s">
        <v>619</v>
      </c>
      <c r="K1889" s="46" t="s">
        <v>127</v>
      </c>
      <c r="L1889" s="46" t="s">
        <v>12</v>
      </c>
      <c r="M1889" s="46" t="s">
        <v>10</v>
      </c>
      <c r="N1889" s="46" t="s">
        <v>11</v>
      </c>
      <c r="O1889" s="49" t="s">
        <v>815</v>
      </c>
      <c r="P1889" s="46" t="s">
        <v>507</v>
      </c>
      <c r="Q1889" s="35" t="str">
        <f>MID(Tabla1[[#This Row],[Aplicación]],14,1)</f>
        <v>2</v>
      </c>
      <c r="R1889" s="35" t="s">
        <v>495</v>
      </c>
      <c r="S1889" s="35" t="str">
        <f>MID(Tabla1[[#This Row],[Aplicación]],6,2)</f>
        <v>05</v>
      </c>
      <c r="T1889" s="35" t="str">
        <f>VLOOKUP(Tabla1[[#This Row],[AREA]],Hoja1!A:B,2,FALSE)</f>
        <v>05. Innovación, desarrollo económico, empleo y comercio</v>
      </c>
      <c r="U1889" s="35" t="str">
        <f>MID(Tabla1[[#This Row],[Aplicación]],9,4)</f>
        <v>4314</v>
      </c>
      <c r="V1889" s="35" t="str">
        <f>VLOOKUP(Tabla1[[#This Row],[PROGRAMA]],Hoja1!A:B,2,FALSE)</f>
        <v>4314. Fomento del comercio</v>
      </c>
      <c r="W1889" s="35" t="str">
        <f>MID(Tabla1[[#This Row],[Aplicación]],14,2)</f>
        <v>22</v>
      </c>
      <c r="X1889" s="35" t="str">
        <f>MID(Tabla1[[#This Row],[Aplicación]],14,6)</f>
        <v>22799</v>
      </c>
    </row>
    <row r="1890" spans="1:24" x14ac:dyDescent="0.25">
      <c r="A1890" s="45">
        <v>220210012693</v>
      </c>
      <c r="B1890" s="46" t="s">
        <v>9</v>
      </c>
      <c r="C1890" s="47">
        <v>44280</v>
      </c>
      <c r="D1890" s="45">
        <v>22021003593</v>
      </c>
      <c r="E1890" s="46" t="s">
        <v>1678</v>
      </c>
      <c r="F1890" s="48">
        <v>795.21</v>
      </c>
      <c r="G1890" s="46" t="s">
        <v>50</v>
      </c>
      <c r="H1890" s="46" t="s">
        <v>3203</v>
      </c>
      <c r="I1890" s="45" t="s">
        <v>125</v>
      </c>
      <c r="J1890" s="46" t="s">
        <v>127</v>
      </c>
      <c r="K1890" s="46" t="s">
        <v>127</v>
      </c>
      <c r="L1890" s="46" t="s">
        <v>12</v>
      </c>
      <c r="M1890" s="46" t="s">
        <v>10</v>
      </c>
      <c r="N1890" s="46" t="s">
        <v>11</v>
      </c>
      <c r="O1890" s="49" t="s">
        <v>815</v>
      </c>
      <c r="P1890" s="46" t="s">
        <v>507</v>
      </c>
      <c r="Q1890" s="35" t="str">
        <f>MID(Tabla1[[#This Row],[Aplicación]],14,1)</f>
        <v>2</v>
      </c>
      <c r="R1890" s="35" t="s">
        <v>495</v>
      </c>
      <c r="S1890" s="35" t="str">
        <f>MID(Tabla1[[#This Row],[Aplicación]],6,2)</f>
        <v>09</v>
      </c>
      <c r="T1890" s="35" t="str">
        <f>VLOOKUP(Tabla1[[#This Row],[AREA]],Hoja1!A:B,2,FALSE)</f>
        <v>09. Cultura y turismo</v>
      </c>
      <c r="U1890" s="35" t="str">
        <f>MID(Tabla1[[#This Row],[Aplicación]],9,4)</f>
        <v>3341</v>
      </c>
      <c r="V1890" s="35" t="str">
        <f>VLOOKUP(Tabla1[[#This Row],[PROGRAMA]],Hoja1!A:B,2,FALSE)</f>
        <v>3341. Coordinación de políticas culturales</v>
      </c>
      <c r="W1890" s="35" t="str">
        <f>MID(Tabla1[[#This Row],[Aplicación]],14,2)</f>
        <v>21</v>
      </c>
      <c r="X1890" s="35" t="str">
        <f>MID(Tabla1[[#This Row],[Aplicación]],14,6)</f>
        <v>213</v>
      </c>
    </row>
    <row r="1891" spans="1:24" x14ac:dyDescent="0.25">
      <c r="A1891" s="45">
        <v>220200063432</v>
      </c>
      <c r="B1891" s="46" t="s">
        <v>9</v>
      </c>
      <c r="C1891" s="47">
        <v>44284</v>
      </c>
      <c r="D1891" s="45">
        <v>22020007082</v>
      </c>
      <c r="E1891" s="46" t="s">
        <v>1483</v>
      </c>
      <c r="F1891" s="48">
        <v>12963.13</v>
      </c>
      <c r="G1891" s="46" t="s">
        <v>3204</v>
      </c>
      <c r="H1891" s="46" t="s">
        <v>3205</v>
      </c>
      <c r="I1891" s="45" t="s">
        <v>125</v>
      </c>
      <c r="J1891" s="46" t="s">
        <v>127</v>
      </c>
      <c r="K1891" s="46" t="s">
        <v>127</v>
      </c>
      <c r="L1891" s="46" t="s">
        <v>31</v>
      </c>
      <c r="M1891" s="46" t="s">
        <v>10</v>
      </c>
      <c r="N1891" s="46" t="s">
        <v>11</v>
      </c>
      <c r="O1891" s="49" t="s">
        <v>815</v>
      </c>
      <c r="P1891" s="46" t="s">
        <v>507</v>
      </c>
      <c r="Q1891" s="35" t="str">
        <f>MID(Tabla1[[#This Row],[Aplicación]],14,1)</f>
        <v>6</v>
      </c>
      <c r="R1891" s="35" t="s">
        <v>496</v>
      </c>
      <c r="S1891" s="35" t="str">
        <f>MID(Tabla1[[#This Row],[Aplicación]],6,2)</f>
        <v>03</v>
      </c>
      <c r="T1891" s="35" t="str">
        <f>VLOOKUP(Tabla1[[#This Row],[AREA]],Hoja1!A:B,2,FALSE)</f>
        <v>03. Participación ciudadana y deportes</v>
      </c>
      <c r="U1891" s="35" t="str">
        <f>MID(Tabla1[[#This Row],[Aplicación]],9,4)</f>
        <v>9241</v>
      </c>
      <c r="V1891" s="35" t="str">
        <f>VLOOKUP(Tabla1[[#This Row],[PROGRAMA]],Hoja1!A:B,2,FALSE)</f>
        <v>9241. Participación ciudadana</v>
      </c>
      <c r="W1891" s="35" t="str">
        <f>MID(Tabla1[[#This Row],[Aplicación]],14,2)</f>
        <v>63</v>
      </c>
      <c r="X1891" s="35" t="str">
        <f>MID(Tabla1[[#This Row],[Aplicación]],14,6)</f>
        <v>632</v>
      </c>
    </row>
    <row r="1892" spans="1:24" x14ac:dyDescent="0.25">
      <c r="A1892" s="45">
        <v>220200039603</v>
      </c>
      <c r="B1892" s="46" t="s">
        <v>9</v>
      </c>
      <c r="C1892" s="47">
        <v>44284</v>
      </c>
      <c r="D1892" s="45">
        <v>22020003868</v>
      </c>
      <c r="E1892" s="46" t="s">
        <v>1483</v>
      </c>
      <c r="F1892" s="48">
        <v>13090.55</v>
      </c>
      <c r="G1892" s="46" t="s">
        <v>3206</v>
      </c>
      <c r="H1892" s="46" t="s">
        <v>3207</v>
      </c>
      <c r="I1892" s="45" t="s">
        <v>125</v>
      </c>
      <c r="J1892" s="46" t="s">
        <v>619</v>
      </c>
      <c r="K1892" s="46" t="s">
        <v>127</v>
      </c>
      <c r="L1892" s="46" t="s">
        <v>31</v>
      </c>
      <c r="M1892" s="46" t="s">
        <v>13</v>
      </c>
      <c r="N1892" s="46" t="s">
        <v>16</v>
      </c>
      <c r="O1892" s="49" t="s">
        <v>803</v>
      </c>
      <c r="P1892" s="46" t="s">
        <v>507</v>
      </c>
      <c r="Q1892" s="35" t="str">
        <f>MID(Tabla1[[#This Row],[Aplicación]],14,1)</f>
        <v>6</v>
      </c>
      <c r="R1892" s="35" t="s">
        <v>496</v>
      </c>
      <c r="S1892" s="35" t="str">
        <f>MID(Tabla1[[#This Row],[Aplicación]],6,2)</f>
        <v>03</v>
      </c>
      <c r="T1892" s="35" t="str">
        <f>VLOOKUP(Tabla1[[#This Row],[AREA]],Hoja1!A:B,2,FALSE)</f>
        <v>03. Participación ciudadana y deportes</v>
      </c>
      <c r="U1892" s="35" t="str">
        <f>MID(Tabla1[[#This Row],[Aplicación]],9,4)</f>
        <v>9241</v>
      </c>
      <c r="V1892" s="35" t="str">
        <f>VLOOKUP(Tabla1[[#This Row],[PROGRAMA]],Hoja1!A:B,2,FALSE)</f>
        <v>9241. Participación ciudadana</v>
      </c>
      <c r="W1892" s="35" t="str">
        <f>MID(Tabla1[[#This Row],[Aplicación]],14,2)</f>
        <v>63</v>
      </c>
      <c r="X1892" s="35" t="str">
        <f>MID(Tabla1[[#This Row],[Aplicación]],14,6)</f>
        <v>632</v>
      </c>
    </row>
    <row r="1893" spans="1:24" x14ac:dyDescent="0.25">
      <c r="A1893" s="45">
        <v>220210012698</v>
      </c>
      <c r="B1893" s="46" t="s">
        <v>9</v>
      </c>
      <c r="C1893" s="47">
        <v>44280</v>
      </c>
      <c r="D1893" s="45">
        <v>22021003501</v>
      </c>
      <c r="E1893" s="46" t="s">
        <v>1167</v>
      </c>
      <c r="F1893" s="48">
        <v>465.58</v>
      </c>
      <c r="G1893" s="46" t="s">
        <v>1632</v>
      </c>
      <c r="H1893" s="46" t="s">
        <v>3208</v>
      </c>
      <c r="I1893" s="45" t="s">
        <v>125</v>
      </c>
      <c r="J1893" s="46" t="s">
        <v>127</v>
      </c>
      <c r="K1893" s="46" t="s">
        <v>127</v>
      </c>
      <c r="L1893" s="46" t="s">
        <v>12</v>
      </c>
      <c r="M1893" s="46" t="s">
        <v>10</v>
      </c>
      <c r="N1893" s="46" t="s">
        <v>11</v>
      </c>
      <c r="O1893" s="49" t="s">
        <v>815</v>
      </c>
      <c r="P1893" s="46" t="s">
        <v>507</v>
      </c>
      <c r="Q1893" s="35" t="str">
        <f>MID(Tabla1[[#This Row],[Aplicación]],14,1)</f>
        <v>2</v>
      </c>
      <c r="R1893" s="35" t="s">
        <v>495</v>
      </c>
      <c r="S1893" s="35" t="str">
        <f>MID(Tabla1[[#This Row],[Aplicación]],6,2)</f>
        <v>11</v>
      </c>
      <c r="T1893" s="35" t="str">
        <f>VLOOKUP(Tabla1[[#This Row],[AREA]],Hoja1!A:B,2,FALSE)</f>
        <v>11. Salud pública y seguridad ciudadana</v>
      </c>
      <c r="U1893" s="35" t="str">
        <f>MID(Tabla1[[#This Row],[Aplicación]],9,4)</f>
        <v>1321</v>
      </c>
      <c r="V1893" s="35" t="str">
        <f>VLOOKUP(Tabla1[[#This Row],[PROGRAMA]],Hoja1!A:B,2,FALSE)</f>
        <v>1321. Policía municipal</v>
      </c>
      <c r="W1893" s="35" t="str">
        <f>MID(Tabla1[[#This Row],[Aplicación]],14,2)</f>
        <v>21</v>
      </c>
      <c r="X1893" s="35" t="str">
        <f>MID(Tabla1[[#This Row],[Aplicación]],14,6)</f>
        <v>214</v>
      </c>
    </row>
    <row r="1894" spans="1:24" x14ac:dyDescent="0.25">
      <c r="A1894" s="45">
        <v>220210012700</v>
      </c>
      <c r="B1894" s="46" t="s">
        <v>9</v>
      </c>
      <c r="C1894" s="47">
        <v>44280</v>
      </c>
      <c r="D1894" s="45">
        <v>22021003548</v>
      </c>
      <c r="E1894" s="46" t="s">
        <v>1263</v>
      </c>
      <c r="F1894" s="48">
        <v>213.69</v>
      </c>
      <c r="G1894" s="46" t="s">
        <v>50</v>
      </c>
      <c r="H1894" s="46" t="s">
        <v>3209</v>
      </c>
      <c r="I1894" s="45" t="s">
        <v>125</v>
      </c>
      <c r="J1894" s="46" t="s">
        <v>127</v>
      </c>
      <c r="K1894" s="46" t="s">
        <v>127</v>
      </c>
      <c r="L1894" s="46" t="s">
        <v>12</v>
      </c>
      <c r="M1894" s="46" t="s">
        <v>10</v>
      </c>
      <c r="N1894" s="46" t="s">
        <v>11</v>
      </c>
      <c r="O1894" s="49" t="s">
        <v>815</v>
      </c>
      <c r="P1894" s="46" t="s">
        <v>507</v>
      </c>
      <c r="Q1894" s="35" t="str">
        <f>MID(Tabla1[[#This Row],[Aplicación]],14,1)</f>
        <v>2</v>
      </c>
      <c r="R1894" s="35" t="s">
        <v>495</v>
      </c>
      <c r="S1894" s="35" t="str">
        <f>MID(Tabla1[[#This Row],[Aplicación]],6,2)</f>
        <v>02</v>
      </c>
      <c r="T1894" s="35" t="str">
        <f>VLOOKUP(Tabla1[[#This Row],[AREA]],Hoja1!A:B,2,FALSE)</f>
        <v>02. Planeamiento urbanístico y vivienda</v>
      </c>
      <c r="U1894" s="35" t="str">
        <f>MID(Tabla1[[#This Row],[Aplicación]],9,4)</f>
        <v>9332</v>
      </c>
      <c r="V1894" s="35" t="str">
        <f>VLOOKUP(Tabla1[[#This Row],[PROGRAMA]],Hoja1!A:B,2,FALSE)</f>
        <v>9332. Mantenimiento de edificios e instalaciones municipales</v>
      </c>
      <c r="W1894" s="35" t="str">
        <f>MID(Tabla1[[#This Row],[Aplicación]],14,2)</f>
        <v>21</v>
      </c>
      <c r="X1894" s="35" t="str">
        <f>MID(Tabla1[[#This Row],[Aplicación]],14,6)</f>
        <v>213</v>
      </c>
    </row>
    <row r="1895" spans="1:24" x14ac:dyDescent="0.25">
      <c r="A1895" s="45">
        <v>220210012702</v>
      </c>
      <c r="B1895" s="46" t="s">
        <v>9</v>
      </c>
      <c r="C1895" s="47">
        <v>44280</v>
      </c>
      <c r="D1895" s="45">
        <v>22021000763</v>
      </c>
      <c r="E1895" s="46" t="s">
        <v>1766</v>
      </c>
      <c r="F1895" s="48">
        <v>2197.11</v>
      </c>
      <c r="G1895" s="46" t="s">
        <v>44</v>
      </c>
      <c r="H1895" s="46" t="s">
        <v>3210</v>
      </c>
      <c r="I1895" s="45" t="s">
        <v>125</v>
      </c>
      <c r="J1895" s="46" t="s">
        <v>146</v>
      </c>
      <c r="K1895" s="46" t="s">
        <v>146</v>
      </c>
      <c r="L1895" s="46" t="s">
        <v>12</v>
      </c>
      <c r="M1895" s="46" t="s">
        <v>13</v>
      </c>
      <c r="N1895" s="46" t="s">
        <v>14</v>
      </c>
      <c r="O1895" s="49" t="s">
        <v>803</v>
      </c>
      <c r="P1895" s="46" t="s">
        <v>507</v>
      </c>
      <c r="Q1895" s="35" t="str">
        <f>MID(Tabla1[[#This Row],[Aplicación]],14,1)</f>
        <v>2</v>
      </c>
      <c r="R1895" s="35" t="s">
        <v>495</v>
      </c>
      <c r="S1895" s="35" t="str">
        <f>MID(Tabla1[[#This Row],[Aplicación]],6,2)</f>
        <v>10</v>
      </c>
      <c r="T1895" s="35" t="str">
        <f>VLOOKUP(Tabla1[[#This Row],[AREA]],Hoja1!A:B,2,FALSE)</f>
        <v>10. Servicios sociales y mediación comunitaria</v>
      </c>
      <c r="U1895" s="35" t="str">
        <f>MID(Tabla1[[#This Row],[Aplicación]],9,4)</f>
        <v>2412</v>
      </c>
      <c r="V1895" s="35" t="str">
        <f>VLOOKUP(Tabla1[[#This Row],[PROGRAMA]],Hoja1!A:B,2,FALSE)</f>
        <v>2412. Formación para el empleo</v>
      </c>
      <c r="W1895" s="35" t="str">
        <f>MID(Tabla1[[#This Row],[Aplicación]],14,2)</f>
        <v>22</v>
      </c>
      <c r="X1895" s="35" t="str">
        <f>MID(Tabla1[[#This Row],[Aplicación]],14,6)</f>
        <v>22102</v>
      </c>
    </row>
    <row r="1896" spans="1:24" x14ac:dyDescent="0.25">
      <c r="A1896" s="45">
        <v>220210012702</v>
      </c>
      <c r="B1896" s="46" t="s">
        <v>9</v>
      </c>
      <c r="C1896" s="47">
        <v>44280</v>
      </c>
      <c r="D1896" s="45">
        <v>22021000764</v>
      </c>
      <c r="E1896" s="46" t="s">
        <v>1766</v>
      </c>
      <c r="F1896" s="48">
        <v>2090.1999999999998</v>
      </c>
      <c r="G1896" s="46" t="s">
        <v>44</v>
      </c>
      <c r="H1896" s="46" t="s">
        <v>3210</v>
      </c>
      <c r="I1896" s="45" t="s">
        <v>125</v>
      </c>
      <c r="J1896" s="46" t="s">
        <v>146</v>
      </c>
      <c r="K1896" s="46" t="s">
        <v>146</v>
      </c>
      <c r="L1896" s="46" t="s">
        <v>12</v>
      </c>
      <c r="M1896" s="46" t="s">
        <v>13</v>
      </c>
      <c r="N1896" s="46" t="s">
        <v>14</v>
      </c>
      <c r="O1896" s="49" t="s">
        <v>803</v>
      </c>
      <c r="P1896" s="46" t="s">
        <v>507</v>
      </c>
      <c r="Q1896" s="35" t="str">
        <f>MID(Tabla1[[#This Row],[Aplicación]],14,1)</f>
        <v>2</v>
      </c>
      <c r="R1896" s="35" t="s">
        <v>495</v>
      </c>
      <c r="S1896" s="35" t="str">
        <f>MID(Tabla1[[#This Row],[Aplicación]],6,2)</f>
        <v>10</v>
      </c>
      <c r="T1896" s="35" t="str">
        <f>VLOOKUP(Tabla1[[#This Row],[AREA]],Hoja1!A:B,2,FALSE)</f>
        <v>10. Servicios sociales y mediación comunitaria</v>
      </c>
      <c r="U1896" s="35" t="str">
        <f>MID(Tabla1[[#This Row],[Aplicación]],9,4)</f>
        <v>2412</v>
      </c>
      <c r="V1896" s="35" t="str">
        <f>VLOOKUP(Tabla1[[#This Row],[PROGRAMA]],Hoja1!A:B,2,FALSE)</f>
        <v>2412. Formación para el empleo</v>
      </c>
      <c r="W1896" s="35" t="str">
        <f>MID(Tabla1[[#This Row],[Aplicación]],14,2)</f>
        <v>22</v>
      </c>
      <c r="X1896" s="35" t="str">
        <f>MID(Tabla1[[#This Row],[Aplicación]],14,6)</f>
        <v>22102</v>
      </c>
    </row>
    <row r="1897" spans="1:24" x14ac:dyDescent="0.25">
      <c r="A1897" s="45">
        <v>220210012702</v>
      </c>
      <c r="B1897" s="46" t="s">
        <v>9</v>
      </c>
      <c r="C1897" s="47">
        <v>44280</v>
      </c>
      <c r="D1897" s="45">
        <v>22021000765</v>
      </c>
      <c r="E1897" s="46" t="s">
        <v>1766</v>
      </c>
      <c r="F1897" s="48">
        <v>2445</v>
      </c>
      <c r="G1897" s="46" t="s">
        <v>44</v>
      </c>
      <c r="H1897" s="46" t="s">
        <v>3210</v>
      </c>
      <c r="I1897" s="45" t="s">
        <v>125</v>
      </c>
      <c r="J1897" s="46" t="s">
        <v>146</v>
      </c>
      <c r="K1897" s="46" t="s">
        <v>146</v>
      </c>
      <c r="L1897" s="46" t="s">
        <v>12</v>
      </c>
      <c r="M1897" s="46" t="s">
        <v>13</v>
      </c>
      <c r="N1897" s="46" t="s">
        <v>14</v>
      </c>
      <c r="O1897" s="49" t="s">
        <v>803</v>
      </c>
      <c r="P1897" s="46" t="s">
        <v>507</v>
      </c>
      <c r="Q1897" s="35" t="str">
        <f>MID(Tabla1[[#This Row],[Aplicación]],14,1)</f>
        <v>2</v>
      </c>
      <c r="R1897" s="35" t="s">
        <v>495</v>
      </c>
      <c r="S1897" s="35" t="str">
        <f>MID(Tabla1[[#This Row],[Aplicación]],6,2)</f>
        <v>10</v>
      </c>
      <c r="T1897" s="35" t="str">
        <f>VLOOKUP(Tabla1[[#This Row],[AREA]],Hoja1!A:B,2,FALSE)</f>
        <v>10. Servicios sociales y mediación comunitaria</v>
      </c>
      <c r="U1897" s="35" t="str">
        <f>MID(Tabla1[[#This Row],[Aplicación]],9,4)</f>
        <v>2412</v>
      </c>
      <c r="V1897" s="35" t="str">
        <f>VLOOKUP(Tabla1[[#This Row],[PROGRAMA]],Hoja1!A:B,2,FALSE)</f>
        <v>2412. Formación para el empleo</v>
      </c>
      <c r="W1897" s="35" t="str">
        <f>MID(Tabla1[[#This Row],[Aplicación]],14,2)</f>
        <v>22</v>
      </c>
      <c r="X1897" s="35" t="str">
        <f>MID(Tabla1[[#This Row],[Aplicación]],14,6)</f>
        <v>22102</v>
      </c>
    </row>
    <row r="1898" spans="1:24" x14ac:dyDescent="0.25">
      <c r="A1898" s="45">
        <v>220210006564</v>
      </c>
      <c r="B1898" s="46" t="s">
        <v>9</v>
      </c>
      <c r="C1898" s="47">
        <v>44256</v>
      </c>
      <c r="D1898" s="45">
        <v>22021002496</v>
      </c>
      <c r="E1898" s="46" t="s">
        <v>3211</v>
      </c>
      <c r="F1898" s="48">
        <v>13806.33</v>
      </c>
      <c r="G1898" s="46" t="s">
        <v>528</v>
      </c>
      <c r="H1898" s="46" t="s">
        <v>3212</v>
      </c>
      <c r="I1898" s="45" t="s">
        <v>125</v>
      </c>
      <c r="J1898" s="46" t="s">
        <v>127</v>
      </c>
      <c r="K1898" s="46" t="s">
        <v>127</v>
      </c>
      <c r="L1898" s="46" t="s">
        <v>15</v>
      </c>
      <c r="M1898" s="46" t="s">
        <v>10</v>
      </c>
      <c r="N1898" s="46" t="s">
        <v>11</v>
      </c>
      <c r="O1898" s="49" t="s">
        <v>815</v>
      </c>
      <c r="P1898" s="46" t="s">
        <v>507</v>
      </c>
      <c r="Q1898" s="35" t="str">
        <f>MID(Tabla1[[#This Row],[Aplicación]],14,1)</f>
        <v>6</v>
      </c>
      <c r="R1898" s="35" t="s">
        <v>496</v>
      </c>
      <c r="S1898" s="35" t="str">
        <f>MID(Tabla1[[#This Row],[Aplicación]],6,2)</f>
        <v>02</v>
      </c>
      <c r="T1898" s="35" t="str">
        <f>VLOOKUP(Tabla1[[#This Row],[AREA]],Hoja1!A:B,2,FALSE)</f>
        <v>02. Planeamiento urbanístico y vivienda</v>
      </c>
      <c r="U1898" s="35" t="str">
        <f>MID(Tabla1[[#This Row],[Aplicación]],9,4)</f>
        <v>9332</v>
      </c>
      <c r="V1898" s="35" t="str">
        <f>VLOOKUP(Tabla1[[#This Row],[PROGRAMA]],Hoja1!A:B,2,FALSE)</f>
        <v>9332. Mantenimiento de edificios e instalaciones municipales</v>
      </c>
      <c r="W1898" s="35" t="str">
        <f>MID(Tabla1[[#This Row],[Aplicación]],14,2)</f>
        <v>62</v>
      </c>
      <c r="X1898" s="35" t="str">
        <f>MID(Tabla1[[#This Row],[Aplicación]],14,6)</f>
        <v>624</v>
      </c>
    </row>
    <row r="1899" spans="1:24" x14ac:dyDescent="0.25">
      <c r="A1899" s="45">
        <v>220210000530</v>
      </c>
      <c r="B1899" s="46" t="s">
        <v>9</v>
      </c>
      <c r="C1899" s="47">
        <v>44221</v>
      </c>
      <c r="D1899" s="45">
        <v>22021000693</v>
      </c>
      <c r="E1899" s="46" t="s">
        <v>3178</v>
      </c>
      <c r="F1899" s="48">
        <v>548.32000000000005</v>
      </c>
      <c r="G1899" s="46" t="s">
        <v>124</v>
      </c>
      <c r="H1899" s="46" t="s">
        <v>3213</v>
      </c>
      <c r="I1899" s="45" t="s">
        <v>125</v>
      </c>
      <c r="J1899" s="46" t="s">
        <v>126</v>
      </c>
      <c r="K1899" s="46" t="s">
        <v>126</v>
      </c>
      <c r="L1899" s="46" t="s">
        <v>12</v>
      </c>
      <c r="M1899" s="46" t="s">
        <v>13</v>
      </c>
      <c r="N1899" s="46" t="s">
        <v>14</v>
      </c>
      <c r="O1899" s="49" t="s">
        <v>803</v>
      </c>
      <c r="P1899" s="46" t="s">
        <v>507</v>
      </c>
      <c r="Q1899" s="35" t="str">
        <f>MID(Tabla1[[#This Row],[Aplicación]],14,1)</f>
        <v>2</v>
      </c>
      <c r="R1899" s="35" t="s">
        <v>495</v>
      </c>
      <c r="S1899" s="35" t="str">
        <f>MID(Tabla1[[#This Row],[Aplicación]],6,2)</f>
        <v>10</v>
      </c>
      <c r="T1899" s="35" t="str">
        <f>VLOOKUP(Tabla1[[#This Row],[AREA]],Hoja1!A:B,2,FALSE)</f>
        <v>10. Servicios sociales y mediación comunitaria</v>
      </c>
      <c r="U1899" s="35" t="str">
        <f>MID(Tabla1[[#This Row],[Aplicación]],9,4)</f>
        <v>2412</v>
      </c>
      <c r="V1899" s="35" t="str">
        <f>VLOOKUP(Tabla1[[#This Row],[PROGRAMA]],Hoja1!A:B,2,FALSE)</f>
        <v>2412. Formación para el empleo</v>
      </c>
      <c r="W1899" s="35" t="str">
        <f>MID(Tabla1[[#This Row],[Aplicación]],14,2)</f>
        <v>22</v>
      </c>
      <c r="X1899" s="35" t="str">
        <f>MID(Tabla1[[#This Row],[Aplicación]],14,6)</f>
        <v>22200</v>
      </c>
    </row>
    <row r="1900" spans="1:24" x14ac:dyDescent="0.25">
      <c r="A1900" s="45">
        <v>220210000530</v>
      </c>
      <c r="B1900" s="46" t="s">
        <v>9</v>
      </c>
      <c r="C1900" s="47">
        <v>44221</v>
      </c>
      <c r="D1900" s="45">
        <v>22021000692</v>
      </c>
      <c r="E1900" s="46" t="s">
        <v>3178</v>
      </c>
      <c r="F1900" s="48">
        <v>239.89</v>
      </c>
      <c r="G1900" s="46" t="s">
        <v>124</v>
      </c>
      <c r="H1900" s="46" t="s">
        <v>3213</v>
      </c>
      <c r="I1900" s="45" t="s">
        <v>125</v>
      </c>
      <c r="J1900" s="46" t="s">
        <v>126</v>
      </c>
      <c r="K1900" s="46" t="s">
        <v>126</v>
      </c>
      <c r="L1900" s="46" t="s">
        <v>12</v>
      </c>
      <c r="M1900" s="46" t="s">
        <v>13</v>
      </c>
      <c r="N1900" s="46" t="s">
        <v>14</v>
      </c>
      <c r="O1900" s="49" t="s">
        <v>803</v>
      </c>
      <c r="P1900" s="46" t="s">
        <v>507</v>
      </c>
      <c r="Q1900" s="35" t="str">
        <f>MID(Tabla1[[#This Row],[Aplicación]],14,1)</f>
        <v>2</v>
      </c>
      <c r="R1900" s="35" t="s">
        <v>495</v>
      </c>
      <c r="S1900" s="35" t="str">
        <f>MID(Tabla1[[#This Row],[Aplicación]],6,2)</f>
        <v>10</v>
      </c>
      <c r="T1900" s="35" t="str">
        <f>VLOOKUP(Tabla1[[#This Row],[AREA]],Hoja1!A:B,2,FALSE)</f>
        <v>10. Servicios sociales y mediación comunitaria</v>
      </c>
      <c r="U1900" s="35" t="str">
        <f>MID(Tabla1[[#This Row],[Aplicación]],9,4)</f>
        <v>2412</v>
      </c>
      <c r="V1900" s="35" t="str">
        <f>VLOOKUP(Tabla1[[#This Row],[PROGRAMA]],Hoja1!A:B,2,FALSE)</f>
        <v>2412. Formación para el empleo</v>
      </c>
      <c r="W1900" s="35" t="str">
        <f>MID(Tabla1[[#This Row],[Aplicación]],14,2)</f>
        <v>22</v>
      </c>
      <c r="X1900" s="35" t="str">
        <f>MID(Tabla1[[#This Row],[Aplicación]],14,6)</f>
        <v>22200</v>
      </c>
    </row>
    <row r="1901" spans="1:24" x14ac:dyDescent="0.25">
      <c r="A1901" s="45">
        <v>220210000530</v>
      </c>
      <c r="B1901" s="46" t="s">
        <v>9</v>
      </c>
      <c r="C1901" s="47">
        <v>44221</v>
      </c>
      <c r="D1901" s="45">
        <v>22021000691</v>
      </c>
      <c r="E1901" s="46" t="s">
        <v>3178</v>
      </c>
      <c r="F1901" s="48">
        <v>239.89</v>
      </c>
      <c r="G1901" s="46" t="s">
        <v>124</v>
      </c>
      <c r="H1901" s="46" t="s">
        <v>3213</v>
      </c>
      <c r="I1901" s="45" t="s">
        <v>125</v>
      </c>
      <c r="J1901" s="46" t="s">
        <v>126</v>
      </c>
      <c r="K1901" s="46" t="s">
        <v>126</v>
      </c>
      <c r="L1901" s="46" t="s">
        <v>12</v>
      </c>
      <c r="M1901" s="46" t="s">
        <v>13</v>
      </c>
      <c r="N1901" s="46" t="s">
        <v>14</v>
      </c>
      <c r="O1901" s="49" t="s">
        <v>803</v>
      </c>
      <c r="P1901" s="46" t="s">
        <v>507</v>
      </c>
      <c r="Q1901" s="35" t="str">
        <f>MID(Tabla1[[#This Row],[Aplicación]],14,1)</f>
        <v>2</v>
      </c>
      <c r="R1901" s="35" t="s">
        <v>495</v>
      </c>
      <c r="S1901" s="35" t="str">
        <f>MID(Tabla1[[#This Row],[Aplicación]],6,2)</f>
        <v>10</v>
      </c>
      <c r="T1901" s="35" t="str">
        <f>VLOOKUP(Tabla1[[#This Row],[AREA]],Hoja1!A:B,2,FALSE)</f>
        <v>10. Servicios sociales y mediación comunitaria</v>
      </c>
      <c r="U1901" s="35" t="str">
        <f>MID(Tabla1[[#This Row],[Aplicación]],9,4)</f>
        <v>2412</v>
      </c>
      <c r="V1901" s="35" t="str">
        <f>VLOOKUP(Tabla1[[#This Row],[PROGRAMA]],Hoja1!A:B,2,FALSE)</f>
        <v>2412. Formación para el empleo</v>
      </c>
      <c r="W1901" s="35" t="str">
        <f>MID(Tabla1[[#This Row],[Aplicación]],14,2)</f>
        <v>22</v>
      </c>
      <c r="X1901" s="35" t="str">
        <f>MID(Tabla1[[#This Row],[Aplicación]],14,6)</f>
        <v>22200</v>
      </c>
    </row>
    <row r="1902" spans="1:24" x14ac:dyDescent="0.25">
      <c r="A1902" s="45">
        <v>220210000530</v>
      </c>
      <c r="B1902" s="46" t="s">
        <v>9</v>
      </c>
      <c r="C1902" s="47">
        <v>44221</v>
      </c>
      <c r="D1902" s="45">
        <v>22021000694</v>
      </c>
      <c r="E1902" s="46" t="s">
        <v>3178</v>
      </c>
      <c r="F1902" s="48">
        <v>205.61</v>
      </c>
      <c r="G1902" s="46" t="s">
        <v>124</v>
      </c>
      <c r="H1902" s="46" t="s">
        <v>3213</v>
      </c>
      <c r="I1902" s="45" t="s">
        <v>125</v>
      </c>
      <c r="J1902" s="46" t="s">
        <v>126</v>
      </c>
      <c r="K1902" s="46" t="s">
        <v>126</v>
      </c>
      <c r="L1902" s="46" t="s">
        <v>12</v>
      </c>
      <c r="M1902" s="46" t="s">
        <v>13</v>
      </c>
      <c r="N1902" s="46" t="s">
        <v>14</v>
      </c>
      <c r="O1902" s="49" t="s">
        <v>803</v>
      </c>
      <c r="P1902" s="46" t="s">
        <v>507</v>
      </c>
      <c r="Q1902" s="35" t="str">
        <f>MID(Tabla1[[#This Row],[Aplicación]],14,1)</f>
        <v>2</v>
      </c>
      <c r="R1902" s="35" t="s">
        <v>495</v>
      </c>
      <c r="S1902" s="35" t="str">
        <f>MID(Tabla1[[#This Row],[Aplicación]],6,2)</f>
        <v>10</v>
      </c>
      <c r="T1902" s="35" t="str">
        <f>VLOOKUP(Tabla1[[#This Row],[AREA]],Hoja1!A:B,2,FALSE)</f>
        <v>10. Servicios sociales y mediación comunitaria</v>
      </c>
      <c r="U1902" s="35" t="str">
        <f>MID(Tabla1[[#This Row],[Aplicación]],9,4)</f>
        <v>2412</v>
      </c>
      <c r="V1902" s="35" t="str">
        <f>VLOOKUP(Tabla1[[#This Row],[PROGRAMA]],Hoja1!A:B,2,FALSE)</f>
        <v>2412. Formación para el empleo</v>
      </c>
      <c r="W1902" s="35" t="str">
        <f>MID(Tabla1[[#This Row],[Aplicación]],14,2)</f>
        <v>22</v>
      </c>
      <c r="X1902" s="35" t="str">
        <f>MID(Tabla1[[#This Row],[Aplicación]],14,6)</f>
        <v>22200</v>
      </c>
    </row>
    <row r="1903" spans="1:24" x14ac:dyDescent="0.25">
      <c r="A1903" s="45">
        <v>220210000030</v>
      </c>
      <c r="B1903" s="46" t="s">
        <v>32</v>
      </c>
      <c r="C1903" s="47">
        <v>44215</v>
      </c>
      <c r="D1903" s="45">
        <v>22021000683</v>
      </c>
      <c r="E1903" s="46" t="s">
        <v>1368</v>
      </c>
      <c r="F1903" s="48">
        <v>1075.69</v>
      </c>
      <c r="G1903" s="46" t="s">
        <v>2517</v>
      </c>
      <c r="H1903" s="46" t="s">
        <v>3214</v>
      </c>
      <c r="I1903" s="45" t="s">
        <v>234</v>
      </c>
      <c r="J1903" s="46" t="s">
        <v>203</v>
      </c>
      <c r="K1903" s="46" t="s">
        <v>203</v>
      </c>
      <c r="L1903" s="46" t="s">
        <v>15</v>
      </c>
      <c r="M1903" s="46" t="s">
        <v>13</v>
      </c>
      <c r="N1903" s="46" t="s">
        <v>14</v>
      </c>
      <c r="O1903" s="49" t="s">
        <v>803</v>
      </c>
      <c r="P1903" s="46" t="s">
        <v>507</v>
      </c>
      <c r="Q1903" s="35" t="str">
        <f>MID(Tabla1[[#This Row],[Aplicación]],14,1)</f>
        <v>2</v>
      </c>
      <c r="R1903" s="35" t="s">
        <v>495</v>
      </c>
      <c r="S1903" s="35" t="str">
        <f>MID(Tabla1[[#This Row],[Aplicación]],6,2)</f>
        <v>10</v>
      </c>
      <c r="T1903" s="35" t="str">
        <f>VLOOKUP(Tabla1[[#This Row],[AREA]],Hoja1!A:B,2,FALSE)</f>
        <v>10. Servicios sociales y mediación comunitaria</v>
      </c>
      <c r="U1903" s="35" t="str">
        <f>MID(Tabla1[[#This Row],[Aplicación]],9,4)</f>
        <v>2312</v>
      </c>
      <c r="V1903" s="35" t="str">
        <f>VLOOKUP(Tabla1[[#This Row],[PROGRAMA]],Hoja1!A:B,2,FALSE)</f>
        <v>2312. Iniciativas sociales</v>
      </c>
      <c r="W1903" s="35" t="str">
        <f>MID(Tabla1[[#This Row],[Aplicación]],14,2)</f>
        <v>22</v>
      </c>
      <c r="X1903" s="35" t="str">
        <f>MID(Tabla1[[#This Row],[Aplicación]],14,6)</f>
        <v>22104</v>
      </c>
    </row>
    <row r="1904" spans="1:24" x14ac:dyDescent="0.25">
      <c r="A1904" s="45">
        <v>220210012740</v>
      </c>
      <c r="B1904" s="46" t="s">
        <v>204</v>
      </c>
      <c r="C1904" s="47">
        <v>44280</v>
      </c>
      <c r="D1904" s="45">
        <v>22021002371</v>
      </c>
      <c r="E1904" s="46" t="s">
        <v>1336</v>
      </c>
      <c r="F1904" s="48">
        <v>278.54000000000002</v>
      </c>
      <c r="G1904" s="46" t="s">
        <v>102</v>
      </c>
      <c r="H1904" s="46" t="s">
        <v>3215</v>
      </c>
      <c r="I1904" s="45" t="s">
        <v>205</v>
      </c>
      <c r="J1904" s="46" t="s">
        <v>127</v>
      </c>
      <c r="K1904" s="46" t="s">
        <v>127</v>
      </c>
      <c r="L1904" s="46" t="s">
        <v>15</v>
      </c>
      <c r="M1904" s="46" t="s">
        <v>13</v>
      </c>
      <c r="N1904" s="46" t="s">
        <v>14</v>
      </c>
      <c r="O1904" s="49" t="s">
        <v>814</v>
      </c>
      <c r="P1904" s="46" t="s">
        <v>507</v>
      </c>
      <c r="Q1904" s="35" t="str">
        <f>MID(Tabla1[[#This Row],[Aplicación]],14,1)</f>
        <v>2</v>
      </c>
      <c r="R1904" s="35" t="s">
        <v>495</v>
      </c>
      <c r="S1904" s="35" t="str">
        <f>MID(Tabla1[[#This Row],[Aplicación]],6,2)</f>
        <v>02</v>
      </c>
      <c r="T1904" s="35" t="str">
        <f>VLOOKUP(Tabla1[[#This Row],[AREA]],Hoja1!A:B,2,FALSE)</f>
        <v>02. Planeamiento urbanístico y vivienda</v>
      </c>
      <c r="U1904" s="35" t="str">
        <f>MID(Tabla1[[#This Row],[Aplicación]],9,4)</f>
        <v>9332</v>
      </c>
      <c r="V1904" s="35" t="str">
        <f>VLOOKUP(Tabla1[[#This Row],[PROGRAMA]],Hoja1!A:B,2,FALSE)</f>
        <v>9332. Mantenimiento de edificios e instalaciones municipales</v>
      </c>
      <c r="W1904" s="35" t="str">
        <f>MID(Tabla1[[#This Row],[Aplicación]],14,2)</f>
        <v>21</v>
      </c>
      <c r="X1904" s="35" t="str">
        <f>MID(Tabla1[[#This Row],[Aplicación]],14,6)</f>
        <v>212</v>
      </c>
    </row>
    <row r="1905" spans="1:24" x14ac:dyDescent="0.25">
      <c r="A1905" s="45">
        <v>220210012742</v>
      </c>
      <c r="B1905" s="46" t="s">
        <v>204</v>
      </c>
      <c r="C1905" s="47">
        <v>44280</v>
      </c>
      <c r="D1905" s="45">
        <v>22021002371</v>
      </c>
      <c r="E1905" s="46" t="s">
        <v>1336</v>
      </c>
      <c r="F1905" s="48">
        <v>113.11</v>
      </c>
      <c r="G1905" s="46" t="s">
        <v>102</v>
      </c>
      <c r="H1905" s="46" t="s">
        <v>3216</v>
      </c>
      <c r="I1905" s="45" t="s">
        <v>205</v>
      </c>
      <c r="J1905" s="46" t="s">
        <v>127</v>
      </c>
      <c r="K1905" s="46" t="s">
        <v>127</v>
      </c>
      <c r="L1905" s="46" t="s">
        <v>15</v>
      </c>
      <c r="M1905" s="46" t="s">
        <v>13</v>
      </c>
      <c r="N1905" s="46" t="s">
        <v>14</v>
      </c>
      <c r="O1905" s="49" t="s">
        <v>814</v>
      </c>
      <c r="P1905" s="46" t="s">
        <v>507</v>
      </c>
      <c r="Q1905" s="35" t="str">
        <f>MID(Tabla1[[#This Row],[Aplicación]],14,1)</f>
        <v>2</v>
      </c>
      <c r="R1905" s="35" t="s">
        <v>495</v>
      </c>
      <c r="S1905" s="35" t="str">
        <f>MID(Tabla1[[#This Row],[Aplicación]],6,2)</f>
        <v>02</v>
      </c>
      <c r="T1905" s="35" t="str">
        <f>VLOOKUP(Tabla1[[#This Row],[AREA]],Hoja1!A:B,2,FALSE)</f>
        <v>02. Planeamiento urbanístico y vivienda</v>
      </c>
      <c r="U1905" s="35" t="str">
        <f>MID(Tabla1[[#This Row],[Aplicación]],9,4)</f>
        <v>9332</v>
      </c>
      <c r="V1905" s="35" t="str">
        <f>VLOOKUP(Tabla1[[#This Row],[PROGRAMA]],Hoja1!A:B,2,FALSE)</f>
        <v>9332. Mantenimiento de edificios e instalaciones municipales</v>
      </c>
      <c r="W1905" s="35" t="str">
        <f>MID(Tabla1[[#This Row],[Aplicación]],14,2)</f>
        <v>21</v>
      </c>
      <c r="X1905" s="35" t="str">
        <f>MID(Tabla1[[#This Row],[Aplicación]],14,6)</f>
        <v>212</v>
      </c>
    </row>
    <row r="1906" spans="1:24" x14ac:dyDescent="0.25">
      <c r="A1906" s="45">
        <v>220210012763</v>
      </c>
      <c r="B1906" s="46" t="s">
        <v>204</v>
      </c>
      <c r="C1906" s="47">
        <v>44280</v>
      </c>
      <c r="D1906" s="45">
        <v>22021001275</v>
      </c>
      <c r="E1906" s="46" t="s">
        <v>1334</v>
      </c>
      <c r="F1906" s="48">
        <v>41.2</v>
      </c>
      <c r="G1906" s="46" t="s">
        <v>102</v>
      </c>
      <c r="H1906" s="46" t="s">
        <v>3217</v>
      </c>
      <c r="I1906" s="45" t="s">
        <v>205</v>
      </c>
      <c r="J1906" s="46" t="s">
        <v>127</v>
      </c>
      <c r="K1906" s="46" t="s">
        <v>127</v>
      </c>
      <c r="L1906" s="46" t="s">
        <v>15</v>
      </c>
      <c r="M1906" s="46" t="s">
        <v>13</v>
      </c>
      <c r="N1906" s="46" t="s">
        <v>14</v>
      </c>
      <c r="O1906" s="49" t="s">
        <v>814</v>
      </c>
      <c r="P1906" s="46" t="s">
        <v>507</v>
      </c>
      <c r="Q1906" s="35" t="str">
        <f>MID(Tabla1[[#This Row],[Aplicación]],14,1)</f>
        <v>2</v>
      </c>
      <c r="R1906" s="35" t="s">
        <v>495</v>
      </c>
      <c r="S1906" s="35" t="str">
        <f>MID(Tabla1[[#This Row],[Aplicación]],6,2)</f>
        <v>07</v>
      </c>
      <c r="T1906" s="35" t="str">
        <f>VLOOKUP(Tabla1[[#This Row],[AREA]],Hoja1!A:B,2,FALSE)</f>
        <v>07. Medio ambiente y desarrollo sostenible</v>
      </c>
      <c r="U1906" s="35" t="str">
        <f>MID(Tabla1[[#This Row],[Aplicación]],9,4)</f>
        <v>1711</v>
      </c>
      <c r="V1906" s="35" t="str">
        <f>VLOOKUP(Tabla1[[#This Row],[PROGRAMA]],Hoja1!A:B,2,FALSE)</f>
        <v>1711. Parques y jardines</v>
      </c>
      <c r="W1906" s="35" t="str">
        <f>MID(Tabla1[[#This Row],[Aplicación]],14,2)</f>
        <v>22</v>
      </c>
      <c r="X1906" s="35" t="str">
        <f>MID(Tabla1[[#This Row],[Aplicación]],14,6)</f>
        <v>22199</v>
      </c>
    </row>
    <row r="1907" spans="1:24" x14ac:dyDescent="0.25">
      <c r="A1907" s="45">
        <v>220210012766</v>
      </c>
      <c r="B1907" s="46" t="s">
        <v>204</v>
      </c>
      <c r="C1907" s="47">
        <v>44280</v>
      </c>
      <c r="D1907" s="45">
        <v>22021002449</v>
      </c>
      <c r="E1907" s="46" t="s">
        <v>1724</v>
      </c>
      <c r="F1907" s="48">
        <v>1883.85</v>
      </c>
      <c r="G1907" s="46" t="s">
        <v>263</v>
      </c>
      <c r="H1907" s="46" t="s">
        <v>1725</v>
      </c>
      <c r="I1907" s="45" t="s">
        <v>205</v>
      </c>
      <c r="J1907" s="46" t="s">
        <v>127</v>
      </c>
      <c r="K1907" s="46" t="s">
        <v>127</v>
      </c>
      <c r="L1907" s="46" t="s">
        <v>15</v>
      </c>
      <c r="M1907" s="46" t="s">
        <v>13</v>
      </c>
      <c r="N1907" s="46" t="s">
        <v>14</v>
      </c>
      <c r="O1907" s="49" t="s">
        <v>814</v>
      </c>
      <c r="P1907" s="46" t="s">
        <v>507</v>
      </c>
      <c r="Q1907" s="35" t="str">
        <f>MID(Tabla1[[#This Row],[Aplicación]],14,1)</f>
        <v>6</v>
      </c>
      <c r="R1907" s="35" t="s">
        <v>496</v>
      </c>
      <c r="S1907" s="35" t="str">
        <f>MID(Tabla1[[#This Row],[Aplicación]],6,2)</f>
        <v>07</v>
      </c>
      <c r="T1907" s="35" t="str">
        <f>VLOOKUP(Tabla1[[#This Row],[AREA]],Hoja1!A:B,2,FALSE)</f>
        <v>07. Medio ambiente y desarrollo sostenible</v>
      </c>
      <c r="U1907" s="35" t="str">
        <f>MID(Tabla1[[#This Row],[Aplicación]],9,4)</f>
        <v>1711</v>
      </c>
      <c r="V1907" s="35" t="str">
        <f>VLOOKUP(Tabla1[[#This Row],[PROGRAMA]],Hoja1!A:B,2,FALSE)</f>
        <v>1711. Parques y jardines</v>
      </c>
      <c r="W1907" s="35" t="str">
        <f>MID(Tabla1[[#This Row],[Aplicación]],14,2)</f>
        <v>61</v>
      </c>
      <c r="X1907" s="35" t="str">
        <f>MID(Tabla1[[#This Row],[Aplicación]],14,6)</f>
        <v>619</v>
      </c>
    </row>
    <row r="1908" spans="1:24" x14ac:dyDescent="0.25">
      <c r="A1908" s="45">
        <v>220210008265</v>
      </c>
      <c r="B1908" s="46" t="s">
        <v>9</v>
      </c>
      <c r="C1908" s="47">
        <v>44264</v>
      </c>
      <c r="D1908" s="45">
        <v>22021001964</v>
      </c>
      <c r="E1908" s="46" t="s">
        <v>1648</v>
      </c>
      <c r="F1908" s="48">
        <v>14520</v>
      </c>
      <c r="G1908" s="46" t="s">
        <v>159</v>
      </c>
      <c r="H1908" s="46" t="s">
        <v>3218</v>
      </c>
      <c r="I1908" s="45" t="s">
        <v>125</v>
      </c>
      <c r="J1908" s="46" t="s">
        <v>642</v>
      </c>
      <c r="K1908" s="46" t="s">
        <v>160</v>
      </c>
      <c r="L1908" s="46" t="s">
        <v>12</v>
      </c>
      <c r="M1908" s="46" t="s">
        <v>10</v>
      </c>
      <c r="N1908" s="46" t="s">
        <v>11</v>
      </c>
      <c r="O1908" s="49" t="s">
        <v>815</v>
      </c>
      <c r="P1908" s="46" t="s">
        <v>507</v>
      </c>
      <c r="Q1908" s="35" t="str">
        <f>MID(Tabla1[[#This Row],[Aplicación]],14,1)</f>
        <v>2</v>
      </c>
      <c r="R1908" s="35" t="s">
        <v>495</v>
      </c>
      <c r="S1908" s="35" t="str">
        <f>MID(Tabla1[[#This Row],[Aplicación]],6,2)</f>
        <v>09</v>
      </c>
      <c r="T1908" s="35" t="str">
        <f>VLOOKUP(Tabla1[[#This Row],[AREA]],Hoja1!A:B,2,FALSE)</f>
        <v>09. Cultura y turismo</v>
      </c>
      <c r="U1908" s="35" t="str">
        <f>MID(Tabla1[[#This Row],[Aplicación]],9,4)</f>
        <v>3341</v>
      </c>
      <c r="V1908" s="35" t="str">
        <f>VLOOKUP(Tabla1[[#This Row],[PROGRAMA]],Hoja1!A:B,2,FALSE)</f>
        <v>3341. Coordinación de políticas culturales</v>
      </c>
      <c r="W1908" s="35" t="str">
        <f>MID(Tabla1[[#This Row],[Aplicación]],14,2)</f>
        <v>22</v>
      </c>
      <c r="X1908" s="35" t="str">
        <f>MID(Tabla1[[#This Row],[Aplicación]],14,6)</f>
        <v>22799</v>
      </c>
    </row>
    <row r="1909" spans="1:24" x14ac:dyDescent="0.25">
      <c r="A1909" s="45">
        <v>220210007800</v>
      </c>
      <c r="B1909" s="46" t="s">
        <v>9</v>
      </c>
      <c r="C1909" s="47">
        <v>44264</v>
      </c>
      <c r="D1909" s="45">
        <v>22021003360</v>
      </c>
      <c r="E1909" s="46" t="s">
        <v>1201</v>
      </c>
      <c r="F1909" s="48">
        <v>15000</v>
      </c>
      <c r="G1909" s="46" t="s">
        <v>137</v>
      </c>
      <c r="H1909" s="46" t="s">
        <v>3219</v>
      </c>
      <c r="I1909" s="45" t="s">
        <v>125</v>
      </c>
      <c r="J1909" s="46" t="s">
        <v>677</v>
      </c>
      <c r="K1909" s="46" t="s">
        <v>127</v>
      </c>
      <c r="L1909" s="46" t="s">
        <v>15</v>
      </c>
      <c r="M1909" s="46" t="s">
        <v>10</v>
      </c>
      <c r="N1909" s="46" t="s">
        <v>11</v>
      </c>
      <c r="O1909" s="49" t="s">
        <v>815</v>
      </c>
      <c r="P1909" s="46" t="s">
        <v>507</v>
      </c>
      <c r="Q1909" s="35" t="str">
        <f>MID(Tabla1[[#This Row],[Aplicación]],14,1)</f>
        <v>2</v>
      </c>
      <c r="R1909" s="35" t="s">
        <v>495</v>
      </c>
      <c r="S1909" s="35" t="str">
        <f>MID(Tabla1[[#This Row],[Aplicación]],6,2)</f>
        <v>11</v>
      </c>
      <c r="T1909" s="35" t="str">
        <f>VLOOKUP(Tabla1[[#This Row],[AREA]],Hoja1!A:B,2,FALSE)</f>
        <v>11. Salud pública y seguridad ciudadana</v>
      </c>
      <c r="U1909" s="35" t="str">
        <f>MID(Tabla1[[#This Row],[Aplicación]],9,4)</f>
        <v>3111</v>
      </c>
      <c r="V1909" s="35" t="str">
        <f>VLOOKUP(Tabla1[[#This Row],[PROGRAMA]],Hoja1!A:B,2,FALSE)</f>
        <v>3111. Protección de la salubridad pública</v>
      </c>
      <c r="W1909" s="35" t="str">
        <f>MID(Tabla1[[#This Row],[Aplicación]],14,2)</f>
        <v>22</v>
      </c>
      <c r="X1909" s="35" t="str">
        <f>MID(Tabla1[[#This Row],[Aplicación]],14,6)</f>
        <v>22106</v>
      </c>
    </row>
    <row r="1910" spans="1:24" x14ac:dyDescent="0.25">
      <c r="A1910" s="45">
        <v>220210005451</v>
      </c>
      <c r="B1910" s="46" t="s">
        <v>9</v>
      </c>
      <c r="C1910" s="47">
        <v>44250</v>
      </c>
      <c r="D1910" s="45">
        <v>22021002416</v>
      </c>
      <c r="E1910" s="46" t="s">
        <v>3220</v>
      </c>
      <c r="F1910" s="48">
        <v>15470</v>
      </c>
      <c r="G1910" s="46" t="s">
        <v>153</v>
      </c>
      <c r="H1910" s="46" t="s">
        <v>3221</v>
      </c>
      <c r="I1910" s="45" t="s">
        <v>125</v>
      </c>
      <c r="J1910" s="46" t="s">
        <v>729</v>
      </c>
      <c r="K1910" s="46" t="s">
        <v>126</v>
      </c>
      <c r="L1910" s="46" t="s">
        <v>15</v>
      </c>
      <c r="M1910" s="46" t="s">
        <v>10</v>
      </c>
      <c r="N1910" s="46" t="s">
        <v>11</v>
      </c>
      <c r="O1910" s="49" t="s">
        <v>815</v>
      </c>
      <c r="P1910" s="46" t="s">
        <v>507</v>
      </c>
      <c r="Q1910" s="35" t="str">
        <f>MID(Tabla1[[#This Row],[Aplicación]],14,1)</f>
        <v>6</v>
      </c>
      <c r="R1910" s="35" t="s">
        <v>496</v>
      </c>
      <c r="S1910" s="35" t="str">
        <f>MID(Tabla1[[#This Row],[Aplicación]],6,2)</f>
        <v>08</v>
      </c>
      <c r="T1910" s="35" t="str">
        <f>VLOOKUP(Tabla1[[#This Row],[AREA]],Hoja1!A:B,2,FALSE)</f>
        <v>08. Movilidad y espacio urbano</v>
      </c>
      <c r="U1910" s="35" t="str">
        <f>MID(Tabla1[[#This Row],[Aplicación]],9,4)</f>
        <v>1532</v>
      </c>
      <c r="V1910" s="35" t="str">
        <f>VLOOKUP(Tabla1[[#This Row],[PROGRAMA]],Hoja1!A:B,2,FALSE)</f>
        <v>1532. Pavimentación vias públicas y otros servicios urbanísticos</v>
      </c>
      <c r="W1910" s="35" t="str">
        <f>MID(Tabla1[[#This Row],[Aplicación]],14,2)</f>
        <v>62</v>
      </c>
      <c r="X1910" s="35" t="str">
        <f>MID(Tabla1[[#This Row],[Aplicación]],14,6)</f>
        <v>624</v>
      </c>
    </row>
    <row r="1911" spans="1:24" x14ac:dyDescent="0.25">
      <c r="A1911" s="45">
        <v>220210008427</v>
      </c>
      <c r="B1911" s="46" t="s">
        <v>9</v>
      </c>
      <c r="C1911" s="47">
        <v>44266</v>
      </c>
      <c r="D1911" s="45">
        <v>22021002271</v>
      </c>
      <c r="E1911" s="46" t="s">
        <v>1288</v>
      </c>
      <c r="F1911" s="48">
        <v>16000</v>
      </c>
      <c r="G1911" s="46" t="s">
        <v>220</v>
      </c>
      <c r="H1911" s="46" t="s">
        <v>3222</v>
      </c>
      <c r="I1911" s="45" t="s">
        <v>125</v>
      </c>
      <c r="J1911" s="46" t="s">
        <v>127</v>
      </c>
      <c r="K1911" s="46" t="s">
        <v>127</v>
      </c>
      <c r="L1911" s="46" t="s">
        <v>15</v>
      </c>
      <c r="M1911" s="46" t="s">
        <v>10</v>
      </c>
      <c r="N1911" s="46" t="s">
        <v>11</v>
      </c>
      <c r="O1911" s="49" t="s">
        <v>815</v>
      </c>
      <c r="P1911" s="46" t="s">
        <v>507</v>
      </c>
      <c r="Q1911" s="35" t="str">
        <f>MID(Tabla1[[#This Row],[Aplicación]],14,1)</f>
        <v>2</v>
      </c>
      <c r="R1911" s="35" t="s">
        <v>495</v>
      </c>
      <c r="S1911" s="35" t="str">
        <f>MID(Tabla1[[#This Row],[Aplicación]],6,2)</f>
        <v>04</v>
      </c>
      <c r="T1911" s="35" t="str">
        <f>VLOOKUP(Tabla1[[#This Row],[AREA]],Hoja1!A:B,2,FALSE)</f>
        <v>04. Planificación y recursos</v>
      </c>
      <c r="U1911" s="35" t="str">
        <f>MID(Tabla1[[#This Row],[Aplicación]],9,4)</f>
        <v>3121</v>
      </c>
      <c r="V1911" s="35" t="str">
        <f>VLOOKUP(Tabla1[[#This Row],[PROGRAMA]],Hoja1!A:B,2,FALSE)</f>
        <v>3121. Prevención y salud laboral</v>
      </c>
      <c r="W1911" s="35" t="str">
        <f>MID(Tabla1[[#This Row],[Aplicación]],14,2)</f>
        <v>22</v>
      </c>
      <c r="X1911" s="35" t="str">
        <f>MID(Tabla1[[#This Row],[Aplicación]],14,6)</f>
        <v>22106</v>
      </c>
    </row>
    <row r="1912" spans="1:24" x14ac:dyDescent="0.25">
      <c r="A1912" s="45">
        <v>220209000657</v>
      </c>
      <c r="B1912" s="46" t="s">
        <v>9</v>
      </c>
      <c r="C1912" s="47">
        <v>44198</v>
      </c>
      <c r="D1912" s="45">
        <v>22021000417</v>
      </c>
      <c r="E1912" s="46" t="s">
        <v>3168</v>
      </c>
      <c r="F1912" s="48">
        <v>16000</v>
      </c>
      <c r="G1912" s="46" t="s">
        <v>3223</v>
      </c>
      <c r="H1912" s="46" t="s">
        <v>3224</v>
      </c>
      <c r="I1912" s="45" t="s">
        <v>125</v>
      </c>
      <c r="J1912" s="46" t="s">
        <v>127</v>
      </c>
      <c r="K1912" s="46" t="s">
        <v>127</v>
      </c>
      <c r="L1912" s="46" t="s">
        <v>12</v>
      </c>
      <c r="M1912" s="46" t="s">
        <v>13</v>
      </c>
      <c r="N1912" s="46" t="s">
        <v>14</v>
      </c>
      <c r="O1912" s="49" t="s">
        <v>803</v>
      </c>
      <c r="P1912" s="46" t="s">
        <v>507</v>
      </c>
      <c r="Q1912" s="35" t="str">
        <f>MID(Tabla1[[#This Row],[Aplicación]],14,1)</f>
        <v>2</v>
      </c>
      <c r="R1912" s="35" t="s">
        <v>495</v>
      </c>
      <c r="S1912" s="35" t="str">
        <f>MID(Tabla1[[#This Row],[Aplicación]],6,2)</f>
        <v>05</v>
      </c>
      <c r="T1912" s="35" t="str">
        <f>VLOOKUP(Tabla1[[#This Row],[AREA]],Hoja1!A:B,2,FALSE)</f>
        <v>05. Innovación, desarrollo económico, empleo y comercio</v>
      </c>
      <c r="U1912" s="35" t="str">
        <f>MID(Tabla1[[#This Row],[Aplicación]],9,4)</f>
        <v>4315</v>
      </c>
      <c r="V1912" s="35" t="str">
        <f>VLOOKUP(Tabla1[[#This Row],[PROGRAMA]],Hoja1!A:B,2,FALSE)</f>
        <v>4315. Actuaciones en materia de consumo</v>
      </c>
      <c r="W1912" s="35" t="str">
        <f>MID(Tabla1[[#This Row],[Aplicación]],14,2)</f>
        <v>22</v>
      </c>
      <c r="X1912" s="35" t="str">
        <f>MID(Tabla1[[#This Row],[Aplicación]],14,6)</f>
        <v>22606</v>
      </c>
    </row>
    <row r="1913" spans="1:24" x14ac:dyDescent="0.25">
      <c r="A1913" s="45">
        <v>220210012880</v>
      </c>
      <c r="B1913" s="46" t="s">
        <v>9</v>
      </c>
      <c r="C1913" s="47">
        <v>44284</v>
      </c>
      <c r="D1913" s="45">
        <v>22021003663</v>
      </c>
      <c r="E1913" s="46" t="s">
        <v>1167</v>
      </c>
      <c r="F1913" s="48">
        <v>404.44</v>
      </c>
      <c r="G1913" s="46" t="s">
        <v>262</v>
      </c>
      <c r="H1913" s="46" t="s">
        <v>3225</v>
      </c>
      <c r="I1913" s="45" t="s">
        <v>125</v>
      </c>
      <c r="J1913" s="46" t="s">
        <v>127</v>
      </c>
      <c r="K1913" s="46" t="s">
        <v>127</v>
      </c>
      <c r="L1913" s="46" t="s">
        <v>12</v>
      </c>
      <c r="M1913" s="46" t="s">
        <v>10</v>
      </c>
      <c r="N1913" s="46" t="s">
        <v>11</v>
      </c>
      <c r="O1913" s="49" t="s">
        <v>815</v>
      </c>
      <c r="P1913" s="46" t="s">
        <v>507</v>
      </c>
      <c r="Q1913" s="35" t="str">
        <f>MID(Tabla1[[#This Row],[Aplicación]],14,1)</f>
        <v>2</v>
      </c>
      <c r="R1913" s="35" t="s">
        <v>495</v>
      </c>
      <c r="S1913" s="35" t="str">
        <f>MID(Tabla1[[#This Row],[Aplicación]],6,2)</f>
        <v>11</v>
      </c>
      <c r="T1913" s="35" t="str">
        <f>VLOOKUP(Tabla1[[#This Row],[AREA]],Hoja1!A:B,2,FALSE)</f>
        <v>11. Salud pública y seguridad ciudadana</v>
      </c>
      <c r="U1913" s="35" t="str">
        <f>MID(Tabla1[[#This Row],[Aplicación]],9,4)</f>
        <v>1321</v>
      </c>
      <c r="V1913" s="35" t="str">
        <f>VLOOKUP(Tabla1[[#This Row],[PROGRAMA]],Hoja1!A:B,2,FALSE)</f>
        <v>1321. Policía municipal</v>
      </c>
      <c r="W1913" s="35" t="str">
        <f>MID(Tabla1[[#This Row],[Aplicación]],14,2)</f>
        <v>21</v>
      </c>
      <c r="X1913" s="35" t="str">
        <f>MID(Tabla1[[#This Row],[Aplicación]],14,6)</f>
        <v>214</v>
      </c>
    </row>
    <row r="1914" spans="1:24" x14ac:dyDescent="0.25">
      <c r="A1914" s="45">
        <v>220210005192</v>
      </c>
      <c r="B1914" s="46" t="s">
        <v>9</v>
      </c>
      <c r="C1914" s="47">
        <v>44246</v>
      </c>
      <c r="D1914" s="45">
        <v>22021001679</v>
      </c>
      <c r="E1914" s="46" t="s">
        <v>1279</v>
      </c>
      <c r="F1914" s="48">
        <v>17082.25</v>
      </c>
      <c r="G1914" s="46" t="s">
        <v>514</v>
      </c>
      <c r="H1914" s="46" t="s">
        <v>3226</v>
      </c>
      <c r="I1914" s="45" t="s">
        <v>125</v>
      </c>
      <c r="J1914" s="46" t="s">
        <v>127</v>
      </c>
      <c r="K1914" s="46" t="s">
        <v>127</v>
      </c>
      <c r="L1914" s="46" t="s">
        <v>12</v>
      </c>
      <c r="M1914" s="46" t="s">
        <v>10</v>
      </c>
      <c r="N1914" s="46" t="s">
        <v>11</v>
      </c>
      <c r="O1914" s="49" t="s">
        <v>815</v>
      </c>
      <c r="P1914" s="46" t="s">
        <v>507</v>
      </c>
      <c r="Q1914" s="35" t="str">
        <f>MID(Tabla1[[#This Row],[Aplicación]],14,1)</f>
        <v>2</v>
      </c>
      <c r="R1914" s="35" t="s">
        <v>495</v>
      </c>
      <c r="S1914" s="35" t="str">
        <f>MID(Tabla1[[#This Row],[Aplicación]],6,2)</f>
        <v>04</v>
      </c>
      <c r="T1914" s="35" t="str">
        <f>VLOOKUP(Tabla1[[#This Row],[AREA]],Hoja1!A:B,2,FALSE)</f>
        <v>04. Planificación y recursos</v>
      </c>
      <c r="U1914" s="35" t="str">
        <f>MID(Tabla1[[#This Row],[Aplicación]],9,4)</f>
        <v>9231</v>
      </c>
      <c r="V1914" s="35" t="str">
        <f>VLOOKUP(Tabla1[[#This Row],[PROGRAMA]],Hoja1!A:B,2,FALSE)</f>
        <v>9231. Información, registro y gestión del padrón</v>
      </c>
      <c r="W1914" s="35" t="str">
        <f>MID(Tabla1[[#This Row],[Aplicación]],14,2)</f>
        <v>22</v>
      </c>
      <c r="X1914" s="35" t="str">
        <f>MID(Tabla1[[#This Row],[Aplicación]],14,6)</f>
        <v>22799</v>
      </c>
    </row>
    <row r="1915" spans="1:24" x14ac:dyDescent="0.25">
      <c r="A1915" s="45">
        <v>220209000513</v>
      </c>
      <c r="B1915" s="46" t="s">
        <v>9</v>
      </c>
      <c r="C1915" s="47">
        <v>44198</v>
      </c>
      <c r="D1915" s="45">
        <v>22021000335</v>
      </c>
      <c r="E1915" s="46" t="s">
        <v>2803</v>
      </c>
      <c r="F1915" s="48">
        <v>17711.93</v>
      </c>
      <c r="G1915" s="46" t="s">
        <v>61</v>
      </c>
      <c r="H1915" s="46" t="s">
        <v>33</v>
      </c>
      <c r="I1915" s="45" t="s">
        <v>125</v>
      </c>
      <c r="J1915" s="46" t="s">
        <v>180</v>
      </c>
      <c r="K1915" s="46" t="s">
        <v>180</v>
      </c>
      <c r="L1915" s="46" t="s">
        <v>12</v>
      </c>
      <c r="M1915" s="46" t="s">
        <v>10</v>
      </c>
      <c r="N1915" s="46" t="s">
        <v>11</v>
      </c>
      <c r="O1915" s="49" t="s">
        <v>815</v>
      </c>
      <c r="P1915" s="46" t="s">
        <v>507</v>
      </c>
      <c r="Q1915" s="35" t="str">
        <f>MID(Tabla1[[#This Row],[Aplicación]],14,1)</f>
        <v>2</v>
      </c>
      <c r="R1915" s="35" t="s">
        <v>495</v>
      </c>
      <c r="S1915" s="35" t="str">
        <f>MID(Tabla1[[#This Row],[Aplicación]],6,2)</f>
        <v>06</v>
      </c>
      <c r="T1915" s="35" t="str">
        <f>VLOOKUP(Tabla1[[#This Row],[AREA]],Hoja1!A:B,2,FALSE)</f>
        <v>06. Educación, infancia, juventud e igualdad</v>
      </c>
      <c r="U1915" s="35" t="str">
        <f>MID(Tabla1[[#This Row],[Aplicación]],9,4)</f>
        <v>2314</v>
      </c>
      <c r="V1915" s="35" t="str">
        <f>VLOOKUP(Tabla1[[#This Row],[PROGRAMA]],Hoja1!A:B,2,FALSE)</f>
        <v>2314. Centro de programas juveniles</v>
      </c>
      <c r="W1915" s="35" t="str">
        <f>MID(Tabla1[[#This Row],[Aplicación]],14,2)</f>
        <v>22</v>
      </c>
      <c r="X1915" s="35" t="str">
        <f>MID(Tabla1[[#This Row],[Aplicación]],14,6)</f>
        <v>22602</v>
      </c>
    </row>
    <row r="1916" spans="1:24" x14ac:dyDescent="0.25">
      <c r="A1916" s="45">
        <v>220209000622</v>
      </c>
      <c r="B1916" s="46" t="s">
        <v>9</v>
      </c>
      <c r="C1916" s="47">
        <v>44198</v>
      </c>
      <c r="D1916" s="45">
        <v>22021000636</v>
      </c>
      <c r="E1916" s="46" t="s">
        <v>859</v>
      </c>
      <c r="F1916" s="48">
        <v>17908</v>
      </c>
      <c r="G1916" s="46" t="s">
        <v>3227</v>
      </c>
      <c r="H1916" s="46" t="s">
        <v>3228</v>
      </c>
      <c r="I1916" s="45" t="s">
        <v>125</v>
      </c>
      <c r="J1916" s="46" t="s">
        <v>3229</v>
      </c>
      <c r="K1916" s="46" t="s">
        <v>201</v>
      </c>
      <c r="L1916" s="46" t="s">
        <v>12</v>
      </c>
      <c r="M1916" s="46" t="s">
        <v>10</v>
      </c>
      <c r="N1916" s="46" t="s">
        <v>11</v>
      </c>
      <c r="O1916" s="49" t="s">
        <v>815</v>
      </c>
      <c r="P1916" s="46" t="s">
        <v>507</v>
      </c>
      <c r="Q1916" s="35" t="str">
        <f>MID(Tabla1[[#This Row],[Aplicación]],14,1)</f>
        <v>2</v>
      </c>
      <c r="R1916" s="35" t="s">
        <v>495</v>
      </c>
      <c r="S1916" s="35" t="str">
        <f>MID(Tabla1[[#This Row],[Aplicación]],6,2)</f>
        <v>05</v>
      </c>
      <c r="T1916" s="35" t="str">
        <f>VLOOKUP(Tabla1[[#This Row],[AREA]],Hoja1!A:B,2,FALSE)</f>
        <v>05. Innovación, desarrollo económico, empleo y comercio</v>
      </c>
      <c r="U1916" s="35" t="str">
        <f>MID(Tabla1[[#This Row],[Aplicación]],9,4)</f>
        <v>4331</v>
      </c>
      <c r="V1916" s="35" t="str">
        <f>VLOOKUP(Tabla1[[#This Row],[PROGRAMA]],Hoja1!A:B,2,FALSE)</f>
        <v>4331. Desarrollo empresarial</v>
      </c>
      <c r="W1916" s="35" t="str">
        <f>MID(Tabla1[[#This Row],[Aplicación]],14,2)</f>
        <v>22</v>
      </c>
      <c r="X1916" s="35" t="str">
        <f>MID(Tabla1[[#This Row],[Aplicación]],14,6)</f>
        <v>22706</v>
      </c>
    </row>
    <row r="1917" spans="1:24" x14ac:dyDescent="0.25">
      <c r="A1917" s="45">
        <v>220209000090</v>
      </c>
      <c r="B1917" s="46" t="s">
        <v>9</v>
      </c>
      <c r="C1917" s="47">
        <v>44198</v>
      </c>
      <c r="D1917" s="45">
        <v>22021000084</v>
      </c>
      <c r="E1917" s="46" t="s">
        <v>842</v>
      </c>
      <c r="F1917" s="48">
        <v>17950</v>
      </c>
      <c r="G1917" s="46" t="s">
        <v>161</v>
      </c>
      <c r="H1917" s="46" t="s">
        <v>3230</v>
      </c>
      <c r="I1917" s="45" t="s">
        <v>125</v>
      </c>
      <c r="J1917" s="46" t="s">
        <v>127</v>
      </c>
      <c r="K1917" s="46" t="s">
        <v>127</v>
      </c>
      <c r="L1917" s="46" t="s">
        <v>12</v>
      </c>
      <c r="M1917" s="46" t="s">
        <v>13</v>
      </c>
      <c r="N1917" s="46" t="s">
        <v>16</v>
      </c>
      <c r="O1917" s="49" t="s">
        <v>803</v>
      </c>
      <c r="P1917" s="46" t="s">
        <v>507</v>
      </c>
      <c r="Q1917" s="35" t="str">
        <f>MID(Tabla1[[#This Row],[Aplicación]],14,1)</f>
        <v>2</v>
      </c>
      <c r="R1917" s="35" t="s">
        <v>495</v>
      </c>
      <c r="S1917" s="35" t="str">
        <f>MID(Tabla1[[#This Row],[Aplicación]],6,2)</f>
        <v>06</v>
      </c>
      <c r="T1917" s="35" t="str">
        <f>VLOOKUP(Tabla1[[#This Row],[AREA]],Hoja1!A:B,2,FALSE)</f>
        <v>06. Educación, infancia, juventud e igualdad</v>
      </c>
      <c r="U1917" s="35" t="str">
        <f>MID(Tabla1[[#This Row],[Aplicación]],9,4)</f>
        <v>3261</v>
      </c>
      <c r="V1917" s="35" t="str">
        <f>VLOOKUP(Tabla1[[#This Row],[PROGRAMA]],Hoja1!A:B,2,FALSE)</f>
        <v>3261. Servicios complementarios de educación</v>
      </c>
      <c r="W1917" s="35" t="str">
        <f>MID(Tabla1[[#This Row],[Aplicación]],14,2)</f>
        <v>22</v>
      </c>
      <c r="X1917" s="35" t="str">
        <f>MID(Tabla1[[#This Row],[Aplicación]],14,6)</f>
        <v>22799</v>
      </c>
    </row>
    <row r="1918" spans="1:24" x14ac:dyDescent="0.25">
      <c r="A1918" s="45">
        <v>220210000034</v>
      </c>
      <c r="B1918" s="46" t="s">
        <v>32</v>
      </c>
      <c r="C1918" s="47">
        <v>44215</v>
      </c>
      <c r="D1918" s="45">
        <v>22021000687</v>
      </c>
      <c r="E1918" s="46" t="s">
        <v>1421</v>
      </c>
      <c r="F1918" s="48">
        <v>592.9</v>
      </c>
      <c r="G1918" s="46" t="s">
        <v>2517</v>
      </c>
      <c r="H1918" s="46" t="s">
        <v>3231</v>
      </c>
      <c r="I1918" s="45" t="s">
        <v>234</v>
      </c>
      <c r="J1918" s="46" t="s">
        <v>203</v>
      </c>
      <c r="K1918" s="46" t="s">
        <v>203</v>
      </c>
      <c r="L1918" s="46" t="s">
        <v>15</v>
      </c>
      <c r="M1918" s="46" t="s">
        <v>13</v>
      </c>
      <c r="N1918" s="46" t="s">
        <v>11</v>
      </c>
      <c r="O1918" s="49" t="s">
        <v>803</v>
      </c>
      <c r="P1918" s="46" t="s">
        <v>507</v>
      </c>
      <c r="Q1918" s="35" t="str">
        <f>MID(Tabla1[[#This Row],[Aplicación]],14,1)</f>
        <v>2</v>
      </c>
      <c r="R1918" s="35" t="s">
        <v>495</v>
      </c>
      <c r="S1918" s="35" t="str">
        <f>MID(Tabla1[[#This Row],[Aplicación]],6,2)</f>
        <v>01</v>
      </c>
      <c r="T1918" s="35" t="str">
        <f>VLOOKUP(Tabla1[[#This Row],[AREA]],Hoja1!A:B,2,FALSE)</f>
        <v>01. Alcaldía</v>
      </c>
      <c r="U1918" s="35" t="str">
        <f>MID(Tabla1[[#This Row],[Aplicación]],9,4)</f>
        <v>9203</v>
      </c>
      <c r="V1918" s="35" t="str">
        <f>VLOOKUP(Tabla1[[#This Row],[PROGRAMA]],Hoja1!A:B,2,FALSE)</f>
        <v>9203. Unidad de régimen interior</v>
      </c>
      <c r="W1918" s="35" t="str">
        <f>MID(Tabla1[[#This Row],[Aplicación]],14,2)</f>
        <v>22</v>
      </c>
      <c r="X1918" s="35" t="str">
        <f>MID(Tabla1[[#This Row],[Aplicación]],14,6)</f>
        <v>22104</v>
      </c>
    </row>
    <row r="1919" spans="1:24" x14ac:dyDescent="0.25">
      <c r="A1919" s="45">
        <v>220200039617</v>
      </c>
      <c r="B1919" s="46" t="s">
        <v>9</v>
      </c>
      <c r="C1919" s="47">
        <v>44284</v>
      </c>
      <c r="D1919" s="45">
        <v>22020002613</v>
      </c>
      <c r="E1919" s="46" t="s">
        <v>1172</v>
      </c>
      <c r="F1919" s="48">
        <v>18089.5</v>
      </c>
      <c r="G1919" s="46" t="s">
        <v>3232</v>
      </c>
      <c r="H1919" s="46" t="s">
        <v>3233</v>
      </c>
      <c r="I1919" s="45" t="s">
        <v>125</v>
      </c>
      <c r="J1919" s="46" t="s">
        <v>127</v>
      </c>
      <c r="K1919" s="50" t="s">
        <v>127</v>
      </c>
      <c r="L1919" s="46" t="s">
        <v>31</v>
      </c>
      <c r="M1919" s="46" t="s">
        <v>10</v>
      </c>
      <c r="N1919" s="46" t="s">
        <v>11</v>
      </c>
      <c r="O1919" s="49" t="s">
        <v>815</v>
      </c>
      <c r="P1919" s="46" t="s">
        <v>507</v>
      </c>
      <c r="Q1919" s="35" t="str">
        <f>MID(Tabla1[[#This Row],[Aplicación]],14,1)</f>
        <v>6</v>
      </c>
      <c r="R1919" s="35" t="s">
        <v>496</v>
      </c>
      <c r="S1919" s="35" t="str">
        <f>MID(Tabla1[[#This Row],[Aplicación]],6,2)</f>
        <v>02</v>
      </c>
      <c r="T1919" s="35" t="str">
        <f>VLOOKUP(Tabla1[[#This Row],[AREA]],Hoja1!A:B,2,FALSE)</f>
        <v>02. Planeamiento urbanístico y vivienda</v>
      </c>
      <c r="U1919" s="35" t="str">
        <f>MID(Tabla1[[#This Row],[Aplicación]],9,4)</f>
        <v>9332</v>
      </c>
      <c r="V1919" s="35" t="str">
        <f>VLOOKUP(Tabla1[[#This Row],[PROGRAMA]],Hoja1!A:B,2,FALSE)</f>
        <v>9332. Mantenimiento de edificios e instalaciones municipales</v>
      </c>
      <c r="W1919" s="35" t="str">
        <f>MID(Tabla1[[#This Row],[Aplicación]],14,2)</f>
        <v>63</v>
      </c>
      <c r="X1919" s="35" t="str">
        <f>MID(Tabla1[[#This Row],[Aplicación]],14,6)</f>
        <v>632</v>
      </c>
    </row>
    <row r="1920" spans="1:24" x14ac:dyDescent="0.25">
      <c r="A1920" s="45">
        <v>220209000735</v>
      </c>
      <c r="B1920" s="46" t="s">
        <v>9</v>
      </c>
      <c r="C1920" s="47">
        <v>44198</v>
      </c>
      <c r="D1920" s="45">
        <v>22021000467</v>
      </c>
      <c r="E1920" s="46" t="s">
        <v>1421</v>
      </c>
      <c r="F1920" s="48">
        <v>2783</v>
      </c>
      <c r="G1920" s="46" t="s">
        <v>2517</v>
      </c>
      <c r="H1920" s="46" t="s">
        <v>3234</v>
      </c>
      <c r="I1920" s="45" t="s">
        <v>125</v>
      </c>
      <c r="J1920" s="46" t="s">
        <v>203</v>
      </c>
      <c r="K1920" s="46" t="s">
        <v>203</v>
      </c>
      <c r="L1920" s="46" t="s">
        <v>15</v>
      </c>
      <c r="M1920" s="46" t="s">
        <v>13</v>
      </c>
      <c r="N1920" s="46" t="s">
        <v>11</v>
      </c>
      <c r="O1920" s="49" t="s">
        <v>803</v>
      </c>
      <c r="P1920" s="46" t="s">
        <v>507</v>
      </c>
      <c r="Q1920" s="35" t="str">
        <f>MID(Tabla1[[#This Row],[Aplicación]],14,1)</f>
        <v>2</v>
      </c>
      <c r="R1920" s="35" t="s">
        <v>495</v>
      </c>
      <c r="S1920" s="35" t="str">
        <f>MID(Tabla1[[#This Row],[Aplicación]],6,2)</f>
        <v>01</v>
      </c>
      <c r="T1920" s="35" t="str">
        <f>VLOOKUP(Tabla1[[#This Row],[AREA]],Hoja1!A:B,2,FALSE)</f>
        <v>01. Alcaldía</v>
      </c>
      <c r="U1920" s="35" t="str">
        <f>MID(Tabla1[[#This Row],[Aplicación]],9,4)</f>
        <v>9203</v>
      </c>
      <c r="V1920" s="35" t="str">
        <f>VLOOKUP(Tabla1[[#This Row],[PROGRAMA]],Hoja1!A:B,2,FALSE)</f>
        <v>9203. Unidad de régimen interior</v>
      </c>
      <c r="W1920" s="35" t="str">
        <f>MID(Tabla1[[#This Row],[Aplicación]],14,2)</f>
        <v>22</v>
      </c>
      <c r="X1920" s="35" t="str">
        <f>MID(Tabla1[[#This Row],[Aplicación]],14,6)</f>
        <v>22104</v>
      </c>
    </row>
    <row r="1921" spans="1:24" x14ac:dyDescent="0.25">
      <c r="A1921" s="45">
        <v>220210002385</v>
      </c>
      <c r="B1921" s="46" t="s">
        <v>9</v>
      </c>
      <c r="C1921" s="47">
        <v>44235</v>
      </c>
      <c r="D1921" s="45">
        <v>22021000333</v>
      </c>
      <c r="E1921" s="46" t="s">
        <v>876</v>
      </c>
      <c r="F1921" s="48">
        <v>18100</v>
      </c>
      <c r="G1921" s="46" t="s">
        <v>3235</v>
      </c>
      <c r="H1921" s="46" t="s">
        <v>3236</v>
      </c>
      <c r="I1921" s="45" t="s">
        <v>125</v>
      </c>
      <c r="J1921" s="46" t="s">
        <v>3237</v>
      </c>
      <c r="K1921" s="50" t="s">
        <v>3238</v>
      </c>
      <c r="L1921" s="46" t="s">
        <v>15</v>
      </c>
      <c r="M1921" s="46" t="s">
        <v>10</v>
      </c>
      <c r="N1921" s="46" t="s">
        <v>11</v>
      </c>
      <c r="O1921" s="49" t="s">
        <v>3307</v>
      </c>
      <c r="P1921" s="46" t="s">
        <v>507</v>
      </c>
      <c r="Q1921" s="35" t="str">
        <f>MID(Tabla1[[#This Row],[Aplicación]],14,1)</f>
        <v>2</v>
      </c>
      <c r="R1921" s="35" t="s">
        <v>495</v>
      </c>
      <c r="S1921" s="35" t="str">
        <f>MID(Tabla1[[#This Row],[Aplicación]],6,2)</f>
        <v>11</v>
      </c>
      <c r="T1921" s="35" t="str">
        <f>VLOOKUP(Tabla1[[#This Row],[AREA]],Hoja1!A:B,2,FALSE)</f>
        <v>11. Salud pública y seguridad ciudadana</v>
      </c>
      <c r="U1921" s="35" t="str">
        <f>MID(Tabla1[[#This Row],[Aplicación]],9,4)</f>
        <v>1631</v>
      </c>
      <c r="V1921" s="35" t="str">
        <f>VLOOKUP(Tabla1[[#This Row],[PROGRAMA]],Hoja1!A:B,2,FALSE)</f>
        <v>1631. Limpieza viaria</v>
      </c>
      <c r="W1921" s="35" t="str">
        <f>MID(Tabla1[[#This Row],[Aplicación]],14,2)</f>
        <v>22</v>
      </c>
      <c r="X1921" s="35" t="str">
        <f>MID(Tabla1[[#This Row],[Aplicación]],14,6)</f>
        <v>22110</v>
      </c>
    </row>
    <row r="1922" spans="1:24" x14ac:dyDescent="0.25">
      <c r="A1922" s="45">
        <v>220210000519</v>
      </c>
      <c r="B1922" s="46" t="s">
        <v>9</v>
      </c>
      <c r="C1922" s="47">
        <v>44221</v>
      </c>
      <c r="D1922" s="45">
        <v>22021001579</v>
      </c>
      <c r="E1922" s="46" t="s">
        <v>982</v>
      </c>
      <c r="F1922" s="48">
        <v>54.45</v>
      </c>
      <c r="G1922" s="46" t="s">
        <v>59</v>
      </c>
      <c r="H1922" s="46" t="s">
        <v>3239</v>
      </c>
      <c r="I1922" s="45" t="s">
        <v>125</v>
      </c>
      <c r="J1922" s="46" t="s">
        <v>127</v>
      </c>
      <c r="K1922" s="46" t="s">
        <v>127</v>
      </c>
      <c r="L1922" s="46" t="s">
        <v>15</v>
      </c>
      <c r="M1922" s="46" t="s">
        <v>13</v>
      </c>
      <c r="N1922" s="46" t="s">
        <v>11</v>
      </c>
      <c r="O1922" s="49" t="s">
        <v>814</v>
      </c>
      <c r="P1922" s="46" t="s">
        <v>507</v>
      </c>
      <c r="Q1922" s="35" t="str">
        <f>MID(Tabla1[[#This Row],[Aplicación]],14,1)</f>
        <v>2</v>
      </c>
      <c r="R1922" s="35" t="s">
        <v>495</v>
      </c>
      <c r="S1922" s="35" t="str">
        <f>MID(Tabla1[[#This Row],[Aplicación]],6,2)</f>
        <v>10</v>
      </c>
      <c r="T1922" s="35" t="str">
        <f>VLOOKUP(Tabla1[[#This Row],[AREA]],Hoja1!A:B,2,FALSE)</f>
        <v>10. Servicios sociales y mediación comunitaria</v>
      </c>
      <c r="U1922" s="35" t="str">
        <f>MID(Tabla1[[#This Row],[Aplicación]],9,4)</f>
        <v>2312</v>
      </c>
      <c r="V1922" s="35" t="str">
        <f>VLOOKUP(Tabla1[[#This Row],[PROGRAMA]],Hoja1!A:B,2,FALSE)</f>
        <v>2312. Iniciativas sociales</v>
      </c>
      <c r="W1922" s="35" t="str">
        <f>MID(Tabla1[[#This Row],[Aplicación]],14,2)</f>
        <v>21</v>
      </c>
      <c r="X1922" s="35" t="str">
        <f>MID(Tabla1[[#This Row],[Aplicación]],14,6)</f>
        <v>213</v>
      </c>
    </row>
    <row r="1923" spans="1:24" x14ac:dyDescent="0.25">
      <c r="A1923" s="45">
        <v>220210012891</v>
      </c>
      <c r="B1923" s="46" t="s">
        <v>9</v>
      </c>
      <c r="C1923" s="47">
        <v>44284</v>
      </c>
      <c r="D1923" s="45">
        <v>22021003677</v>
      </c>
      <c r="E1923" s="46" t="s">
        <v>1310</v>
      </c>
      <c r="F1923" s="48">
        <v>1161.5999999999999</v>
      </c>
      <c r="G1923" s="46" t="s">
        <v>3240</v>
      </c>
      <c r="H1923" s="46" t="s">
        <v>3241</v>
      </c>
      <c r="I1923" s="45" t="s">
        <v>125</v>
      </c>
      <c r="J1923" s="46" t="s">
        <v>144</v>
      </c>
      <c r="K1923" s="46" t="s">
        <v>144</v>
      </c>
      <c r="L1923" s="46" t="s">
        <v>15</v>
      </c>
      <c r="M1923" s="46" t="s">
        <v>10</v>
      </c>
      <c r="N1923" s="46" t="s">
        <v>11</v>
      </c>
      <c r="O1923" s="49" t="s">
        <v>815</v>
      </c>
      <c r="P1923" s="46" t="s">
        <v>507</v>
      </c>
      <c r="Q1923" s="35" t="str">
        <f>MID(Tabla1[[#This Row],[Aplicación]],14,1)</f>
        <v>2</v>
      </c>
      <c r="R1923" s="35" t="s">
        <v>495</v>
      </c>
      <c r="S1923" s="35" t="str">
        <f>MID(Tabla1[[#This Row],[Aplicación]],6,2)</f>
        <v>11</v>
      </c>
      <c r="T1923" s="35" t="str">
        <f>VLOOKUP(Tabla1[[#This Row],[AREA]],Hoja1!A:B,2,FALSE)</f>
        <v>11. Salud pública y seguridad ciudadana</v>
      </c>
      <c r="U1923" s="35" t="str">
        <f>MID(Tabla1[[#This Row],[Aplicación]],9,4)</f>
        <v>3111</v>
      </c>
      <c r="V1923" s="35" t="str">
        <f>VLOOKUP(Tabla1[[#This Row],[PROGRAMA]],Hoja1!A:B,2,FALSE)</f>
        <v>3111. Protección de la salubridad pública</v>
      </c>
      <c r="W1923" s="35" t="str">
        <f>MID(Tabla1[[#This Row],[Aplicación]],14,2)</f>
        <v>22</v>
      </c>
      <c r="X1923" s="35" t="str">
        <f>MID(Tabla1[[#This Row],[Aplicación]],14,6)</f>
        <v>22199</v>
      </c>
    </row>
    <row r="1924" spans="1:24" x14ac:dyDescent="0.25">
      <c r="A1924" s="45">
        <v>220209000717</v>
      </c>
      <c r="B1924" s="46" t="s">
        <v>9</v>
      </c>
      <c r="C1924" s="47">
        <v>44198</v>
      </c>
      <c r="D1924" s="45">
        <v>22021000454</v>
      </c>
      <c r="E1924" s="46" t="s">
        <v>2103</v>
      </c>
      <c r="F1924" s="48">
        <v>18102.810000000001</v>
      </c>
      <c r="G1924" s="46" t="s">
        <v>58</v>
      </c>
      <c r="H1924" s="46" t="s">
        <v>3242</v>
      </c>
      <c r="I1924" s="45" t="s">
        <v>125</v>
      </c>
      <c r="J1924" s="46" t="s">
        <v>127</v>
      </c>
      <c r="K1924" s="46" t="s">
        <v>127</v>
      </c>
      <c r="L1924" s="46" t="s">
        <v>12</v>
      </c>
      <c r="M1924" s="46" t="s">
        <v>13</v>
      </c>
      <c r="N1924" s="46" t="s">
        <v>14</v>
      </c>
      <c r="O1924" s="49" t="s">
        <v>803</v>
      </c>
      <c r="P1924" s="46" t="s">
        <v>507</v>
      </c>
      <c r="Q1924" s="35" t="str">
        <f>MID(Tabla1[[#This Row],[Aplicación]],14,1)</f>
        <v>2</v>
      </c>
      <c r="R1924" s="35" t="s">
        <v>495</v>
      </c>
      <c r="S1924" s="35" t="str">
        <f>MID(Tabla1[[#This Row],[Aplicación]],6,2)</f>
        <v>07</v>
      </c>
      <c r="T1924" s="35" t="str">
        <f>VLOOKUP(Tabla1[[#This Row],[AREA]],Hoja1!A:B,2,FALSE)</f>
        <v>07. Medio ambiente y desarrollo sostenible</v>
      </c>
      <c r="U1924" s="35" t="str">
        <f>MID(Tabla1[[#This Row],[Aplicación]],9,4)</f>
        <v>1711</v>
      </c>
      <c r="V1924" s="35" t="str">
        <f>VLOOKUP(Tabla1[[#This Row],[PROGRAMA]],Hoja1!A:B,2,FALSE)</f>
        <v>1711. Parques y jardines</v>
      </c>
      <c r="W1924" s="35" t="str">
        <f>MID(Tabla1[[#This Row],[Aplicación]],14,2)</f>
        <v>22</v>
      </c>
      <c r="X1924" s="35" t="str">
        <f>MID(Tabla1[[#This Row],[Aplicación]],14,6)</f>
        <v>22700</v>
      </c>
    </row>
    <row r="1925" spans="1:24" x14ac:dyDescent="0.25">
      <c r="A1925" s="45">
        <v>220210002604</v>
      </c>
      <c r="B1925" s="46" t="s">
        <v>9</v>
      </c>
      <c r="C1925" s="47">
        <v>44236</v>
      </c>
      <c r="D1925" s="45">
        <v>22021000009</v>
      </c>
      <c r="E1925" s="46" t="s">
        <v>3032</v>
      </c>
      <c r="F1925" s="48">
        <v>18150</v>
      </c>
      <c r="G1925" s="46" t="s">
        <v>601</v>
      </c>
      <c r="H1925" s="46" t="s">
        <v>3243</v>
      </c>
      <c r="I1925" s="45" t="s">
        <v>125</v>
      </c>
      <c r="J1925" s="46" t="s">
        <v>603</v>
      </c>
      <c r="K1925" s="46" t="s">
        <v>126</v>
      </c>
      <c r="L1925" s="46" t="s">
        <v>12</v>
      </c>
      <c r="M1925" s="46" t="s">
        <v>10</v>
      </c>
      <c r="N1925" s="46" t="s">
        <v>11</v>
      </c>
      <c r="O1925" s="49" t="s">
        <v>815</v>
      </c>
      <c r="P1925" s="46" t="s">
        <v>507</v>
      </c>
      <c r="Q1925" s="35" t="str">
        <f>MID(Tabla1[[#This Row],[Aplicación]],14,1)</f>
        <v>2</v>
      </c>
      <c r="R1925" s="35" t="s">
        <v>495</v>
      </c>
      <c r="S1925" s="35" t="str">
        <f>MID(Tabla1[[#This Row],[Aplicación]],6,2)</f>
        <v>06</v>
      </c>
      <c r="T1925" s="35" t="str">
        <f>VLOOKUP(Tabla1[[#This Row],[AREA]],Hoja1!A:B,2,FALSE)</f>
        <v>06. Educación, infancia, juventud e igualdad</v>
      </c>
      <c r="U1925" s="35" t="str">
        <f>MID(Tabla1[[#This Row],[Aplicación]],9,4)</f>
        <v>2314</v>
      </c>
      <c r="V1925" s="35" t="str">
        <f>VLOOKUP(Tabla1[[#This Row],[PROGRAMA]],Hoja1!A:B,2,FALSE)</f>
        <v>2314. Centro de programas juveniles</v>
      </c>
      <c r="W1925" s="35" t="str">
        <f>MID(Tabla1[[#This Row],[Aplicación]],14,2)</f>
        <v>22</v>
      </c>
      <c r="X1925" s="35" t="str">
        <f>MID(Tabla1[[#This Row],[Aplicación]],14,6)</f>
        <v>22701</v>
      </c>
    </row>
    <row r="1926" spans="1:24" x14ac:dyDescent="0.25">
      <c r="A1926" s="45">
        <v>220210000208</v>
      </c>
      <c r="B1926" s="46" t="s">
        <v>9</v>
      </c>
      <c r="C1926" s="47">
        <v>44216</v>
      </c>
      <c r="D1926" s="45">
        <v>22021000953</v>
      </c>
      <c r="E1926" s="46" t="s">
        <v>1267</v>
      </c>
      <c r="F1926" s="48">
        <v>2117.5</v>
      </c>
      <c r="G1926" s="46" t="s">
        <v>3244</v>
      </c>
      <c r="H1926" s="46" t="s">
        <v>3245</v>
      </c>
      <c r="I1926" s="45" t="s">
        <v>125</v>
      </c>
      <c r="J1926" s="46" t="s">
        <v>3246</v>
      </c>
      <c r="K1926" s="46" t="s">
        <v>126</v>
      </c>
      <c r="L1926" s="46" t="s">
        <v>12</v>
      </c>
      <c r="M1926" s="46" t="s">
        <v>13</v>
      </c>
      <c r="N1926" s="46" t="s">
        <v>14</v>
      </c>
      <c r="O1926" s="49" t="s">
        <v>814</v>
      </c>
      <c r="P1926" s="46" t="s">
        <v>507</v>
      </c>
      <c r="Q1926" s="35" t="str">
        <f>MID(Tabla1[[#This Row],[Aplicación]],14,1)</f>
        <v>2</v>
      </c>
      <c r="R1926" s="35" t="s">
        <v>495</v>
      </c>
      <c r="S1926" s="35" t="str">
        <f>MID(Tabla1[[#This Row],[Aplicación]],6,2)</f>
        <v>03</v>
      </c>
      <c r="T1926" s="35" t="str">
        <f>VLOOKUP(Tabla1[[#This Row],[AREA]],Hoja1!A:B,2,FALSE)</f>
        <v>03. Participación ciudadana y deportes</v>
      </c>
      <c r="U1926" s="35" t="str">
        <f>MID(Tabla1[[#This Row],[Aplicación]],9,4)</f>
        <v>9241</v>
      </c>
      <c r="V1926" s="35" t="str">
        <f>VLOOKUP(Tabla1[[#This Row],[PROGRAMA]],Hoja1!A:B,2,FALSE)</f>
        <v>9241. Participación ciudadana</v>
      </c>
      <c r="W1926" s="35" t="str">
        <f>MID(Tabla1[[#This Row],[Aplicación]],14,2)</f>
        <v>22</v>
      </c>
      <c r="X1926" s="35" t="str">
        <f>MID(Tabla1[[#This Row],[Aplicación]],14,6)</f>
        <v>22602</v>
      </c>
    </row>
    <row r="1927" spans="1:24" x14ac:dyDescent="0.25">
      <c r="A1927" s="45">
        <v>220210000540</v>
      </c>
      <c r="B1927" s="46" t="s">
        <v>9</v>
      </c>
      <c r="C1927" s="47">
        <v>44221</v>
      </c>
      <c r="D1927" s="45">
        <v>22021001186</v>
      </c>
      <c r="E1927" s="46" t="s">
        <v>1617</v>
      </c>
      <c r="F1927" s="48">
        <v>1750</v>
      </c>
      <c r="G1927" s="46" t="s">
        <v>3244</v>
      </c>
      <c r="H1927" s="46" t="s">
        <v>2451</v>
      </c>
      <c r="I1927" s="45" t="s">
        <v>125</v>
      </c>
      <c r="J1927" s="46" t="s">
        <v>3246</v>
      </c>
      <c r="K1927" s="46" t="s">
        <v>126</v>
      </c>
      <c r="L1927" s="46" t="s">
        <v>12</v>
      </c>
      <c r="M1927" s="46" t="s">
        <v>13</v>
      </c>
      <c r="N1927" s="46" t="s">
        <v>14</v>
      </c>
      <c r="O1927" s="49" t="s">
        <v>814</v>
      </c>
      <c r="P1927" s="46" t="s">
        <v>507</v>
      </c>
      <c r="Q1927" s="35" t="str">
        <f>MID(Tabla1[[#This Row],[Aplicación]],14,1)</f>
        <v>2</v>
      </c>
      <c r="R1927" s="35" t="s">
        <v>495</v>
      </c>
      <c r="S1927" s="35" t="str">
        <f>MID(Tabla1[[#This Row],[Aplicación]],6,2)</f>
        <v>05</v>
      </c>
      <c r="T1927" s="35" t="str">
        <f>VLOOKUP(Tabla1[[#This Row],[AREA]],Hoja1!A:B,2,FALSE)</f>
        <v>05. Innovación, desarrollo económico, empleo y comercio</v>
      </c>
      <c r="U1927" s="35" t="str">
        <f>MID(Tabla1[[#This Row],[Aplicación]],9,4)</f>
        <v>4331</v>
      </c>
      <c r="V1927" s="35" t="str">
        <f>VLOOKUP(Tabla1[[#This Row],[PROGRAMA]],Hoja1!A:B,2,FALSE)</f>
        <v>4331. Desarrollo empresarial</v>
      </c>
      <c r="W1927" s="35" t="str">
        <f>MID(Tabla1[[#This Row],[Aplicación]],14,2)</f>
        <v>22</v>
      </c>
      <c r="X1927" s="35" t="str">
        <f>MID(Tabla1[[#This Row],[Aplicación]],14,6)</f>
        <v>22602</v>
      </c>
    </row>
    <row r="1928" spans="1:24" x14ac:dyDescent="0.25">
      <c r="A1928" s="45">
        <v>220210012924</v>
      </c>
      <c r="B1928" s="46" t="s">
        <v>9</v>
      </c>
      <c r="C1928" s="47">
        <v>44284</v>
      </c>
      <c r="D1928" s="45">
        <v>22020000754</v>
      </c>
      <c r="E1928" s="46" t="s">
        <v>838</v>
      </c>
      <c r="F1928" s="48">
        <v>5041.63</v>
      </c>
      <c r="G1928" s="46" t="s">
        <v>570</v>
      </c>
      <c r="H1928" s="46" t="s">
        <v>641</v>
      </c>
      <c r="I1928" s="45" t="s">
        <v>125</v>
      </c>
      <c r="J1928" s="46" t="s">
        <v>146</v>
      </c>
      <c r="K1928" s="46" t="s">
        <v>146</v>
      </c>
      <c r="L1928" s="46" t="s">
        <v>12</v>
      </c>
      <c r="M1928" s="46" t="s">
        <v>13</v>
      </c>
      <c r="N1928" s="46" t="s">
        <v>14</v>
      </c>
      <c r="O1928" s="49" t="s">
        <v>803</v>
      </c>
      <c r="P1928" s="46" t="s">
        <v>507</v>
      </c>
      <c r="Q1928" s="35" t="str">
        <f>MID(Tabla1[[#This Row],[Aplicación]],14,1)</f>
        <v>6</v>
      </c>
      <c r="R1928" s="35" t="s">
        <v>496</v>
      </c>
      <c r="S1928" s="35" t="str">
        <f>MID(Tabla1[[#This Row],[Aplicación]],6,2)</f>
        <v>07</v>
      </c>
      <c r="T1928" s="35" t="str">
        <f>VLOOKUP(Tabla1[[#This Row],[AREA]],Hoja1!A:B,2,FALSE)</f>
        <v>07. Medio ambiente y desarrollo sostenible</v>
      </c>
      <c r="U1928" s="35" t="str">
        <f>MID(Tabla1[[#This Row],[Aplicación]],9,4)</f>
        <v>1711</v>
      </c>
      <c r="V1928" s="35" t="str">
        <f>VLOOKUP(Tabla1[[#This Row],[PROGRAMA]],Hoja1!A:B,2,FALSE)</f>
        <v>1711. Parques y jardines</v>
      </c>
      <c r="W1928" s="35" t="str">
        <f>MID(Tabla1[[#This Row],[Aplicación]],14,2)</f>
        <v>61</v>
      </c>
      <c r="X1928" s="35" t="str">
        <f>MID(Tabla1[[#This Row],[Aplicación]],14,6)</f>
        <v>610</v>
      </c>
    </row>
    <row r="1929" spans="1:24" x14ac:dyDescent="0.25">
      <c r="A1929" s="45">
        <v>220210012925</v>
      </c>
      <c r="B1929" s="46" t="s">
        <v>9</v>
      </c>
      <c r="C1929" s="47">
        <v>44284</v>
      </c>
      <c r="D1929" s="45">
        <v>22020000734</v>
      </c>
      <c r="E1929" s="46" t="s">
        <v>1196</v>
      </c>
      <c r="F1929" s="48">
        <v>10506.89</v>
      </c>
      <c r="G1929" s="46" t="s">
        <v>572</v>
      </c>
      <c r="H1929" s="46" t="s">
        <v>573</v>
      </c>
      <c r="I1929" s="45" t="s">
        <v>125</v>
      </c>
      <c r="J1929" s="46" t="s">
        <v>615</v>
      </c>
      <c r="K1929" s="46" t="s">
        <v>616</v>
      </c>
      <c r="L1929" s="46" t="s">
        <v>31</v>
      </c>
      <c r="M1929" s="46" t="s">
        <v>13</v>
      </c>
      <c r="N1929" s="46" t="s">
        <v>14</v>
      </c>
      <c r="O1929" s="49" t="s">
        <v>803</v>
      </c>
      <c r="P1929" s="46" t="s">
        <v>507</v>
      </c>
      <c r="Q1929" s="35" t="str">
        <f>MID(Tabla1[[#This Row],[Aplicación]],14,1)</f>
        <v>6</v>
      </c>
      <c r="R1929" s="35" t="s">
        <v>496</v>
      </c>
      <c r="S1929" s="35" t="str">
        <f>MID(Tabla1[[#This Row],[Aplicación]],6,2)</f>
        <v>08</v>
      </c>
      <c r="T1929" s="35" t="str">
        <f>VLOOKUP(Tabla1[[#This Row],[AREA]],Hoja1!A:B,2,FALSE)</f>
        <v>08. Movilidad y espacio urbano</v>
      </c>
      <c r="U1929" s="35" t="str">
        <f>MID(Tabla1[[#This Row],[Aplicación]],9,4)</f>
        <v>1341</v>
      </c>
      <c r="V1929" s="35" t="str">
        <f>VLOOKUP(Tabla1[[#This Row],[PROGRAMA]],Hoja1!A:B,2,FALSE)</f>
        <v>1341. Movilidad</v>
      </c>
      <c r="W1929" s="35" t="str">
        <f>MID(Tabla1[[#This Row],[Aplicación]],14,2)</f>
        <v>61</v>
      </c>
      <c r="X1929" s="35" t="str">
        <f>MID(Tabla1[[#This Row],[Aplicación]],14,6)</f>
        <v>619</v>
      </c>
    </row>
    <row r="1930" spans="1:24" x14ac:dyDescent="0.25">
      <c r="A1930" s="45">
        <v>220210012926</v>
      </c>
      <c r="B1930" s="46" t="s">
        <v>9</v>
      </c>
      <c r="C1930" s="47">
        <v>44284</v>
      </c>
      <c r="D1930" s="45">
        <v>22020000735</v>
      </c>
      <c r="E1930" s="46" t="s">
        <v>1196</v>
      </c>
      <c r="F1930" s="48">
        <v>180931.08</v>
      </c>
      <c r="G1930" s="46" t="s">
        <v>222</v>
      </c>
      <c r="H1930" s="46" t="s">
        <v>571</v>
      </c>
      <c r="I1930" s="45" t="s">
        <v>125</v>
      </c>
      <c r="J1930" s="46" t="s">
        <v>127</v>
      </c>
      <c r="K1930" s="46" t="s">
        <v>127</v>
      </c>
      <c r="L1930" s="46" t="s">
        <v>31</v>
      </c>
      <c r="M1930" s="46" t="s">
        <v>13</v>
      </c>
      <c r="N1930" s="46" t="s">
        <v>14</v>
      </c>
      <c r="O1930" s="49" t="s">
        <v>803</v>
      </c>
      <c r="P1930" s="46" t="s">
        <v>507</v>
      </c>
      <c r="Q1930" s="35" t="str">
        <f>MID(Tabla1[[#This Row],[Aplicación]],14,1)</f>
        <v>6</v>
      </c>
      <c r="R1930" s="35" t="s">
        <v>496</v>
      </c>
      <c r="S1930" s="35" t="str">
        <f>MID(Tabla1[[#This Row],[Aplicación]],6,2)</f>
        <v>08</v>
      </c>
      <c r="T1930" s="35" t="str">
        <f>VLOOKUP(Tabla1[[#This Row],[AREA]],Hoja1!A:B,2,FALSE)</f>
        <v>08. Movilidad y espacio urbano</v>
      </c>
      <c r="U1930" s="35" t="str">
        <f>MID(Tabla1[[#This Row],[Aplicación]],9,4)</f>
        <v>1341</v>
      </c>
      <c r="V1930" s="35" t="str">
        <f>VLOOKUP(Tabla1[[#This Row],[PROGRAMA]],Hoja1!A:B,2,FALSE)</f>
        <v>1341. Movilidad</v>
      </c>
      <c r="W1930" s="35" t="str">
        <f>MID(Tabla1[[#This Row],[Aplicación]],14,2)</f>
        <v>61</v>
      </c>
      <c r="X1930" s="35" t="str">
        <f>MID(Tabla1[[#This Row],[Aplicación]],14,6)</f>
        <v>619</v>
      </c>
    </row>
    <row r="1931" spans="1:24" x14ac:dyDescent="0.25">
      <c r="A1931" s="45">
        <v>220210006979</v>
      </c>
      <c r="B1931" s="46" t="s">
        <v>9</v>
      </c>
      <c r="C1931" s="47">
        <v>44259</v>
      </c>
      <c r="D1931" s="45">
        <v>22021002517</v>
      </c>
      <c r="E1931" s="46" t="s">
        <v>1247</v>
      </c>
      <c r="F1931" s="48">
        <v>18150</v>
      </c>
      <c r="G1931" s="46" t="s">
        <v>601</v>
      </c>
      <c r="H1931" s="46" t="s">
        <v>3247</v>
      </c>
      <c r="I1931" s="45" t="s">
        <v>125</v>
      </c>
      <c r="J1931" s="46" t="s">
        <v>603</v>
      </c>
      <c r="K1931" s="46" t="s">
        <v>126</v>
      </c>
      <c r="L1931" s="46" t="s">
        <v>12</v>
      </c>
      <c r="M1931" s="46" t="s">
        <v>10</v>
      </c>
      <c r="N1931" s="46" t="s">
        <v>11</v>
      </c>
      <c r="O1931" s="49" t="s">
        <v>3307</v>
      </c>
      <c r="P1931" s="46" t="s">
        <v>507</v>
      </c>
      <c r="Q1931" s="35" t="str">
        <f>MID(Tabla1[[#This Row],[Aplicación]],14,1)</f>
        <v>2</v>
      </c>
      <c r="R1931" s="35" t="s">
        <v>495</v>
      </c>
      <c r="S1931" s="35" t="str">
        <f>MID(Tabla1[[#This Row],[Aplicación]],6,2)</f>
        <v>10</v>
      </c>
      <c r="T1931" s="35" t="str">
        <f>VLOOKUP(Tabla1[[#This Row],[AREA]],Hoja1!A:B,2,FALSE)</f>
        <v>10. Servicios sociales y mediación comunitaria</v>
      </c>
      <c r="U1931" s="35" t="str">
        <f>MID(Tabla1[[#This Row],[Aplicación]],9,4)</f>
        <v>2311</v>
      </c>
      <c r="V1931" s="35" t="str">
        <f>VLOOKUP(Tabla1[[#This Row],[PROGRAMA]],Hoja1!A:B,2,FALSE)</f>
        <v>2311. Intervención social</v>
      </c>
      <c r="W1931" s="35" t="str">
        <f>MID(Tabla1[[#This Row],[Aplicación]],14,2)</f>
        <v>22</v>
      </c>
      <c r="X1931" s="35" t="str">
        <f>MID(Tabla1[[#This Row],[Aplicación]],14,6)</f>
        <v>22799</v>
      </c>
    </row>
    <row r="1932" spans="1:24" x14ac:dyDescent="0.25">
      <c r="A1932" s="45">
        <v>220210005453</v>
      </c>
      <c r="B1932" s="46" t="s">
        <v>9</v>
      </c>
      <c r="C1932" s="47">
        <v>44250</v>
      </c>
      <c r="D1932" s="45">
        <v>22021002750</v>
      </c>
      <c r="E1932" s="46" t="s">
        <v>1270</v>
      </c>
      <c r="F1932" s="48">
        <v>18150</v>
      </c>
      <c r="G1932" s="46" t="s">
        <v>244</v>
      </c>
      <c r="H1932" s="46" t="s">
        <v>1396</v>
      </c>
      <c r="I1932" s="45" t="s">
        <v>125</v>
      </c>
      <c r="J1932" s="46" t="s">
        <v>127</v>
      </c>
      <c r="K1932" s="46" t="s">
        <v>127</v>
      </c>
      <c r="L1932" s="46" t="s">
        <v>12</v>
      </c>
      <c r="M1932" s="46" t="s">
        <v>10</v>
      </c>
      <c r="N1932" s="46" t="s">
        <v>11</v>
      </c>
      <c r="O1932" s="49" t="s">
        <v>815</v>
      </c>
      <c r="P1932" s="46" t="s">
        <v>507</v>
      </c>
      <c r="Q1932" s="35" t="str">
        <f>MID(Tabla1[[#This Row],[Aplicación]],14,1)</f>
        <v>6</v>
      </c>
      <c r="R1932" s="35" t="s">
        <v>496</v>
      </c>
      <c r="S1932" s="35" t="str">
        <f>MID(Tabla1[[#This Row],[Aplicación]],6,2)</f>
        <v>11</v>
      </c>
      <c r="T1932" s="35" t="str">
        <f>VLOOKUP(Tabla1[[#This Row],[AREA]],Hoja1!A:B,2,FALSE)</f>
        <v>11. Salud pública y seguridad ciudadana</v>
      </c>
      <c r="U1932" s="35" t="str">
        <f>MID(Tabla1[[#This Row],[Aplicación]],9,4)</f>
        <v>1621</v>
      </c>
      <c r="V1932" s="35" t="str">
        <f>VLOOKUP(Tabla1[[#This Row],[PROGRAMA]],Hoja1!A:B,2,FALSE)</f>
        <v>1621. Servicio de limpieza</v>
      </c>
      <c r="W1932" s="35" t="str">
        <f>MID(Tabla1[[#This Row],[Aplicación]],14,2)</f>
        <v>63</v>
      </c>
      <c r="X1932" s="35" t="str">
        <f>MID(Tabla1[[#This Row],[Aplicación]],14,6)</f>
        <v>634</v>
      </c>
    </row>
    <row r="1933" spans="1:24" x14ac:dyDescent="0.25">
      <c r="A1933" s="45">
        <v>220200049993</v>
      </c>
      <c r="B1933" s="46" t="s">
        <v>9</v>
      </c>
      <c r="C1933" s="47">
        <v>44284</v>
      </c>
      <c r="D1933" s="45">
        <v>22019007679</v>
      </c>
      <c r="E1933" s="46" t="s">
        <v>1991</v>
      </c>
      <c r="F1933" s="48">
        <v>18153.830000000002</v>
      </c>
      <c r="G1933" s="46" t="s">
        <v>1992</v>
      </c>
      <c r="H1933" s="46" t="s">
        <v>3249</v>
      </c>
      <c r="I1933" s="45" t="s">
        <v>125</v>
      </c>
      <c r="J1933" s="46" t="s">
        <v>634</v>
      </c>
      <c r="K1933" s="46" t="s">
        <v>127</v>
      </c>
      <c r="L1933" s="46" t="s">
        <v>31</v>
      </c>
      <c r="M1933" s="46" t="s">
        <v>13</v>
      </c>
      <c r="N1933" s="46" t="s">
        <v>14</v>
      </c>
      <c r="O1933" s="49" t="s">
        <v>803</v>
      </c>
      <c r="P1933" s="46" t="s">
        <v>507</v>
      </c>
      <c r="Q1933" s="35" t="str">
        <f>MID(Tabla1[[#This Row],[Aplicación]],14,1)</f>
        <v>6</v>
      </c>
      <c r="R1933" s="35" t="s">
        <v>496</v>
      </c>
      <c r="S1933" s="35" t="str">
        <f>MID(Tabla1[[#This Row],[Aplicación]],6,2)</f>
        <v>11</v>
      </c>
      <c r="T1933" s="35" t="str">
        <f>VLOOKUP(Tabla1[[#This Row],[AREA]],Hoja1!A:B,2,FALSE)</f>
        <v>11. Salud pública y seguridad ciudadana</v>
      </c>
      <c r="U1933" s="35" t="str">
        <f>MID(Tabla1[[#This Row],[Aplicación]],9,4)</f>
        <v>1321</v>
      </c>
      <c r="V1933" s="35" t="str">
        <f>VLOOKUP(Tabla1[[#This Row],[PROGRAMA]],Hoja1!A:B,2,FALSE)</f>
        <v>1321. Policía municipal</v>
      </c>
      <c r="W1933" s="35" t="str">
        <f>MID(Tabla1[[#This Row],[Aplicación]],14,2)</f>
        <v>63</v>
      </c>
      <c r="X1933" s="35" t="str">
        <f>MID(Tabla1[[#This Row],[Aplicación]],14,6)</f>
        <v>632</v>
      </c>
    </row>
    <row r="1934" spans="1:24" x14ac:dyDescent="0.25">
      <c r="A1934" s="45">
        <v>220210000002</v>
      </c>
      <c r="B1934" s="46" t="s">
        <v>204</v>
      </c>
      <c r="C1934" s="47">
        <v>44214</v>
      </c>
      <c r="D1934" s="45">
        <v>22021000523</v>
      </c>
      <c r="E1934" s="46" t="s">
        <v>1175</v>
      </c>
      <c r="F1934" s="48">
        <v>18578.55</v>
      </c>
      <c r="G1934" s="46" t="s">
        <v>164</v>
      </c>
      <c r="H1934" s="46" t="s">
        <v>3250</v>
      </c>
      <c r="I1934" s="45" t="s">
        <v>205</v>
      </c>
      <c r="J1934" s="46" t="s">
        <v>127</v>
      </c>
      <c r="K1934" s="46" t="s">
        <v>127</v>
      </c>
      <c r="L1934" s="46" t="s">
        <v>12</v>
      </c>
      <c r="M1934" s="46" t="s">
        <v>13</v>
      </c>
      <c r="N1934" s="46" t="s">
        <v>14</v>
      </c>
      <c r="O1934" s="49" t="s">
        <v>803</v>
      </c>
      <c r="P1934" s="46" t="s">
        <v>507</v>
      </c>
      <c r="Q1934" s="35" t="str">
        <f>MID(Tabla1[[#This Row],[Aplicación]],14,1)</f>
        <v>2</v>
      </c>
      <c r="R1934" s="35" t="s">
        <v>495</v>
      </c>
      <c r="S1934" s="35" t="str">
        <f>MID(Tabla1[[#This Row],[Aplicación]],6,2)</f>
        <v>06</v>
      </c>
      <c r="T1934" s="35" t="str">
        <f>VLOOKUP(Tabla1[[#This Row],[AREA]],Hoja1!A:B,2,FALSE)</f>
        <v>06. Educación, infancia, juventud e igualdad</v>
      </c>
      <c r="U1934" s="35" t="str">
        <f>MID(Tabla1[[#This Row],[Aplicación]],9,4)</f>
        <v>2314</v>
      </c>
      <c r="V1934" s="35" t="str">
        <f>VLOOKUP(Tabla1[[#This Row],[PROGRAMA]],Hoja1!A:B,2,FALSE)</f>
        <v>2314. Centro de programas juveniles</v>
      </c>
      <c r="W1934" s="35" t="str">
        <f>MID(Tabla1[[#This Row],[Aplicación]],14,2)</f>
        <v>22</v>
      </c>
      <c r="X1934" s="35" t="str">
        <f>MID(Tabla1[[#This Row],[Aplicación]],14,6)</f>
        <v>22799</v>
      </c>
    </row>
    <row r="1935" spans="1:24" x14ac:dyDescent="0.25">
      <c r="A1935" s="45">
        <v>220210013018</v>
      </c>
      <c r="B1935" s="46" t="s">
        <v>204</v>
      </c>
      <c r="C1935" s="47">
        <v>44285</v>
      </c>
      <c r="D1935" s="45">
        <v>22021002057</v>
      </c>
      <c r="E1935" s="46" t="s">
        <v>1715</v>
      </c>
      <c r="F1935" s="48">
        <v>8.06</v>
      </c>
      <c r="G1935" s="46" t="s">
        <v>102</v>
      </c>
      <c r="H1935" s="46" t="s">
        <v>3251</v>
      </c>
      <c r="I1935" s="45" t="s">
        <v>205</v>
      </c>
      <c r="J1935" s="46" t="s">
        <v>127</v>
      </c>
      <c r="K1935" s="46" t="s">
        <v>127</v>
      </c>
      <c r="L1935" s="46" t="s">
        <v>15</v>
      </c>
      <c r="M1935" s="46" t="s">
        <v>13</v>
      </c>
      <c r="N1935" s="46" t="s">
        <v>14</v>
      </c>
      <c r="O1935" s="49" t="s">
        <v>814</v>
      </c>
      <c r="P1935" s="46" t="s">
        <v>507</v>
      </c>
      <c r="Q1935" s="35" t="str">
        <f>MID(Tabla1[[#This Row],[Aplicación]],14,1)</f>
        <v>2</v>
      </c>
      <c r="R1935" s="35" t="s">
        <v>495</v>
      </c>
      <c r="S1935" s="35" t="str">
        <f>MID(Tabla1[[#This Row],[Aplicación]],6,2)</f>
        <v>11</v>
      </c>
      <c r="T1935" s="35" t="str">
        <f>VLOOKUP(Tabla1[[#This Row],[AREA]],Hoja1!A:B,2,FALSE)</f>
        <v>11. Salud pública y seguridad ciudadana</v>
      </c>
      <c r="U1935" s="35" t="str">
        <f>MID(Tabla1[[#This Row],[Aplicación]],9,4)</f>
        <v>1631</v>
      </c>
      <c r="V1935" s="35" t="str">
        <f>VLOOKUP(Tabla1[[#This Row],[PROGRAMA]],Hoja1!A:B,2,FALSE)</f>
        <v>1631. Limpieza viaria</v>
      </c>
      <c r="W1935" s="35" t="str">
        <f>MID(Tabla1[[#This Row],[Aplicación]],14,2)</f>
        <v>22</v>
      </c>
      <c r="X1935" s="35" t="str">
        <f>MID(Tabla1[[#This Row],[Aplicación]],14,6)</f>
        <v>22199</v>
      </c>
    </row>
    <row r="1936" spans="1:24" x14ac:dyDescent="0.25">
      <c r="A1936" s="45">
        <v>220210013020</v>
      </c>
      <c r="B1936" s="46" t="s">
        <v>204</v>
      </c>
      <c r="C1936" s="47">
        <v>44285</v>
      </c>
      <c r="D1936" s="45">
        <v>22021002052</v>
      </c>
      <c r="E1936" s="46" t="s">
        <v>1340</v>
      </c>
      <c r="F1936" s="48">
        <v>148.55000000000001</v>
      </c>
      <c r="G1936" s="46" t="s">
        <v>102</v>
      </c>
      <c r="H1936" s="46" t="s">
        <v>3252</v>
      </c>
      <c r="I1936" s="45" t="s">
        <v>205</v>
      </c>
      <c r="J1936" s="46" t="s">
        <v>127</v>
      </c>
      <c r="K1936" s="46" t="s">
        <v>127</v>
      </c>
      <c r="L1936" s="46" t="s">
        <v>15</v>
      </c>
      <c r="M1936" s="46" t="s">
        <v>13</v>
      </c>
      <c r="N1936" s="46" t="s">
        <v>14</v>
      </c>
      <c r="O1936" s="49" t="s">
        <v>814</v>
      </c>
      <c r="P1936" s="46" t="s">
        <v>507</v>
      </c>
      <c r="Q1936" s="35" t="str">
        <f>MID(Tabla1[[#This Row],[Aplicación]],14,1)</f>
        <v>2</v>
      </c>
      <c r="R1936" s="35" t="s">
        <v>495</v>
      </c>
      <c r="S1936" s="35" t="str">
        <f>MID(Tabla1[[#This Row],[Aplicación]],6,2)</f>
        <v>11</v>
      </c>
      <c r="T1936" s="35" t="str">
        <f>VLOOKUP(Tabla1[[#This Row],[AREA]],Hoja1!A:B,2,FALSE)</f>
        <v>11. Salud pública y seguridad ciudadana</v>
      </c>
      <c r="U1936" s="35" t="str">
        <f>MID(Tabla1[[#This Row],[Aplicación]],9,4)</f>
        <v>1621</v>
      </c>
      <c r="V1936" s="35" t="str">
        <f>VLOOKUP(Tabla1[[#This Row],[PROGRAMA]],Hoja1!A:B,2,FALSE)</f>
        <v>1621. Servicio de limpieza</v>
      </c>
      <c r="W1936" s="35" t="str">
        <f>MID(Tabla1[[#This Row],[Aplicación]],14,2)</f>
        <v>22</v>
      </c>
      <c r="X1936" s="35" t="str">
        <f>MID(Tabla1[[#This Row],[Aplicación]],14,6)</f>
        <v>22199</v>
      </c>
    </row>
    <row r="1937" spans="1:24" x14ac:dyDescent="0.25">
      <c r="A1937" s="45">
        <v>220210013022</v>
      </c>
      <c r="B1937" s="46" t="s">
        <v>204</v>
      </c>
      <c r="C1937" s="47">
        <v>44285</v>
      </c>
      <c r="D1937" s="45">
        <v>22021002047</v>
      </c>
      <c r="E1937" s="46" t="s">
        <v>944</v>
      </c>
      <c r="F1937" s="48">
        <v>304.92</v>
      </c>
      <c r="G1937" s="46" t="s">
        <v>59</v>
      </c>
      <c r="H1937" s="46" t="s">
        <v>3253</v>
      </c>
      <c r="I1937" s="45" t="s">
        <v>205</v>
      </c>
      <c r="J1937" s="46" t="s">
        <v>127</v>
      </c>
      <c r="K1937" s="46" t="s">
        <v>127</v>
      </c>
      <c r="L1937" s="46" t="s">
        <v>15</v>
      </c>
      <c r="M1937" s="46" t="s">
        <v>13</v>
      </c>
      <c r="N1937" s="46" t="s">
        <v>14</v>
      </c>
      <c r="O1937" s="49" t="s">
        <v>814</v>
      </c>
      <c r="P1937" s="46" t="s">
        <v>507</v>
      </c>
      <c r="Q1937" s="35" t="str">
        <f>MID(Tabla1[[#This Row],[Aplicación]],14,1)</f>
        <v>2</v>
      </c>
      <c r="R1937" s="35" t="s">
        <v>495</v>
      </c>
      <c r="S1937" s="35" t="str">
        <f>MID(Tabla1[[#This Row],[Aplicación]],6,2)</f>
        <v>11</v>
      </c>
      <c r="T1937" s="35" t="str">
        <f>VLOOKUP(Tabla1[[#This Row],[AREA]],Hoja1!A:B,2,FALSE)</f>
        <v>11. Salud pública y seguridad ciudadana</v>
      </c>
      <c r="U1937" s="35" t="str">
        <f>MID(Tabla1[[#This Row],[Aplicación]],9,4)</f>
        <v>1621</v>
      </c>
      <c r="V1937" s="35" t="str">
        <f>VLOOKUP(Tabla1[[#This Row],[PROGRAMA]],Hoja1!A:B,2,FALSE)</f>
        <v>1621. Servicio de limpieza</v>
      </c>
      <c r="W1937" s="35" t="str">
        <f>MID(Tabla1[[#This Row],[Aplicación]],14,2)</f>
        <v>21</v>
      </c>
      <c r="X1937" s="35" t="str">
        <f>MID(Tabla1[[#This Row],[Aplicación]],14,6)</f>
        <v>213</v>
      </c>
    </row>
    <row r="1938" spans="1:24" x14ac:dyDescent="0.25">
      <c r="A1938" s="45">
        <v>220199000493</v>
      </c>
      <c r="B1938" s="46" t="s">
        <v>9</v>
      </c>
      <c r="C1938" s="47">
        <v>44198</v>
      </c>
      <c r="D1938" s="45">
        <v>22021000155</v>
      </c>
      <c r="E1938" s="46" t="s">
        <v>1251</v>
      </c>
      <c r="F1938" s="48">
        <v>18876</v>
      </c>
      <c r="G1938" s="46" t="s">
        <v>130</v>
      </c>
      <c r="H1938" s="46" t="s">
        <v>678</v>
      </c>
      <c r="I1938" s="45" t="s">
        <v>125</v>
      </c>
      <c r="J1938" s="46" t="s">
        <v>127</v>
      </c>
      <c r="K1938" s="46" t="s">
        <v>127</v>
      </c>
      <c r="L1938" s="46" t="s">
        <v>12</v>
      </c>
      <c r="M1938" s="46" t="s">
        <v>13</v>
      </c>
      <c r="N1938" s="46" t="s">
        <v>14</v>
      </c>
      <c r="O1938" s="49" t="s">
        <v>803</v>
      </c>
      <c r="P1938" s="46" t="s">
        <v>507</v>
      </c>
      <c r="Q1938" s="35" t="str">
        <f>MID(Tabla1[[#This Row],[Aplicación]],14,1)</f>
        <v>2</v>
      </c>
      <c r="R1938" s="35" t="s">
        <v>495</v>
      </c>
      <c r="S1938" s="35" t="str">
        <f>MID(Tabla1[[#This Row],[Aplicación]],6,2)</f>
        <v>09</v>
      </c>
      <c r="T1938" s="35" t="str">
        <f>VLOOKUP(Tabla1[[#This Row],[AREA]],Hoja1!A:B,2,FALSE)</f>
        <v>09. Cultura y turismo</v>
      </c>
      <c r="U1938" s="35" t="str">
        <f>MID(Tabla1[[#This Row],[Aplicación]],9,4)</f>
        <v>3301</v>
      </c>
      <c r="V1938" s="35" t="str">
        <f>VLOOKUP(Tabla1[[#This Row],[PROGRAMA]],Hoja1!A:B,2,FALSE)</f>
        <v>3301. Dirección del área de cultura</v>
      </c>
      <c r="W1938" s="35" t="str">
        <f>MID(Tabla1[[#This Row],[Aplicación]],14,2)</f>
        <v>22</v>
      </c>
      <c r="X1938" s="35" t="str">
        <f>MID(Tabla1[[#This Row],[Aplicación]],14,6)</f>
        <v>22799</v>
      </c>
    </row>
    <row r="1939" spans="1:24" x14ac:dyDescent="0.25">
      <c r="A1939" s="45">
        <v>220189000209</v>
      </c>
      <c r="B1939" s="46" t="s">
        <v>9</v>
      </c>
      <c r="C1939" s="47">
        <v>44198</v>
      </c>
      <c r="D1939" s="45">
        <v>22021000121</v>
      </c>
      <c r="E1939" s="46" t="s">
        <v>3254</v>
      </c>
      <c r="F1939" s="48">
        <v>20046.8</v>
      </c>
      <c r="G1939" s="46" t="s">
        <v>45</v>
      </c>
      <c r="H1939" s="46" t="s">
        <v>28</v>
      </c>
      <c r="I1939" s="45" t="s">
        <v>125</v>
      </c>
      <c r="J1939" s="46" t="s">
        <v>126</v>
      </c>
      <c r="K1939" s="46" t="s">
        <v>126</v>
      </c>
      <c r="L1939" s="46" t="s">
        <v>15</v>
      </c>
      <c r="M1939" s="46" t="s">
        <v>13</v>
      </c>
      <c r="N1939" s="46" t="s">
        <v>14</v>
      </c>
      <c r="O1939" s="49" t="s">
        <v>803</v>
      </c>
      <c r="P1939" s="46" t="s">
        <v>507</v>
      </c>
      <c r="Q1939" s="35" t="str">
        <f>MID(Tabla1[[#This Row],[Aplicación]],14,1)</f>
        <v>2</v>
      </c>
      <c r="R1939" s="35" t="s">
        <v>495</v>
      </c>
      <c r="S1939" s="35" t="str">
        <f>MID(Tabla1[[#This Row],[Aplicación]],6,2)</f>
        <v>07</v>
      </c>
      <c r="T1939" s="35" t="str">
        <f>VLOOKUP(Tabla1[[#This Row],[AREA]],Hoja1!A:B,2,FALSE)</f>
        <v>07. Medio ambiente y desarrollo sostenible</v>
      </c>
      <c r="U1939" s="35" t="str">
        <f>MID(Tabla1[[#This Row],[Aplicación]],9,4)</f>
        <v>1701</v>
      </c>
      <c r="V1939" s="35" t="str">
        <f>VLOOKUP(Tabla1[[#This Row],[PROGRAMA]],Hoja1!A:B,2,FALSE)</f>
        <v>1701. Dirección del área de medio ambiente</v>
      </c>
      <c r="W1939" s="35" t="str">
        <f>MID(Tabla1[[#This Row],[Aplicación]],14,2)</f>
        <v>22</v>
      </c>
      <c r="X1939" s="35" t="str">
        <f>MID(Tabla1[[#This Row],[Aplicación]],14,6)</f>
        <v>22102</v>
      </c>
    </row>
    <row r="1940" spans="1:24" x14ac:dyDescent="0.25">
      <c r="A1940" s="45">
        <v>220200039598</v>
      </c>
      <c r="B1940" s="46" t="s">
        <v>9</v>
      </c>
      <c r="C1940" s="47">
        <v>44284</v>
      </c>
      <c r="D1940" s="45">
        <v>22020003863</v>
      </c>
      <c r="E1940" s="46" t="s">
        <v>1483</v>
      </c>
      <c r="F1940" s="48">
        <v>20551.55</v>
      </c>
      <c r="G1940" s="46" t="s">
        <v>3206</v>
      </c>
      <c r="H1940" s="46" t="s">
        <v>3255</v>
      </c>
      <c r="I1940" s="45" t="s">
        <v>125</v>
      </c>
      <c r="J1940" s="46" t="s">
        <v>619</v>
      </c>
      <c r="K1940" s="46" t="s">
        <v>127</v>
      </c>
      <c r="L1940" s="46" t="s">
        <v>31</v>
      </c>
      <c r="M1940" s="46" t="s">
        <v>13</v>
      </c>
      <c r="N1940" s="46" t="s">
        <v>16</v>
      </c>
      <c r="O1940" s="49" t="s">
        <v>803</v>
      </c>
      <c r="P1940" s="46" t="s">
        <v>507</v>
      </c>
      <c r="Q1940" s="35" t="str">
        <f>MID(Tabla1[[#This Row],[Aplicación]],14,1)</f>
        <v>6</v>
      </c>
      <c r="R1940" s="35" t="s">
        <v>496</v>
      </c>
      <c r="S1940" s="35" t="str">
        <f>MID(Tabla1[[#This Row],[Aplicación]],6,2)</f>
        <v>03</v>
      </c>
      <c r="T1940" s="35" t="str">
        <f>VLOOKUP(Tabla1[[#This Row],[AREA]],Hoja1!A:B,2,FALSE)</f>
        <v>03. Participación ciudadana y deportes</v>
      </c>
      <c r="U1940" s="35" t="str">
        <f>MID(Tabla1[[#This Row],[Aplicación]],9,4)</f>
        <v>9241</v>
      </c>
      <c r="V1940" s="35" t="str">
        <f>VLOOKUP(Tabla1[[#This Row],[PROGRAMA]],Hoja1!A:B,2,FALSE)</f>
        <v>9241. Participación ciudadana</v>
      </c>
      <c r="W1940" s="35" t="str">
        <f>MID(Tabla1[[#This Row],[Aplicación]],14,2)</f>
        <v>63</v>
      </c>
      <c r="X1940" s="35" t="str">
        <f>MID(Tabla1[[#This Row],[Aplicación]],14,6)</f>
        <v>632</v>
      </c>
    </row>
    <row r="1941" spans="1:24" x14ac:dyDescent="0.25">
      <c r="A1941" s="45">
        <v>220210006578</v>
      </c>
      <c r="B1941" s="46" t="s">
        <v>204</v>
      </c>
      <c r="C1941" s="47">
        <v>44256</v>
      </c>
      <c r="D1941" s="45">
        <v>22021002212</v>
      </c>
      <c r="E1941" s="46" t="s">
        <v>1550</v>
      </c>
      <c r="F1941" s="48">
        <v>21780</v>
      </c>
      <c r="G1941" s="46" t="s">
        <v>101</v>
      </c>
      <c r="H1941" s="46" t="s">
        <v>3256</v>
      </c>
      <c r="I1941" s="45" t="s">
        <v>205</v>
      </c>
      <c r="J1941" s="46" t="s">
        <v>127</v>
      </c>
      <c r="K1941" s="46" t="s">
        <v>127</v>
      </c>
      <c r="L1941" s="46" t="s">
        <v>12</v>
      </c>
      <c r="M1941" s="46" t="s">
        <v>13</v>
      </c>
      <c r="N1941" s="46" t="s">
        <v>14</v>
      </c>
      <c r="O1941" s="49" t="s">
        <v>803</v>
      </c>
      <c r="P1941" s="46" t="s">
        <v>507</v>
      </c>
      <c r="Q1941" s="35" t="str">
        <f>MID(Tabla1[[#This Row],[Aplicación]],14,1)</f>
        <v>2</v>
      </c>
      <c r="R1941" s="35" t="s">
        <v>495</v>
      </c>
      <c r="S1941" s="35" t="str">
        <f>MID(Tabla1[[#This Row],[Aplicación]],6,2)</f>
        <v>06</v>
      </c>
      <c r="T1941" s="35" t="str">
        <f>VLOOKUP(Tabla1[[#This Row],[AREA]],Hoja1!A:B,2,FALSE)</f>
        <v>06. Educación, infancia, juventud e igualdad</v>
      </c>
      <c r="U1941" s="35" t="str">
        <f>MID(Tabla1[[#This Row],[Aplicación]],9,4)</f>
        <v>2315</v>
      </c>
      <c r="V1941" s="35" t="str">
        <f>VLOOKUP(Tabla1[[#This Row],[PROGRAMA]],Hoja1!A:B,2,FALSE)</f>
        <v>2315. Políticas de Igualdad e infancia</v>
      </c>
      <c r="W1941" s="35" t="str">
        <f>MID(Tabla1[[#This Row],[Aplicación]],14,2)</f>
        <v>22</v>
      </c>
      <c r="X1941" s="35" t="str">
        <f>MID(Tabla1[[#This Row],[Aplicación]],14,6)</f>
        <v>22799</v>
      </c>
    </row>
    <row r="1942" spans="1:24" x14ac:dyDescent="0.25">
      <c r="A1942" s="45">
        <v>220210013047</v>
      </c>
      <c r="B1942" s="46" t="s">
        <v>204</v>
      </c>
      <c r="C1942" s="47">
        <v>44285</v>
      </c>
      <c r="D1942" s="45">
        <v>22021002143</v>
      </c>
      <c r="E1942" s="46" t="s">
        <v>1328</v>
      </c>
      <c r="F1942" s="48">
        <v>5.32</v>
      </c>
      <c r="G1942" s="46" t="s">
        <v>102</v>
      </c>
      <c r="H1942" s="46" t="s">
        <v>3257</v>
      </c>
      <c r="I1942" s="45" t="s">
        <v>205</v>
      </c>
      <c r="J1942" s="46" t="s">
        <v>127</v>
      </c>
      <c r="K1942" s="46" t="s">
        <v>127</v>
      </c>
      <c r="L1942" s="46" t="s">
        <v>15</v>
      </c>
      <c r="M1942" s="46" t="s">
        <v>13</v>
      </c>
      <c r="N1942" s="46" t="s">
        <v>14</v>
      </c>
      <c r="O1942" s="49" t="s">
        <v>814</v>
      </c>
      <c r="P1942" s="46" t="s">
        <v>507</v>
      </c>
      <c r="Q1942" s="35" t="str">
        <f>MID(Tabla1[[#This Row],[Aplicación]],14,1)</f>
        <v>2</v>
      </c>
      <c r="R1942" s="35" t="s">
        <v>495</v>
      </c>
      <c r="S1942" s="35" t="str">
        <f>MID(Tabla1[[#This Row],[Aplicación]],6,2)</f>
        <v>10</v>
      </c>
      <c r="T1942" s="35" t="str">
        <f>VLOOKUP(Tabla1[[#This Row],[AREA]],Hoja1!A:B,2,FALSE)</f>
        <v>10. Servicios sociales y mediación comunitaria</v>
      </c>
      <c r="U1942" s="35" t="str">
        <f>MID(Tabla1[[#This Row],[Aplicación]],9,4)</f>
        <v>2311</v>
      </c>
      <c r="V1942" s="35" t="str">
        <f>VLOOKUP(Tabla1[[#This Row],[PROGRAMA]],Hoja1!A:B,2,FALSE)</f>
        <v>2311. Intervención social</v>
      </c>
      <c r="W1942" s="35" t="str">
        <f>MID(Tabla1[[#This Row],[Aplicación]],14,2)</f>
        <v>21</v>
      </c>
      <c r="X1942" s="35" t="str">
        <f>MID(Tabla1[[#This Row],[Aplicación]],14,6)</f>
        <v>212</v>
      </c>
    </row>
    <row r="1943" spans="1:24" x14ac:dyDescent="0.25">
      <c r="A1943" s="45">
        <v>220209000811</v>
      </c>
      <c r="B1943" s="46" t="s">
        <v>9</v>
      </c>
      <c r="C1943" s="47">
        <v>44198</v>
      </c>
      <c r="D1943" s="45">
        <v>22021000749</v>
      </c>
      <c r="E1943" s="46" t="s">
        <v>1247</v>
      </c>
      <c r="F1943" s="48">
        <v>23958</v>
      </c>
      <c r="G1943" s="46" t="s">
        <v>156</v>
      </c>
      <c r="H1943" s="46" t="s">
        <v>3258</v>
      </c>
      <c r="I1943" s="45" t="s">
        <v>125</v>
      </c>
      <c r="J1943" s="46" t="s">
        <v>617</v>
      </c>
      <c r="K1943" s="46" t="s">
        <v>157</v>
      </c>
      <c r="L1943" s="46" t="s">
        <v>12</v>
      </c>
      <c r="M1943" s="46" t="s">
        <v>10</v>
      </c>
      <c r="N1943" s="46" t="s">
        <v>11</v>
      </c>
      <c r="O1943" s="49" t="s">
        <v>3307</v>
      </c>
      <c r="P1943" s="46" t="s">
        <v>507</v>
      </c>
      <c r="Q1943" s="35" t="str">
        <f>MID(Tabla1[[#This Row],[Aplicación]],14,1)</f>
        <v>2</v>
      </c>
      <c r="R1943" s="35" t="s">
        <v>495</v>
      </c>
      <c r="S1943" s="35" t="str">
        <f>MID(Tabla1[[#This Row],[Aplicación]],6,2)</f>
        <v>10</v>
      </c>
      <c r="T1943" s="35" t="str">
        <f>VLOOKUP(Tabla1[[#This Row],[AREA]],Hoja1!A:B,2,FALSE)</f>
        <v>10. Servicios sociales y mediación comunitaria</v>
      </c>
      <c r="U1943" s="35" t="str">
        <f>MID(Tabla1[[#This Row],[Aplicación]],9,4)</f>
        <v>2311</v>
      </c>
      <c r="V1943" s="35" t="str">
        <f>VLOOKUP(Tabla1[[#This Row],[PROGRAMA]],Hoja1!A:B,2,FALSE)</f>
        <v>2311. Intervención social</v>
      </c>
      <c r="W1943" s="35" t="str">
        <f>MID(Tabla1[[#This Row],[Aplicación]],14,2)</f>
        <v>22</v>
      </c>
      <c r="X1943" s="35" t="str">
        <f>MID(Tabla1[[#This Row],[Aplicación]],14,6)</f>
        <v>22799</v>
      </c>
    </row>
    <row r="1944" spans="1:24" x14ac:dyDescent="0.25">
      <c r="A1944" s="45">
        <v>220210001919</v>
      </c>
      <c r="B1944" s="46" t="s">
        <v>9</v>
      </c>
      <c r="C1944" s="47">
        <v>44231</v>
      </c>
      <c r="D1944" s="45">
        <v>22021001671</v>
      </c>
      <c r="E1944" s="46" t="s">
        <v>840</v>
      </c>
      <c r="F1944" s="48">
        <v>25000</v>
      </c>
      <c r="G1944" s="46" t="s">
        <v>512</v>
      </c>
      <c r="H1944" s="46" t="s">
        <v>3260</v>
      </c>
      <c r="I1944" s="45" t="s">
        <v>125</v>
      </c>
      <c r="J1944" s="46" t="s">
        <v>127</v>
      </c>
      <c r="K1944" s="46" t="s">
        <v>127</v>
      </c>
      <c r="L1944" s="46" t="s">
        <v>12</v>
      </c>
      <c r="M1944" s="46" t="s">
        <v>13</v>
      </c>
      <c r="N1944" s="46" t="s">
        <v>14</v>
      </c>
      <c r="O1944" s="49" t="s">
        <v>803</v>
      </c>
      <c r="P1944" s="46" t="s">
        <v>507</v>
      </c>
      <c r="Q1944" s="35" t="str">
        <f>MID(Tabla1[[#This Row],[Aplicación]],14,1)</f>
        <v>2</v>
      </c>
      <c r="R1944" s="35" t="s">
        <v>495</v>
      </c>
      <c r="S1944" s="35" t="str">
        <f>MID(Tabla1[[#This Row],[Aplicación]],6,2)</f>
        <v>07</v>
      </c>
      <c r="T1944" s="35" t="str">
        <f>VLOOKUP(Tabla1[[#This Row],[AREA]],Hoja1!A:B,2,FALSE)</f>
        <v>07. Medio ambiente y desarrollo sostenible</v>
      </c>
      <c r="U1944" s="35" t="str">
        <f>MID(Tabla1[[#This Row],[Aplicación]],9,4)</f>
        <v>1711</v>
      </c>
      <c r="V1944" s="35" t="str">
        <f>VLOOKUP(Tabla1[[#This Row],[PROGRAMA]],Hoja1!A:B,2,FALSE)</f>
        <v>1711. Parques y jardines</v>
      </c>
      <c r="W1944" s="35" t="str">
        <f>MID(Tabla1[[#This Row],[Aplicación]],14,2)</f>
        <v>22</v>
      </c>
      <c r="X1944" s="35" t="str">
        <f>MID(Tabla1[[#This Row],[Aplicación]],14,6)</f>
        <v>22799</v>
      </c>
    </row>
    <row r="1945" spans="1:24" x14ac:dyDescent="0.25">
      <c r="A1945" s="45">
        <v>220210006577</v>
      </c>
      <c r="B1945" s="46" t="s">
        <v>9</v>
      </c>
      <c r="C1945" s="47">
        <v>44256</v>
      </c>
      <c r="D1945" s="45">
        <v>22021002100</v>
      </c>
      <c r="E1945" s="46" t="s">
        <v>1415</v>
      </c>
      <c r="F1945" s="48">
        <v>26000</v>
      </c>
      <c r="G1945" s="46" t="s">
        <v>118</v>
      </c>
      <c r="H1945" s="46" t="s">
        <v>3261</v>
      </c>
      <c r="I1945" s="45" t="s">
        <v>125</v>
      </c>
      <c r="J1945" s="46" t="s">
        <v>127</v>
      </c>
      <c r="K1945" s="46" t="s">
        <v>127</v>
      </c>
      <c r="L1945" s="46" t="s">
        <v>12</v>
      </c>
      <c r="M1945" s="46" t="s">
        <v>13</v>
      </c>
      <c r="N1945" s="46" t="s">
        <v>14</v>
      </c>
      <c r="O1945" s="49" t="s">
        <v>803</v>
      </c>
      <c r="P1945" s="46" t="s">
        <v>507</v>
      </c>
      <c r="Q1945" s="35" t="str">
        <f>MID(Tabla1[[#This Row],[Aplicación]],14,1)</f>
        <v>2</v>
      </c>
      <c r="R1945" s="35" t="s">
        <v>495</v>
      </c>
      <c r="S1945" s="35" t="str">
        <f>MID(Tabla1[[#This Row],[Aplicación]],6,2)</f>
        <v>10</v>
      </c>
      <c r="T1945" s="35" t="str">
        <f>VLOOKUP(Tabla1[[#This Row],[AREA]],Hoja1!A:B,2,FALSE)</f>
        <v>10. Servicios sociales y mediación comunitaria</v>
      </c>
      <c r="U1945" s="35" t="str">
        <f>MID(Tabla1[[#This Row],[Aplicación]],9,4)</f>
        <v>2312</v>
      </c>
      <c r="V1945" s="35" t="str">
        <f>VLOOKUP(Tabla1[[#This Row],[PROGRAMA]],Hoja1!A:B,2,FALSE)</f>
        <v>2312. Iniciativas sociales</v>
      </c>
      <c r="W1945" s="35" t="str">
        <f>MID(Tabla1[[#This Row],[Aplicación]],14,2)</f>
        <v>22</v>
      </c>
      <c r="X1945" s="35" t="str">
        <f>MID(Tabla1[[#This Row],[Aplicación]],14,6)</f>
        <v>22799</v>
      </c>
    </row>
    <row r="1946" spans="1:24" x14ac:dyDescent="0.25">
      <c r="A1946" s="45">
        <v>220210013068</v>
      </c>
      <c r="B1946" s="46" t="s">
        <v>204</v>
      </c>
      <c r="C1946" s="47">
        <v>44285</v>
      </c>
      <c r="D1946" s="45">
        <v>22021001967</v>
      </c>
      <c r="E1946" s="46" t="s">
        <v>1167</v>
      </c>
      <c r="F1946" s="48">
        <v>187.2</v>
      </c>
      <c r="G1946" s="46" t="s">
        <v>264</v>
      </c>
      <c r="H1946" s="46" t="s">
        <v>2043</v>
      </c>
      <c r="I1946" s="45" t="s">
        <v>205</v>
      </c>
      <c r="J1946" s="46" t="s">
        <v>127</v>
      </c>
      <c r="K1946" s="46" t="s">
        <v>127</v>
      </c>
      <c r="L1946" s="46" t="s">
        <v>15</v>
      </c>
      <c r="M1946" s="46" t="s">
        <v>13</v>
      </c>
      <c r="N1946" s="46" t="s">
        <v>14</v>
      </c>
      <c r="O1946" s="49" t="s">
        <v>814</v>
      </c>
      <c r="P1946" s="46" t="s">
        <v>507</v>
      </c>
      <c r="Q1946" s="35" t="str">
        <f>MID(Tabla1[[#This Row],[Aplicación]],14,1)</f>
        <v>2</v>
      </c>
      <c r="R1946" s="35" t="s">
        <v>495</v>
      </c>
      <c r="S1946" s="35" t="str">
        <f>MID(Tabla1[[#This Row],[Aplicación]],6,2)</f>
        <v>11</v>
      </c>
      <c r="T1946" s="35" t="str">
        <f>VLOOKUP(Tabla1[[#This Row],[AREA]],Hoja1!A:B,2,FALSE)</f>
        <v>11. Salud pública y seguridad ciudadana</v>
      </c>
      <c r="U1946" s="35" t="str">
        <f>MID(Tabla1[[#This Row],[Aplicación]],9,4)</f>
        <v>1321</v>
      </c>
      <c r="V1946" s="35" t="str">
        <f>VLOOKUP(Tabla1[[#This Row],[PROGRAMA]],Hoja1!A:B,2,FALSE)</f>
        <v>1321. Policía municipal</v>
      </c>
      <c r="W1946" s="35" t="str">
        <f>MID(Tabla1[[#This Row],[Aplicación]],14,2)</f>
        <v>21</v>
      </c>
      <c r="X1946" s="35" t="str">
        <f>MID(Tabla1[[#This Row],[Aplicación]],14,6)</f>
        <v>214</v>
      </c>
    </row>
    <row r="1947" spans="1:24" x14ac:dyDescent="0.25">
      <c r="A1947" s="45">
        <v>220210013070</v>
      </c>
      <c r="B1947" s="46" t="s">
        <v>204</v>
      </c>
      <c r="C1947" s="47">
        <v>44285</v>
      </c>
      <c r="D1947" s="45">
        <v>22021001967</v>
      </c>
      <c r="E1947" s="46" t="s">
        <v>1167</v>
      </c>
      <c r="F1947" s="48">
        <v>585.23</v>
      </c>
      <c r="G1947" s="46" t="s">
        <v>265</v>
      </c>
      <c r="H1947" s="46" t="s">
        <v>3262</v>
      </c>
      <c r="I1947" s="45" t="s">
        <v>205</v>
      </c>
      <c r="J1947" s="46" t="s">
        <v>157</v>
      </c>
      <c r="K1947" s="46" t="s">
        <v>157</v>
      </c>
      <c r="L1947" s="46" t="s">
        <v>15</v>
      </c>
      <c r="M1947" s="46" t="s">
        <v>13</v>
      </c>
      <c r="N1947" s="46" t="s">
        <v>14</v>
      </c>
      <c r="O1947" s="49" t="s">
        <v>814</v>
      </c>
      <c r="P1947" s="46" t="s">
        <v>507</v>
      </c>
      <c r="Q1947" s="35" t="str">
        <f>MID(Tabla1[[#This Row],[Aplicación]],14,1)</f>
        <v>2</v>
      </c>
      <c r="R1947" s="35" t="s">
        <v>495</v>
      </c>
      <c r="S1947" s="35" t="str">
        <f>MID(Tabla1[[#This Row],[Aplicación]],6,2)</f>
        <v>11</v>
      </c>
      <c r="T1947" s="35" t="str">
        <f>VLOOKUP(Tabla1[[#This Row],[AREA]],Hoja1!A:B,2,FALSE)</f>
        <v>11. Salud pública y seguridad ciudadana</v>
      </c>
      <c r="U1947" s="35" t="str">
        <f>MID(Tabla1[[#This Row],[Aplicación]],9,4)</f>
        <v>1321</v>
      </c>
      <c r="V1947" s="35" t="str">
        <f>VLOOKUP(Tabla1[[#This Row],[PROGRAMA]],Hoja1!A:B,2,FALSE)</f>
        <v>1321. Policía municipal</v>
      </c>
      <c r="W1947" s="35" t="str">
        <f>MID(Tabla1[[#This Row],[Aplicación]],14,2)</f>
        <v>21</v>
      </c>
      <c r="X1947" s="35" t="str">
        <f>MID(Tabla1[[#This Row],[Aplicación]],14,6)</f>
        <v>214</v>
      </c>
    </row>
    <row r="1948" spans="1:24" x14ac:dyDescent="0.25">
      <c r="A1948" s="45">
        <v>220210013072</v>
      </c>
      <c r="B1948" s="46" t="s">
        <v>204</v>
      </c>
      <c r="C1948" s="47">
        <v>44285</v>
      </c>
      <c r="D1948" s="45">
        <v>22021001275</v>
      </c>
      <c r="E1948" s="46" t="s">
        <v>1334</v>
      </c>
      <c r="F1948" s="48">
        <v>31.51</v>
      </c>
      <c r="G1948" s="46" t="s">
        <v>277</v>
      </c>
      <c r="H1948" s="46" t="s">
        <v>1461</v>
      </c>
      <c r="I1948" s="45" t="s">
        <v>205</v>
      </c>
      <c r="J1948" s="46" t="s">
        <v>127</v>
      </c>
      <c r="K1948" s="46" t="s">
        <v>127</v>
      </c>
      <c r="L1948" s="46" t="s">
        <v>15</v>
      </c>
      <c r="M1948" s="46" t="s">
        <v>13</v>
      </c>
      <c r="N1948" s="46" t="s">
        <v>14</v>
      </c>
      <c r="O1948" s="49" t="s">
        <v>814</v>
      </c>
      <c r="P1948" s="46" t="s">
        <v>507</v>
      </c>
      <c r="Q1948" s="35" t="str">
        <f>MID(Tabla1[[#This Row],[Aplicación]],14,1)</f>
        <v>2</v>
      </c>
      <c r="R1948" s="35" t="s">
        <v>495</v>
      </c>
      <c r="S1948" s="35" t="str">
        <f>MID(Tabla1[[#This Row],[Aplicación]],6,2)</f>
        <v>07</v>
      </c>
      <c r="T1948" s="35" t="str">
        <f>VLOOKUP(Tabla1[[#This Row],[AREA]],Hoja1!A:B,2,FALSE)</f>
        <v>07. Medio ambiente y desarrollo sostenible</v>
      </c>
      <c r="U1948" s="35" t="str">
        <f>MID(Tabla1[[#This Row],[Aplicación]],9,4)</f>
        <v>1711</v>
      </c>
      <c r="V1948" s="35" t="str">
        <f>VLOOKUP(Tabla1[[#This Row],[PROGRAMA]],Hoja1!A:B,2,FALSE)</f>
        <v>1711. Parques y jardines</v>
      </c>
      <c r="W1948" s="35" t="str">
        <f>MID(Tabla1[[#This Row],[Aplicación]],14,2)</f>
        <v>22</v>
      </c>
      <c r="X1948" s="35" t="str">
        <f>MID(Tabla1[[#This Row],[Aplicación]],14,6)</f>
        <v>22199</v>
      </c>
    </row>
    <row r="1949" spans="1:24" x14ac:dyDescent="0.25">
      <c r="A1949" s="45">
        <v>220210000525</v>
      </c>
      <c r="B1949" s="46" t="s">
        <v>9</v>
      </c>
      <c r="C1949" s="47">
        <v>44221</v>
      </c>
      <c r="D1949" s="45">
        <v>22021000030</v>
      </c>
      <c r="E1949" s="46" t="s">
        <v>3129</v>
      </c>
      <c r="F1949" s="48">
        <v>26194.080000000002</v>
      </c>
      <c r="G1949" s="46" t="s">
        <v>548</v>
      </c>
      <c r="H1949" s="46" t="s">
        <v>3263</v>
      </c>
      <c r="I1949" s="45" t="s">
        <v>125</v>
      </c>
      <c r="J1949" s="46" t="s">
        <v>203</v>
      </c>
      <c r="K1949" s="46" t="s">
        <v>203</v>
      </c>
      <c r="L1949" s="46" t="s">
        <v>12</v>
      </c>
      <c r="M1949" s="46" t="s">
        <v>13</v>
      </c>
      <c r="N1949" s="46" t="s">
        <v>14</v>
      </c>
      <c r="O1949" s="49" t="s">
        <v>803</v>
      </c>
      <c r="P1949" s="46" t="s">
        <v>507</v>
      </c>
      <c r="Q1949" s="35" t="str">
        <f>MID(Tabla1[[#This Row],[Aplicación]],14,1)</f>
        <v>2</v>
      </c>
      <c r="R1949" s="35" t="s">
        <v>495</v>
      </c>
      <c r="S1949" s="35" t="str">
        <f>MID(Tabla1[[#This Row],[Aplicación]],6,2)</f>
        <v>01</v>
      </c>
      <c r="T1949" s="35" t="str">
        <f>VLOOKUP(Tabla1[[#This Row],[AREA]],Hoja1!A:B,2,FALSE)</f>
        <v>01. Alcaldía</v>
      </c>
      <c r="U1949" s="35" t="str">
        <f>MID(Tabla1[[#This Row],[Aplicación]],9,4)</f>
        <v>9312</v>
      </c>
      <c r="V1949" s="35" t="str">
        <f>VLOOKUP(Tabla1[[#This Row],[PROGRAMA]],Hoja1!A:B,2,FALSE)</f>
        <v>9312. Intervención general</v>
      </c>
      <c r="W1949" s="35" t="str">
        <f>MID(Tabla1[[#This Row],[Aplicación]],14,2)</f>
        <v>22</v>
      </c>
      <c r="X1949" s="35" t="str">
        <f>MID(Tabla1[[#This Row],[Aplicación]],14,6)</f>
        <v>22706</v>
      </c>
    </row>
    <row r="1950" spans="1:24" x14ac:dyDescent="0.25">
      <c r="A1950" s="45">
        <v>220210010795</v>
      </c>
      <c r="B1950" s="46" t="s">
        <v>204</v>
      </c>
      <c r="C1950" s="47">
        <v>44278</v>
      </c>
      <c r="D1950" s="45">
        <v>22021002046</v>
      </c>
      <c r="E1950" s="46" t="s">
        <v>2155</v>
      </c>
      <c r="F1950" s="48">
        <v>163.69</v>
      </c>
      <c r="G1950" s="46" t="s">
        <v>235</v>
      </c>
      <c r="H1950" s="46" t="s">
        <v>3264</v>
      </c>
      <c r="I1950" s="45" t="s">
        <v>205</v>
      </c>
      <c r="J1950" s="46" t="s">
        <v>742</v>
      </c>
      <c r="K1950" s="46" t="s">
        <v>165</v>
      </c>
      <c r="L1950" s="46" t="s">
        <v>15</v>
      </c>
      <c r="M1950" s="46" t="s">
        <v>13</v>
      </c>
      <c r="N1950" s="46" t="s">
        <v>14</v>
      </c>
      <c r="O1950" s="49" t="s">
        <v>814</v>
      </c>
      <c r="P1950" s="46" t="s">
        <v>507</v>
      </c>
      <c r="Q1950" s="35" t="str">
        <f>MID(Tabla1[[#This Row],[Aplicación]],14,1)</f>
        <v>2</v>
      </c>
      <c r="R1950" s="35" t="s">
        <v>495</v>
      </c>
      <c r="S1950" s="35" t="str">
        <f>MID(Tabla1[[#This Row],[Aplicación]],6,2)</f>
        <v>11</v>
      </c>
      <c r="T1950" s="35" t="str">
        <f>VLOOKUP(Tabla1[[#This Row],[AREA]],Hoja1!A:B,2,FALSE)</f>
        <v>11. Salud pública y seguridad ciudadana</v>
      </c>
      <c r="U1950" s="35" t="str">
        <f>MID(Tabla1[[#This Row],[Aplicación]],9,4)</f>
        <v>1621</v>
      </c>
      <c r="V1950" s="35" t="str">
        <f>VLOOKUP(Tabla1[[#This Row],[PROGRAMA]],Hoja1!A:B,2,FALSE)</f>
        <v>1621. Servicio de limpieza</v>
      </c>
      <c r="W1950" s="35" t="str">
        <f>MID(Tabla1[[#This Row],[Aplicación]],14,2)</f>
        <v>21</v>
      </c>
      <c r="X1950" s="35" t="str">
        <f>MID(Tabla1[[#This Row],[Aplicación]],14,6)</f>
        <v>212</v>
      </c>
    </row>
    <row r="1951" spans="1:24" x14ac:dyDescent="0.25">
      <c r="A1951" s="45">
        <v>220210013083</v>
      </c>
      <c r="B1951" s="46" t="s">
        <v>204</v>
      </c>
      <c r="C1951" s="47">
        <v>44285</v>
      </c>
      <c r="D1951" s="45">
        <v>22021001275</v>
      </c>
      <c r="E1951" s="46" t="s">
        <v>1334</v>
      </c>
      <c r="F1951" s="48">
        <v>110.06</v>
      </c>
      <c r="G1951" s="46" t="s">
        <v>3265</v>
      </c>
      <c r="H1951" s="46" t="s">
        <v>3266</v>
      </c>
      <c r="I1951" s="45" t="s">
        <v>205</v>
      </c>
      <c r="J1951" s="46" t="s">
        <v>127</v>
      </c>
      <c r="K1951" s="46" t="s">
        <v>127</v>
      </c>
      <c r="L1951" s="46" t="s">
        <v>15</v>
      </c>
      <c r="M1951" s="46" t="s">
        <v>13</v>
      </c>
      <c r="N1951" s="46" t="s">
        <v>14</v>
      </c>
      <c r="O1951" s="49" t="s">
        <v>814</v>
      </c>
      <c r="P1951" s="46" t="s">
        <v>507</v>
      </c>
      <c r="Q1951" s="35" t="str">
        <f>MID(Tabla1[[#This Row],[Aplicación]],14,1)</f>
        <v>2</v>
      </c>
      <c r="R1951" s="35" t="s">
        <v>495</v>
      </c>
      <c r="S1951" s="35" t="str">
        <f>MID(Tabla1[[#This Row],[Aplicación]],6,2)</f>
        <v>07</v>
      </c>
      <c r="T1951" s="35" t="str">
        <f>VLOOKUP(Tabla1[[#This Row],[AREA]],Hoja1!A:B,2,FALSE)</f>
        <v>07. Medio ambiente y desarrollo sostenible</v>
      </c>
      <c r="U1951" s="35" t="str">
        <f>MID(Tabla1[[#This Row],[Aplicación]],9,4)</f>
        <v>1711</v>
      </c>
      <c r="V1951" s="35" t="str">
        <f>VLOOKUP(Tabla1[[#This Row],[PROGRAMA]],Hoja1!A:B,2,FALSE)</f>
        <v>1711. Parques y jardines</v>
      </c>
      <c r="W1951" s="35" t="str">
        <f>MID(Tabla1[[#This Row],[Aplicación]],14,2)</f>
        <v>22</v>
      </c>
      <c r="X1951" s="35" t="str">
        <f>MID(Tabla1[[#This Row],[Aplicación]],14,6)</f>
        <v>22199</v>
      </c>
    </row>
    <row r="1952" spans="1:24" x14ac:dyDescent="0.25">
      <c r="A1952" s="45">
        <v>220210013086</v>
      </c>
      <c r="B1952" s="46" t="s">
        <v>204</v>
      </c>
      <c r="C1952" s="47">
        <v>44285</v>
      </c>
      <c r="D1952" s="45">
        <v>22021001275</v>
      </c>
      <c r="E1952" s="46" t="s">
        <v>1334</v>
      </c>
      <c r="F1952" s="48">
        <v>2106.7800000000002</v>
      </c>
      <c r="G1952" s="46" t="s">
        <v>2907</v>
      </c>
      <c r="H1952" s="46" t="s">
        <v>3267</v>
      </c>
      <c r="I1952" s="45" t="s">
        <v>205</v>
      </c>
      <c r="J1952" s="46" t="s">
        <v>2909</v>
      </c>
      <c r="K1952" s="46" t="s">
        <v>127</v>
      </c>
      <c r="L1952" s="46" t="s">
        <v>15</v>
      </c>
      <c r="M1952" s="46" t="s">
        <v>13</v>
      </c>
      <c r="N1952" s="46" t="s">
        <v>14</v>
      </c>
      <c r="O1952" s="49" t="s">
        <v>814</v>
      </c>
      <c r="P1952" s="46" t="s">
        <v>507</v>
      </c>
      <c r="Q1952" s="35" t="str">
        <f>MID(Tabla1[[#This Row],[Aplicación]],14,1)</f>
        <v>2</v>
      </c>
      <c r="R1952" s="35" t="s">
        <v>495</v>
      </c>
      <c r="S1952" s="35" t="str">
        <f>MID(Tabla1[[#This Row],[Aplicación]],6,2)</f>
        <v>07</v>
      </c>
      <c r="T1952" s="35" t="str">
        <f>VLOOKUP(Tabla1[[#This Row],[AREA]],Hoja1!A:B,2,FALSE)</f>
        <v>07. Medio ambiente y desarrollo sostenible</v>
      </c>
      <c r="U1952" s="35" t="str">
        <f>MID(Tabla1[[#This Row],[Aplicación]],9,4)</f>
        <v>1711</v>
      </c>
      <c r="V1952" s="35" t="str">
        <f>VLOOKUP(Tabla1[[#This Row],[PROGRAMA]],Hoja1!A:B,2,FALSE)</f>
        <v>1711. Parques y jardines</v>
      </c>
      <c r="W1952" s="35" t="str">
        <f>MID(Tabla1[[#This Row],[Aplicación]],14,2)</f>
        <v>22</v>
      </c>
      <c r="X1952" s="35" t="str">
        <f>MID(Tabla1[[#This Row],[Aplicación]],14,6)</f>
        <v>22199</v>
      </c>
    </row>
    <row r="1953" spans="1:24" x14ac:dyDescent="0.25">
      <c r="A1953" s="45">
        <v>220210013089</v>
      </c>
      <c r="B1953" s="46" t="s">
        <v>204</v>
      </c>
      <c r="C1953" s="47">
        <v>44285</v>
      </c>
      <c r="D1953" s="45">
        <v>22021001275</v>
      </c>
      <c r="E1953" s="46" t="s">
        <v>1334</v>
      </c>
      <c r="F1953" s="48">
        <v>453.75</v>
      </c>
      <c r="G1953" s="46" t="s">
        <v>574</v>
      </c>
      <c r="H1953" s="46" t="s">
        <v>3268</v>
      </c>
      <c r="I1953" s="45" t="s">
        <v>205</v>
      </c>
      <c r="J1953" s="46" t="s">
        <v>127</v>
      </c>
      <c r="K1953" s="46" t="s">
        <v>127</v>
      </c>
      <c r="L1953" s="46" t="s">
        <v>15</v>
      </c>
      <c r="M1953" s="46" t="s">
        <v>13</v>
      </c>
      <c r="N1953" s="46" t="s">
        <v>14</v>
      </c>
      <c r="O1953" s="49" t="s">
        <v>814</v>
      </c>
      <c r="P1953" s="46" t="s">
        <v>507</v>
      </c>
      <c r="Q1953" s="35" t="str">
        <f>MID(Tabla1[[#This Row],[Aplicación]],14,1)</f>
        <v>2</v>
      </c>
      <c r="R1953" s="35" t="s">
        <v>495</v>
      </c>
      <c r="S1953" s="35" t="str">
        <f>MID(Tabla1[[#This Row],[Aplicación]],6,2)</f>
        <v>07</v>
      </c>
      <c r="T1953" s="35" t="str">
        <f>VLOOKUP(Tabla1[[#This Row],[AREA]],Hoja1!A:B,2,FALSE)</f>
        <v>07. Medio ambiente y desarrollo sostenible</v>
      </c>
      <c r="U1953" s="35" t="str">
        <f>MID(Tabla1[[#This Row],[Aplicación]],9,4)</f>
        <v>1711</v>
      </c>
      <c r="V1953" s="35" t="str">
        <f>VLOOKUP(Tabla1[[#This Row],[PROGRAMA]],Hoja1!A:B,2,FALSE)</f>
        <v>1711. Parques y jardines</v>
      </c>
      <c r="W1953" s="35" t="str">
        <f>MID(Tabla1[[#This Row],[Aplicación]],14,2)</f>
        <v>22</v>
      </c>
      <c r="X1953" s="35" t="str">
        <f>MID(Tabla1[[#This Row],[Aplicación]],14,6)</f>
        <v>22199</v>
      </c>
    </row>
    <row r="1954" spans="1:24" x14ac:dyDescent="0.25">
      <c r="A1954" s="45">
        <v>220210013094</v>
      </c>
      <c r="B1954" s="46" t="s">
        <v>204</v>
      </c>
      <c r="C1954" s="47">
        <v>44285</v>
      </c>
      <c r="D1954" s="45">
        <v>22021002146</v>
      </c>
      <c r="E1954" s="46" t="s">
        <v>1410</v>
      </c>
      <c r="F1954" s="48">
        <v>75.349999999999994</v>
      </c>
      <c r="G1954" s="46" t="s">
        <v>264</v>
      </c>
      <c r="H1954" s="46" t="s">
        <v>3269</v>
      </c>
      <c r="I1954" s="45" t="s">
        <v>205</v>
      </c>
      <c r="J1954" s="46" t="s">
        <v>127</v>
      </c>
      <c r="K1954" s="46" t="s">
        <v>127</v>
      </c>
      <c r="L1954" s="46" t="s">
        <v>15</v>
      </c>
      <c r="M1954" s="46" t="s">
        <v>13</v>
      </c>
      <c r="N1954" s="46" t="s">
        <v>14</v>
      </c>
      <c r="O1954" s="49" t="s">
        <v>814</v>
      </c>
      <c r="P1954" s="46" t="s">
        <v>507</v>
      </c>
      <c r="Q1954" s="35" t="str">
        <f>MID(Tabla1[[#This Row],[Aplicación]],14,1)</f>
        <v>2</v>
      </c>
      <c r="R1954" s="35" t="s">
        <v>495</v>
      </c>
      <c r="S1954" s="35" t="str">
        <f>MID(Tabla1[[#This Row],[Aplicación]],6,2)</f>
        <v>07</v>
      </c>
      <c r="T1954" s="35" t="str">
        <f>VLOOKUP(Tabla1[[#This Row],[AREA]],Hoja1!A:B,2,FALSE)</f>
        <v>07. Medio ambiente y desarrollo sostenible</v>
      </c>
      <c r="U1954" s="35" t="str">
        <f>MID(Tabla1[[#This Row],[Aplicación]],9,4)</f>
        <v>1711</v>
      </c>
      <c r="V1954" s="35" t="str">
        <f>VLOOKUP(Tabla1[[#This Row],[PROGRAMA]],Hoja1!A:B,2,FALSE)</f>
        <v>1711. Parques y jardines</v>
      </c>
      <c r="W1954" s="35" t="str">
        <f>MID(Tabla1[[#This Row],[Aplicación]],14,2)</f>
        <v>21</v>
      </c>
      <c r="X1954" s="35" t="str">
        <f>MID(Tabla1[[#This Row],[Aplicación]],14,6)</f>
        <v>214</v>
      </c>
    </row>
    <row r="1955" spans="1:24" x14ac:dyDescent="0.25">
      <c r="A1955" s="45">
        <v>220210013099</v>
      </c>
      <c r="B1955" s="46" t="s">
        <v>204</v>
      </c>
      <c r="C1955" s="47">
        <v>44285</v>
      </c>
      <c r="D1955" s="45">
        <v>22021002006</v>
      </c>
      <c r="E1955" s="46" t="s">
        <v>1310</v>
      </c>
      <c r="F1955" s="48">
        <v>88.39</v>
      </c>
      <c r="G1955" s="46" t="s">
        <v>135</v>
      </c>
      <c r="H1955" s="46" t="s">
        <v>3270</v>
      </c>
      <c r="I1955" s="45" t="s">
        <v>205</v>
      </c>
      <c r="J1955" s="46" t="s">
        <v>127</v>
      </c>
      <c r="K1955" s="46" t="s">
        <v>127</v>
      </c>
      <c r="L1955" s="46" t="s">
        <v>15</v>
      </c>
      <c r="M1955" s="46" t="s">
        <v>13</v>
      </c>
      <c r="N1955" s="46" t="s">
        <v>14</v>
      </c>
      <c r="O1955" s="49" t="s">
        <v>814</v>
      </c>
      <c r="P1955" s="46" t="s">
        <v>507</v>
      </c>
      <c r="Q1955" s="35" t="str">
        <f>MID(Tabla1[[#This Row],[Aplicación]],14,1)</f>
        <v>2</v>
      </c>
      <c r="R1955" s="35" t="s">
        <v>495</v>
      </c>
      <c r="S1955" s="35" t="str">
        <f>MID(Tabla1[[#This Row],[Aplicación]],6,2)</f>
        <v>11</v>
      </c>
      <c r="T1955" s="35" t="str">
        <f>VLOOKUP(Tabla1[[#This Row],[AREA]],Hoja1!A:B,2,FALSE)</f>
        <v>11. Salud pública y seguridad ciudadana</v>
      </c>
      <c r="U1955" s="35" t="str">
        <f>MID(Tabla1[[#This Row],[Aplicación]],9,4)</f>
        <v>3111</v>
      </c>
      <c r="V1955" s="35" t="str">
        <f>VLOOKUP(Tabla1[[#This Row],[PROGRAMA]],Hoja1!A:B,2,FALSE)</f>
        <v>3111. Protección de la salubridad pública</v>
      </c>
      <c r="W1955" s="35" t="str">
        <f>MID(Tabla1[[#This Row],[Aplicación]],14,2)</f>
        <v>22</v>
      </c>
      <c r="X1955" s="35" t="str">
        <f>MID(Tabla1[[#This Row],[Aplicación]],14,6)</f>
        <v>22199</v>
      </c>
    </row>
    <row r="1956" spans="1:24" x14ac:dyDescent="0.25">
      <c r="A1956" s="45">
        <v>220210013169</v>
      </c>
      <c r="B1956" s="46" t="s">
        <v>9</v>
      </c>
      <c r="C1956" s="47">
        <v>44286</v>
      </c>
      <c r="D1956" s="45">
        <v>22021003574</v>
      </c>
      <c r="E1956" s="46" t="s">
        <v>1550</v>
      </c>
      <c r="F1956" s="48">
        <v>400</v>
      </c>
      <c r="G1956" s="46" t="s">
        <v>3271</v>
      </c>
      <c r="H1956" s="46" t="s">
        <v>3272</v>
      </c>
      <c r="I1956" s="45" t="s">
        <v>125</v>
      </c>
      <c r="J1956" s="46" t="s">
        <v>3273</v>
      </c>
      <c r="K1956" s="46" t="s">
        <v>165</v>
      </c>
      <c r="L1956" s="46" t="s">
        <v>17</v>
      </c>
      <c r="M1956" s="46" t="s">
        <v>10</v>
      </c>
      <c r="N1956" s="46" t="s">
        <v>11</v>
      </c>
      <c r="O1956" s="49" t="s">
        <v>815</v>
      </c>
      <c r="P1956" s="46" t="s">
        <v>507</v>
      </c>
      <c r="Q1956" s="35" t="str">
        <f>MID(Tabla1[[#This Row],[Aplicación]],14,1)</f>
        <v>2</v>
      </c>
      <c r="R1956" s="35" t="s">
        <v>495</v>
      </c>
      <c r="S1956" s="35" t="str">
        <f>MID(Tabla1[[#This Row],[Aplicación]],6,2)</f>
        <v>06</v>
      </c>
      <c r="T1956" s="35" t="str">
        <f>VLOOKUP(Tabla1[[#This Row],[AREA]],Hoja1!A:B,2,FALSE)</f>
        <v>06. Educación, infancia, juventud e igualdad</v>
      </c>
      <c r="U1956" s="35" t="str">
        <f>MID(Tabla1[[#This Row],[Aplicación]],9,4)</f>
        <v>2315</v>
      </c>
      <c r="V1956" s="35" t="str">
        <f>VLOOKUP(Tabla1[[#This Row],[PROGRAMA]],Hoja1!A:B,2,FALSE)</f>
        <v>2315. Políticas de Igualdad e infancia</v>
      </c>
      <c r="W1956" s="35" t="str">
        <f>MID(Tabla1[[#This Row],[Aplicación]],14,2)</f>
        <v>22</v>
      </c>
      <c r="X1956" s="35" t="str">
        <f>MID(Tabla1[[#This Row],[Aplicación]],14,6)</f>
        <v>22799</v>
      </c>
    </row>
    <row r="1957" spans="1:24" x14ac:dyDescent="0.25">
      <c r="A1957" s="45">
        <v>220210013170</v>
      </c>
      <c r="B1957" s="46" t="s">
        <v>9</v>
      </c>
      <c r="C1957" s="47">
        <v>44286</v>
      </c>
      <c r="D1957" s="45">
        <v>22021003576</v>
      </c>
      <c r="E1957" s="46" t="s">
        <v>1550</v>
      </c>
      <c r="F1957" s="48">
        <v>400</v>
      </c>
      <c r="G1957" s="46" t="s">
        <v>3274</v>
      </c>
      <c r="H1957" s="46" t="s">
        <v>3272</v>
      </c>
      <c r="I1957" s="45" t="s">
        <v>125</v>
      </c>
      <c r="J1957" s="46" t="s">
        <v>3275</v>
      </c>
      <c r="K1957" s="46" t="s">
        <v>157</v>
      </c>
      <c r="L1957" s="46" t="s">
        <v>17</v>
      </c>
      <c r="M1957" s="46" t="s">
        <v>10</v>
      </c>
      <c r="N1957" s="46" t="s">
        <v>11</v>
      </c>
      <c r="O1957" s="49" t="s">
        <v>815</v>
      </c>
      <c r="P1957" s="46" t="s">
        <v>507</v>
      </c>
      <c r="Q1957" s="35" t="str">
        <f>MID(Tabla1[[#This Row],[Aplicación]],14,1)</f>
        <v>2</v>
      </c>
      <c r="R1957" s="35" t="s">
        <v>495</v>
      </c>
      <c r="S1957" s="35" t="str">
        <f>MID(Tabla1[[#This Row],[Aplicación]],6,2)</f>
        <v>06</v>
      </c>
      <c r="T1957" s="35" t="str">
        <f>VLOOKUP(Tabla1[[#This Row],[AREA]],Hoja1!A:B,2,FALSE)</f>
        <v>06. Educación, infancia, juventud e igualdad</v>
      </c>
      <c r="U1957" s="35" t="str">
        <f>MID(Tabla1[[#This Row],[Aplicación]],9,4)</f>
        <v>2315</v>
      </c>
      <c r="V1957" s="35" t="str">
        <f>VLOOKUP(Tabla1[[#This Row],[PROGRAMA]],Hoja1!A:B,2,FALSE)</f>
        <v>2315. Políticas de Igualdad e infancia</v>
      </c>
      <c r="W1957" s="35" t="str">
        <f>MID(Tabla1[[#This Row],[Aplicación]],14,2)</f>
        <v>22</v>
      </c>
      <c r="X1957" s="35" t="str">
        <f>MID(Tabla1[[#This Row],[Aplicación]],14,6)</f>
        <v>22799</v>
      </c>
    </row>
    <row r="1958" spans="1:24" x14ac:dyDescent="0.25">
      <c r="A1958" s="45">
        <v>220200039600</v>
      </c>
      <c r="B1958" s="46" t="s">
        <v>9</v>
      </c>
      <c r="C1958" s="47">
        <v>44284</v>
      </c>
      <c r="D1958" s="45">
        <v>22020003865</v>
      </c>
      <c r="E1958" s="46" t="s">
        <v>1483</v>
      </c>
      <c r="F1958" s="48">
        <v>26918.27</v>
      </c>
      <c r="G1958" s="46" t="s">
        <v>3206</v>
      </c>
      <c r="H1958" s="46" t="s">
        <v>3276</v>
      </c>
      <c r="I1958" s="45" t="s">
        <v>125</v>
      </c>
      <c r="J1958" s="46" t="s">
        <v>619</v>
      </c>
      <c r="K1958" s="46" t="s">
        <v>127</v>
      </c>
      <c r="L1958" s="46" t="s">
        <v>31</v>
      </c>
      <c r="M1958" s="46" t="s">
        <v>13</v>
      </c>
      <c r="N1958" s="46" t="s">
        <v>16</v>
      </c>
      <c r="O1958" s="49" t="s">
        <v>803</v>
      </c>
      <c r="P1958" s="46" t="s">
        <v>507</v>
      </c>
      <c r="Q1958" s="35" t="str">
        <f>MID(Tabla1[[#This Row],[Aplicación]],14,1)</f>
        <v>6</v>
      </c>
      <c r="R1958" s="35" t="s">
        <v>496</v>
      </c>
      <c r="S1958" s="35" t="str">
        <f>MID(Tabla1[[#This Row],[Aplicación]],6,2)</f>
        <v>03</v>
      </c>
      <c r="T1958" s="35" t="str">
        <f>VLOOKUP(Tabla1[[#This Row],[AREA]],Hoja1!A:B,2,FALSE)</f>
        <v>03. Participación ciudadana y deportes</v>
      </c>
      <c r="U1958" s="35" t="str">
        <f>MID(Tabla1[[#This Row],[Aplicación]],9,4)</f>
        <v>9241</v>
      </c>
      <c r="V1958" s="35" t="str">
        <f>VLOOKUP(Tabla1[[#This Row],[PROGRAMA]],Hoja1!A:B,2,FALSE)</f>
        <v>9241. Participación ciudadana</v>
      </c>
      <c r="W1958" s="35" t="str">
        <f>MID(Tabla1[[#This Row],[Aplicación]],14,2)</f>
        <v>63</v>
      </c>
      <c r="X1958" s="35" t="str">
        <f>MID(Tabla1[[#This Row],[Aplicación]],14,6)</f>
        <v>632</v>
      </c>
    </row>
    <row r="1959" spans="1:24" x14ac:dyDescent="0.25">
      <c r="A1959" s="45">
        <v>220210005187</v>
      </c>
      <c r="B1959" s="46" t="s">
        <v>9</v>
      </c>
      <c r="C1959" s="47">
        <v>44246</v>
      </c>
      <c r="D1959" s="45">
        <v>22021001243</v>
      </c>
      <c r="E1959" s="46" t="s">
        <v>1852</v>
      </c>
      <c r="F1959" s="48">
        <v>27092.89</v>
      </c>
      <c r="G1959" s="46" t="s">
        <v>210</v>
      </c>
      <c r="H1959" s="46" t="s">
        <v>3277</v>
      </c>
      <c r="I1959" s="45" t="s">
        <v>125</v>
      </c>
      <c r="J1959" s="46" t="s">
        <v>127</v>
      </c>
      <c r="K1959" s="46" t="s">
        <v>127</v>
      </c>
      <c r="L1959" s="46" t="s">
        <v>12</v>
      </c>
      <c r="M1959" s="46" t="s">
        <v>13</v>
      </c>
      <c r="N1959" s="46" t="s">
        <v>14</v>
      </c>
      <c r="O1959" s="49" t="s">
        <v>803</v>
      </c>
      <c r="P1959" s="46" t="s">
        <v>507</v>
      </c>
      <c r="Q1959" s="35" t="str">
        <f>MID(Tabla1[[#This Row],[Aplicación]],14,1)</f>
        <v>2</v>
      </c>
      <c r="R1959" s="35" t="s">
        <v>495</v>
      </c>
      <c r="S1959" s="35" t="str">
        <f>MID(Tabla1[[#This Row],[Aplicación]],6,2)</f>
        <v>11</v>
      </c>
      <c r="T1959" s="35" t="str">
        <f>VLOOKUP(Tabla1[[#This Row],[AREA]],Hoja1!A:B,2,FALSE)</f>
        <v>11. Salud pública y seguridad ciudadana</v>
      </c>
      <c r="U1959" s="35" t="str">
        <f>MID(Tabla1[[#This Row],[Aplicación]],9,4)</f>
        <v>3111</v>
      </c>
      <c r="V1959" s="35" t="str">
        <f>VLOOKUP(Tabla1[[#This Row],[PROGRAMA]],Hoja1!A:B,2,FALSE)</f>
        <v>3111. Protección de la salubridad pública</v>
      </c>
      <c r="W1959" s="35" t="str">
        <f>MID(Tabla1[[#This Row],[Aplicación]],14,2)</f>
        <v>22</v>
      </c>
      <c r="X1959" s="35" t="str">
        <f>MID(Tabla1[[#This Row],[Aplicación]],14,6)</f>
        <v>22706</v>
      </c>
    </row>
    <row r="1960" spans="1:24" x14ac:dyDescent="0.25">
      <c r="A1960" s="45">
        <v>220210009380</v>
      </c>
      <c r="B1960" s="46" t="s">
        <v>9</v>
      </c>
      <c r="C1960" s="47">
        <v>44270</v>
      </c>
      <c r="D1960" s="45">
        <v>22021002775</v>
      </c>
      <c r="E1960" s="46" t="s">
        <v>1438</v>
      </c>
      <c r="F1960" s="48">
        <v>27597.61</v>
      </c>
      <c r="G1960" s="46" t="s">
        <v>3278</v>
      </c>
      <c r="H1960" s="46" t="s">
        <v>3279</v>
      </c>
      <c r="I1960" s="45" t="s">
        <v>125</v>
      </c>
      <c r="J1960" s="46" t="s">
        <v>660</v>
      </c>
      <c r="K1960" s="46" t="s">
        <v>126</v>
      </c>
      <c r="L1960" s="46" t="s">
        <v>15</v>
      </c>
      <c r="M1960" s="46" t="s">
        <v>10</v>
      </c>
      <c r="N1960" s="46" t="s">
        <v>11</v>
      </c>
      <c r="O1960" s="49" t="s">
        <v>815</v>
      </c>
      <c r="P1960" s="46" t="s">
        <v>507</v>
      </c>
      <c r="Q1960" s="35" t="str">
        <f>MID(Tabla1[[#This Row],[Aplicación]],14,1)</f>
        <v>2</v>
      </c>
      <c r="R1960" s="35" t="s">
        <v>495</v>
      </c>
      <c r="S1960" s="35" t="str">
        <f>MID(Tabla1[[#This Row],[Aplicación]],6,2)</f>
        <v>01</v>
      </c>
      <c r="T1960" s="35" t="str">
        <f>VLOOKUP(Tabla1[[#This Row],[AREA]],Hoja1!A:B,2,FALSE)</f>
        <v>01. Alcaldía</v>
      </c>
      <c r="U1960" s="35" t="str">
        <f>MID(Tabla1[[#This Row],[Aplicación]],9,4)</f>
        <v>9206</v>
      </c>
      <c r="V1960" s="35" t="str">
        <f>VLOOKUP(Tabla1[[#This Row],[PROGRAMA]],Hoja1!A:B,2,FALSE)</f>
        <v>9206. Archivo municipal</v>
      </c>
      <c r="W1960" s="35" t="str">
        <f>MID(Tabla1[[#This Row],[Aplicación]],14,2)</f>
        <v>22</v>
      </c>
      <c r="X1960" s="35" t="str">
        <f>MID(Tabla1[[#This Row],[Aplicación]],14,6)</f>
        <v>22001</v>
      </c>
    </row>
    <row r="1961" spans="1:24" x14ac:dyDescent="0.25">
      <c r="A1961" s="45">
        <v>220200039602</v>
      </c>
      <c r="B1961" s="46" t="s">
        <v>9</v>
      </c>
      <c r="C1961" s="47">
        <v>44284</v>
      </c>
      <c r="D1961" s="45">
        <v>22020003867</v>
      </c>
      <c r="E1961" s="46" t="s">
        <v>1483</v>
      </c>
      <c r="F1961" s="48">
        <v>28687.81</v>
      </c>
      <c r="G1961" s="46" t="s">
        <v>3206</v>
      </c>
      <c r="H1961" s="46" t="s">
        <v>3280</v>
      </c>
      <c r="I1961" s="45" t="s">
        <v>125</v>
      </c>
      <c r="J1961" s="46" t="s">
        <v>619</v>
      </c>
      <c r="K1961" s="46" t="s">
        <v>127</v>
      </c>
      <c r="L1961" s="46" t="s">
        <v>31</v>
      </c>
      <c r="M1961" s="46" t="s">
        <v>13</v>
      </c>
      <c r="N1961" s="46" t="s">
        <v>16</v>
      </c>
      <c r="O1961" s="49" t="s">
        <v>803</v>
      </c>
      <c r="P1961" s="46" t="s">
        <v>507</v>
      </c>
      <c r="Q1961" s="35" t="str">
        <f>MID(Tabla1[[#This Row],[Aplicación]],14,1)</f>
        <v>6</v>
      </c>
      <c r="R1961" s="35" t="s">
        <v>496</v>
      </c>
      <c r="S1961" s="35" t="str">
        <f>MID(Tabla1[[#This Row],[Aplicación]],6,2)</f>
        <v>03</v>
      </c>
      <c r="T1961" s="35" t="str">
        <f>VLOOKUP(Tabla1[[#This Row],[AREA]],Hoja1!A:B,2,FALSE)</f>
        <v>03. Participación ciudadana y deportes</v>
      </c>
      <c r="U1961" s="35" t="str">
        <f>MID(Tabla1[[#This Row],[Aplicación]],9,4)</f>
        <v>9241</v>
      </c>
      <c r="V1961" s="35" t="str">
        <f>VLOOKUP(Tabla1[[#This Row],[PROGRAMA]],Hoja1!A:B,2,FALSE)</f>
        <v>9241. Participación ciudadana</v>
      </c>
      <c r="W1961" s="35" t="str">
        <f>MID(Tabla1[[#This Row],[Aplicación]],14,2)</f>
        <v>63</v>
      </c>
      <c r="X1961" s="35" t="str">
        <f>MID(Tabla1[[#This Row],[Aplicación]],14,6)</f>
        <v>632</v>
      </c>
    </row>
    <row r="1962" spans="1:24" x14ac:dyDescent="0.25">
      <c r="A1962" s="45">
        <v>220209000788</v>
      </c>
      <c r="B1962" s="46" t="s">
        <v>9</v>
      </c>
      <c r="C1962" s="47">
        <v>44198</v>
      </c>
      <c r="D1962" s="45">
        <v>22021000504</v>
      </c>
      <c r="E1962" s="46" t="s">
        <v>1286</v>
      </c>
      <c r="F1962" s="48">
        <v>29544.99</v>
      </c>
      <c r="G1962" s="46" t="s">
        <v>3281</v>
      </c>
      <c r="H1962" s="46" t="s">
        <v>3282</v>
      </c>
      <c r="I1962" s="45" t="s">
        <v>125</v>
      </c>
      <c r="J1962" s="46" t="s">
        <v>136</v>
      </c>
      <c r="K1962" s="46" t="s">
        <v>136</v>
      </c>
      <c r="L1962" s="46" t="s">
        <v>12</v>
      </c>
      <c r="M1962" s="46" t="s">
        <v>13</v>
      </c>
      <c r="N1962" s="46" t="s">
        <v>16</v>
      </c>
      <c r="O1962" s="49" t="s">
        <v>803</v>
      </c>
      <c r="P1962" s="46" t="s">
        <v>507</v>
      </c>
      <c r="Q1962" s="35" t="str">
        <f>MID(Tabla1[[#This Row],[Aplicación]],14,1)</f>
        <v>6</v>
      </c>
      <c r="R1962" s="35" t="s">
        <v>496</v>
      </c>
      <c r="S1962" s="35" t="str">
        <f>MID(Tabla1[[#This Row],[Aplicación]],6,2)</f>
        <v>04</v>
      </c>
      <c r="T1962" s="35" t="str">
        <f>VLOOKUP(Tabla1[[#This Row],[AREA]],Hoja1!A:B,2,FALSE)</f>
        <v>04. Planificación y recursos</v>
      </c>
      <c r="U1962" s="35" t="str">
        <f>MID(Tabla1[[#This Row],[Aplicación]],9,4)</f>
        <v>9204</v>
      </c>
      <c r="V1962" s="35" t="str">
        <f>VLOOKUP(Tabla1[[#This Row],[PROGRAMA]],Hoja1!A:B,2,FALSE)</f>
        <v>9204. Tecnologías de la información y comunicación</v>
      </c>
      <c r="W1962" s="35" t="str">
        <f>MID(Tabla1[[#This Row],[Aplicación]],14,2)</f>
        <v>64</v>
      </c>
      <c r="X1962" s="35" t="str">
        <f>MID(Tabla1[[#This Row],[Aplicación]],14,6)</f>
        <v>641</v>
      </c>
    </row>
    <row r="1963" spans="1:24" x14ac:dyDescent="0.25">
      <c r="A1963" s="45">
        <v>220210013179</v>
      </c>
      <c r="B1963" s="46" t="s">
        <v>9</v>
      </c>
      <c r="C1963" s="47">
        <v>44286</v>
      </c>
      <c r="D1963" s="45">
        <v>22021003683</v>
      </c>
      <c r="E1963" s="46" t="s">
        <v>950</v>
      </c>
      <c r="F1963" s="48">
        <v>2000</v>
      </c>
      <c r="G1963" s="46" t="s">
        <v>312</v>
      </c>
      <c r="H1963" s="46" t="s">
        <v>3283</v>
      </c>
      <c r="I1963" s="45" t="s">
        <v>125</v>
      </c>
      <c r="J1963" s="46" t="s">
        <v>127</v>
      </c>
      <c r="K1963" s="46" t="s">
        <v>127</v>
      </c>
      <c r="L1963" s="46" t="s">
        <v>12</v>
      </c>
      <c r="M1963" s="46" t="s">
        <v>10</v>
      </c>
      <c r="N1963" s="46" t="s">
        <v>11</v>
      </c>
      <c r="O1963" s="49" t="s">
        <v>815</v>
      </c>
      <c r="P1963" s="46" t="s">
        <v>507</v>
      </c>
      <c r="Q1963" s="35" t="str">
        <f>MID(Tabla1[[#This Row],[Aplicación]],14,1)</f>
        <v>2</v>
      </c>
      <c r="R1963" s="35" t="s">
        <v>495</v>
      </c>
      <c r="S1963" s="35" t="str">
        <f>MID(Tabla1[[#This Row],[Aplicación]],6,2)</f>
        <v>11</v>
      </c>
      <c r="T1963" s="35" t="str">
        <f>VLOOKUP(Tabla1[[#This Row],[AREA]],Hoja1!A:B,2,FALSE)</f>
        <v>11. Salud pública y seguridad ciudadana</v>
      </c>
      <c r="U1963" s="35" t="str">
        <f>MID(Tabla1[[#This Row],[Aplicación]],9,4)</f>
        <v>1321</v>
      </c>
      <c r="V1963" s="35" t="str">
        <f>VLOOKUP(Tabla1[[#This Row],[PROGRAMA]],Hoja1!A:B,2,FALSE)</f>
        <v>1321. Policía municipal</v>
      </c>
      <c r="W1963" s="35" t="str">
        <f>MID(Tabla1[[#This Row],[Aplicación]],14,2)</f>
        <v>21</v>
      </c>
      <c r="X1963" s="35" t="str">
        <f>MID(Tabla1[[#This Row],[Aplicación]],14,6)</f>
        <v>213</v>
      </c>
    </row>
    <row r="1964" spans="1:24" x14ac:dyDescent="0.25">
      <c r="A1964" s="45">
        <v>220210013182</v>
      </c>
      <c r="B1964" s="46" t="s">
        <v>9</v>
      </c>
      <c r="C1964" s="47">
        <v>44286</v>
      </c>
      <c r="D1964" s="45">
        <v>22021003687</v>
      </c>
      <c r="E1964" s="46" t="s">
        <v>950</v>
      </c>
      <c r="F1964" s="48">
        <v>600</v>
      </c>
      <c r="G1964" s="46" t="s">
        <v>78</v>
      </c>
      <c r="H1964" s="46" t="s">
        <v>3284</v>
      </c>
      <c r="I1964" s="45" t="s">
        <v>125</v>
      </c>
      <c r="J1964" s="46" t="s">
        <v>694</v>
      </c>
      <c r="K1964" s="46" t="s">
        <v>187</v>
      </c>
      <c r="L1964" s="46" t="s">
        <v>12</v>
      </c>
      <c r="M1964" s="46" t="s">
        <v>10</v>
      </c>
      <c r="N1964" s="46" t="s">
        <v>11</v>
      </c>
      <c r="O1964" s="49" t="s">
        <v>815</v>
      </c>
      <c r="P1964" s="46" t="s">
        <v>507</v>
      </c>
      <c r="Q1964" s="35" t="str">
        <f>MID(Tabla1[[#This Row],[Aplicación]],14,1)</f>
        <v>2</v>
      </c>
      <c r="R1964" s="35" t="s">
        <v>495</v>
      </c>
      <c r="S1964" s="35" t="str">
        <f>MID(Tabla1[[#This Row],[Aplicación]],6,2)</f>
        <v>11</v>
      </c>
      <c r="T1964" s="35" t="str">
        <f>VLOOKUP(Tabla1[[#This Row],[AREA]],Hoja1!A:B,2,FALSE)</f>
        <v>11. Salud pública y seguridad ciudadana</v>
      </c>
      <c r="U1964" s="35" t="str">
        <f>MID(Tabla1[[#This Row],[Aplicación]],9,4)</f>
        <v>1321</v>
      </c>
      <c r="V1964" s="35" t="str">
        <f>VLOOKUP(Tabla1[[#This Row],[PROGRAMA]],Hoja1!A:B,2,FALSE)</f>
        <v>1321. Policía municipal</v>
      </c>
      <c r="W1964" s="35" t="str">
        <f>MID(Tabla1[[#This Row],[Aplicación]],14,2)</f>
        <v>21</v>
      </c>
      <c r="X1964" s="35" t="str">
        <f>MID(Tabla1[[#This Row],[Aplicación]],14,6)</f>
        <v>213</v>
      </c>
    </row>
    <row r="1965" spans="1:24" x14ac:dyDescent="0.25">
      <c r="A1965" s="45">
        <v>220210013183</v>
      </c>
      <c r="B1965" s="46" t="s">
        <v>9</v>
      </c>
      <c r="C1965" s="47">
        <v>44286</v>
      </c>
      <c r="D1965" s="45">
        <v>22021003701</v>
      </c>
      <c r="E1965" s="46" t="s">
        <v>1167</v>
      </c>
      <c r="F1965" s="48">
        <v>2920.11</v>
      </c>
      <c r="G1965" s="46" t="s">
        <v>1168</v>
      </c>
      <c r="H1965" s="46" t="s">
        <v>3285</v>
      </c>
      <c r="I1965" s="45" t="s">
        <v>125</v>
      </c>
      <c r="J1965" s="46" t="s">
        <v>127</v>
      </c>
      <c r="K1965" s="46" t="s">
        <v>127</v>
      </c>
      <c r="L1965" s="46" t="s">
        <v>12</v>
      </c>
      <c r="M1965" s="46" t="s">
        <v>10</v>
      </c>
      <c r="N1965" s="46" t="s">
        <v>11</v>
      </c>
      <c r="O1965" s="49" t="s">
        <v>815</v>
      </c>
      <c r="P1965" s="46" t="s">
        <v>507</v>
      </c>
      <c r="Q1965" s="35" t="str">
        <f>MID(Tabla1[[#This Row],[Aplicación]],14,1)</f>
        <v>2</v>
      </c>
      <c r="R1965" s="35" t="s">
        <v>495</v>
      </c>
      <c r="S1965" s="35" t="str">
        <f>MID(Tabla1[[#This Row],[Aplicación]],6,2)</f>
        <v>11</v>
      </c>
      <c r="T1965" s="35" t="str">
        <f>VLOOKUP(Tabla1[[#This Row],[AREA]],Hoja1!A:B,2,FALSE)</f>
        <v>11. Salud pública y seguridad ciudadana</v>
      </c>
      <c r="U1965" s="35" t="str">
        <f>MID(Tabla1[[#This Row],[Aplicación]],9,4)</f>
        <v>1321</v>
      </c>
      <c r="V1965" s="35" t="str">
        <f>VLOOKUP(Tabla1[[#This Row],[PROGRAMA]],Hoja1!A:B,2,FALSE)</f>
        <v>1321. Policía municipal</v>
      </c>
      <c r="W1965" s="35" t="str">
        <f>MID(Tabla1[[#This Row],[Aplicación]],14,2)</f>
        <v>21</v>
      </c>
      <c r="X1965" s="35" t="str">
        <f>MID(Tabla1[[#This Row],[Aplicación]],14,6)</f>
        <v>214</v>
      </c>
    </row>
    <row r="1966" spans="1:24" x14ac:dyDescent="0.25">
      <c r="A1966" s="45">
        <v>220210013184</v>
      </c>
      <c r="B1966" s="46" t="s">
        <v>9</v>
      </c>
      <c r="C1966" s="47">
        <v>44286</v>
      </c>
      <c r="D1966" s="45">
        <v>22021003703</v>
      </c>
      <c r="E1966" s="46" t="s">
        <v>3286</v>
      </c>
      <c r="F1966" s="48">
        <v>1500</v>
      </c>
      <c r="G1966" s="46" t="s">
        <v>3287</v>
      </c>
      <c r="H1966" s="46" t="s">
        <v>3288</v>
      </c>
      <c r="I1966" s="45" t="s">
        <v>125</v>
      </c>
      <c r="J1966" s="46" t="s">
        <v>127</v>
      </c>
      <c r="K1966" s="50" t="s">
        <v>127</v>
      </c>
      <c r="L1966" s="46" t="s">
        <v>12</v>
      </c>
      <c r="M1966" s="46" t="s">
        <v>10</v>
      </c>
      <c r="N1966" s="46" t="s">
        <v>11</v>
      </c>
      <c r="O1966" s="49" t="s">
        <v>815</v>
      </c>
      <c r="P1966" s="46" t="s">
        <v>507</v>
      </c>
      <c r="Q1966" s="35" t="str">
        <f>MID(Tabla1[[#This Row],[Aplicación]],14,1)</f>
        <v>2</v>
      </c>
      <c r="R1966" s="35" t="s">
        <v>495</v>
      </c>
      <c r="S1966" s="35" t="str">
        <f>MID(Tabla1[[#This Row],[Aplicación]],6,2)</f>
        <v>09</v>
      </c>
      <c r="T1966" s="35" t="str">
        <f>VLOOKUP(Tabla1[[#This Row],[AREA]],Hoja1!A:B,2,FALSE)</f>
        <v>09. Cultura y turismo</v>
      </c>
      <c r="U1966" s="35" t="str">
        <f>MID(Tabla1[[#This Row],[Aplicación]],9,4)</f>
        <v>3341</v>
      </c>
      <c r="V1966" s="35" t="str">
        <f>VLOOKUP(Tabla1[[#This Row],[PROGRAMA]],Hoja1!A:B,2,FALSE)</f>
        <v>3341. Coordinación de políticas culturales</v>
      </c>
      <c r="W1966" s="35" t="str">
        <f>MID(Tabla1[[#This Row],[Aplicación]],14,2)</f>
        <v>22</v>
      </c>
      <c r="X1966" s="35" t="str">
        <f>MID(Tabla1[[#This Row],[Aplicación]],14,6)</f>
        <v>22602</v>
      </c>
    </row>
    <row r="1967" spans="1:24" x14ac:dyDescent="0.25">
      <c r="A1967" s="45">
        <v>220209000333</v>
      </c>
      <c r="B1967" s="46" t="s">
        <v>9</v>
      </c>
      <c r="C1967" s="47">
        <v>44198</v>
      </c>
      <c r="D1967" s="45">
        <v>22021000732</v>
      </c>
      <c r="E1967" s="46" t="s">
        <v>1286</v>
      </c>
      <c r="F1967" s="48">
        <v>29988.76</v>
      </c>
      <c r="G1967" s="46" t="s">
        <v>3281</v>
      </c>
      <c r="H1967" s="46" t="s">
        <v>3289</v>
      </c>
      <c r="I1967" s="45" t="s">
        <v>125</v>
      </c>
      <c r="J1967" s="46" t="s">
        <v>136</v>
      </c>
      <c r="K1967" s="46" t="s">
        <v>136</v>
      </c>
      <c r="L1967" s="46" t="s">
        <v>12</v>
      </c>
      <c r="M1967" s="46" t="s">
        <v>13</v>
      </c>
      <c r="N1967" s="46" t="s">
        <v>16</v>
      </c>
      <c r="O1967" s="49" t="s">
        <v>803</v>
      </c>
      <c r="P1967" s="46" t="s">
        <v>507</v>
      </c>
      <c r="Q1967" s="35" t="str">
        <f>MID(Tabla1[[#This Row],[Aplicación]],14,1)</f>
        <v>6</v>
      </c>
      <c r="R1967" s="35" t="s">
        <v>496</v>
      </c>
      <c r="S1967" s="35" t="str">
        <f>MID(Tabla1[[#This Row],[Aplicación]],6,2)</f>
        <v>04</v>
      </c>
      <c r="T1967" s="35" t="str">
        <f>VLOOKUP(Tabla1[[#This Row],[AREA]],Hoja1!A:B,2,FALSE)</f>
        <v>04. Planificación y recursos</v>
      </c>
      <c r="U1967" s="35" t="str">
        <f>MID(Tabla1[[#This Row],[Aplicación]],9,4)</f>
        <v>9204</v>
      </c>
      <c r="V1967" s="35" t="str">
        <f>VLOOKUP(Tabla1[[#This Row],[PROGRAMA]],Hoja1!A:B,2,FALSE)</f>
        <v>9204. Tecnologías de la información y comunicación</v>
      </c>
      <c r="W1967" s="35" t="str">
        <f>MID(Tabla1[[#This Row],[Aplicación]],14,2)</f>
        <v>64</v>
      </c>
      <c r="X1967" s="35" t="str">
        <f>MID(Tabla1[[#This Row],[Aplicación]],14,6)</f>
        <v>641</v>
      </c>
    </row>
    <row r="1968" spans="1:24" x14ac:dyDescent="0.25">
      <c r="A1968" s="45">
        <v>220209000388</v>
      </c>
      <c r="B1968" s="46" t="s">
        <v>9</v>
      </c>
      <c r="C1968" s="47">
        <v>44198</v>
      </c>
      <c r="D1968" s="45">
        <v>22021000280</v>
      </c>
      <c r="E1968" s="46" t="s">
        <v>1161</v>
      </c>
      <c r="F1968" s="48">
        <v>30000</v>
      </c>
      <c r="G1968" s="46" t="s">
        <v>188</v>
      </c>
      <c r="H1968" s="46" t="s">
        <v>3290</v>
      </c>
      <c r="I1968" s="45" t="s">
        <v>125</v>
      </c>
      <c r="J1968" s="46" t="s">
        <v>126</v>
      </c>
      <c r="K1968" s="46" t="s">
        <v>126</v>
      </c>
      <c r="L1968" s="46" t="s">
        <v>15</v>
      </c>
      <c r="M1968" s="46" t="s">
        <v>13</v>
      </c>
      <c r="N1968" s="46" t="s">
        <v>14</v>
      </c>
      <c r="O1968" s="49" t="s">
        <v>803</v>
      </c>
      <c r="P1968" s="46" t="s">
        <v>507</v>
      </c>
      <c r="Q1968" s="35" t="str">
        <f>MID(Tabla1[[#This Row],[Aplicación]],14,1)</f>
        <v>2</v>
      </c>
      <c r="R1968" s="35" t="s">
        <v>495</v>
      </c>
      <c r="S1968" s="35" t="str">
        <f>MID(Tabla1[[#This Row],[Aplicación]],6,2)</f>
        <v>11</v>
      </c>
      <c r="T1968" s="35" t="str">
        <f>VLOOKUP(Tabla1[[#This Row],[AREA]],Hoja1!A:B,2,FALSE)</f>
        <v>11. Salud pública y seguridad ciudadana</v>
      </c>
      <c r="U1968" s="35" t="str">
        <f>MID(Tabla1[[#This Row],[Aplicación]],9,4)</f>
        <v>1321</v>
      </c>
      <c r="V1968" s="35" t="str">
        <f>VLOOKUP(Tabla1[[#This Row],[PROGRAMA]],Hoja1!A:B,2,FALSE)</f>
        <v>1321. Policía municipal</v>
      </c>
      <c r="W1968" s="35" t="str">
        <f>MID(Tabla1[[#This Row],[Aplicación]],14,2)</f>
        <v>22</v>
      </c>
      <c r="X1968" s="35" t="str">
        <f>MID(Tabla1[[#This Row],[Aplicación]],14,6)</f>
        <v>22103</v>
      </c>
    </row>
    <row r="1969" spans="1:24" x14ac:dyDescent="0.25">
      <c r="A1969" s="45">
        <v>220210013187</v>
      </c>
      <c r="B1969" s="46" t="s">
        <v>9</v>
      </c>
      <c r="C1969" s="47">
        <v>44286</v>
      </c>
      <c r="D1969" s="45">
        <v>22021003690</v>
      </c>
      <c r="E1969" s="46" t="s">
        <v>3291</v>
      </c>
      <c r="F1969" s="48">
        <v>1000</v>
      </c>
      <c r="G1969" s="46" t="s">
        <v>302</v>
      </c>
      <c r="H1969" s="46" t="s">
        <v>3292</v>
      </c>
      <c r="I1969" s="45" t="s">
        <v>125</v>
      </c>
      <c r="J1969" s="46" t="s">
        <v>700</v>
      </c>
      <c r="K1969" s="46" t="s">
        <v>127</v>
      </c>
      <c r="L1969" s="46" t="s">
        <v>15</v>
      </c>
      <c r="M1969" s="46" t="s">
        <v>10</v>
      </c>
      <c r="N1969" s="46" t="s">
        <v>11</v>
      </c>
      <c r="O1969" s="49" t="s">
        <v>815</v>
      </c>
      <c r="P1969" s="46" t="s">
        <v>507</v>
      </c>
      <c r="Q1969" s="35" t="str">
        <f>MID(Tabla1[[#This Row],[Aplicación]],14,1)</f>
        <v>2</v>
      </c>
      <c r="R1969" s="35" t="s">
        <v>495</v>
      </c>
      <c r="S1969" s="35" t="str">
        <f>MID(Tabla1[[#This Row],[Aplicación]],6,2)</f>
        <v>02</v>
      </c>
      <c r="T1969" s="35" t="str">
        <f>VLOOKUP(Tabla1[[#This Row],[AREA]],Hoja1!A:B,2,FALSE)</f>
        <v>02. Planeamiento urbanístico y vivienda</v>
      </c>
      <c r="U1969" s="35" t="str">
        <f>MID(Tabla1[[#This Row],[Aplicación]],9,4)</f>
        <v>9332</v>
      </c>
      <c r="V1969" s="35" t="str">
        <f>VLOOKUP(Tabla1[[#This Row],[PROGRAMA]],Hoja1!A:B,2,FALSE)</f>
        <v>9332. Mantenimiento de edificios e instalaciones municipales</v>
      </c>
      <c r="W1969" s="35" t="str">
        <f>MID(Tabla1[[#This Row],[Aplicación]],14,2)</f>
        <v>20</v>
      </c>
      <c r="X1969" s="35" t="str">
        <f>MID(Tabla1[[#This Row],[Aplicación]],14,6)</f>
        <v>203</v>
      </c>
    </row>
    <row r="1970" spans="1:24" x14ac:dyDescent="0.25">
      <c r="A1970" s="45">
        <v>220210006565</v>
      </c>
      <c r="B1970" s="46" t="s">
        <v>9</v>
      </c>
      <c r="C1970" s="47">
        <v>44256</v>
      </c>
      <c r="D1970" s="45">
        <v>22021002508</v>
      </c>
      <c r="E1970" s="46" t="s">
        <v>2554</v>
      </c>
      <c r="F1970" s="48">
        <v>30453.49</v>
      </c>
      <c r="G1970" s="46" t="s">
        <v>3293</v>
      </c>
      <c r="H1970" s="46" t="s">
        <v>3294</v>
      </c>
      <c r="I1970" s="45" t="s">
        <v>125</v>
      </c>
      <c r="J1970" s="46" t="s">
        <v>559</v>
      </c>
      <c r="K1970" s="46" t="s">
        <v>195</v>
      </c>
      <c r="L1970" s="46" t="s">
        <v>12</v>
      </c>
      <c r="M1970" s="46" t="s">
        <v>13</v>
      </c>
      <c r="N1970" s="46" t="s">
        <v>14</v>
      </c>
      <c r="O1970" s="49" t="s">
        <v>803</v>
      </c>
      <c r="P1970" s="46" t="s">
        <v>507</v>
      </c>
      <c r="Q1970" s="35" t="str">
        <f>MID(Tabla1[[#This Row],[Aplicación]],14,1)</f>
        <v>2</v>
      </c>
      <c r="R1970" s="35" t="s">
        <v>495</v>
      </c>
      <c r="S1970" s="35" t="str">
        <f>MID(Tabla1[[#This Row],[Aplicación]],6,2)</f>
        <v>02</v>
      </c>
      <c r="T1970" s="35" t="str">
        <f>VLOOKUP(Tabla1[[#This Row],[AREA]],Hoja1!A:B,2,FALSE)</f>
        <v>02. Planeamiento urbanístico y vivienda</v>
      </c>
      <c r="U1970" s="35" t="str">
        <f>MID(Tabla1[[#This Row],[Aplicación]],9,4)</f>
        <v>1511</v>
      </c>
      <c r="V1970" s="35" t="str">
        <f>VLOOKUP(Tabla1[[#This Row],[PROGRAMA]],Hoja1!A:B,2,FALSE)</f>
        <v>1511. Planficación y gestión del urbanismo</v>
      </c>
      <c r="W1970" s="35" t="str">
        <f>MID(Tabla1[[#This Row],[Aplicación]],14,2)</f>
        <v>22</v>
      </c>
      <c r="X1970" s="35" t="str">
        <f>MID(Tabla1[[#This Row],[Aplicación]],14,6)</f>
        <v>22706</v>
      </c>
    </row>
    <row r="1971" spans="1:24" x14ac:dyDescent="0.25">
      <c r="A1971" s="45">
        <v>220210013190</v>
      </c>
      <c r="B1971" s="46" t="s">
        <v>9</v>
      </c>
      <c r="C1971" s="47">
        <v>44286</v>
      </c>
      <c r="D1971" s="45">
        <v>22021003647</v>
      </c>
      <c r="E1971" s="46" t="s">
        <v>1378</v>
      </c>
      <c r="F1971" s="48">
        <v>5499.99</v>
      </c>
      <c r="G1971" s="46" t="s">
        <v>284</v>
      </c>
      <c r="H1971" s="46" t="s">
        <v>3295</v>
      </c>
      <c r="I1971" s="45" t="s">
        <v>125</v>
      </c>
      <c r="J1971" s="46" t="s">
        <v>632</v>
      </c>
      <c r="K1971" s="46" t="s">
        <v>126</v>
      </c>
      <c r="L1971" s="46" t="s">
        <v>15</v>
      </c>
      <c r="M1971" s="46" t="s">
        <v>10</v>
      </c>
      <c r="N1971" s="46" t="s">
        <v>11</v>
      </c>
      <c r="O1971" s="49" t="s">
        <v>815</v>
      </c>
      <c r="P1971" s="46" t="s">
        <v>507</v>
      </c>
      <c r="Q1971" s="35" t="str">
        <f>MID(Tabla1[[#This Row],[Aplicación]],14,1)</f>
        <v>2</v>
      </c>
      <c r="R1971" s="35" t="s">
        <v>495</v>
      </c>
      <c r="S1971" s="35" t="str">
        <f>MID(Tabla1[[#This Row],[Aplicación]],6,2)</f>
        <v>01</v>
      </c>
      <c r="T1971" s="35" t="str">
        <f>VLOOKUP(Tabla1[[#This Row],[AREA]],Hoja1!A:B,2,FALSE)</f>
        <v>01. Alcaldía</v>
      </c>
      <c r="U1971" s="35" t="str">
        <f>MID(Tabla1[[#This Row],[Aplicación]],9,4)</f>
        <v>9205</v>
      </c>
      <c r="V1971" s="35" t="str">
        <f>VLOOKUP(Tabla1[[#This Row],[PROGRAMA]],Hoja1!A:B,2,FALSE)</f>
        <v>9205. Imprenta municipal</v>
      </c>
      <c r="W1971" s="35" t="str">
        <f>MID(Tabla1[[#This Row],[Aplicación]],14,2)</f>
        <v>22</v>
      </c>
      <c r="X1971" s="35" t="str">
        <f>MID(Tabla1[[#This Row],[Aplicación]],14,6)</f>
        <v>22199</v>
      </c>
    </row>
    <row r="1972" spans="1:24" x14ac:dyDescent="0.25">
      <c r="A1972" s="45">
        <v>220210013194</v>
      </c>
      <c r="B1972" s="46" t="s">
        <v>204</v>
      </c>
      <c r="C1972" s="47">
        <v>44286</v>
      </c>
      <c r="D1972" s="45">
        <v>22021002056</v>
      </c>
      <c r="E1972" s="46" t="s">
        <v>876</v>
      </c>
      <c r="F1972" s="48">
        <v>1804.07</v>
      </c>
      <c r="G1972" s="46" t="s">
        <v>272</v>
      </c>
      <c r="H1972" s="46" t="s">
        <v>3296</v>
      </c>
      <c r="I1972" s="45" t="s">
        <v>205</v>
      </c>
      <c r="J1972" s="46" t="s">
        <v>127</v>
      </c>
      <c r="K1972" s="46" t="s">
        <v>127</v>
      </c>
      <c r="L1972" s="46" t="s">
        <v>15</v>
      </c>
      <c r="M1972" s="46" t="s">
        <v>13</v>
      </c>
      <c r="N1972" s="46" t="s">
        <v>14</v>
      </c>
      <c r="O1972" s="49" t="s">
        <v>814</v>
      </c>
      <c r="P1972" s="46" t="s">
        <v>507</v>
      </c>
      <c r="Q1972" s="35" t="str">
        <f>MID(Tabla1[[#This Row],[Aplicación]],14,1)</f>
        <v>2</v>
      </c>
      <c r="R1972" s="35" t="s">
        <v>495</v>
      </c>
      <c r="S1972" s="35" t="str">
        <f>MID(Tabla1[[#This Row],[Aplicación]],6,2)</f>
        <v>11</v>
      </c>
      <c r="T1972" s="35" t="str">
        <f>VLOOKUP(Tabla1[[#This Row],[AREA]],Hoja1!A:B,2,FALSE)</f>
        <v>11. Salud pública y seguridad ciudadana</v>
      </c>
      <c r="U1972" s="35" t="str">
        <f>MID(Tabla1[[#This Row],[Aplicación]],9,4)</f>
        <v>1631</v>
      </c>
      <c r="V1972" s="35" t="str">
        <f>VLOOKUP(Tabla1[[#This Row],[PROGRAMA]],Hoja1!A:B,2,FALSE)</f>
        <v>1631. Limpieza viaria</v>
      </c>
      <c r="W1972" s="35" t="str">
        <f>MID(Tabla1[[#This Row],[Aplicación]],14,2)</f>
        <v>22</v>
      </c>
      <c r="X1972" s="35" t="str">
        <f>MID(Tabla1[[#This Row],[Aplicación]],14,6)</f>
        <v>22110</v>
      </c>
    </row>
    <row r="1973" spans="1:24" x14ac:dyDescent="0.25">
      <c r="A1973" s="45">
        <v>220210013196</v>
      </c>
      <c r="B1973" s="46" t="s">
        <v>204</v>
      </c>
      <c r="C1973" s="47">
        <v>44286</v>
      </c>
      <c r="D1973" s="45">
        <v>22021002052</v>
      </c>
      <c r="E1973" s="46" t="s">
        <v>1340</v>
      </c>
      <c r="F1973" s="48">
        <v>1172.3</v>
      </c>
      <c r="G1973" s="46" t="s">
        <v>272</v>
      </c>
      <c r="H1973" s="46" t="s">
        <v>3297</v>
      </c>
      <c r="I1973" s="45" t="s">
        <v>205</v>
      </c>
      <c r="J1973" s="46" t="s">
        <v>127</v>
      </c>
      <c r="K1973" s="46" t="s">
        <v>127</v>
      </c>
      <c r="L1973" s="46" t="s">
        <v>15</v>
      </c>
      <c r="M1973" s="46" t="s">
        <v>13</v>
      </c>
      <c r="N1973" s="46" t="s">
        <v>14</v>
      </c>
      <c r="O1973" s="49" t="s">
        <v>814</v>
      </c>
      <c r="P1973" s="46" t="s">
        <v>507</v>
      </c>
      <c r="Q1973" s="35" t="str">
        <f>MID(Tabla1[[#This Row],[Aplicación]],14,1)</f>
        <v>2</v>
      </c>
      <c r="R1973" s="35" t="s">
        <v>495</v>
      </c>
      <c r="S1973" s="35" t="str">
        <f>MID(Tabla1[[#This Row],[Aplicación]],6,2)</f>
        <v>11</v>
      </c>
      <c r="T1973" s="35" t="str">
        <f>VLOOKUP(Tabla1[[#This Row],[AREA]],Hoja1!A:B,2,FALSE)</f>
        <v>11. Salud pública y seguridad ciudadana</v>
      </c>
      <c r="U1973" s="35" t="str">
        <f>MID(Tabla1[[#This Row],[Aplicación]],9,4)</f>
        <v>1621</v>
      </c>
      <c r="V1973" s="35" t="str">
        <f>VLOOKUP(Tabla1[[#This Row],[PROGRAMA]],Hoja1!A:B,2,FALSE)</f>
        <v>1621. Servicio de limpieza</v>
      </c>
      <c r="W1973" s="35" t="str">
        <f>MID(Tabla1[[#This Row],[Aplicación]],14,2)</f>
        <v>22</v>
      </c>
      <c r="X1973" s="35" t="str">
        <f>MID(Tabla1[[#This Row],[Aplicación]],14,6)</f>
        <v>22199</v>
      </c>
    </row>
    <row r="1974" spans="1:24" x14ac:dyDescent="0.25">
      <c r="A1974" s="45">
        <v>220210013079</v>
      </c>
      <c r="B1974" s="46" t="s">
        <v>204</v>
      </c>
      <c r="C1974" s="47">
        <v>44285</v>
      </c>
      <c r="D1974" s="45">
        <v>22021002225</v>
      </c>
      <c r="E1974" s="46" t="s">
        <v>1574</v>
      </c>
      <c r="F1974" s="48">
        <v>72.239999999999995</v>
      </c>
      <c r="G1974" s="46" t="s">
        <v>235</v>
      </c>
      <c r="H1974" s="46" t="s">
        <v>3298</v>
      </c>
      <c r="I1974" s="45" t="s">
        <v>205</v>
      </c>
      <c r="J1974" s="46" t="s">
        <v>742</v>
      </c>
      <c r="K1974" s="46" t="s">
        <v>165</v>
      </c>
      <c r="L1974" s="46" t="s">
        <v>15</v>
      </c>
      <c r="M1974" s="46" t="s">
        <v>13</v>
      </c>
      <c r="N1974" s="46" t="s">
        <v>16</v>
      </c>
      <c r="O1974" s="49" t="s">
        <v>814</v>
      </c>
      <c r="P1974" s="46" t="s">
        <v>507</v>
      </c>
      <c r="Q1974" s="35" t="str">
        <f>MID(Tabla1[[#This Row],[Aplicación]],14,1)</f>
        <v>2</v>
      </c>
      <c r="R1974" s="35" t="s">
        <v>495</v>
      </c>
      <c r="S1974" s="35" t="str">
        <f>MID(Tabla1[[#This Row],[Aplicación]],6,2)</f>
        <v>06</v>
      </c>
      <c r="T1974" s="35" t="str">
        <f>VLOOKUP(Tabla1[[#This Row],[AREA]],Hoja1!A:B,2,FALSE)</f>
        <v>06. Educación, infancia, juventud e igualdad</v>
      </c>
      <c r="U1974" s="35" t="str">
        <f>MID(Tabla1[[#This Row],[Aplicación]],9,4)</f>
        <v>3231</v>
      </c>
      <c r="V1974" s="35" t="str">
        <f>VLOOKUP(Tabla1[[#This Row],[PROGRAMA]],Hoja1!A:B,2,FALSE)</f>
        <v>3231. Escuelas infantiles</v>
      </c>
      <c r="W1974" s="35" t="str">
        <f>MID(Tabla1[[#This Row],[Aplicación]],14,2)</f>
        <v>21</v>
      </c>
      <c r="X1974" s="35" t="str">
        <f>MID(Tabla1[[#This Row],[Aplicación]],14,6)</f>
        <v>212</v>
      </c>
    </row>
    <row r="1975" spans="1:24" x14ac:dyDescent="0.25">
      <c r="A1975" s="45">
        <v>220210008563</v>
      </c>
      <c r="B1975" s="46" t="s">
        <v>204</v>
      </c>
      <c r="C1975" s="47">
        <v>44266</v>
      </c>
      <c r="D1975" s="45">
        <v>22021002378</v>
      </c>
      <c r="E1975" s="46" t="s">
        <v>1228</v>
      </c>
      <c r="F1975" s="48">
        <v>154.27000000000001</v>
      </c>
      <c r="G1975" s="46" t="s">
        <v>2011</v>
      </c>
      <c r="H1975" s="46" t="s">
        <v>3299</v>
      </c>
      <c r="I1975" s="45" t="s">
        <v>205</v>
      </c>
      <c r="J1975" s="46" t="s">
        <v>127</v>
      </c>
      <c r="K1975" s="46" t="s">
        <v>127</v>
      </c>
      <c r="L1975" s="46" t="s">
        <v>15</v>
      </c>
      <c r="M1975" s="46" t="s">
        <v>13</v>
      </c>
      <c r="N1975" s="46" t="s">
        <v>14</v>
      </c>
      <c r="O1975" s="49" t="s">
        <v>814</v>
      </c>
      <c r="P1975" s="46" t="s">
        <v>507</v>
      </c>
      <c r="Q1975" s="35" t="str">
        <f>MID(Tabla1[[#This Row],[Aplicación]],14,1)</f>
        <v>2</v>
      </c>
      <c r="R1975" s="35" t="s">
        <v>495</v>
      </c>
      <c r="S1975" s="35" t="str">
        <f>MID(Tabla1[[#This Row],[Aplicación]],6,2)</f>
        <v>02</v>
      </c>
      <c r="T1975" s="35" t="str">
        <f>VLOOKUP(Tabla1[[#This Row],[AREA]],Hoja1!A:B,2,FALSE)</f>
        <v>02. Planeamiento urbanístico y vivienda</v>
      </c>
      <c r="U1975" s="35" t="str">
        <f>MID(Tabla1[[#This Row],[Aplicación]],9,4)</f>
        <v>9332</v>
      </c>
      <c r="V1975" s="35" t="str">
        <f>VLOOKUP(Tabla1[[#This Row],[PROGRAMA]],Hoja1!A:B,2,FALSE)</f>
        <v>9332. Mantenimiento de edificios e instalaciones municipales</v>
      </c>
      <c r="W1975" s="35" t="str">
        <f>MID(Tabla1[[#This Row],[Aplicación]],14,2)</f>
        <v>21</v>
      </c>
      <c r="X1975" s="35" t="str">
        <f>MID(Tabla1[[#This Row],[Aplicación]],14,6)</f>
        <v>214</v>
      </c>
    </row>
    <row r="1976" spans="1:24" x14ac:dyDescent="0.25">
      <c r="A1976" s="45">
        <v>220210006980</v>
      </c>
      <c r="B1976" s="46" t="s">
        <v>501</v>
      </c>
      <c r="C1976" s="47">
        <v>44259</v>
      </c>
      <c r="D1976" s="45">
        <v>22021000272</v>
      </c>
      <c r="E1976" s="46" t="s">
        <v>1247</v>
      </c>
      <c r="F1976" s="48">
        <v>-375000</v>
      </c>
      <c r="G1976" s="46" t="s">
        <v>156</v>
      </c>
      <c r="H1976" s="46" t="s">
        <v>3300</v>
      </c>
      <c r="I1976" s="45" t="s">
        <v>125</v>
      </c>
      <c r="J1976" s="46" t="s">
        <v>617</v>
      </c>
      <c r="K1976" s="46" t="s">
        <v>157</v>
      </c>
      <c r="L1976" s="46" t="s">
        <v>12</v>
      </c>
      <c r="M1976" s="46" t="s">
        <v>13</v>
      </c>
      <c r="N1976" s="46" t="s">
        <v>14</v>
      </c>
      <c r="O1976" s="49" t="s">
        <v>803</v>
      </c>
      <c r="P1976" s="46" t="s">
        <v>507</v>
      </c>
      <c r="Q1976" s="35" t="str">
        <f>MID(Tabla1[[#This Row],[Aplicación]],14,1)</f>
        <v>2</v>
      </c>
      <c r="R1976" s="35" t="s">
        <v>495</v>
      </c>
      <c r="S1976" s="35" t="str">
        <f>MID(Tabla1[[#This Row],[Aplicación]],6,2)</f>
        <v>10</v>
      </c>
      <c r="T1976" s="35" t="str">
        <f>VLOOKUP(Tabla1[[#This Row],[AREA]],Hoja1!A:B,2,FALSE)</f>
        <v>10. Servicios sociales y mediación comunitaria</v>
      </c>
      <c r="U1976" s="35" t="str">
        <f>MID(Tabla1[[#This Row],[Aplicación]],9,4)</f>
        <v>2311</v>
      </c>
      <c r="V1976" s="35" t="str">
        <f>VLOOKUP(Tabla1[[#This Row],[PROGRAMA]],Hoja1!A:B,2,FALSE)</f>
        <v>2311. Intervención social</v>
      </c>
      <c r="W1976" s="35" t="str">
        <f>MID(Tabla1[[#This Row],[Aplicación]],14,2)</f>
        <v>22</v>
      </c>
      <c r="X1976" s="35" t="str">
        <f>MID(Tabla1[[#This Row],[Aplicación]],14,6)</f>
        <v>22799</v>
      </c>
    </row>
    <row r="1977" spans="1:24" x14ac:dyDescent="0.25">
      <c r="A1977" s="45">
        <v>220209000401</v>
      </c>
      <c r="B1977" s="46" t="s">
        <v>9</v>
      </c>
      <c r="C1977" s="47">
        <v>44198</v>
      </c>
      <c r="D1977" s="45">
        <v>22021000287</v>
      </c>
      <c r="E1977" s="46" t="s">
        <v>2298</v>
      </c>
      <c r="F1977" s="48">
        <v>33816.9</v>
      </c>
      <c r="G1977" s="46" t="s">
        <v>601</v>
      </c>
      <c r="H1977" s="46" t="s">
        <v>3301</v>
      </c>
      <c r="I1977" s="45" t="s">
        <v>125</v>
      </c>
      <c r="J1977" s="46" t="s">
        <v>603</v>
      </c>
      <c r="K1977" s="46" t="s">
        <v>126</v>
      </c>
      <c r="L1977" s="46" t="s">
        <v>12</v>
      </c>
      <c r="M1977" s="46" t="s">
        <v>13</v>
      </c>
      <c r="N1977" s="46" t="s">
        <v>14</v>
      </c>
      <c r="O1977" s="49" t="s">
        <v>803</v>
      </c>
      <c r="P1977" s="46" t="s">
        <v>507</v>
      </c>
      <c r="Q1977" s="35" t="str">
        <f>MID(Tabla1[[#This Row],[Aplicación]],14,1)</f>
        <v>2</v>
      </c>
      <c r="R1977" s="35" t="s">
        <v>495</v>
      </c>
      <c r="S1977" s="35" t="str">
        <f>MID(Tabla1[[#This Row],[Aplicación]],6,2)</f>
        <v>03</v>
      </c>
      <c r="T1977" s="35" t="str">
        <f>VLOOKUP(Tabla1[[#This Row],[AREA]],Hoja1!A:B,2,FALSE)</f>
        <v>03. Participación ciudadana y deportes</v>
      </c>
      <c r="U1977" s="35" t="str">
        <f>MID(Tabla1[[#This Row],[Aplicación]],9,4)</f>
        <v>9241</v>
      </c>
      <c r="V1977" s="35" t="str">
        <f>VLOOKUP(Tabla1[[#This Row],[PROGRAMA]],Hoja1!A:B,2,FALSE)</f>
        <v>9241. Participación ciudadana</v>
      </c>
      <c r="W1977" s="35" t="str">
        <f>MID(Tabla1[[#This Row],[Aplicación]],14,2)</f>
        <v>22</v>
      </c>
      <c r="X1977" s="35" t="str">
        <f>MID(Tabla1[[#This Row],[Aplicación]],14,6)</f>
        <v>22701</v>
      </c>
    </row>
    <row r="1978" spans="1:24" x14ac:dyDescent="0.25">
      <c r="A1978" s="45">
        <v>220209000402</v>
      </c>
      <c r="B1978" s="46" t="s">
        <v>9</v>
      </c>
      <c r="C1978" s="47">
        <v>44198</v>
      </c>
      <c r="D1978" s="45">
        <v>22021000288</v>
      </c>
      <c r="E1978" s="46" t="s">
        <v>2298</v>
      </c>
      <c r="F1978" s="48">
        <v>33816.9</v>
      </c>
      <c r="G1978" s="46" t="s">
        <v>601</v>
      </c>
      <c r="H1978" s="46" t="s">
        <v>3302</v>
      </c>
      <c r="I1978" s="45" t="s">
        <v>125</v>
      </c>
      <c r="J1978" s="46" t="s">
        <v>603</v>
      </c>
      <c r="K1978" s="46" t="s">
        <v>126</v>
      </c>
      <c r="L1978" s="46" t="s">
        <v>12</v>
      </c>
      <c r="M1978" s="46" t="s">
        <v>13</v>
      </c>
      <c r="N1978" s="46" t="s">
        <v>14</v>
      </c>
      <c r="O1978" s="49" t="s">
        <v>803</v>
      </c>
      <c r="P1978" s="46" t="s">
        <v>507</v>
      </c>
      <c r="Q1978" s="35" t="str">
        <f>MID(Tabla1[[#This Row],[Aplicación]],14,1)</f>
        <v>2</v>
      </c>
      <c r="R1978" s="35" t="s">
        <v>495</v>
      </c>
      <c r="S1978" s="35" t="str">
        <f>MID(Tabla1[[#This Row],[Aplicación]],6,2)</f>
        <v>03</v>
      </c>
      <c r="T1978" s="35" t="str">
        <f>VLOOKUP(Tabla1[[#This Row],[AREA]],Hoja1!A:B,2,FALSE)</f>
        <v>03. Participación ciudadana y deportes</v>
      </c>
      <c r="U1978" s="35" t="str">
        <f>MID(Tabla1[[#This Row],[Aplicación]],9,4)</f>
        <v>9241</v>
      </c>
      <c r="V1978" s="35" t="str">
        <f>VLOOKUP(Tabla1[[#This Row],[PROGRAMA]],Hoja1!A:B,2,FALSE)</f>
        <v>9241. Participación ciudadana</v>
      </c>
      <c r="W1978" s="35" t="str">
        <f>MID(Tabla1[[#This Row],[Aplicación]],14,2)</f>
        <v>22</v>
      </c>
      <c r="X1978" s="35" t="str">
        <f>MID(Tabla1[[#This Row],[Aplicación]],14,6)</f>
        <v>22701</v>
      </c>
    </row>
    <row r="1979" spans="1:24" x14ac:dyDescent="0.25">
      <c r="A1979" s="45">
        <v>220210012701</v>
      </c>
      <c r="B1979" s="46" t="s">
        <v>501</v>
      </c>
      <c r="C1979" s="47">
        <v>44280</v>
      </c>
      <c r="D1979" s="45">
        <v>22021000763</v>
      </c>
      <c r="E1979" s="46" t="s">
        <v>1766</v>
      </c>
      <c r="F1979" s="48">
        <v>-1197.1099999999999</v>
      </c>
      <c r="G1979" s="46" t="s">
        <v>44</v>
      </c>
      <c r="H1979" s="46" t="s">
        <v>3303</v>
      </c>
      <c r="I1979" s="45" t="s">
        <v>125</v>
      </c>
      <c r="J1979" s="46" t="s">
        <v>146</v>
      </c>
      <c r="K1979" s="46" t="s">
        <v>146</v>
      </c>
      <c r="L1979" s="46" t="s">
        <v>12</v>
      </c>
      <c r="M1979" s="46" t="s">
        <v>13</v>
      </c>
      <c r="N1979" s="46" t="s">
        <v>14</v>
      </c>
      <c r="O1979" s="49" t="s">
        <v>803</v>
      </c>
      <c r="P1979" s="46" t="s">
        <v>507</v>
      </c>
      <c r="Q1979" s="35" t="str">
        <f>MID(Tabla1[[#This Row],[Aplicación]],14,1)</f>
        <v>2</v>
      </c>
      <c r="R1979" s="35" t="s">
        <v>495</v>
      </c>
      <c r="S1979" s="35" t="str">
        <f>MID(Tabla1[[#This Row],[Aplicación]],6,2)</f>
        <v>10</v>
      </c>
      <c r="T1979" s="35" t="str">
        <f>VLOOKUP(Tabla1[[#This Row],[AREA]],Hoja1!A:B,2,FALSE)</f>
        <v>10. Servicios sociales y mediación comunitaria</v>
      </c>
      <c r="U1979" s="35" t="str">
        <f>MID(Tabla1[[#This Row],[Aplicación]],9,4)</f>
        <v>2412</v>
      </c>
      <c r="V1979" s="35" t="str">
        <f>VLOOKUP(Tabla1[[#This Row],[PROGRAMA]],Hoja1!A:B,2,FALSE)</f>
        <v>2412. Formación para el empleo</v>
      </c>
      <c r="W1979" s="35" t="str">
        <f>MID(Tabla1[[#This Row],[Aplicación]],14,2)</f>
        <v>22</v>
      </c>
      <c r="X1979" s="35" t="str">
        <f>MID(Tabla1[[#This Row],[Aplicación]],14,6)</f>
        <v>22102</v>
      </c>
    </row>
    <row r="1980" spans="1:24" x14ac:dyDescent="0.25">
      <c r="A1980" s="45">
        <v>220210012701</v>
      </c>
      <c r="B1980" s="46" t="s">
        <v>501</v>
      </c>
      <c r="C1980" s="47">
        <v>44280</v>
      </c>
      <c r="D1980" s="45">
        <v>22021000764</v>
      </c>
      <c r="E1980" s="46" t="s">
        <v>1766</v>
      </c>
      <c r="F1980" s="48">
        <v>-2090.1999999999998</v>
      </c>
      <c r="G1980" s="46" t="s">
        <v>44</v>
      </c>
      <c r="H1980" s="46" t="s">
        <v>3303</v>
      </c>
      <c r="I1980" s="45" t="s">
        <v>125</v>
      </c>
      <c r="J1980" s="46" t="s">
        <v>146</v>
      </c>
      <c r="K1980" s="46" t="s">
        <v>146</v>
      </c>
      <c r="L1980" s="46" t="s">
        <v>12</v>
      </c>
      <c r="M1980" s="46" t="s">
        <v>13</v>
      </c>
      <c r="N1980" s="46" t="s">
        <v>14</v>
      </c>
      <c r="O1980" s="49" t="s">
        <v>803</v>
      </c>
      <c r="P1980" s="46" t="s">
        <v>507</v>
      </c>
      <c r="Q1980" s="35" t="str">
        <f>MID(Tabla1[[#This Row],[Aplicación]],14,1)</f>
        <v>2</v>
      </c>
      <c r="R1980" s="35" t="s">
        <v>495</v>
      </c>
      <c r="S1980" s="35" t="str">
        <f>MID(Tabla1[[#This Row],[Aplicación]],6,2)</f>
        <v>10</v>
      </c>
      <c r="T1980" s="35" t="str">
        <f>VLOOKUP(Tabla1[[#This Row],[AREA]],Hoja1!A:B,2,FALSE)</f>
        <v>10. Servicios sociales y mediación comunitaria</v>
      </c>
      <c r="U1980" s="35" t="str">
        <f>MID(Tabla1[[#This Row],[Aplicación]],9,4)</f>
        <v>2412</v>
      </c>
      <c r="V1980" s="35" t="str">
        <f>VLOOKUP(Tabla1[[#This Row],[PROGRAMA]],Hoja1!A:B,2,FALSE)</f>
        <v>2412. Formación para el empleo</v>
      </c>
      <c r="W1980" s="35" t="str">
        <f>MID(Tabla1[[#This Row],[Aplicación]],14,2)</f>
        <v>22</v>
      </c>
      <c r="X1980" s="35" t="str">
        <f>MID(Tabla1[[#This Row],[Aplicación]],14,6)</f>
        <v>22102</v>
      </c>
    </row>
    <row r="1981" spans="1:24" x14ac:dyDescent="0.25">
      <c r="A1981" s="45">
        <v>220210012701</v>
      </c>
      <c r="B1981" s="46" t="s">
        <v>501</v>
      </c>
      <c r="C1981" s="47">
        <v>44280</v>
      </c>
      <c r="D1981" s="45">
        <v>22021000765</v>
      </c>
      <c r="E1981" s="46" t="s">
        <v>1766</v>
      </c>
      <c r="F1981" s="48">
        <v>-3445</v>
      </c>
      <c r="G1981" s="46" t="s">
        <v>44</v>
      </c>
      <c r="H1981" s="46" t="s">
        <v>3303</v>
      </c>
      <c r="I1981" s="45" t="s">
        <v>125</v>
      </c>
      <c r="J1981" s="46" t="s">
        <v>146</v>
      </c>
      <c r="K1981" s="46" t="s">
        <v>146</v>
      </c>
      <c r="L1981" s="46" t="s">
        <v>12</v>
      </c>
      <c r="M1981" s="46" t="s">
        <v>13</v>
      </c>
      <c r="N1981" s="46" t="s">
        <v>14</v>
      </c>
      <c r="O1981" s="49" t="s">
        <v>803</v>
      </c>
      <c r="P1981" s="46" t="s">
        <v>507</v>
      </c>
      <c r="Q1981" s="35" t="str">
        <f>MID(Tabla1[[#This Row],[Aplicación]],14,1)</f>
        <v>2</v>
      </c>
      <c r="R1981" s="35" t="s">
        <v>495</v>
      </c>
      <c r="S1981" s="35" t="str">
        <f>MID(Tabla1[[#This Row],[Aplicación]],6,2)</f>
        <v>10</v>
      </c>
      <c r="T1981" s="35" t="str">
        <f>VLOOKUP(Tabla1[[#This Row],[AREA]],Hoja1!A:B,2,FALSE)</f>
        <v>10. Servicios sociales y mediación comunitaria</v>
      </c>
      <c r="U1981" s="35" t="str">
        <f>MID(Tabla1[[#This Row],[Aplicación]],9,4)</f>
        <v>2412</v>
      </c>
      <c r="V1981" s="35" t="str">
        <f>VLOOKUP(Tabla1[[#This Row],[PROGRAMA]],Hoja1!A:B,2,FALSE)</f>
        <v>2412. Formación para el empleo</v>
      </c>
      <c r="W1981" s="35" t="str">
        <f>MID(Tabla1[[#This Row],[Aplicación]],14,2)</f>
        <v>22</v>
      </c>
      <c r="X1981" s="35" t="str">
        <f>MID(Tabla1[[#This Row],[Aplicación]],14,6)</f>
        <v>22102</v>
      </c>
    </row>
    <row r="1982" spans="1:24" x14ac:dyDescent="0.25">
      <c r="A1982" s="45">
        <v>220209000616</v>
      </c>
      <c r="B1982" s="46" t="s">
        <v>9</v>
      </c>
      <c r="C1982" s="47">
        <v>44198</v>
      </c>
      <c r="D1982" s="45">
        <v>22021000634</v>
      </c>
      <c r="E1982" s="46" t="s">
        <v>3304</v>
      </c>
      <c r="F1982" s="48">
        <v>33880</v>
      </c>
      <c r="G1982" s="46" t="s">
        <v>94</v>
      </c>
      <c r="H1982" s="46" t="s">
        <v>3305</v>
      </c>
      <c r="I1982" s="45" t="s">
        <v>125</v>
      </c>
      <c r="J1982" s="46" t="s">
        <v>127</v>
      </c>
      <c r="K1982" s="46" t="s">
        <v>127</v>
      </c>
      <c r="L1982" s="46" t="s">
        <v>12</v>
      </c>
      <c r="M1982" s="46" t="s">
        <v>13</v>
      </c>
      <c r="N1982" s="46" t="s">
        <v>16</v>
      </c>
      <c r="O1982" s="49" t="s">
        <v>803</v>
      </c>
      <c r="P1982" s="46" t="s">
        <v>507</v>
      </c>
      <c r="Q1982" s="35" t="str">
        <f>MID(Tabla1[[#This Row],[Aplicación]],14,1)</f>
        <v>2</v>
      </c>
      <c r="R1982" s="35" t="s">
        <v>495</v>
      </c>
      <c r="S1982" s="35" t="str">
        <f>MID(Tabla1[[#This Row],[Aplicación]],6,2)</f>
        <v>04</v>
      </c>
      <c r="T1982" s="35" t="str">
        <f>VLOOKUP(Tabla1[[#This Row],[AREA]],Hoja1!A:B,2,FALSE)</f>
        <v>04. Planificación y recursos</v>
      </c>
      <c r="U1982" s="35" t="str">
        <f>MID(Tabla1[[#This Row],[Aplicación]],9,4)</f>
        <v>9204</v>
      </c>
      <c r="V1982" s="35" t="str">
        <f>VLOOKUP(Tabla1[[#This Row],[PROGRAMA]],Hoja1!A:B,2,FALSE)</f>
        <v>9204. Tecnologías de la información y comunicación</v>
      </c>
      <c r="W1982" s="35" t="str">
        <f>MID(Tabla1[[#This Row],[Aplicación]],14,2)</f>
        <v>22</v>
      </c>
      <c r="X1982" s="35" t="str">
        <f>MID(Tabla1[[#This Row],[Aplicación]],14,6)</f>
        <v>22701</v>
      </c>
    </row>
    <row r="1983" spans="1:24" x14ac:dyDescent="0.25">
      <c r="A1983" s="45">
        <v>220209000231</v>
      </c>
      <c r="B1983" s="46" t="s">
        <v>9</v>
      </c>
      <c r="C1983" s="47">
        <v>44198</v>
      </c>
      <c r="D1983" s="45">
        <v>22021000245</v>
      </c>
      <c r="E1983" s="46" t="s">
        <v>1550</v>
      </c>
      <c r="F1983" s="48">
        <v>34122</v>
      </c>
      <c r="G1983" s="46" t="s">
        <v>218</v>
      </c>
      <c r="H1983" s="46" t="s">
        <v>3306</v>
      </c>
      <c r="I1983" s="45" t="s">
        <v>125</v>
      </c>
      <c r="J1983" s="46" t="s">
        <v>650</v>
      </c>
      <c r="K1983" s="46" t="s">
        <v>127</v>
      </c>
      <c r="L1983" s="46" t="s">
        <v>12</v>
      </c>
      <c r="M1983" s="46" t="s">
        <v>13</v>
      </c>
      <c r="N1983" s="46" t="s">
        <v>16</v>
      </c>
      <c r="O1983" s="49" t="s">
        <v>803</v>
      </c>
      <c r="P1983" s="46" t="s">
        <v>507</v>
      </c>
      <c r="Q1983" s="35" t="str">
        <f>MID(Tabla1[[#This Row],[Aplicación]],14,1)</f>
        <v>2</v>
      </c>
      <c r="R1983" s="35" t="s">
        <v>495</v>
      </c>
      <c r="S1983" s="35" t="str">
        <f>MID(Tabla1[[#This Row],[Aplicación]],6,2)</f>
        <v>06</v>
      </c>
      <c r="T1983" s="35" t="str">
        <f>VLOOKUP(Tabla1[[#This Row],[AREA]],Hoja1!A:B,2,FALSE)</f>
        <v>06. Educación, infancia, juventud e igualdad</v>
      </c>
      <c r="U1983" s="35" t="str">
        <f>MID(Tabla1[[#This Row],[Aplicación]],9,4)</f>
        <v>2315</v>
      </c>
      <c r="V1983" s="35" t="str">
        <f>VLOOKUP(Tabla1[[#This Row],[PROGRAMA]],Hoja1!A:B,2,FALSE)</f>
        <v>2315. Políticas de Igualdad e infancia</v>
      </c>
      <c r="W1983" s="35" t="str">
        <f>MID(Tabla1[[#This Row],[Aplicación]],14,2)</f>
        <v>22</v>
      </c>
      <c r="X1983" s="35" t="str">
        <f>MID(Tabla1[[#This Row],[Aplicación]],14,6)</f>
        <v>22799</v>
      </c>
    </row>
    <row r="1984" spans="1:24" x14ac:dyDescent="0.25">
      <c r="A1984" s="45">
        <v>220210028594</v>
      </c>
      <c r="B1984" s="46" t="s">
        <v>204</v>
      </c>
      <c r="C1984" s="47">
        <v>44350</v>
      </c>
      <c r="D1984" s="45">
        <v>22021001304</v>
      </c>
      <c r="E1984" s="46" t="s">
        <v>2590</v>
      </c>
      <c r="F1984" s="48">
        <v>2508.34</v>
      </c>
      <c r="G1984" s="54" t="s">
        <v>764</v>
      </c>
      <c r="H1984" s="54" t="s">
        <v>3391</v>
      </c>
      <c r="I1984" s="53" t="s">
        <v>205</v>
      </c>
      <c r="J1984" s="54" t="s">
        <v>127</v>
      </c>
      <c r="K1984" s="54" t="s">
        <v>127</v>
      </c>
      <c r="L1984" s="54" t="s">
        <v>12</v>
      </c>
      <c r="M1984" s="54" t="s">
        <v>13</v>
      </c>
      <c r="N1984" s="54" t="s">
        <v>14</v>
      </c>
      <c r="O1984" s="49" t="s">
        <v>803</v>
      </c>
      <c r="P1984" s="54" t="s">
        <v>3392</v>
      </c>
      <c r="Q1984" s="35" t="str">
        <f>MID(Tabla1[[#This Row],[Aplicación]],14,1)</f>
        <v>6</v>
      </c>
      <c r="R1984" s="35" t="s">
        <v>496</v>
      </c>
      <c r="S1984" s="35" t="str">
        <f>MID(Tabla1[[#This Row],[Aplicación]],6,2)</f>
        <v>02</v>
      </c>
      <c r="T1984" s="35" t="str">
        <f>VLOOKUP(Tabla1[[#This Row],[AREA]],Hoja1!A:B,2,FALSE)</f>
        <v>02. Planeamiento urbanístico y vivienda</v>
      </c>
      <c r="U1984" s="35" t="str">
        <f>MID(Tabla1[[#This Row],[Aplicación]],9,4)</f>
        <v>1511</v>
      </c>
      <c r="V1984" s="35" t="str">
        <f>VLOOKUP(Tabla1[[#This Row],[PROGRAMA]],Hoja1!A:B,2,FALSE)</f>
        <v>1511. Planficación y gestión del urbanismo</v>
      </c>
      <c r="W1984" s="35" t="str">
        <f>MID(Tabla1[[#This Row],[Aplicación]],14,2)</f>
        <v>60</v>
      </c>
      <c r="X1984" s="35" t="str">
        <f>MID(Tabla1[[#This Row],[Aplicación]],14,6)</f>
        <v>609</v>
      </c>
    </row>
    <row r="1985" spans="1:24" x14ac:dyDescent="0.25">
      <c r="A1985" s="45">
        <v>220210025550</v>
      </c>
      <c r="B1985" s="46" t="s">
        <v>9</v>
      </c>
      <c r="C1985" s="47">
        <v>44342</v>
      </c>
      <c r="D1985" s="45">
        <v>22021002931</v>
      </c>
      <c r="E1985" s="46" t="s">
        <v>3161</v>
      </c>
      <c r="F1985" s="48">
        <v>199.82</v>
      </c>
      <c r="G1985" s="54" t="s">
        <v>764</v>
      </c>
      <c r="H1985" s="54" t="s">
        <v>3393</v>
      </c>
      <c r="I1985" s="53" t="s">
        <v>125</v>
      </c>
      <c r="J1985" s="54" t="s">
        <v>127</v>
      </c>
      <c r="K1985" s="54" t="s">
        <v>127</v>
      </c>
      <c r="L1985" s="54" t="s">
        <v>12</v>
      </c>
      <c r="M1985" s="54" t="s">
        <v>13</v>
      </c>
      <c r="N1985" s="54" t="s">
        <v>14</v>
      </c>
      <c r="O1985" s="49" t="s">
        <v>803</v>
      </c>
      <c r="P1985" s="54" t="s">
        <v>3392</v>
      </c>
      <c r="Q1985" s="35" t="str">
        <f>MID(Tabla1[[#This Row],[Aplicación]],14,1)</f>
        <v>6</v>
      </c>
      <c r="R1985" s="35" t="s">
        <v>496</v>
      </c>
      <c r="S1985" s="35" t="str">
        <f>MID(Tabla1[[#This Row],[Aplicación]],6,2)</f>
        <v>10</v>
      </c>
      <c r="T1985" s="35" t="str">
        <f>VLOOKUP(Tabla1[[#This Row],[AREA]],Hoja1!A:B,2,FALSE)</f>
        <v>10. Servicios sociales y mediación comunitaria</v>
      </c>
      <c r="U1985" s="35" t="str">
        <f>MID(Tabla1[[#This Row],[Aplicación]],9,4)</f>
        <v>2312</v>
      </c>
      <c r="V1985" s="35" t="str">
        <f>VLOOKUP(Tabla1[[#This Row],[PROGRAMA]],Hoja1!A:B,2,FALSE)</f>
        <v>2312. Iniciativas sociales</v>
      </c>
      <c r="W1985" s="35" t="str">
        <f>MID(Tabla1[[#This Row],[Aplicación]],14,2)</f>
        <v>63</v>
      </c>
      <c r="X1985" s="35" t="str">
        <f>MID(Tabla1[[#This Row],[Aplicación]],14,6)</f>
        <v>632</v>
      </c>
    </row>
    <row r="1986" spans="1:24" x14ac:dyDescent="0.25">
      <c r="A1986" s="45">
        <v>220210033089</v>
      </c>
      <c r="B1986" s="46" t="s">
        <v>9</v>
      </c>
      <c r="C1986" s="47">
        <v>44376</v>
      </c>
      <c r="D1986" s="45">
        <v>22021004999</v>
      </c>
      <c r="E1986" s="46" t="s">
        <v>3308</v>
      </c>
      <c r="F1986" s="48">
        <v>161.57</v>
      </c>
      <c r="G1986" s="54" t="s">
        <v>764</v>
      </c>
      <c r="H1986" s="54" t="s">
        <v>3394</v>
      </c>
      <c r="I1986" s="53" t="s">
        <v>125</v>
      </c>
      <c r="J1986" s="54" t="s">
        <v>127</v>
      </c>
      <c r="K1986" s="54" t="s">
        <v>127</v>
      </c>
      <c r="L1986" s="54" t="s">
        <v>12</v>
      </c>
      <c r="M1986" s="54" t="s">
        <v>13</v>
      </c>
      <c r="N1986" s="54" t="s">
        <v>14</v>
      </c>
      <c r="O1986" s="49" t="s">
        <v>803</v>
      </c>
      <c r="P1986" s="54" t="s">
        <v>3392</v>
      </c>
      <c r="Q1986" s="35" t="str">
        <f>MID(Tabla1[[#This Row],[Aplicación]],14,1)</f>
        <v>6</v>
      </c>
      <c r="R1986" s="35" t="s">
        <v>496</v>
      </c>
      <c r="S1986" s="35" t="str">
        <f>MID(Tabla1[[#This Row],[Aplicación]],6,2)</f>
        <v>06</v>
      </c>
      <c r="T1986" s="35" t="str">
        <f>VLOOKUP(Tabla1[[#This Row],[AREA]],Hoja1!A:B,2,FALSE)</f>
        <v>06. Educación, infancia, juventud e igualdad</v>
      </c>
      <c r="U1986" s="35" t="str">
        <f>MID(Tabla1[[#This Row],[Aplicación]],9,4)</f>
        <v>3232</v>
      </c>
      <c r="V1986" s="35" t="str">
        <f>VLOOKUP(Tabla1[[#This Row],[PROGRAMA]],Hoja1!A:B,2,FALSE)</f>
        <v>3232. Conservación y mantenimiento centros educación infantil y primaria</v>
      </c>
      <c r="W1986" s="35" t="str">
        <f>MID(Tabla1[[#This Row],[Aplicación]],14,2)</f>
        <v>63</v>
      </c>
      <c r="X1986" s="35" t="str">
        <f>MID(Tabla1[[#This Row],[Aplicación]],14,6)</f>
        <v>632</v>
      </c>
    </row>
    <row r="1987" spans="1:24" x14ac:dyDescent="0.25">
      <c r="A1987" s="45">
        <v>220210031351</v>
      </c>
      <c r="B1987" s="46" t="s">
        <v>9</v>
      </c>
      <c r="C1987" s="47">
        <v>44365</v>
      </c>
      <c r="D1987" s="45">
        <v>22021004883</v>
      </c>
      <c r="E1987" s="46" t="s">
        <v>3309</v>
      </c>
      <c r="F1987" s="48">
        <v>161.56</v>
      </c>
      <c r="G1987" s="54" t="s">
        <v>764</v>
      </c>
      <c r="H1987" s="54" t="s">
        <v>3395</v>
      </c>
      <c r="I1987" s="53" t="s">
        <v>125</v>
      </c>
      <c r="J1987" s="54" t="s">
        <v>127</v>
      </c>
      <c r="K1987" s="54" t="s">
        <v>127</v>
      </c>
      <c r="L1987" s="54" t="s">
        <v>12</v>
      </c>
      <c r="M1987" s="54" t="s">
        <v>13</v>
      </c>
      <c r="N1987" s="54" t="s">
        <v>14</v>
      </c>
      <c r="O1987" s="49" t="s">
        <v>803</v>
      </c>
      <c r="P1987" s="54" t="s">
        <v>3392</v>
      </c>
      <c r="Q1987" s="35" t="str">
        <f>MID(Tabla1[[#This Row],[Aplicación]],14,1)</f>
        <v>6</v>
      </c>
      <c r="R1987" s="35" t="s">
        <v>496</v>
      </c>
      <c r="S1987" s="35" t="str">
        <f>MID(Tabla1[[#This Row],[Aplicación]],6,2)</f>
        <v>06</v>
      </c>
      <c r="T1987" s="35" t="str">
        <f>VLOOKUP(Tabla1[[#This Row],[AREA]],Hoja1!A:B,2,FALSE)</f>
        <v>06. Educación, infancia, juventud e igualdad</v>
      </c>
      <c r="U1987" s="35" t="str">
        <f>MID(Tabla1[[#This Row],[Aplicación]],9,4)</f>
        <v>3261</v>
      </c>
      <c r="V1987" s="35" t="str">
        <f>VLOOKUP(Tabla1[[#This Row],[PROGRAMA]],Hoja1!A:B,2,FALSE)</f>
        <v>3261. Servicios complementarios de educación</v>
      </c>
      <c r="W1987" s="35" t="str">
        <f>MID(Tabla1[[#This Row],[Aplicación]],14,2)</f>
        <v>63</v>
      </c>
      <c r="X1987" s="35" t="str">
        <f>MID(Tabla1[[#This Row],[Aplicación]],14,6)</f>
        <v>632</v>
      </c>
    </row>
    <row r="1988" spans="1:24" x14ac:dyDescent="0.25">
      <c r="A1988" s="45">
        <v>220210033080</v>
      </c>
      <c r="B1988" s="46" t="s">
        <v>9</v>
      </c>
      <c r="C1988" s="47">
        <v>44376</v>
      </c>
      <c r="D1988" s="45">
        <v>22021005151</v>
      </c>
      <c r="E1988" s="46" t="s">
        <v>3308</v>
      </c>
      <c r="F1988" s="48">
        <v>161.55000000000001</v>
      </c>
      <c r="G1988" s="54" t="s">
        <v>764</v>
      </c>
      <c r="H1988" s="54" t="s">
        <v>3396</v>
      </c>
      <c r="I1988" s="53" t="s">
        <v>125</v>
      </c>
      <c r="J1988" s="54" t="s">
        <v>127</v>
      </c>
      <c r="K1988" s="54" t="s">
        <v>127</v>
      </c>
      <c r="L1988" s="54" t="s">
        <v>12</v>
      </c>
      <c r="M1988" s="54" t="s">
        <v>13</v>
      </c>
      <c r="N1988" s="54" t="s">
        <v>14</v>
      </c>
      <c r="O1988" s="49" t="s">
        <v>803</v>
      </c>
      <c r="P1988" s="54" t="s">
        <v>3392</v>
      </c>
      <c r="Q1988" s="35" t="str">
        <f>MID(Tabla1[[#This Row],[Aplicación]],14,1)</f>
        <v>6</v>
      </c>
      <c r="R1988" s="35" t="s">
        <v>496</v>
      </c>
      <c r="S1988" s="35" t="str">
        <f>MID(Tabla1[[#This Row],[Aplicación]],6,2)</f>
        <v>06</v>
      </c>
      <c r="T1988" s="35" t="str">
        <f>VLOOKUP(Tabla1[[#This Row],[AREA]],Hoja1!A:B,2,FALSE)</f>
        <v>06. Educación, infancia, juventud e igualdad</v>
      </c>
      <c r="U1988" s="35" t="str">
        <f>MID(Tabla1[[#This Row],[Aplicación]],9,4)</f>
        <v>3232</v>
      </c>
      <c r="V1988" s="35" t="str">
        <f>VLOOKUP(Tabla1[[#This Row],[PROGRAMA]],Hoja1!A:B,2,FALSE)</f>
        <v>3232. Conservación y mantenimiento centros educación infantil y primaria</v>
      </c>
      <c r="W1988" s="35" t="str">
        <f>MID(Tabla1[[#This Row],[Aplicación]],14,2)</f>
        <v>63</v>
      </c>
      <c r="X1988" s="35" t="str">
        <f>MID(Tabla1[[#This Row],[Aplicación]],14,6)</f>
        <v>632</v>
      </c>
    </row>
    <row r="1989" spans="1:24" x14ac:dyDescent="0.25">
      <c r="A1989" s="45">
        <v>220210033078</v>
      </c>
      <c r="B1989" s="46" t="s">
        <v>9</v>
      </c>
      <c r="C1989" s="47">
        <v>44376</v>
      </c>
      <c r="D1989" s="45">
        <v>22021005120</v>
      </c>
      <c r="E1989" s="46" t="s">
        <v>3310</v>
      </c>
      <c r="F1989" s="48">
        <v>82.85</v>
      </c>
      <c r="G1989" s="54" t="s">
        <v>764</v>
      </c>
      <c r="H1989" s="54" t="s">
        <v>3397</v>
      </c>
      <c r="I1989" s="53" t="s">
        <v>125</v>
      </c>
      <c r="J1989" s="54" t="s">
        <v>127</v>
      </c>
      <c r="K1989" s="54" t="s">
        <v>127</v>
      </c>
      <c r="L1989" s="54" t="s">
        <v>12</v>
      </c>
      <c r="M1989" s="54" t="s">
        <v>13</v>
      </c>
      <c r="N1989" s="54" t="s">
        <v>14</v>
      </c>
      <c r="O1989" s="49" t="s">
        <v>803</v>
      </c>
      <c r="P1989" s="54" t="s">
        <v>3392</v>
      </c>
      <c r="Q1989" s="35" t="str">
        <f>MID(Tabla1[[#This Row],[Aplicación]],14,1)</f>
        <v>6</v>
      </c>
      <c r="R1989" s="35" t="s">
        <v>496</v>
      </c>
      <c r="S1989" s="35" t="str">
        <f>MID(Tabla1[[#This Row],[Aplicación]],6,2)</f>
        <v>06</v>
      </c>
      <c r="T1989" s="35" t="str">
        <f>VLOOKUP(Tabla1[[#This Row],[AREA]],Hoja1!A:B,2,FALSE)</f>
        <v>06. Educación, infancia, juventud e igualdad</v>
      </c>
      <c r="U1989" s="35" t="str">
        <f>MID(Tabla1[[#This Row],[Aplicación]],9,4)</f>
        <v>3231</v>
      </c>
      <c r="V1989" s="35" t="str">
        <f>VLOOKUP(Tabla1[[#This Row],[PROGRAMA]],Hoja1!A:B,2,FALSE)</f>
        <v>3231. Escuelas infantiles</v>
      </c>
      <c r="W1989" s="35" t="str">
        <f>MID(Tabla1[[#This Row],[Aplicación]],14,2)</f>
        <v>63</v>
      </c>
      <c r="X1989" s="35" t="str">
        <f>MID(Tabla1[[#This Row],[Aplicación]],14,6)</f>
        <v>632</v>
      </c>
    </row>
    <row r="1990" spans="1:24" x14ac:dyDescent="0.25">
      <c r="A1990" s="45">
        <v>220210020472</v>
      </c>
      <c r="B1990" s="46" t="s">
        <v>32</v>
      </c>
      <c r="C1990" s="47">
        <v>44322</v>
      </c>
      <c r="D1990" s="45">
        <v>22021004275</v>
      </c>
      <c r="E1990" s="46" t="s">
        <v>3311</v>
      </c>
      <c r="F1990" s="48">
        <v>18.11</v>
      </c>
      <c r="G1990" s="54" t="s">
        <v>764</v>
      </c>
      <c r="H1990" s="54" t="s">
        <v>3398</v>
      </c>
      <c r="I1990" s="53" t="s">
        <v>234</v>
      </c>
      <c r="J1990" s="54" t="s">
        <v>127</v>
      </c>
      <c r="K1990" s="54" t="s">
        <v>127</v>
      </c>
      <c r="L1990" s="54" t="s">
        <v>12</v>
      </c>
      <c r="M1990" s="54" t="s">
        <v>13</v>
      </c>
      <c r="N1990" s="54" t="s">
        <v>14</v>
      </c>
      <c r="O1990" s="49" t="s">
        <v>803</v>
      </c>
      <c r="P1990" s="54" t="s">
        <v>3392</v>
      </c>
      <c r="Q1990" s="35" t="str">
        <f>MID(Tabla1[[#This Row],[Aplicación]],14,1)</f>
        <v>8</v>
      </c>
      <c r="R1990" s="35" t="s">
        <v>497</v>
      </c>
      <c r="S1990" s="35" t="str">
        <f>MID(Tabla1[[#This Row],[Aplicación]],6,2)</f>
        <v>08</v>
      </c>
      <c r="T1990" s="35" t="str">
        <f>VLOOKUP(Tabla1[[#This Row],[AREA]],Hoja1!A:B,2,FALSE)</f>
        <v>08. Movilidad y espacio urbano</v>
      </c>
      <c r="U1990" s="35" t="str">
        <f>MID(Tabla1[[#This Row],[Aplicación]],9,4)</f>
        <v>1513</v>
      </c>
      <c r="V1990" s="35" t="str">
        <f>VLOOKUP(Tabla1[[#This Row],[PROGRAMA]],Hoja1!A:B,2,FALSE)</f>
        <v>1513. Licencias urbanísticas</v>
      </c>
      <c r="W1990" s="35" t="str">
        <f>MID(Tabla1[[#This Row],[Aplicación]],14,2)</f>
        <v>83</v>
      </c>
      <c r="X1990" s="35" t="str">
        <f>MID(Tabla1[[#This Row],[Aplicación]],14,6)</f>
        <v>83100</v>
      </c>
    </row>
    <row r="1991" spans="1:24" x14ac:dyDescent="0.25">
      <c r="A1991" s="45">
        <v>220210025885</v>
      </c>
      <c r="B1991" s="46" t="s">
        <v>501</v>
      </c>
      <c r="C1991" s="47">
        <v>44343</v>
      </c>
      <c r="D1991" s="45">
        <v>22021000230</v>
      </c>
      <c r="E1991" s="46" t="s">
        <v>818</v>
      </c>
      <c r="F1991" s="48">
        <v>-5299.8</v>
      </c>
      <c r="G1991" s="54" t="s">
        <v>819</v>
      </c>
      <c r="H1991" s="54" t="s">
        <v>3399</v>
      </c>
      <c r="I1991" s="53" t="s">
        <v>125</v>
      </c>
      <c r="J1991" s="54" t="s">
        <v>821</v>
      </c>
      <c r="K1991" s="54" t="s">
        <v>822</v>
      </c>
      <c r="L1991" s="54" t="s">
        <v>15</v>
      </c>
      <c r="M1991" s="54" t="s">
        <v>13</v>
      </c>
      <c r="N1991" s="54" t="s">
        <v>14</v>
      </c>
      <c r="O1991" s="49" t="s">
        <v>803</v>
      </c>
      <c r="P1991" s="54" t="s">
        <v>3392</v>
      </c>
      <c r="Q1991" s="35" t="str">
        <f>MID(Tabla1[[#This Row],[Aplicación]],14,1)</f>
        <v>2</v>
      </c>
      <c r="R1991" s="35" t="s">
        <v>495</v>
      </c>
      <c r="S1991" s="35" t="str">
        <f>MID(Tabla1[[#This Row],[Aplicación]],6,2)</f>
        <v>09</v>
      </c>
      <c r="T1991" s="35" t="str">
        <f>VLOOKUP(Tabla1[[#This Row],[AREA]],Hoja1!A:B,2,FALSE)</f>
        <v>09. Cultura y turismo</v>
      </c>
      <c r="U1991" s="35" t="str">
        <f>MID(Tabla1[[#This Row],[Aplicación]],9,4)</f>
        <v>3341</v>
      </c>
      <c r="V1991" s="35" t="str">
        <f>VLOOKUP(Tabla1[[#This Row],[PROGRAMA]],Hoja1!A:B,2,FALSE)</f>
        <v>3341. Coordinación de políticas culturales</v>
      </c>
      <c r="W1991" s="35" t="str">
        <f>MID(Tabla1[[#This Row],[Aplicación]],14,2)</f>
        <v>22</v>
      </c>
      <c r="X1991" s="35" t="str">
        <f>MID(Tabla1[[#This Row],[Aplicación]],14,6)</f>
        <v>22609</v>
      </c>
    </row>
    <row r="1992" spans="1:24" x14ac:dyDescent="0.25">
      <c r="A1992" s="45">
        <v>220210023170</v>
      </c>
      <c r="B1992" s="46" t="s">
        <v>9</v>
      </c>
      <c r="C1992" s="47">
        <v>44335</v>
      </c>
      <c r="D1992" s="45">
        <v>22021003450</v>
      </c>
      <c r="E1992" s="46" t="s">
        <v>2947</v>
      </c>
      <c r="F1992" s="48">
        <v>9572.69</v>
      </c>
      <c r="G1992" s="54" t="s">
        <v>3400</v>
      </c>
      <c r="H1992" s="54" t="s">
        <v>3401</v>
      </c>
      <c r="I1992" s="53" t="s">
        <v>125</v>
      </c>
      <c r="J1992" s="54" t="s">
        <v>126</v>
      </c>
      <c r="K1992" s="54" t="s">
        <v>126</v>
      </c>
      <c r="L1992" s="54" t="s">
        <v>12</v>
      </c>
      <c r="M1992" s="54" t="s">
        <v>13</v>
      </c>
      <c r="N1992" s="54" t="s">
        <v>14</v>
      </c>
      <c r="O1992" s="49" t="s">
        <v>803</v>
      </c>
      <c r="P1992" s="54" t="s">
        <v>3392</v>
      </c>
      <c r="Q1992" s="35" t="str">
        <f>MID(Tabla1[[#This Row],[Aplicación]],14,1)</f>
        <v>1</v>
      </c>
      <c r="R1992" s="35" t="s">
        <v>504</v>
      </c>
      <c r="S1992" s="35" t="str">
        <f>MID(Tabla1[[#This Row],[Aplicación]],6,2)</f>
        <v>04</v>
      </c>
      <c r="T1992" s="35" t="str">
        <f>VLOOKUP(Tabla1[[#This Row],[AREA]],Hoja1!A:B,2,FALSE)</f>
        <v>04. Planificación y recursos</v>
      </c>
      <c r="U1992" s="35" t="str">
        <f>MID(Tabla1[[#This Row],[Aplicación]],9,4)</f>
        <v>9202</v>
      </c>
      <c r="V1992" s="35" t="str">
        <f>VLOOKUP(Tabla1[[#This Row],[PROGRAMA]],Hoja1!A:B,2,FALSE)</f>
        <v>9202. Gestión de recursos humanos</v>
      </c>
      <c r="W1992" s="35" t="str">
        <f>MID(Tabla1[[#This Row],[Aplicación]],14,2)</f>
        <v>16</v>
      </c>
      <c r="X1992" s="35" t="str">
        <f>MID(Tabla1[[#This Row],[Aplicación]],14,6)</f>
        <v>16205</v>
      </c>
    </row>
    <row r="1993" spans="1:24" x14ac:dyDescent="0.25">
      <c r="A1993" s="45">
        <v>220210023169</v>
      </c>
      <c r="B1993" s="46" t="s">
        <v>9</v>
      </c>
      <c r="C1993" s="47">
        <v>44335</v>
      </c>
      <c r="D1993" s="45">
        <v>22021002816</v>
      </c>
      <c r="E1993" s="46" t="s">
        <v>2947</v>
      </c>
      <c r="F1993" s="48">
        <v>88.28</v>
      </c>
      <c r="G1993" s="54" t="s">
        <v>3400</v>
      </c>
      <c r="H1993" s="54" t="s">
        <v>3402</v>
      </c>
      <c r="I1993" s="53" t="s">
        <v>125</v>
      </c>
      <c r="J1993" s="54" t="s">
        <v>126</v>
      </c>
      <c r="K1993" s="54" t="s">
        <v>126</v>
      </c>
      <c r="L1993" s="54" t="s">
        <v>12</v>
      </c>
      <c r="M1993" s="54" t="s">
        <v>13</v>
      </c>
      <c r="N1993" s="54" t="s">
        <v>14</v>
      </c>
      <c r="O1993" s="49" t="s">
        <v>803</v>
      </c>
      <c r="P1993" s="54" t="s">
        <v>3392</v>
      </c>
      <c r="Q1993" s="35" t="str">
        <f>MID(Tabla1[[#This Row],[Aplicación]],14,1)</f>
        <v>1</v>
      </c>
      <c r="R1993" s="35" t="s">
        <v>504</v>
      </c>
      <c r="S1993" s="35" t="str">
        <f>MID(Tabla1[[#This Row],[Aplicación]],6,2)</f>
        <v>04</v>
      </c>
      <c r="T1993" s="35" t="str">
        <f>VLOOKUP(Tabla1[[#This Row],[AREA]],Hoja1!A:B,2,FALSE)</f>
        <v>04. Planificación y recursos</v>
      </c>
      <c r="U1993" s="35" t="str">
        <f>MID(Tabla1[[#This Row],[Aplicación]],9,4)</f>
        <v>9202</v>
      </c>
      <c r="V1993" s="35" t="str">
        <f>VLOOKUP(Tabla1[[#This Row],[PROGRAMA]],Hoja1!A:B,2,FALSE)</f>
        <v>9202. Gestión de recursos humanos</v>
      </c>
      <c r="W1993" s="35" t="str">
        <f>MID(Tabla1[[#This Row],[Aplicación]],14,2)</f>
        <v>16</v>
      </c>
      <c r="X1993" s="35" t="str">
        <f>MID(Tabla1[[#This Row],[Aplicación]],14,6)</f>
        <v>16205</v>
      </c>
    </row>
    <row r="1994" spans="1:24" x14ac:dyDescent="0.25">
      <c r="A1994" s="45">
        <v>220210020360</v>
      </c>
      <c r="B1994" s="46" t="s">
        <v>204</v>
      </c>
      <c r="C1994" s="47">
        <v>44321</v>
      </c>
      <c r="D1994" s="45">
        <v>22021002219</v>
      </c>
      <c r="E1994" s="46" t="s">
        <v>1648</v>
      </c>
      <c r="F1994" s="48">
        <v>29846.67</v>
      </c>
      <c r="G1994" s="54" t="s">
        <v>3403</v>
      </c>
      <c r="H1994" s="54" t="s">
        <v>3404</v>
      </c>
      <c r="I1994" s="53" t="s">
        <v>205</v>
      </c>
      <c r="J1994" s="54" t="s">
        <v>127</v>
      </c>
      <c r="K1994" s="54" t="s">
        <v>127</v>
      </c>
      <c r="L1994" s="54" t="s">
        <v>12</v>
      </c>
      <c r="M1994" s="54" t="s">
        <v>13</v>
      </c>
      <c r="N1994" s="54" t="s">
        <v>14</v>
      </c>
      <c r="O1994" s="49" t="s">
        <v>803</v>
      </c>
      <c r="P1994" s="54" t="s">
        <v>3392</v>
      </c>
      <c r="Q1994" s="35" t="str">
        <f>MID(Tabla1[[#This Row],[Aplicación]],14,1)</f>
        <v>2</v>
      </c>
      <c r="R1994" s="35" t="s">
        <v>495</v>
      </c>
      <c r="S1994" s="35" t="str">
        <f>MID(Tabla1[[#This Row],[Aplicación]],6,2)</f>
        <v>09</v>
      </c>
      <c r="T1994" s="35" t="str">
        <f>VLOOKUP(Tabla1[[#This Row],[AREA]],Hoja1!A:B,2,FALSE)</f>
        <v>09. Cultura y turismo</v>
      </c>
      <c r="U1994" s="35" t="str">
        <f>MID(Tabla1[[#This Row],[Aplicación]],9,4)</f>
        <v>3341</v>
      </c>
      <c r="V1994" s="35" t="str">
        <f>VLOOKUP(Tabla1[[#This Row],[PROGRAMA]],Hoja1!A:B,2,FALSE)</f>
        <v>3341. Coordinación de políticas culturales</v>
      </c>
      <c r="W1994" s="35" t="str">
        <f>MID(Tabla1[[#This Row],[Aplicación]],14,2)</f>
        <v>22</v>
      </c>
      <c r="X1994" s="35" t="str">
        <f>MID(Tabla1[[#This Row],[Aplicación]],14,6)</f>
        <v>22799</v>
      </c>
    </row>
    <row r="1995" spans="1:24" x14ac:dyDescent="0.25">
      <c r="A1995" s="45">
        <v>220210019009</v>
      </c>
      <c r="B1995" s="46" t="s">
        <v>9</v>
      </c>
      <c r="C1995" s="47">
        <v>44319</v>
      </c>
      <c r="D1995" s="45">
        <v>22021003251</v>
      </c>
      <c r="E1995" s="46" t="s">
        <v>886</v>
      </c>
      <c r="F1995" s="48">
        <v>5150</v>
      </c>
      <c r="G1995" s="54" t="s">
        <v>68</v>
      </c>
      <c r="H1995" s="54" t="s">
        <v>3405</v>
      </c>
      <c r="I1995" s="53" t="s">
        <v>125</v>
      </c>
      <c r="J1995" s="54" t="s">
        <v>127</v>
      </c>
      <c r="K1995" s="54" t="s">
        <v>127</v>
      </c>
      <c r="L1995" s="54" t="s">
        <v>12</v>
      </c>
      <c r="M1995" s="54" t="s">
        <v>13</v>
      </c>
      <c r="N1995" s="54" t="s">
        <v>14</v>
      </c>
      <c r="O1995" s="49" t="s">
        <v>803</v>
      </c>
      <c r="P1995" s="54" t="s">
        <v>3392</v>
      </c>
      <c r="Q1995" s="35" t="str">
        <f>MID(Tabla1[[#This Row],[Aplicación]],14,1)</f>
        <v>2</v>
      </c>
      <c r="R1995" s="35" t="s">
        <v>495</v>
      </c>
      <c r="S1995" s="35" t="str">
        <f>MID(Tabla1[[#This Row],[Aplicación]],6,2)</f>
        <v>10</v>
      </c>
      <c r="T1995" s="35" t="str">
        <f>VLOOKUP(Tabla1[[#This Row],[AREA]],Hoja1!A:B,2,FALSE)</f>
        <v>10. Servicios sociales y mediación comunitaria</v>
      </c>
      <c r="U1995" s="35" t="str">
        <f>MID(Tabla1[[#This Row],[Aplicación]],9,4)</f>
        <v>2311</v>
      </c>
      <c r="V1995" s="35" t="str">
        <f>VLOOKUP(Tabla1[[#This Row],[PROGRAMA]],Hoja1!A:B,2,FALSE)</f>
        <v>2311. Intervención social</v>
      </c>
      <c r="W1995" s="35" t="str">
        <f>MID(Tabla1[[#This Row],[Aplicación]],14,2)</f>
        <v>21</v>
      </c>
      <c r="X1995" s="35" t="str">
        <f>MID(Tabla1[[#This Row],[Aplicación]],14,6)</f>
        <v>213</v>
      </c>
    </row>
    <row r="1996" spans="1:24" x14ac:dyDescent="0.25">
      <c r="A1996" s="45">
        <v>220210018824</v>
      </c>
      <c r="B1996" s="46" t="s">
        <v>9</v>
      </c>
      <c r="C1996" s="47">
        <v>44314</v>
      </c>
      <c r="D1996" s="45">
        <v>22021002021</v>
      </c>
      <c r="E1996" s="46" t="s">
        <v>3312</v>
      </c>
      <c r="F1996" s="48">
        <v>1089</v>
      </c>
      <c r="G1996" s="54" t="s">
        <v>68</v>
      </c>
      <c r="H1996" s="54" t="s">
        <v>3406</v>
      </c>
      <c r="I1996" s="53" t="s">
        <v>125</v>
      </c>
      <c r="J1996" s="54" t="s">
        <v>127</v>
      </c>
      <c r="K1996" s="54" t="s">
        <v>127</v>
      </c>
      <c r="L1996" s="54" t="s">
        <v>12</v>
      </c>
      <c r="M1996" s="54" t="s">
        <v>13</v>
      </c>
      <c r="N1996" s="54" t="s">
        <v>14</v>
      </c>
      <c r="O1996" s="49" t="s">
        <v>803</v>
      </c>
      <c r="P1996" s="54" t="s">
        <v>3392</v>
      </c>
      <c r="Q1996" s="35" t="str">
        <f>MID(Tabla1[[#This Row],[Aplicación]],14,1)</f>
        <v>2</v>
      </c>
      <c r="R1996" s="35" t="s">
        <v>495</v>
      </c>
      <c r="S1996" s="35" t="str">
        <f>MID(Tabla1[[#This Row],[Aplicación]],6,2)</f>
        <v>01</v>
      </c>
      <c r="T1996" s="35" t="str">
        <f>VLOOKUP(Tabla1[[#This Row],[AREA]],Hoja1!A:B,2,FALSE)</f>
        <v>01. Alcaldía</v>
      </c>
      <c r="U1996" s="35" t="str">
        <f>MID(Tabla1[[#This Row],[Aplicación]],9,4)</f>
        <v>9207</v>
      </c>
      <c r="V1996" s="35" t="str">
        <f>VLOOKUP(Tabla1[[#This Row],[PROGRAMA]],Hoja1!A:B,2,FALSE)</f>
        <v>9207. Gobierno y relaciones</v>
      </c>
      <c r="W1996" s="35" t="str">
        <f>MID(Tabla1[[#This Row],[Aplicación]],14,2)</f>
        <v>21</v>
      </c>
      <c r="X1996" s="35" t="str">
        <f>MID(Tabla1[[#This Row],[Aplicación]],14,6)</f>
        <v>213</v>
      </c>
    </row>
    <row r="1997" spans="1:24" x14ac:dyDescent="0.25">
      <c r="A1997" s="45">
        <v>220210028676</v>
      </c>
      <c r="B1997" s="46" t="s">
        <v>2924</v>
      </c>
      <c r="C1997" s="47">
        <v>44351</v>
      </c>
      <c r="D1997" s="45">
        <v>22021000066</v>
      </c>
      <c r="E1997" s="46" t="s">
        <v>886</v>
      </c>
      <c r="F1997" s="48">
        <v>-84.36</v>
      </c>
      <c r="G1997" s="54" t="s">
        <v>68</v>
      </c>
      <c r="H1997" s="54" t="s">
        <v>3407</v>
      </c>
      <c r="I1997" s="53" t="s">
        <v>2926</v>
      </c>
      <c r="J1997" s="54" t="s">
        <v>127</v>
      </c>
      <c r="K1997" s="54" t="s">
        <v>127</v>
      </c>
      <c r="L1997" s="54" t="s">
        <v>15</v>
      </c>
      <c r="M1997" s="54" t="s">
        <v>13</v>
      </c>
      <c r="N1997" s="54" t="s">
        <v>14</v>
      </c>
      <c r="O1997" s="49" t="s">
        <v>803</v>
      </c>
      <c r="P1997" s="54" t="s">
        <v>3392</v>
      </c>
      <c r="Q1997" s="35" t="str">
        <f>MID(Tabla1[[#This Row],[Aplicación]],14,1)</f>
        <v>2</v>
      </c>
      <c r="R1997" s="35" t="s">
        <v>495</v>
      </c>
      <c r="S1997" s="35" t="str">
        <f>MID(Tabla1[[#This Row],[Aplicación]],6,2)</f>
        <v>10</v>
      </c>
      <c r="T1997" s="35" t="str">
        <f>VLOOKUP(Tabla1[[#This Row],[AREA]],Hoja1!A:B,2,FALSE)</f>
        <v>10. Servicios sociales y mediación comunitaria</v>
      </c>
      <c r="U1997" s="35" t="str">
        <f>MID(Tabla1[[#This Row],[Aplicación]],9,4)</f>
        <v>2311</v>
      </c>
      <c r="V1997" s="35" t="str">
        <f>VLOOKUP(Tabla1[[#This Row],[PROGRAMA]],Hoja1!A:B,2,FALSE)</f>
        <v>2311. Intervención social</v>
      </c>
      <c r="W1997" s="35" t="str">
        <f>MID(Tabla1[[#This Row],[Aplicación]],14,2)</f>
        <v>21</v>
      </c>
      <c r="X1997" s="35" t="str">
        <f>MID(Tabla1[[#This Row],[Aplicación]],14,6)</f>
        <v>213</v>
      </c>
    </row>
    <row r="1998" spans="1:24" x14ac:dyDescent="0.25">
      <c r="A1998" s="45">
        <v>220210028677</v>
      </c>
      <c r="B1998" s="46" t="s">
        <v>2924</v>
      </c>
      <c r="C1998" s="47">
        <v>44351</v>
      </c>
      <c r="D1998" s="45">
        <v>22021000066</v>
      </c>
      <c r="E1998" s="46" t="s">
        <v>886</v>
      </c>
      <c r="F1998" s="48">
        <v>-84.36</v>
      </c>
      <c r="G1998" s="54" t="s">
        <v>68</v>
      </c>
      <c r="H1998" s="54" t="s">
        <v>3408</v>
      </c>
      <c r="I1998" s="53" t="s">
        <v>2926</v>
      </c>
      <c r="J1998" s="54" t="s">
        <v>127</v>
      </c>
      <c r="K1998" s="54" t="s">
        <v>127</v>
      </c>
      <c r="L1998" s="54" t="s">
        <v>15</v>
      </c>
      <c r="M1998" s="54" t="s">
        <v>13</v>
      </c>
      <c r="N1998" s="54" t="s">
        <v>14</v>
      </c>
      <c r="O1998" s="49" t="s">
        <v>803</v>
      </c>
      <c r="P1998" s="54" t="s">
        <v>3392</v>
      </c>
      <c r="Q1998" s="35" t="str">
        <f>MID(Tabla1[[#This Row],[Aplicación]],14,1)</f>
        <v>2</v>
      </c>
      <c r="R1998" s="35" t="s">
        <v>495</v>
      </c>
      <c r="S1998" s="35" t="str">
        <f>MID(Tabla1[[#This Row],[Aplicación]],6,2)</f>
        <v>10</v>
      </c>
      <c r="T1998" s="35" t="str">
        <f>VLOOKUP(Tabla1[[#This Row],[AREA]],Hoja1!A:B,2,FALSE)</f>
        <v>10. Servicios sociales y mediación comunitaria</v>
      </c>
      <c r="U1998" s="35" t="str">
        <f>MID(Tabla1[[#This Row],[Aplicación]],9,4)</f>
        <v>2311</v>
      </c>
      <c r="V1998" s="35" t="str">
        <f>VLOOKUP(Tabla1[[#This Row],[PROGRAMA]],Hoja1!A:B,2,FALSE)</f>
        <v>2311. Intervención social</v>
      </c>
      <c r="W1998" s="35" t="str">
        <f>MID(Tabla1[[#This Row],[Aplicación]],14,2)</f>
        <v>21</v>
      </c>
      <c r="X1998" s="35" t="str">
        <f>MID(Tabla1[[#This Row],[Aplicación]],14,6)</f>
        <v>213</v>
      </c>
    </row>
    <row r="1999" spans="1:24" x14ac:dyDescent="0.25">
      <c r="A1999" s="45">
        <v>220210028678</v>
      </c>
      <c r="B1999" s="46" t="s">
        <v>2924</v>
      </c>
      <c r="C1999" s="47">
        <v>44351</v>
      </c>
      <c r="D1999" s="45">
        <v>22021000066</v>
      </c>
      <c r="E1999" s="46" t="s">
        <v>886</v>
      </c>
      <c r="F1999" s="48">
        <v>-84.36</v>
      </c>
      <c r="G1999" s="54" t="s">
        <v>68</v>
      </c>
      <c r="H1999" s="54" t="s">
        <v>3409</v>
      </c>
      <c r="I1999" s="53" t="s">
        <v>2926</v>
      </c>
      <c r="J1999" s="54" t="s">
        <v>127</v>
      </c>
      <c r="K1999" s="54" t="s">
        <v>127</v>
      </c>
      <c r="L1999" s="54" t="s">
        <v>15</v>
      </c>
      <c r="M1999" s="54" t="s">
        <v>13</v>
      </c>
      <c r="N1999" s="54" t="s">
        <v>14</v>
      </c>
      <c r="O1999" s="49" t="s">
        <v>803</v>
      </c>
      <c r="P1999" s="54" t="s">
        <v>3392</v>
      </c>
      <c r="Q1999" s="35" t="str">
        <f>MID(Tabla1[[#This Row],[Aplicación]],14,1)</f>
        <v>2</v>
      </c>
      <c r="R1999" s="35" t="s">
        <v>495</v>
      </c>
      <c r="S1999" s="35" t="str">
        <f>MID(Tabla1[[#This Row],[Aplicación]],6,2)</f>
        <v>10</v>
      </c>
      <c r="T1999" s="35" t="str">
        <f>VLOOKUP(Tabla1[[#This Row],[AREA]],Hoja1!A:B,2,FALSE)</f>
        <v>10. Servicios sociales y mediación comunitaria</v>
      </c>
      <c r="U1999" s="35" t="str">
        <f>MID(Tabla1[[#This Row],[Aplicación]],9,4)</f>
        <v>2311</v>
      </c>
      <c r="V1999" s="35" t="str">
        <f>VLOOKUP(Tabla1[[#This Row],[PROGRAMA]],Hoja1!A:B,2,FALSE)</f>
        <v>2311. Intervención social</v>
      </c>
      <c r="W1999" s="35" t="str">
        <f>MID(Tabla1[[#This Row],[Aplicación]],14,2)</f>
        <v>21</v>
      </c>
      <c r="X1999" s="35" t="str">
        <f>MID(Tabla1[[#This Row],[Aplicación]],14,6)</f>
        <v>213</v>
      </c>
    </row>
    <row r="2000" spans="1:24" x14ac:dyDescent="0.25">
      <c r="A2000" s="45">
        <v>220210028679</v>
      </c>
      <c r="B2000" s="46" t="s">
        <v>2924</v>
      </c>
      <c r="C2000" s="47">
        <v>44351</v>
      </c>
      <c r="D2000" s="45">
        <v>22021000066</v>
      </c>
      <c r="E2000" s="46" t="s">
        <v>886</v>
      </c>
      <c r="F2000" s="48">
        <v>-84.36</v>
      </c>
      <c r="G2000" s="54" t="s">
        <v>68</v>
      </c>
      <c r="H2000" s="54" t="s">
        <v>3410</v>
      </c>
      <c r="I2000" s="53" t="s">
        <v>2926</v>
      </c>
      <c r="J2000" s="54" t="s">
        <v>127</v>
      </c>
      <c r="K2000" s="54" t="s">
        <v>127</v>
      </c>
      <c r="L2000" s="54" t="s">
        <v>15</v>
      </c>
      <c r="M2000" s="54" t="s">
        <v>13</v>
      </c>
      <c r="N2000" s="54" t="s">
        <v>14</v>
      </c>
      <c r="O2000" s="49" t="s">
        <v>803</v>
      </c>
      <c r="P2000" s="54" t="s">
        <v>3392</v>
      </c>
      <c r="Q2000" s="35" t="str">
        <f>MID(Tabla1[[#This Row],[Aplicación]],14,1)</f>
        <v>2</v>
      </c>
      <c r="R2000" s="35" t="s">
        <v>495</v>
      </c>
      <c r="S2000" s="35" t="str">
        <f>MID(Tabla1[[#This Row],[Aplicación]],6,2)</f>
        <v>10</v>
      </c>
      <c r="T2000" s="35" t="str">
        <f>VLOOKUP(Tabla1[[#This Row],[AREA]],Hoja1!A:B,2,FALSE)</f>
        <v>10. Servicios sociales y mediación comunitaria</v>
      </c>
      <c r="U2000" s="35" t="str">
        <f>MID(Tabla1[[#This Row],[Aplicación]],9,4)</f>
        <v>2311</v>
      </c>
      <c r="V2000" s="35" t="str">
        <f>VLOOKUP(Tabla1[[#This Row],[PROGRAMA]],Hoja1!A:B,2,FALSE)</f>
        <v>2311. Intervención social</v>
      </c>
      <c r="W2000" s="35" t="str">
        <f>MID(Tabla1[[#This Row],[Aplicación]],14,2)</f>
        <v>21</v>
      </c>
      <c r="X2000" s="35" t="str">
        <f>MID(Tabla1[[#This Row],[Aplicación]],14,6)</f>
        <v>213</v>
      </c>
    </row>
    <row r="2001" spans="1:24" x14ac:dyDescent="0.25">
      <c r="A2001" s="45">
        <v>220210028680</v>
      </c>
      <c r="B2001" s="46" t="s">
        <v>2924</v>
      </c>
      <c r="C2001" s="47">
        <v>44351</v>
      </c>
      <c r="D2001" s="45">
        <v>22021000066</v>
      </c>
      <c r="E2001" s="46" t="s">
        <v>886</v>
      </c>
      <c r="F2001" s="48">
        <v>-84.36</v>
      </c>
      <c r="G2001" s="54" t="s">
        <v>68</v>
      </c>
      <c r="H2001" s="54" t="s">
        <v>3411</v>
      </c>
      <c r="I2001" s="53" t="s">
        <v>2926</v>
      </c>
      <c r="J2001" s="54" t="s">
        <v>127</v>
      </c>
      <c r="K2001" s="54" t="s">
        <v>127</v>
      </c>
      <c r="L2001" s="54" t="s">
        <v>15</v>
      </c>
      <c r="M2001" s="54" t="s">
        <v>13</v>
      </c>
      <c r="N2001" s="54" t="s">
        <v>14</v>
      </c>
      <c r="O2001" s="49" t="s">
        <v>803</v>
      </c>
      <c r="P2001" s="54" t="s">
        <v>3392</v>
      </c>
      <c r="Q2001" s="35" t="str">
        <f>MID(Tabla1[[#This Row],[Aplicación]],14,1)</f>
        <v>2</v>
      </c>
      <c r="R2001" s="35" t="s">
        <v>495</v>
      </c>
      <c r="S2001" s="35" t="str">
        <f>MID(Tabla1[[#This Row],[Aplicación]],6,2)</f>
        <v>10</v>
      </c>
      <c r="T2001" s="35" t="str">
        <f>VLOOKUP(Tabla1[[#This Row],[AREA]],Hoja1!A:B,2,FALSE)</f>
        <v>10. Servicios sociales y mediación comunitaria</v>
      </c>
      <c r="U2001" s="35" t="str">
        <f>MID(Tabla1[[#This Row],[Aplicación]],9,4)</f>
        <v>2311</v>
      </c>
      <c r="V2001" s="35" t="str">
        <f>VLOOKUP(Tabla1[[#This Row],[PROGRAMA]],Hoja1!A:B,2,FALSE)</f>
        <v>2311. Intervención social</v>
      </c>
      <c r="W2001" s="35" t="str">
        <f>MID(Tabla1[[#This Row],[Aplicación]],14,2)</f>
        <v>21</v>
      </c>
      <c r="X2001" s="35" t="str">
        <f>MID(Tabla1[[#This Row],[Aplicación]],14,6)</f>
        <v>213</v>
      </c>
    </row>
    <row r="2002" spans="1:24" x14ac:dyDescent="0.25">
      <c r="A2002" s="45">
        <v>220210028681</v>
      </c>
      <c r="B2002" s="46" t="s">
        <v>2924</v>
      </c>
      <c r="C2002" s="47">
        <v>44351</v>
      </c>
      <c r="D2002" s="45">
        <v>22021000066</v>
      </c>
      <c r="E2002" s="46" t="s">
        <v>886</v>
      </c>
      <c r="F2002" s="48">
        <v>-84.36</v>
      </c>
      <c r="G2002" s="54" t="s">
        <v>68</v>
      </c>
      <c r="H2002" s="54" t="s">
        <v>3412</v>
      </c>
      <c r="I2002" s="53" t="s">
        <v>2926</v>
      </c>
      <c r="J2002" s="54" t="s">
        <v>127</v>
      </c>
      <c r="K2002" s="54" t="s">
        <v>127</v>
      </c>
      <c r="L2002" s="54" t="s">
        <v>15</v>
      </c>
      <c r="M2002" s="54" t="s">
        <v>13</v>
      </c>
      <c r="N2002" s="54" t="s">
        <v>14</v>
      </c>
      <c r="O2002" s="49" t="s">
        <v>803</v>
      </c>
      <c r="P2002" s="54" t="s">
        <v>3392</v>
      </c>
      <c r="Q2002" s="35" t="str">
        <f>MID(Tabla1[[#This Row],[Aplicación]],14,1)</f>
        <v>2</v>
      </c>
      <c r="R2002" s="35" t="s">
        <v>495</v>
      </c>
      <c r="S2002" s="35" t="str">
        <f>MID(Tabla1[[#This Row],[Aplicación]],6,2)</f>
        <v>10</v>
      </c>
      <c r="T2002" s="35" t="str">
        <f>VLOOKUP(Tabla1[[#This Row],[AREA]],Hoja1!A:B,2,FALSE)</f>
        <v>10. Servicios sociales y mediación comunitaria</v>
      </c>
      <c r="U2002" s="35" t="str">
        <f>MID(Tabla1[[#This Row],[Aplicación]],9,4)</f>
        <v>2311</v>
      </c>
      <c r="V2002" s="35" t="str">
        <f>VLOOKUP(Tabla1[[#This Row],[PROGRAMA]],Hoja1!A:B,2,FALSE)</f>
        <v>2311. Intervención social</v>
      </c>
      <c r="W2002" s="35" t="str">
        <f>MID(Tabla1[[#This Row],[Aplicación]],14,2)</f>
        <v>21</v>
      </c>
      <c r="X2002" s="35" t="str">
        <f>MID(Tabla1[[#This Row],[Aplicación]],14,6)</f>
        <v>213</v>
      </c>
    </row>
    <row r="2003" spans="1:24" x14ac:dyDescent="0.25">
      <c r="A2003" s="45">
        <v>220210028682</v>
      </c>
      <c r="B2003" s="46" t="s">
        <v>2924</v>
      </c>
      <c r="C2003" s="47">
        <v>44351</v>
      </c>
      <c r="D2003" s="45">
        <v>22021000066</v>
      </c>
      <c r="E2003" s="46" t="s">
        <v>886</v>
      </c>
      <c r="F2003" s="48">
        <v>-84.36</v>
      </c>
      <c r="G2003" s="54" t="s">
        <v>68</v>
      </c>
      <c r="H2003" s="54" t="s">
        <v>3413</v>
      </c>
      <c r="I2003" s="53" t="s">
        <v>2926</v>
      </c>
      <c r="J2003" s="54" t="s">
        <v>127</v>
      </c>
      <c r="K2003" s="54" t="s">
        <v>127</v>
      </c>
      <c r="L2003" s="54" t="s">
        <v>15</v>
      </c>
      <c r="M2003" s="54" t="s">
        <v>13</v>
      </c>
      <c r="N2003" s="54" t="s">
        <v>14</v>
      </c>
      <c r="O2003" s="49" t="s">
        <v>803</v>
      </c>
      <c r="P2003" s="54" t="s">
        <v>3392</v>
      </c>
      <c r="Q2003" s="35" t="str">
        <f>MID(Tabla1[[#This Row],[Aplicación]],14,1)</f>
        <v>2</v>
      </c>
      <c r="R2003" s="35" t="s">
        <v>495</v>
      </c>
      <c r="S2003" s="35" t="str">
        <f>MID(Tabla1[[#This Row],[Aplicación]],6,2)</f>
        <v>10</v>
      </c>
      <c r="T2003" s="35" t="str">
        <f>VLOOKUP(Tabla1[[#This Row],[AREA]],Hoja1!A:B,2,FALSE)</f>
        <v>10. Servicios sociales y mediación comunitaria</v>
      </c>
      <c r="U2003" s="35" t="str">
        <f>MID(Tabla1[[#This Row],[Aplicación]],9,4)</f>
        <v>2311</v>
      </c>
      <c r="V2003" s="35" t="str">
        <f>VLOOKUP(Tabla1[[#This Row],[PROGRAMA]],Hoja1!A:B,2,FALSE)</f>
        <v>2311. Intervención social</v>
      </c>
      <c r="W2003" s="35" t="str">
        <f>MID(Tabla1[[#This Row],[Aplicación]],14,2)</f>
        <v>21</v>
      </c>
      <c r="X2003" s="35" t="str">
        <f>MID(Tabla1[[#This Row],[Aplicación]],14,6)</f>
        <v>213</v>
      </c>
    </row>
    <row r="2004" spans="1:24" x14ac:dyDescent="0.25">
      <c r="A2004" s="45">
        <v>220210028683</v>
      </c>
      <c r="B2004" s="46" t="s">
        <v>2924</v>
      </c>
      <c r="C2004" s="47">
        <v>44351</v>
      </c>
      <c r="D2004" s="45">
        <v>22021000066</v>
      </c>
      <c r="E2004" s="46" t="s">
        <v>886</v>
      </c>
      <c r="F2004" s="48">
        <v>-84.36</v>
      </c>
      <c r="G2004" s="54" t="s">
        <v>68</v>
      </c>
      <c r="H2004" s="54" t="s">
        <v>3414</v>
      </c>
      <c r="I2004" s="53" t="s">
        <v>2926</v>
      </c>
      <c r="J2004" s="54" t="s">
        <v>127</v>
      </c>
      <c r="K2004" s="54" t="s">
        <v>127</v>
      </c>
      <c r="L2004" s="54" t="s">
        <v>15</v>
      </c>
      <c r="M2004" s="54" t="s">
        <v>13</v>
      </c>
      <c r="N2004" s="54" t="s">
        <v>14</v>
      </c>
      <c r="O2004" s="49" t="s">
        <v>803</v>
      </c>
      <c r="P2004" s="54" t="s">
        <v>3392</v>
      </c>
      <c r="Q2004" s="35" t="str">
        <f>MID(Tabla1[[#This Row],[Aplicación]],14,1)</f>
        <v>2</v>
      </c>
      <c r="R2004" s="35" t="s">
        <v>495</v>
      </c>
      <c r="S2004" s="35" t="str">
        <f>MID(Tabla1[[#This Row],[Aplicación]],6,2)</f>
        <v>10</v>
      </c>
      <c r="T2004" s="35" t="str">
        <f>VLOOKUP(Tabla1[[#This Row],[AREA]],Hoja1!A:B,2,FALSE)</f>
        <v>10. Servicios sociales y mediación comunitaria</v>
      </c>
      <c r="U2004" s="35" t="str">
        <f>MID(Tabla1[[#This Row],[Aplicación]],9,4)</f>
        <v>2311</v>
      </c>
      <c r="V2004" s="35" t="str">
        <f>VLOOKUP(Tabla1[[#This Row],[PROGRAMA]],Hoja1!A:B,2,FALSE)</f>
        <v>2311. Intervención social</v>
      </c>
      <c r="W2004" s="35" t="str">
        <f>MID(Tabla1[[#This Row],[Aplicación]],14,2)</f>
        <v>21</v>
      </c>
      <c r="X2004" s="35" t="str">
        <f>MID(Tabla1[[#This Row],[Aplicación]],14,6)</f>
        <v>213</v>
      </c>
    </row>
    <row r="2005" spans="1:24" x14ac:dyDescent="0.25">
      <c r="A2005" s="45">
        <v>220210028684</v>
      </c>
      <c r="B2005" s="46" t="s">
        <v>2924</v>
      </c>
      <c r="C2005" s="47">
        <v>44351</v>
      </c>
      <c r="D2005" s="45">
        <v>22021000066</v>
      </c>
      <c r="E2005" s="46" t="s">
        <v>886</v>
      </c>
      <c r="F2005" s="48">
        <v>-84.36</v>
      </c>
      <c r="G2005" s="54" t="s">
        <v>68</v>
      </c>
      <c r="H2005" s="54" t="s">
        <v>3415</v>
      </c>
      <c r="I2005" s="53" t="s">
        <v>2926</v>
      </c>
      <c r="J2005" s="54" t="s">
        <v>127</v>
      </c>
      <c r="K2005" s="54" t="s">
        <v>127</v>
      </c>
      <c r="L2005" s="54" t="s">
        <v>15</v>
      </c>
      <c r="M2005" s="54" t="s">
        <v>13</v>
      </c>
      <c r="N2005" s="54" t="s">
        <v>14</v>
      </c>
      <c r="O2005" s="49" t="s">
        <v>803</v>
      </c>
      <c r="P2005" s="54" t="s">
        <v>3392</v>
      </c>
      <c r="Q2005" s="35" t="str">
        <f>MID(Tabla1[[#This Row],[Aplicación]],14,1)</f>
        <v>2</v>
      </c>
      <c r="R2005" s="35" t="s">
        <v>495</v>
      </c>
      <c r="S2005" s="35" t="str">
        <f>MID(Tabla1[[#This Row],[Aplicación]],6,2)</f>
        <v>10</v>
      </c>
      <c r="T2005" s="35" t="str">
        <f>VLOOKUP(Tabla1[[#This Row],[AREA]],Hoja1!A:B,2,FALSE)</f>
        <v>10. Servicios sociales y mediación comunitaria</v>
      </c>
      <c r="U2005" s="35" t="str">
        <f>MID(Tabla1[[#This Row],[Aplicación]],9,4)</f>
        <v>2311</v>
      </c>
      <c r="V2005" s="35" t="str">
        <f>VLOOKUP(Tabla1[[#This Row],[PROGRAMA]],Hoja1!A:B,2,FALSE)</f>
        <v>2311. Intervención social</v>
      </c>
      <c r="W2005" s="35" t="str">
        <f>MID(Tabla1[[#This Row],[Aplicación]],14,2)</f>
        <v>21</v>
      </c>
      <c r="X2005" s="35" t="str">
        <f>MID(Tabla1[[#This Row],[Aplicación]],14,6)</f>
        <v>213</v>
      </c>
    </row>
    <row r="2006" spans="1:24" x14ac:dyDescent="0.25">
      <c r="A2006" s="45">
        <v>220210028685</v>
      </c>
      <c r="B2006" s="46" t="s">
        <v>2924</v>
      </c>
      <c r="C2006" s="47">
        <v>44351</v>
      </c>
      <c r="D2006" s="45">
        <v>22021000066</v>
      </c>
      <c r="E2006" s="46" t="s">
        <v>886</v>
      </c>
      <c r="F2006" s="48">
        <v>-84.36</v>
      </c>
      <c r="G2006" s="54" t="s">
        <v>68</v>
      </c>
      <c r="H2006" s="54" t="s">
        <v>3416</v>
      </c>
      <c r="I2006" s="53" t="s">
        <v>2926</v>
      </c>
      <c r="J2006" s="54" t="s">
        <v>127</v>
      </c>
      <c r="K2006" s="54" t="s">
        <v>127</v>
      </c>
      <c r="L2006" s="54" t="s">
        <v>15</v>
      </c>
      <c r="M2006" s="54" t="s">
        <v>13</v>
      </c>
      <c r="N2006" s="54" t="s">
        <v>14</v>
      </c>
      <c r="O2006" s="49" t="s">
        <v>803</v>
      </c>
      <c r="P2006" s="54" t="s">
        <v>3392</v>
      </c>
      <c r="Q2006" s="35" t="str">
        <f>MID(Tabla1[[#This Row],[Aplicación]],14,1)</f>
        <v>2</v>
      </c>
      <c r="R2006" s="35" t="s">
        <v>495</v>
      </c>
      <c r="S2006" s="35" t="str">
        <f>MID(Tabla1[[#This Row],[Aplicación]],6,2)</f>
        <v>10</v>
      </c>
      <c r="T2006" s="35" t="str">
        <f>VLOOKUP(Tabla1[[#This Row],[AREA]],Hoja1!A:B,2,FALSE)</f>
        <v>10. Servicios sociales y mediación comunitaria</v>
      </c>
      <c r="U2006" s="35" t="str">
        <f>MID(Tabla1[[#This Row],[Aplicación]],9,4)</f>
        <v>2311</v>
      </c>
      <c r="V2006" s="35" t="str">
        <f>VLOOKUP(Tabla1[[#This Row],[PROGRAMA]],Hoja1!A:B,2,FALSE)</f>
        <v>2311. Intervención social</v>
      </c>
      <c r="W2006" s="35" t="str">
        <f>MID(Tabla1[[#This Row],[Aplicación]],14,2)</f>
        <v>21</v>
      </c>
      <c r="X2006" s="35" t="str">
        <f>MID(Tabla1[[#This Row],[Aplicación]],14,6)</f>
        <v>213</v>
      </c>
    </row>
    <row r="2007" spans="1:24" x14ac:dyDescent="0.25">
      <c r="A2007" s="45">
        <v>220210029598</v>
      </c>
      <c r="B2007" s="46" t="s">
        <v>32</v>
      </c>
      <c r="C2007" s="47">
        <v>44355</v>
      </c>
      <c r="D2007" s="45">
        <v>22021004658</v>
      </c>
      <c r="E2007" s="46" t="s">
        <v>886</v>
      </c>
      <c r="F2007" s="48">
        <v>84.36</v>
      </c>
      <c r="G2007" s="54" t="s">
        <v>68</v>
      </c>
      <c r="H2007" s="54" t="s">
        <v>3417</v>
      </c>
      <c r="I2007" s="53" t="s">
        <v>234</v>
      </c>
      <c r="J2007" s="54" t="s">
        <v>127</v>
      </c>
      <c r="K2007" s="54" t="s">
        <v>127</v>
      </c>
      <c r="L2007" s="54" t="s">
        <v>12</v>
      </c>
      <c r="M2007" s="54" t="s">
        <v>13</v>
      </c>
      <c r="N2007" s="54" t="s">
        <v>14</v>
      </c>
      <c r="O2007" s="49" t="s">
        <v>803</v>
      </c>
      <c r="P2007" s="54" t="s">
        <v>3392</v>
      </c>
      <c r="Q2007" s="35" t="str">
        <f>MID(Tabla1[[#This Row],[Aplicación]],14,1)</f>
        <v>2</v>
      </c>
      <c r="R2007" s="35" t="s">
        <v>495</v>
      </c>
      <c r="S2007" s="35" t="str">
        <f>MID(Tabla1[[#This Row],[Aplicación]],6,2)</f>
        <v>10</v>
      </c>
      <c r="T2007" s="35" t="str">
        <f>VLOOKUP(Tabla1[[#This Row],[AREA]],Hoja1!A:B,2,FALSE)</f>
        <v>10. Servicios sociales y mediación comunitaria</v>
      </c>
      <c r="U2007" s="35" t="str">
        <f>MID(Tabla1[[#This Row],[Aplicación]],9,4)</f>
        <v>2311</v>
      </c>
      <c r="V2007" s="35" t="str">
        <f>VLOOKUP(Tabla1[[#This Row],[PROGRAMA]],Hoja1!A:B,2,FALSE)</f>
        <v>2311. Intervención social</v>
      </c>
      <c r="W2007" s="35" t="str">
        <f>MID(Tabla1[[#This Row],[Aplicación]],14,2)</f>
        <v>21</v>
      </c>
      <c r="X2007" s="35" t="str">
        <f>MID(Tabla1[[#This Row],[Aplicación]],14,6)</f>
        <v>213</v>
      </c>
    </row>
    <row r="2008" spans="1:24" x14ac:dyDescent="0.25">
      <c r="A2008" s="45">
        <v>220210014259</v>
      </c>
      <c r="B2008" s="46" t="s">
        <v>204</v>
      </c>
      <c r="C2008" s="47">
        <v>44293</v>
      </c>
      <c r="D2008" s="45">
        <v>22021002125</v>
      </c>
      <c r="E2008" s="46" t="s">
        <v>842</v>
      </c>
      <c r="F2008" s="48">
        <v>56430</v>
      </c>
      <c r="G2008" s="54" t="s">
        <v>3418</v>
      </c>
      <c r="H2008" s="54" t="s">
        <v>3419</v>
      </c>
      <c r="I2008" s="53" t="s">
        <v>205</v>
      </c>
      <c r="J2008" s="54" t="s">
        <v>127</v>
      </c>
      <c r="K2008" s="54" t="s">
        <v>127</v>
      </c>
      <c r="L2008" s="54" t="s">
        <v>12</v>
      </c>
      <c r="M2008" s="54" t="s">
        <v>13</v>
      </c>
      <c r="N2008" s="54" t="s">
        <v>16</v>
      </c>
      <c r="O2008" s="49" t="s">
        <v>803</v>
      </c>
      <c r="P2008" s="54" t="s">
        <v>3392</v>
      </c>
      <c r="Q2008" s="35" t="str">
        <f>MID(Tabla1[[#This Row],[Aplicación]],14,1)</f>
        <v>2</v>
      </c>
      <c r="R2008" s="35" t="s">
        <v>495</v>
      </c>
      <c r="S2008" s="35" t="str">
        <f>MID(Tabla1[[#This Row],[Aplicación]],6,2)</f>
        <v>06</v>
      </c>
      <c r="T2008" s="35" t="str">
        <f>VLOOKUP(Tabla1[[#This Row],[AREA]],Hoja1!A:B,2,FALSE)</f>
        <v>06. Educación, infancia, juventud e igualdad</v>
      </c>
      <c r="U2008" s="35" t="str">
        <f>MID(Tabla1[[#This Row],[Aplicación]],9,4)</f>
        <v>3261</v>
      </c>
      <c r="V2008" s="35" t="str">
        <f>VLOOKUP(Tabla1[[#This Row],[PROGRAMA]],Hoja1!A:B,2,FALSE)</f>
        <v>3261. Servicios complementarios de educación</v>
      </c>
      <c r="W2008" s="35" t="str">
        <f>MID(Tabla1[[#This Row],[Aplicación]],14,2)</f>
        <v>22</v>
      </c>
      <c r="X2008" s="35" t="str">
        <f>MID(Tabla1[[#This Row],[Aplicación]],14,6)</f>
        <v>22799</v>
      </c>
    </row>
    <row r="2009" spans="1:24" x14ac:dyDescent="0.25">
      <c r="A2009" s="45">
        <v>220210020831</v>
      </c>
      <c r="B2009" s="46" t="s">
        <v>9</v>
      </c>
      <c r="C2009" s="47">
        <v>44323</v>
      </c>
      <c r="D2009" s="45">
        <v>22021004113</v>
      </c>
      <c r="E2009" s="46" t="s">
        <v>941</v>
      </c>
      <c r="F2009" s="48">
        <v>7260</v>
      </c>
      <c r="G2009" s="54" t="s">
        <v>78</v>
      </c>
      <c r="H2009" s="54" t="s">
        <v>3420</v>
      </c>
      <c r="I2009" s="53" t="s">
        <v>125</v>
      </c>
      <c r="J2009" s="54" t="s">
        <v>694</v>
      </c>
      <c r="K2009" s="54" t="s">
        <v>187</v>
      </c>
      <c r="L2009" s="54" t="s">
        <v>15</v>
      </c>
      <c r="M2009" s="54" t="s">
        <v>13</v>
      </c>
      <c r="N2009" s="54" t="s">
        <v>16</v>
      </c>
      <c r="O2009" s="49" t="s">
        <v>803</v>
      </c>
      <c r="P2009" s="54" t="s">
        <v>3392</v>
      </c>
      <c r="Q2009" s="35" t="str">
        <f>MID(Tabla1[[#This Row],[Aplicación]],14,1)</f>
        <v>2</v>
      </c>
      <c r="R2009" s="35" t="s">
        <v>495</v>
      </c>
      <c r="S2009" s="35" t="str">
        <f>MID(Tabla1[[#This Row],[Aplicación]],6,2)</f>
        <v>06</v>
      </c>
      <c r="T2009" s="35" t="str">
        <f>VLOOKUP(Tabla1[[#This Row],[AREA]],Hoja1!A:B,2,FALSE)</f>
        <v>06. Educación, infancia, juventud e igualdad</v>
      </c>
      <c r="U2009" s="35" t="str">
        <f>MID(Tabla1[[#This Row],[Aplicación]],9,4)</f>
        <v>3232</v>
      </c>
      <c r="V2009" s="35" t="str">
        <f>VLOOKUP(Tabla1[[#This Row],[PROGRAMA]],Hoja1!A:B,2,FALSE)</f>
        <v>3232. Conservación y mantenimiento centros educación infantil y primaria</v>
      </c>
      <c r="W2009" s="35" t="str">
        <f>MID(Tabla1[[#This Row],[Aplicación]],14,2)</f>
        <v>21</v>
      </c>
      <c r="X2009" s="35" t="str">
        <f>MID(Tabla1[[#This Row],[Aplicación]],14,6)</f>
        <v>213</v>
      </c>
    </row>
    <row r="2010" spans="1:24" x14ac:dyDescent="0.25">
      <c r="A2010" s="45">
        <v>220210023541</v>
      </c>
      <c r="B2010" s="46" t="s">
        <v>204</v>
      </c>
      <c r="C2010" s="47">
        <v>44336</v>
      </c>
      <c r="D2010" s="45">
        <v>22021002199</v>
      </c>
      <c r="E2010" s="46" t="s">
        <v>1220</v>
      </c>
      <c r="F2010" s="48">
        <v>4976.6000000000004</v>
      </c>
      <c r="G2010" s="54" t="s">
        <v>78</v>
      </c>
      <c r="H2010" s="54" t="s">
        <v>3421</v>
      </c>
      <c r="I2010" s="53" t="s">
        <v>205</v>
      </c>
      <c r="J2010" s="54" t="s">
        <v>694</v>
      </c>
      <c r="K2010" s="54" t="s">
        <v>187</v>
      </c>
      <c r="L2010" s="54" t="s">
        <v>12</v>
      </c>
      <c r="M2010" s="54" t="s">
        <v>13</v>
      </c>
      <c r="N2010" s="54" t="s">
        <v>16</v>
      </c>
      <c r="O2010" s="49" t="s">
        <v>803</v>
      </c>
      <c r="P2010" s="54" t="s">
        <v>3392</v>
      </c>
      <c r="Q2010" s="35" t="str">
        <f>MID(Tabla1[[#This Row],[Aplicación]],14,1)</f>
        <v>2</v>
      </c>
      <c r="R2010" s="35" t="s">
        <v>495</v>
      </c>
      <c r="S2010" s="35" t="str">
        <f>MID(Tabla1[[#This Row],[Aplicación]],6,2)</f>
        <v>03</v>
      </c>
      <c r="T2010" s="35" t="str">
        <f>VLOOKUP(Tabla1[[#This Row],[AREA]],Hoja1!A:B,2,FALSE)</f>
        <v>03. Participación ciudadana y deportes</v>
      </c>
      <c r="U2010" s="35" t="str">
        <f>MID(Tabla1[[#This Row],[Aplicación]],9,4)</f>
        <v>9241</v>
      </c>
      <c r="V2010" s="35" t="str">
        <f>VLOOKUP(Tabla1[[#This Row],[PROGRAMA]],Hoja1!A:B,2,FALSE)</f>
        <v>9241. Participación ciudadana</v>
      </c>
      <c r="W2010" s="35" t="str">
        <f>MID(Tabla1[[#This Row],[Aplicación]],14,2)</f>
        <v>21</v>
      </c>
      <c r="X2010" s="35" t="str">
        <f>MID(Tabla1[[#This Row],[Aplicación]],14,6)</f>
        <v>213</v>
      </c>
    </row>
    <row r="2011" spans="1:24" x14ac:dyDescent="0.25">
      <c r="A2011" s="45">
        <v>220210025719</v>
      </c>
      <c r="B2011" s="46" t="s">
        <v>32</v>
      </c>
      <c r="C2011" s="47">
        <v>44343</v>
      </c>
      <c r="D2011" s="45">
        <v>22021004554</v>
      </c>
      <c r="E2011" s="46" t="s">
        <v>941</v>
      </c>
      <c r="F2011" s="48">
        <v>221.94</v>
      </c>
      <c r="G2011" s="54" t="s">
        <v>78</v>
      </c>
      <c r="H2011" s="54" t="s">
        <v>3422</v>
      </c>
      <c r="I2011" s="53" t="s">
        <v>234</v>
      </c>
      <c r="J2011" s="54" t="s">
        <v>694</v>
      </c>
      <c r="K2011" s="54" t="s">
        <v>187</v>
      </c>
      <c r="L2011" s="54" t="s">
        <v>12</v>
      </c>
      <c r="M2011" s="54" t="s">
        <v>13</v>
      </c>
      <c r="N2011" s="54" t="s">
        <v>16</v>
      </c>
      <c r="O2011" s="49" t="s">
        <v>803</v>
      </c>
      <c r="P2011" s="54" t="s">
        <v>3392</v>
      </c>
      <c r="Q2011" s="35" t="str">
        <f>MID(Tabla1[[#This Row],[Aplicación]],14,1)</f>
        <v>2</v>
      </c>
      <c r="R2011" s="35" t="s">
        <v>495</v>
      </c>
      <c r="S2011" s="35" t="str">
        <f>MID(Tabla1[[#This Row],[Aplicación]],6,2)</f>
        <v>06</v>
      </c>
      <c r="T2011" s="35" t="str">
        <f>VLOOKUP(Tabla1[[#This Row],[AREA]],Hoja1!A:B,2,FALSE)</f>
        <v>06. Educación, infancia, juventud e igualdad</v>
      </c>
      <c r="U2011" s="35" t="str">
        <f>MID(Tabla1[[#This Row],[Aplicación]],9,4)</f>
        <v>3232</v>
      </c>
      <c r="V2011" s="35" t="str">
        <f>VLOOKUP(Tabla1[[#This Row],[PROGRAMA]],Hoja1!A:B,2,FALSE)</f>
        <v>3232. Conservación y mantenimiento centros educación infantil y primaria</v>
      </c>
      <c r="W2011" s="35" t="str">
        <f>MID(Tabla1[[#This Row],[Aplicación]],14,2)</f>
        <v>21</v>
      </c>
      <c r="X2011" s="35" t="str">
        <f>MID(Tabla1[[#This Row],[Aplicación]],14,6)</f>
        <v>213</v>
      </c>
    </row>
    <row r="2012" spans="1:24" x14ac:dyDescent="0.25">
      <c r="A2012" s="45">
        <v>220210021827</v>
      </c>
      <c r="B2012" s="46" t="s">
        <v>9</v>
      </c>
      <c r="C2012" s="47">
        <v>44327</v>
      </c>
      <c r="D2012" s="45">
        <v>22021004309</v>
      </c>
      <c r="E2012" s="46" t="s">
        <v>982</v>
      </c>
      <c r="F2012" s="48">
        <v>370.41</v>
      </c>
      <c r="G2012" s="54" t="s">
        <v>43</v>
      </c>
      <c r="H2012" s="54" t="s">
        <v>3423</v>
      </c>
      <c r="I2012" s="53" t="s">
        <v>125</v>
      </c>
      <c r="J2012" s="54" t="s">
        <v>127</v>
      </c>
      <c r="K2012" s="54" t="s">
        <v>127</v>
      </c>
      <c r="L2012" s="54" t="s">
        <v>15</v>
      </c>
      <c r="M2012" s="54" t="s">
        <v>13</v>
      </c>
      <c r="N2012" s="54" t="s">
        <v>14</v>
      </c>
      <c r="O2012" s="49" t="s">
        <v>803</v>
      </c>
      <c r="P2012" s="54" t="s">
        <v>3392</v>
      </c>
      <c r="Q2012" s="35" t="str">
        <f>MID(Tabla1[[#This Row],[Aplicación]],14,1)</f>
        <v>2</v>
      </c>
      <c r="R2012" s="35" t="s">
        <v>495</v>
      </c>
      <c r="S2012" s="35" t="str">
        <f>MID(Tabla1[[#This Row],[Aplicación]],6,2)</f>
        <v>10</v>
      </c>
      <c r="T2012" s="35" t="str">
        <f>VLOOKUP(Tabla1[[#This Row],[AREA]],Hoja1!A:B,2,FALSE)</f>
        <v>10. Servicios sociales y mediación comunitaria</v>
      </c>
      <c r="U2012" s="35" t="str">
        <f>MID(Tabla1[[#This Row],[Aplicación]],9,4)</f>
        <v>2312</v>
      </c>
      <c r="V2012" s="35" t="str">
        <f>VLOOKUP(Tabla1[[#This Row],[PROGRAMA]],Hoja1!A:B,2,FALSE)</f>
        <v>2312. Iniciativas sociales</v>
      </c>
      <c r="W2012" s="35" t="str">
        <f>MID(Tabla1[[#This Row],[Aplicación]],14,2)</f>
        <v>21</v>
      </c>
      <c r="X2012" s="35" t="str">
        <f>MID(Tabla1[[#This Row],[Aplicación]],14,6)</f>
        <v>213</v>
      </c>
    </row>
    <row r="2013" spans="1:24" x14ac:dyDescent="0.25">
      <c r="A2013" s="45">
        <v>220210032811</v>
      </c>
      <c r="B2013" s="46" t="s">
        <v>9</v>
      </c>
      <c r="C2013" s="47">
        <v>44371</v>
      </c>
      <c r="D2013" s="45">
        <v>22021004983</v>
      </c>
      <c r="E2013" s="46" t="s">
        <v>982</v>
      </c>
      <c r="F2013" s="48">
        <v>277.08999999999997</v>
      </c>
      <c r="G2013" s="54" t="s">
        <v>43</v>
      </c>
      <c r="H2013" s="54" t="s">
        <v>3424</v>
      </c>
      <c r="I2013" s="53" t="s">
        <v>125</v>
      </c>
      <c r="J2013" s="54" t="s">
        <v>127</v>
      </c>
      <c r="K2013" s="54" t="s">
        <v>127</v>
      </c>
      <c r="L2013" s="54" t="s">
        <v>12</v>
      </c>
      <c r="M2013" s="54" t="s">
        <v>13</v>
      </c>
      <c r="N2013" s="54" t="s">
        <v>14</v>
      </c>
      <c r="O2013" s="49" t="s">
        <v>803</v>
      </c>
      <c r="P2013" s="54" t="s">
        <v>3392</v>
      </c>
      <c r="Q2013" s="35" t="str">
        <f>MID(Tabla1[[#This Row],[Aplicación]],14,1)</f>
        <v>2</v>
      </c>
      <c r="R2013" s="35" t="s">
        <v>495</v>
      </c>
      <c r="S2013" s="35" t="str">
        <f>MID(Tabla1[[#This Row],[Aplicación]],6,2)</f>
        <v>10</v>
      </c>
      <c r="T2013" s="35" t="str">
        <f>VLOOKUP(Tabla1[[#This Row],[AREA]],Hoja1!A:B,2,FALSE)</f>
        <v>10. Servicios sociales y mediación comunitaria</v>
      </c>
      <c r="U2013" s="35" t="str">
        <f>MID(Tabla1[[#This Row],[Aplicación]],9,4)</f>
        <v>2312</v>
      </c>
      <c r="V2013" s="35" t="str">
        <f>VLOOKUP(Tabla1[[#This Row],[PROGRAMA]],Hoja1!A:B,2,FALSE)</f>
        <v>2312. Iniciativas sociales</v>
      </c>
      <c r="W2013" s="35" t="str">
        <f>MID(Tabla1[[#This Row],[Aplicación]],14,2)</f>
        <v>21</v>
      </c>
      <c r="X2013" s="35" t="str">
        <f>MID(Tabla1[[#This Row],[Aplicación]],14,6)</f>
        <v>213</v>
      </c>
    </row>
    <row r="2014" spans="1:24" x14ac:dyDescent="0.25">
      <c r="A2014" s="45">
        <v>220210017131</v>
      </c>
      <c r="B2014" s="46" t="s">
        <v>9</v>
      </c>
      <c r="C2014" s="47">
        <v>44312</v>
      </c>
      <c r="D2014" s="45">
        <v>22021000493</v>
      </c>
      <c r="E2014" s="46" t="s">
        <v>983</v>
      </c>
      <c r="F2014" s="48">
        <v>177.31</v>
      </c>
      <c r="G2014" s="54" t="s">
        <v>43</v>
      </c>
      <c r="H2014" s="54" t="s">
        <v>3425</v>
      </c>
      <c r="I2014" s="53" t="s">
        <v>125</v>
      </c>
      <c r="J2014" s="54" t="s">
        <v>127</v>
      </c>
      <c r="K2014" s="54" t="s">
        <v>127</v>
      </c>
      <c r="L2014" s="54" t="s">
        <v>12</v>
      </c>
      <c r="M2014" s="54" t="s">
        <v>13</v>
      </c>
      <c r="N2014" s="54" t="s">
        <v>14</v>
      </c>
      <c r="O2014" s="49" t="s">
        <v>803</v>
      </c>
      <c r="P2014" s="54" t="s">
        <v>3392</v>
      </c>
      <c r="Q2014" s="35" t="str">
        <f>MID(Tabla1[[#This Row],[Aplicación]],14,1)</f>
        <v>2</v>
      </c>
      <c r="R2014" s="35" t="s">
        <v>495</v>
      </c>
      <c r="S2014" s="35" t="str">
        <f>MID(Tabla1[[#This Row],[Aplicación]],6,2)</f>
        <v>10</v>
      </c>
      <c r="T2014" s="35" t="str">
        <f>VLOOKUP(Tabla1[[#This Row],[AREA]],Hoja1!A:B,2,FALSE)</f>
        <v>10. Servicios sociales y mediación comunitaria</v>
      </c>
      <c r="U2014" s="35" t="str">
        <f>MID(Tabla1[[#This Row],[Aplicación]],9,4)</f>
        <v>2412</v>
      </c>
      <c r="V2014" s="35" t="str">
        <f>VLOOKUP(Tabla1[[#This Row],[PROGRAMA]],Hoja1!A:B,2,FALSE)</f>
        <v>2412. Formación para el empleo</v>
      </c>
      <c r="W2014" s="35" t="str">
        <f>MID(Tabla1[[#This Row],[Aplicación]],14,2)</f>
        <v>21</v>
      </c>
      <c r="X2014" s="35" t="str">
        <f>MID(Tabla1[[#This Row],[Aplicación]],14,6)</f>
        <v>213</v>
      </c>
    </row>
    <row r="2015" spans="1:24" x14ac:dyDescent="0.25">
      <c r="A2015" s="45">
        <v>220210017131</v>
      </c>
      <c r="B2015" s="46" t="s">
        <v>9</v>
      </c>
      <c r="C2015" s="47">
        <v>44312</v>
      </c>
      <c r="D2015" s="45">
        <v>22021000492</v>
      </c>
      <c r="E2015" s="46" t="s">
        <v>983</v>
      </c>
      <c r="F2015" s="48">
        <v>72.16</v>
      </c>
      <c r="G2015" s="54" t="s">
        <v>43</v>
      </c>
      <c r="H2015" s="54" t="s">
        <v>3425</v>
      </c>
      <c r="I2015" s="53" t="s">
        <v>125</v>
      </c>
      <c r="J2015" s="54" t="s">
        <v>127</v>
      </c>
      <c r="K2015" s="54" t="s">
        <v>127</v>
      </c>
      <c r="L2015" s="54" t="s">
        <v>12</v>
      </c>
      <c r="M2015" s="54" t="s">
        <v>13</v>
      </c>
      <c r="N2015" s="54" t="s">
        <v>14</v>
      </c>
      <c r="O2015" s="49" t="s">
        <v>803</v>
      </c>
      <c r="P2015" s="54" t="s">
        <v>3392</v>
      </c>
      <c r="Q2015" s="35" t="str">
        <f>MID(Tabla1[[#This Row],[Aplicación]],14,1)</f>
        <v>2</v>
      </c>
      <c r="R2015" s="35" t="s">
        <v>495</v>
      </c>
      <c r="S2015" s="35" t="str">
        <f>MID(Tabla1[[#This Row],[Aplicación]],6,2)</f>
        <v>10</v>
      </c>
      <c r="T2015" s="35" t="str">
        <f>VLOOKUP(Tabla1[[#This Row],[AREA]],Hoja1!A:B,2,FALSE)</f>
        <v>10. Servicios sociales y mediación comunitaria</v>
      </c>
      <c r="U2015" s="35" t="str">
        <f>MID(Tabla1[[#This Row],[Aplicación]],9,4)</f>
        <v>2412</v>
      </c>
      <c r="V2015" s="35" t="str">
        <f>VLOOKUP(Tabla1[[#This Row],[PROGRAMA]],Hoja1!A:B,2,FALSE)</f>
        <v>2412. Formación para el empleo</v>
      </c>
      <c r="W2015" s="35" t="str">
        <f>MID(Tabla1[[#This Row],[Aplicación]],14,2)</f>
        <v>21</v>
      </c>
      <c r="X2015" s="35" t="str">
        <f>MID(Tabla1[[#This Row],[Aplicación]],14,6)</f>
        <v>213</v>
      </c>
    </row>
    <row r="2016" spans="1:24" x14ac:dyDescent="0.25">
      <c r="A2016" s="45">
        <v>220210031334</v>
      </c>
      <c r="B2016" s="46" t="s">
        <v>204</v>
      </c>
      <c r="C2016" s="47">
        <v>44365</v>
      </c>
      <c r="D2016" s="45">
        <v>22021002503</v>
      </c>
      <c r="E2016" s="46" t="s">
        <v>1286</v>
      </c>
      <c r="F2016" s="48">
        <v>42597.4</v>
      </c>
      <c r="G2016" s="54" t="s">
        <v>3199</v>
      </c>
      <c r="H2016" s="54" t="s">
        <v>3426</v>
      </c>
      <c r="I2016" s="53" t="s">
        <v>205</v>
      </c>
      <c r="J2016" s="54" t="s">
        <v>127</v>
      </c>
      <c r="K2016" s="54" t="s">
        <v>127</v>
      </c>
      <c r="L2016" s="54" t="s">
        <v>15</v>
      </c>
      <c r="M2016" s="54" t="s">
        <v>13</v>
      </c>
      <c r="N2016" s="54" t="s">
        <v>14</v>
      </c>
      <c r="O2016" s="49" t="s">
        <v>803</v>
      </c>
      <c r="P2016" s="54" t="s">
        <v>3392</v>
      </c>
      <c r="Q2016" s="35" t="str">
        <f>MID(Tabla1[[#This Row],[Aplicación]],14,1)</f>
        <v>6</v>
      </c>
      <c r="R2016" s="35" t="s">
        <v>496</v>
      </c>
      <c r="S2016" s="35" t="str">
        <f>MID(Tabla1[[#This Row],[Aplicación]],6,2)</f>
        <v>04</v>
      </c>
      <c r="T2016" s="35" t="str">
        <f>VLOOKUP(Tabla1[[#This Row],[AREA]],Hoja1!A:B,2,FALSE)</f>
        <v>04. Planificación y recursos</v>
      </c>
      <c r="U2016" s="35" t="str">
        <f>MID(Tabla1[[#This Row],[Aplicación]],9,4)</f>
        <v>9204</v>
      </c>
      <c r="V2016" s="35" t="str">
        <f>VLOOKUP(Tabla1[[#This Row],[PROGRAMA]],Hoja1!A:B,2,FALSE)</f>
        <v>9204. Tecnologías de la información y comunicación</v>
      </c>
      <c r="W2016" s="35" t="str">
        <f>MID(Tabla1[[#This Row],[Aplicación]],14,2)</f>
        <v>64</v>
      </c>
      <c r="X2016" s="35" t="str">
        <f>MID(Tabla1[[#This Row],[Aplicación]],14,6)</f>
        <v>641</v>
      </c>
    </row>
    <row r="2017" spans="1:24" x14ac:dyDescent="0.25">
      <c r="A2017" s="45">
        <v>220210014569</v>
      </c>
      <c r="B2017" s="46" t="s">
        <v>9</v>
      </c>
      <c r="C2017" s="47">
        <v>44295</v>
      </c>
      <c r="D2017" s="45">
        <v>22021002848</v>
      </c>
      <c r="E2017" s="46" t="s">
        <v>1286</v>
      </c>
      <c r="F2017" s="48">
        <v>6250</v>
      </c>
      <c r="G2017" s="54" t="s">
        <v>227</v>
      </c>
      <c r="H2017" s="54" t="s">
        <v>3427</v>
      </c>
      <c r="I2017" s="53" t="s">
        <v>125</v>
      </c>
      <c r="J2017" s="54" t="s">
        <v>669</v>
      </c>
      <c r="K2017" s="54" t="s">
        <v>136</v>
      </c>
      <c r="L2017" s="54" t="s">
        <v>12</v>
      </c>
      <c r="M2017" s="54" t="s">
        <v>13</v>
      </c>
      <c r="N2017" s="54" t="s">
        <v>14</v>
      </c>
      <c r="O2017" s="49" t="s">
        <v>803</v>
      </c>
      <c r="P2017" s="54" t="s">
        <v>3392</v>
      </c>
      <c r="Q2017" s="35" t="str">
        <f>MID(Tabla1[[#This Row],[Aplicación]],14,1)</f>
        <v>6</v>
      </c>
      <c r="R2017" s="35" t="s">
        <v>496</v>
      </c>
      <c r="S2017" s="35" t="str">
        <f>MID(Tabla1[[#This Row],[Aplicación]],6,2)</f>
        <v>04</v>
      </c>
      <c r="T2017" s="35" t="str">
        <f>VLOOKUP(Tabla1[[#This Row],[AREA]],Hoja1!A:B,2,FALSE)</f>
        <v>04. Planificación y recursos</v>
      </c>
      <c r="U2017" s="35" t="str">
        <f>MID(Tabla1[[#This Row],[Aplicación]],9,4)</f>
        <v>9204</v>
      </c>
      <c r="V2017" s="35" t="str">
        <f>VLOOKUP(Tabla1[[#This Row],[PROGRAMA]],Hoja1!A:B,2,FALSE)</f>
        <v>9204. Tecnologías de la información y comunicación</v>
      </c>
      <c r="W2017" s="35" t="str">
        <f>MID(Tabla1[[#This Row],[Aplicación]],14,2)</f>
        <v>64</v>
      </c>
      <c r="X2017" s="35" t="str">
        <f>MID(Tabla1[[#This Row],[Aplicación]],14,6)</f>
        <v>641</v>
      </c>
    </row>
    <row r="2018" spans="1:24" x14ac:dyDescent="0.25">
      <c r="A2018" s="45">
        <v>220210022384</v>
      </c>
      <c r="B2018" s="46" t="s">
        <v>9</v>
      </c>
      <c r="C2018" s="47">
        <v>44328</v>
      </c>
      <c r="D2018" s="45">
        <v>22021003907</v>
      </c>
      <c r="E2018" s="46" t="s">
        <v>1300</v>
      </c>
      <c r="F2018" s="48">
        <v>3151.12</v>
      </c>
      <c r="G2018" s="54" t="s">
        <v>576</v>
      </c>
      <c r="H2018" s="54" t="s">
        <v>3428</v>
      </c>
      <c r="I2018" s="53" t="s">
        <v>125</v>
      </c>
      <c r="J2018" s="54" t="s">
        <v>623</v>
      </c>
      <c r="K2018" s="54" t="s">
        <v>201</v>
      </c>
      <c r="L2018" s="54" t="s">
        <v>3429</v>
      </c>
      <c r="M2018" s="54" t="s">
        <v>13</v>
      </c>
      <c r="N2018" s="54" t="s">
        <v>11</v>
      </c>
      <c r="O2018" s="49" t="s">
        <v>803</v>
      </c>
      <c r="P2018" s="54" t="s">
        <v>3392</v>
      </c>
      <c r="Q2018" s="35" t="str">
        <f>MID(Tabla1[[#This Row],[Aplicación]],14,1)</f>
        <v>2</v>
      </c>
      <c r="R2018" s="35" t="s">
        <v>495</v>
      </c>
      <c r="S2018" s="35" t="str">
        <f>MID(Tabla1[[#This Row],[Aplicación]],6,2)</f>
        <v>04</v>
      </c>
      <c r="T2018" s="35" t="str">
        <f>VLOOKUP(Tabla1[[#This Row],[AREA]],Hoja1!A:B,2,FALSE)</f>
        <v>04. Planificación y recursos</v>
      </c>
      <c r="U2018" s="35" t="str">
        <f>MID(Tabla1[[#This Row],[Aplicación]],9,4)</f>
        <v>9331</v>
      </c>
      <c r="V2018" s="35" t="str">
        <f>VLOOKUP(Tabla1[[#This Row],[PROGRAMA]],Hoja1!A:B,2,FALSE)</f>
        <v>9331. Gestión del patrimonio</v>
      </c>
      <c r="W2018" s="35" t="str">
        <f>MID(Tabla1[[#This Row],[Aplicación]],14,2)</f>
        <v>22</v>
      </c>
      <c r="X2018" s="35" t="str">
        <f>MID(Tabla1[[#This Row],[Aplicación]],14,6)</f>
        <v>224</v>
      </c>
    </row>
    <row r="2019" spans="1:24" x14ac:dyDescent="0.25">
      <c r="A2019" s="45">
        <v>220210022385</v>
      </c>
      <c r="B2019" s="46" t="s">
        <v>9</v>
      </c>
      <c r="C2019" s="47">
        <v>44328</v>
      </c>
      <c r="D2019" s="45">
        <v>22021003908</v>
      </c>
      <c r="E2019" s="46" t="s">
        <v>1300</v>
      </c>
      <c r="F2019" s="48">
        <v>795.94</v>
      </c>
      <c r="G2019" s="54" t="s">
        <v>576</v>
      </c>
      <c r="H2019" s="54" t="s">
        <v>3430</v>
      </c>
      <c r="I2019" s="53" t="s">
        <v>125</v>
      </c>
      <c r="J2019" s="54" t="s">
        <v>623</v>
      </c>
      <c r="K2019" s="54" t="s">
        <v>201</v>
      </c>
      <c r="L2019" s="54" t="s">
        <v>3429</v>
      </c>
      <c r="M2019" s="54" t="s">
        <v>13</v>
      </c>
      <c r="N2019" s="54" t="s">
        <v>14</v>
      </c>
      <c r="O2019" s="49" t="s">
        <v>803</v>
      </c>
      <c r="P2019" s="54" t="s">
        <v>3392</v>
      </c>
      <c r="Q2019" s="35" t="str">
        <f>MID(Tabla1[[#This Row],[Aplicación]],14,1)</f>
        <v>2</v>
      </c>
      <c r="R2019" s="35" t="s">
        <v>495</v>
      </c>
      <c r="S2019" s="35" t="str">
        <f>MID(Tabla1[[#This Row],[Aplicación]],6,2)</f>
        <v>04</v>
      </c>
      <c r="T2019" s="35" t="str">
        <f>VLOOKUP(Tabla1[[#This Row],[AREA]],Hoja1!A:B,2,FALSE)</f>
        <v>04. Planificación y recursos</v>
      </c>
      <c r="U2019" s="35" t="str">
        <f>MID(Tabla1[[#This Row],[Aplicación]],9,4)</f>
        <v>9331</v>
      </c>
      <c r="V2019" s="35" t="str">
        <f>VLOOKUP(Tabla1[[#This Row],[PROGRAMA]],Hoja1!A:B,2,FALSE)</f>
        <v>9331. Gestión del patrimonio</v>
      </c>
      <c r="W2019" s="35" t="str">
        <f>MID(Tabla1[[#This Row],[Aplicación]],14,2)</f>
        <v>22</v>
      </c>
      <c r="X2019" s="35" t="str">
        <f>MID(Tabla1[[#This Row],[Aplicación]],14,6)</f>
        <v>224</v>
      </c>
    </row>
    <row r="2020" spans="1:24" x14ac:dyDescent="0.25">
      <c r="A2020" s="45">
        <v>220210025616</v>
      </c>
      <c r="B2020" s="46" t="s">
        <v>204</v>
      </c>
      <c r="C2020" s="47">
        <v>44342</v>
      </c>
      <c r="D2020" s="45">
        <v>22021003374</v>
      </c>
      <c r="E2020" s="46" t="s">
        <v>3313</v>
      </c>
      <c r="F2020" s="48">
        <v>61950.79</v>
      </c>
      <c r="G2020" s="54" t="s">
        <v>3431</v>
      </c>
      <c r="H2020" s="54" t="s">
        <v>3432</v>
      </c>
      <c r="I2020" s="53" t="s">
        <v>205</v>
      </c>
      <c r="J2020" s="54" t="s">
        <v>127</v>
      </c>
      <c r="K2020" s="54" t="s">
        <v>127</v>
      </c>
      <c r="L2020" s="54" t="s">
        <v>15</v>
      </c>
      <c r="M2020" s="54" t="s">
        <v>13</v>
      </c>
      <c r="N2020" s="54" t="s">
        <v>16</v>
      </c>
      <c r="O2020" s="49" t="s">
        <v>803</v>
      </c>
      <c r="P2020" s="54" t="s">
        <v>3392</v>
      </c>
      <c r="Q2020" s="35" t="str">
        <f>MID(Tabla1[[#This Row],[Aplicación]],14,1)</f>
        <v>6</v>
      </c>
      <c r="R2020" s="35" t="s">
        <v>496</v>
      </c>
      <c r="S2020" s="35" t="str">
        <f>MID(Tabla1[[#This Row],[Aplicación]],6,2)</f>
        <v>06</v>
      </c>
      <c r="T2020" s="35" t="str">
        <f>VLOOKUP(Tabla1[[#This Row],[AREA]],Hoja1!A:B,2,FALSE)</f>
        <v>06. Educación, infancia, juventud e igualdad</v>
      </c>
      <c r="U2020" s="35" t="str">
        <f>MID(Tabla1[[#This Row],[Aplicación]],9,4)</f>
        <v>3232</v>
      </c>
      <c r="V2020" s="35" t="str">
        <f>VLOOKUP(Tabla1[[#This Row],[PROGRAMA]],Hoja1!A:B,2,FALSE)</f>
        <v>3232. Conservación y mantenimiento centros educación infantil y primaria</v>
      </c>
      <c r="W2020" s="35" t="str">
        <f>MID(Tabla1[[#This Row],[Aplicación]],14,2)</f>
        <v>63</v>
      </c>
      <c r="X2020" s="35" t="str">
        <f>MID(Tabla1[[#This Row],[Aplicación]],14,6)</f>
        <v>633</v>
      </c>
    </row>
    <row r="2021" spans="1:24" x14ac:dyDescent="0.25">
      <c r="A2021" s="45">
        <v>220210017130</v>
      </c>
      <c r="B2021" s="46" t="s">
        <v>9</v>
      </c>
      <c r="C2021" s="47">
        <v>44312</v>
      </c>
      <c r="D2021" s="45">
        <v>22021000550</v>
      </c>
      <c r="E2021" s="46" t="s">
        <v>983</v>
      </c>
      <c r="F2021" s="48">
        <v>583.34</v>
      </c>
      <c r="G2021" s="54" t="s">
        <v>85</v>
      </c>
      <c r="H2021" s="54" t="s">
        <v>3433</v>
      </c>
      <c r="I2021" s="53" t="s">
        <v>125</v>
      </c>
      <c r="J2021" s="54" t="s">
        <v>127</v>
      </c>
      <c r="K2021" s="54" t="s">
        <v>127</v>
      </c>
      <c r="L2021" s="54" t="s">
        <v>12</v>
      </c>
      <c r="M2021" s="54" t="s">
        <v>13</v>
      </c>
      <c r="N2021" s="54" t="s">
        <v>14</v>
      </c>
      <c r="O2021" s="49" t="s">
        <v>803</v>
      </c>
      <c r="P2021" s="54" t="s">
        <v>3392</v>
      </c>
      <c r="Q2021" s="35" t="str">
        <f>MID(Tabla1[[#This Row],[Aplicación]],14,1)</f>
        <v>2</v>
      </c>
      <c r="R2021" s="35" t="s">
        <v>495</v>
      </c>
      <c r="S2021" s="35" t="str">
        <f>MID(Tabla1[[#This Row],[Aplicación]],6,2)</f>
        <v>10</v>
      </c>
      <c r="T2021" s="35" t="str">
        <f>VLOOKUP(Tabla1[[#This Row],[AREA]],Hoja1!A:B,2,FALSE)</f>
        <v>10. Servicios sociales y mediación comunitaria</v>
      </c>
      <c r="U2021" s="35" t="str">
        <f>MID(Tabla1[[#This Row],[Aplicación]],9,4)</f>
        <v>2412</v>
      </c>
      <c r="V2021" s="35" t="str">
        <f>VLOOKUP(Tabla1[[#This Row],[PROGRAMA]],Hoja1!A:B,2,FALSE)</f>
        <v>2412. Formación para el empleo</v>
      </c>
      <c r="W2021" s="35" t="str">
        <f>MID(Tabla1[[#This Row],[Aplicación]],14,2)</f>
        <v>21</v>
      </c>
      <c r="X2021" s="35" t="str">
        <f>MID(Tabla1[[#This Row],[Aplicación]],14,6)</f>
        <v>213</v>
      </c>
    </row>
    <row r="2022" spans="1:24" x14ac:dyDescent="0.25">
      <c r="A2022" s="45">
        <v>220210017130</v>
      </c>
      <c r="B2022" s="46" t="s">
        <v>9</v>
      </c>
      <c r="C2022" s="47">
        <v>44312</v>
      </c>
      <c r="D2022" s="45">
        <v>22021000549</v>
      </c>
      <c r="E2022" s="46" t="s">
        <v>983</v>
      </c>
      <c r="F2022" s="48">
        <v>237.49</v>
      </c>
      <c r="G2022" s="54" t="s">
        <v>85</v>
      </c>
      <c r="H2022" s="54" t="s">
        <v>3433</v>
      </c>
      <c r="I2022" s="53" t="s">
        <v>125</v>
      </c>
      <c r="J2022" s="54" t="s">
        <v>127</v>
      </c>
      <c r="K2022" s="54" t="s">
        <v>127</v>
      </c>
      <c r="L2022" s="54" t="s">
        <v>12</v>
      </c>
      <c r="M2022" s="54" t="s">
        <v>13</v>
      </c>
      <c r="N2022" s="54" t="s">
        <v>14</v>
      </c>
      <c r="O2022" s="49" t="s">
        <v>803</v>
      </c>
      <c r="P2022" s="54" t="s">
        <v>3392</v>
      </c>
      <c r="Q2022" s="35" t="str">
        <f>MID(Tabla1[[#This Row],[Aplicación]],14,1)</f>
        <v>2</v>
      </c>
      <c r="R2022" s="35" t="s">
        <v>495</v>
      </c>
      <c r="S2022" s="35" t="str">
        <f>MID(Tabla1[[#This Row],[Aplicación]],6,2)</f>
        <v>10</v>
      </c>
      <c r="T2022" s="35" t="str">
        <f>VLOOKUP(Tabla1[[#This Row],[AREA]],Hoja1!A:B,2,FALSE)</f>
        <v>10. Servicios sociales y mediación comunitaria</v>
      </c>
      <c r="U2022" s="35" t="str">
        <f>MID(Tabla1[[#This Row],[Aplicación]],9,4)</f>
        <v>2412</v>
      </c>
      <c r="V2022" s="35" t="str">
        <f>VLOOKUP(Tabla1[[#This Row],[PROGRAMA]],Hoja1!A:B,2,FALSE)</f>
        <v>2412. Formación para el empleo</v>
      </c>
      <c r="W2022" s="35" t="str">
        <f>MID(Tabla1[[#This Row],[Aplicación]],14,2)</f>
        <v>21</v>
      </c>
      <c r="X2022" s="35" t="str">
        <f>MID(Tabla1[[#This Row],[Aplicación]],14,6)</f>
        <v>213</v>
      </c>
    </row>
    <row r="2023" spans="1:24" x14ac:dyDescent="0.25">
      <c r="A2023" s="45">
        <v>220210017130</v>
      </c>
      <c r="B2023" s="46" t="s">
        <v>9</v>
      </c>
      <c r="C2023" s="47">
        <v>44312</v>
      </c>
      <c r="D2023" s="45">
        <v>22021000551</v>
      </c>
      <c r="E2023" s="46" t="s">
        <v>983</v>
      </c>
      <c r="F2023" s="48">
        <v>220.88</v>
      </c>
      <c r="G2023" s="54" t="s">
        <v>85</v>
      </c>
      <c r="H2023" s="54" t="s">
        <v>3433</v>
      </c>
      <c r="I2023" s="53" t="s">
        <v>125</v>
      </c>
      <c r="J2023" s="54" t="s">
        <v>127</v>
      </c>
      <c r="K2023" s="54" t="s">
        <v>127</v>
      </c>
      <c r="L2023" s="54" t="s">
        <v>12</v>
      </c>
      <c r="M2023" s="54" t="s">
        <v>13</v>
      </c>
      <c r="N2023" s="54" t="s">
        <v>14</v>
      </c>
      <c r="O2023" s="49" t="s">
        <v>803</v>
      </c>
      <c r="P2023" s="54" t="s">
        <v>3392</v>
      </c>
      <c r="Q2023" s="35" t="str">
        <f>MID(Tabla1[[#This Row],[Aplicación]],14,1)</f>
        <v>2</v>
      </c>
      <c r="R2023" s="35" t="s">
        <v>495</v>
      </c>
      <c r="S2023" s="35" t="str">
        <f>MID(Tabla1[[#This Row],[Aplicación]],6,2)</f>
        <v>10</v>
      </c>
      <c r="T2023" s="35" t="str">
        <f>VLOOKUP(Tabla1[[#This Row],[AREA]],Hoja1!A:B,2,FALSE)</f>
        <v>10. Servicios sociales y mediación comunitaria</v>
      </c>
      <c r="U2023" s="35" t="str">
        <f>MID(Tabla1[[#This Row],[Aplicación]],9,4)</f>
        <v>2412</v>
      </c>
      <c r="V2023" s="35" t="str">
        <f>VLOOKUP(Tabla1[[#This Row],[PROGRAMA]],Hoja1!A:B,2,FALSE)</f>
        <v>2412. Formación para el empleo</v>
      </c>
      <c r="W2023" s="35" t="str">
        <f>MID(Tabla1[[#This Row],[Aplicación]],14,2)</f>
        <v>21</v>
      </c>
      <c r="X2023" s="35" t="str">
        <f>MID(Tabla1[[#This Row],[Aplicación]],14,6)</f>
        <v>213</v>
      </c>
    </row>
    <row r="2024" spans="1:24" x14ac:dyDescent="0.25">
      <c r="A2024" s="45">
        <v>220210017130</v>
      </c>
      <c r="B2024" s="46" t="s">
        <v>9</v>
      </c>
      <c r="C2024" s="47">
        <v>44312</v>
      </c>
      <c r="D2024" s="45">
        <v>22021000548</v>
      </c>
      <c r="E2024" s="46" t="s">
        <v>983</v>
      </c>
      <c r="F2024" s="48">
        <v>83.32</v>
      </c>
      <c r="G2024" s="54" t="s">
        <v>85</v>
      </c>
      <c r="H2024" s="54" t="s">
        <v>3433</v>
      </c>
      <c r="I2024" s="53" t="s">
        <v>125</v>
      </c>
      <c r="J2024" s="54" t="s">
        <v>127</v>
      </c>
      <c r="K2024" s="54" t="s">
        <v>127</v>
      </c>
      <c r="L2024" s="54" t="s">
        <v>12</v>
      </c>
      <c r="M2024" s="54" t="s">
        <v>13</v>
      </c>
      <c r="N2024" s="54" t="s">
        <v>14</v>
      </c>
      <c r="O2024" s="49" t="s">
        <v>803</v>
      </c>
      <c r="P2024" s="54" t="s">
        <v>3392</v>
      </c>
      <c r="Q2024" s="35" t="str">
        <f>MID(Tabla1[[#This Row],[Aplicación]],14,1)</f>
        <v>2</v>
      </c>
      <c r="R2024" s="35" t="s">
        <v>495</v>
      </c>
      <c r="S2024" s="35" t="str">
        <f>MID(Tabla1[[#This Row],[Aplicación]],6,2)</f>
        <v>10</v>
      </c>
      <c r="T2024" s="35" t="str">
        <f>VLOOKUP(Tabla1[[#This Row],[AREA]],Hoja1!A:B,2,FALSE)</f>
        <v>10. Servicios sociales y mediación comunitaria</v>
      </c>
      <c r="U2024" s="35" t="str">
        <f>MID(Tabla1[[#This Row],[Aplicación]],9,4)</f>
        <v>2412</v>
      </c>
      <c r="V2024" s="35" t="str">
        <f>VLOOKUP(Tabla1[[#This Row],[PROGRAMA]],Hoja1!A:B,2,FALSE)</f>
        <v>2412. Formación para el empleo</v>
      </c>
      <c r="W2024" s="35" t="str">
        <f>MID(Tabla1[[#This Row],[Aplicación]],14,2)</f>
        <v>21</v>
      </c>
      <c r="X2024" s="35" t="str">
        <f>MID(Tabla1[[#This Row],[Aplicación]],14,6)</f>
        <v>213</v>
      </c>
    </row>
    <row r="2025" spans="1:24" x14ac:dyDescent="0.25">
      <c r="A2025" s="45">
        <v>220210031102</v>
      </c>
      <c r="B2025" s="46" t="s">
        <v>501</v>
      </c>
      <c r="C2025" s="47">
        <v>44361</v>
      </c>
      <c r="D2025" s="45">
        <v>22021000239</v>
      </c>
      <c r="E2025" s="46" t="s">
        <v>1452</v>
      </c>
      <c r="F2025" s="48">
        <v>-28239.81</v>
      </c>
      <c r="G2025" s="54" t="s">
        <v>151</v>
      </c>
      <c r="H2025" s="54" t="s">
        <v>1453</v>
      </c>
      <c r="I2025" s="53" t="s">
        <v>125</v>
      </c>
      <c r="J2025" s="54" t="s">
        <v>127</v>
      </c>
      <c r="K2025" s="54" t="s">
        <v>127</v>
      </c>
      <c r="L2025" s="54" t="s">
        <v>15</v>
      </c>
      <c r="M2025" s="54" t="s">
        <v>13</v>
      </c>
      <c r="N2025" s="54" t="s">
        <v>14</v>
      </c>
      <c r="O2025" s="49" t="s">
        <v>803</v>
      </c>
      <c r="P2025" s="54" t="s">
        <v>3392</v>
      </c>
      <c r="Q2025" s="35" t="str">
        <f>MID(Tabla1[[#This Row],[Aplicación]],14,1)</f>
        <v>2</v>
      </c>
      <c r="R2025" s="35" t="s">
        <v>495</v>
      </c>
      <c r="S2025" s="35" t="str">
        <f>MID(Tabla1[[#This Row],[Aplicación]],6,2)</f>
        <v>08</v>
      </c>
      <c r="T2025" s="35" t="str">
        <f>VLOOKUP(Tabla1[[#This Row],[AREA]],Hoja1!A:B,2,FALSE)</f>
        <v>08. Movilidad y espacio urbano</v>
      </c>
      <c r="U2025" s="35" t="str">
        <f>MID(Tabla1[[#This Row],[Aplicación]],9,4)</f>
        <v>1651</v>
      </c>
      <c r="V2025" s="35" t="str">
        <f>VLOOKUP(Tabla1[[#This Row],[PROGRAMA]],Hoja1!A:B,2,FALSE)</f>
        <v>1651. Alumbrado público</v>
      </c>
      <c r="W2025" s="35" t="str">
        <f>MID(Tabla1[[#This Row],[Aplicación]],14,2)</f>
        <v>21</v>
      </c>
      <c r="X2025" s="35" t="str">
        <f>MID(Tabla1[[#This Row],[Aplicación]],14,6)</f>
        <v>213</v>
      </c>
    </row>
    <row r="2026" spans="1:24" x14ac:dyDescent="0.25">
      <c r="A2026" s="45">
        <v>220210032891</v>
      </c>
      <c r="B2026" s="46" t="s">
        <v>9</v>
      </c>
      <c r="C2026" s="47">
        <v>44372</v>
      </c>
      <c r="D2026" s="45">
        <v>22021004674</v>
      </c>
      <c r="E2026" s="46" t="s">
        <v>1487</v>
      </c>
      <c r="F2026" s="48">
        <v>1500000</v>
      </c>
      <c r="G2026" s="54" t="s">
        <v>3434</v>
      </c>
      <c r="H2026" s="54" t="s">
        <v>3435</v>
      </c>
      <c r="I2026" s="53" t="s">
        <v>125</v>
      </c>
      <c r="J2026" s="54" t="s">
        <v>127</v>
      </c>
      <c r="K2026" s="54" t="s">
        <v>127</v>
      </c>
      <c r="L2026" s="54" t="s">
        <v>31</v>
      </c>
      <c r="M2026" s="54" t="s">
        <v>13</v>
      </c>
      <c r="N2026" s="54" t="s">
        <v>14</v>
      </c>
      <c r="O2026" s="49" t="s">
        <v>803</v>
      </c>
      <c r="P2026" s="54" t="s">
        <v>3392</v>
      </c>
      <c r="Q2026" s="35" t="str">
        <f>MID(Tabla1[[#This Row],[Aplicación]],14,1)</f>
        <v>6</v>
      </c>
      <c r="R2026" s="35" t="s">
        <v>496</v>
      </c>
      <c r="S2026" s="35" t="str">
        <f>MID(Tabla1[[#This Row],[Aplicación]],6,2)</f>
        <v>08</v>
      </c>
      <c r="T2026" s="35" t="str">
        <f>VLOOKUP(Tabla1[[#This Row],[AREA]],Hoja1!A:B,2,FALSE)</f>
        <v>08. Movilidad y espacio urbano</v>
      </c>
      <c r="U2026" s="35" t="str">
        <f>MID(Tabla1[[#This Row],[Aplicación]],9,4)</f>
        <v>1532</v>
      </c>
      <c r="V2026" s="35" t="str">
        <f>VLOOKUP(Tabla1[[#This Row],[PROGRAMA]],Hoja1!A:B,2,FALSE)</f>
        <v>1532. Pavimentación vias públicas y otros servicios urbanísticos</v>
      </c>
      <c r="W2026" s="35" t="str">
        <f>MID(Tabla1[[#This Row],[Aplicación]],14,2)</f>
        <v>61</v>
      </c>
      <c r="X2026" s="35" t="str">
        <f>MID(Tabla1[[#This Row],[Aplicación]],14,6)</f>
        <v>619</v>
      </c>
    </row>
    <row r="2027" spans="1:24" x14ac:dyDescent="0.25">
      <c r="A2027" s="45">
        <v>220210016062</v>
      </c>
      <c r="B2027" s="46" t="s">
        <v>9</v>
      </c>
      <c r="C2027" s="47">
        <v>44305</v>
      </c>
      <c r="D2027" s="45">
        <v>22021003575</v>
      </c>
      <c r="E2027" s="46" t="s">
        <v>1724</v>
      </c>
      <c r="F2027" s="48">
        <v>182534.98</v>
      </c>
      <c r="G2027" s="54" t="s">
        <v>3436</v>
      </c>
      <c r="H2027" s="54" t="s">
        <v>3437</v>
      </c>
      <c r="I2027" s="53" t="s">
        <v>125</v>
      </c>
      <c r="J2027" s="54" t="s">
        <v>126</v>
      </c>
      <c r="K2027" s="54" t="s">
        <v>126</v>
      </c>
      <c r="L2027" s="54" t="s">
        <v>12</v>
      </c>
      <c r="M2027" s="54" t="s">
        <v>13</v>
      </c>
      <c r="N2027" s="54" t="s">
        <v>14</v>
      </c>
      <c r="O2027" s="49" t="s">
        <v>803</v>
      </c>
      <c r="P2027" s="54" t="s">
        <v>3392</v>
      </c>
      <c r="Q2027" s="35" t="str">
        <f>MID(Tabla1[[#This Row],[Aplicación]],14,1)</f>
        <v>6</v>
      </c>
      <c r="R2027" s="35" t="s">
        <v>496</v>
      </c>
      <c r="S2027" s="35" t="str">
        <f>MID(Tabla1[[#This Row],[Aplicación]],6,2)</f>
        <v>07</v>
      </c>
      <c r="T2027" s="35" t="str">
        <f>VLOOKUP(Tabla1[[#This Row],[AREA]],Hoja1!A:B,2,FALSE)</f>
        <v>07. Medio ambiente y desarrollo sostenible</v>
      </c>
      <c r="U2027" s="35" t="str">
        <f>MID(Tabla1[[#This Row],[Aplicación]],9,4)</f>
        <v>1711</v>
      </c>
      <c r="V2027" s="35" t="str">
        <f>VLOOKUP(Tabla1[[#This Row],[PROGRAMA]],Hoja1!A:B,2,FALSE)</f>
        <v>1711. Parques y jardines</v>
      </c>
      <c r="W2027" s="35" t="str">
        <f>MID(Tabla1[[#This Row],[Aplicación]],14,2)</f>
        <v>61</v>
      </c>
      <c r="X2027" s="35" t="str">
        <f>MID(Tabla1[[#This Row],[Aplicación]],14,6)</f>
        <v>619</v>
      </c>
    </row>
    <row r="2028" spans="1:24" x14ac:dyDescent="0.25">
      <c r="A2028" s="45">
        <v>220210018823</v>
      </c>
      <c r="B2028" s="46" t="s">
        <v>501</v>
      </c>
      <c r="C2028" s="47">
        <v>44314</v>
      </c>
      <c r="D2028" s="45">
        <v>22021000526</v>
      </c>
      <c r="E2028" s="46" t="s">
        <v>1724</v>
      </c>
      <c r="F2028" s="48">
        <v>-182534.98</v>
      </c>
      <c r="G2028" s="54" t="s">
        <v>226</v>
      </c>
      <c r="H2028" s="54" t="s">
        <v>3438</v>
      </c>
      <c r="I2028" s="53" t="s">
        <v>125</v>
      </c>
      <c r="J2028" s="54" t="s">
        <v>126</v>
      </c>
      <c r="K2028" s="54" t="s">
        <v>126</v>
      </c>
      <c r="L2028" s="54" t="s">
        <v>12</v>
      </c>
      <c r="M2028" s="54" t="s">
        <v>13</v>
      </c>
      <c r="N2028" s="54" t="s">
        <v>14</v>
      </c>
      <c r="O2028" s="49" t="s">
        <v>803</v>
      </c>
      <c r="P2028" s="54" t="s">
        <v>3392</v>
      </c>
      <c r="Q2028" s="35" t="str">
        <f>MID(Tabla1[[#This Row],[Aplicación]],14,1)</f>
        <v>6</v>
      </c>
      <c r="R2028" s="35" t="s">
        <v>496</v>
      </c>
      <c r="S2028" s="35" t="str">
        <f>MID(Tabla1[[#This Row],[Aplicación]],6,2)</f>
        <v>07</v>
      </c>
      <c r="T2028" s="35" t="str">
        <f>VLOOKUP(Tabla1[[#This Row],[AREA]],Hoja1!A:B,2,FALSE)</f>
        <v>07. Medio ambiente y desarrollo sostenible</v>
      </c>
      <c r="U2028" s="35" t="str">
        <f>MID(Tabla1[[#This Row],[Aplicación]],9,4)</f>
        <v>1711</v>
      </c>
      <c r="V2028" s="35" t="str">
        <f>VLOOKUP(Tabla1[[#This Row],[PROGRAMA]],Hoja1!A:B,2,FALSE)</f>
        <v>1711. Parques y jardines</v>
      </c>
      <c r="W2028" s="35" t="str">
        <f>MID(Tabla1[[#This Row],[Aplicación]],14,2)</f>
        <v>61</v>
      </c>
      <c r="X2028" s="35" t="str">
        <f>MID(Tabla1[[#This Row],[Aplicación]],14,6)</f>
        <v>619</v>
      </c>
    </row>
    <row r="2029" spans="1:24" x14ac:dyDescent="0.25">
      <c r="A2029" s="45">
        <v>220210015895</v>
      </c>
      <c r="B2029" s="46" t="s">
        <v>9</v>
      </c>
      <c r="C2029" s="47">
        <v>44305</v>
      </c>
      <c r="D2029" s="45">
        <v>22021003510</v>
      </c>
      <c r="E2029" s="46" t="s">
        <v>1187</v>
      </c>
      <c r="F2029" s="48">
        <v>64495</v>
      </c>
      <c r="G2029" s="54" t="s">
        <v>3439</v>
      </c>
      <c r="H2029" s="54" t="s">
        <v>3440</v>
      </c>
      <c r="I2029" s="53" t="s">
        <v>125</v>
      </c>
      <c r="J2029" s="54" t="s">
        <v>661</v>
      </c>
      <c r="K2029" s="54" t="s">
        <v>127</v>
      </c>
      <c r="L2029" s="54" t="s">
        <v>12</v>
      </c>
      <c r="M2029" s="54" t="s">
        <v>13</v>
      </c>
      <c r="N2029" s="54" t="s">
        <v>16</v>
      </c>
      <c r="O2029" s="49" t="s">
        <v>803</v>
      </c>
      <c r="P2029" s="54" t="s">
        <v>3392</v>
      </c>
      <c r="Q2029" s="35" t="str">
        <f>MID(Tabla1[[#This Row],[Aplicación]],14,1)</f>
        <v>2</v>
      </c>
      <c r="R2029" s="35" t="s">
        <v>495</v>
      </c>
      <c r="S2029" s="35" t="str">
        <f>MID(Tabla1[[#This Row],[Aplicación]],6,2)</f>
        <v>06</v>
      </c>
      <c r="T2029" s="35" t="str">
        <f>VLOOKUP(Tabla1[[#This Row],[AREA]],Hoja1!A:B,2,FALSE)</f>
        <v>06. Educación, infancia, juventud e igualdad</v>
      </c>
      <c r="U2029" s="35" t="str">
        <f>MID(Tabla1[[#This Row],[Aplicación]],9,4)</f>
        <v>2315</v>
      </c>
      <c r="V2029" s="35" t="str">
        <f>VLOOKUP(Tabla1[[#This Row],[PROGRAMA]],Hoja1!A:B,2,FALSE)</f>
        <v>2315. Políticas de Igualdad e infancia</v>
      </c>
      <c r="W2029" s="35" t="str">
        <f>MID(Tabla1[[#This Row],[Aplicación]],14,2)</f>
        <v>22</v>
      </c>
      <c r="X2029" s="35" t="str">
        <f>MID(Tabla1[[#This Row],[Aplicación]],14,6)</f>
        <v>22611</v>
      </c>
    </row>
    <row r="2030" spans="1:24" x14ac:dyDescent="0.25">
      <c r="A2030" s="45">
        <v>220210029567</v>
      </c>
      <c r="B2030" s="46" t="s">
        <v>204</v>
      </c>
      <c r="C2030" s="47">
        <v>44355</v>
      </c>
      <c r="D2030" s="45">
        <v>22021002205</v>
      </c>
      <c r="E2030" s="46" t="s">
        <v>1304</v>
      </c>
      <c r="F2030" s="48">
        <v>20204.490000000002</v>
      </c>
      <c r="G2030" s="54" t="s">
        <v>229</v>
      </c>
      <c r="H2030" s="54" t="s">
        <v>3441</v>
      </c>
      <c r="I2030" s="53" t="s">
        <v>205</v>
      </c>
      <c r="J2030" s="54" t="s">
        <v>610</v>
      </c>
      <c r="K2030" s="54" t="s">
        <v>195</v>
      </c>
      <c r="L2030" s="54" t="s">
        <v>12</v>
      </c>
      <c r="M2030" s="54" t="s">
        <v>13</v>
      </c>
      <c r="N2030" s="54" t="s">
        <v>14</v>
      </c>
      <c r="O2030" s="49" t="s">
        <v>803</v>
      </c>
      <c r="P2030" s="54" t="s">
        <v>3392</v>
      </c>
      <c r="Q2030" s="35" t="str">
        <f>MID(Tabla1[[#This Row],[Aplicación]],14,1)</f>
        <v>2</v>
      </c>
      <c r="R2030" s="35" t="s">
        <v>495</v>
      </c>
      <c r="S2030" s="35" t="str">
        <f>MID(Tabla1[[#This Row],[Aplicación]],6,2)</f>
        <v>07</v>
      </c>
      <c r="T2030" s="35" t="str">
        <f>VLOOKUP(Tabla1[[#This Row],[AREA]],Hoja1!A:B,2,FALSE)</f>
        <v>07. Medio ambiente y desarrollo sostenible</v>
      </c>
      <c r="U2030" s="35" t="str">
        <f>MID(Tabla1[[#This Row],[Aplicación]],9,4)</f>
        <v>1721</v>
      </c>
      <c r="V2030" s="35" t="str">
        <f>VLOOKUP(Tabla1[[#This Row],[PROGRAMA]],Hoja1!A:B,2,FALSE)</f>
        <v>1721. Protección del medio ambiente</v>
      </c>
      <c r="W2030" s="35" t="str">
        <f>MID(Tabla1[[#This Row],[Aplicación]],14,2)</f>
        <v>22</v>
      </c>
      <c r="X2030" s="35" t="str">
        <f>MID(Tabla1[[#This Row],[Aplicación]],14,6)</f>
        <v>22799</v>
      </c>
    </row>
    <row r="2031" spans="1:24" x14ac:dyDescent="0.25">
      <c r="A2031" s="45">
        <v>220210020608</v>
      </c>
      <c r="B2031" s="46" t="s">
        <v>501</v>
      </c>
      <c r="C2031" s="47">
        <v>44322</v>
      </c>
      <c r="D2031" s="45">
        <v>22021000730</v>
      </c>
      <c r="E2031" s="46" t="s">
        <v>1747</v>
      </c>
      <c r="F2031" s="48">
        <v>-2246.56</v>
      </c>
      <c r="G2031" s="54" t="s">
        <v>229</v>
      </c>
      <c r="H2031" s="54" t="s">
        <v>3442</v>
      </c>
      <c r="I2031" s="53" t="s">
        <v>125</v>
      </c>
      <c r="J2031" s="54" t="s">
        <v>610</v>
      </c>
      <c r="K2031" s="54" t="s">
        <v>195</v>
      </c>
      <c r="L2031" s="54" t="s">
        <v>12</v>
      </c>
      <c r="M2031" s="54" t="s">
        <v>13</v>
      </c>
      <c r="N2031" s="54" t="s">
        <v>14</v>
      </c>
      <c r="O2031" s="49" t="s">
        <v>803</v>
      </c>
      <c r="P2031" s="54" t="s">
        <v>3392</v>
      </c>
      <c r="Q2031" s="35" t="str">
        <f>MID(Tabla1[[#This Row],[Aplicación]],14,1)</f>
        <v>6</v>
      </c>
      <c r="R2031" s="35" t="s">
        <v>496</v>
      </c>
      <c r="S2031" s="35" t="str">
        <f>MID(Tabla1[[#This Row],[Aplicación]],6,2)</f>
        <v>07</v>
      </c>
      <c r="T2031" s="35" t="str">
        <f>VLOOKUP(Tabla1[[#This Row],[AREA]],Hoja1!A:B,2,FALSE)</f>
        <v>07. Medio ambiente y desarrollo sostenible</v>
      </c>
      <c r="U2031" s="35" t="str">
        <f>MID(Tabla1[[#This Row],[Aplicación]],9,4)</f>
        <v>1721</v>
      </c>
      <c r="V2031" s="35" t="str">
        <f>VLOOKUP(Tabla1[[#This Row],[PROGRAMA]],Hoja1!A:B,2,FALSE)</f>
        <v>1721. Protección del medio ambiente</v>
      </c>
      <c r="W2031" s="35" t="str">
        <f>MID(Tabla1[[#This Row],[Aplicación]],14,2)</f>
        <v>63</v>
      </c>
      <c r="X2031" s="35" t="str">
        <f>MID(Tabla1[[#This Row],[Aplicación]],14,6)</f>
        <v>633</v>
      </c>
    </row>
    <row r="2032" spans="1:24" x14ac:dyDescent="0.25">
      <c r="A2032" s="45">
        <v>220210022099</v>
      </c>
      <c r="B2032" s="46" t="s">
        <v>9</v>
      </c>
      <c r="C2032" s="47">
        <v>44327</v>
      </c>
      <c r="D2032" s="45">
        <v>22021000556</v>
      </c>
      <c r="E2032" s="46" t="s">
        <v>838</v>
      </c>
      <c r="F2032" s="48">
        <v>738336.41</v>
      </c>
      <c r="G2032" s="54" t="s">
        <v>119</v>
      </c>
      <c r="H2032" s="54" t="s">
        <v>3443</v>
      </c>
      <c r="I2032" s="53" t="s">
        <v>125</v>
      </c>
      <c r="J2032" s="54" t="s">
        <v>127</v>
      </c>
      <c r="K2032" s="54" t="s">
        <v>127</v>
      </c>
      <c r="L2032" s="54" t="s">
        <v>12</v>
      </c>
      <c r="M2032" s="54" t="s">
        <v>13</v>
      </c>
      <c r="N2032" s="54" t="s">
        <v>14</v>
      </c>
      <c r="O2032" s="49" t="s">
        <v>803</v>
      </c>
      <c r="P2032" s="54" t="s">
        <v>3392</v>
      </c>
      <c r="Q2032" s="35" t="str">
        <f>MID(Tabla1[[#This Row],[Aplicación]],14,1)</f>
        <v>6</v>
      </c>
      <c r="R2032" s="35" t="s">
        <v>496</v>
      </c>
      <c r="S2032" s="35" t="str">
        <f>MID(Tabla1[[#This Row],[Aplicación]],6,2)</f>
        <v>07</v>
      </c>
      <c r="T2032" s="35" t="str">
        <f>VLOOKUP(Tabla1[[#This Row],[AREA]],Hoja1!A:B,2,FALSE)</f>
        <v>07. Medio ambiente y desarrollo sostenible</v>
      </c>
      <c r="U2032" s="35" t="str">
        <f>MID(Tabla1[[#This Row],[Aplicación]],9,4)</f>
        <v>1711</v>
      </c>
      <c r="V2032" s="35" t="str">
        <f>VLOOKUP(Tabla1[[#This Row],[PROGRAMA]],Hoja1!A:B,2,FALSE)</f>
        <v>1711. Parques y jardines</v>
      </c>
      <c r="W2032" s="35" t="str">
        <f>MID(Tabla1[[#This Row],[Aplicación]],14,2)</f>
        <v>61</v>
      </c>
      <c r="X2032" s="35" t="str">
        <f>MID(Tabla1[[#This Row],[Aplicación]],14,6)</f>
        <v>610</v>
      </c>
    </row>
    <row r="2033" spans="1:24" x14ac:dyDescent="0.25">
      <c r="A2033" s="45">
        <v>220210022100</v>
      </c>
      <c r="B2033" s="46" t="s">
        <v>9</v>
      </c>
      <c r="C2033" s="47">
        <v>44327</v>
      </c>
      <c r="D2033" s="45">
        <v>22021000115</v>
      </c>
      <c r="E2033" s="46" t="s">
        <v>840</v>
      </c>
      <c r="F2033" s="48">
        <v>143497.74</v>
      </c>
      <c r="G2033" s="54" t="s">
        <v>119</v>
      </c>
      <c r="H2033" s="54" t="s">
        <v>3443</v>
      </c>
      <c r="I2033" s="53" t="s">
        <v>125</v>
      </c>
      <c r="J2033" s="54" t="s">
        <v>127</v>
      </c>
      <c r="K2033" s="54" t="s">
        <v>127</v>
      </c>
      <c r="L2033" s="54" t="s">
        <v>12</v>
      </c>
      <c r="M2033" s="54" t="s">
        <v>13</v>
      </c>
      <c r="N2033" s="54" t="s">
        <v>14</v>
      </c>
      <c r="O2033" s="49" t="s">
        <v>803</v>
      </c>
      <c r="P2033" s="54" t="s">
        <v>3392</v>
      </c>
      <c r="Q2033" s="35" t="str">
        <f>MID(Tabla1[[#This Row],[Aplicación]],14,1)</f>
        <v>2</v>
      </c>
      <c r="R2033" s="35" t="s">
        <v>495</v>
      </c>
      <c r="S2033" s="35" t="str">
        <f>MID(Tabla1[[#This Row],[Aplicación]],6,2)</f>
        <v>07</v>
      </c>
      <c r="T2033" s="35" t="str">
        <f>VLOOKUP(Tabla1[[#This Row],[AREA]],Hoja1!A:B,2,FALSE)</f>
        <v>07. Medio ambiente y desarrollo sostenible</v>
      </c>
      <c r="U2033" s="35" t="str">
        <f>MID(Tabla1[[#This Row],[Aplicación]],9,4)</f>
        <v>1711</v>
      </c>
      <c r="V2033" s="35" t="str">
        <f>VLOOKUP(Tabla1[[#This Row],[PROGRAMA]],Hoja1!A:B,2,FALSE)</f>
        <v>1711. Parques y jardines</v>
      </c>
      <c r="W2033" s="35" t="str">
        <f>MID(Tabla1[[#This Row],[Aplicación]],14,2)</f>
        <v>22</v>
      </c>
      <c r="X2033" s="35" t="str">
        <f>MID(Tabla1[[#This Row],[Aplicación]],14,6)</f>
        <v>22799</v>
      </c>
    </row>
    <row r="2034" spans="1:24" x14ac:dyDescent="0.25">
      <c r="A2034" s="45">
        <v>220210023537</v>
      </c>
      <c r="B2034" s="46" t="s">
        <v>204</v>
      </c>
      <c r="C2034" s="47">
        <v>44336</v>
      </c>
      <c r="D2034" s="45">
        <v>22021002200</v>
      </c>
      <c r="E2034" s="46" t="s">
        <v>1220</v>
      </c>
      <c r="F2034" s="48">
        <v>3518.35</v>
      </c>
      <c r="G2034" s="54" t="s">
        <v>119</v>
      </c>
      <c r="H2034" s="54" t="s">
        <v>3444</v>
      </c>
      <c r="I2034" s="53" t="s">
        <v>205</v>
      </c>
      <c r="J2034" s="54" t="s">
        <v>127</v>
      </c>
      <c r="K2034" s="54" t="s">
        <v>127</v>
      </c>
      <c r="L2034" s="54" t="s">
        <v>12</v>
      </c>
      <c r="M2034" s="54" t="s">
        <v>13</v>
      </c>
      <c r="N2034" s="54" t="s">
        <v>16</v>
      </c>
      <c r="O2034" s="49" t="s">
        <v>803</v>
      </c>
      <c r="P2034" s="54" t="s">
        <v>3392</v>
      </c>
      <c r="Q2034" s="35" t="str">
        <f>MID(Tabla1[[#This Row],[Aplicación]],14,1)</f>
        <v>2</v>
      </c>
      <c r="R2034" s="35" t="s">
        <v>495</v>
      </c>
      <c r="S2034" s="35" t="str">
        <f>MID(Tabla1[[#This Row],[Aplicación]],6,2)</f>
        <v>03</v>
      </c>
      <c r="T2034" s="35" t="str">
        <f>VLOOKUP(Tabla1[[#This Row],[AREA]],Hoja1!A:B,2,FALSE)</f>
        <v>03. Participación ciudadana y deportes</v>
      </c>
      <c r="U2034" s="35" t="str">
        <f>MID(Tabla1[[#This Row],[Aplicación]],9,4)</f>
        <v>9241</v>
      </c>
      <c r="V2034" s="35" t="str">
        <f>VLOOKUP(Tabla1[[#This Row],[PROGRAMA]],Hoja1!A:B,2,FALSE)</f>
        <v>9241. Participación ciudadana</v>
      </c>
      <c r="W2034" s="35" t="str">
        <f>MID(Tabla1[[#This Row],[Aplicación]],14,2)</f>
        <v>21</v>
      </c>
      <c r="X2034" s="35" t="str">
        <f>MID(Tabla1[[#This Row],[Aplicación]],14,6)</f>
        <v>213</v>
      </c>
    </row>
    <row r="2035" spans="1:24" x14ac:dyDescent="0.25">
      <c r="A2035" s="45">
        <v>220210014843</v>
      </c>
      <c r="B2035" s="46" t="s">
        <v>204</v>
      </c>
      <c r="C2035" s="47">
        <v>44299</v>
      </c>
      <c r="D2035" s="45">
        <v>22021002486</v>
      </c>
      <c r="E2035" s="46" t="s">
        <v>883</v>
      </c>
      <c r="F2035" s="48">
        <v>75000</v>
      </c>
      <c r="G2035" s="54" t="s">
        <v>3445</v>
      </c>
      <c r="H2035" s="54" t="s">
        <v>3446</v>
      </c>
      <c r="I2035" s="53" t="s">
        <v>205</v>
      </c>
      <c r="J2035" s="54" t="s">
        <v>126</v>
      </c>
      <c r="K2035" s="54" t="s">
        <v>126</v>
      </c>
      <c r="L2035" s="54" t="s">
        <v>12</v>
      </c>
      <c r="M2035" s="54" t="s">
        <v>13</v>
      </c>
      <c r="N2035" s="54" t="s">
        <v>14</v>
      </c>
      <c r="O2035" s="49" t="s">
        <v>803</v>
      </c>
      <c r="P2035" s="54" t="s">
        <v>3392</v>
      </c>
      <c r="Q2035" s="35" t="str">
        <f>MID(Tabla1[[#This Row],[Aplicación]],14,1)</f>
        <v>2</v>
      </c>
      <c r="R2035" s="35" t="s">
        <v>495</v>
      </c>
      <c r="S2035" s="35" t="str">
        <f>MID(Tabla1[[#This Row],[Aplicación]],6,2)</f>
        <v>11</v>
      </c>
      <c r="T2035" s="35" t="str">
        <f>VLOOKUP(Tabla1[[#This Row],[AREA]],Hoja1!A:B,2,FALSE)</f>
        <v>11. Salud pública y seguridad ciudadana</v>
      </c>
      <c r="U2035" s="35" t="str">
        <f>MID(Tabla1[[#This Row],[Aplicación]],9,4)</f>
        <v>1621</v>
      </c>
      <c r="V2035" s="35" t="str">
        <f>VLOOKUP(Tabla1[[#This Row],[PROGRAMA]],Hoja1!A:B,2,FALSE)</f>
        <v>1621. Servicio de limpieza</v>
      </c>
      <c r="W2035" s="35" t="str">
        <f>MID(Tabla1[[#This Row],[Aplicación]],14,2)</f>
        <v>22</v>
      </c>
      <c r="X2035" s="35" t="str">
        <f>MID(Tabla1[[#This Row],[Aplicación]],14,6)</f>
        <v>22700</v>
      </c>
    </row>
    <row r="2036" spans="1:24" x14ac:dyDescent="0.25">
      <c r="A2036" s="45">
        <v>220210019210</v>
      </c>
      <c r="B2036" s="46" t="s">
        <v>204</v>
      </c>
      <c r="C2036" s="47">
        <v>44319</v>
      </c>
      <c r="D2036" s="45">
        <v>22021002449</v>
      </c>
      <c r="E2036" s="46" t="s">
        <v>1724</v>
      </c>
      <c r="F2036" s="48">
        <v>3437.34</v>
      </c>
      <c r="G2036" s="54" t="s">
        <v>263</v>
      </c>
      <c r="H2036" s="54" t="s">
        <v>1725</v>
      </c>
      <c r="I2036" s="53" t="s">
        <v>205</v>
      </c>
      <c r="J2036" s="54" t="s">
        <v>127</v>
      </c>
      <c r="K2036" s="54" t="s">
        <v>127</v>
      </c>
      <c r="L2036" s="54" t="s">
        <v>15</v>
      </c>
      <c r="M2036" s="54" t="s">
        <v>13</v>
      </c>
      <c r="N2036" s="54" t="s">
        <v>14</v>
      </c>
      <c r="O2036" s="49" t="s">
        <v>803</v>
      </c>
      <c r="P2036" s="54" t="s">
        <v>3392</v>
      </c>
      <c r="Q2036" s="35" t="str">
        <f>MID(Tabla1[[#This Row],[Aplicación]],14,1)</f>
        <v>6</v>
      </c>
      <c r="R2036" s="35" t="s">
        <v>496</v>
      </c>
      <c r="S2036" s="35" t="str">
        <f>MID(Tabla1[[#This Row],[Aplicación]],6,2)</f>
        <v>07</v>
      </c>
      <c r="T2036" s="35" t="str">
        <f>VLOOKUP(Tabla1[[#This Row],[AREA]],Hoja1!A:B,2,FALSE)</f>
        <v>07. Medio ambiente y desarrollo sostenible</v>
      </c>
      <c r="U2036" s="35" t="str">
        <f>MID(Tabla1[[#This Row],[Aplicación]],9,4)</f>
        <v>1711</v>
      </c>
      <c r="V2036" s="35" t="str">
        <f>VLOOKUP(Tabla1[[#This Row],[PROGRAMA]],Hoja1!A:B,2,FALSE)</f>
        <v>1711. Parques y jardines</v>
      </c>
      <c r="W2036" s="35" t="str">
        <f>MID(Tabla1[[#This Row],[Aplicación]],14,2)</f>
        <v>61</v>
      </c>
      <c r="X2036" s="35" t="str">
        <f>MID(Tabla1[[#This Row],[Aplicación]],14,6)</f>
        <v>619</v>
      </c>
    </row>
    <row r="2037" spans="1:24" x14ac:dyDescent="0.25">
      <c r="A2037" s="45">
        <v>220210015896</v>
      </c>
      <c r="B2037" s="46" t="s">
        <v>9</v>
      </c>
      <c r="C2037" s="47">
        <v>44305</v>
      </c>
      <c r="D2037" s="45">
        <v>22021003511</v>
      </c>
      <c r="E2037" s="46" t="s">
        <v>1187</v>
      </c>
      <c r="F2037" s="48">
        <v>7687.2</v>
      </c>
      <c r="G2037" s="54" t="s">
        <v>96</v>
      </c>
      <c r="H2037" s="54" t="s">
        <v>3447</v>
      </c>
      <c r="I2037" s="53" t="s">
        <v>125</v>
      </c>
      <c r="J2037" s="54" t="s">
        <v>127</v>
      </c>
      <c r="K2037" s="54" t="s">
        <v>127</v>
      </c>
      <c r="L2037" s="54" t="s">
        <v>12</v>
      </c>
      <c r="M2037" s="54" t="s">
        <v>13</v>
      </c>
      <c r="N2037" s="54" t="s">
        <v>16</v>
      </c>
      <c r="O2037" s="49" t="s">
        <v>803</v>
      </c>
      <c r="P2037" s="54" t="s">
        <v>3392</v>
      </c>
      <c r="Q2037" s="35" t="str">
        <f>MID(Tabla1[[#This Row],[Aplicación]],14,1)</f>
        <v>2</v>
      </c>
      <c r="R2037" s="35" t="s">
        <v>495</v>
      </c>
      <c r="S2037" s="35" t="str">
        <f>MID(Tabla1[[#This Row],[Aplicación]],6,2)</f>
        <v>06</v>
      </c>
      <c r="T2037" s="35" t="str">
        <f>VLOOKUP(Tabla1[[#This Row],[AREA]],Hoja1!A:B,2,FALSE)</f>
        <v>06. Educación, infancia, juventud e igualdad</v>
      </c>
      <c r="U2037" s="35" t="str">
        <f>MID(Tabla1[[#This Row],[Aplicación]],9,4)</f>
        <v>2315</v>
      </c>
      <c r="V2037" s="35" t="str">
        <f>VLOOKUP(Tabla1[[#This Row],[PROGRAMA]],Hoja1!A:B,2,FALSE)</f>
        <v>2315. Políticas de Igualdad e infancia</v>
      </c>
      <c r="W2037" s="35" t="str">
        <f>MID(Tabla1[[#This Row],[Aplicación]],14,2)</f>
        <v>22</v>
      </c>
      <c r="X2037" s="35" t="str">
        <f>MID(Tabla1[[#This Row],[Aplicación]],14,6)</f>
        <v>22611</v>
      </c>
    </row>
    <row r="2038" spans="1:24" x14ac:dyDescent="0.25">
      <c r="A2038" s="45">
        <v>220210022393</v>
      </c>
      <c r="B2038" s="46" t="s">
        <v>9</v>
      </c>
      <c r="C2038" s="47">
        <v>44328</v>
      </c>
      <c r="D2038" s="45">
        <v>22021002652</v>
      </c>
      <c r="E2038" s="46" t="s">
        <v>1769</v>
      </c>
      <c r="F2038" s="48">
        <v>115200</v>
      </c>
      <c r="G2038" s="54" t="s">
        <v>44</v>
      </c>
      <c r="H2038" s="54" t="s">
        <v>3448</v>
      </c>
      <c r="I2038" s="53" t="s">
        <v>125</v>
      </c>
      <c r="J2038" s="54" t="s">
        <v>146</v>
      </c>
      <c r="K2038" s="54" t="s">
        <v>146</v>
      </c>
      <c r="L2038" s="54" t="s">
        <v>15</v>
      </c>
      <c r="M2038" s="54" t="s">
        <v>13</v>
      </c>
      <c r="N2038" s="54" t="s">
        <v>16</v>
      </c>
      <c r="O2038" s="49" t="s">
        <v>803</v>
      </c>
      <c r="P2038" s="54" t="s">
        <v>3392</v>
      </c>
      <c r="Q2038" s="35" t="str">
        <f>MID(Tabla1[[#This Row],[Aplicación]],14,1)</f>
        <v>2</v>
      </c>
      <c r="R2038" s="35" t="s">
        <v>495</v>
      </c>
      <c r="S2038" s="35" t="str">
        <f>MID(Tabla1[[#This Row],[Aplicación]],6,2)</f>
        <v>06</v>
      </c>
      <c r="T2038" s="35" t="str">
        <f>VLOOKUP(Tabla1[[#This Row],[AREA]],Hoja1!A:B,2,FALSE)</f>
        <v>06. Educación, infancia, juventud e igualdad</v>
      </c>
      <c r="U2038" s="35" t="str">
        <f>MID(Tabla1[[#This Row],[Aplicación]],9,4)</f>
        <v>3232</v>
      </c>
      <c r="V2038" s="35" t="str">
        <f>VLOOKUP(Tabla1[[#This Row],[PROGRAMA]],Hoja1!A:B,2,FALSE)</f>
        <v>3232. Conservación y mantenimiento centros educación infantil y primaria</v>
      </c>
      <c r="W2038" s="35" t="str">
        <f>MID(Tabla1[[#This Row],[Aplicación]],14,2)</f>
        <v>22</v>
      </c>
      <c r="X2038" s="35" t="str">
        <f>MID(Tabla1[[#This Row],[Aplicación]],14,6)</f>
        <v>22102</v>
      </c>
    </row>
    <row r="2039" spans="1:24" x14ac:dyDescent="0.25">
      <c r="A2039" s="45">
        <v>220210022390</v>
      </c>
      <c r="B2039" s="46" t="s">
        <v>9</v>
      </c>
      <c r="C2039" s="47">
        <v>44328</v>
      </c>
      <c r="D2039" s="45">
        <v>22021002618</v>
      </c>
      <c r="E2039" s="46" t="s">
        <v>1763</v>
      </c>
      <c r="F2039" s="48">
        <v>105000</v>
      </c>
      <c r="G2039" s="54" t="s">
        <v>44</v>
      </c>
      <c r="H2039" s="54" t="s">
        <v>3449</v>
      </c>
      <c r="I2039" s="53" t="s">
        <v>125</v>
      </c>
      <c r="J2039" s="54" t="s">
        <v>146</v>
      </c>
      <c r="K2039" s="54" t="s">
        <v>146</v>
      </c>
      <c r="L2039" s="54" t="s">
        <v>15</v>
      </c>
      <c r="M2039" s="54" t="s">
        <v>13</v>
      </c>
      <c r="N2039" s="54" t="s">
        <v>14</v>
      </c>
      <c r="O2039" s="49" t="s">
        <v>803</v>
      </c>
      <c r="P2039" s="54" t="s">
        <v>3392</v>
      </c>
      <c r="Q2039" s="35" t="str">
        <f>MID(Tabla1[[#This Row],[Aplicación]],14,1)</f>
        <v>2</v>
      </c>
      <c r="R2039" s="35" t="s">
        <v>495</v>
      </c>
      <c r="S2039" s="35" t="str">
        <f>MID(Tabla1[[#This Row],[Aplicación]],6,2)</f>
        <v>03</v>
      </c>
      <c r="T2039" s="35" t="str">
        <f>VLOOKUP(Tabla1[[#This Row],[AREA]],Hoja1!A:B,2,FALSE)</f>
        <v>03. Participación ciudadana y deportes</v>
      </c>
      <c r="U2039" s="35" t="str">
        <f>MID(Tabla1[[#This Row],[Aplicación]],9,4)</f>
        <v>9241</v>
      </c>
      <c r="V2039" s="35" t="str">
        <f>VLOOKUP(Tabla1[[#This Row],[PROGRAMA]],Hoja1!A:B,2,FALSE)</f>
        <v>9241. Participación ciudadana</v>
      </c>
      <c r="W2039" s="35" t="str">
        <f>MID(Tabla1[[#This Row],[Aplicación]],14,2)</f>
        <v>22</v>
      </c>
      <c r="X2039" s="35" t="str">
        <f>MID(Tabla1[[#This Row],[Aplicación]],14,6)</f>
        <v>22102</v>
      </c>
    </row>
    <row r="2040" spans="1:24" x14ac:dyDescent="0.25">
      <c r="A2040" s="45">
        <v>220210022398</v>
      </c>
      <c r="B2040" s="46" t="s">
        <v>9</v>
      </c>
      <c r="C2040" s="47">
        <v>44328</v>
      </c>
      <c r="D2040" s="45">
        <v>22021000055</v>
      </c>
      <c r="E2040" s="46" t="s">
        <v>1765</v>
      </c>
      <c r="F2040" s="48">
        <v>22000</v>
      </c>
      <c r="G2040" s="54" t="s">
        <v>44</v>
      </c>
      <c r="H2040" s="54" t="s">
        <v>3450</v>
      </c>
      <c r="I2040" s="53" t="s">
        <v>125</v>
      </c>
      <c r="J2040" s="54" t="s">
        <v>146</v>
      </c>
      <c r="K2040" s="54" t="s">
        <v>146</v>
      </c>
      <c r="L2040" s="54" t="s">
        <v>15</v>
      </c>
      <c r="M2040" s="54" t="s">
        <v>13</v>
      </c>
      <c r="N2040" s="54" t="s">
        <v>16</v>
      </c>
      <c r="O2040" s="49" t="s">
        <v>803</v>
      </c>
      <c r="P2040" s="54" t="s">
        <v>3392</v>
      </c>
      <c r="Q2040" s="35" t="str">
        <f>MID(Tabla1[[#This Row],[Aplicación]],14,1)</f>
        <v>2</v>
      </c>
      <c r="R2040" s="35" t="s">
        <v>495</v>
      </c>
      <c r="S2040" s="35" t="str">
        <f>MID(Tabla1[[#This Row],[Aplicación]],6,2)</f>
        <v>10</v>
      </c>
      <c r="T2040" s="35" t="str">
        <f>VLOOKUP(Tabla1[[#This Row],[AREA]],Hoja1!A:B,2,FALSE)</f>
        <v>10. Servicios sociales y mediación comunitaria</v>
      </c>
      <c r="U2040" s="35" t="str">
        <f>MID(Tabla1[[#This Row],[Aplicación]],9,4)</f>
        <v>2312</v>
      </c>
      <c r="V2040" s="35" t="str">
        <f>VLOOKUP(Tabla1[[#This Row],[PROGRAMA]],Hoja1!A:B,2,FALSE)</f>
        <v>2312. Iniciativas sociales</v>
      </c>
      <c r="W2040" s="35" t="str">
        <f>MID(Tabla1[[#This Row],[Aplicación]],14,2)</f>
        <v>22</v>
      </c>
      <c r="X2040" s="35" t="str">
        <f>MID(Tabla1[[#This Row],[Aplicación]],14,6)</f>
        <v>22102</v>
      </c>
    </row>
    <row r="2041" spans="1:24" x14ac:dyDescent="0.25">
      <c r="A2041" s="45">
        <v>220210022396</v>
      </c>
      <c r="B2041" s="46" t="s">
        <v>9</v>
      </c>
      <c r="C2041" s="47">
        <v>44328</v>
      </c>
      <c r="D2041" s="45">
        <v>22021003241</v>
      </c>
      <c r="E2041" s="46" t="s">
        <v>1772</v>
      </c>
      <c r="F2041" s="48">
        <v>20000</v>
      </c>
      <c r="G2041" s="54" t="s">
        <v>44</v>
      </c>
      <c r="H2041" s="54" t="s">
        <v>3451</v>
      </c>
      <c r="I2041" s="53" t="s">
        <v>125</v>
      </c>
      <c r="J2041" s="54" t="s">
        <v>146</v>
      </c>
      <c r="K2041" s="54" t="s">
        <v>146</v>
      </c>
      <c r="L2041" s="54" t="s">
        <v>15</v>
      </c>
      <c r="M2041" s="54" t="s">
        <v>13</v>
      </c>
      <c r="N2041" s="54" t="s">
        <v>14</v>
      </c>
      <c r="O2041" s="49" t="s">
        <v>803</v>
      </c>
      <c r="P2041" s="54" t="s">
        <v>3392</v>
      </c>
      <c r="Q2041" s="35" t="str">
        <f>MID(Tabla1[[#This Row],[Aplicación]],14,1)</f>
        <v>2</v>
      </c>
      <c r="R2041" s="35" t="s">
        <v>495</v>
      </c>
      <c r="S2041" s="35" t="str">
        <f>MID(Tabla1[[#This Row],[Aplicación]],6,2)</f>
        <v>02</v>
      </c>
      <c r="T2041" s="35" t="str">
        <f>VLOOKUP(Tabla1[[#This Row],[AREA]],Hoja1!A:B,2,FALSE)</f>
        <v>02. Planeamiento urbanístico y vivienda</v>
      </c>
      <c r="U2041" s="35" t="str">
        <f>MID(Tabla1[[#This Row],[Aplicación]],9,4)</f>
        <v>9332</v>
      </c>
      <c r="V2041" s="35" t="str">
        <f>VLOOKUP(Tabla1[[#This Row],[PROGRAMA]],Hoja1!A:B,2,FALSE)</f>
        <v>9332. Mantenimiento de edificios e instalaciones municipales</v>
      </c>
      <c r="W2041" s="35" t="str">
        <f>MID(Tabla1[[#This Row],[Aplicación]],14,2)</f>
        <v>22</v>
      </c>
      <c r="X2041" s="35" t="str">
        <f>MID(Tabla1[[#This Row],[Aplicación]],14,6)</f>
        <v>22102</v>
      </c>
    </row>
    <row r="2042" spans="1:24" x14ac:dyDescent="0.25">
      <c r="A2042" s="45">
        <v>220210022398</v>
      </c>
      <c r="B2042" s="46" t="s">
        <v>9</v>
      </c>
      <c r="C2042" s="47">
        <v>44328</v>
      </c>
      <c r="D2042" s="45">
        <v>22021000056</v>
      </c>
      <c r="E2042" s="46" t="s">
        <v>1765</v>
      </c>
      <c r="F2042" s="48">
        <v>11750</v>
      </c>
      <c r="G2042" s="54" t="s">
        <v>44</v>
      </c>
      <c r="H2042" s="54" t="s">
        <v>3450</v>
      </c>
      <c r="I2042" s="53" t="s">
        <v>125</v>
      </c>
      <c r="J2042" s="54" t="s">
        <v>146</v>
      </c>
      <c r="K2042" s="54" t="s">
        <v>146</v>
      </c>
      <c r="L2042" s="54" t="s">
        <v>15</v>
      </c>
      <c r="M2042" s="54" t="s">
        <v>13</v>
      </c>
      <c r="N2042" s="54" t="s">
        <v>16</v>
      </c>
      <c r="O2042" s="49" t="s">
        <v>803</v>
      </c>
      <c r="P2042" s="54" t="s">
        <v>3392</v>
      </c>
      <c r="Q2042" s="35" t="str">
        <f>MID(Tabla1[[#This Row],[Aplicación]],14,1)</f>
        <v>2</v>
      </c>
      <c r="R2042" s="35" t="s">
        <v>495</v>
      </c>
      <c r="S2042" s="35" t="str">
        <f>MID(Tabla1[[#This Row],[Aplicación]],6,2)</f>
        <v>10</v>
      </c>
      <c r="T2042" s="35" t="str">
        <f>VLOOKUP(Tabla1[[#This Row],[AREA]],Hoja1!A:B,2,FALSE)</f>
        <v>10. Servicios sociales y mediación comunitaria</v>
      </c>
      <c r="U2042" s="35" t="str">
        <f>MID(Tabla1[[#This Row],[Aplicación]],9,4)</f>
        <v>2312</v>
      </c>
      <c r="V2042" s="35" t="str">
        <f>VLOOKUP(Tabla1[[#This Row],[PROGRAMA]],Hoja1!A:B,2,FALSE)</f>
        <v>2312. Iniciativas sociales</v>
      </c>
      <c r="W2042" s="35" t="str">
        <f>MID(Tabla1[[#This Row],[Aplicación]],14,2)</f>
        <v>22</v>
      </c>
      <c r="X2042" s="35" t="str">
        <f>MID(Tabla1[[#This Row],[Aplicación]],14,6)</f>
        <v>22102</v>
      </c>
    </row>
    <row r="2043" spans="1:24" x14ac:dyDescent="0.25">
      <c r="A2043" s="45">
        <v>220210022391</v>
      </c>
      <c r="B2043" s="46" t="s">
        <v>9</v>
      </c>
      <c r="C2043" s="47">
        <v>44328</v>
      </c>
      <c r="D2043" s="45">
        <v>22021002637</v>
      </c>
      <c r="E2043" s="46" t="s">
        <v>1773</v>
      </c>
      <c r="F2043" s="48">
        <v>11000</v>
      </c>
      <c r="G2043" s="54" t="s">
        <v>44</v>
      </c>
      <c r="H2043" s="54" t="s">
        <v>3452</v>
      </c>
      <c r="I2043" s="53" t="s">
        <v>125</v>
      </c>
      <c r="J2043" s="54" t="s">
        <v>146</v>
      </c>
      <c r="K2043" s="54" t="s">
        <v>146</v>
      </c>
      <c r="L2043" s="54" t="s">
        <v>15</v>
      </c>
      <c r="M2043" s="54" t="s">
        <v>13</v>
      </c>
      <c r="N2043" s="54" t="s">
        <v>14</v>
      </c>
      <c r="O2043" s="49" t="s">
        <v>803</v>
      </c>
      <c r="P2043" s="54" t="s">
        <v>3392</v>
      </c>
      <c r="Q2043" s="35" t="str">
        <f>MID(Tabla1[[#This Row],[Aplicación]],14,1)</f>
        <v>2</v>
      </c>
      <c r="R2043" s="35" t="s">
        <v>495</v>
      </c>
      <c r="S2043" s="35" t="str">
        <f>MID(Tabla1[[#This Row],[Aplicación]],6,2)</f>
        <v>11</v>
      </c>
      <c r="T2043" s="35" t="str">
        <f>VLOOKUP(Tabla1[[#This Row],[AREA]],Hoja1!A:B,2,FALSE)</f>
        <v>11. Salud pública y seguridad ciudadana</v>
      </c>
      <c r="U2043" s="35" t="str">
        <f>MID(Tabla1[[#This Row],[Aplicación]],9,4)</f>
        <v>1321</v>
      </c>
      <c r="V2043" s="35" t="str">
        <f>VLOOKUP(Tabla1[[#This Row],[PROGRAMA]],Hoja1!A:B,2,FALSE)</f>
        <v>1321. Policía municipal</v>
      </c>
      <c r="W2043" s="35" t="str">
        <f>MID(Tabla1[[#This Row],[Aplicación]],14,2)</f>
        <v>22</v>
      </c>
      <c r="X2043" s="35" t="str">
        <f>MID(Tabla1[[#This Row],[Aplicación]],14,6)</f>
        <v>22102</v>
      </c>
    </row>
    <row r="2044" spans="1:24" x14ac:dyDescent="0.25">
      <c r="A2044" s="45">
        <v>220210029565</v>
      </c>
      <c r="B2044" s="46" t="s">
        <v>9</v>
      </c>
      <c r="C2044" s="47">
        <v>44354</v>
      </c>
      <c r="D2044" s="45">
        <v>22021002647</v>
      </c>
      <c r="E2044" s="46" t="s">
        <v>1767</v>
      </c>
      <c r="F2044" s="48">
        <v>10000</v>
      </c>
      <c r="G2044" s="54" t="s">
        <v>44</v>
      </c>
      <c r="H2044" s="54" t="s">
        <v>3453</v>
      </c>
      <c r="I2044" s="53" t="s">
        <v>125</v>
      </c>
      <c r="J2044" s="54" t="s">
        <v>146</v>
      </c>
      <c r="K2044" s="54" t="s">
        <v>146</v>
      </c>
      <c r="L2044" s="54" t="s">
        <v>15</v>
      </c>
      <c r="M2044" s="54" t="s">
        <v>13</v>
      </c>
      <c r="N2044" s="54" t="s">
        <v>14</v>
      </c>
      <c r="O2044" s="49" t="s">
        <v>803</v>
      </c>
      <c r="P2044" s="54" t="s">
        <v>3392</v>
      </c>
      <c r="Q2044" s="35" t="str">
        <f>MID(Tabla1[[#This Row],[Aplicación]],14,1)</f>
        <v>2</v>
      </c>
      <c r="R2044" s="35" t="s">
        <v>495</v>
      </c>
      <c r="S2044" s="35" t="str">
        <f>MID(Tabla1[[#This Row],[Aplicación]],6,2)</f>
        <v>10</v>
      </c>
      <c r="T2044" s="35" t="str">
        <f>VLOOKUP(Tabla1[[#This Row],[AREA]],Hoja1!A:B,2,FALSE)</f>
        <v>10. Servicios sociales y mediación comunitaria</v>
      </c>
      <c r="U2044" s="35" t="str">
        <f>MID(Tabla1[[#This Row],[Aplicación]],9,4)</f>
        <v>2311</v>
      </c>
      <c r="V2044" s="35" t="str">
        <f>VLOOKUP(Tabla1[[#This Row],[PROGRAMA]],Hoja1!A:B,2,FALSE)</f>
        <v>2311. Intervención social</v>
      </c>
      <c r="W2044" s="35" t="str">
        <f>MID(Tabla1[[#This Row],[Aplicación]],14,2)</f>
        <v>22</v>
      </c>
      <c r="X2044" s="35" t="str">
        <f>MID(Tabla1[[#This Row],[Aplicación]],14,6)</f>
        <v>22102</v>
      </c>
    </row>
    <row r="2045" spans="1:24" x14ac:dyDescent="0.25">
      <c r="A2045" s="45">
        <v>220210022425</v>
      </c>
      <c r="B2045" s="46" t="s">
        <v>9</v>
      </c>
      <c r="C2045" s="47">
        <v>44330</v>
      </c>
      <c r="D2045" s="45">
        <v>22021002655</v>
      </c>
      <c r="E2045" s="46" t="s">
        <v>1768</v>
      </c>
      <c r="F2045" s="48">
        <v>13420</v>
      </c>
      <c r="G2045" s="54" t="s">
        <v>44</v>
      </c>
      <c r="H2045" s="54" t="s">
        <v>3454</v>
      </c>
      <c r="I2045" s="53" t="s">
        <v>125</v>
      </c>
      <c r="J2045" s="54" t="s">
        <v>146</v>
      </c>
      <c r="K2045" s="54" t="s">
        <v>146</v>
      </c>
      <c r="L2045" s="54" t="s">
        <v>15</v>
      </c>
      <c r="M2045" s="54" t="s">
        <v>13</v>
      </c>
      <c r="N2045" s="54" t="s">
        <v>16</v>
      </c>
      <c r="O2045" s="49" t="s">
        <v>803</v>
      </c>
      <c r="P2045" s="54" t="s">
        <v>3392</v>
      </c>
      <c r="Q2045" s="35" t="str">
        <f>MID(Tabla1[[#This Row],[Aplicación]],14,1)</f>
        <v>2</v>
      </c>
      <c r="R2045" s="35" t="s">
        <v>495</v>
      </c>
      <c r="S2045" s="35" t="str">
        <f>MID(Tabla1[[#This Row],[Aplicación]],6,2)</f>
        <v>06</v>
      </c>
      <c r="T2045" s="35" t="str">
        <f>VLOOKUP(Tabla1[[#This Row],[AREA]],Hoja1!A:B,2,FALSE)</f>
        <v>06. Educación, infancia, juventud e igualdad</v>
      </c>
      <c r="U2045" s="35" t="str">
        <f>MID(Tabla1[[#This Row],[Aplicación]],9,4)</f>
        <v>3231</v>
      </c>
      <c r="V2045" s="35" t="str">
        <f>VLOOKUP(Tabla1[[#This Row],[PROGRAMA]],Hoja1!A:B,2,FALSE)</f>
        <v>3231. Escuelas infantiles</v>
      </c>
      <c r="W2045" s="35" t="str">
        <f>MID(Tabla1[[#This Row],[Aplicación]],14,2)</f>
        <v>22</v>
      </c>
      <c r="X2045" s="35" t="str">
        <f>MID(Tabla1[[#This Row],[Aplicación]],14,6)</f>
        <v>22102</v>
      </c>
    </row>
    <row r="2046" spans="1:24" x14ac:dyDescent="0.25">
      <c r="A2046" s="45">
        <v>220210022394</v>
      </c>
      <c r="B2046" s="46" t="s">
        <v>9</v>
      </c>
      <c r="C2046" s="47">
        <v>44328</v>
      </c>
      <c r="D2046" s="45">
        <v>22021000058</v>
      </c>
      <c r="E2046" s="46" t="s">
        <v>1767</v>
      </c>
      <c r="F2046" s="48">
        <v>6750</v>
      </c>
      <c r="G2046" s="54" t="s">
        <v>44</v>
      </c>
      <c r="H2046" s="54" t="s">
        <v>3455</v>
      </c>
      <c r="I2046" s="53" t="s">
        <v>125</v>
      </c>
      <c r="J2046" s="54" t="s">
        <v>146</v>
      </c>
      <c r="K2046" s="54" t="s">
        <v>146</v>
      </c>
      <c r="L2046" s="54" t="s">
        <v>15</v>
      </c>
      <c r="M2046" s="54" t="s">
        <v>13</v>
      </c>
      <c r="N2046" s="54" t="s">
        <v>14</v>
      </c>
      <c r="O2046" s="49" t="s">
        <v>803</v>
      </c>
      <c r="P2046" s="54" t="s">
        <v>3392</v>
      </c>
      <c r="Q2046" s="35" t="str">
        <f>MID(Tabla1[[#This Row],[Aplicación]],14,1)</f>
        <v>2</v>
      </c>
      <c r="R2046" s="35" t="s">
        <v>495</v>
      </c>
      <c r="S2046" s="35" t="str">
        <f>MID(Tabla1[[#This Row],[Aplicación]],6,2)</f>
        <v>10</v>
      </c>
      <c r="T2046" s="35" t="str">
        <f>VLOOKUP(Tabla1[[#This Row],[AREA]],Hoja1!A:B,2,FALSE)</f>
        <v>10. Servicios sociales y mediación comunitaria</v>
      </c>
      <c r="U2046" s="35" t="str">
        <f>MID(Tabla1[[#This Row],[Aplicación]],9,4)</f>
        <v>2311</v>
      </c>
      <c r="V2046" s="35" t="str">
        <f>VLOOKUP(Tabla1[[#This Row],[PROGRAMA]],Hoja1!A:B,2,FALSE)</f>
        <v>2311. Intervención social</v>
      </c>
      <c r="W2046" s="35" t="str">
        <f>MID(Tabla1[[#This Row],[Aplicación]],14,2)</f>
        <v>22</v>
      </c>
      <c r="X2046" s="35" t="str">
        <f>MID(Tabla1[[#This Row],[Aplicación]],14,6)</f>
        <v>22102</v>
      </c>
    </row>
    <row r="2047" spans="1:24" x14ac:dyDescent="0.25">
      <c r="A2047" s="45">
        <v>220210022401</v>
      </c>
      <c r="B2047" s="46" t="s">
        <v>9</v>
      </c>
      <c r="C2047" s="47">
        <v>44328</v>
      </c>
      <c r="D2047" s="45">
        <v>22021002850</v>
      </c>
      <c r="E2047" s="46" t="s">
        <v>1775</v>
      </c>
      <c r="F2047" s="48">
        <v>5250</v>
      </c>
      <c r="G2047" s="54" t="s">
        <v>44</v>
      </c>
      <c r="H2047" s="54" t="s">
        <v>3456</v>
      </c>
      <c r="I2047" s="53" t="s">
        <v>125</v>
      </c>
      <c r="J2047" s="54" t="s">
        <v>146</v>
      </c>
      <c r="K2047" s="54" t="s">
        <v>146</v>
      </c>
      <c r="L2047" s="54" t="s">
        <v>15</v>
      </c>
      <c r="M2047" s="54" t="s">
        <v>13</v>
      </c>
      <c r="N2047" s="54" t="s">
        <v>14</v>
      </c>
      <c r="O2047" s="49" t="s">
        <v>803</v>
      </c>
      <c r="P2047" s="54" t="s">
        <v>3392</v>
      </c>
      <c r="Q2047" s="35" t="str">
        <f>MID(Tabla1[[#This Row],[Aplicación]],14,1)</f>
        <v>2</v>
      </c>
      <c r="R2047" s="35" t="s">
        <v>495</v>
      </c>
      <c r="S2047" s="35" t="str">
        <f>MID(Tabla1[[#This Row],[Aplicación]],6,2)</f>
        <v>11</v>
      </c>
      <c r="T2047" s="35" t="str">
        <f>VLOOKUP(Tabla1[[#This Row],[AREA]],Hoja1!A:B,2,FALSE)</f>
        <v>11. Salud pública y seguridad ciudadana</v>
      </c>
      <c r="U2047" s="35" t="str">
        <f>MID(Tabla1[[#This Row],[Aplicación]],9,4)</f>
        <v>1361</v>
      </c>
      <c r="V2047" s="35" t="str">
        <f>VLOOKUP(Tabla1[[#This Row],[PROGRAMA]],Hoja1!A:B,2,FALSE)</f>
        <v>1361. Prevención y extinción de incencios</v>
      </c>
      <c r="W2047" s="35" t="str">
        <f>MID(Tabla1[[#This Row],[Aplicación]],14,2)</f>
        <v>22</v>
      </c>
      <c r="X2047" s="35" t="str">
        <f>MID(Tabla1[[#This Row],[Aplicación]],14,6)</f>
        <v>22102</v>
      </c>
    </row>
    <row r="2048" spans="1:24" x14ac:dyDescent="0.25">
      <c r="A2048" s="45">
        <v>220210022397</v>
      </c>
      <c r="B2048" s="46" t="s">
        <v>9</v>
      </c>
      <c r="C2048" s="47">
        <v>44328</v>
      </c>
      <c r="D2048" s="45">
        <v>22021000054</v>
      </c>
      <c r="E2048" s="46" t="s">
        <v>1764</v>
      </c>
      <c r="F2048" s="48">
        <v>5000</v>
      </c>
      <c r="G2048" s="54" t="s">
        <v>44</v>
      </c>
      <c r="H2048" s="54" t="s">
        <v>3457</v>
      </c>
      <c r="I2048" s="53" t="s">
        <v>125</v>
      </c>
      <c r="J2048" s="54" t="s">
        <v>146</v>
      </c>
      <c r="K2048" s="54" t="s">
        <v>146</v>
      </c>
      <c r="L2048" s="54" t="s">
        <v>15</v>
      </c>
      <c r="M2048" s="54" t="s">
        <v>13</v>
      </c>
      <c r="N2048" s="54" t="s">
        <v>14</v>
      </c>
      <c r="O2048" s="49" t="s">
        <v>803</v>
      </c>
      <c r="P2048" s="54" t="s">
        <v>3392</v>
      </c>
      <c r="Q2048" s="35" t="str">
        <f>MID(Tabla1[[#This Row],[Aplicación]],14,1)</f>
        <v>2</v>
      </c>
      <c r="R2048" s="35" t="s">
        <v>495</v>
      </c>
      <c r="S2048" s="35" t="str">
        <f>MID(Tabla1[[#This Row],[Aplicación]],6,2)</f>
        <v>11</v>
      </c>
      <c r="T2048" s="35" t="str">
        <f>VLOOKUP(Tabla1[[#This Row],[AREA]],Hoja1!A:B,2,FALSE)</f>
        <v>11. Salud pública y seguridad ciudadana</v>
      </c>
      <c r="U2048" s="35" t="str">
        <f>MID(Tabla1[[#This Row],[Aplicación]],9,4)</f>
        <v>1621</v>
      </c>
      <c r="V2048" s="35" t="str">
        <f>VLOOKUP(Tabla1[[#This Row],[PROGRAMA]],Hoja1!A:B,2,FALSE)</f>
        <v>1621. Servicio de limpieza</v>
      </c>
      <c r="W2048" s="35" t="str">
        <f>MID(Tabla1[[#This Row],[Aplicación]],14,2)</f>
        <v>22</v>
      </c>
      <c r="X2048" s="35" t="str">
        <f>MID(Tabla1[[#This Row],[Aplicación]],14,6)</f>
        <v>22102</v>
      </c>
    </row>
    <row r="2049" spans="1:24" x14ac:dyDescent="0.25">
      <c r="A2049" s="45">
        <v>220210014257</v>
      </c>
      <c r="B2049" s="46" t="s">
        <v>9</v>
      </c>
      <c r="C2049" s="47">
        <v>44293</v>
      </c>
      <c r="D2049" s="45">
        <v>22021002656</v>
      </c>
      <c r="E2049" s="46" t="s">
        <v>1286</v>
      </c>
      <c r="F2049" s="48">
        <v>47261.43</v>
      </c>
      <c r="G2049" s="54" t="s">
        <v>227</v>
      </c>
      <c r="H2049" s="54" t="s">
        <v>3458</v>
      </c>
      <c r="I2049" s="53" t="s">
        <v>125</v>
      </c>
      <c r="J2049" s="54" t="s">
        <v>669</v>
      </c>
      <c r="K2049" s="54" t="s">
        <v>136</v>
      </c>
      <c r="L2049" s="54" t="s">
        <v>12</v>
      </c>
      <c r="M2049" s="54" t="s">
        <v>25</v>
      </c>
      <c r="N2049" s="54" t="s">
        <v>11</v>
      </c>
      <c r="O2049" s="49" t="s">
        <v>805</v>
      </c>
      <c r="P2049" s="54" t="s">
        <v>3392</v>
      </c>
      <c r="Q2049" s="35" t="str">
        <f>MID(Tabla1[[#This Row],[Aplicación]],14,1)</f>
        <v>6</v>
      </c>
      <c r="R2049" s="35" t="s">
        <v>496</v>
      </c>
      <c r="S2049" s="35" t="str">
        <f>MID(Tabla1[[#This Row],[Aplicación]],6,2)</f>
        <v>04</v>
      </c>
      <c r="T2049" s="35" t="str">
        <f>VLOOKUP(Tabla1[[#This Row],[AREA]],Hoja1!A:B,2,FALSE)</f>
        <v>04. Planificación y recursos</v>
      </c>
      <c r="U2049" s="35" t="str">
        <f>MID(Tabla1[[#This Row],[Aplicación]],9,4)</f>
        <v>9204</v>
      </c>
      <c r="V2049" s="35" t="str">
        <f>VLOOKUP(Tabla1[[#This Row],[PROGRAMA]],Hoja1!A:B,2,FALSE)</f>
        <v>9204. Tecnologías de la información y comunicación</v>
      </c>
      <c r="W2049" s="35" t="str">
        <f>MID(Tabla1[[#This Row],[Aplicación]],14,2)</f>
        <v>64</v>
      </c>
      <c r="X2049" s="35" t="str">
        <f>MID(Tabla1[[#This Row],[Aplicación]],14,6)</f>
        <v>641</v>
      </c>
    </row>
    <row r="2050" spans="1:24" x14ac:dyDescent="0.25">
      <c r="A2050" s="45">
        <v>220210022394</v>
      </c>
      <c r="B2050" s="46" t="s">
        <v>9</v>
      </c>
      <c r="C2050" s="47">
        <v>44328</v>
      </c>
      <c r="D2050" s="45">
        <v>22021002653</v>
      </c>
      <c r="E2050" s="46" t="s">
        <v>1767</v>
      </c>
      <c r="F2050" s="48">
        <v>4500</v>
      </c>
      <c r="G2050" s="54" t="s">
        <v>44</v>
      </c>
      <c r="H2050" s="54" t="s">
        <v>3455</v>
      </c>
      <c r="I2050" s="53" t="s">
        <v>125</v>
      </c>
      <c r="J2050" s="54" t="s">
        <v>146</v>
      </c>
      <c r="K2050" s="54" t="s">
        <v>146</v>
      </c>
      <c r="L2050" s="54" t="s">
        <v>15</v>
      </c>
      <c r="M2050" s="54" t="s">
        <v>13</v>
      </c>
      <c r="N2050" s="54" t="s">
        <v>14</v>
      </c>
      <c r="O2050" s="49" t="s">
        <v>803</v>
      </c>
      <c r="P2050" s="54" t="s">
        <v>3392</v>
      </c>
      <c r="Q2050" s="35" t="str">
        <f>MID(Tabla1[[#This Row],[Aplicación]],14,1)</f>
        <v>2</v>
      </c>
      <c r="R2050" s="35" t="s">
        <v>495</v>
      </c>
      <c r="S2050" s="35" t="str">
        <f>MID(Tabla1[[#This Row],[Aplicación]],6,2)</f>
        <v>10</v>
      </c>
      <c r="T2050" s="35" t="str">
        <f>VLOOKUP(Tabla1[[#This Row],[AREA]],Hoja1!A:B,2,FALSE)</f>
        <v>10. Servicios sociales y mediación comunitaria</v>
      </c>
      <c r="U2050" s="35" t="str">
        <f>MID(Tabla1[[#This Row],[Aplicación]],9,4)</f>
        <v>2311</v>
      </c>
      <c r="V2050" s="35" t="str">
        <f>VLOOKUP(Tabla1[[#This Row],[PROGRAMA]],Hoja1!A:B,2,FALSE)</f>
        <v>2311. Intervención social</v>
      </c>
      <c r="W2050" s="35" t="str">
        <f>MID(Tabla1[[#This Row],[Aplicación]],14,2)</f>
        <v>22</v>
      </c>
      <c r="X2050" s="35" t="str">
        <f>MID(Tabla1[[#This Row],[Aplicación]],14,6)</f>
        <v>22102</v>
      </c>
    </row>
    <row r="2051" spans="1:24" x14ac:dyDescent="0.25">
      <c r="A2051" s="45">
        <v>220210030524</v>
      </c>
      <c r="B2051" s="46" t="s">
        <v>9</v>
      </c>
      <c r="C2051" s="47">
        <v>44358</v>
      </c>
      <c r="D2051" s="45">
        <v>22021004792</v>
      </c>
      <c r="E2051" s="46" t="s">
        <v>1471</v>
      </c>
      <c r="F2051" s="48">
        <v>45862.63</v>
      </c>
      <c r="G2051" s="54" t="s">
        <v>3459</v>
      </c>
      <c r="H2051" s="54" t="s">
        <v>3460</v>
      </c>
      <c r="I2051" s="53" t="s">
        <v>125</v>
      </c>
      <c r="J2051" s="54" t="s">
        <v>127</v>
      </c>
      <c r="K2051" s="54" t="s">
        <v>127</v>
      </c>
      <c r="L2051" s="54" t="s">
        <v>31</v>
      </c>
      <c r="M2051" s="54" t="s">
        <v>10</v>
      </c>
      <c r="N2051" s="54" t="s">
        <v>11</v>
      </c>
      <c r="O2051" s="49" t="s">
        <v>815</v>
      </c>
      <c r="P2051" s="54" t="s">
        <v>3392</v>
      </c>
      <c r="Q2051" s="35" t="str">
        <f>MID(Tabla1[[#This Row],[Aplicación]],14,1)</f>
        <v>2</v>
      </c>
      <c r="R2051" s="35" t="s">
        <v>495</v>
      </c>
      <c r="S2051" s="35" t="str">
        <f>MID(Tabla1[[#This Row],[Aplicación]],6,2)</f>
        <v>06</v>
      </c>
      <c r="T2051" s="35" t="str">
        <f>VLOOKUP(Tabla1[[#This Row],[AREA]],Hoja1!A:B,2,FALSE)</f>
        <v>06. Educación, infancia, juventud e igualdad</v>
      </c>
      <c r="U2051" s="35" t="str">
        <f>MID(Tabla1[[#This Row],[Aplicación]],9,4)</f>
        <v>3232</v>
      </c>
      <c r="V2051" s="35" t="str">
        <f>VLOOKUP(Tabla1[[#This Row],[PROGRAMA]],Hoja1!A:B,2,FALSE)</f>
        <v>3232. Conservación y mantenimiento centros educación infantil y primaria</v>
      </c>
      <c r="W2051" s="35" t="str">
        <f>MID(Tabla1[[#This Row],[Aplicación]],14,2)</f>
        <v>21</v>
      </c>
      <c r="X2051" s="35" t="str">
        <f>MID(Tabla1[[#This Row],[Aplicación]],14,6)</f>
        <v>212</v>
      </c>
    </row>
    <row r="2052" spans="1:24" x14ac:dyDescent="0.25">
      <c r="A2052" s="45">
        <v>220210030620</v>
      </c>
      <c r="B2052" s="46" t="s">
        <v>9</v>
      </c>
      <c r="C2052" s="47">
        <v>44358</v>
      </c>
      <c r="D2052" s="45">
        <v>22021004810</v>
      </c>
      <c r="E2052" s="46" t="s">
        <v>3309</v>
      </c>
      <c r="F2052" s="48">
        <v>43664.92</v>
      </c>
      <c r="G2052" s="54" t="s">
        <v>3204</v>
      </c>
      <c r="H2052" s="54" t="s">
        <v>3461</v>
      </c>
      <c r="I2052" s="53" t="s">
        <v>125</v>
      </c>
      <c r="J2052" s="54" t="s">
        <v>127</v>
      </c>
      <c r="K2052" s="54" t="s">
        <v>127</v>
      </c>
      <c r="L2052" s="54" t="s">
        <v>31</v>
      </c>
      <c r="M2052" s="54" t="s">
        <v>10</v>
      </c>
      <c r="N2052" s="54" t="s">
        <v>11</v>
      </c>
      <c r="O2052" s="49" t="s">
        <v>815</v>
      </c>
      <c r="P2052" s="54" t="s">
        <v>3392</v>
      </c>
      <c r="Q2052" s="35" t="str">
        <f>MID(Tabla1[[#This Row],[Aplicación]],14,1)</f>
        <v>6</v>
      </c>
      <c r="R2052" s="35" t="s">
        <v>496</v>
      </c>
      <c r="S2052" s="35" t="str">
        <f>MID(Tabla1[[#This Row],[Aplicación]],6,2)</f>
        <v>06</v>
      </c>
      <c r="T2052" s="35" t="str">
        <f>VLOOKUP(Tabla1[[#This Row],[AREA]],Hoja1!A:B,2,FALSE)</f>
        <v>06. Educación, infancia, juventud e igualdad</v>
      </c>
      <c r="U2052" s="35" t="str">
        <f>MID(Tabla1[[#This Row],[Aplicación]],9,4)</f>
        <v>3261</v>
      </c>
      <c r="V2052" s="35" t="str">
        <f>VLOOKUP(Tabla1[[#This Row],[PROGRAMA]],Hoja1!A:B,2,FALSE)</f>
        <v>3261. Servicios complementarios de educación</v>
      </c>
      <c r="W2052" s="35" t="str">
        <f>MID(Tabla1[[#This Row],[Aplicación]],14,2)</f>
        <v>63</v>
      </c>
      <c r="X2052" s="35" t="str">
        <f>MID(Tabla1[[#This Row],[Aplicación]],14,6)</f>
        <v>632</v>
      </c>
    </row>
    <row r="2053" spans="1:24" x14ac:dyDescent="0.25">
      <c r="A2053" s="45">
        <v>220210032813</v>
      </c>
      <c r="B2053" s="46" t="s">
        <v>9</v>
      </c>
      <c r="C2053" s="47">
        <v>44371</v>
      </c>
      <c r="D2053" s="45">
        <v>22021004993</v>
      </c>
      <c r="E2053" s="46" t="s">
        <v>1471</v>
      </c>
      <c r="F2053" s="48">
        <v>42801.11</v>
      </c>
      <c r="G2053" s="54" t="s">
        <v>3462</v>
      </c>
      <c r="H2053" s="54" t="s">
        <v>3463</v>
      </c>
      <c r="I2053" s="53" t="s">
        <v>125</v>
      </c>
      <c r="J2053" s="54" t="s">
        <v>760</v>
      </c>
      <c r="K2053" s="54" t="s">
        <v>127</v>
      </c>
      <c r="L2053" s="54" t="s">
        <v>31</v>
      </c>
      <c r="M2053" s="54" t="s">
        <v>10</v>
      </c>
      <c r="N2053" s="54" t="s">
        <v>11</v>
      </c>
      <c r="O2053" s="49" t="s">
        <v>815</v>
      </c>
      <c r="P2053" s="54" t="s">
        <v>3392</v>
      </c>
      <c r="Q2053" s="35" t="str">
        <f>MID(Tabla1[[#This Row],[Aplicación]],14,1)</f>
        <v>2</v>
      </c>
      <c r="R2053" s="35" t="s">
        <v>495</v>
      </c>
      <c r="S2053" s="35" t="str">
        <f>MID(Tabla1[[#This Row],[Aplicación]],6,2)</f>
        <v>06</v>
      </c>
      <c r="T2053" s="35" t="str">
        <f>VLOOKUP(Tabla1[[#This Row],[AREA]],Hoja1!A:B,2,FALSE)</f>
        <v>06. Educación, infancia, juventud e igualdad</v>
      </c>
      <c r="U2053" s="35" t="str">
        <f>MID(Tabla1[[#This Row],[Aplicación]],9,4)</f>
        <v>3232</v>
      </c>
      <c r="V2053" s="35" t="str">
        <f>VLOOKUP(Tabla1[[#This Row],[PROGRAMA]],Hoja1!A:B,2,FALSE)</f>
        <v>3232. Conservación y mantenimiento centros educación infantil y primaria</v>
      </c>
      <c r="W2053" s="35" t="str">
        <f>MID(Tabla1[[#This Row],[Aplicación]],14,2)</f>
        <v>21</v>
      </c>
      <c r="X2053" s="35" t="str">
        <f>MID(Tabla1[[#This Row],[Aplicación]],14,6)</f>
        <v>212</v>
      </c>
    </row>
    <row r="2054" spans="1:24" x14ac:dyDescent="0.25">
      <c r="A2054" s="45">
        <v>220210022394</v>
      </c>
      <c r="B2054" s="46" t="s">
        <v>9</v>
      </c>
      <c r="C2054" s="47">
        <v>44328</v>
      </c>
      <c r="D2054" s="45">
        <v>22021000059</v>
      </c>
      <c r="E2054" s="46" t="s">
        <v>1767</v>
      </c>
      <c r="F2054" s="48">
        <v>3750</v>
      </c>
      <c r="G2054" s="54" t="s">
        <v>44</v>
      </c>
      <c r="H2054" s="54" t="s">
        <v>3455</v>
      </c>
      <c r="I2054" s="53" t="s">
        <v>125</v>
      </c>
      <c r="J2054" s="54" t="s">
        <v>146</v>
      </c>
      <c r="K2054" s="54" t="s">
        <v>146</v>
      </c>
      <c r="L2054" s="54" t="s">
        <v>15</v>
      </c>
      <c r="M2054" s="54" t="s">
        <v>13</v>
      </c>
      <c r="N2054" s="54" t="s">
        <v>14</v>
      </c>
      <c r="O2054" s="49" t="s">
        <v>803</v>
      </c>
      <c r="P2054" s="54" t="s">
        <v>3392</v>
      </c>
      <c r="Q2054" s="35" t="str">
        <f>MID(Tabla1[[#This Row],[Aplicación]],14,1)</f>
        <v>2</v>
      </c>
      <c r="R2054" s="35" t="s">
        <v>495</v>
      </c>
      <c r="S2054" s="35" t="str">
        <f>MID(Tabla1[[#This Row],[Aplicación]],6,2)</f>
        <v>10</v>
      </c>
      <c r="T2054" s="35" t="str">
        <f>VLOOKUP(Tabla1[[#This Row],[AREA]],Hoja1!A:B,2,FALSE)</f>
        <v>10. Servicios sociales y mediación comunitaria</v>
      </c>
      <c r="U2054" s="35" t="str">
        <f>MID(Tabla1[[#This Row],[Aplicación]],9,4)</f>
        <v>2311</v>
      </c>
      <c r="V2054" s="35" t="str">
        <f>VLOOKUP(Tabla1[[#This Row],[PROGRAMA]],Hoja1!A:B,2,FALSE)</f>
        <v>2311. Intervención social</v>
      </c>
      <c r="W2054" s="35" t="str">
        <f>MID(Tabla1[[#This Row],[Aplicación]],14,2)</f>
        <v>22</v>
      </c>
      <c r="X2054" s="35" t="str">
        <f>MID(Tabla1[[#This Row],[Aplicación]],14,6)</f>
        <v>22102</v>
      </c>
    </row>
    <row r="2055" spans="1:24" x14ac:dyDescent="0.25">
      <c r="A2055" s="45">
        <v>220210032904</v>
      </c>
      <c r="B2055" s="46" t="s">
        <v>9</v>
      </c>
      <c r="C2055" s="47">
        <v>44372</v>
      </c>
      <c r="D2055" s="45">
        <v>22021005070</v>
      </c>
      <c r="E2055" s="46" t="s">
        <v>3308</v>
      </c>
      <c r="F2055" s="48">
        <v>42672.65</v>
      </c>
      <c r="G2055" s="54" t="s">
        <v>1911</v>
      </c>
      <c r="H2055" s="54" t="s">
        <v>3464</v>
      </c>
      <c r="I2055" s="53" t="s">
        <v>125</v>
      </c>
      <c r="J2055" s="54" t="s">
        <v>127</v>
      </c>
      <c r="K2055" s="54" t="s">
        <v>127</v>
      </c>
      <c r="L2055" s="54" t="s">
        <v>31</v>
      </c>
      <c r="M2055" s="54" t="s">
        <v>10</v>
      </c>
      <c r="N2055" s="54" t="s">
        <v>11</v>
      </c>
      <c r="O2055" s="49" t="s">
        <v>815</v>
      </c>
      <c r="P2055" s="54" t="s">
        <v>3392</v>
      </c>
      <c r="Q2055" s="35" t="str">
        <f>MID(Tabla1[[#This Row],[Aplicación]],14,1)</f>
        <v>6</v>
      </c>
      <c r="R2055" s="35" t="s">
        <v>496</v>
      </c>
      <c r="S2055" s="35" t="str">
        <f>MID(Tabla1[[#This Row],[Aplicación]],6,2)</f>
        <v>06</v>
      </c>
      <c r="T2055" s="35" t="str">
        <f>VLOOKUP(Tabla1[[#This Row],[AREA]],Hoja1!A:B,2,FALSE)</f>
        <v>06. Educación, infancia, juventud e igualdad</v>
      </c>
      <c r="U2055" s="35" t="str">
        <f>MID(Tabla1[[#This Row],[Aplicación]],9,4)</f>
        <v>3232</v>
      </c>
      <c r="V2055" s="35" t="str">
        <f>VLOOKUP(Tabla1[[#This Row],[PROGRAMA]],Hoja1!A:B,2,FALSE)</f>
        <v>3232. Conservación y mantenimiento centros educación infantil y primaria</v>
      </c>
      <c r="W2055" s="35" t="str">
        <f>MID(Tabla1[[#This Row],[Aplicación]],14,2)</f>
        <v>63</v>
      </c>
      <c r="X2055" s="35" t="str">
        <f>MID(Tabla1[[#This Row],[Aplicación]],14,6)</f>
        <v>632</v>
      </c>
    </row>
    <row r="2056" spans="1:24" x14ac:dyDescent="0.25">
      <c r="A2056" s="45">
        <v>220210022392</v>
      </c>
      <c r="B2056" s="46" t="s">
        <v>9</v>
      </c>
      <c r="C2056" s="47">
        <v>44328</v>
      </c>
      <c r="D2056" s="45">
        <v>22021002650</v>
      </c>
      <c r="E2056" s="46" t="s">
        <v>1766</v>
      </c>
      <c r="F2056" s="48">
        <v>1750</v>
      </c>
      <c r="G2056" s="54" t="s">
        <v>44</v>
      </c>
      <c r="H2056" s="54" t="s">
        <v>3465</v>
      </c>
      <c r="I2056" s="53" t="s">
        <v>125</v>
      </c>
      <c r="J2056" s="54" t="s">
        <v>146</v>
      </c>
      <c r="K2056" s="54" t="s">
        <v>146</v>
      </c>
      <c r="L2056" s="54" t="s">
        <v>15</v>
      </c>
      <c r="M2056" s="54" t="s">
        <v>13</v>
      </c>
      <c r="N2056" s="54" t="s">
        <v>16</v>
      </c>
      <c r="O2056" s="49" t="s">
        <v>803</v>
      </c>
      <c r="P2056" s="54" t="s">
        <v>3392</v>
      </c>
      <c r="Q2056" s="35" t="str">
        <f>MID(Tabla1[[#This Row],[Aplicación]],14,1)</f>
        <v>2</v>
      </c>
      <c r="R2056" s="35" t="s">
        <v>495</v>
      </c>
      <c r="S2056" s="35" t="str">
        <f>MID(Tabla1[[#This Row],[Aplicación]],6,2)</f>
        <v>10</v>
      </c>
      <c r="T2056" s="35" t="str">
        <f>VLOOKUP(Tabla1[[#This Row],[AREA]],Hoja1!A:B,2,FALSE)</f>
        <v>10. Servicios sociales y mediación comunitaria</v>
      </c>
      <c r="U2056" s="35" t="str">
        <f>MID(Tabla1[[#This Row],[Aplicación]],9,4)</f>
        <v>2412</v>
      </c>
      <c r="V2056" s="35" t="str">
        <f>VLOOKUP(Tabla1[[#This Row],[PROGRAMA]],Hoja1!A:B,2,FALSE)</f>
        <v>2412. Formación para el empleo</v>
      </c>
      <c r="W2056" s="35" t="str">
        <f>MID(Tabla1[[#This Row],[Aplicación]],14,2)</f>
        <v>22</v>
      </c>
      <c r="X2056" s="35" t="str">
        <f>MID(Tabla1[[#This Row],[Aplicación]],14,6)</f>
        <v>22102</v>
      </c>
    </row>
    <row r="2057" spans="1:24" x14ac:dyDescent="0.25">
      <c r="A2057" s="45">
        <v>220210022392</v>
      </c>
      <c r="B2057" s="46" t="s">
        <v>9</v>
      </c>
      <c r="C2057" s="47">
        <v>44328</v>
      </c>
      <c r="D2057" s="45">
        <v>22021002651</v>
      </c>
      <c r="E2057" s="46" t="s">
        <v>1766</v>
      </c>
      <c r="F2057" s="48">
        <v>1750</v>
      </c>
      <c r="G2057" s="54" t="s">
        <v>44</v>
      </c>
      <c r="H2057" s="54" t="s">
        <v>3465</v>
      </c>
      <c r="I2057" s="53" t="s">
        <v>125</v>
      </c>
      <c r="J2057" s="54" t="s">
        <v>146</v>
      </c>
      <c r="K2057" s="54" t="s">
        <v>146</v>
      </c>
      <c r="L2057" s="54" t="s">
        <v>15</v>
      </c>
      <c r="M2057" s="54" t="s">
        <v>13</v>
      </c>
      <c r="N2057" s="54" t="s">
        <v>16</v>
      </c>
      <c r="O2057" s="49" t="s">
        <v>803</v>
      </c>
      <c r="P2057" s="54" t="s">
        <v>3392</v>
      </c>
      <c r="Q2057" s="35" t="str">
        <f>MID(Tabla1[[#This Row],[Aplicación]],14,1)</f>
        <v>2</v>
      </c>
      <c r="R2057" s="35" t="s">
        <v>495</v>
      </c>
      <c r="S2057" s="35" t="str">
        <f>MID(Tabla1[[#This Row],[Aplicación]],6,2)</f>
        <v>10</v>
      </c>
      <c r="T2057" s="35" t="str">
        <f>VLOOKUP(Tabla1[[#This Row],[AREA]],Hoja1!A:B,2,FALSE)</f>
        <v>10. Servicios sociales y mediación comunitaria</v>
      </c>
      <c r="U2057" s="35" t="str">
        <f>MID(Tabla1[[#This Row],[Aplicación]],9,4)</f>
        <v>2412</v>
      </c>
      <c r="V2057" s="35" t="str">
        <f>VLOOKUP(Tabla1[[#This Row],[PROGRAMA]],Hoja1!A:B,2,FALSE)</f>
        <v>2412. Formación para el empleo</v>
      </c>
      <c r="W2057" s="35" t="str">
        <f>MID(Tabla1[[#This Row],[Aplicación]],14,2)</f>
        <v>22</v>
      </c>
      <c r="X2057" s="35" t="str">
        <f>MID(Tabla1[[#This Row],[Aplicación]],14,6)</f>
        <v>22102</v>
      </c>
    </row>
    <row r="2058" spans="1:24" x14ac:dyDescent="0.25">
      <c r="A2058" s="45">
        <v>220210031496</v>
      </c>
      <c r="B2058" s="46" t="s">
        <v>9</v>
      </c>
      <c r="C2058" s="47">
        <v>44369</v>
      </c>
      <c r="D2058" s="45">
        <v>22021004811</v>
      </c>
      <c r="E2058" s="46" t="s">
        <v>1172</v>
      </c>
      <c r="F2058" s="48">
        <v>40515.040000000001</v>
      </c>
      <c r="G2058" s="54" t="s">
        <v>3466</v>
      </c>
      <c r="H2058" s="54" t="s">
        <v>3467</v>
      </c>
      <c r="I2058" s="53" t="s">
        <v>125</v>
      </c>
      <c r="J2058" s="54" t="s">
        <v>127</v>
      </c>
      <c r="K2058" s="54" t="s">
        <v>127</v>
      </c>
      <c r="L2058" s="54" t="s">
        <v>31</v>
      </c>
      <c r="M2058" s="54" t="s">
        <v>10</v>
      </c>
      <c r="N2058" s="54" t="s">
        <v>14</v>
      </c>
      <c r="O2058" s="49" t="s">
        <v>815</v>
      </c>
      <c r="P2058" s="54" t="s">
        <v>3392</v>
      </c>
      <c r="Q2058" s="35" t="str">
        <f>MID(Tabla1[[#This Row],[Aplicación]],14,1)</f>
        <v>6</v>
      </c>
      <c r="R2058" s="35" t="s">
        <v>496</v>
      </c>
      <c r="S2058" s="35" t="str">
        <f>MID(Tabla1[[#This Row],[Aplicación]],6,2)</f>
        <v>02</v>
      </c>
      <c r="T2058" s="35" t="str">
        <f>VLOOKUP(Tabla1[[#This Row],[AREA]],Hoja1!A:B,2,FALSE)</f>
        <v>02. Planeamiento urbanístico y vivienda</v>
      </c>
      <c r="U2058" s="35" t="str">
        <f>MID(Tabla1[[#This Row],[Aplicación]],9,4)</f>
        <v>9332</v>
      </c>
      <c r="V2058" s="35" t="str">
        <f>VLOOKUP(Tabla1[[#This Row],[PROGRAMA]],Hoja1!A:B,2,FALSE)</f>
        <v>9332. Mantenimiento de edificios e instalaciones municipales</v>
      </c>
      <c r="W2058" s="35" t="str">
        <f>MID(Tabla1[[#This Row],[Aplicación]],14,2)</f>
        <v>63</v>
      </c>
      <c r="X2058" s="35" t="str">
        <f>MID(Tabla1[[#This Row],[Aplicación]],14,6)</f>
        <v>632</v>
      </c>
    </row>
    <row r="2059" spans="1:24" x14ac:dyDescent="0.25">
      <c r="A2059" s="45">
        <v>220210020466</v>
      </c>
      <c r="B2059" s="46" t="s">
        <v>9</v>
      </c>
      <c r="C2059" s="47">
        <v>44322</v>
      </c>
      <c r="D2059" s="45">
        <v>22021003682</v>
      </c>
      <c r="E2059" s="46" t="s">
        <v>1471</v>
      </c>
      <c r="F2059" s="48">
        <v>40300.26</v>
      </c>
      <c r="G2059" s="54" t="s">
        <v>3468</v>
      </c>
      <c r="H2059" s="54" t="s">
        <v>3469</v>
      </c>
      <c r="I2059" s="53" t="s">
        <v>125</v>
      </c>
      <c r="J2059" s="54" t="s">
        <v>127</v>
      </c>
      <c r="K2059" s="54" t="s">
        <v>127</v>
      </c>
      <c r="L2059" s="54" t="s">
        <v>31</v>
      </c>
      <c r="M2059" s="54" t="s">
        <v>10</v>
      </c>
      <c r="N2059" s="54" t="s">
        <v>11</v>
      </c>
      <c r="O2059" s="49" t="s">
        <v>815</v>
      </c>
      <c r="P2059" s="54" t="s">
        <v>3392</v>
      </c>
      <c r="Q2059" s="35" t="str">
        <f>MID(Tabla1[[#This Row],[Aplicación]],14,1)</f>
        <v>2</v>
      </c>
      <c r="R2059" s="35" t="s">
        <v>495</v>
      </c>
      <c r="S2059" s="35" t="str">
        <f>MID(Tabla1[[#This Row],[Aplicación]],6,2)</f>
        <v>06</v>
      </c>
      <c r="T2059" s="35" t="str">
        <f>VLOOKUP(Tabla1[[#This Row],[AREA]],Hoja1!A:B,2,FALSE)</f>
        <v>06. Educación, infancia, juventud e igualdad</v>
      </c>
      <c r="U2059" s="35" t="str">
        <f>MID(Tabla1[[#This Row],[Aplicación]],9,4)</f>
        <v>3232</v>
      </c>
      <c r="V2059" s="35" t="str">
        <f>VLOOKUP(Tabla1[[#This Row],[PROGRAMA]],Hoja1!A:B,2,FALSE)</f>
        <v>3232. Conservación y mantenimiento centros educación infantil y primaria</v>
      </c>
      <c r="W2059" s="35" t="str">
        <f>MID(Tabla1[[#This Row],[Aplicación]],14,2)</f>
        <v>21</v>
      </c>
      <c r="X2059" s="35" t="str">
        <f>MID(Tabla1[[#This Row],[Aplicación]],14,6)</f>
        <v>212</v>
      </c>
    </row>
    <row r="2060" spans="1:24" x14ac:dyDescent="0.25">
      <c r="A2060" s="45">
        <v>220210031508</v>
      </c>
      <c r="B2060" s="46" t="s">
        <v>9</v>
      </c>
      <c r="C2060" s="47">
        <v>44369</v>
      </c>
      <c r="D2060" s="45">
        <v>22021004961</v>
      </c>
      <c r="E2060" s="46" t="s">
        <v>3308</v>
      </c>
      <c r="F2060" s="48">
        <v>40126.89</v>
      </c>
      <c r="G2060" s="54" t="s">
        <v>3470</v>
      </c>
      <c r="H2060" s="54" t="s">
        <v>3471</v>
      </c>
      <c r="I2060" s="53" t="s">
        <v>125</v>
      </c>
      <c r="J2060" s="54" t="s">
        <v>127</v>
      </c>
      <c r="K2060" s="54" t="s">
        <v>127</v>
      </c>
      <c r="L2060" s="54" t="s">
        <v>31</v>
      </c>
      <c r="M2060" s="54" t="s">
        <v>10</v>
      </c>
      <c r="N2060" s="54" t="s">
        <v>11</v>
      </c>
      <c r="O2060" s="49" t="s">
        <v>815</v>
      </c>
      <c r="P2060" s="54" t="s">
        <v>3392</v>
      </c>
      <c r="Q2060" s="35" t="str">
        <f>MID(Tabla1[[#This Row],[Aplicación]],14,1)</f>
        <v>6</v>
      </c>
      <c r="R2060" s="35" t="s">
        <v>496</v>
      </c>
      <c r="S2060" s="35" t="str">
        <f>MID(Tabla1[[#This Row],[Aplicación]],6,2)</f>
        <v>06</v>
      </c>
      <c r="T2060" s="35" t="str">
        <f>VLOOKUP(Tabla1[[#This Row],[AREA]],Hoja1!A:B,2,FALSE)</f>
        <v>06. Educación, infancia, juventud e igualdad</v>
      </c>
      <c r="U2060" s="35" t="str">
        <f>MID(Tabla1[[#This Row],[Aplicación]],9,4)</f>
        <v>3232</v>
      </c>
      <c r="V2060" s="35" t="str">
        <f>VLOOKUP(Tabla1[[#This Row],[PROGRAMA]],Hoja1!A:B,2,FALSE)</f>
        <v>3232. Conservación y mantenimiento centros educación infantil y primaria</v>
      </c>
      <c r="W2060" s="35" t="str">
        <f>MID(Tabla1[[#This Row],[Aplicación]],14,2)</f>
        <v>63</v>
      </c>
      <c r="X2060" s="35" t="str">
        <f>MID(Tabla1[[#This Row],[Aplicación]],14,6)</f>
        <v>632</v>
      </c>
    </row>
    <row r="2061" spans="1:24" x14ac:dyDescent="0.25">
      <c r="A2061" s="45">
        <v>220210030519</v>
      </c>
      <c r="B2061" s="46" t="s">
        <v>9</v>
      </c>
      <c r="C2061" s="47">
        <v>44358</v>
      </c>
      <c r="D2061" s="45">
        <v>22021003919</v>
      </c>
      <c r="E2061" s="46" t="s">
        <v>3314</v>
      </c>
      <c r="F2061" s="48">
        <v>39325.97</v>
      </c>
      <c r="G2061" s="54" t="s">
        <v>3472</v>
      </c>
      <c r="H2061" s="54" t="s">
        <v>3473</v>
      </c>
      <c r="I2061" s="53" t="s">
        <v>125</v>
      </c>
      <c r="J2061" s="54" t="s">
        <v>127</v>
      </c>
      <c r="K2061" s="54" t="s">
        <v>127</v>
      </c>
      <c r="L2061" s="54" t="s">
        <v>31</v>
      </c>
      <c r="M2061" s="54" t="s">
        <v>10</v>
      </c>
      <c r="N2061" s="54" t="s">
        <v>11</v>
      </c>
      <c r="O2061" s="49" t="s">
        <v>815</v>
      </c>
      <c r="P2061" s="54" t="s">
        <v>3392</v>
      </c>
      <c r="Q2061" s="35" t="str">
        <f>MID(Tabla1[[#This Row],[Aplicación]],14,1)</f>
        <v>6</v>
      </c>
      <c r="R2061" s="35" t="s">
        <v>496</v>
      </c>
      <c r="S2061" s="35" t="str">
        <f>MID(Tabla1[[#This Row],[Aplicación]],6,2)</f>
        <v>07</v>
      </c>
      <c r="T2061" s="35" t="str">
        <f>VLOOKUP(Tabla1[[#This Row],[AREA]],Hoja1!A:B,2,FALSE)</f>
        <v>07. Medio ambiente y desarrollo sostenible</v>
      </c>
      <c r="U2061" s="35" t="str">
        <f>MID(Tabla1[[#This Row],[Aplicación]],9,4)</f>
        <v>1701</v>
      </c>
      <c r="V2061" s="35" t="str">
        <f>VLOOKUP(Tabla1[[#This Row],[PROGRAMA]],Hoja1!A:B,2,FALSE)</f>
        <v>1701. Dirección del área de medio ambiente</v>
      </c>
      <c r="W2061" s="35" t="str">
        <f>MID(Tabla1[[#This Row],[Aplicación]],14,2)</f>
        <v>62</v>
      </c>
      <c r="X2061" s="35" t="str">
        <f>MID(Tabla1[[#This Row],[Aplicación]],14,6)</f>
        <v>623</v>
      </c>
    </row>
    <row r="2062" spans="1:24" x14ac:dyDescent="0.25">
      <c r="A2062" s="45">
        <v>220210031214</v>
      </c>
      <c r="B2062" s="46" t="s">
        <v>9</v>
      </c>
      <c r="C2062" s="47">
        <v>44362</v>
      </c>
      <c r="D2062" s="45">
        <v>22021003920</v>
      </c>
      <c r="E2062" s="46" t="s">
        <v>3315</v>
      </c>
      <c r="F2062" s="48">
        <v>37437.160000000003</v>
      </c>
      <c r="G2062" s="54" t="s">
        <v>3474</v>
      </c>
      <c r="H2062" s="54" t="s">
        <v>3475</v>
      </c>
      <c r="I2062" s="53" t="s">
        <v>125</v>
      </c>
      <c r="J2062" s="54" t="s">
        <v>127</v>
      </c>
      <c r="K2062" s="54" t="s">
        <v>127</v>
      </c>
      <c r="L2062" s="54" t="s">
        <v>31</v>
      </c>
      <c r="M2062" s="54" t="s">
        <v>10</v>
      </c>
      <c r="N2062" s="54" t="s">
        <v>11</v>
      </c>
      <c r="O2062" s="49" t="s">
        <v>815</v>
      </c>
      <c r="P2062" s="54" t="s">
        <v>3392</v>
      </c>
      <c r="Q2062" s="35" t="str">
        <f>MID(Tabla1[[#This Row],[Aplicación]],14,1)</f>
        <v>6</v>
      </c>
      <c r="R2062" s="35" t="s">
        <v>496</v>
      </c>
      <c r="S2062" s="35" t="str">
        <f>MID(Tabla1[[#This Row],[Aplicación]],6,2)</f>
        <v>07</v>
      </c>
      <c r="T2062" s="35" t="str">
        <f>VLOOKUP(Tabla1[[#This Row],[AREA]],Hoja1!A:B,2,FALSE)</f>
        <v>07. Medio ambiente y desarrollo sostenible</v>
      </c>
      <c r="U2062" s="35" t="str">
        <f>MID(Tabla1[[#This Row],[Aplicación]],9,4)</f>
        <v>1701</v>
      </c>
      <c r="V2062" s="35" t="str">
        <f>VLOOKUP(Tabla1[[#This Row],[PROGRAMA]],Hoja1!A:B,2,FALSE)</f>
        <v>1701. Dirección del área de medio ambiente</v>
      </c>
      <c r="W2062" s="35" t="str">
        <f>MID(Tabla1[[#This Row],[Aplicación]],14,2)</f>
        <v>63</v>
      </c>
      <c r="X2062" s="35" t="str">
        <f>MID(Tabla1[[#This Row],[Aplicación]],14,6)</f>
        <v>633</v>
      </c>
    </row>
    <row r="2063" spans="1:24" x14ac:dyDescent="0.25">
      <c r="A2063" s="45">
        <v>220210023540</v>
      </c>
      <c r="B2063" s="46" t="s">
        <v>9</v>
      </c>
      <c r="C2063" s="47">
        <v>44336</v>
      </c>
      <c r="D2063" s="45">
        <v>22021000765</v>
      </c>
      <c r="E2063" s="46" t="s">
        <v>1766</v>
      </c>
      <c r="F2063" s="48">
        <v>1540.94</v>
      </c>
      <c r="G2063" s="54" t="s">
        <v>44</v>
      </c>
      <c r="H2063" s="54" t="s">
        <v>3210</v>
      </c>
      <c r="I2063" s="53" t="s">
        <v>125</v>
      </c>
      <c r="J2063" s="54" t="s">
        <v>146</v>
      </c>
      <c r="K2063" s="54" t="s">
        <v>146</v>
      </c>
      <c r="L2063" s="54" t="s">
        <v>12</v>
      </c>
      <c r="M2063" s="54" t="s">
        <v>13</v>
      </c>
      <c r="N2063" s="54" t="s">
        <v>14</v>
      </c>
      <c r="O2063" s="49" t="s">
        <v>803</v>
      </c>
      <c r="P2063" s="54" t="s">
        <v>3392</v>
      </c>
      <c r="Q2063" s="35" t="str">
        <f>MID(Tabla1[[#This Row],[Aplicación]],14,1)</f>
        <v>2</v>
      </c>
      <c r="R2063" s="35" t="s">
        <v>495</v>
      </c>
      <c r="S2063" s="35" t="str">
        <f>MID(Tabla1[[#This Row],[Aplicación]],6,2)</f>
        <v>10</v>
      </c>
      <c r="T2063" s="35" t="str">
        <f>VLOOKUP(Tabla1[[#This Row],[AREA]],Hoja1!A:B,2,FALSE)</f>
        <v>10. Servicios sociales y mediación comunitaria</v>
      </c>
      <c r="U2063" s="35" t="str">
        <f>MID(Tabla1[[#This Row],[Aplicación]],9,4)</f>
        <v>2412</v>
      </c>
      <c r="V2063" s="35" t="str">
        <f>VLOOKUP(Tabla1[[#This Row],[PROGRAMA]],Hoja1!A:B,2,FALSE)</f>
        <v>2412. Formación para el empleo</v>
      </c>
      <c r="W2063" s="35" t="str">
        <f>MID(Tabla1[[#This Row],[Aplicación]],14,2)</f>
        <v>22</v>
      </c>
      <c r="X2063" s="35" t="str">
        <f>MID(Tabla1[[#This Row],[Aplicación]],14,6)</f>
        <v>22102</v>
      </c>
    </row>
    <row r="2064" spans="1:24" x14ac:dyDescent="0.25">
      <c r="A2064" s="45">
        <v>220210025619</v>
      </c>
      <c r="B2064" s="46" t="s">
        <v>9</v>
      </c>
      <c r="C2064" s="47">
        <v>44342</v>
      </c>
      <c r="D2064" s="45">
        <v>22021004560</v>
      </c>
      <c r="E2064" s="46" t="s">
        <v>3308</v>
      </c>
      <c r="F2064" s="48">
        <v>33981.64</v>
      </c>
      <c r="G2064" s="54" t="s">
        <v>3476</v>
      </c>
      <c r="H2064" s="54" t="s">
        <v>3477</v>
      </c>
      <c r="I2064" s="53" t="s">
        <v>125</v>
      </c>
      <c r="J2064" s="54" t="s">
        <v>3478</v>
      </c>
      <c r="K2064" s="54" t="s">
        <v>127</v>
      </c>
      <c r="L2064" s="54" t="s">
        <v>31</v>
      </c>
      <c r="M2064" s="54" t="s">
        <v>10</v>
      </c>
      <c r="N2064" s="54" t="s">
        <v>11</v>
      </c>
      <c r="O2064" s="49" t="s">
        <v>815</v>
      </c>
      <c r="P2064" s="54" t="s">
        <v>3392</v>
      </c>
      <c r="Q2064" s="35" t="str">
        <f>MID(Tabla1[[#This Row],[Aplicación]],14,1)</f>
        <v>6</v>
      </c>
      <c r="R2064" s="35" t="s">
        <v>496</v>
      </c>
      <c r="S2064" s="35" t="str">
        <f>MID(Tabla1[[#This Row],[Aplicación]],6,2)</f>
        <v>06</v>
      </c>
      <c r="T2064" s="35" t="str">
        <f>VLOOKUP(Tabla1[[#This Row],[AREA]],Hoja1!A:B,2,FALSE)</f>
        <v>06. Educación, infancia, juventud e igualdad</v>
      </c>
      <c r="U2064" s="35" t="str">
        <f>MID(Tabla1[[#This Row],[Aplicación]],9,4)</f>
        <v>3232</v>
      </c>
      <c r="V2064" s="35" t="str">
        <f>VLOOKUP(Tabla1[[#This Row],[PROGRAMA]],Hoja1!A:B,2,FALSE)</f>
        <v>3232. Conservación y mantenimiento centros educación infantil y primaria</v>
      </c>
      <c r="W2064" s="35" t="str">
        <f>MID(Tabla1[[#This Row],[Aplicación]],14,2)</f>
        <v>63</v>
      </c>
      <c r="X2064" s="35" t="str">
        <f>MID(Tabla1[[#This Row],[Aplicación]],14,6)</f>
        <v>632</v>
      </c>
    </row>
    <row r="2065" spans="1:24" x14ac:dyDescent="0.25">
      <c r="A2065" s="45">
        <v>220210023540</v>
      </c>
      <c r="B2065" s="46" t="s">
        <v>9</v>
      </c>
      <c r="C2065" s="47">
        <v>44336</v>
      </c>
      <c r="D2065" s="45">
        <v>22021000764</v>
      </c>
      <c r="E2065" s="46" t="s">
        <v>1766</v>
      </c>
      <c r="F2065" s="48">
        <v>1368</v>
      </c>
      <c r="G2065" s="54" t="s">
        <v>44</v>
      </c>
      <c r="H2065" s="54" t="s">
        <v>3210</v>
      </c>
      <c r="I2065" s="53" t="s">
        <v>125</v>
      </c>
      <c r="J2065" s="54" t="s">
        <v>146</v>
      </c>
      <c r="K2065" s="54" t="s">
        <v>146</v>
      </c>
      <c r="L2065" s="54" t="s">
        <v>12</v>
      </c>
      <c r="M2065" s="54" t="s">
        <v>13</v>
      </c>
      <c r="N2065" s="54" t="s">
        <v>14</v>
      </c>
      <c r="O2065" s="49" t="s">
        <v>803</v>
      </c>
      <c r="P2065" s="54" t="s">
        <v>3392</v>
      </c>
      <c r="Q2065" s="35" t="str">
        <f>MID(Tabla1[[#This Row],[Aplicación]],14,1)</f>
        <v>2</v>
      </c>
      <c r="R2065" s="35" t="s">
        <v>495</v>
      </c>
      <c r="S2065" s="35" t="str">
        <f>MID(Tabla1[[#This Row],[Aplicación]],6,2)</f>
        <v>10</v>
      </c>
      <c r="T2065" s="35" t="str">
        <f>VLOOKUP(Tabla1[[#This Row],[AREA]],Hoja1!A:B,2,FALSE)</f>
        <v>10. Servicios sociales y mediación comunitaria</v>
      </c>
      <c r="U2065" s="35" t="str">
        <f>MID(Tabla1[[#This Row],[Aplicación]],9,4)</f>
        <v>2412</v>
      </c>
      <c r="V2065" s="35" t="str">
        <f>VLOOKUP(Tabla1[[#This Row],[PROGRAMA]],Hoja1!A:B,2,FALSE)</f>
        <v>2412. Formación para el empleo</v>
      </c>
      <c r="W2065" s="35" t="str">
        <f>MID(Tabla1[[#This Row],[Aplicación]],14,2)</f>
        <v>22</v>
      </c>
      <c r="X2065" s="35" t="str">
        <f>MID(Tabla1[[#This Row],[Aplicación]],14,6)</f>
        <v>22102</v>
      </c>
    </row>
    <row r="2066" spans="1:24" x14ac:dyDescent="0.25">
      <c r="A2066" s="45">
        <v>220210022399</v>
      </c>
      <c r="B2066" s="46" t="s">
        <v>9</v>
      </c>
      <c r="C2066" s="47">
        <v>44328</v>
      </c>
      <c r="D2066" s="45">
        <v>22021002657</v>
      </c>
      <c r="E2066" s="46" t="s">
        <v>1770</v>
      </c>
      <c r="F2066" s="48">
        <v>1275</v>
      </c>
      <c r="G2066" s="54" t="s">
        <v>44</v>
      </c>
      <c r="H2066" s="54" t="s">
        <v>3479</v>
      </c>
      <c r="I2066" s="53" t="s">
        <v>125</v>
      </c>
      <c r="J2066" s="54" t="s">
        <v>146</v>
      </c>
      <c r="K2066" s="54" t="s">
        <v>146</v>
      </c>
      <c r="L2066" s="54" t="s">
        <v>15</v>
      </c>
      <c r="M2066" s="54" t="s">
        <v>13</v>
      </c>
      <c r="N2066" s="54" t="s">
        <v>16</v>
      </c>
      <c r="O2066" s="49" t="s">
        <v>803</v>
      </c>
      <c r="P2066" s="54" t="s">
        <v>3392</v>
      </c>
      <c r="Q2066" s="35" t="str">
        <f>MID(Tabla1[[#This Row],[Aplicación]],14,1)</f>
        <v>2</v>
      </c>
      <c r="R2066" s="35" t="s">
        <v>495</v>
      </c>
      <c r="S2066" s="35" t="str">
        <f>MID(Tabla1[[#This Row],[Aplicación]],6,2)</f>
        <v>06</v>
      </c>
      <c r="T2066" s="35" t="str">
        <f>VLOOKUP(Tabla1[[#This Row],[AREA]],Hoja1!A:B,2,FALSE)</f>
        <v>06. Educación, infancia, juventud e igualdad</v>
      </c>
      <c r="U2066" s="35" t="str">
        <f>MID(Tabla1[[#This Row],[Aplicación]],9,4)</f>
        <v>3321</v>
      </c>
      <c r="V2066" s="35" t="str">
        <f>VLOOKUP(Tabla1[[#This Row],[PROGRAMA]],Hoja1!A:B,2,FALSE)</f>
        <v>3321. Bibliotecas públicas</v>
      </c>
      <c r="W2066" s="35" t="str">
        <f>MID(Tabla1[[#This Row],[Aplicación]],14,2)</f>
        <v>22</v>
      </c>
      <c r="X2066" s="35" t="str">
        <f>MID(Tabla1[[#This Row],[Aplicación]],14,6)</f>
        <v>22102</v>
      </c>
    </row>
    <row r="2067" spans="1:24" x14ac:dyDescent="0.25">
      <c r="A2067" s="45">
        <v>220210022400</v>
      </c>
      <c r="B2067" s="46" t="s">
        <v>9</v>
      </c>
      <c r="C2067" s="47">
        <v>44328</v>
      </c>
      <c r="D2067" s="45">
        <v>22021002661</v>
      </c>
      <c r="E2067" s="46" t="s">
        <v>1774</v>
      </c>
      <c r="F2067" s="48">
        <v>1000</v>
      </c>
      <c r="G2067" s="54" t="s">
        <v>44</v>
      </c>
      <c r="H2067" s="54" t="s">
        <v>3480</v>
      </c>
      <c r="I2067" s="53" t="s">
        <v>125</v>
      </c>
      <c r="J2067" s="54" t="s">
        <v>146</v>
      </c>
      <c r="K2067" s="54" t="s">
        <v>146</v>
      </c>
      <c r="L2067" s="54" t="s">
        <v>15</v>
      </c>
      <c r="M2067" s="54" t="s">
        <v>13</v>
      </c>
      <c r="N2067" s="54" t="s">
        <v>16</v>
      </c>
      <c r="O2067" s="49" t="s">
        <v>803</v>
      </c>
      <c r="P2067" s="54" t="s">
        <v>3392</v>
      </c>
      <c r="Q2067" s="35" t="str">
        <f>MID(Tabla1[[#This Row],[Aplicación]],14,1)</f>
        <v>2</v>
      </c>
      <c r="R2067" s="35" t="s">
        <v>495</v>
      </c>
      <c r="S2067" s="35" t="str">
        <f>MID(Tabla1[[#This Row],[Aplicación]],6,2)</f>
        <v>06</v>
      </c>
      <c r="T2067" s="35" t="str">
        <f>VLOOKUP(Tabla1[[#This Row],[AREA]],Hoja1!A:B,2,FALSE)</f>
        <v>06. Educación, infancia, juventud e igualdad</v>
      </c>
      <c r="U2067" s="35" t="str">
        <f>MID(Tabla1[[#This Row],[Aplicación]],9,4)</f>
        <v>2315</v>
      </c>
      <c r="V2067" s="35" t="str">
        <f>VLOOKUP(Tabla1[[#This Row],[PROGRAMA]],Hoja1!A:B,2,FALSE)</f>
        <v>2315. Políticas de Igualdad e infancia</v>
      </c>
      <c r="W2067" s="35" t="str">
        <f>MID(Tabla1[[#This Row],[Aplicación]],14,2)</f>
        <v>22</v>
      </c>
      <c r="X2067" s="35" t="str">
        <f>MID(Tabla1[[#This Row],[Aplicación]],14,6)</f>
        <v>22102</v>
      </c>
    </row>
    <row r="2068" spans="1:24" x14ac:dyDescent="0.25">
      <c r="A2068" s="45">
        <v>220210023540</v>
      </c>
      <c r="B2068" s="46" t="s">
        <v>9</v>
      </c>
      <c r="C2068" s="47">
        <v>44336</v>
      </c>
      <c r="D2068" s="45">
        <v>22021000763</v>
      </c>
      <c r="E2068" s="46" t="s">
        <v>1766</v>
      </c>
      <c r="F2068" s="48">
        <v>985</v>
      </c>
      <c r="G2068" s="54" t="s">
        <v>44</v>
      </c>
      <c r="H2068" s="54" t="s">
        <v>3210</v>
      </c>
      <c r="I2068" s="53" t="s">
        <v>125</v>
      </c>
      <c r="J2068" s="54" t="s">
        <v>146</v>
      </c>
      <c r="K2068" s="54" t="s">
        <v>146</v>
      </c>
      <c r="L2068" s="54" t="s">
        <v>12</v>
      </c>
      <c r="M2068" s="54" t="s">
        <v>13</v>
      </c>
      <c r="N2068" s="54" t="s">
        <v>14</v>
      </c>
      <c r="O2068" s="49" t="s">
        <v>803</v>
      </c>
      <c r="P2068" s="54" t="s">
        <v>3392</v>
      </c>
      <c r="Q2068" s="35" t="str">
        <f>MID(Tabla1[[#This Row],[Aplicación]],14,1)</f>
        <v>2</v>
      </c>
      <c r="R2068" s="35" t="s">
        <v>495</v>
      </c>
      <c r="S2068" s="35" t="str">
        <f>MID(Tabla1[[#This Row],[Aplicación]],6,2)</f>
        <v>10</v>
      </c>
      <c r="T2068" s="35" t="str">
        <f>VLOOKUP(Tabla1[[#This Row],[AREA]],Hoja1!A:B,2,FALSE)</f>
        <v>10. Servicios sociales y mediación comunitaria</v>
      </c>
      <c r="U2068" s="35" t="str">
        <f>MID(Tabla1[[#This Row],[Aplicación]],9,4)</f>
        <v>2412</v>
      </c>
      <c r="V2068" s="35" t="str">
        <f>VLOOKUP(Tabla1[[#This Row],[PROGRAMA]],Hoja1!A:B,2,FALSE)</f>
        <v>2412. Formación para el empleo</v>
      </c>
      <c r="W2068" s="35" t="str">
        <f>MID(Tabla1[[#This Row],[Aplicación]],14,2)</f>
        <v>22</v>
      </c>
      <c r="X2068" s="35" t="str">
        <f>MID(Tabla1[[#This Row],[Aplicación]],14,6)</f>
        <v>22102</v>
      </c>
    </row>
    <row r="2069" spans="1:24" x14ac:dyDescent="0.25">
      <c r="A2069" s="45">
        <v>220210022395</v>
      </c>
      <c r="B2069" s="46" t="s">
        <v>9</v>
      </c>
      <c r="C2069" s="47">
        <v>44328</v>
      </c>
      <c r="D2069" s="45">
        <v>22021002852</v>
      </c>
      <c r="E2069" s="46" t="s">
        <v>1771</v>
      </c>
      <c r="F2069" s="48">
        <v>260</v>
      </c>
      <c r="G2069" s="54" t="s">
        <v>44</v>
      </c>
      <c r="H2069" s="54" t="s">
        <v>3481</v>
      </c>
      <c r="I2069" s="53" t="s">
        <v>125</v>
      </c>
      <c r="J2069" s="54" t="s">
        <v>146</v>
      </c>
      <c r="K2069" s="54" t="s">
        <v>146</v>
      </c>
      <c r="L2069" s="54" t="s">
        <v>15</v>
      </c>
      <c r="M2069" s="54" t="s">
        <v>13</v>
      </c>
      <c r="N2069" s="54" t="s">
        <v>14</v>
      </c>
      <c r="O2069" s="49" t="s">
        <v>803</v>
      </c>
      <c r="P2069" s="54" t="s">
        <v>3392</v>
      </c>
      <c r="Q2069" s="35" t="str">
        <f>MID(Tabla1[[#This Row],[Aplicación]],14,1)</f>
        <v>2</v>
      </c>
      <c r="R2069" s="35" t="s">
        <v>495</v>
      </c>
      <c r="S2069" s="35" t="str">
        <f>MID(Tabla1[[#This Row],[Aplicación]],6,2)</f>
        <v>05</v>
      </c>
      <c r="T2069" s="35" t="str">
        <f>VLOOKUP(Tabla1[[#This Row],[AREA]],Hoja1!A:B,2,FALSE)</f>
        <v>05. Innovación, desarrollo económico, empleo y comercio</v>
      </c>
      <c r="U2069" s="35" t="str">
        <f>MID(Tabla1[[#This Row],[Aplicación]],9,4)</f>
        <v>4315</v>
      </c>
      <c r="V2069" s="35" t="str">
        <f>VLOOKUP(Tabla1[[#This Row],[PROGRAMA]],Hoja1!A:B,2,FALSE)</f>
        <v>4315. Actuaciones en materia de consumo</v>
      </c>
      <c r="W2069" s="35" t="str">
        <f>MID(Tabla1[[#This Row],[Aplicación]],14,2)</f>
        <v>22</v>
      </c>
      <c r="X2069" s="35" t="str">
        <f>MID(Tabla1[[#This Row],[Aplicación]],14,6)</f>
        <v>22102</v>
      </c>
    </row>
    <row r="2070" spans="1:24" x14ac:dyDescent="0.25">
      <c r="A2070" s="45">
        <v>220210016150</v>
      </c>
      <c r="B2070" s="46" t="s">
        <v>9</v>
      </c>
      <c r="C2070" s="47">
        <v>44305</v>
      </c>
      <c r="D2070" s="45">
        <v>22021003527</v>
      </c>
      <c r="E2070" s="46" t="s">
        <v>2590</v>
      </c>
      <c r="F2070" s="48">
        <v>7047.23</v>
      </c>
      <c r="G2070" s="54" t="s">
        <v>121</v>
      </c>
      <c r="H2070" s="54" t="s">
        <v>3482</v>
      </c>
      <c r="I2070" s="53" t="s">
        <v>125</v>
      </c>
      <c r="J2070" s="54" t="s">
        <v>664</v>
      </c>
      <c r="K2070" s="54" t="s">
        <v>127</v>
      </c>
      <c r="L2070" s="54" t="s">
        <v>12</v>
      </c>
      <c r="M2070" s="54" t="s">
        <v>10</v>
      </c>
      <c r="N2070" s="54" t="s">
        <v>14</v>
      </c>
      <c r="O2070" s="49" t="s">
        <v>815</v>
      </c>
      <c r="P2070" s="54" t="s">
        <v>3392</v>
      </c>
      <c r="Q2070" s="35" t="str">
        <f>MID(Tabla1[[#This Row],[Aplicación]],14,1)</f>
        <v>6</v>
      </c>
      <c r="R2070" s="35" t="s">
        <v>496</v>
      </c>
      <c r="S2070" s="35" t="str">
        <f>MID(Tabla1[[#This Row],[Aplicación]],6,2)</f>
        <v>02</v>
      </c>
      <c r="T2070" s="35" t="str">
        <f>VLOOKUP(Tabla1[[#This Row],[AREA]],Hoja1!A:B,2,FALSE)</f>
        <v>02. Planeamiento urbanístico y vivienda</v>
      </c>
      <c r="U2070" s="35" t="str">
        <f>MID(Tabla1[[#This Row],[Aplicación]],9,4)</f>
        <v>1511</v>
      </c>
      <c r="V2070" s="35" t="str">
        <f>VLOOKUP(Tabla1[[#This Row],[PROGRAMA]],Hoja1!A:B,2,FALSE)</f>
        <v>1511. Planficación y gestión del urbanismo</v>
      </c>
      <c r="W2070" s="35" t="str">
        <f>MID(Tabla1[[#This Row],[Aplicación]],14,2)</f>
        <v>60</v>
      </c>
      <c r="X2070" s="35" t="str">
        <f>MID(Tabla1[[#This Row],[Aplicación]],14,6)</f>
        <v>609</v>
      </c>
    </row>
    <row r="2071" spans="1:24" x14ac:dyDescent="0.25">
      <c r="A2071" s="45">
        <v>220210023528</v>
      </c>
      <c r="B2071" s="46" t="s">
        <v>501</v>
      </c>
      <c r="C2071" s="47">
        <v>44336</v>
      </c>
      <c r="D2071" s="45">
        <v>22021000763</v>
      </c>
      <c r="E2071" s="46" t="s">
        <v>1766</v>
      </c>
      <c r="F2071" s="48">
        <v>-278.54000000000002</v>
      </c>
      <c r="G2071" s="54" t="s">
        <v>44</v>
      </c>
      <c r="H2071" s="54" t="s">
        <v>3210</v>
      </c>
      <c r="I2071" s="53" t="s">
        <v>125</v>
      </c>
      <c r="J2071" s="54" t="s">
        <v>146</v>
      </c>
      <c r="K2071" s="54" t="s">
        <v>146</v>
      </c>
      <c r="L2071" s="54" t="s">
        <v>12</v>
      </c>
      <c r="M2071" s="54" t="s">
        <v>13</v>
      </c>
      <c r="N2071" s="54" t="s">
        <v>14</v>
      </c>
      <c r="O2071" s="49" t="s">
        <v>803</v>
      </c>
      <c r="P2071" s="54" t="s">
        <v>3392</v>
      </c>
      <c r="Q2071" s="35" t="str">
        <f>MID(Tabla1[[#This Row],[Aplicación]],14,1)</f>
        <v>2</v>
      </c>
      <c r="R2071" s="35" t="s">
        <v>495</v>
      </c>
      <c r="S2071" s="35" t="str">
        <f>MID(Tabla1[[#This Row],[Aplicación]],6,2)</f>
        <v>10</v>
      </c>
      <c r="T2071" s="35" t="str">
        <f>VLOOKUP(Tabla1[[#This Row],[AREA]],Hoja1!A:B,2,FALSE)</f>
        <v>10. Servicios sociales y mediación comunitaria</v>
      </c>
      <c r="U2071" s="35" t="str">
        <f>MID(Tabla1[[#This Row],[Aplicación]],9,4)</f>
        <v>2412</v>
      </c>
      <c r="V2071" s="35" t="str">
        <f>VLOOKUP(Tabla1[[#This Row],[PROGRAMA]],Hoja1!A:B,2,FALSE)</f>
        <v>2412. Formación para el empleo</v>
      </c>
      <c r="W2071" s="35" t="str">
        <f>MID(Tabla1[[#This Row],[Aplicación]],14,2)</f>
        <v>22</v>
      </c>
      <c r="X2071" s="35" t="str">
        <f>MID(Tabla1[[#This Row],[Aplicación]],14,6)</f>
        <v>22102</v>
      </c>
    </row>
    <row r="2072" spans="1:24" x14ac:dyDescent="0.25">
      <c r="A2072" s="45">
        <v>220210023528</v>
      </c>
      <c r="B2072" s="46" t="s">
        <v>501</v>
      </c>
      <c r="C2072" s="47">
        <v>44336</v>
      </c>
      <c r="D2072" s="45">
        <v>22021000764</v>
      </c>
      <c r="E2072" s="46" t="s">
        <v>1766</v>
      </c>
      <c r="F2072" s="48">
        <v>-1630.3</v>
      </c>
      <c r="G2072" s="54" t="s">
        <v>44</v>
      </c>
      <c r="H2072" s="54" t="s">
        <v>3210</v>
      </c>
      <c r="I2072" s="53" t="s">
        <v>125</v>
      </c>
      <c r="J2072" s="54" t="s">
        <v>146</v>
      </c>
      <c r="K2072" s="54" t="s">
        <v>146</v>
      </c>
      <c r="L2072" s="54" t="s">
        <v>12</v>
      </c>
      <c r="M2072" s="54" t="s">
        <v>13</v>
      </c>
      <c r="N2072" s="54" t="s">
        <v>14</v>
      </c>
      <c r="O2072" s="49" t="s">
        <v>803</v>
      </c>
      <c r="P2072" s="54" t="s">
        <v>3392</v>
      </c>
      <c r="Q2072" s="35" t="str">
        <f>MID(Tabla1[[#This Row],[Aplicación]],14,1)</f>
        <v>2</v>
      </c>
      <c r="R2072" s="35" t="s">
        <v>495</v>
      </c>
      <c r="S2072" s="35" t="str">
        <f>MID(Tabla1[[#This Row],[Aplicación]],6,2)</f>
        <v>10</v>
      </c>
      <c r="T2072" s="35" t="str">
        <f>VLOOKUP(Tabla1[[#This Row],[AREA]],Hoja1!A:B,2,FALSE)</f>
        <v>10. Servicios sociales y mediación comunitaria</v>
      </c>
      <c r="U2072" s="35" t="str">
        <f>MID(Tabla1[[#This Row],[Aplicación]],9,4)</f>
        <v>2412</v>
      </c>
      <c r="V2072" s="35" t="str">
        <f>VLOOKUP(Tabla1[[#This Row],[PROGRAMA]],Hoja1!A:B,2,FALSE)</f>
        <v>2412. Formación para el empleo</v>
      </c>
      <c r="W2072" s="35" t="str">
        <f>MID(Tabla1[[#This Row],[Aplicación]],14,2)</f>
        <v>22</v>
      </c>
      <c r="X2072" s="35" t="str">
        <f>MID(Tabla1[[#This Row],[Aplicación]],14,6)</f>
        <v>22102</v>
      </c>
    </row>
    <row r="2073" spans="1:24" x14ac:dyDescent="0.25">
      <c r="A2073" s="45">
        <v>220210026045</v>
      </c>
      <c r="B2073" s="46" t="s">
        <v>9</v>
      </c>
      <c r="C2073" s="47">
        <v>44344</v>
      </c>
      <c r="D2073" s="45">
        <v>22021004427</v>
      </c>
      <c r="E2073" s="46" t="s">
        <v>1542</v>
      </c>
      <c r="F2073" s="48">
        <v>24162.06</v>
      </c>
      <c r="G2073" s="54" t="s">
        <v>529</v>
      </c>
      <c r="H2073" s="54" t="s">
        <v>1544</v>
      </c>
      <c r="I2073" s="53" t="s">
        <v>125</v>
      </c>
      <c r="J2073" s="54" t="s">
        <v>127</v>
      </c>
      <c r="K2073" s="54" t="s">
        <v>127</v>
      </c>
      <c r="L2073" s="54" t="s">
        <v>31</v>
      </c>
      <c r="M2073" s="54" t="s">
        <v>10</v>
      </c>
      <c r="N2073" s="54" t="s">
        <v>16</v>
      </c>
      <c r="O2073" s="49" t="s">
        <v>815</v>
      </c>
      <c r="P2073" s="54" t="s">
        <v>3392</v>
      </c>
      <c r="Q2073" s="35" t="str">
        <f>MID(Tabla1[[#This Row],[Aplicación]],14,1)</f>
        <v>6</v>
      </c>
      <c r="R2073" s="35" t="s">
        <v>496</v>
      </c>
      <c r="S2073" s="35" t="str">
        <f>MID(Tabla1[[#This Row],[Aplicación]],6,2)</f>
        <v>05</v>
      </c>
      <c r="T2073" s="35" t="str">
        <f>VLOOKUP(Tabla1[[#This Row],[AREA]],Hoja1!A:B,2,FALSE)</f>
        <v>05. Innovación, desarrollo económico, empleo y comercio</v>
      </c>
      <c r="U2073" s="35" t="str">
        <f>MID(Tabla1[[#This Row],[Aplicación]],9,4)</f>
        <v>4331</v>
      </c>
      <c r="V2073" s="35" t="str">
        <f>VLOOKUP(Tabla1[[#This Row],[PROGRAMA]],Hoja1!A:B,2,FALSE)</f>
        <v>4331. Desarrollo empresarial</v>
      </c>
      <c r="W2073" s="35" t="str">
        <f>MID(Tabla1[[#This Row],[Aplicación]],14,2)</f>
        <v>60</v>
      </c>
      <c r="X2073" s="35" t="str">
        <f>MID(Tabla1[[#This Row],[Aplicación]],14,6)</f>
        <v>609</v>
      </c>
    </row>
    <row r="2074" spans="1:24" x14ac:dyDescent="0.25">
      <c r="A2074" s="45">
        <v>220210028822</v>
      </c>
      <c r="B2074" s="46" t="s">
        <v>9</v>
      </c>
      <c r="C2074" s="47">
        <v>44351</v>
      </c>
      <c r="D2074" s="45">
        <v>22021004616</v>
      </c>
      <c r="E2074" s="46" t="s">
        <v>1172</v>
      </c>
      <c r="F2074" s="48">
        <v>24153.61</v>
      </c>
      <c r="G2074" s="54" t="s">
        <v>3483</v>
      </c>
      <c r="H2074" s="54" t="s">
        <v>3484</v>
      </c>
      <c r="I2074" s="53" t="s">
        <v>125</v>
      </c>
      <c r="J2074" s="54" t="s">
        <v>127</v>
      </c>
      <c r="K2074" s="54" t="s">
        <v>127</v>
      </c>
      <c r="L2074" s="54" t="s">
        <v>31</v>
      </c>
      <c r="M2074" s="54" t="s">
        <v>10</v>
      </c>
      <c r="N2074" s="54" t="s">
        <v>14</v>
      </c>
      <c r="O2074" s="49" t="s">
        <v>815</v>
      </c>
      <c r="P2074" s="54" t="s">
        <v>3392</v>
      </c>
      <c r="Q2074" s="35" t="str">
        <f>MID(Tabla1[[#This Row],[Aplicación]],14,1)</f>
        <v>6</v>
      </c>
      <c r="R2074" s="35" t="s">
        <v>496</v>
      </c>
      <c r="S2074" s="35" t="str">
        <f>MID(Tabla1[[#This Row],[Aplicación]],6,2)</f>
        <v>02</v>
      </c>
      <c r="T2074" s="35" t="str">
        <f>VLOOKUP(Tabla1[[#This Row],[AREA]],Hoja1!A:B,2,FALSE)</f>
        <v>02. Planeamiento urbanístico y vivienda</v>
      </c>
      <c r="U2074" s="35" t="str">
        <f>MID(Tabla1[[#This Row],[Aplicación]],9,4)</f>
        <v>9332</v>
      </c>
      <c r="V2074" s="35" t="str">
        <f>VLOOKUP(Tabla1[[#This Row],[PROGRAMA]],Hoja1!A:B,2,FALSE)</f>
        <v>9332. Mantenimiento de edificios e instalaciones municipales</v>
      </c>
      <c r="W2074" s="35" t="str">
        <f>MID(Tabla1[[#This Row],[Aplicación]],14,2)</f>
        <v>63</v>
      </c>
      <c r="X2074" s="35" t="str">
        <f>MID(Tabla1[[#This Row],[Aplicación]],14,6)</f>
        <v>632</v>
      </c>
    </row>
    <row r="2075" spans="1:24" x14ac:dyDescent="0.25">
      <c r="A2075" s="45">
        <v>220210023528</v>
      </c>
      <c r="B2075" s="46" t="s">
        <v>501</v>
      </c>
      <c r="C2075" s="47">
        <v>44336</v>
      </c>
      <c r="D2075" s="45">
        <v>22021000765</v>
      </c>
      <c r="E2075" s="46" t="s">
        <v>1766</v>
      </c>
      <c r="F2075" s="48">
        <v>-1985.1</v>
      </c>
      <c r="G2075" s="54" t="s">
        <v>44</v>
      </c>
      <c r="H2075" s="54" t="s">
        <v>3210</v>
      </c>
      <c r="I2075" s="53" t="s">
        <v>125</v>
      </c>
      <c r="J2075" s="54" t="s">
        <v>146</v>
      </c>
      <c r="K2075" s="54" t="s">
        <v>146</v>
      </c>
      <c r="L2075" s="54" t="s">
        <v>12</v>
      </c>
      <c r="M2075" s="54" t="s">
        <v>13</v>
      </c>
      <c r="N2075" s="54" t="s">
        <v>14</v>
      </c>
      <c r="O2075" s="49" t="s">
        <v>803</v>
      </c>
      <c r="P2075" s="54" t="s">
        <v>3392</v>
      </c>
      <c r="Q2075" s="35" t="str">
        <f>MID(Tabla1[[#This Row],[Aplicación]],14,1)</f>
        <v>2</v>
      </c>
      <c r="R2075" s="35" t="s">
        <v>495</v>
      </c>
      <c r="S2075" s="35" t="str">
        <f>MID(Tabla1[[#This Row],[Aplicación]],6,2)</f>
        <v>10</v>
      </c>
      <c r="T2075" s="35" t="str">
        <f>VLOOKUP(Tabla1[[#This Row],[AREA]],Hoja1!A:B,2,FALSE)</f>
        <v>10. Servicios sociales y mediación comunitaria</v>
      </c>
      <c r="U2075" s="35" t="str">
        <f>MID(Tabla1[[#This Row],[Aplicación]],9,4)</f>
        <v>2412</v>
      </c>
      <c r="V2075" s="35" t="str">
        <f>VLOOKUP(Tabla1[[#This Row],[PROGRAMA]],Hoja1!A:B,2,FALSE)</f>
        <v>2412. Formación para el empleo</v>
      </c>
      <c r="W2075" s="35" t="str">
        <f>MID(Tabla1[[#This Row],[Aplicación]],14,2)</f>
        <v>22</v>
      </c>
      <c r="X2075" s="35" t="str">
        <f>MID(Tabla1[[#This Row],[Aplicación]],14,6)</f>
        <v>22102</v>
      </c>
    </row>
    <row r="2076" spans="1:24" x14ac:dyDescent="0.25">
      <c r="A2076" s="45">
        <v>220210020613</v>
      </c>
      <c r="B2076" s="46" t="s">
        <v>204</v>
      </c>
      <c r="C2076" s="47">
        <v>44322</v>
      </c>
      <c r="D2076" s="45">
        <v>22021002062</v>
      </c>
      <c r="E2076" s="46" t="s">
        <v>3316</v>
      </c>
      <c r="F2076" s="48">
        <v>22500</v>
      </c>
      <c r="G2076" s="54" t="s">
        <v>3485</v>
      </c>
      <c r="H2076" s="54" t="s">
        <v>3486</v>
      </c>
      <c r="I2076" s="53" t="s">
        <v>205</v>
      </c>
      <c r="J2076" s="54" t="s">
        <v>126</v>
      </c>
      <c r="K2076" s="54" t="s">
        <v>126</v>
      </c>
      <c r="L2076" s="54" t="s">
        <v>12</v>
      </c>
      <c r="M2076" s="54" t="s">
        <v>25</v>
      </c>
      <c r="N2076" s="54" t="s">
        <v>14</v>
      </c>
      <c r="O2076" s="49" t="s">
        <v>805</v>
      </c>
      <c r="P2076" s="54" t="s">
        <v>3392</v>
      </c>
      <c r="Q2076" s="35" t="str">
        <f>MID(Tabla1[[#This Row],[Aplicación]],14,1)</f>
        <v>2</v>
      </c>
      <c r="R2076" s="35" t="s">
        <v>495</v>
      </c>
      <c r="S2076" s="35" t="str">
        <f>MID(Tabla1[[#This Row],[Aplicación]],6,2)</f>
        <v>02</v>
      </c>
      <c r="T2076" s="35" t="str">
        <f>VLOOKUP(Tabla1[[#This Row],[AREA]],Hoja1!A:B,2,FALSE)</f>
        <v>02. Planeamiento urbanístico y vivienda</v>
      </c>
      <c r="U2076" s="35" t="str">
        <f>MID(Tabla1[[#This Row],[Aplicación]],9,4)</f>
        <v>1501</v>
      </c>
      <c r="V2076" s="35" t="str">
        <f>VLOOKUP(Tabla1[[#This Row],[PROGRAMA]],Hoja1!A:B,2,FALSE)</f>
        <v>1501. Dirección del área de urbanismo</v>
      </c>
      <c r="W2076" s="35" t="str">
        <f>MID(Tabla1[[#This Row],[Aplicación]],14,2)</f>
        <v>22</v>
      </c>
      <c r="X2076" s="35" t="str">
        <f>MID(Tabla1[[#This Row],[Aplicación]],14,6)</f>
        <v>224</v>
      </c>
    </row>
    <row r="2077" spans="1:24" x14ac:dyDescent="0.25">
      <c r="A2077" s="45">
        <v>220210017016</v>
      </c>
      <c r="B2077" s="46" t="s">
        <v>9</v>
      </c>
      <c r="C2077" s="47">
        <v>44312</v>
      </c>
      <c r="D2077" s="45">
        <v>22021003725</v>
      </c>
      <c r="E2077" s="46" t="s">
        <v>1166</v>
      </c>
      <c r="F2077" s="48">
        <v>12793.28</v>
      </c>
      <c r="G2077" s="54" t="s">
        <v>42</v>
      </c>
      <c r="H2077" s="54" t="s">
        <v>3487</v>
      </c>
      <c r="I2077" s="53" t="s">
        <v>125</v>
      </c>
      <c r="J2077" s="54" t="s">
        <v>127</v>
      </c>
      <c r="K2077" s="54" t="s">
        <v>127</v>
      </c>
      <c r="L2077" s="54" t="s">
        <v>12</v>
      </c>
      <c r="M2077" s="54" t="s">
        <v>13</v>
      </c>
      <c r="N2077" s="54" t="s">
        <v>14</v>
      </c>
      <c r="O2077" s="49" t="s">
        <v>803</v>
      </c>
      <c r="P2077" s="54" t="s">
        <v>3392</v>
      </c>
      <c r="Q2077" s="35" t="str">
        <f>MID(Tabla1[[#This Row],[Aplicación]],14,1)</f>
        <v>2</v>
      </c>
      <c r="R2077" s="35" t="s">
        <v>495</v>
      </c>
      <c r="S2077" s="35" t="str">
        <f>MID(Tabla1[[#This Row],[Aplicación]],6,2)</f>
        <v>03</v>
      </c>
      <c r="T2077" s="35" t="str">
        <f>VLOOKUP(Tabla1[[#This Row],[AREA]],Hoja1!A:B,2,FALSE)</f>
        <v>03. Participación ciudadana y deportes</v>
      </c>
      <c r="U2077" s="35" t="str">
        <f>MID(Tabla1[[#This Row],[Aplicación]],9,4)</f>
        <v>9241</v>
      </c>
      <c r="V2077" s="35" t="str">
        <f>VLOOKUP(Tabla1[[#This Row],[PROGRAMA]],Hoja1!A:B,2,FALSE)</f>
        <v>9241. Participación ciudadana</v>
      </c>
      <c r="W2077" s="35" t="str">
        <f>MID(Tabla1[[#This Row],[Aplicación]],14,2)</f>
        <v>22</v>
      </c>
      <c r="X2077" s="35" t="str">
        <f>MID(Tabla1[[#This Row],[Aplicación]],14,6)</f>
        <v>22799</v>
      </c>
    </row>
    <row r="2078" spans="1:24" x14ac:dyDescent="0.25">
      <c r="A2078" s="45">
        <v>220210022812</v>
      </c>
      <c r="B2078" s="46" t="s">
        <v>9</v>
      </c>
      <c r="C2078" s="47">
        <v>44333</v>
      </c>
      <c r="D2078" s="45">
        <v>22021000451</v>
      </c>
      <c r="E2078" s="46" t="s">
        <v>2834</v>
      </c>
      <c r="F2078" s="48">
        <v>10287.42</v>
      </c>
      <c r="G2078" s="54" t="s">
        <v>101</v>
      </c>
      <c r="H2078" s="54" t="s">
        <v>3488</v>
      </c>
      <c r="I2078" s="53" t="s">
        <v>125</v>
      </c>
      <c r="J2078" s="54" t="s">
        <v>127</v>
      </c>
      <c r="K2078" s="54" t="s">
        <v>127</v>
      </c>
      <c r="L2078" s="54" t="s">
        <v>12</v>
      </c>
      <c r="M2078" s="54" t="s">
        <v>13</v>
      </c>
      <c r="N2078" s="54" t="s">
        <v>14</v>
      </c>
      <c r="O2078" s="49" t="s">
        <v>803</v>
      </c>
      <c r="P2078" s="54" t="s">
        <v>3392</v>
      </c>
      <c r="Q2078" s="35" t="str">
        <f>MID(Tabla1[[#This Row],[Aplicación]],14,1)</f>
        <v>2</v>
      </c>
      <c r="R2078" s="35" t="s">
        <v>495</v>
      </c>
      <c r="S2078" s="35" t="str">
        <f>MID(Tabla1[[#This Row],[Aplicación]],6,2)</f>
        <v>10</v>
      </c>
      <c r="T2078" s="35" t="str">
        <f>VLOOKUP(Tabla1[[#This Row],[AREA]],Hoja1!A:B,2,FALSE)</f>
        <v>10. Servicios sociales y mediación comunitaria</v>
      </c>
      <c r="U2078" s="35" t="str">
        <f>MID(Tabla1[[#This Row],[Aplicación]],9,4)</f>
        <v>2412</v>
      </c>
      <c r="V2078" s="35" t="str">
        <f>VLOOKUP(Tabla1[[#This Row],[PROGRAMA]],Hoja1!A:B,2,FALSE)</f>
        <v>2412. Formación para el empleo</v>
      </c>
      <c r="W2078" s="35" t="str">
        <f>MID(Tabla1[[#This Row],[Aplicación]],14,2)</f>
        <v>22</v>
      </c>
      <c r="X2078" s="35" t="str">
        <f>MID(Tabla1[[#This Row],[Aplicación]],14,6)</f>
        <v>22700</v>
      </c>
    </row>
    <row r="2079" spans="1:24" x14ac:dyDescent="0.25">
      <c r="A2079" s="45">
        <v>220210030194</v>
      </c>
      <c r="B2079" s="46" t="s">
        <v>204</v>
      </c>
      <c r="C2079" s="47">
        <v>44356</v>
      </c>
      <c r="D2079" s="45">
        <v>22021002201</v>
      </c>
      <c r="E2079" s="46" t="s">
        <v>1261</v>
      </c>
      <c r="F2079" s="48">
        <v>10080.709999999999</v>
      </c>
      <c r="G2079" s="54" t="s">
        <v>101</v>
      </c>
      <c r="H2079" s="54" t="s">
        <v>3489</v>
      </c>
      <c r="I2079" s="53" t="s">
        <v>205</v>
      </c>
      <c r="J2079" s="54" t="s">
        <v>127</v>
      </c>
      <c r="K2079" s="54" t="s">
        <v>127</v>
      </c>
      <c r="L2079" s="54" t="s">
        <v>12</v>
      </c>
      <c r="M2079" s="54" t="s">
        <v>13</v>
      </c>
      <c r="N2079" s="54" t="s">
        <v>16</v>
      </c>
      <c r="O2079" s="49" t="s">
        <v>803</v>
      </c>
      <c r="P2079" s="54" t="s">
        <v>3392</v>
      </c>
      <c r="Q2079" s="35" t="str">
        <f>MID(Tabla1[[#This Row],[Aplicación]],14,1)</f>
        <v>2</v>
      </c>
      <c r="R2079" s="35" t="s">
        <v>495</v>
      </c>
      <c r="S2079" s="35" t="str">
        <f>MID(Tabla1[[#This Row],[Aplicación]],6,2)</f>
        <v>03</v>
      </c>
      <c r="T2079" s="35" t="str">
        <f>VLOOKUP(Tabla1[[#This Row],[AREA]],Hoja1!A:B,2,FALSE)</f>
        <v>03. Participación ciudadana y deportes</v>
      </c>
      <c r="U2079" s="35" t="str">
        <f>MID(Tabla1[[#This Row],[Aplicación]],9,4)</f>
        <v>9241</v>
      </c>
      <c r="V2079" s="35" t="str">
        <f>VLOOKUP(Tabla1[[#This Row],[PROGRAMA]],Hoja1!A:B,2,FALSE)</f>
        <v>9241. Participación ciudadana</v>
      </c>
      <c r="W2079" s="35" t="str">
        <f>MID(Tabla1[[#This Row],[Aplicación]],14,2)</f>
        <v>22</v>
      </c>
      <c r="X2079" s="35" t="str">
        <f>MID(Tabla1[[#This Row],[Aplicación]],14,6)</f>
        <v>22700</v>
      </c>
    </row>
    <row r="2080" spans="1:24" x14ac:dyDescent="0.25">
      <c r="A2080" s="45">
        <v>220210029810</v>
      </c>
      <c r="B2080" s="46" t="s">
        <v>9</v>
      </c>
      <c r="C2080" s="47">
        <v>44356</v>
      </c>
      <c r="D2080" s="45">
        <v>22021004250</v>
      </c>
      <c r="E2080" s="46" t="s">
        <v>1648</v>
      </c>
      <c r="F2080" s="48">
        <v>4472.16</v>
      </c>
      <c r="G2080" s="54" t="s">
        <v>101</v>
      </c>
      <c r="H2080" s="54" t="s">
        <v>3490</v>
      </c>
      <c r="I2080" s="53" t="s">
        <v>125</v>
      </c>
      <c r="J2080" s="54" t="s">
        <v>127</v>
      </c>
      <c r="K2080" s="54" t="s">
        <v>127</v>
      </c>
      <c r="L2080" s="54" t="s">
        <v>12</v>
      </c>
      <c r="M2080" s="54" t="s">
        <v>13</v>
      </c>
      <c r="N2080" s="54" t="s">
        <v>14</v>
      </c>
      <c r="O2080" s="49" t="s">
        <v>803</v>
      </c>
      <c r="P2080" s="54" t="s">
        <v>3392</v>
      </c>
      <c r="Q2080" s="35" t="str">
        <f>MID(Tabla1[[#This Row],[Aplicación]],14,1)</f>
        <v>2</v>
      </c>
      <c r="R2080" s="35" t="s">
        <v>495</v>
      </c>
      <c r="S2080" s="35" t="str">
        <f>MID(Tabla1[[#This Row],[Aplicación]],6,2)</f>
        <v>09</v>
      </c>
      <c r="T2080" s="35" t="str">
        <f>VLOOKUP(Tabla1[[#This Row],[AREA]],Hoja1!A:B,2,FALSE)</f>
        <v>09. Cultura y turismo</v>
      </c>
      <c r="U2080" s="35" t="str">
        <f>MID(Tabla1[[#This Row],[Aplicación]],9,4)</f>
        <v>3341</v>
      </c>
      <c r="V2080" s="35" t="str">
        <f>VLOOKUP(Tabla1[[#This Row],[PROGRAMA]],Hoja1!A:B,2,FALSE)</f>
        <v>3341. Coordinación de políticas culturales</v>
      </c>
      <c r="W2080" s="35" t="str">
        <f>MID(Tabla1[[#This Row],[Aplicación]],14,2)</f>
        <v>22</v>
      </c>
      <c r="X2080" s="35" t="str">
        <f>MID(Tabla1[[#This Row],[Aplicación]],14,6)</f>
        <v>22799</v>
      </c>
    </row>
    <row r="2081" spans="1:24" x14ac:dyDescent="0.25">
      <c r="A2081" s="45">
        <v>220210022812</v>
      </c>
      <c r="B2081" s="46" t="s">
        <v>9</v>
      </c>
      <c r="C2081" s="47">
        <v>44333</v>
      </c>
      <c r="D2081" s="45">
        <v>22021000450</v>
      </c>
      <c r="E2081" s="46" t="s">
        <v>2834</v>
      </c>
      <c r="F2081" s="48">
        <v>3988.98</v>
      </c>
      <c r="G2081" s="54" t="s">
        <v>101</v>
      </c>
      <c r="H2081" s="54" t="s">
        <v>3488</v>
      </c>
      <c r="I2081" s="53" t="s">
        <v>125</v>
      </c>
      <c r="J2081" s="54" t="s">
        <v>127</v>
      </c>
      <c r="K2081" s="54" t="s">
        <v>127</v>
      </c>
      <c r="L2081" s="54" t="s">
        <v>12</v>
      </c>
      <c r="M2081" s="54" t="s">
        <v>13</v>
      </c>
      <c r="N2081" s="54" t="s">
        <v>14</v>
      </c>
      <c r="O2081" s="49" t="s">
        <v>803</v>
      </c>
      <c r="P2081" s="54" t="s">
        <v>3392</v>
      </c>
      <c r="Q2081" s="35" t="str">
        <f>MID(Tabla1[[#This Row],[Aplicación]],14,1)</f>
        <v>2</v>
      </c>
      <c r="R2081" s="35" t="s">
        <v>495</v>
      </c>
      <c r="S2081" s="35" t="str">
        <f>MID(Tabla1[[#This Row],[Aplicación]],6,2)</f>
        <v>10</v>
      </c>
      <c r="T2081" s="35" t="str">
        <f>VLOOKUP(Tabla1[[#This Row],[AREA]],Hoja1!A:B,2,FALSE)</f>
        <v>10. Servicios sociales y mediación comunitaria</v>
      </c>
      <c r="U2081" s="35" t="str">
        <f>MID(Tabla1[[#This Row],[Aplicación]],9,4)</f>
        <v>2412</v>
      </c>
      <c r="V2081" s="35" t="str">
        <f>VLOOKUP(Tabla1[[#This Row],[PROGRAMA]],Hoja1!A:B,2,FALSE)</f>
        <v>2412. Formación para el empleo</v>
      </c>
      <c r="W2081" s="35" t="str">
        <f>MID(Tabla1[[#This Row],[Aplicación]],14,2)</f>
        <v>22</v>
      </c>
      <c r="X2081" s="35" t="str">
        <f>MID(Tabla1[[#This Row],[Aplicación]],14,6)</f>
        <v>22700</v>
      </c>
    </row>
    <row r="2082" spans="1:24" x14ac:dyDescent="0.25">
      <c r="A2082" s="45">
        <v>220210022102</v>
      </c>
      <c r="B2082" s="46" t="s">
        <v>9</v>
      </c>
      <c r="C2082" s="47">
        <v>44327</v>
      </c>
      <c r="D2082" s="45">
        <v>22021004284</v>
      </c>
      <c r="E2082" s="46" t="s">
        <v>1372</v>
      </c>
      <c r="F2082" s="48">
        <v>18150</v>
      </c>
      <c r="G2082" s="54" t="s">
        <v>238</v>
      </c>
      <c r="H2082" s="54" t="s">
        <v>2522</v>
      </c>
      <c r="I2082" s="53" t="s">
        <v>125</v>
      </c>
      <c r="J2082" s="54" t="s">
        <v>127</v>
      </c>
      <c r="K2082" s="54" t="s">
        <v>127</v>
      </c>
      <c r="L2082" s="54" t="s">
        <v>12</v>
      </c>
      <c r="M2082" s="54" t="s">
        <v>10</v>
      </c>
      <c r="N2082" s="54" t="s">
        <v>11</v>
      </c>
      <c r="O2082" s="49" t="s">
        <v>815</v>
      </c>
      <c r="P2082" s="54" t="s">
        <v>3392</v>
      </c>
      <c r="Q2082" s="35" t="str">
        <f>MID(Tabla1[[#This Row],[Aplicación]],14,1)</f>
        <v>2</v>
      </c>
      <c r="R2082" s="35" t="s">
        <v>495</v>
      </c>
      <c r="S2082" s="35" t="str">
        <f>MID(Tabla1[[#This Row],[Aplicación]],6,2)</f>
        <v>07</v>
      </c>
      <c r="T2082" s="35" t="str">
        <f>VLOOKUP(Tabla1[[#This Row],[AREA]],Hoja1!A:B,2,FALSE)</f>
        <v>07. Medio ambiente y desarrollo sostenible</v>
      </c>
      <c r="U2082" s="35" t="str">
        <f>MID(Tabla1[[#This Row],[Aplicación]],9,4)</f>
        <v>1711</v>
      </c>
      <c r="V2082" s="35" t="str">
        <f>VLOOKUP(Tabla1[[#This Row],[PROGRAMA]],Hoja1!A:B,2,FALSE)</f>
        <v>1711. Parques y jardines</v>
      </c>
      <c r="W2082" s="35" t="str">
        <f>MID(Tabla1[[#This Row],[Aplicación]],14,2)</f>
        <v>21</v>
      </c>
      <c r="X2082" s="35" t="str">
        <f>MID(Tabla1[[#This Row],[Aplicación]],14,6)</f>
        <v>213</v>
      </c>
    </row>
    <row r="2083" spans="1:24" x14ac:dyDescent="0.25">
      <c r="A2083" s="45">
        <v>220210014687</v>
      </c>
      <c r="B2083" s="46" t="s">
        <v>9</v>
      </c>
      <c r="C2083" s="47">
        <v>44298</v>
      </c>
      <c r="D2083" s="45">
        <v>22021003507</v>
      </c>
      <c r="E2083" s="46" t="s">
        <v>3317</v>
      </c>
      <c r="F2083" s="48">
        <v>18150</v>
      </c>
      <c r="G2083" s="54" t="s">
        <v>3491</v>
      </c>
      <c r="H2083" s="54" t="s">
        <v>3492</v>
      </c>
      <c r="I2083" s="53" t="s">
        <v>125</v>
      </c>
      <c r="J2083" s="54" t="s">
        <v>127</v>
      </c>
      <c r="K2083" s="54" t="s">
        <v>127</v>
      </c>
      <c r="L2083" s="54" t="s">
        <v>12</v>
      </c>
      <c r="M2083" s="54" t="s">
        <v>10</v>
      </c>
      <c r="N2083" s="54" t="s">
        <v>11</v>
      </c>
      <c r="O2083" s="49" t="s">
        <v>815</v>
      </c>
      <c r="P2083" s="54" t="s">
        <v>3392</v>
      </c>
      <c r="Q2083" s="35" t="str">
        <f>MID(Tabla1[[#This Row],[Aplicación]],14,1)</f>
        <v>2</v>
      </c>
      <c r="R2083" s="35" t="s">
        <v>495</v>
      </c>
      <c r="S2083" s="35" t="str">
        <f>MID(Tabla1[[#This Row],[Aplicación]],6,2)</f>
        <v>03</v>
      </c>
      <c r="T2083" s="35" t="str">
        <f>VLOOKUP(Tabla1[[#This Row],[AREA]],Hoja1!A:B,2,FALSE)</f>
        <v>03. Participación ciudadana y deportes</v>
      </c>
      <c r="U2083" s="35" t="str">
        <f>MID(Tabla1[[#This Row],[Aplicación]],9,4)</f>
        <v>9241</v>
      </c>
      <c r="V2083" s="35" t="str">
        <f>VLOOKUP(Tabla1[[#This Row],[PROGRAMA]],Hoja1!A:B,2,FALSE)</f>
        <v>9241. Participación ciudadana</v>
      </c>
      <c r="W2083" s="35" t="str">
        <f>MID(Tabla1[[#This Row],[Aplicación]],14,2)</f>
        <v>22</v>
      </c>
      <c r="X2083" s="35" t="str">
        <f>MID(Tabla1[[#This Row],[Aplicación]],14,6)</f>
        <v>22706</v>
      </c>
    </row>
    <row r="2084" spans="1:24" x14ac:dyDescent="0.25">
      <c r="A2084" s="45">
        <v>220210014689</v>
      </c>
      <c r="B2084" s="46" t="s">
        <v>9</v>
      </c>
      <c r="C2084" s="47">
        <v>44298</v>
      </c>
      <c r="D2084" s="45">
        <v>22021003656</v>
      </c>
      <c r="E2084" s="46" t="s">
        <v>3318</v>
      </c>
      <c r="F2084" s="48">
        <v>18150</v>
      </c>
      <c r="G2084" s="54" t="s">
        <v>152</v>
      </c>
      <c r="H2084" s="54" t="s">
        <v>3493</v>
      </c>
      <c r="I2084" s="53" t="s">
        <v>125</v>
      </c>
      <c r="J2084" s="54" t="s">
        <v>127</v>
      </c>
      <c r="K2084" s="54" t="s">
        <v>127</v>
      </c>
      <c r="L2084" s="54" t="s">
        <v>12</v>
      </c>
      <c r="M2084" s="54" t="s">
        <v>10</v>
      </c>
      <c r="N2084" s="54" t="s">
        <v>11</v>
      </c>
      <c r="O2084" s="49" t="s">
        <v>815</v>
      </c>
      <c r="P2084" s="54" t="s">
        <v>3392</v>
      </c>
      <c r="Q2084" s="35" t="str">
        <f>MID(Tabla1[[#This Row],[Aplicación]],14,1)</f>
        <v>2</v>
      </c>
      <c r="R2084" s="35" t="s">
        <v>495</v>
      </c>
      <c r="S2084" s="35" t="str">
        <f>MID(Tabla1[[#This Row],[Aplicación]],6,2)</f>
        <v>03</v>
      </c>
      <c r="T2084" s="35" t="str">
        <f>VLOOKUP(Tabla1[[#This Row],[AREA]],Hoja1!A:B,2,FALSE)</f>
        <v>03. Participación ciudadana y deportes</v>
      </c>
      <c r="U2084" s="35" t="str">
        <f>MID(Tabla1[[#This Row],[Aplicación]],9,4)</f>
        <v>9241</v>
      </c>
      <c r="V2084" s="35" t="str">
        <f>VLOOKUP(Tabla1[[#This Row],[PROGRAMA]],Hoja1!A:B,2,FALSE)</f>
        <v>9241. Participación ciudadana</v>
      </c>
      <c r="W2084" s="35" t="str">
        <f>MID(Tabla1[[#This Row],[Aplicación]],14,2)</f>
        <v>22</v>
      </c>
      <c r="X2084" s="35" t="str">
        <f>MID(Tabla1[[#This Row],[Aplicación]],14,6)</f>
        <v>223</v>
      </c>
    </row>
    <row r="2085" spans="1:24" x14ac:dyDescent="0.25">
      <c r="A2085" s="45">
        <v>220210025418</v>
      </c>
      <c r="B2085" s="46" t="s">
        <v>9</v>
      </c>
      <c r="C2085" s="47">
        <v>44341</v>
      </c>
      <c r="D2085" s="45">
        <v>22021004263</v>
      </c>
      <c r="E2085" s="46" t="s">
        <v>859</v>
      </c>
      <c r="F2085" s="48">
        <v>18113.7</v>
      </c>
      <c r="G2085" s="54" t="s">
        <v>3494</v>
      </c>
      <c r="H2085" s="54" t="s">
        <v>3495</v>
      </c>
      <c r="I2085" s="53" t="s">
        <v>125</v>
      </c>
      <c r="J2085" s="54" t="s">
        <v>126</v>
      </c>
      <c r="K2085" s="54" t="s">
        <v>126</v>
      </c>
      <c r="L2085" s="54" t="s">
        <v>12</v>
      </c>
      <c r="M2085" s="54" t="s">
        <v>10</v>
      </c>
      <c r="N2085" s="54" t="s">
        <v>16</v>
      </c>
      <c r="O2085" s="49" t="s">
        <v>815</v>
      </c>
      <c r="P2085" s="54" t="s">
        <v>3392</v>
      </c>
      <c r="Q2085" s="35" t="str">
        <f>MID(Tabla1[[#This Row],[Aplicación]],14,1)</f>
        <v>2</v>
      </c>
      <c r="R2085" s="35" t="s">
        <v>495</v>
      </c>
      <c r="S2085" s="35" t="str">
        <f>MID(Tabla1[[#This Row],[Aplicación]],6,2)</f>
        <v>05</v>
      </c>
      <c r="T2085" s="35" t="str">
        <f>VLOOKUP(Tabla1[[#This Row],[AREA]],Hoja1!A:B,2,FALSE)</f>
        <v>05. Innovación, desarrollo económico, empleo y comercio</v>
      </c>
      <c r="U2085" s="35" t="str">
        <f>MID(Tabla1[[#This Row],[Aplicación]],9,4)</f>
        <v>4331</v>
      </c>
      <c r="V2085" s="35" t="str">
        <f>VLOOKUP(Tabla1[[#This Row],[PROGRAMA]],Hoja1!A:B,2,FALSE)</f>
        <v>4331. Desarrollo empresarial</v>
      </c>
      <c r="W2085" s="35" t="str">
        <f>MID(Tabla1[[#This Row],[Aplicación]],14,2)</f>
        <v>22</v>
      </c>
      <c r="X2085" s="35" t="str">
        <f>MID(Tabla1[[#This Row],[Aplicación]],14,6)</f>
        <v>22706</v>
      </c>
    </row>
    <row r="2086" spans="1:24" x14ac:dyDescent="0.25">
      <c r="A2086" s="45">
        <v>220210028696</v>
      </c>
      <c r="B2086" s="46" t="s">
        <v>9</v>
      </c>
      <c r="C2086" s="47">
        <v>44351</v>
      </c>
      <c r="D2086" s="45">
        <v>22021003654</v>
      </c>
      <c r="E2086" s="46" t="s">
        <v>3319</v>
      </c>
      <c r="F2086" s="48">
        <v>18089.5</v>
      </c>
      <c r="G2086" s="54" t="s">
        <v>3496</v>
      </c>
      <c r="H2086" s="54" t="s">
        <v>3497</v>
      </c>
      <c r="I2086" s="53" t="s">
        <v>216</v>
      </c>
      <c r="J2086" s="54" t="s">
        <v>3498</v>
      </c>
      <c r="K2086" s="54" t="s">
        <v>126</v>
      </c>
      <c r="L2086" s="54" t="s">
        <v>12</v>
      </c>
      <c r="M2086" s="54" t="s">
        <v>10</v>
      </c>
      <c r="N2086" s="54" t="s">
        <v>11</v>
      </c>
      <c r="O2086" s="49" t="s">
        <v>815</v>
      </c>
      <c r="P2086" s="54" t="s">
        <v>3392</v>
      </c>
      <c r="Q2086" s="35" t="str">
        <f>MID(Tabla1[[#This Row],[Aplicación]],14,1)</f>
        <v>6</v>
      </c>
      <c r="R2086" s="35" t="s">
        <v>496</v>
      </c>
      <c r="S2086" s="35" t="str">
        <f>MID(Tabla1[[#This Row],[Aplicación]],6,2)</f>
        <v>11</v>
      </c>
      <c r="T2086" s="35" t="str">
        <f>VLOOKUP(Tabla1[[#This Row],[AREA]],Hoja1!A:B,2,FALSE)</f>
        <v>11. Salud pública y seguridad ciudadana</v>
      </c>
      <c r="U2086" s="35" t="str">
        <f>MID(Tabla1[[#This Row],[Aplicación]],9,4)</f>
        <v>1321</v>
      </c>
      <c r="V2086" s="35" t="str">
        <f>VLOOKUP(Tabla1[[#This Row],[PROGRAMA]],Hoja1!A:B,2,FALSE)</f>
        <v>1321. Policía municipal</v>
      </c>
      <c r="W2086" s="35" t="str">
        <f>MID(Tabla1[[#This Row],[Aplicación]],14,2)</f>
        <v>62</v>
      </c>
      <c r="X2086" s="35" t="str">
        <f>MID(Tabla1[[#This Row],[Aplicación]],14,6)</f>
        <v>623</v>
      </c>
    </row>
    <row r="2087" spans="1:24" x14ac:dyDescent="0.25">
      <c r="A2087" s="45">
        <v>220210031215</v>
      </c>
      <c r="B2087" s="46" t="s">
        <v>9</v>
      </c>
      <c r="C2087" s="47">
        <v>44362</v>
      </c>
      <c r="D2087" s="45">
        <v>22021004767</v>
      </c>
      <c r="E2087" s="46" t="s">
        <v>881</v>
      </c>
      <c r="F2087" s="48">
        <v>18089.5</v>
      </c>
      <c r="G2087" s="54" t="s">
        <v>3499</v>
      </c>
      <c r="H2087" s="54" t="s">
        <v>3500</v>
      </c>
      <c r="I2087" s="53" t="s">
        <v>125</v>
      </c>
      <c r="J2087" s="54" t="s">
        <v>127</v>
      </c>
      <c r="K2087" s="54" t="s">
        <v>127</v>
      </c>
      <c r="L2087" s="54" t="s">
        <v>12</v>
      </c>
      <c r="M2087" s="54" t="s">
        <v>10</v>
      </c>
      <c r="N2087" s="54" t="s">
        <v>16</v>
      </c>
      <c r="O2087" s="49" t="s">
        <v>815</v>
      </c>
      <c r="P2087" s="54" t="s">
        <v>3392</v>
      </c>
      <c r="Q2087" s="35" t="str">
        <f>MID(Tabla1[[#This Row],[Aplicación]],14,1)</f>
        <v>2</v>
      </c>
      <c r="R2087" s="35" t="s">
        <v>495</v>
      </c>
      <c r="S2087" s="35" t="str">
        <f>MID(Tabla1[[#This Row],[Aplicación]],6,2)</f>
        <v>05</v>
      </c>
      <c r="T2087" s="35" t="str">
        <f>VLOOKUP(Tabla1[[#This Row],[AREA]],Hoja1!A:B,2,FALSE)</f>
        <v>05. Innovación, desarrollo económico, empleo y comercio</v>
      </c>
      <c r="U2087" s="35" t="str">
        <f>MID(Tabla1[[#This Row],[Aplicación]],9,4)</f>
        <v>4331</v>
      </c>
      <c r="V2087" s="35" t="str">
        <f>VLOOKUP(Tabla1[[#This Row],[PROGRAMA]],Hoja1!A:B,2,FALSE)</f>
        <v>4331. Desarrollo empresarial</v>
      </c>
      <c r="W2087" s="35" t="str">
        <f>MID(Tabla1[[#This Row],[Aplicación]],14,2)</f>
        <v>22</v>
      </c>
      <c r="X2087" s="35" t="str">
        <f>MID(Tabla1[[#This Row],[Aplicación]],14,6)</f>
        <v>22799</v>
      </c>
    </row>
    <row r="2088" spans="1:24" x14ac:dyDescent="0.25">
      <c r="A2088" s="45">
        <v>220210032898</v>
      </c>
      <c r="B2088" s="46" t="s">
        <v>9</v>
      </c>
      <c r="C2088" s="47">
        <v>44372</v>
      </c>
      <c r="D2088" s="45">
        <v>22021004174</v>
      </c>
      <c r="E2088" s="46" t="s">
        <v>3320</v>
      </c>
      <c r="F2088" s="48">
        <v>18089.5</v>
      </c>
      <c r="G2088" s="54" t="s">
        <v>515</v>
      </c>
      <c r="H2088" s="54" t="s">
        <v>3501</v>
      </c>
      <c r="I2088" s="53" t="s">
        <v>125</v>
      </c>
      <c r="J2088" s="54" t="s">
        <v>659</v>
      </c>
      <c r="K2088" s="54" t="s">
        <v>127</v>
      </c>
      <c r="L2088" s="54" t="s">
        <v>12</v>
      </c>
      <c r="M2088" s="54" t="s">
        <v>10</v>
      </c>
      <c r="N2088" s="54" t="s">
        <v>11</v>
      </c>
      <c r="O2088" s="49" t="s">
        <v>815</v>
      </c>
      <c r="P2088" s="54" t="s">
        <v>3392</v>
      </c>
      <c r="Q2088" s="35" t="str">
        <f>MID(Tabla1[[#This Row],[Aplicación]],14,1)</f>
        <v>6</v>
      </c>
      <c r="R2088" s="35" t="s">
        <v>496</v>
      </c>
      <c r="S2088" s="35" t="str">
        <f>MID(Tabla1[[#This Row],[Aplicación]],6,2)</f>
        <v>07</v>
      </c>
      <c r="T2088" s="35" t="str">
        <f>VLOOKUP(Tabla1[[#This Row],[AREA]],Hoja1!A:B,2,FALSE)</f>
        <v>07. Medio ambiente y desarrollo sostenible</v>
      </c>
      <c r="U2088" s="35" t="str">
        <f>MID(Tabla1[[#This Row],[Aplicación]],9,4)</f>
        <v>1711</v>
      </c>
      <c r="V2088" s="35" t="str">
        <f>VLOOKUP(Tabla1[[#This Row],[PROGRAMA]],Hoja1!A:B,2,FALSE)</f>
        <v>1711. Parques y jardines</v>
      </c>
      <c r="W2088" s="35" t="str">
        <f>MID(Tabla1[[#This Row],[Aplicación]],14,2)</f>
        <v>62</v>
      </c>
      <c r="X2088" s="35" t="str">
        <f>MID(Tabla1[[#This Row],[Aplicación]],14,6)</f>
        <v>623</v>
      </c>
    </row>
    <row r="2089" spans="1:24" x14ac:dyDescent="0.25">
      <c r="A2089" s="45">
        <v>220210022812</v>
      </c>
      <c r="B2089" s="46" t="s">
        <v>9</v>
      </c>
      <c r="C2089" s="47">
        <v>44333</v>
      </c>
      <c r="D2089" s="45">
        <v>22021000453</v>
      </c>
      <c r="E2089" s="46" t="s">
        <v>2834</v>
      </c>
      <c r="F2089" s="48">
        <v>3219.27</v>
      </c>
      <c r="G2089" s="54" t="s">
        <v>101</v>
      </c>
      <c r="H2089" s="54" t="s">
        <v>3488</v>
      </c>
      <c r="I2089" s="53" t="s">
        <v>125</v>
      </c>
      <c r="J2089" s="54" t="s">
        <v>127</v>
      </c>
      <c r="K2089" s="54" t="s">
        <v>127</v>
      </c>
      <c r="L2089" s="54" t="s">
        <v>12</v>
      </c>
      <c r="M2089" s="54" t="s">
        <v>13</v>
      </c>
      <c r="N2089" s="54" t="s">
        <v>14</v>
      </c>
      <c r="O2089" s="49" t="s">
        <v>803</v>
      </c>
      <c r="P2089" s="54" t="s">
        <v>3392</v>
      </c>
      <c r="Q2089" s="35" t="str">
        <f>MID(Tabla1[[#This Row],[Aplicación]],14,1)</f>
        <v>2</v>
      </c>
      <c r="R2089" s="35" t="s">
        <v>495</v>
      </c>
      <c r="S2089" s="35" t="str">
        <f>MID(Tabla1[[#This Row],[Aplicación]],6,2)</f>
        <v>10</v>
      </c>
      <c r="T2089" s="35" t="str">
        <f>VLOOKUP(Tabla1[[#This Row],[AREA]],Hoja1!A:B,2,FALSE)</f>
        <v>10. Servicios sociales y mediación comunitaria</v>
      </c>
      <c r="U2089" s="35" t="str">
        <f>MID(Tabla1[[#This Row],[Aplicación]],9,4)</f>
        <v>2412</v>
      </c>
      <c r="V2089" s="35" t="str">
        <f>VLOOKUP(Tabla1[[#This Row],[PROGRAMA]],Hoja1!A:B,2,FALSE)</f>
        <v>2412. Formación para el empleo</v>
      </c>
      <c r="W2089" s="35" t="str">
        <f>MID(Tabla1[[#This Row],[Aplicación]],14,2)</f>
        <v>22</v>
      </c>
      <c r="X2089" s="35" t="str">
        <f>MID(Tabla1[[#This Row],[Aplicación]],14,6)</f>
        <v>22700</v>
      </c>
    </row>
    <row r="2090" spans="1:24" x14ac:dyDescent="0.25">
      <c r="A2090" s="45">
        <v>220210022812</v>
      </c>
      <c r="B2090" s="46" t="s">
        <v>9</v>
      </c>
      <c r="C2090" s="47">
        <v>44333</v>
      </c>
      <c r="D2090" s="45">
        <v>22021000452</v>
      </c>
      <c r="E2090" s="46" t="s">
        <v>2834</v>
      </c>
      <c r="F2090" s="48">
        <v>1399.64</v>
      </c>
      <c r="G2090" s="54" t="s">
        <v>101</v>
      </c>
      <c r="H2090" s="54" t="s">
        <v>3488</v>
      </c>
      <c r="I2090" s="53" t="s">
        <v>125</v>
      </c>
      <c r="J2090" s="54" t="s">
        <v>127</v>
      </c>
      <c r="K2090" s="54" t="s">
        <v>127</v>
      </c>
      <c r="L2090" s="54" t="s">
        <v>12</v>
      </c>
      <c r="M2090" s="54" t="s">
        <v>13</v>
      </c>
      <c r="N2090" s="54" t="s">
        <v>14</v>
      </c>
      <c r="O2090" s="49" t="s">
        <v>803</v>
      </c>
      <c r="P2090" s="54" t="s">
        <v>3392</v>
      </c>
      <c r="Q2090" s="35" t="str">
        <f>MID(Tabla1[[#This Row],[Aplicación]],14,1)</f>
        <v>2</v>
      </c>
      <c r="R2090" s="35" t="s">
        <v>495</v>
      </c>
      <c r="S2090" s="35" t="str">
        <f>MID(Tabla1[[#This Row],[Aplicación]],6,2)</f>
        <v>10</v>
      </c>
      <c r="T2090" s="35" t="str">
        <f>VLOOKUP(Tabla1[[#This Row],[AREA]],Hoja1!A:B,2,FALSE)</f>
        <v>10. Servicios sociales y mediación comunitaria</v>
      </c>
      <c r="U2090" s="35" t="str">
        <f>MID(Tabla1[[#This Row],[Aplicación]],9,4)</f>
        <v>2412</v>
      </c>
      <c r="V2090" s="35" t="str">
        <f>VLOOKUP(Tabla1[[#This Row],[PROGRAMA]],Hoja1!A:B,2,FALSE)</f>
        <v>2412. Formación para el empleo</v>
      </c>
      <c r="W2090" s="35" t="str">
        <f>MID(Tabla1[[#This Row],[Aplicación]],14,2)</f>
        <v>22</v>
      </c>
      <c r="X2090" s="35" t="str">
        <f>MID(Tabla1[[#This Row],[Aplicación]],14,6)</f>
        <v>22700</v>
      </c>
    </row>
    <row r="2091" spans="1:24" x14ac:dyDescent="0.25">
      <c r="A2091" s="45">
        <v>220210023569</v>
      </c>
      <c r="B2091" s="46" t="s">
        <v>9</v>
      </c>
      <c r="C2091" s="47">
        <v>44340</v>
      </c>
      <c r="D2091" s="45">
        <v>22021004458</v>
      </c>
      <c r="E2091" s="46" t="s">
        <v>1542</v>
      </c>
      <c r="F2091" s="48">
        <v>4002.58</v>
      </c>
      <c r="G2091" s="54" t="s">
        <v>121</v>
      </c>
      <c r="H2091" s="54" t="s">
        <v>3502</v>
      </c>
      <c r="I2091" s="53" t="s">
        <v>125</v>
      </c>
      <c r="J2091" s="54" t="s">
        <v>664</v>
      </c>
      <c r="K2091" s="54" t="s">
        <v>127</v>
      </c>
      <c r="L2091" s="54" t="s">
        <v>12</v>
      </c>
      <c r="M2091" s="54" t="s">
        <v>10</v>
      </c>
      <c r="N2091" s="54" t="s">
        <v>11</v>
      </c>
      <c r="O2091" s="49" t="s">
        <v>815</v>
      </c>
      <c r="P2091" s="54" t="s">
        <v>3392</v>
      </c>
      <c r="Q2091" s="35" t="str">
        <f>MID(Tabla1[[#This Row],[Aplicación]],14,1)</f>
        <v>6</v>
      </c>
      <c r="R2091" s="35" t="s">
        <v>496</v>
      </c>
      <c r="S2091" s="35" t="str">
        <f>MID(Tabla1[[#This Row],[Aplicación]],6,2)</f>
        <v>05</v>
      </c>
      <c r="T2091" s="35" t="str">
        <f>VLOOKUP(Tabla1[[#This Row],[AREA]],Hoja1!A:B,2,FALSE)</f>
        <v>05. Innovación, desarrollo económico, empleo y comercio</v>
      </c>
      <c r="U2091" s="35" t="str">
        <f>MID(Tabla1[[#This Row],[Aplicación]],9,4)</f>
        <v>4331</v>
      </c>
      <c r="V2091" s="35" t="str">
        <f>VLOOKUP(Tabla1[[#This Row],[PROGRAMA]],Hoja1!A:B,2,FALSE)</f>
        <v>4331. Desarrollo empresarial</v>
      </c>
      <c r="W2091" s="35" t="str">
        <f>MID(Tabla1[[#This Row],[Aplicación]],14,2)</f>
        <v>60</v>
      </c>
      <c r="X2091" s="35" t="str">
        <f>MID(Tabla1[[#This Row],[Aplicación]],14,6)</f>
        <v>609</v>
      </c>
    </row>
    <row r="2092" spans="1:24" x14ac:dyDescent="0.25">
      <c r="A2092" s="45">
        <v>220210025420</v>
      </c>
      <c r="B2092" s="46" t="s">
        <v>9</v>
      </c>
      <c r="C2092" s="47">
        <v>44341</v>
      </c>
      <c r="D2092" s="45">
        <v>22021004323</v>
      </c>
      <c r="E2092" s="46" t="s">
        <v>859</v>
      </c>
      <c r="F2092" s="48">
        <v>18029</v>
      </c>
      <c r="G2092" s="54" t="s">
        <v>3503</v>
      </c>
      <c r="H2092" s="54" t="s">
        <v>3504</v>
      </c>
      <c r="I2092" s="53" t="s">
        <v>125</v>
      </c>
      <c r="J2092" s="54" t="s">
        <v>3505</v>
      </c>
      <c r="K2092" s="54" t="s">
        <v>169</v>
      </c>
      <c r="L2092" s="54" t="s">
        <v>12</v>
      </c>
      <c r="M2092" s="54" t="s">
        <v>10</v>
      </c>
      <c r="N2092" s="54" t="s">
        <v>16</v>
      </c>
      <c r="O2092" s="49" t="s">
        <v>815</v>
      </c>
      <c r="P2092" s="54" t="s">
        <v>3392</v>
      </c>
      <c r="Q2092" s="35" t="str">
        <f>MID(Tabla1[[#This Row],[Aplicación]],14,1)</f>
        <v>2</v>
      </c>
      <c r="R2092" s="35" t="s">
        <v>495</v>
      </c>
      <c r="S2092" s="35" t="str">
        <f>MID(Tabla1[[#This Row],[Aplicación]],6,2)</f>
        <v>05</v>
      </c>
      <c r="T2092" s="35" t="str">
        <f>VLOOKUP(Tabla1[[#This Row],[AREA]],Hoja1!A:B,2,FALSE)</f>
        <v>05. Innovación, desarrollo económico, empleo y comercio</v>
      </c>
      <c r="U2092" s="35" t="str">
        <f>MID(Tabla1[[#This Row],[Aplicación]],9,4)</f>
        <v>4331</v>
      </c>
      <c r="V2092" s="35" t="str">
        <f>VLOOKUP(Tabla1[[#This Row],[PROGRAMA]],Hoja1!A:B,2,FALSE)</f>
        <v>4331. Desarrollo empresarial</v>
      </c>
      <c r="W2092" s="35" t="str">
        <f>MID(Tabla1[[#This Row],[Aplicación]],14,2)</f>
        <v>22</v>
      </c>
      <c r="X2092" s="35" t="str">
        <f>MID(Tabla1[[#This Row],[Aplicación]],14,6)</f>
        <v>22706</v>
      </c>
    </row>
    <row r="2093" spans="1:24" x14ac:dyDescent="0.25">
      <c r="A2093" s="45">
        <v>220210031105</v>
      </c>
      <c r="B2093" s="46" t="s">
        <v>9</v>
      </c>
      <c r="C2093" s="47">
        <v>44361</v>
      </c>
      <c r="D2093" s="45">
        <v>22021003590</v>
      </c>
      <c r="E2093" s="46" t="s">
        <v>1648</v>
      </c>
      <c r="F2093" s="48">
        <v>638.88</v>
      </c>
      <c r="G2093" s="54" t="s">
        <v>101</v>
      </c>
      <c r="H2093" s="54" t="s">
        <v>3506</v>
      </c>
      <c r="I2093" s="53" t="s">
        <v>125</v>
      </c>
      <c r="J2093" s="54" t="s">
        <v>127</v>
      </c>
      <c r="K2093" s="54" t="s">
        <v>127</v>
      </c>
      <c r="L2093" s="54" t="s">
        <v>12</v>
      </c>
      <c r="M2093" s="54" t="s">
        <v>13</v>
      </c>
      <c r="N2093" s="54" t="s">
        <v>14</v>
      </c>
      <c r="O2093" s="49" t="s">
        <v>803</v>
      </c>
      <c r="P2093" s="54" t="s">
        <v>3392</v>
      </c>
      <c r="Q2093" s="35" t="str">
        <f>MID(Tabla1[[#This Row],[Aplicación]],14,1)</f>
        <v>2</v>
      </c>
      <c r="R2093" s="35" t="s">
        <v>495</v>
      </c>
      <c r="S2093" s="35" t="str">
        <f>MID(Tabla1[[#This Row],[Aplicación]],6,2)</f>
        <v>09</v>
      </c>
      <c r="T2093" s="35" t="str">
        <f>VLOOKUP(Tabla1[[#This Row],[AREA]],Hoja1!A:B,2,FALSE)</f>
        <v>09. Cultura y turismo</v>
      </c>
      <c r="U2093" s="35" t="str">
        <f>MID(Tabla1[[#This Row],[Aplicación]],9,4)</f>
        <v>3341</v>
      </c>
      <c r="V2093" s="35" t="str">
        <f>VLOOKUP(Tabla1[[#This Row],[PROGRAMA]],Hoja1!A:B,2,FALSE)</f>
        <v>3341. Coordinación de políticas culturales</v>
      </c>
      <c r="W2093" s="35" t="str">
        <f>MID(Tabla1[[#This Row],[Aplicación]],14,2)</f>
        <v>22</v>
      </c>
      <c r="X2093" s="35" t="str">
        <f>MID(Tabla1[[#This Row],[Aplicación]],14,6)</f>
        <v>22799</v>
      </c>
    </row>
    <row r="2094" spans="1:24" x14ac:dyDescent="0.25">
      <c r="A2094" s="45">
        <v>220210023558</v>
      </c>
      <c r="B2094" s="46" t="s">
        <v>9</v>
      </c>
      <c r="C2094" s="47">
        <v>44337</v>
      </c>
      <c r="D2094" s="45">
        <v>22021004360</v>
      </c>
      <c r="E2094" s="46" t="s">
        <v>3321</v>
      </c>
      <c r="F2094" s="48">
        <v>17712.099999999999</v>
      </c>
      <c r="G2094" s="54" t="s">
        <v>51</v>
      </c>
      <c r="H2094" s="54" t="s">
        <v>3507</v>
      </c>
      <c r="I2094" s="53" t="s">
        <v>125</v>
      </c>
      <c r="J2094" s="54" t="s">
        <v>127</v>
      </c>
      <c r="K2094" s="54" t="s">
        <v>127</v>
      </c>
      <c r="L2094" s="54" t="s">
        <v>12</v>
      </c>
      <c r="M2094" s="54" t="s">
        <v>10</v>
      </c>
      <c r="N2094" s="54" t="s">
        <v>14</v>
      </c>
      <c r="O2094" s="49" t="s">
        <v>815</v>
      </c>
      <c r="P2094" s="54" t="s">
        <v>3392</v>
      </c>
      <c r="Q2094" s="35" t="str">
        <f>MID(Tabla1[[#This Row],[Aplicación]],14,1)</f>
        <v>2</v>
      </c>
      <c r="R2094" s="35" t="s">
        <v>495</v>
      </c>
      <c r="S2094" s="35" t="str">
        <f>MID(Tabla1[[#This Row],[Aplicación]],6,2)</f>
        <v>02</v>
      </c>
      <c r="T2094" s="35" t="str">
        <f>VLOOKUP(Tabla1[[#This Row],[AREA]],Hoja1!A:B,2,FALSE)</f>
        <v>02. Planeamiento urbanístico y vivienda</v>
      </c>
      <c r="U2094" s="35" t="str">
        <f>MID(Tabla1[[#This Row],[Aplicación]],9,4)</f>
        <v>9332</v>
      </c>
      <c r="V2094" s="35" t="str">
        <f>VLOOKUP(Tabla1[[#This Row],[PROGRAMA]],Hoja1!A:B,2,FALSE)</f>
        <v>9332. Mantenimiento de edificios e instalaciones municipales</v>
      </c>
      <c r="W2094" s="35" t="str">
        <f>MID(Tabla1[[#This Row],[Aplicación]],14,2)</f>
        <v>22</v>
      </c>
      <c r="X2094" s="35" t="str">
        <f>MID(Tabla1[[#This Row],[Aplicación]],14,6)</f>
        <v>22799</v>
      </c>
    </row>
    <row r="2095" spans="1:24" x14ac:dyDescent="0.25">
      <c r="A2095" s="45">
        <v>220200056647</v>
      </c>
      <c r="B2095" s="46" t="s">
        <v>9</v>
      </c>
      <c r="C2095" s="47">
        <v>44375</v>
      </c>
      <c r="D2095" s="45">
        <v>22020006655</v>
      </c>
      <c r="E2095" s="46" t="s">
        <v>2554</v>
      </c>
      <c r="F2095" s="48">
        <v>17652.689999999999</v>
      </c>
      <c r="G2095" s="54" t="s">
        <v>3508</v>
      </c>
      <c r="H2095" s="54" t="s">
        <v>3509</v>
      </c>
      <c r="I2095" s="53" t="s">
        <v>125</v>
      </c>
      <c r="J2095" s="54" t="s">
        <v>826</v>
      </c>
      <c r="K2095" s="54" t="s">
        <v>127</v>
      </c>
      <c r="L2095" s="54" t="s">
        <v>12</v>
      </c>
      <c r="M2095" s="54" t="s">
        <v>10</v>
      </c>
      <c r="N2095" s="54" t="s">
        <v>11</v>
      </c>
      <c r="O2095" s="49" t="s">
        <v>815</v>
      </c>
      <c r="P2095" s="54" t="s">
        <v>3392</v>
      </c>
      <c r="Q2095" s="35" t="str">
        <f>MID(Tabla1[[#This Row],[Aplicación]],14,1)</f>
        <v>2</v>
      </c>
      <c r="R2095" s="35" t="s">
        <v>495</v>
      </c>
      <c r="S2095" s="35" t="str">
        <f>MID(Tabla1[[#This Row],[Aplicación]],6,2)</f>
        <v>02</v>
      </c>
      <c r="T2095" s="35" t="str">
        <f>VLOOKUP(Tabla1[[#This Row],[AREA]],Hoja1!A:B,2,FALSE)</f>
        <v>02. Planeamiento urbanístico y vivienda</v>
      </c>
      <c r="U2095" s="35" t="str">
        <f>MID(Tabla1[[#This Row],[Aplicación]],9,4)</f>
        <v>1511</v>
      </c>
      <c r="V2095" s="35" t="str">
        <f>VLOOKUP(Tabla1[[#This Row],[PROGRAMA]],Hoja1!A:B,2,FALSE)</f>
        <v>1511. Planficación y gestión del urbanismo</v>
      </c>
      <c r="W2095" s="35" t="str">
        <f>MID(Tabla1[[#This Row],[Aplicación]],14,2)</f>
        <v>22</v>
      </c>
      <c r="X2095" s="35" t="str">
        <f>MID(Tabla1[[#This Row],[Aplicación]],14,6)</f>
        <v>22706</v>
      </c>
    </row>
    <row r="2096" spans="1:24" x14ac:dyDescent="0.25">
      <c r="A2096" s="45">
        <v>220210033084</v>
      </c>
      <c r="B2096" s="46" t="s">
        <v>9</v>
      </c>
      <c r="C2096" s="47">
        <v>44376</v>
      </c>
      <c r="D2096" s="45">
        <v>22021005001</v>
      </c>
      <c r="E2096" s="46" t="s">
        <v>1224</v>
      </c>
      <c r="F2096" s="48">
        <v>17505.93</v>
      </c>
      <c r="G2096" s="54" t="s">
        <v>228</v>
      </c>
      <c r="H2096" s="54" t="s">
        <v>3510</v>
      </c>
      <c r="I2096" s="53" t="s">
        <v>125</v>
      </c>
      <c r="J2096" s="54" t="s">
        <v>127</v>
      </c>
      <c r="K2096" s="54" t="s">
        <v>127</v>
      </c>
      <c r="L2096" s="54" t="s">
        <v>12</v>
      </c>
      <c r="M2096" s="54" t="s">
        <v>10</v>
      </c>
      <c r="N2096" s="54" t="s">
        <v>11</v>
      </c>
      <c r="O2096" s="49" t="s">
        <v>815</v>
      </c>
      <c r="P2096" s="54" t="s">
        <v>3392</v>
      </c>
      <c r="Q2096" s="35" t="str">
        <f>MID(Tabla1[[#This Row],[Aplicación]],14,1)</f>
        <v>6</v>
      </c>
      <c r="R2096" s="35" t="s">
        <v>496</v>
      </c>
      <c r="S2096" s="35" t="str">
        <f>MID(Tabla1[[#This Row],[Aplicación]],6,2)</f>
        <v>04</v>
      </c>
      <c r="T2096" s="35" t="str">
        <f>VLOOKUP(Tabla1[[#This Row],[AREA]],Hoja1!A:B,2,FALSE)</f>
        <v>04. Planificación y recursos</v>
      </c>
      <c r="U2096" s="35" t="str">
        <f>MID(Tabla1[[#This Row],[Aplicación]],9,4)</f>
        <v>9204</v>
      </c>
      <c r="V2096" s="35" t="str">
        <f>VLOOKUP(Tabla1[[#This Row],[PROGRAMA]],Hoja1!A:B,2,FALSE)</f>
        <v>9204. Tecnologías de la información y comunicación</v>
      </c>
      <c r="W2096" s="35" t="str">
        <f>MID(Tabla1[[#This Row],[Aplicación]],14,2)</f>
        <v>63</v>
      </c>
      <c r="X2096" s="35" t="str">
        <f>MID(Tabla1[[#This Row],[Aplicación]],14,6)</f>
        <v>636</v>
      </c>
    </row>
    <row r="2097" spans="1:24" x14ac:dyDescent="0.25">
      <c r="A2097" s="45">
        <v>220210029574</v>
      </c>
      <c r="B2097" s="46" t="s">
        <v>9</v>
      </c>
      <c r="C2097" s="47">
        <v>44355</v>
      </c>
      <c r="D2097" s="45">
        <v>22021004748</v>
      </c>
      <c r="E2097" s="46" t="s">
        <v>3322</v>
      </c>
      <c r="F2097" s="48">
        <v>17462.84</v>
      </c>
      <c r="G2097" s="54" t="s">
        <v>528</v>
      </c>
      <c r="H2097" s="54" t="s">
        <v>3511</v>
      </c>
      <c r="I2097" s="53" t="s">
        <v>125</v>
      </c>
      <c r="J2097" s="54" t="s">
        <v>127</v>
      </c>
      <c r="K2097" s="54" t="s">
        <v>127</v>
      </c>
      <c r="L2097" s="54" t="s">
        <v>15</v>
      </c>
      <c r="M2097" s="54" t="s">
        <v>10</v>
      </c>
      <c r="N2097" s="54" t="s">
        <v>11</v>
      </c>
      <c r="O2097" s="49" t="s">
        <v>815</v>
      </c>
      <c r="P2097" s="54" t="s">
        <v>3392</v>
      </c>
      <c r="Q2097" s="35" t="str">
        <f>MID(Tabla1[[#This Row],[Aplicación]],14,1)</f>
        <v>6</v>
      </c>
      <c r="R2097" s="35" t="s">
        <v>496</v>
      </c>
      <c r="S2097" s="35" t="str">
        <f>MID(Tabla1[[#This Row],[Aplicación]],6,2)</f>
        <v>06</v>
      </c>
      <c r="T2097" s="35" t="str">
        <f>VLOOKUP(Tabla1[[#This Row],[AREA]],Hoja1!A:B,2,FALSE)</f>
        <v>06. Educación, infancia, juventud e igualdad</v>
      </c>
      <c r="U2097" s="35" t="str">
        <f>MID(Tabla1[[#This Row],[Aplicación]],9,4)</f>
        <v>3261</v>
      </c>
      <c r="V2097" s="35" t="str">
        <f>VLOOKUP(Tabla1[[#This Row],[PROGRAMA]],Hoja1!A:B,2,FALSE)</f>
        <v>3261. Servicios complementarios de educación</v>
      </c>
      <c r="W2097" s="35" t="str">
        <f>MID(Tabla1[[#This Row],[Aplicación]],14,2)</f>
        <v>62</v>
      </c>
      <c r="X2097" s="35" t="str">
        <f>MID(Tabla1[[#This Row],[Aplicación]],14,6)</f>
        <v>624</v>
      </c>
    </row>
    <row r="2098" spans="1:24" x14ac:dyDescent="0.25">
      <c r="A2098" s="45">
        <v>220210028697</v>
      </c>
      <c r="B2098" s="46" t="s">
        <v>9</v>
      </c>
      <c r="C2098" s="47">
        <v>44351</v>
      </c>
      <c r="D2098" s="45">
        <v>22021004056</v>
      </c>
      <c r="E2098" s="46" t="s">
        <v>3319</v>
      </c>
      <c r="F2098" s="48">
        <v>17413.11</v>
      </c>
      <c r="G2098" s="54" t="s">
        <v>3512</v>
      </c>
      <c r="H2098" s="54" t="s">
        <v>3513</v>
      </c>
      <c r="I2098" s="53" t="s">
        <v>216</v>
      </c>
      <c r="J2098" s="54" t="s">
        <v>180</v>
      </c>
      <c r="K2098" s="54" t="s">
        <v>180</v>
      </c>
      <c r="L2098" s="54" t="s">
        <v>15</v>
      </c>
      <c r="M2098" s="54" t="s">
        <v>10</v>
      </c>
      <c r="N2098" s="54" t="s">
        <v>11</v>
      </c>
      <c r="O2098" s="49" t="s">
        <v>815</v>
      </c>
      <c r="P2098" s="54" t="s">
        <v>3392</v>
      </c>
      <c r="Q2098" s="35" t="str">
        <f>MID(Tabla1[[#This Row],[Aplicación]],14,1)</f>
        <v>6</v>
      </c>
      <c r="R2098" s="35" t="s">
        <v>496</v>
      </c>
      <c r="S2098" s="35" t="str">
        <f>MID(Tabla1[[#This Row],[Aplicación]],6,2)</f>
        <v>11</v>
      </c>
      <c r="T2098" s="35" t="str">
        <f>VLOOKUP(Tabla1[[#This Row],[AREA]],Hoja1!A:B,2,FALSE)</f>
        <v>11. Salud pública y seguridad ciudadana</v>
      </c>
      <c r="U2098" s="35" t="str">
        <f>MID(Tabla1[[#This Row],[Aplicación]],9,4)</f>
        <v>1321</v>
      </c>
      <c r="V2098" s="35" t="str">
        <f>VLOOKUP(Tabla1[[#This Row],[PROGRAMA]],Hoja1!A:B,2,FALSE)</f>
        <v>1321. Policía municipal</v>
      </c>
      <c r="W2098" s="35" t="str">
        <f>MID(Tabla1[[#This Row],[Aplicación]],14,2)</f>
        <v>62</v>
      </c>
      <c r="X2098" s="35" t="str">
        <f>MID(Tabla1[[#This Row],[Aplicación]],14,6)</f>
        <v>623</v>
      </c>
    </row>
    <row r="2099" spans="1:24" x14ac:dyDescent="0.25">
      <c r="A2099" s="45">
        <v>220210025227</v>
      </c>
      <c r="B2099" s="46" t="s">
        <v>9</v>
      </c>
      <c r="C2099" s="47">
        <v>44341</v>
      </c>
      <c r="D2099" s="45">
        <v>22021004257</v>
      </c>
      <c r="E2099" s="46" t="s">
        <v>859</v>
      </c>
      <c r="F2099" s="48">
        <v>17242.5</v>
      </c>
      <c r="G2099" s="54" t="s">
        <v>3514</v>
      </c>
      <c r="H2099" s="54" t="s">
        <v>3515</v>
      </c>
      <c r="I2099" s="53" t="s">
        <v>125</v>
      </c>
      <c r="J2099" s="54" t="s">
        <v>127</v>
      </c>
      <c r="K2099" s="54" t="s">
        <v>127</v>
      </c>
      <c r="L2099" s="54" t="s">
        <v>12</v>
      </c>
      <c r="M2099" s="54" t="s">
        <v>10</v>
      </c>
      <c r="N2099" s="54" t="s">
        <v>14</v>
      </c>
      <c r="O2099" s="49" t="s">
        <v>815</v>
      </c>
      <c r="P2099" s="54" t="s">
        <v>3392</v>
      </c>
      <c r="Q2099" s="35" t="str">
        <f>MID(Tabla1[[#This Row],[Aplicación]],14,1)</f>
        <v>2</v>
      </c>
      <c r="R2099" s="35" t="s">
        <v>495</v>
      </c>
      <c r="S2099" s="35" t="str">
        <f>MID(Tabla1[[#This Row],[Aplicación]],6,2)</f>
        <v>05</v>
      </c>
      <c r="T2099" s="35" t="str">
        <f>VLOOKUP(Tabla1[[#This Row],[AREA]],Hoja1!A:B,2,FALSE)</f>
        <v>05. Innovación, desarrollo económico, empleo y comercio</v>
      </c>
      <c r="U2099" s="35" t="str">
        <f>MID(Tabla1[[#This Row],[Aplicación]],9,4)</f>
        <v>4331</v>
      </c>
      <c r="V2099" s="35" t="str">
        <f>VLOOKUP(Tabla1[[#This Row],[PROGRAMA]],Hoja1!A:B,2,FALSE)</f>
        <v>4331. Desarrollo empresarial</v>
      </c>
      <c r="W2099" s="35" t="str">
        <f>MID(Tabla1[[#This Row],[Aplicación]],14,2)</f>
        <v>22</v>
      </c>
      <c r="X2099" s="35" t="str">
        <f>MID(Tabla1[[#This Row],[Aplicación]],14,6)</f>
        <v>22706</v>
      </c>
    </row>
    <row r="2100" spans="1:24" x14ac:dyDescent="0.25">
      <c r="A2100" s="45">
        <v>220210031504</v>
      </c>
      <c r="B2100" s="46" t="s">
        <v>9</v>
      </c>
      <c r="C2100" s="47">
        <v>44369</v>
      </c>
      <c r="D2100" s="45">
        <v>22021004793</v>
      </c>
      <c r="E2100" s="46" t="s">
        <v>1172</v>
      </c>
      <c r="F2100" s="48">
        <v>17230.59</v>
      </c>
      <c r="G2100" s="54" t="s">
        <v>3516</v>
      </c>
      <c r="H2100" s="54" t="s">
        <v>3517</v>
      </c>
      <c r="I2100" s="53" t="s">
        <v>125</v>
      </c>
      <c r="J2100" s="54" t="s">
        <v>634</v>
      </c>
      <c r="K2100" s="54" t="s">
        <v>127</v>
      </c>
      <c r="L2100" s="54" t="s">
        <v>31</v>
      </c>
      <c r="M2100" s="54" t="s">
        <v>10</v>
      </c>
      <c r="N2100" s="54" t="s">
        <v>14</v>
      </c>
      <c r="O2100" s="49" t="s">
        <v>815</v>
      </c>
      <c r="P2100" s="54" t="s">
        <v>3392</v>
      </c>
      <c r="Q2100" s="35" t="str">
        <f>MID(Tabla1[[#This Row],[Aplicación]],14,1)</f>
        <v>6</v>
      </c>
      <c r="R2100" s="35" t="s">
        <v>496</v>
      </c>
      <c r="S2100" s="35" t="str">
        <f>MID(Tabla1[[#This Row],[Aplicación]],6,2)</f>
        <v>02</v>
      </c>
      <c r="T2100" s="35" t="str">
        <f>VLOOKUP(Tabla1[[#This Row],[AREA]],Hoja1!A:B,2,FALSE)</f>
        <v>02. Planeamiento urbanístico y vivienda</v>
      </c>
      <c r="U2100" s="35" t="str">
        <f>MID(Tabla1[[#This Row],[Aplicación]],9,4)</f>
        <v>9332</v>
      </c>
      <c r="V2100" s="35" t="str">
        <f>VLOOKUP(Tabla1[[#This Row],[PROGRAMA]],Hoja1!A:B,2,FALSE)</f>
        <v>9332. Mantenimiento de edificios e instalaciones municipales</v>
      </c>
      <c r="W2100" s="35" t="str">
        <f>MID(Tabla1[[#This Row],[Aplicación]],14,2)</f>
        <v>63</v>
      </c>
      <c r="X2100" s="35" t="str">
        <f>MID(Tabla1[[#This Row],[Aplicación]],14,6)</f>
        <v>632</v>
      </c>
    </row>
    <row r="2101" spans="1:24" x14ac:dyDescent="0.25">
      <c r="A2101" s="45">
        <v>220200043119</v>
      </c>
      <c r="B2101" s="46" t="s">
        <v>9</v>
      </c>
      <c r="C2101" s="47">
        <v>44375</v>
      </c>
      <c r="D2101" s="45">
        <v>22020005574</v>
      </c>
      <c r="E2101" s="46" t="s">
        <v>3323</v>
      </c>
      <c r="F2101" s="48">
        <v>16940</v>
      </c>
      <c r="G2101" s="54" t="s">
        <v>3518</v>
      </c>
      <c r="H2101" s="54" t="s">
        <v>3519</v>
      </c>
      <c r="I2101" s="53" t="s">
        <v>125</v>
      </c>
      <c r="J2101" s="54" t="s">
        <v>127</v>
      </c>
      <c r="K2101" s="54" t="s">
        <v>127</v>
      </c>
      <c r="L2101" s="54" t="s">
        <v>12</v>
      </c>
      <c r="M2101" s="54" t="s">
        <v>10</v>
      </c>
      <c r="N2101" s="54" t="s">
        <v>11</v>
      </c>
      <c r="O2101" s="49" t="s">
        <v>815</v>
      </c>
      <c r="P2101" s="54" t="s">
        <v>3392</v>
      </c>
      <c r="Q2101" s="35" t="str">
        <f>MID(Tabla1[[#This Row],[Aplicación]],14,1)</f>
        <v>2</v>
      </c>
      <c r="R2101" s="35" t="s">
        <v>495</v>
      </c>
      <c r="S2101" s="35" t="str">
        <f>MID(Tabla1[[#This Row],[Aplicación]],6,2)</f>
        <v>02</v>
      </c>
      <c r="T2101" s="35" t="str">
        <f>VLOOKUP(Tabla1[[#This Row],[AREA]],Hoja1!A:B,2,FALSE)</f>
        <v>02. Planeamiento urbanístico y vivienda</v>
      </c>
      <c r="U2101" s="35" t="str">
        <f>MID(Tabla1[[#This Row],[Aplicación]],9,4)</f>
        <v>1501</v>
      </c>
      <c r="V2101" s="35" t="str">
        <f>VLOOKUP(Tabla1[[#This Row],[PROGRAMA]],Hoja1!A:B,2,FALSE)</f>
        <v>1501. Dirección del área de urbanismo</v>
      </c>
      <c r="W2101" s="35" t="str">
        <f>MID(Tabla1[[#This Row],[Aplicación]],14,2)</f>
        <v>22</v>
      </c>
      <c r="X2101" s="35" t="str">
        <f>MID(Tabla1[[#This Row],[Aplicación]],14,6)</f>
        <v>22706</v>
      </c>
    </row>
    <row r="2102" spans="1:24" x14ac:dyDescent="0.25">
      <c r="A2102" s="45">
        <v>220210032900</v>
      </c>
      <c r="B2102" s="46" t="s">
        <v>9</v>
      </c>
      <c r="C2102" s="47">
        <v>44372</v>
      </c>
      <c r="D2102" s="45">
        <v>22021004930</v>
      </c>
      <c r="E2102" s="46" t="s">
        <v>1511</v>
      </c>
      <c r="F2102" s="48">
        <v>16445</v>
      </c>
      <c r="G2102" s="54" t="s">
        <v>3011</v>
      </c>
      <c r="H2102" s="54" t="s">
        <v>3520</v>
      </c>
      <c r="I2102" s="53" t="s">
        <v>125</v>
      </c>
      <c r="J2102" s="54" t="s">
        <v>127</v>
      </c>
      <c r="K2102" s="54" t="s">
        <v>127</v>
      </c>
      <c r="L2102" s="54" t="s">
        <v>12</v>
      </c>
      <c r="M2102" s="54" t="s">
        <v>10</v>
      </c>
      <c r="N2102" s="54" t="s">
        <v>11</v>
      </c>
      <c r="O2102" s="49" t="s">
        <v>815</v>
      </c>
      <c r="P2102" s="54" t="s">
        <v>3392</v>
      </c>
      <c r="Q2102" s="35" t="str">
        <f>MID(Tabla1[[#This Row],[Aplicación]],14,1)</f>
        <v>2</v>
      </c>
      <c r="R2102" s="35" t="s">
        <v>495</v>
      </c>
      <c r="S2102" s="35" t="str">
        <f>MID(Tabla1[[#This Row],[Aplicación]],6,2)</f>
        <v>11</v>
      </c>
      <c r="T2102" s="35" t="str">
        <f>VLOOKUP(Tabla1[[#This Row],[AREA]],Hoja1!A:B,2,FALSE)</f>
        <v>11. Salud pública y seguridad ciudadana</v>
      </c>
      <c r="U2102" s="35" t="str">
        <f>MID(Tabla1[[#This Row],[Aplicación]],9,4)</f>
        <v>1631</v>
      </c>
      <c r="V2102" s="35" t="str">
        <f>VLOOKUP(Tabla1[[#This Row],[PROGRAMA]],Hoja1!A:B,2,FALSE)</f>
        <v>1631. Limpieza viaria</v>
      </c>
      <c r="W2102" s="35" t="str">
        <f>MID(Tabla1[[#This Row],[Aplicación]],14,2)</f>
        <v>22</v>
      </c>
      <c r="X2102" s="35" t="str">
        <f>MID(Tabla1[[#This Row],[Aplicación]],14,6)</f>
        <v>22700</v>
      </c>
    </row>
    <row r="2103" spans="1:24" x14ac:dyDescent="0.25">
      <c r="A2103" s="45">
        <v>220210025893</v>
      </c>
      <c r="B2103" s="46" t="s">
        <v>9</v>
      </c>
      <c r="C2103" s="47">
        <v>44343</v>
      </c>
      <c r="D2103" s="45">
        <v>22021003678</v>
      </c>
      <c r="E2103" s="46" t="s">
        <v>1187</v>
      </c>
      <c r="F2103" s="48">
        <v>16125</v>
      </c>
      <c r="G2103" s="54" t="s">
        <v>3521</v>
      </c>
      <c r="H2103" s="54" t="s">
        <v>3522</v>
      </c>
      <c r="I2103" s="53" t="s">
        <v>125</v>
      </c>
      <c r="J2103" s="54" t="s">
        <v>642</v>
      </c>
      <c r="K2103" s="54" t="s">
        <v>160</v>
      </c>
      <c r="L2103" s="54" t="s">
        <v>12</v>
      </c>
      <c r="M2103" s="54" t="s">
        <v>10</v>
      </c>
      <c r="N2103" s="54" t="s">
        <v>11</v>
      </c>
      <c r="O2103" s="49" t="s">
        <v>815</v>
      </c>
      <c r="P2103" s="54" t="s">
        <v>3392</v>
      </c>
      <c r="Q2103" s="35" t="str">
        <f>MID(Tabla1[[#This Row],[Aplicación]],14,1)</f>
        <v>2</v>
      </c>
      <c r="R2103" s="35" t="s">
        <v>495</v>
      </c>
      <c r="S2103" s="35" t="str">
        <f>MID(Tabla1[[#This Row],[Aplicación]],6,2)</f>
        <v>06</v>
      </c>
      <c r="T2103" s="35" t="str">
        <f>VLOOKUP(Tabla1[[#This Row],[AREA]],Hoja1!A:B,2,FALSE)</f>
        <v>06. Educación, infancia, juventud e igualdad</v>
      </c>
      <c r="U2103" s="35" t="str">
        <f>MID(Tabla1[[#This Row],[Aplicación]],9,4)</f>
        <v>2315</v>
      </c>
      <c r="V2103" s="35" t="str">
        <f>VLOOKUP(Tabla1[[#This Row],[PROGRAMA]],Hoja1!A:B,2,FALSE)</f>
        <v>2315. Políticas de Igualdad e infancia</v>
      </c>
      <c r="W2103" s="35" t="str">
        <f>MID(Tabla1[[#This Row],[Aplicación]],14,2)</f>
        <v>22</v>
      </c>
      <c r="X2103" s="35" t="str">
        <f>MID(Tabla1[[#This Row],[Aplicación]],14,6)</f>
        <v>22611</v>
      </c>
    </row>
    <row r="2104" spans="1:24" x14ac:dyDescent="0.25">
      <c r="A2104" s="45">
        <v>220210022810</v>
      </c>
      <c r="B2104" s="46" t="s">
        <v>501</v>
      </c>
      <c r="C2104" s="47">
        <v>44333</v>
      </c>
      <c r="D2104" s="45">
        <v>22021000452</v>
      </c>
      <c r="E2104" s="46" t="s">
        <v>2834</v>
      </c>
      <c r="F2104" s="48">
        <v>-699.86</v>
      </c>
      <c r="G2104" s="54" t="s">
        <v>101</v>
      </c>
      <c r="H2104" s="54" t="s">
        <v>2855</v>
      </c>
      <c r="I2104" s="53" t="s">
        <v>125</v>
      </c>
      <c r="J2104" s="54" t="s">
        <v>127</v>
      </c>
      <c r="K2104" s="54" t="s">
        <v>127</v>
      </c>
      <c r="L2104" s="54" t="s">
        <v>12</v>
      </c>
      <c r="M2104" s="54" t="s">
        <v>13</v>
      </c>
      <c r="N2104" s="54" t="s">
        <v>14</v>
      </c>
      <c r="O2104" s="49" t="s">
        <v>803</v>
      </c>
      <c r="P2104" s="54" t="s">
        <v>3392</v>
      </c>
      <c r="Q2104" s="35" t="str">
        <f>MID(Tabla1[[#This Row],[Aplicación]],14,1)</f>
        <v>2</v>
      </c>
      <c r="R2104" s="35" t="s">
        <v>495</v>
      </c>
      <c r="S2104" s="35" t="str">
        <f>MID(Tabla1[[#This Row],[Aplicación]],6,2)</f>
        <v>10</v>
      </c>
      <c r="T2104" s="35" t="str">
        <f>VLOOKUP(Tabla1[[#This Row],[AREA]],Hoja1!A:B,2,FALSE)</f>
        <v>10. Servicios sociales y mediación comunitaria</v>
      </c>
      <c r="U2104" s="35" t="str">
        <f>MID(Tabla1[[#This Row],[Aplicación]],9,4)</f>
        <v>2412</v>
      </c>
      <c r="V2104" s="35" t="str">
        <f>VLOOKUP(Tabla1[[#This Row],[PROGRAMA]],Hoja1!A:B,2,FALSE)</f>
        <v>2412. Formación para el empleo</v>
      </c>
      <c r="W2104" s="35" t="str">
        <f>MID(Tabla1[[#This Row],[Aplicación]],14,2)</f>
        <v>22</v>
      </c>
      <c r="X2104" s="35" t="str">
        <f>MID(Tabla1[[#This Row],[Aplicación]],14,6)</f>
        <v>22700</v>
      </c>
    </row>
    <row r="2105" spans="1:24" x14ac:dyDescent="0.25">
      <c r="A2105" s="45">
        <v>220210022808</v>
      </c>
      <c r="B2105" s="46" t="s">
        <v>501</v>
      </c>
      <c r="C2105" s="47">
        <v>44333</v>
      </c>
      <c r="D2105" s="45">
        <v>22021000450</v>
      </c>
      <c r="E2105" s="46" t="s">
        <v>2834</v>
      </c>
      <c r="F2105" s="48">
        <v>-3849.04</v>
      </c>
      <c r="G2105" s="54" t="s">
        <v>101</v>
      </c>
      <c r="H2105" s="54" t="s">
        <v>2854</v>
      </c>
      <c r="I2105" s="53" t="s">
        <v>125</v>
      </c>
      <c r="J2105" s="54" t="s">
        <v>127</v>
      </c>
      <c r="K2105" s="54" t="s">
        <v>127</v>
      </c>
      <c r="L2105" s="54" t="s">
        <v>12</v>
      </c>
      <c r="M2105" s="54" t="s">
        <v>13</v>
      </c>
      <c r="N2105" s="54" t="s">
        <v>14</v>
      </c>
      <c r="O2105" s="49" t="s">
        <v>803</v>
      </c>
      <c r="P2105" s="54" t="s">
        <v>3392</v>
      </c>
      <c r="Q2105" s="35" t="str">
        <f>MID(Tabla1[[#This Row],[Aplicación]],14,1)</f>
        <v>2</v>
      </c>
      <c r="R2105" s="35" t="s">
        <v>495</v>
      </c>
      <c r="S2105" s="35" t="str">
        <f>MID(Tabla1[[#This Row],[Aplicación]],6,2)</f>
        <v>10</v>
      </c>
      <c r="T2105" s="35" t="str">
        <f>VLOOKUP(Tabla1[[#This Row],[AREA]],Hoja1!A:B,2,FALSE)</f>
        <v>10. Servicios sociales y mediación comunitaria</v>
      </c>
      <c r="U2105" s="35" t="str">
        <f>MID(Tabla1[[#This Row],[Aplicación]],9,4)</f>
        <v>2412</v>
      </c>
      <c r="V2105" s="35" t="str">
        <f>VLOOKUP(Tabla1[[#This Row],[PROGRAMA]],Hoja1!A:B,2,FALSE)</f>
        <v>2412. Formación para el empleo</v>
      </c>
      <c r="W2105" s="35" t="str">
        <f>MID(Tabla1[[#This Row],[Aplicación]],14,2)</f>
        <v>22</v>
      </c>
      <c r="X2105" s="35" t="str">
        <f>MID(Tabla1[[#This Row],[Aplicación]],14,6)</f>
        <v>22700</v>
      </c>
    </row>
    <row r="2106" spans="1:24" x14ac:dyDescent="0.25">
      <c r="A2106" s="45">
        <v>220210022811</v>
      </c>
      <c r="B2106" s="46" t="s">
        <v>501</v>
      </c>
      <c r="C2106" s="47">
        <v>44333</v>
      </c>
      <c r="D2106" s="45">
        <v>22021000453</v>
      </c>
      <c r="E2106" s="46" t="s">
        <v>2834</v>
      </c>
      <c r="F2106" s="48">
        <v>-4198.92</v>
      </c>
      <c r="G2106" s="54" t="s">
        <v>101</v>
      </c>
      <c r="H2106" s="54" t="s">
        <v>2835</v>
      </c>
      <c r="I2106" s="53" t="s">
        <v>125</v>
      </c>
      <c r="J2106" s="54" t="s">
        <v>127</v>
      </c>
      <c r="K2106" s="54" t="s">
        <v>127</v>
      </c>
      <c r="L2106" s="54" t="s">
        <v>12</v>
      </c>
      <c r="M2106" s="54" t="s">
        <v>13</v>
      </c>
      <c r="N2106" s="54" t="s">
        <v>14</v>
      </c>
      <c r="O2106" s="49" t="s">
        <v>803</v>
      </c>
      <c r="P2106" s="54" t="s">
        <v>3392</v>
      </c>
      <c r="Q2106" s="35" t="str">
        <f>MID(Tabla1[[#This Row],[Aplicación]],14,1)</f>
        <v>2</v>
      </c>
      <c r="R2106" s="35" t="s">
        <v>495</v>
      </c>
      <c r="S2106" s="35" t="str">
        <f>MID(Tabla1[[#This Row],[Aplicación]],6,2)</f>
        <v>10</v>
      </c>
      <c r="T2106" s="35" t="str">
        <f>VLOOKUP(Tabla1[[#This Row],[AREA]],Hoja1!A:B,2,FALSE)</f>
        <v>10. Servicios sociales y mediación comunitaria</v>
      </c>
      <c r="U2106" s="35" t="str">
        <f>MID(Tabla1[[#This Row],[Aplicación]],9,4)</f>
        <v>2412</v>
      </c>
      <c r="V2106" s="35" t="str">
        <f>VLOOKUP(Tabla1[[#This Row],[PROGRAMA]],Hoja1!A:B,2,FALSE)</f>
        <v>2412. Formación para el empleo</v>
      </c>
      <c r="W2106" s="35" t="str">
        <f>MID(Tabla1[[#This Row],[Aplicación]],14,2)</f>
        <v>22</v>
      </c>
      <c r="X2106" s="35" t="str">
        <f>MID(Tabla1[[#This Row],[Aplicación]],14,6)</f>
        <v>22700</v>
      </c>
    </row>
    <row r="2107" spans="1:24" x14ac:dyDescent="0.25">
      <c r="A2107" s="45">
        <v>220210033219</v>
      </c>
      <c r="B2107" s="46" t="s">
        <v>9</v>
      </c>
      <c r="C2107" s="47">
        <v>44377</v>
      </c>
      <c r="D2107" s="45">
        <v>22021004829</v>
      </c>
      <c r="E2107" s="46" t="s">
        <v>3324</v>
      </c>
      <c r="F2107" s="48">
        <v>14500</v>
      </c>
      <c r="G2107" s="54" t="s">
        <v>776</v>
      </c>
      <c r="H2107" s="54" t="s">
        <v>3523</v>
      </c>
      <c r="I2107" s="53" t="s">
        <v>125</v>
      </c>
      <c r="J2107" s="54" t="s">
        <v>127</v>
      </c>
      <c r="K2107" s="54" t="s">
        <v>127</v>
      </c>
      <c r="L2107" s="54" t="s">
        <v>12</v>
      </c>
      <c r="M2107" s="54" t="s">
        <v>10</v>
      </c>
      <c r="N2107" s="54" t="s">
        <v>11</v>
      </c>
      <c r="O2107" s="49" t="s">
        <v>815</v>
      </c>
      <c r="P2107" s="54" t="s">
        <v>3392</v>
      </c>
      <c r="Q2107" s="35" t="str">
        <f>MID(Tabla1[[#This Row],[Aplicación]],14,1)</f>
        <v>2</v>
      </c>
      <c r="R2107" s="35" t="s">
        <v>495</v>
      </c>
      <c r="S2107" s="35" t="str">
        <f>MID(Tabla1[[#This Row],[Aplicación]],6,2)</f>
        <v>08</v>
      </c>
      <c r="T2107" s="35" t="str">
        <f>VLOOKUP(Tabla1[[#This Row],[AREA]],Hoja1!A:B,2,FALSE)</f>
        <v>08. Movilidad y espacio urbano</v>
      </c>
      <c r="U2107" s="35" t="str">
        <f>MID(Tabla1[[#This Row],[Aplicación]],9,4)</f>
        <v>1651</v>
      </c>
      <c r="V2107" s="35" t="str">
        <f>VLOOKUP(Tabla1[[#This Row],[PROGRAMA]],Hoja1!A:B,2,FALSE)</f>
        <v>1651. Alumbrado público</v>
      </c>
      <c r="W2107" s="35" t="str">
        <f>MID(Tabla1[[#This Row],[Aplicación]],14,2)</f>
        <v>22</v>
      </c>
      <c r="X2107" s="35" t="str">
        <f>MID(Tabla1[[#This Row],[Aplicación]],14,6)</f>
        <v>22706</v>
      </c>
    </row>
    <row r="2108" spans="1:24" x14ac:dyDescent="0.25">
      <c r="A2108" s="45">
        <v>220210022809</v>
      </c>
      <c r="B2108" s="46" t="s">
        <v>501</v>
      </c>
      <c r="C2108" s="47">
        <v>44333</v>
      </c>
      <c r="D2108" s="45">
        <v>22021000451</v>
      </c>
      <c r="E2108" s="46" t="s">
        <v>2834</v>
      </c>
      <c r="F2108" s="48">
        <v>-10147.49</v>
      </c>
      <c r="G2108" s="54" t="s">
        <v>101</v>
      </c>
      <c r="H2108" s="54" t="s">
        <v>3166</v>
      </c>
      <c r="I2108" s="53" t="s">
        <v>125</v>
      </c>
      <c r="J2108" s="54" t="s">
        <v>127</v>
      </c>
      <c r="K2108" s="54" t="s">
        <v>127</v>
      </c>
      <c r="L2108" s="54" t="s">
        <v>12</v>
      </c>
      <c r="M2108" s="54" t="s">
        <v>13</v>
      </c>
      <c r="N2108" s="54" t="s">
        <v>14</v>
      </c>
      <c r="O2108" s="49" t="s">
        <v>803</v>
      </c>
      <c r="P2108" s="54" t="s">
        <v>3392</v>
      </c>
      <c r="Q2108" s="35" t="str">
        <f>MID(Tabla1[[#This Row],[Aplicación]],14,1)</f>
        <v>2</v>
      </c>
      <c r="R2108" s="35" t="s">
        <v>495</v>
      </c>
      <c r="S2108" s="35" t="str">
        <f>MID(Tabla1[[#This Row],[Aplicación]],6,2)</f>
        <v>10</v>
      </c>
      <c r="T2108" s="35" t="str">
        <f>VLOOKUP(Tabla1[[#This Row],[AREA]],Hoja1!A:B,2,FALSE)</f>
        <v>10. Servicios sociales y mediación comunitaria</v>
      </c>
      <c r="U2108" s="35" t="str">
        <f>MID(Tabla1[[#This Row],[Aplicación]],9,4)</f>
        <v>2412</v>
      </c>
      <c r="V2108" s="35" t="str">
        <f>VLOOKUP(Tabla1[[#This Row],[PROGRAMA]],Hoja1!A:B,2,FALSE)</f>
        <v>2412. Formación para el empleo</v>
      </c>
      <c r="W2108" s="35" t="str">
        <f>MID(Tabla1[[#This Row],[Aplicación]],14,2)</f>
        <v>22</v>
      </c>
      <c r="X2108" s="35" t="str">
        <f>MID(Tabla1[[#This Row],[Aplicación]],14,6)</f>
        <v>22700</v>
      </c>
    </row>
    <row r="2109" spans="1:24" x14ac:dyDescent="0.25">
      <c r="A2109" s="45">
        <v>220210021829</v>
      </c>
      <c r="B2109" s="46" t="s">
        <v>9</v>
      </c>
      <c r="C2109" s="47">
        <v>44327</v>
      </c>
      <c r="D2109" s="45">
        <v>22021004239</v>
      </c>
      <c r="E2109" s="46" t="s">
        <v>1415</v>
      </c>
      <c r="F2109" s="48">
        <v>14400</v>
      </c>
      <c r="G2109" s="54" t="s">
        <v>3524</v>
      </c>
      <c r="H2109" s="54" t="s">
        <v>3525</v>
      </c>
      <c r="I2109" s="53" t="s">
        <v>125</v>
      </c>
      <c r="J2109" s="54" t="s">
        <v>127</v>
      </c>
      <c r="K2109" s="54" t="s">
        <v>184</v>
      </c>
      <c r="L2109" s="54" t="s">
        <v>12</v>
      </c>
      <c r="M2109" s="54" t="s">
        <v>10</v>
      </c>
      <c r="N2109" s="54" t="s">
        <v>14</v>
      </c>
      <c r="O2109" s="49" t="s">
        <v>815</v>
      </c>
      <c r="P2109" s="54" t="s">
        <v>3392</v>
      </c>
      <c r="Q2109" s="35" t="str">
        <f>MID(Tabla1[[#This Row],[Aplicación]],14,1)</f>
        <v>2</v>
      </c>
      <c r="R2109" s="35" t="s">
        <v>495</v>
      </c>
      <c r="S2109" s="35" t="str">
        <f>MID(Tabla1[[#This Row],[Aplicación]],6,2)</f>
        <v>10</v>
      </c>
      <c r="T2109" s="35" t="str">
        <f>VLOOKUP(Tabla1[[#This Row],[AREA]],Hoja1!A:B,2,FALSE)</f>
        <v>10. Servicios sociales y mediación comunitaria</v>
      </c>
      <c r="U2109" s="35" t="str">
        <f>MID(Tabla1[[#This Row],[Aplicación]],9,4)</f>
        <v>2312</v>
      </c>
      <c r="V2109" s="35" t="str">
        <f>VLOOKUP(Tabla1[[#This Row],[PROGRAMA]],Hoja1!A:B,2,FALSE)</f>
        <v>2312. Iniciativas sociales</v>
      </c>
      <c r="W2109" s="35" t="str">
        <f>MID(Tabla1[[#This Row],[Aplicación]],14,2)</f>
        <v>22</v>
      </c>
      <c r="X2109" s="35" t="str">
        <f>MID(Tabla1[[#This Row],[Aplicación]],14,6)</f>
        <v>22799</v>
      </c>
    </row>
    <row r="2110" spans="1:24" x14ac:dyDescent="0.25">
      <c r="A2110" s="45">
        <v>220210032896</v>
      </c>
      <c r="B2110" s="46" t="s">
        <v>9</v>
      </c>
      <c r="C2110" s="47">
        <v>44372</v>
      </c>
      <c r="D2110" s="45">
        <v>22021004887</v>
      </c>
      <c r="E2110" s="46" t="s">
        <v>2266</v>
      </c>
      <c r="F2110" s="48">
        <v>14386.9</v>
      </c>
      <c r="G2110" s="54" t="s">
        <v>3526</v>
      </c>
      <c r="H2110" s="54" t="s">
        <v>3527</v>
      </c>
      <c r="I2110" s="53" t="s">
        <v>125</v>
      </c>
      <c r="J2110" s="54" t="s">
        <v>127</v>
      </c>
      <c r="K2110" s="54" t="s">
        <v>127</v>
      </c>
      <c r="L2110" s="54" t="s">
        <v>12</v>
      </c>
      <c r="M2110" s="54" t="s">
        <v>10</v>
      </c>
      <c r="N2110" s="54" t="s">
        <v>11</v>
      </c>
      <c r="O2110" s="49" t="s">
        <v>815</v>
      </c>
      <c r="P2110" s="54" t="s">
        <v>3392</v>
      </c>
      <c r="Q2110" s="35" t="str">
        <f>MID(Tabla1[[#This Row],[Aplicación]],14,1)</f>
        <v>2</v>
      </c>
      <c r="R2110" s="35" t="s">
        <v>495</v>
      </c>
      <c r="S2110" s="35" t="str">
        <f>MID(Tabla1[[#This Row],[Aplicación]],6,2)</f>
        <v>11</v>
      </c>
      <c r="T2110" s="35" t="str">
        <f>VLOOKUP(Tabla1[[#This Row],[AREA]],Hoja1!A:B,2,FALSE)</f>
        <v>11. Salud pública y seguridad ciudadana</v>
      </c>
      <c r="U2110" s="35" t="str">
        <f>MID(Tabla1[[#This Row],[Aplicación]],9,4)</f>
        <v>3111</v>
      </c>
      <c r="V2110" s="35" t="str">
        <f>VLOOKUP(Tabla1[[#This Row],[PROGRAMA]],Hoja1!A:B,2,FALSE)</f>
        <v>3111. Protección de la salubridad pública</v>
      </c>
      <c r="W2110" s="35" t="str">
        <f>MID(Tabla1[[#This Row],[Aplicación]],14,2)</f>
        <v>22</v>
      </c>
      <c r="X2110" s="35" t="str">
        <f>MID(Tabla1[[#This Row],[Aplicación]],14,6)</f>
        <v>22799</v>
      </c>
    </row>
    <row r="2111" spans="1:24" x14ac:dyDescent="0.25">
      <c r="A2111" s="45">
        <v>220210026048</v>
      </c>
      <c r="B2111" s="46" t="s">
        <v>9</v>
      </c>
      <c r="C2111" s="47">
        <v>44344</v>
      </c>
      <c r="D2111" s="45">
        <v>22021004584</v>
      </c>
      <c r="E2111" s="46" t="s">
        <v>3325</v>
      </c>
      <c r="F2111" s="48">
        <v>14126.21</v>
      </c>
      <c r="G2111" s="54" t="s">
        <v>48</v>
      </c>
      <c r="H2111" s="54" t="s">
        <v>3528</v>
      </c>
      <c r="I2111" s="53" t="s">
        <v>125</v>
      </c>
      <c r="J2111" s="54" t="s">
        <v>127</v>
      </c>
      <c r="K2111" s="54" t="s">
        <v>127</v>
      </c>
      <c r="L2111" s="54" t="s">
        <v>15</v>
      </c>
      <c r="M2111" s="54" t="s">
        <v>10</v>
      </c>
      <c r="N2111" s="54" t="s">
        <v>11</v>
      </c>
      <c r="O2111" s="49" t="s">
        <v>815</v>
      </c>
      <c r="P2111" s="54" t="s">
        <v>3392</v>
      </c>
      <c r="Q2111" s="35" t="str">
        <f>MID(Tabla1[[#This Row],[Aplicación]],14,1)</f>
        <v>2</v>
      </c>
      <c r="R2111" s="35" t="s">
        <v>495</v>
      </c>
      <c r="S2111" s="35" t="str">
        <f>MID(Tabla1[[#This Row],[Aplicación]],6,2)</f>
        <v>08</v>
      </c>
      <c r="T2111" s="35" t="str">
        <f>VLOOKUP(Tabla1[[#This Row],[AREA]],Hoja1!A:B,2,FALSE)</f>
        <v>08. Movilidad y espacio urbano</v>
      </c>
      <c r="U2111" s="35" t="str">
        <f>MID(Tabla1[[#This Row],[Aplicación]],9,4)</f>
        <v>1532</v>
      </c>
      <c r="V2111" s="35" t="str">
        <f>VLOOKUP(Tabla1[[#This Row],[PROGRAMA]],Hoja1!A:B,2,FALSE)</f>
        <v>1532. Pavimentación vias públicas y otros servicios urbanísticos</v>
      </c>
      <c r="W2111" s="35" t="str">
        <f>MID(Tabla1[[#This Row],[Aplicación]],14,2)</f>
        <v>22</v>
      </c>
      <c r="X2111" s="35" t="str">
        <f>MID(Tabla1[[#This Row],[Aplicación]],14,6)</f>
        <v>22104</v>
      </c>
    </row>
    <row r="2112" spans="1:24" x14ac:dyDescent="0.25">
      <c r="A2112" s="45">
        <v>220210020072</v>
      </c>
      <c r="B2112" s="46" t="s">
        <v>204</v>
      </c>
      <c r="C2112" s="47">
        <v>44321</v>
      </c>
      <c r="D2112" s="45">
        <v>22021002406</v>
      </c>
      <c r="E2112" s="46" t="s">
        <v>1415</v>
      </c>
      <c r="F2112" s="48">
        <v>9933.2900000000009</v>
      </c>
      <c r="G2112" s="54" t="s">
        <v>2310</v>
      </c>
      <c r="H2112" s="54" t="s">
        <v>3529</v>
      </c>
      <c r="I2112" s="53" t="s">
        <v>205</v>
      </c>
      <c r="J2112" s="54" t="s">
        <v>127</v>
      </c>
      <c r="K2112" s="54" t="s">
        <v>127</v>
      </c>
      <c r="L2112" s="54" t="s">
        <v>12</v>
      </c>
      <c r="M2112" s="54" t="s">
        <v>13</v>
      </c>
      <c r="N2112" s="54" t="s">
        <v>14</v>
      </c>
      <c r="O2112" s="49" t="s">
        <v>803</v>
      </c>
      <c r="P2112" s="54" t="s">
        <v>3392</v>
      </c>
      <c r="Q2112" s="35" t="str">
        <f>MID(Tabla1[[#This Row],[Aplicación]],14,1)</f>
        <v>2</v>
      </c>
      <c r="R2112" s="35" t="s">
        <v>495</v>
      </c>
      <c r="S2112" s="35" t="str">
        <f>MID(Tabla1[[#This Row],[Aplicación]],6,2)</f>
        <v>10</v>
      </c>
      <c r="T2112" s="35" t="str">
        <f>VLOOKUP(Tabla1[[#This Row],[AREA]],Hoja1!A:B,2,FALSE)</f>
        <v>10. Servicios sociales y mediación comunitaria</v>
      </c>
      <c r="U2112" s="35" t="str">
        <f>MID(Tabla1[[#This Row],[Aplicación]],9,4)</f>
        <v>2312</v>
      </c>
      <c r="V2112" s="35" t="str">
        <f>VLOOKUP(Tabla1[[#This Row],[PROGRAMA]],Hoja1!A:B,2,FALSE)</f>
        <v>2312. Iniciativas sociales</v>
      </c>
      <c r="W2112" s="35" t="str">
        <f>MID(Tabla1[[#This Row],[Aplicación]],14,2)</f>
        <v>22</v>
      </c>
      <c r="X2112" s="35" t="str">
        <f>MID(Tabla1[[#This Row],[Aplicación]],14,6)</f>
        <v>22799</v>
      </c>
    </row>
    <row r="2113" spans="1:24" x14ac:dyDescent="0.25">
      <c r="A2113" s="45">
        <v>220210020361</v>
      </c>
      <c r="B2113" s="46" t="s">
        <v>9</v>
      </c>
      <c r="C2113" s="47">
        <v>44321</v>
      </c>
      <c r="D2113" s="45">
        <v>22021003896</v>
      </c>
      <c r="E2113" s="46" t="s">
        <v>881</v>
      </c>
      <c r="F2113" s="48">
        <v>13310</v>
      </c>
      <c r="G2113" s="54" t="s">
        <v>52</v>
      </c>
      <c r="H2113" s="54" t="s">
        <v>3530</v>
      </c>
      <c r="I2113" s="53" t="s">
        <v>125</v>
      </c>
      <c r="J2113" s="54" t="s">
        <v>127</v>
      </c>
      <c r="K2113" s="54" t="s">
        <v>127</v>
      </c>
      <c r="L2113" s="54" t="s">
        <v>12</v>
      </c>
      <c r="M2113" s="54" t="s">
        <v>10</v>
      </c>
      <c r="N2113" s="54" t="s">
        <v>14</v>
      </c>
      <c r="O2113" s="49" t="s">
        <v>815</v>
      </c>
      <c r="P2113" s="54" t="s">
        <v>3392</v>
      </c>
      <c r="Q2113" s="35" t="str">
        <f>MID(Tabla1[[#This Row],[Aplicación]],14,1)</f>
        <v>2</v>
      </c>
      <c r="R2113" s="35" t="s">
        <v>495</v>
      </c>
      <c r="S2113" s="35" t="str">
        <f>MID(Tabla1[[#This Row],[Aplicación]],6,2)</f>
        <v>05</v>
      </c>
      <c r="T2113" s="35" t="str">
        <f>VLOOKUP(Tabla1[[#This Row],[AREA]],Hoja1!A:B,2,FALSE)</f>
        <v>05. Innovación, desarrollo económico, empleo y comercio</v>
      </c>
      <c r="U2113" s="35" t="str">
        <f>MID(Tabla1[[#This Row],[Aplicación]],9,4)</f>
        <v>4331</v>
      </c>
      <c r="V2113" s="35" t="str">
        <f>VLOOKUP(Tabla1[[#This Row],[PROGRAMA]],Hoja1!A:B,2,FALSE)</f>
        <v>4331. Desarrollo empresarial</v>
      </c>
      <c r="W2113" s="35" t="str">
        <f>MID(Tabla1[[#This Row],[Aplicación]],14,2)</f>
        <v>22</v>
      </c>
      <c r="X2113" s="35" t="str">
        <f>MID(Tabla1[[#This Row],[Aplicación]],14,6)</f>
        <v>22799</v>
      </c>
    </row>
    <row r="2114" spans="1:24" x14ac:dyDescent="0.25">
      <c r="A2114" s="45">
        <v>220210019245</v>
      </c>
      <c r="B2114" s="46" t="s">
        <v>204</v>
      </c>
      <c r="C2114" s="47">
        <v>44320</v>
      </c>
      <c r="D2114" s="45">
        <v>22021001686</v>
      </c>
      <c r="E2114" s="46" t="s">
        <v>1247</v>
      </c>
      <c r="F2114" s="48">
        <v>6061.5</v>
      </c>
      <c r="G2114" s="54" t="s">
        <v>2310</v>
      </c>
      <c r="H2114" s="54" t="s">
        <v>3531</v>
      </c>
      <c r="I2114" s="53" t="s">
        <v>205</v>
      </c>
      <c r="J2114" s="54" t="s">
        <v>127</v>
      </c>
      <c r="K2114" s="54" t="s">
        <v>127</v>
      </c>
      <c r="L2114" s="54" t="s">
        <v>12</v>
      </c>
      <c r="M2114" s="54" t="s">
        <v>13</v>
      </c>
      <c r="N2114" s="54" t="s">
        <v>14</v>
      </c>
      <c r="O2114" s="49" t="s">
        <v>803</v>
      </c>
      <c r="P2114" s="54" t="s">
        <v>3392</v>
      </c>
      <c r="Q2114" s="35" t="str">
        <f>MID(Tabla1[[#This Row],[Aplicación]],14,1)</f>
        <v>2</v>
      </c>
      <c r="R2114" s="35" t="s">
        <v>495</v>
      </c>
      <c r="S2114" s="35" t="str">
        <f>MID(Tabla1[[#This Row],[Aplicación]],6,2)</f>
        <v>10</v>
      </c>
      <c r="T2114" s="35" t="str">
        <f>VLOOKUP(Tabla1[[#This Row],[AREA]],Hoja1!A:B,2,FALSE)</f>
        <v>10. Servicios sociales y mediación comunitaria</v>
      </c>
      <c r="U2114" s="35" t="str">
        <f>MID(Tabla1[[#This Row],[Aplicación]],9,4)</f>
        <v>2311</v>
      </c>
      <c r="V2114" s="35" t="str">
        <f>VLOOKUP(Tabla1[[#This Row],[PROGRAMA]],Hoja1!A:B,2,FALSE)</f>
        <v>2311. Intervención social</v>
      </c>
      <c r="W2114" s="35" t="str">
        <f>MID(Tabla1[[#This Row],[Aplicación]],14,2)</f>
        <v>22</v>
      </c>
      <c r="X2114" s="35" t="str">
        <f>MID(Tabla1[[#This Row],[Aplicación]],14,6)</f>
        <v>22799</v>
      </c>
    </row>
    <row r="2115" spans="1:24" x14ac:dyDescent="0.25">
      <c r="A2115" s="45">
        <v>220210020077</v>
      </c>
      <c r="B2115" s="46" t="s">
        <v>204</v>
      </c>
      <c r="C2115" s="47">
        <v>44321</v>
      </c>
      <c r="D2115" s="45">
        <v>22021002411</v>
      </c>
      <c r="E2115" s="46" t="s">
        <v>1247</v>
      </c>
      <c r="F2115" s="48">
        <v>922.74</v>
      </c>
      <c r="G2115" s="54" t="s">
        <v>2310</v>
      </c>
      <c r="H2115" s="54" t="s">
        <v>3532</v>
      </c>
      <c r="I2115" s="53" t="s">
        <v>205</v>
      </c>
      <c r="J2115" s="54" t="s">
        <v>127</v>
      </c>
      <c r="K2115" s="54" t="s">
        <v>127</v>
      </c>
      <c r="L2115" s="54" t="s">
        <v>12</v>
      </c>
      <c r="M2115" s="54" t="s">
        <v>13</v>
      </c>
      <c r="N2115" s="54" t="s">
        <v>16</v>
      </c>
      <c r="O2115" s="49" t="s">
        <v>803</v>
      </c>
      <c r="P2115" s="54" t="s">
        <v>3392</v>
      </c>
      <c r="Q2115" s="35" t="str">
        <f>MID(Tabla1[[#This Row],[Aplicación]],14,1)</f>
        <v>2</v>
      </c>
      <c r="R2115" s="35" t="s">
        <v>495</v>
      </c>
      <c r="S2115" s="35" t="str">
        <f>MID(Tabla1[[#This Row],[Aplicación]],6,2)</f>
        <v>10</v>
      </c>
      <c r="T2115" s="35" t="str">
        <f>VLOOKUP(Tabla1[[#This Row],[AREA]],Hoja1!A:B,2,FALSE)</f>
        <v>10. Servicios sociales y mediación comunitaria</v>
      </c>
      <c r="U2115" s="35" t="str">
        <f>MID(Tabla1[[#This Row],[Aplicación]],9,4)</f>
        <v>2311</v>
      </c>
      <c r="V2115" s="35" t="str">
        <f>VLOOKUP(Tabla1[[#This Row],[PROGRAMA]],Hoja1!A:B,2,FALSE)</f>
        <v>2311. Intervención social</v>
      </c>
      <c r="W2115" s="35" t="str">
        <f>MID(Tabla1[[#This Row],[Aplicación]],14,2)</f>
        <v>22</v>
      </c>
      <c r="X2115" s="35" t="str">
        <f>MID(Tabla1[[#This Row],[Aplicación]],14,6)</f>
        <v>22799</v>
      </c>
    </row>
    <row r="2116" spans="1:24" x14ac:dyDescent="0.25">
      <c r="A2116" s="45">
        <v>220210030858</v>
      </c>
      <c r="B2116" s="46" t="s">
        <v>9</v>
      </c>
      <c r="C2116" s="47">
        <v>44361</v>
      </c>
      <c r="D2116" s="45">
        <v>22021004667</v>
      </c>
      <c r="E2116" s="46" t="s">
        <v>2801</v>
      </c>
      <c r="F2116" s="48">
        <v>12577.95</v>
      </c>
      <c r="G2116" s="54" t="s">
        <v>3533</v>
      </c>
      <c r="H2116" s="54" t="s">
        <v>3534</v>
      </c>
      <c r="I2116" s="53" t="s">
        <v>125</v>
      </c>
      <c r="J2116" s="54" t="s">
        <v>126</v>
      </c>
      <c r="K2116" s="54" t="s">
        <v>126</v>
      </c>
      <c r="L2116" s="54" t="s">
        <v>12</v>
      </c>
      <c r="M2116" s="54" t="s">
        <v>10</v>
      </c>
      <c r="N2116" s="54" t="s">
        <v>14</v>
      </c>
      <c r="O2116" s="49" t="s">
        <v>815</v>
      </c>
      <c r="P2116" s="54" t="s">
        <v>3392</v>
      </c>
      <c r="Q2116" s="35" t="str">
        <f>MID(Tabla1[[#This Row],[Aplicación]],14,1)</f>
        <v>2</v>
      </c>
      <c r="R2116" s="35" t="s">
        <v>495</v>
      </c>
      <c r="S2116" s="35" t="str">
        <f>MID(Tabla1[[#This Row],[Aplicación]],6,2)</f>
        <v>05</v>
      </c>
      <c r="T2116" s="35" t="str">
        <f>VLOOKUP(Tabla1[[#This Row],[AREA]],Hoja1!A:B,2,FALSE)</f>
        <v>05. Innovación, desarrollo económico, empleo y comercio</v>
      </c>
      <c r="U2116" s="35" t="str">
        <f>MID(Tabla1[[#This Row],[Aplicación]],9,4)</f>
        <v>4314</v>
      </c>
      <c r="V2116" s="35" t="str">
        <f>VLOOKUP(Tabla1[[#This Row],[PROGRAMA]],Hoja1!A:B,2,FALSE)</f>
        <v>4314. Fomento del comercio</v>
      </c>
      <c r="W2116" s="35" t="str">
        <f>MID(Tabla1[[#This Row],[Aplicación]],14,2)</f>
        <v>22</v>
      </c>
      <c r="X2116" s="35" t="str">
        <f>MID(Tabla1[[#This Row],[Aplicación]],14,6)</f>
        <v>22799</v>
      </c>
    </row>
    <row r="2117" spans="1:24" x14ac:dyDescent="0.25">
      <c r="A2117" s="45">
        <v>220200056643</v>
      </c>
      <c r="B2117" s="46" t="s">
        <v>9</v>
      </c>
      <c r="C2117" s="47">
        <v>44375</v>
      </c>
      <c r="D2117" s="45">
        <v>22020006573</v>
      </c>
      <c r="E2117" s="46" t="s">
        <v>2944</v>
      </c>
      <c r="F2117" s="48">
        <v>12305.7</v>
      </c>
      <c r="G2117" s="54" t="s">
        <v>3194</v>
      </c>
      <c r="H2117" s="54" t="s">
        <v>3535</v>
      </c>
      <c r="I2117" s="53" t="s">
        <v>125</v>
      </c>
      <c r="J2117" s="54" t="s">
        <v>127</v>
      </c>
      <c r="K2117" s="54" t="s">
        <v>127</v>
      </c>
      <c r="L2117" s="54" t="s">
        <v>12</v>
      </c>
      <c r="M2117" s="54" t="s">
        <v>10</v>
      </c>
      <c r="N2117" s="54" t="s">
        <v>11</v>
      </c>
      <c r="O2117" s="49" t="s">
        <v>815</v>
      </c>
      <c r="P2117" s="54" t="s">
        <v>3392</v>
      </c>
      <c r="Q2117" s="35" t="str">
        <f>MID(Tabla1[[#This Row],[Aplicación]],14,1)</f>
        <v>2</v>
      </c>
      <c r="R2117" s="35" t="s">
        <v>495</v>
      </c>
      <c r="S2117" s="35" t="str">
        <f>MID(Tabla1[[#This Row],[Aplicación]],6,2)</f>
        <v>02</v>
      </c>
      <c r="T2117" s="35" t="str">
        <f>VLOOKUP(Tabla1[[#This Row],[AREA]],Hoja1!A:B,2,FALSE)</f>
        <v>02. Planeamiento urbanístico y vivienda</v>
      </c>
      <c r="U2117" s="35" t="str">
        <f>MID(Tabla1[[#This Row],[Aplicación]],9,4)</f>
        <v>1511</v>
      </c>
      <c r="V2117" s="35" t="str">
        <f>VLOOKUP(Tabla1[[#This Row],[PROGRAMA]],Hoja1!A:B,2,FALSE)</f>
        <v>1511. Planficación y gestión del urbanismo</v>
      </c>
      <c r="W2117" s="35" t="str">
        <f>MID(Tabla1[[#This Row],[Aplicación]],14,2)</f>
        <v>22</v>
      </c>
      <c r="X2117" s="35" t="str">
        <f>MID(Tabla1[[#This Row],[Aplicación]],14,6)</f>
        <v>22799</v>
      </c>
    </row>
    <row r="2118" spans="1:24" x14ac:dyDescent="0.25">
      <c r="A2118" s="45">
        <v>220210029566</v>
      </c>
      <c r="B2118" s="46" t="s">
        <v>9</v>
      </c>
      <c r="C2118" s="47">
        <v>44354</v>
      </c>
      <c r="D2118" s="45">
        <v>22021002066</v>
      </c>
      <c r="E2118" s="46" t="s">
        <v>873</v>
      </c>
      <c r="F2118" s="48">
        <v>811.75</v>
      </c>
      <c r="G2118" s="54" t="s">
        <v>209</v>
      </c>
      <c r="H2118" s="54" t="s">
        <v>3536</v>
      </c>
      <c r="I2118" s="53" t="s">
        <v>125</v>
      </c>
      <c r="J2118" s="54" t="s">
        <v>127</v>
      </c>
      <c r="K2118" s="54" t="s">
        <v>127</v>
      </c>
      <c r="L2118" s="54" t="s">
        <v>15</v>
      </c>
      <c r="M2118" s="54" t="s">
        <v>13</v>
      </c>
      <c r="N2118" s="54" t="s">
        <v>14</v>
      </c>
      <c r="O2118" s="49" t="s">
        <v>803</v>
      </c>
      <c r="P2118" s="54" t="s">
        <v>3392</v>
      </c>
      <c r="Q2118" s="35" t="str">
        <f>MID(Tabla1[[#This Row],[Aplicación]],14,1)</f>
        <v>2</v>
      </c>
      <c r="R2118" s="35" t="s">
        <v>495</v>
      </c>
      <c r="S2118" s="35" t="str">
        <f>MID(Tabla1[[#This Row],[Aplicación]],6,2)</f>
        <v>10</v>
      </c>
      <c r="T2118" s="35" t="str">
        <f>VLOOKUP(Tabla1[[#This Row],[AREA]],Hoja1!A:B,2,FALSE)</f>
        <v>10. Servicios sociales y mediación comunitaria</v>
      </c>
      <c r="U2118" s="35" t="str">
        <f>MID(Tabla1[[#This Row],[Aplicación]],9,4)</f>
        <v>2412</v>
      </c>
      <c r="V2118" s="35" t="str">
        <f>VLOOKUP(Tabla1[[#This Row],[PROGRAMA]],Hoja1!A:B,2,FALSE)</f>
        <v>2412. Formación para el empleo</v>
      </c>
      <c r="W2118" s="35" t="str">
        <f>MID(Tabla1[[#This Row],[Aplicación]],14,2)</f>
        <v>22</v>
      </c>
      <c r="X2118" s="35" t="str">
        <f>MID(Tabla1[[#This Row],[Aplicación]],14,6)</f>
        <v>22199</v>
      </c>
    </row>
    <row r="2119" spans="1:24" x14ac:dyDescent="0.25">
      <c r="A2119" s="45">
        <v>220210029566</v>
      </c>
      <c r="B2119" s="46" t="s">
        <v>9</v>
      </c>
      <c r="C2119" s="47">
        <v>44354</v>
      </c>
      <c r="D2119" s="45">
        <v>22021002065</v>
      </c>
      <c r="E2119" s="46" t="s">
        <v>873</v>
      </c>
      <c r="F2119" s="48">
        <v>500</v>
      </c>
      <c r="G2119" s="54" t="s">
        <v>209</v>
      </c>
      <c r="H2119" s="54" t="s">
        <v>3536</v>
      </c>
      <c r="I2119" s="53" t="s">
        <v>125</v>
      </c>
      <c r="J2119" s="54" t="s">
        <v>127</v>
      </c>
      <c r="K2119" s="54" t="s">
        <v>127</v>
      </c>
      <c r="L2119" s="54" t="s">
        <v>15</v>
      </c>
      <c r="M2119" s="54" t="s">
        <v>13</v>
      </c>
      <c r="N2119" s="54" t="s">
        <v>14</v>
      </c>
      <c r="O2119" s="49" t="s">
        <v>803</v>
      </c>
      <c r="P2119" s="54" t="s">
        <v>3392</v>
      </c>
      <c r="Q2119" s="35" t="str">
        <f>MID(Tabla1[[#This Row],[Aplicación]],14,1)</f>
        <v>2</v>
      </c>
      <c r="R2119" s="35" t="s">
        <v>495</v>
      </c>
      <c r="S2119" s="35" t="str">
        <f>MID(Tabla1[[#This Row],[Aplicación]],6,2)</f>
        <v>10</v>
      </c>
      <c r="T2119" s="35" t="str">
        <f>VLOOKUP(Tabla1[[#This Row],[AREA]],Hoja1!A:B,2,FALSE)</f>
        <v>10. Servicios sociales y mediación comunitaria</v>
      </c>
      <c r="U2119" s="35" t="str">
        <f>MID(Tabla1[[#This Row],[Aplicación]],9,4)</f>
        <v>2412</v>
      </c>
      <c r="V2119" s="35" t="str">
        <f>VLOOKUP(Tabla1[[#This Row],[PROGRAMA]],Hoja1!A:B,2,FALSE)</f>
        <v>2412. Formación para el empleo</v>
      </c>
      <c r="W2119" s="35" t="str">
        <f>MID(Tabla1[[#This Row],[Aplicación]],14,2)</f>
        <v>22</v>
      </c>
      <c r="X2119" s="35" t="str">
        <f>MID(Tabla1[[#This Row],[Aplicación]],14,6)</f>
        <v>22199</v>
      </c>
    </row>
    <row r="2120" spans="1:24" x14ac:dyDescent="0.25">
      <c r="A2120" s="45">
        <v>220210025421</v>
      </c>
      <c r="B2120" s="46" t="s">
        <v>9</v>
      </c>
      <c r="C2120" s="47">
        <v>44341</v>
      </c>
      <c r="D2120" s="45">
        <v>22021004434</v>
      </c>
      <c r="E2120" s="46" t="s">
        <v>1501</v>
      </c>
      <c r="F2120" s="48">
        <v>11993.52</v>
      </c>
      <c r="G2120" s="54" t="s">
        <v>3537</v>
      </c>
      <c r="H2120" s="54" t="s">
        <v>3538</v>
      </c>
      <c r="I2120" s="53" t="s">
        <v>125</v>
      </c>
      <c r="J2120" s="54" t="s">
        <v>127</v>
      </c>
      <c r="K2120" s="54" t="s">
        <v>127</v>
      </c>
      <c r="L2120" s="54" t="s">
        <v>12</v>
      </c>
      <c r="M2120" s="54" t="s">
        <v>10</v>
      </c>
      <c r="N2120" s="54" t="s">
        <v>11</v>
      </c>
      <c r="O2120" s="49" t="s">
        <v>815</v>
      </c>
      <c r="P2120" s="54" t="s">
        <v>3392</v>
      </c>
      <c r="Q2120" s="35" t="str">
        <f>MID(Tabla1[[#This Row],[Aplicación]],14,1)</f>
        <v>2</v>
      </c>
      <c r="R2120" s="35" t="s">
        <v>495</v>
      </c>
      <c r="S2120" s="35" t="str">
        <f>MID(Tabla1[[#This Row],[Aplicación]],6,2)</f>
        <v>09</v>
      </c>
      <c r="T2120" s="35" t="str">
        <f>VLOOKUP(Tabla1[[#This Row],[AREA]],Hoja1!A:B,2,FALSE)</f>
        <v>09. Cultura y turismo</v>
      </c>
      <c r="U2120" s="35" t="str">
        <f>MID(Tabla1[[#This Row],[Aplicación]],9,4)</f>
        <v>3341</v>
      </c>
      <c r="V2120" s="35" t="str">
        <f>VLOOKUP(Tabla1[[#This Row],[PROGRAMA]],Hoja1!A:B,2,FALSE)</f>
        <v>3341. Coordinación de políticas culturales</v>
      </c>
      <c r="W2120" s="35" t="str">
        <f>MID(Tabla1[[#This Row],[Aplicación]],14,2)</f>
        <v>22</v>
      </c>
      <c r="X2120" s="35" t="str">
        <f>MID(Tabla1[[#This Row],[Aplicación]],14,6)</f>
        <v>22701</v>
      </c>
    </row>
    <row r="2121" spans="1:24" x14ac:dyDescent="0.25">
      <c r="A2121" s="45">
        <v>220210029566</v>
      </c>
      <c r="B2121" s="46" t="s">
        <v>9</v>
      </c>
      <c r="C2121" s="47">
        <v>44354</v>
      </c>
      <c r="D2121" s="45">
        <v>22021002063</v>
      </c>
      <c r="E2121" s="46" t="s">
        <v>873</v>
      </c>
      <c r="F2121" s="48">
        <v>200</v>
      </c>
      <c r="G2121" s="54" t="s">
        <v>209</v>
      </c>
      <c r="H2121" s="54" t="s">
        <v>3536</v>
      </c>
      <c r="I2121" s="53" t="s">
        <v>125</v>
      </c>
      <c r="J2121" s="54" t="s">
        <v>127</v>
      </c>
      <c r="K2121" s="54" t="s">
        <v>127</v>
      </c>
      <c r="L2121" s="54" t="s">
        <v>15</v>
      </c>
      <c r="M2121" s="54" t="s">
        <v>13</v>
      </c>
      <c r="N2121" s="54" t="s">
        <v>14</v>
      </c>
      <c r="O2121" s="49" t="s">
        <v>803</v>
      </c>
      <c r="P2121" s="54" t="s">
        <v>3392</v>
      </c>
      <c r="Q2121" s="35" t="str">
        <f>MID(Tabla1[[#This Row],[Aplicación]],14,1)</f>
        <v>2</v>
      </c>
      <c r="R2121" s="35" t="s">
        <v>495</v>
      </c>
      <c r="S2121" s="35" t="str">
        <f>MID(Tabla1[[#This Row],[Aplicación]],6,2)</f>
        <v>10</v>
      </c>
      <c r="T2121" s="35" t="str">
        <f>VLOOKUP(Tabla1[[#This Row],[AREA]],Hoja1!A:B,2,FALSE)</f>
        <v>10. Servicios sociales y mediación comunitaria</v>
      </c>
      <c r="U2121" s="35" t="str">
        <f>MID(Tabla1[[#This Row],[Aplicación]],9,4)</f>
        <v>2412</v>
      </c>
      <c r="V2121" s="35" t="str">
        <f>VLOOKUP(Tabla1[[#This Row],[PROGRAMA]],Hoja1!A:B,2,FALSE)</f>
        <v>2412. Formación para el empleo</v>
      </c>
      <c r="W2121" s="35" t="str">
        <f>MID(Tabla1[[#This Row],[Aplicación]],14,2)</f>
        <v>22</v>
      </c>
      <c r="X2121" s="35" t="str">
        <f>MID(Tabla1[[#This Row],[Aplicación]],14,6)</f>
        <v>22199</v>
      </c>
    </row>
    <row r="2122" spans="1:24" x14ac:dyDescent="0.25">
      <c r="A2122" s="45">
        <v>220210020427</v>
      </c>
      <c r="B2122" s="46" t="s">
        <v>9</v>
      </c>
      <c r="C2122" s="47">
        <v>44321</v>
      </c>
      <c r="D2122" s="45">
        <v>22021004149</v>
      </c>
      <c r="E2122" s="46" t="s">
        <v>1542</v>
      </c>
      <c r="F2122" s="48">
        <v>11712.8</v>
      </c>
      <c r="G2122" s="54" t="s">
        <v>3539</v>
      </c>
      <c r="H2122" s="54" t="s">
        <v>3540</v>
      </c>
      <c r="I2122" s="53" t="s">
        <v>125</v>
      </c>
      <c r="J2122" s="54" t="s">
        <v>127</v>
      </c>
      <c r="K2122" s="54" t="s">
        <v>127</v>
      </c>
      <c r="L2122" s="54" t="s">
        <v>12</v>
      </c>
      <c r="M2122" s="54" t="s">
        <v>10</v>
      </c>
      <c r="N2122" s="54" t="s">
        <v>14</v>
      </c>
      <c r="O2122" s="49" t="s">
        <v>815</v>
      </c>
      <c r="P2122" s="54" t="s">
        <v>3392</v>
      </c>
      <c r="Q2122" s="35" t="str">
        <f>MID(Tabla1[[#This Row],[Aplicación]],14,1)</f>
        <v>6</v>
      </c>
      <c r="R2122" s="35" t="s">
        <v>496</v>
      </c>
      <c r="S2122" s="35" t="str">
        <f>MID(Tabla1[[#This Row],[Aplicación]],6,2)</f>
        <v>05</v>
      </c>
      <c r="T2122" s="35" t="str">
        <f>VLOOKUP(Tabla1[[#This Row],[AREA]],Hoja1!A:B,2,FALSE)</f>
        <v>05. Innovación, desarrollo económico, empleo y comercio</v>
      </c>
      <c r="U2122" s="35" t="str">
        <f>MID(Tabla1[[#This Row],[Aplicación]],9,4)</f>
        <v>4331</v>
      </c>
      <c r="V2122" s="35" t="str">
        <f>VLOOKUP(Tabla1[[#This Row],[PROGRAMA]],Hoja1!A:B,2,FALSE)</f>
        <v>4331. Desarrollo empresarial</v>
      </c>
      <c r="W2122" s="35" t="str">
        <f>MID(Tabla1[[#This Row],[Aplicación]],14,2)</f>
        <v>60</v>
      </c>
      <c r="X2122" s="35" t="str">
        <f>MID(Tabla1[[#This Row],[Aplicación]],14,6)</f>
        <v>609</v>
      </c>
    </row>
    <row r="2123" spans="1:24" x14ac:dyDescent="0.25">
      <c r="A2123" s="45">
        <v>220210028593</v>
      </c>
      <c r="B2123" s="46" t="s">
        <v>204</v>
      </c>
      <c r="C2123" s="47">
        <v>44350</v>
      </c>
      <c r="D2123" s="45">
        <v>22021001304</v>
      </c>
      <c r="E2123" s="46" t="s">
        <v>2590</v>
      </c>
      <c r="F2123" s="48">
        <v>587352.04</v>
      </c>
      <c r="G2123" s="54" t="s">
        <v>1992</v>
      </c>
      <c r="H2123" s="54" t="s">
        <v>3541</v>
      </c>
      <c r="I2123" s="53" t="s">
        <v>205</v>
      </c>
      <c r="J2123" s="54" t="s">
        <v>634</v>
      </c>
      <c r="K2123" s="54" t="s">
        <v>127</v>
      </c>
      <c r="L2123" s="54" t="s">
        <v>31</v>
      </c>
      <c r="M2123" s="54" t="s">
        <v>13</v>
      </c>
      <c r="N2123" s="54" t="s">
        <v>14</v>
      </c>
      <c r="O2123" s="49" t="s">
        <v>803</v>
      </c>
      <c r="P2123" s="54" t="s">
        <v>3392</v>
      </c>
      <c r="Q2123" s="35" t="str">
        <f>MID(Tabla1[[#This Row],[Aplicación]],14,1)</f>
        <v>6</v>
      </c>
      <c r="R2123" s="35" t="s">
        <v>496</v>
      </c>
      <c r="S2123" s="35" t="str">
        <f>MID(Tabla1[[#This Row],[Aplicación]],6,2)</f>
        <v>02</v>
      </c>
      <c r="T2123" s="35" t="str">
        <f>VLOOKUP(Tabla1[[#This Row],[AREA]],Hoja1!A:B,2,FALSE)</f>
        <v>02. Planeamiento urbanístico y vivienda</v>
      </c>
      <c r="U2123" s="35" t="str">
        <f>MID(Tabla1[[#This Row],[Aplicación]],9,4)</f>
        <v>1511</v>
      </c>
      <c r="V2123" s="35" t="str">
        <f>VLOOKUP(Tabla1[[#This Row],[PROGRAMA]],Hoja1!A:B,2,FALSE)</f>
        <v>1511. Planficación y gestión del urbanismo</v>
      </c>
      <c r="W2123" s="35" t="str">
        <f>MID(Tabla1[[#This Row],[Aplicación]],14,2)</f>
        <v>60</v>
      </c>
      <c r="X2123" s="35" t="str">
        <f>MID(Tabla1[[#This Row],[Aplicación]],14,6)</f>
        <v>609</v>
      </c>
    </row>
    <row r="2124" spans="1:24" x14ac:dyDescent="0.25">
      <c r="A2124" s="45">
        <v>220210019010</v>
      </c>
      <c r="B2124" s="46" t="s">
        <v>9</v>
      </c>
      <c r="C2124" s="47">
        <v>44319</v>
      </c>
      <c r="D2124" s="45">
        <v>22021003531</v>
      </c>
      <c r="E2124" s="46" t="s">
        <v>2636</v>
      </c>
      <c r="F2124" s="48">
        <v>11228.8</v>
      </c>
      <c r="G2124" s="54" t="s">
        <v>3542</v>
      </c>
      <c r="H2124" s="54" t="s">
        <v>3543</v>
      </c>
      <c r="I2124" s="53" t="s">
        <v>125</v>
      </c>
      <c r="J2124" s="54" t="s">
        <v>126</v>
      </c>
      <c r="K2124" s="54" t="s">
        <v>126</v>
      </c>
      <c r="L2124" s="54" t="s">
        <v>12</v>
      </c>
      <c r="M2124" s="54" t="s">
        <v>10</v>
      </c>
      <c r="N2124" s="54" t="s">
        <v>11</v>
      </c>
      <c r="O2124" s="49" t="s">
        <v>815</v>
      </c>
      <c r="P2124" s="54" t="s">
        <v>3392</v>
      </c>
      <c r="Q2124" s="35" t="str">
        <f>MID(Tabla1[[#This Row],[Aplicación]],14,1)</f>
        <v>2</v>
      </c>
      <c r="R2124" s="35" t="s">
        <v>495</v>
      </c>
      <c r="S2124" s="35" t="str">
        <f>MID(Tabla1[[#This Row],[Aplicación]],6,2)</f>
        <v>07</v>
      </c>
      <c r="T2124" s="35" t="str">
        <f>VLOOKUP(Tabla1[[#This Row],[AREA]],Hoja1!A:B,2,FALSE)</f>
        <v>07. Medio ambiente y desarrollo sostenible</v>
      </c>
      <c r="U2124" s="35" t="str">
        <f>MID(Tabla1[[#This Row],[Aplicación]],9,4)</f>
        <v>1721</v>
      </c>
      <c r="V2124" s="35" t="str">
        <f>VLOOKUP(Tabla1[[#This Row],[PROGRAMA]],Hoja1!A:B,2,FALSE)</f>
        <v>1721. Protección del medio ambiente</v>
      </c>
      <c r="W2124" s="35" t="str">
        <f>MID(Tabla1[[#This Row],[Aplicación]],14,2)</f>
        <v>22</v>
      </c>
      <c r="X2124" s="35" t="str">
        <f>MID(Tabla1[[#This Row],[Aplicación]],14,6)</f>
        <v>22706</v>
      </c>
    </row>
    <row r="2125" spans="1:24" x14ac:dyDescent="0.25">
      <c r="A2125" s="45">
        <v>220210031467</v>
      </c>
      <c r="B2125" s="46" t="s">
        <v>9</v>
      </c>
      <c r="C2125" s="47">
        <v>44368</v>
      </c>
      <c r="D2125" s="45">
        <v>22021004645</v>
      </c>
      <c r="E2125" s="46" t="s">
        <v>1474</v>
      </c>
      <c r="F2125" s="48">
        <v>11139.12</v>
      </c>
      <c r="G2125" s="54" t="s">
        <v>230</v>
      </c>
      <c r="H2125" s="54" t="s">
        <v>3544</v>
      </c>
      <c r="I2125" s="53" t="s">
        <v>125</v>
      </c>
      <c r="J2125" s="54" t="s">
        <v>127</v>
      </c>
      <c r="K2125" s="54" t="s">
        <v>127</v>
      </c>
      <c r="L2125" s="54" t="s">
        <v>31</v>
      </c>
      <c r="M2125" s="54" t="s">
        <v>10</v>
      </c>
      <c r="N2125" s="54" t="s">
        <v>11</v>
      </c>
      <c r="O2125" s="49" t="s">
        <v>815</v>
      </c>
      <c r="P2125" s="54" t="s">
        <v>3392</v>
      </c>
      <c r="Q2125" s="35" t="str">
        <f>MID(Tabla1[[#This Row],[Aplicación]],14,1)</f>
        <v>6</v>
      </c>
      <c r="R2125" s="35" t="s">
        <v>496</v>
      </c>
      <c r="S2125" s="35" t="str">
        <f>MID(Tabla1[[#This Row],[Aplicación]],6,2)</f>
        <v>08</v>
      </c>
      <c r="T2125" s="35" t="str">
        <f>VLOOKUP(Tabla1[[#This Row],[AREA]],Hoja1!A:B,2,FALSE)</f>
        <v>08. Movilidad y espacio urbano</v>
      </c>
      <c r="U2125" s="35" t="str">
        <f>MID(Tabla1[[#This Row],[Aplicación]],9,4)</f>
        <v>1651</v>
      </c>
      <c r="V2125" s="35" t="str">
        <f>VLOOKUP(Tabla1[[#This Row],[PROGRAMA]],Hoja1!A:B,2,FALSE)</f>
        <v>1651. Alumbrado público</v>
      </c>
      <c r="W2125" s="35" t="str">
        <f>MID(Tabla1[[#This Row],[Aplicación]],14,2)</f>
        <v>61</v>
      </c>
      <c r="X2125" s="35" t="str">
        <f>MID(Tabla1[[#This Row],[Aplicación]],14,6)</f>
        <v>619</v>
      </c>
    </row>
    <row r="2126" spans="1:24" x14ac:dyDescent="0.25">
      <c r="A2126" s="45">
        <v>220210022097</v>
      </c>
      <c r="B2126" s="46" t="s">
        <v>9</v>
      </c>
      <c r="C2126" s="47">
        <v>44327</v>
      </c>
      <c r="D2126" s="45">
        <v>22021000558</v>
      </c>
      <c r="E2126" s="46" t="s">
        <v>838</v>
      </c>
      <c r="F2126" s="48">
        <v>710791.02</v>
      </c>
      <c r="G2126" s="54" t="s">
        <v>174</v>
      </c>
      <c r="H2126" s="54" t="s">
        <v>3545</v>
      </c>
      <c r="I2126" s="53" t="s">
        <v>125</v>
      </c>
      <c r="J2126" s="54" t="s">
        <v>126</v>
      </c>
      <c r="K2126" s="54" t="s">
        <v>126</v>
      </c>
      <c r="L2126" s="54" t="s">
        <v>12</v>
      </c>
      <c r="M2126" s="54" t="s">
        <v>13</v>
      </c>
      <c r="N2126" s="54" t="s">
        <v>14</v>
      </c>
      <c r="O2126" s="49" t="s">
        <v>803</v>
      </c>
      <c r="P2126" s="54" t="s">
        <v>3392</v>
      </c>
      <c r="Q2126" s="35" t="str">
        <f>MID(Tabla1[[#This Row],[Aplicación]],14,1)</f>
        <v>6</v>
      </c>
      <c r="R2126" s="35" t="s">
        <v>496</v>
      </c>
      <c r="S2126" s="35" t="str">
        <f>MID(Tabla1[[#This Row],[Aplicación]],6,2)</f>
        <v>07</v>
      </c>
      <c r="T2126" s="35" t="str">
        <f>VLOOKUP(Tabla1[[#This Row],[AREA]],Hoja1!A:B,2,FALSE)</f>
        <v>07. Medio ambiente y desarrollo sostenible</v>
      </c>
      <c r="U2126" s="35" t="str">
        <f>MID(Tabla1[[#This Row],[Aplicación]],9,4)</f>
        <v>1711</v>
      </c>
      <c r="V2126" s="35" t="str">
        <f>VLOOKUP(Tabla1[[#This Row],[PROGRAMA]],Hoja1!A:B,2,FALSE)</f>
        <v>1711. Parques y jardines</v>
      </c>
      <c r="W2126" s="35" t="str">
        <f>MID(Tabla1[[#This Row],[Aplicación]],14,2)</f>
        <v>61</v>
      </c>
      <c r="X2126" s="35" t="str">
        <f>MID(Tabla1[[#This Row],[Aplicación]],14,6)</f>
        <v>610</v>
      </c>
    </row>
    <row r="2127" spans="1:24" x14ac:dyDescent="0.25">
      <c r="A2127" s="45">
        <v>220210022098</v>
      </c>
      <c r="B2127" s="46" t="s">
        <v>9</v>
      </c>
      <c r="C2127" s="47">
        <v>44327</v>
      </c>
      <c r="D2127" s="45">
        <v>22021000116</v>
      </c>
      <c r="E2127" s="46" t="s">
        <v>840</v>
      </c>
      <c r="F2127" s="48">
        <v>141239.49</v>
      </c>
      <c r="G2127" s="54" t="s">
        <v>174</v>
      </c>
      <c r="H2127" s="54" t="s">
        <v>3545</v>
      </c>
      <c r="I2127" s="53" t="s">
        <v>125</v>
      </c>
      <c r="J2127" s="54" t="s">
        <v>126</v>
      </c>
      <c r="K2127" s="54" t="s">
        <v>126</v>
      </c>
      <c r="L2127" s="54" t="s">
        <v>12</v>
      </c>
      <c r="M2127" s="54" t="s">
        <v>13</v>
      </c>
      <c r="N2127" s="54" t="s">
        <v>14</v>
      </c>
      <c r="O2127" s="49" t="s">
        <v>803</v>
      </c>
      <c r="P2127" s="54" t="s">
        <v>3392</v>
      </c>
      <c r="Q2127" s="35" t="str">
        <f>MID(Tabla1[[#This Row],[Aplicación]],14,1)</f>
        <v>2</v>
      </c>
      <c r="R2127" s="35" t="s">
        <v>495</v>
      </c>
      <c r="S2127" s="35" t="str">
        <f>MID(Tabla1[[#This Row],[Aplicación]],6,2)</f>
        <v>07</v>
      </c>
      <c r="T2127" s="35" t="str">
        <f>VLOOKUP(Tabla1[[#This Row],[AREA]],Hoja1!A:B,2,FALSE)</f>
        <v>07. Medio ambiente y desarrollo sostenible</v>
      </c>
      <c r="U2127" s="35" t="str">
        <f>MID(Tabla1[[#This Row],[Aplicación]],9,4)</f>
        <v>1711</v>
      </c>
      <c r="V2127" s="35" t="str">
        <f>VLOOKUP(Tabla1[[#This Row],[PROGRAMA]],Hoja1!A:B,2,FALSE)</f>
        <v>1711. Parques y jardines</v>
      </c>
      <c r="W2127" s="35" t="str">
        <f>MID(Tabla1[[#This Row],[Aplicación]],14,2)</f>
        <v>22</v>
      </c>
      <c r="X2127" s="35" t="str">
        <f>MID(Tabla1[[#This Row],[Aplicación]],14,6)</f>
        <v>22799</v>
      </c>
    </row>
    <row r="2128" spans="1:24" x14ac:dyDescent="0.25">
      <c r="A2128" s="45">
        <v>220210030271</v>
      </c>
      <c r="B2128" s="46" t="s">
        <v>204</v>
      </c>
      <c r="C2128" s="47">
        <v>44357</v>
      </c>
      <c r="D2128" s="45">
        <v>22021002364</v>
      </c>
      <c r="E2128" s="46" t="s">
        <v>2026</v>
      </c>
      <c r="F2128" s="48">
        <v>35280</v>
      </c>
      <c r="G2128" s="54" t="s">
        <v>3546</v>
      </c>
      <c r="H2128" s="54" t="s">
        <v>3547</v>
      </c>
      <c r="I2128" s="53" t="s">
        <v>205</v>
      </c>
      <c r="J2128" s="54" t="s">
        <v>127</v>
      </c>
      <c r="K2128" s="54" t="s">
        <v>127</v>
      </c>
      <c r="L2128" s="54" t="s">
        <v>12</v>
      </c>
      <c r="M2128" s="54" t="s">
        <v>13</v>
      </c>
      <c r="N2128" s="54" t="s">
        <v>14</v>
      </c>
      <c r="O2128" s="49" t="s">
        <v>803</v>
      </c>
      <c r="P2128" s="54" t="s">
        <v>3392</v>
      </c>
      <c r="Q2128" s="35" t="str">
        <f>MID(Tabla1[[#This Row],[Aplicación]],14,1)</f>
        <v>2</v>
      </c>
      <c r="R2128" s="35" t="s">
        <v>495</v>
      </c>
      <c r="S2128" s="35" t="str">
        <f>MID(Tabla1[[#This Row],[Aplicación]],6,2)</f>
        <v>10</v>
      </c>
      <c r="T2128" s="35" t="str">
        <f>VLOOKUP(Tabla1[[#This Row],[AREA]],Hoja1!A:B,2,FALSE)</f>
        <v>10. Servicios sociales y mediación comunitaria</v>
      </c>
      <c r="U2128" s="35" t="str">
        <f>MID(Tabla1[[#This Row],[Aplicación]],9,4)</f>
        <v>2412</v>
      </c>
      <c r="V2128" s="35" t="str">
        <f>VLOOKUP(Tabla1[[#This Row],[PROGRAMA]],Hoja1!A:B,2,FALSE)</f>
        <v>2412. Formación para el empleo</v>
      </c>
      <c r="W2128" s="35" t="str">
        <f>MID(Tabla1[[#This Row],[Aplicación]],14,2)</f>
        <v>22</v>
      </c>
      <c r="X2128" s="35" t="str">
        <f>MID(Tabla1[[#This Row],[Aplicación]],14,6)</f>
        <v>22799</v>
      </c>
    </row>
    <row r="2129" spans="1:24" x14ac:dyDescent="0.25">
      <c r="A2129" s="45">
        <v>220210026047</v>
      </c>
      <c r="B2129" s="46" t="s">
        <v>9</v>
      </c>
      <c r="C2129" s="47">
        <v>44344</v>
      </c>
      <c r="D2129" s="45">
        <v>22021004570</v>
      </c>
      <c r="E2129" s="46" t="s">
        <v>1286</v>
      </c>
      <c r="F2129" s="48">
        <v>10877.9</v>
      </c>
      <c r="G2129" s="54" t="s">
        <v>3548</v>
      </c>
      <c r="H2129" s="54" t="s">
        <v>3549</v>
      </c>
      <c r="I2129" s="53" t="s">
        <v>125</v>
      </c>
      <c r="J2129" s="54" t="s">
        <v>126</v>
      </c>
      <c r="K2129" s="54" t="s">
        <v>126</v>
      </c>
      <c r="L2129" s="54" t="s">
        <v>15</v>
      </c>
      <c r="M2129" s="54" t="s">
        <v>10</v>
      </c>
      <c r="N2129" s="54" t="s">
        <v>11</v>
      </c>
      <c r="O2129" s="49" t="s">
        <v>815</v>
      </c>
      <c r="P2129" s="54" t="s">
        <v>3392</v>
      </c>
      <c r="Q2129" s="35" t="str">
        <f>MID(Tabla1[[#This Row],[Aplicación]],14,1)</f>
        <v>6</v>
      </c>
      <c r="R2129" s="35" t="s">
        <v>496</v>
      </c>
      <c r="S2129" s="35" t="str">
        <f>MID(Tabla1[[#This Row],[Aplicación]],6,2)</f>
        <v>04</v>
      </c>
      <c r="T2129" s="35" t="str">
        <f>VLOOKUP(Tabla1[[#This Row],[AREA]],Hoja1!A:B,2,FALSE)</f>
        <v>04. Planificación y recursos</v>
      </c>
      <c r="U2129" s="35" t="str">
        <f>MID(Tabla1[[#This Row],[Aplicación]],9,4)</f>
        <v>9204</v>
      </c>
      <c r="V2129" s="35" t="str">
        <f>VLOOKUP(Tabla1[[#This Row],[PROGRAMA]],Hoja1!A:B,2,FALSE)</f>
        <v>9204. Tecnologías de la información y comunicación</v>
      </c>
      <c r="W2129" s="35" t="str">
        <f>MID(Tabla1[[#This Row],[Aplicación]],14,2)</f>
        <v>64</v>
      </c>
      <c r="X2129" s="35" t="str">
        <f>MID(Tabla1[[#This Row],[Aplicación]],14,6)</f>
        <v>641</v>
      </c>
    </row>
    <row r="2130" spans="1:24" x14ac:dyDescent="0.25">
      <c r="A2130" s="45">
        <v>220210016732</v>
      </c>
      <c r="B2130" s="46" t="s">
        <v>2924</v>
      </c>
      <c r="C2130" s="47">
        <v>44307</v>
      </c>
      <c r="D2130" s="45">
        <v>22021000681</v>
      </c>
      <c r="E2130" s="46" t="s">
        <v>3161</v>
      </c>
      <c r="F2130" s="48">
        <v>-10763</v>
      </c>
      <c r="G2130" s="54" t="s">
        <v>3162</v>
      </c>
      <c r="H2130" s="54" t="s">
        <v>3163</v>
      </c>
      <c r="I2130" s="53" t="s">
        <v>2926</v>
      </c>
      <c r="J2130" s="54" t="s">
        <v>127</v>
      </c>
      <c r="K2130" s="54" t="s">
        <v>127</v>
      </c>
      <c r="L2130" s="54" t="s">
        <v>15</v>
      </c>
      <c r="M2130" s="54" t="s">
        <v>10</v>
      </c>
      <c r="N2130" s="54" t="s">
        <v>11</v>
      </c>
      <c r="O2130" s="49" t="s">
        <v>815</v>
      </c>
      <c r="P2130" s="54" t="s">
        <v>3392</v>
      </c>
      <c r="Q2130" s="35" t="str">
        <f>MID(Tabla1[[#This Row],[Aplicación]],14,1)</f>
        <v>6</v>
      </c>
      <c r="R2130" s="35" t="s">
        <v>496</v>
      </c>
      <c r="S2130" s="35" t="str">
        <f>MID(Tabla1[[#This Row],[Aplicación]],6,2)</f>
        <v>10</v>
      </c>
      <c r="T2130" s="35" t="str">
        <f>VLOOKUP(Tabla1[[#This Row],[AREA]],Hoja1!A:B,2,FALSE)</f>
        <v>10. Servicios sociales y mediación comunitaria</v>
      </c>
      <c r="U2130" s="35" t="str">
        <f>MID(Tabla1[[#This Row],[Aplicación]],9,4)</f>
        <v>2312</v>
      </c>
      <c r="V2130" s="35" t="str">
        <f>VLOOKUP(Tabla1[[#This Row],[PROGRAMA]],Hoja1!A:B,2,FALSE)</f>
        <v>2312. Iniciativas sociales</v>
      </c>
      <c r="W2130" s="35" t="str">
        <f>MID(Tabla1[[#This Row],[Aplicación]],14,2)</f>
        <v>63</v>
      </c>
      <c r="X2130" s="35" t="str">
        <f>MID(Tabla1[[#This Row],[Aplicación]],14,6)</f>
        <v>632</v>
      </c>
    </row>
    <row r="2131" spans="1:24" x14ac:dyDescent="0.25">
      <c r="A2131" s="45">
        <v>220210022408</v>
      </c>
      <c r="B2131" s="46" t="s">
        <v>501</v>
      </c>
      <c r="C2131" s="47">
        <v>44330</v>
      </c>
      <c r="D2131" s="45">
        <v>22021000616</v>
      </c>
      <c r="E2131" s="46" t="s">
        <v>2225</v>
      </c>
      <c r="F2131" s="48">
        <v>-55000</v>
      </c>
      <c r="G2131" s="54" t="s">
        <v>47</v>
      </c>
      <c r="H2131" s="54" t="s">
        <v>2226</v>
      </c>
      <c r="I2131" s="53" t="s">
        <v>125</v>
      </c>
      <c r="J2131" s="54" t="s">
        <v>148</v>
      </c>
      <c r="K2131" s="54" t="s">
        <v>201</v>
      </c>
      <c r="L2131" s="54" t="s">
        <v>15</v>
      </c>
      <c r="M2131" s="54" t="s">
        <v>13</v>
      </c>
      <c r="N2131" s="54" t="s">
        <v>14</v>
      </c>
      <c r="O2131" s="49" t="s">
        <v>803</v>
      </c>
      <c r="P2131" s="54" t="s">
        <v>3392</v>
      </c>
      <c r="Q2131" s="35" t="str">
        <f>MID(Tabla1[[#This Row],[Aplicación]],14,1)</f>
        <v>2</v>
      </c>
      <c r="R2131" s="35" t="s">
        <v>495</v>
      </c>
      <c r="S2131" s="35" t="str">
        <f>MID(Tabla1[[#This Row],[Aplicación]],6,2)</f>
        <v>08</v>
      </c>
      <c r="T2131" s="35" t="str">
        <f>VLOOKUP(Tabla1[[#This Row],[AREA]],Hoja1!A:B,2,FALSE)</f>
        <v>08. Movilidad y espacio urbano</v>
      </c>
      <c r="U2131" s="35" t="str">
        <f>MID(Tabla1[[#This Row],[Aplicación]],9,4)</f>
        <v>1651</v>
      </c>
      <c r="V2131" s="35" t="str">
        <f>VLOOKUP(Tabla1[[#This Row],[PROGRAMA]],Hoja1!A:B,2,FALSE)</f>
        <v>1651. Alumbrado público</v>
      </c>
      <c r="W2131" s="35" t="str">
        <f>MID(Tabla1[[#This Row],[Aplicación]],14,2)</f>
        <v>22</v>
      </c>
      <c r="X2131" s="35" t="str">
        <f>MID(Tabla1[[#This Row],[Aplicación]],14,6)</f>
        <v>22100</v>
      </c>
    </row>
    <row r="2132" spans="1:24" x14ac:dyDescent="0.25">
      <c r="A2132" s="45">
        <v>220210025049</v>
      </c>
      <c r="B2132" s="46" t="s">
        <v>204</v>
      </c>
      <c r="C2132" s="47">
        <v>44341</v>
      </c>
      <c r="D2132" s="45">
        <v>22019006218</v>
      </c>
      <c r="E2132" s="46" t="s">
        <v>1634</v>
      </c>
      <c r="F2132" s="48">
        <v>12029.36</v>
      </c>
      <c r="G2132" s="54" t="s">
        <v>121</v>
      </c>
      <c r="H2132" s="54" t="s">
        <v>3550</v>
      </c>
      <c r="I2132" s="53" t="s">
        <v>205</v>
      </c>
      <c r="J2132" s="54" t="s">
        <v>664</v>
      </c>
      <c r="K2132" s="54" t="s">
        <v>127</v>
      </c>
      <c r="L2132" s="54" t="s">
        <v>12</v>
      </c>
      <c r="M2132" s="54" t="s">
        <v>13</v>
      </c>
      <c r="N2132" s="54" t="s">
        <v>14</v>
      </c>
      <c r="O2132" s="49" t="s">
        <v>803</v>
      </c>
      <c r="P2132" s="54" t="s">
        <v>3392</v>
      </c>
      <c r="Q2132" s="35" t="str">
        <f>MID(Tabla1[[#This Row],[Aplicación]],14,1)</f>
        <v>6</v>
      </c>
      <c r="R2132" s="35" t="s">
        <v>496</v>
      </c>
      <c r="S2132" s="35" t="str">
        <f>MID(Tabla1[[#This Row],[Aplicación]],6,2)</f>
        <v>08</v>
      </c>
      <c r="T2132" s="35" t="str">
        <f>VLOOKUP(Tabla1[[#This Row],[AREA]],Hoja1!A:B,2,FALSE)</f>
        <v>08. Movilidad y espacio urbano</v>
      </c>
      <c r="U2132" s="35" t="str">
        <f>MID(Tabla1[[#This Row],[Aplicación]],9,4)</f>
        <v>1532</v>
      </c>
      <c r="V2132" s="35" t="str">
        <f>VLOOKUP(Tabla1[[#This Row],[PROGRAMA]],Hoja1!A:B,2,FALSE)</f>
        <v>1532. Pavimentación vias públicas y otros servicios urbanísticos</v>
      </c>
      <c r="W2132" s="35" t="str">
        <f>MID(Tabla1[[#This Row],[Aplicación]],14,2)</f>
        <v>60</v>
      </c>
      <c r="X2132" s="35" t="str">
        <f>MID(Tabla1[[#This Row],[Aplicación]],14,6)</f>
        <v>609</v>
      </c>
    </row>
    <row r="2133" spans="1:24" x14ac:dyDescent="0.25">
      <c r="A2133" s="45">
        <v>220210032809</v>
      </c>
      <c r="B2133" s="46" t="s">
        <v>9</v>
      </c>
      <c r="C2133" s="47">
        <v>44371</v>
      </c>
      <c r="D2133" s="45">
        <v>22021002932</v>
      </c>
      <c r="E2133" s="46" t="s">
        <v>3161</v>
      </c>
      <c r="F2133" s="48">
        <v>1227.3900000000001</v>
      </c>
      <c r="G2133" s="54" t="s">
        <v>121</v>
      </c>
      <c r="H2133" s="54" t="s">
        <v>3551</v>
      </c>
      <c r="I2133" s="53" t="s">
        <v>125</v>
      </c>
      <c r="J2133" s="54" t="s">
        <v>664</v>
      </c>
      <c r="K2133" s="54" t="s">
        <v>127</v>
      </c>
      <c r="L2133" s="54" t="s">
        <v>31</v>
      </c>
      <c r="M2133" s="54" t="s">
        <v>13</v>
      </c>
      <c r="N2133" s="54" t="s">
        <v>11</v>
      </c>
      <c r="O2133" s="49" t="s">
        <v>803</v>
      </c>
      <c r="P2133" s="54" t="s">
        <v>3392</v>
      </c>
      <c r="Q2133" s="35" t="str">
        <f>MID(Tabla1[[#This Row],[Aplicación]],14,1)</f>
        <v>6</v>
      </c>
      <c r="R2133" s="35" t="s">
        <v>496</v>
      </c>
      <c r="S2133" s="35" t="str">
        <f>MID(Tabla1[[#This Row],[Aplicación]],6,2)</f>
        <v>10</v>
      </c>
      <c r="T2133" s="35" t="str">
        <f>VLOOKUP(Tabla1[[#This Row],[AREA]],Hoja1!A:B,2,FALSE)</f>
        <v>10. Servicios sociales y mediación comunitaria</v>
      </c>
      <c r="U2133" s="35" t="str">
        <f>MID(Tabla1[[#This Row],[Aplicación]],9,4)</f>
        <v>2312</v>
      </c>
      <c r="V2133" s="35" t="str">
        <f>VLOOKUP(Tabla1[[#This Row],[PROGRAMA]],Hoja1!A:B,2,FALSE)</f>
        <v>2312. Iniciativas sociales</v>
      </c>
      <c r="W2133" s="35" t="str">
        <f>MID(Tabla1[[#This Row],[Aplicación]],14,2)</f>
        <v>63</v>
      </c>
      <c r="X2133" s="35" t="str">
        <f>MID(Tabla1[[#This Row],[Aplicación]],14,6)</f>
        <v>632</v>
      </c>
    </row>
    <row r="2134" spans="1:24" x14ac:dyDescent="0.25">
      <c r="A2134" s="45">
        <v>220210025888</v>
      </c>
      <c r="B2134" s="46" t="s">
        <v>9</v>
      </c>
      <c r="C2134" s="47">
        <v>44343</v>
      </c>
      <c r="D2134" s="45">
        <v>22021004436</v>
      </c>
      <c r="E2134" s="46" t="s">
        <v>3326</v>
      </c>
      <c r="F2134" s="48">
        <v>10328.620000000001</v>
      </c>
      <c r="G2134" s="54" t="s">
        <v>235</v>
      </c>
      <c r="H2134" s="54" t="s">
        <v>3552</v>
      </c>
      <c r="I2134" s="53" t="s">
        <v>125</v>
      </c>
      <c r="J2134" s="54" t="s">
        <v>742</v>
      </c>
      <c r="K2134" s="54" t="s">
        <v>165</v>
      </c>
      <c r="L2134" s="54" t="s">
        <v>15</v>
      </c>
      <c r="M2134" s="54" t="s">
        <v>10</v>
      </c>
      <c r="N2134" s="54" t="s">
        <v>14</v>
      </c>
      <c r="O2134" s="49" t="s">
        <v>815</v>
      </c>
      <c r="P2134" s="54" t="s">
        <v>3392</v>
      </c>
      <c r="Q2134" s="35" t="str">
        <f>MID(Tabla1[[#This Row],[Aplicación]],14,1)</f>
        <v>2</v>
      </c>
      <c r="R2134" s="35" t="s">
        <v>495</v>
      </c>
      <c r="S2134" s="35" t="str">
        <f>MID(Tabla1[[#This Row],[Aplicación]],6,2)</f>
        <v>02</v>
      </c>
      <c r="T2134" s="35" t="str">
        <f>VLOOKUP(Tabla1[[#This Row],[AREA]],Hoja1!A:B,2,FALSE)</f>
        <v>02. Planeamiento urbanístico y vivienda</v>
      </c>
      <c r="U2134" s="35" t="str">
        <f>MID(Tabla1[[#This Row],[Aplicación]],9,4)</f>
        <v>9332</v>
      </c>
      <c r="V2134" s="35" t="str">
        <f>VLOOKUP(Tabla1[[#This Row],[PROGRAMA]],Hoja1!A:B,2,FALSE)</f>
        <v>9332. Mantenimiento de edificios e instalaciones municipales</v>
      </c>
      <c r="W2134" s="35" t="str">
        <f>MID(Tabla1[[#This Row],[Aplicación]],14,2)</f>
        <v>22</v>
      </c>
      <c r="X2134" s="35" t="str">
        <f>MID(Tabla1[[#This Row],[Aplicación]],14,6)</f>
        <v>22104</v>
      </c>
    </row>
    <row r="2135" spans="1:24" x14ac:dyDescent="0.25">
      <c r="A2135" s="45">
        <v>220210025050</v>
      </c>
      <c r="B2135" s="46" t="s">
        <v>204</v>
      </c>
      <c r="C2135" s="47">
        <v>44341</v>
      </c>
      <c r="D2135" s="45">
        <v>22019006218</v>
      </c>
      <c r="E2135" s="46" t="s">
        <v>1634</v>
      </c>
      <c r="F2135" s="48">
        <v>2223.02</v>
      </c>
      <c r="G2135" s="54" t="s">
        <v>120</v>
      </c>
      <c r="H2135" s="54" t="s">
        <v>3553</v>
      </c>
      <c r="I2135" s="53" t="s">
        <v>205</v>
      </c>
      <c r="J2135" s="54" t="s">
        <v>126</v>
      </c>
      <c r="K2135" s="54" t="s">
        <v>126</v>
      </c>
      <c r="L2135" s="54" t="s">
        <v>12</v>
      </c>
      <c r="M2135" s="54" t="s">
        <v>13</v>
      </c>
      <c r="N2135" s="54" t="s">
        <v>14</v>
      </c>
      <c r="O2135" s="49" t="s">
        <v>803</v>
      </c>
      <c r="P2135" s="54" t="s">
        <v>3392</v>
      </c>
      <c r="Q2135" s="35" t="str">
        <f>MID(Tabla1[[#This Row],[Aplicación]],14,1)</f>
        <v>6</v>
      </c>
      <c r="R2135" s="35" t="s">
        <v>496</v>
      </c>
      <c r="S2135" s="35" t="str">
        <f>MID(Tabla1[[#This Row],[Aplicación]],6,2)</f>
        <v>08</v>
      </c>
      <c r="T2135" s="35" t="str">
        <f>VLOOKUP(Tabla1[[#This Row],[AREA]],Hoja1!A:B,2,FALSE)</f>
        <v>08. Movilidad y espacio urbano</v>
      </c>
      <c r="U2135" s="35" t="str">
        <f>MID(Tabla1[[#This Row],[Aplicación]],9,4)</f>
        <v>1532</v>
      </c>
      <c r="V2135" s="35" t="str">
        <f>VLOOKUP(Tabla1[[#This Row],[PROGRAMA]],Hoja1!A:B,2,FALSE)</f>
        <v>1532. Pavimentación vias públicas y otros servicios urbanísticos</v>
      </c>
      <c r="W2135" s="35" t="str">
        <f>MID(Tabla1[[#This Row],[Aplicación]],14,2)</f>
        <v>60</v>
      </c>
      <c r="X2135" s="35" t="str">
        <f>MID(Tabla1[[#This Row],[Aplicación]],14,6)</f>
        <v>609</v>
      </c>
    </row>
    <row r="2136" spans="1:24" x14ac:dyDescent="0.25">
      <c r="A2136" s="45">
        <v>220210033085</v>
      </c>
      <c r="B2136" s="46" t="s">
        <v>9</v>
      </c>
      <c r="C2136" s="47">
        <v>44376</v>
      </c>
      <c r="D2136" s="45">
        <v>22021005002</v>
      </c>
      <c r="E2136" s="46" t="s">
        <v>1286</v>
      </c>
      <c r="F2136" s="48">
        <v>10164</v>
      </c>
      <c r="G2136" s="54" t="s">
        <v>296</v>
      </c>
      <c r="H2136" s="54" t="s">
        <v>3554</v>
      </c>
      <c r="I2136" s="53" t="s">
        <v>125</v>
      </c>
      <c r="J2136" s="54" t="s">
        <v>719</v>
      </c>
      <c r="K2136" s="54" t="s">
        <v>126</v>
      </c>
      <c r="L2136" s="54" t="s">
        <v>15</v>
      </c>
      <c r="M2136" s="54" t="s">
        <v>10</v>
      </c>
      <c r="N2136" s="54" t="s">
        <v>11</v>
      </c>
      <c r="O2136" s="49" t="s">
        <v>815</v>
      </c>
      <c r="P2136" s="54" t="s">
        <v>3392</v>
      </c>
      <c r="Q2136" s="35" t="str">
        <f>MID(Tabla1[[#This Row],[Aplicación]],14,1)</f>
        <v>6</v>
      </c>
      <c r="R2136" s="35" t="s">
        <v>496</v>
      </c>
      <c r="S2136" s="35" t="str">
        <f>MID(Tabla1[[#This Row],[Aplicación]],6,2)</f>
        <v>04</v>
      </c>
      <c r="T2136" s="35" t="str">
        <f>VLOOKUP(Tabla1[[#This Row],[AREA]],Hoja1!A:B,2,FALSE)</f>
        <v>04. Planificación y recursos</v>
      </c>
      <c r="U2136" s="35" t="str">
        <f>MID(Tabla1[[#This Row],[Aplicación]],9,4)</f>
        <v>9204</v>
      </c>
      <c r="V2136" s="35" t="str">
        <f>VLOOKUP(Tabla1[[#This Row],[PROGRAMA]],Hoja1!A:B,2,FALSE)</f>
        <v>9204. Tecnologías de la información y comunicación</v>
      </c>
      <c r="W2136" s="35" t="str">
        <f>MID(Tabla1[[#This Row],[Aplicación]],14,2)</f>
        <v>64</v>
      </c>
      <c r="X2136" s="35" t="str">
        <f>MID(Tabla1[[#This Row],[Aplicación]],14,6)</f>
        <v>641</v>
      </c>
    </row>
    <row r="2137" spans="1:24" x14ac:dyDescent="0.25">
      <c r="A2137" s="45">
        <v>220210023572</v>
      </c>
      <c r="B2137" s="46" t="s">
        <v>9</v>
      </c>
      <c r="C2137" s="47">
        <v>44340</v>
      </c>
      <c r="D2137" s="45">
        <v>22021004393</v>
      </c>
      <c r="E2137" s="46" t="s">
        <v>1487</v>
      </c>
      <c r="F2137" s="48">
        <v>964.1</v>
      </c>
      <c r="G2137" s="54" t="s">
        <v>120</v>
      </c>
      <c r="H2137" s="54" t="s">
        <v>3555</v>
      </c>
      <c r="I2137" s="53" t="s">
        <v>125</v>
      </c>
      <c r="J2137" s="54" t="s">
        <v>126</v>
      </c>
      <c r="K2137" s="54" t="s">
        <v>126</v>
      </c>
      <c r="L2137" s="54" t="s">
        <v>12</v>
      </c>
      <c r="M2137" s="54" t="s">
        <v>13</v>
      </c>
      <c r="N2137" s="54" t="s">
        <v>14</v>
      </c>
      <c r="O2137" s="49" t="s">
        <v>803</v>
      </c>
      <c r="P2137" s="54" t="s">
        <v>3392</v>
      </c>
      <c r="Q2137" s="35" t="str">
        <f>MID(Tabla1[[#This Row],[Aplicación]],14,1)</f>
        <v>6</v>
      </c>
      <c r="R2137" s="35" t="s">
        <v>496</v>
      </c>
      <c r="S2137" s="35" t="str">
        <f>MID(Tabla1[[#This Row],[Aplicación]],6,2)</f>
        <v>08</v>
      </c>
      <c r="T2137" s="35" t="str">
        <f>VLOOKUP(Tabla1[[#This Row],[AREA]],Hoja1!A:B,2,FALSE)</f>
        <v>08. Movilidad y espacio urbano</v>
      </c>
      <c r="U2137" s="35" t="str">
        <f>MID(Tabla1[[#This Row],[Aplicación]],9,4)</f>
        <v>1532</v>
      </c>
      <c r="V2137" s="35" t="str">
        <f>VLOOKUP(Tabla1[[#This Row],[PROGRAMA]],Hoja1!A:B,2,FALSE)</f>
        <v>1532. Pavimentación vias públicas y otros servicios urbanísticos</v>
      </c>
      <c r="W2137" s="35" t="str">
        <f>MID(Tabla1[[#This Row],[Aplicación]],14,2)</f>
        <v>61</v>
      </c>
      <c r="X2137" s="35" t="str">
        <f>MID(Tabla1[[#This Row],[Aplicación]],14,6)</f>
        <v>619</v>
      </c>
    </row>
    <row r="2138" spans="1:24" x14ac:dyDescent="0.25">
      <c r="A2138" s="45">
        <v>220210023573</v>
      </c>
      <c r="B2138" s="46" t="s">
        <v>9</v>
      </c>
      <c r="C2138" s="47">
        <v>44340</v>
      </c>
      <c r="D2138" s="45">
        <v>22021004385</v>
      </c>
      <c r="E2138" s="46" t="s">
        <v>1487</v>
      </c>
      <c r="F2138" s="48">
        <v>670.85</v>
      </c>
      <c r="G2138" s="54" t="s">
        <v>120</v>
      </c>
      <c r="H2138" s="54" t="s">
        <v>3556</v>
      </c>
      <c r="I2138" s="53" t="s">
        <v>125</v>
      </c>
      <c r="J2138" s="54" t="s">
        <v>126</v>
      </c>
      <c r="K2138" s="54" t="s">
        <v>126</v>
      </c>
      <c r="L2138" s="54" t="s">
        <v>12</v>
      </c>
      <c r="M2138" s="54" t="s">
        <v>13</v>
      </c>
      <c r="N2138" s="54" t="s">
        <v>14</v>
      </c>
      <c r="O2138" s="49" t="s">
        <v>803</v>
      </c>
      <c r="P2138" s="54" t="s">
        <v>3392</v>
      </c>
      <c r="Q2138" s="35" t="str">
        <f>MID(Tabla1[[#This Row],[Aplicación]],14,1)</f>
        <v>6</v>
      </c>
      <c r="R2138" s="35" t="s">
        <v>496</v>
      </c>
      <c r="S2138" s="35" t="str">
        <f>MID(Tabla1[[#This Row],[Aplicación]],6,2)</f>
        <v>08</v>
      </c>
      <c r="T2138" s="35" t="str">
        <f>VLOOKUP(Tabla1[[#This Row],[AREA]],Hoja1!A:B,2,FALSE)</f>
        <v>08. Movilidad y espacio urbano</v>
      </c>
      <c r="U2138" s="35" t="str">
        <f>MID(Tabla1[[#This Row],[Aplicación]],9,4)</f>
        <v>1532</v>
      </c>
      <c r="V2138" s="35" t="str">
        <f>VLOOKUP(Tabla1[[#This Row],[PROGRAMA]],Hoja1!A:B,2,FALSE)</f>
        <v>1532. Pavimentación vias públicas y otros servicios urbanísticos</v>
      </c>
      <c r="W2138" s="35" t="str">
        <f>MID(Tabla1[[#This Row],[Aplicación]],14,2)</f>
        <v>61</v>
      </c>
      <c r="X2138" s="35" t="str">
        <f>MID(Tabla1[[#This Row],[Aplicación]],14,6)</f>
        <v>619</v>
      </c>
    </row>
    <row r="2139" spans="1:24" x14ac:dyDescent="0.25">
      <c r="A2139" s="45">
        <v>220210020609</v>
      </c>
      <c r="B2139" s="46" t="s">
        <v>9</v>
      </c>
      <c r="C2139" s="47">
        <v>44322</v>
      </c>
      <c r="D2139" s="45">
        <v>22021003922</v>
      </c>
      <c r="E2139" s="46" t="s">
        <v>1247</v>
      </c>
      <c r="F2139" s="48">
        <v>10000</v>
      </c>
      <c r="G2139" s="54" t="s">
        <v>3557</v>
      </c>
      <c r="H2139" s="54" t="s">
        <v>3558</v>
      </c>
      <c r="I2139" s="53" t="s">
        <v>125</v>
      </c>
      <c r="J2139" s="54" t="s">
        <v>127</v>
      </c>
      <c r="K2139" s="54" t="s">
        <v>127</v>
      </c>
      <c r="L2139" s="54" t="s">
        <v>12</v>
      </c>
      <c r="M2139" s="54" t="s">
        <v>10</v>
      </c>
      <c r="N2139" s="54" t="s">
        <v>11</v>
      </c>
      <c r="O2139" s="49" t="s">
        <v>815</v>
      </c>
      <c r="P2139" s="54" t="s">
        <v>3392</v>
      </c>
      <c r="Q2139" s="35" t="str">
        <f>MID(Tabla1[[#This Row],[Aplicación]],14,1)</f>
        <v>2</v>
      </c>
      <c r="R2139" s="35" t="s">
        <v>495</v>
      </c>
      <c r="S2139" s="35" t="str">
        <f>MID(Tabla1[[#This Row],[Aplicación]],6,2)</f>
        <v>10</v>
      </c>
      <c r="T2139" s="35" t="str">
        <f>VLOOKUP(Tabla1[[#This Row],[AREA]],Hoja1!A:B,2,FALSE)</f>
        <v>10. Servicios sociales y mediación comunitaria</v>
      </c>
      <c r="U2139" s="35" t="str">
        <f>MID(Tabla1[[#This Row],[Aplicación]],9,4)</f>
        <v>2311</v>
      </c>
      <c r="V2139" s="35" t="str">
        <f>VLOOKUP(Tabla1[[#This Row],[PROGRAMA]],Hoja1!A:B,2,FALSE)</f>
        <v>2311. Intervención social</v>
      </c>
      <c r="W2139" s="35" t="str">
        <f>MID(Tabla1[[#This Row],[Aplicación]],14,2)</f>
        <v>22</v>
      </c>
      <c r="X2139" s="35" t="str">
        <f>MID(Tabla1[[#This Row],[Aplicación]],14,6)</f>
        <v>22799</v>
      </c>
    </row>
    <row r="2140" spans="1:24" x14ac:dyDescent="0.25">
      <c r="A2140" s="45">
        <v>220210023574</v>
      </c>
      <c r="B2140" s="46" t="s">
        <v>9</v>
      </c>
      <c r="C2140" s="47">
        <v>44340</v>
      </c>
      <c r="D2140" s="45">
        <v>22021004382</v>
      </c>
      <c r="E2140" s="46" t="s">
        <v>1487</v>
      </c>
      <c r="F2140" s="48">
        <v>626.95000000000005</v>
      </c>
      <c r="G2140" s="54" t="s">
        <v>120</v>
      </c>
      <c r="H2140" s="54" t="s">
        <v>3559</v>
      </c>
      <c r="I2140" s="53" t="s">
        <v>125</v>
      </c>
      <c r="J2140" s="54" t="s">
        <v>126</v>
      </c>
      <c r="K2140" s="54" t="s">
        <v>126</v>
      </c>
      <c r="L2140" s="54" t="s">
        <v>12</v>
      </c>
      <c r="M2140" s="54" t="s">
        <v>13</v>
      </c>
      <c r="N2140" s="54" t="s">
        <v>14</v>
      </c>
      <c r="O2140" s="49" t="s">
        <v>803</v>
      </c>
      <c r="P2140" s="54" t="s">
        <v>3392</v>
      </c>
      <c r="Q2140" s="35" t="str">
        <f>MID(Tabla1[[#This Row],[Aplicación]],14,1)</f>
        <v>6</v>
      </c>
      <c r="R2140" s="35" t="s">
        <v>496</v>
      </c>
      <c r="S2140" s="35" t="str">
        <f>MID(Tabla1[[#This Row],[Aplicación]],6,2)</f>
        <v>08</v>
      </c>
      <c r="T2140" s="35" t="str">
        <f>VLOOKUP(Tabla1[[#This Row],[AREA]],Hoja1!A:B,2,FALSE)</f>
        <v>08. Movilidad y espacio urbano</v>
      </c>
      <c r="U2140" s="35" t="str">
        <f>MID(Tabla1[[#This Row],[Aplicación]],9,4)</f>
        <v>1532</v>
      </c>
      <c r="V2140" s="35" t="str">
        <f>VLOOKUP(Tabla1[[#This Row],[PROGRAMA]],Hoja1!A:B,2,FALSE)</f>
        <v>1532. Pavimentación vias públicas y otros servicios urbanísticos</v>
      </c>
      <c r="W2140" s="35" t="str">
        <f>MID(Tabla1[[#This Row],[Aplicación]],14,2)</f>
        <v>61</v>
      </c>
      <c r="X2140" s="35" t="str">
        <f>MID(Tabla1[[#This Row],[Aplicación]],14,6)</f>
        <v>619</v>
      </c>
    </row>
    <row r="2141" spans="1:24" x14ac:dyDescent="0.25">
      <c r="A2141" s="45">
        <v>220210014688</v>
      </c>
      <c r="B2141" s="46" t="s">
        <v>9</v>
      </c>
      <c r="C2141" s="47">
        <v>44298</v>
      </c>
      <c r="D2141" s="45">
        <v>22021003449</v>
      </c>
      <c r="E2141" s="46" t="s">
        <v>873</v>
      </c>
      <c r="F2141" s="48">
        <v>10000</v>
      </c>
      <c r="G2141" s="54" t="s">
        <v>87</v>
      </c>
      <c r="H2141" s="54" t="s">
        <v>3560</v>
      </c>
      <c r="I2141" s="53" t="s">
        <v>125</v>
      </c>
      <c r="J2141" s="54" t="s">
        <v>127</v>
      </c>
      <c r="K2141" s="54" t="s">
        <v>127</v>
      </c>
      <c r="L2141" s="54" t="s">
        <v>15</v>
      </c>
      <c r="M2141" s="54" t="s">
        <v>10</v>
      </c>
      <c r="N2141" s="54" t="s">
        <v>14</v>
      </c>
      <c r="O2141" s="49" t="s">
        <v>815</v>
      </c>
      <c r="P2141" s="54" t="s">
        <v>3392</v>
      </c>
      <c r="Q2141" s="35" t="str">
        <f>MID(Tabla1[[#This Row],[Aplicación]],14,1)</f>
        <v>2</v>
      </c>
      <c r="R2141" s="35" t="s">
        <v>495</v>
      </c>
      <c r="S2141" s="35" t="str">
        <f>MID(Tabla1[[#This Row],[Aplicación]],6,2)</f>
        <v>10</v>
      </c>
      <c r="T2141" s="35" t="str">
        <f>VLOOKUP(Tabla1[[#This Row],[AREA]],Hoja1!A:B,2,FALSE)</f>
        <v>10. Servicios sociales y mediación comunitaria</v>
      </c>
      <c r="U2141" s="35" t="str">
        <f>MID(Tabla1[[#This Row],[Aplicación]],9,4)</f>
        <v>2412</v>
      </c>
      <c r="V2141" s="35" t="str">
        <f>VLOOKUP(Tabla1[[#This Row],[PROGRAMA]],Hoja1!A:B,2,FALSE)</f>
        <v>2412. Formación para el empleo</v>
      </c>
      <c r="W2141" s="35" t="str">
        <f>MID(Tabla1[[#This Row],[Aplicación]],14,2)</f>
        <v>22</v>
      </c>
      <c r="X2141" s="35" t="str">
        <f>MID(Tabla1[[#This Row],[Aplicación]],14,6)</f>
        <v>22199</v>
      </c>
    </row>
    <row r="2142" spans="1:24" x14ac:dyDescent="0.25">
      <c r="A2142" s="45">
        <v>220210024839</v>
      </c>
      <c r="B2142" s="46" t="s">
        <v>9</v>
      </c>
      <c r="C2142" s="47">
        <v>44341</v>
      </c>
      <c r="D2142" s="45">
        <v>22021004571</v>
      </c>
      <c r="E2142" s="46" t="s">
        <v>1474</v>
      </c>
      <c r="F2142" s="48">
        <v>27.46</v>
      </c>
      <c r="G2142" s="54" t="s">
        <v>120</v>
      </c>
      <c r="H2142" s="54" t="s">
        <v>3561</v>
      </c>
      <c r="I2142" s="53" t="s">
        <v>125</v>
      </c>
      <c r="J2142" s="54" t="s">
        <v>126</v>
      </c>
      <c r="K2142" s="54" t="s">
        <v>126</v>
      </c>
      <c r="L2142" s="54" t="s">
        <v>12</v>
      </c>
      <c r="M2142" s="54" t="s">
        <v>13</v>
      </c>
      <c r="N2142" s="54" t="s">
        <v>14</v>
      </c>
      <c r="O2142" s="49" t="s">
        <v>803</v>
      </c>
      <c r="P2142" s="54" t="s">
        <v>3392</v>
      </c>
      <c r="Q2142" s="35" t="str">
        <f>MID(Tabla1[[#This Row],[Aplicación]],14,1)</f>
        <v>6</v>
      </c>
      <c r="R2142" s="35" t="s">
        <v>496</v>
      </c>
      <c r="S2142" s="35" t="str">
        <f>MID(Tabla1[[#This Row],[Aplicación]],6,2)</f>
        <v>08</v>
      </c>
      <c r="T2142" s="35" t="str">
        <f>VLOOKUP(Tabla1[[#This Row],[AREA]],Hoja1!A:B,2,FALSE)</f>
        <v>08. Movilidad y espacio urbano</v>
      </c>
      <c r="U2142" s="35" t="str">
        <f>MID(Tabla1[[#This Row],[Aplicación]],9,4)</f>
        <v>1651</v>
      </c>
      <c r="V2142" s="35" t="str">
        <f>VLOOKUP(Tabla1[[#This Row],[PROGRAMA]],Hoja1!A:B,2,FALSE)</f>
        <v>1651. Alumbrado público</v>
      </c>
      <c r="W2142" s="35" t="str">
        <f>MID(Tabla1[[#This Row],[Aplicación]],14,2)</f>
        <v>61</v>
      </c>
      <c r="X2142" s="35" t="str">
        <f>MID(Tabla1[[#This Row],[Aplicación]],14,6)</f>
        <v>619</v>
      </c>
    </row>
    <row r="2143" spans="1:24" x14ac:dyDescent="0.25">
      <c r="A2143" s="45">
        <v>220210020090</v>
      </c>
      <c r="B2143" s="46" t="s">
        <v>9</v>
      </c>
      <c r="C2143" s="47">
        <v>44321</v>
      </c>
      <c r="D2143" s="45">
        <v>22021004202</v>
      </c>
      <c r="E2143" s="46" t="s">
        <v>2266</v>
      </c>
      <c r="F2143" s="48">
        <v>9680</v>
      </c>
      <c r="G2143" s="54" t="s">
        <v>3562</v>
      </c>
      <c r="H2143" s="54" t="s">
        <v>3563</v>
      </c>
      <c r="I2143" s="53" t="s">
        <v>125</v>
      </c>
      <c r="J2143" s="54" t="s">
        <v>180</v>
      </c>
      <c r="K2143" s="54" t="s">
        <v>180</v>
      </c>
      <c r="L2143" s="54" t="s">
        <v>12</v>
      </c>
      <c r="M2143" s="54" t="s">
        <v>10</v>
      </c>
      <c r="N2143" s="54" t="s">
        <v>11</v>
      </c>
      <c r="O2143" s="49" t="s">
        <v>815</v>
      </c>
      <c r="P2143" s="54" t="s">
        <v>3392</v>
      </c>
      <c r="Q2143" s="35" t="str">
        <f>MID(Tabla1[[#This Row],[Aplicación]],14,1)</f>
        <v>2</v>
      </c>
      <c r="R2143" s="35" t="s">
        <v>495</v>
      </c>
      <c r="S2143" s="35" t="str">
        <f>MID(Tabla1[[#This Row],[Aplicación]],6,2)</f>
        <v>11</v>
      </c>
      <c r="T2143" s="35" t="str">
        <f>VLOOKUP(Tabla1[[#This Row],[AREA]],Hoja1!A:B,2,FALSE)</f>
        <v>11. Salud pública y seguridad ciudadana</v>
      </c>
      <c r="U2143" s="35" t="str">
        <f>MID(Tabla1[[#This Row],[Aplicación]],9,4)</f>
        <v>3111</v>
      </c>
      <c r="V2143" s="35" t="str">
        <f>VLOOKUP(Tabla1[[#This Row],[PROGRAMA]],Hoja1!A:B,2,FALSE)</f>
        <v>3111. Protección de la salubridad pública</v>
      </c>
      <c r="W2143" s="35" t="str">
        <f>MID(Tabla1[[#This Row],[Aplicación]],14,2)</f>
        <v>22</v>
      </c>
      <c r="X2143" s="35" t="str">
        <f>MID(Tabla1[[#This Row],[Aplicación]],14,6)</f>
        <v>22799</v>
      </c>
    </row>
    <row r="2144" spans="1:24" x14ac:dyDescent="0.25">
      <c r="A2144" s="45">
        <v>220210029813</v>
      </c>
      <c r="B2144" s="46" t="s">
        <v>9</v>
      </c>
      <c r="C2144" s="47">
        <v>44356</v>
      </c>
      <c r="D2144" s="45">
        <v>22021004739</v>
      </c>
      <c r="E2144" s="46" t="s">
        <v>1483</v>
      </c>
      <c r="F2144" s="48">
        <v>9667.9</v>
      </c>
      <c r="G2144" s="54" t="s">
        <v>2664</v>
      </c>
      <c r="H2144" s="54" t="s">
        <v>3564</v>
      </c>
      <c r="I2144" s="53" t="s">
        <v>125</v>
      </c>
      <c r="J2144" s="54" t="s">
        <v>127</v>
      </c>
      <c r="K2144" s="54" t="s">
        <v>127</v>
      </c>
      <c r="L2144" s="54" t="s">
        <v>12</v>
      </c>
      <c r="M2144" s="54" t="s">
        <v>10</v>
      </c>
      <c r="N2144" s="54" t="s">
        <v>11</v>
      </c>
      <c r="O2144" s="49" t="s">
        <v>815</v>
      </c>
      <c r="P2144" s="54" t="s">
        <v>3392</v>
      </c>
      <c r="Q2144" s="35" t="str">
        <f>MID(Tabla1[[#This Row],[Aplicación]],14,1)</f>
        <v>6</v>
      </c>
      <c r="R2144" s="35" t="s">
        <v>496</v>
      </c>
      <c r="S2144" s="35" t="str">
        <f>MID(Tabla1[[#This Row],[Aplicación]],6,2)</f>
        <v>03</v>
      </c>
      <c r="T2144" s="35" t="str">
        <f>VLOOKUP(Tabla1[[#This Row],[AREA]],Hoja1!A:B,2,FALSE)</f>
        <v>03. Participación ciudadana y deportes</v>
      </c>
      <c r="U2144" s="35" t="str">
        <f>MID(Tabla1[[#This Row],[Aplicación]],9,4)</f>
        <v>9241</v>
      </c>
      <c r="V2144" s="35" t="str">
        <f>VLOOKUP(Tabla1[[#This Row],[PROGRAMA]],Hoja1!A:B,2,FALSE)</f>
        <v>9241. Participación ciudadana</v>
      </c>
      <c r="W2144" s="35" t="str">
        <f>MID(Tabla1[[#This Row],[Aplicación]],14,2)</f>
        <v>63</v>
      </c>
      <c r="X2144" s="35" t="str">
        <f>MID(Tabla1[[#This Row],[Aplicación]],14,6)</f>
        <v>632</v>
      </c>
    </row>
    <row r="2145" spans="1:24" x14ac:dyDescent="0.25">
      <c r="A2145" s="45">
        <v>220210023173</v>
      </c>
      <c r="B2145" s="46" t="s">
        <v>32</v>
      </c>
      <c r="C2145" s="47">
        <v>44335</v>
      </c>
      <c r="D2145" s="45">
        <v>22021002764</v>
      </c>
      <c r="E2145" s="46" t="s">
        <v>1474</v>
      </c>
      <c r="F2145" s="48">
        <v>1313.08</v>
      </c>
      <c r="G2145" s="54" t="s">
        <v>3565</v>
      </c>
      <c r="H2145" s="54" t="s">
        <v>3566</v>
      </c>
      <c r="I2145" s="53" t="s">
        <v>234</v>
      </c>
      <c r="J2145" s="54" t="s">
        <v>127</v>
      </c>
      <c r="K2145" s="54" t="s">
        <v>127</v>
      </c>
      <c r="L2145" s="54" t="s">
        <v>31</v>
      </c>
      <c r="M2145" s="54" t="s">
        <v>13</v>
      </c>
      <c r="N2145" s="54" t="s">
        <v>11</v>
      </c>
      <c r="O2145" s="49" t="s">
        <v>803</v>
      </c>
      <c r="P2145" s="54" t="s">
        <v>3392</v>
      </c>
      <c r="Q2145" s="35" t="str">
        <f>MID(Tabla1[[#This Row],[Aplicación]],14,1)</f>
        <v>6</v>
      </c>
      <c r="R2145" s="35" t="s">
        <v>496</v>
      </c>
      <c r="S2145" s="35" t="str">
        <f>MID(Tabla1[[#This Row],[Aplicación]],6,2)</f>
        <v>08</v>
      </c>
      <c r="T2145" s="35" t="str">
        <f>VLOOKUP(Tabla1[[#This Row],[AREA]],Hoja1!A:B,2,FALSE)</f>
        <v>08. Movilidad y espacio urbano</v>
      </c>
      <c r="U2145" s="35" t="str">
        <f>MID(Tabla1[[#This Row],[Aplicación]],9,4)</f>
        <v>1651</v>
      </c>
      <c r="V2145" s="35" t="str">
        <f>VLOOKUP(Tabla1[[#This Row],[PROGRAMA]],Hoja1!A:B,2,FALSE)</f>
        <v>1651. Alumbrado público</v>
      </c>
      <c r="W2145" s="35" t="str">
        <f>MID(Tabla1[[#This Row],[Aplicación]],14,2)</f>
        <v>61</v>
      </c>
      <c r="X2145" s="35" t="str">
        <f>MID(Tabla1[[#This Row],[Aplicación]],14,6)</f>
        <v>619</v>
      </c>
    </row>
    <row r="2146" spans="1:24" x14ac:dyDescent="0.25">
      <c r="A2146" s="45">
        <v>220210025617</v>
      </c>
      <c r="B2146" s="46" t="s">
        <v>204</v>
      </c>
      <c r="C2146" s="47">
        <v>44342</v>
      </c>
      <c r="D2146" s="45">
        <v>22021003374</v>
      </c>
      <c r="E2146" s="46" t="s">
        <v>3313</v>
      </c>
      <c r="F2146" s="48">
        <v>32482.66</v>
      </c>
      <c r="G2146" s="54" t="s">
        <v>3567</v>
      </c>
      <c r="H2146" s="54" t="s">
        <v>3568</v>
      </c>
      <c r="I2146" s="53" t="s">
        <v>205</v>
      </c>
      <c r="J2146" s="54" t="s">
        <v>127</v>
      </c>
      <c r="K2146" s="54" t="s">
        <v>127</v>
      </c>
      <c r="L2146" s="54" t="s">
        <v>15</v>
      </c>
      <c r="M2146" s="54" t="s">
        <v>13</v>
      </c>
      <c r="N2146" s="54" t="s">
        <v>16</v>
      </c>
      <c r="O2146" s="49" t="s">
        <v>803</v>
      </c>
      <c r="P2146" s="54" t="s">
        <v>3392</v>
      </c>
      <c r="Q2146" s="35" t="str">
        <f>MID(Tabla1[[#This Row],[Aplicación]],14,1)</f>
        <v>6</v>
      </c>
      <c r="R2146" s="35" t="s">
        <v>496</v>
      </c>
      <c r="S2146" s="35" t="str">
        <f>MID(Tabla1[[#This Row],[Aplicación]],6,2)</f>
        <v>06</v>
      </c>
      <c r="T2146" s="35" t="str">
        <f>VLOOKUP(Tabla1[[#This Row],[AREA]],Hoja1!A:B,2,FALSE)</f>
        <v>06. Educación, infancia, juventud e igualdad</v>
      </c>
      <c r="U2146" s="35" t="str">
        <f>MID(Tabla1[[#This Row],[Aplicación]],9,4)</f>
        <v>3232</v>
      </c>
      <c r="V2146" s="35" t="str">
        <f>VLOOKUP(Tabla1[[#This Row],[PROGRAMA]],Hoja1!A:B,2,FALSE)</f>
        <v>3232. Conservación y mantenimiento centros educación infantil y primaria</v>
      </c>
      <c r="W2146" s="35" t="str">
        <f>MID(Tabla1[[#This Row],[Aplicación]],14,2)</f>
        <v>63</v>
      </c>
      <c r="X2146" s="35" t="str">
        <f>MID(Tabla1[[#This Row],[Aplicación]],14,6)</f>
        <v>633</v>
      </c>
    </row>
    <row r="2147" spans="1:24" x14ac:dyDescent="0.25">
      <c r="A2147" s="45">
        <v>220210028565</v>
      </c>
      <c r="B2147" s="46" t="s">
        <v>9</v>
      </c>
      <c r="C2147" s="47">
        <v>44350</v>
      </c>
      <c r="D2147" s="45">
        <v>22021004566</v>
      </c>
      <c r="E2147" s="46" t="s">
        <v>1286</v>
      </c>
      <c r="F2147" s="48">
        <v>9196</v>
      </c>
      <c r="G2147" s="54" t="s">
        <v>296</v>
      </c>
      <c r="H2147" s="54" t="s">
        <v>3569</v>
      </c>
      <c r="I2147" s="53" t="s">
        <v>125</v>
      </c>
      <c r="J2147" s="54" t="s">
        <v>719</v>
      </c>
      <c r="K2147" s="54" t="s">
        <v>126</v>
      </c>
      <c r="L2147" s="54" t="s">
        <v>15</v>
      </c>
      <c r="M2147" s="54" t="s">
        <v>10</v>
      </c>
      <c r="N2147" s="54" t="s">
        <v>11</v>
      </c>
      <c r="O2147" s="49" t="s">
        <v>815</v>
      </c>
      <c r="P2147" s="54" t="s">
        <v>3392</v>
      </c>
      <c r="Q2147" s="35" t="str">
        <f>MID(Tabla1[[#This Row],[Aplicación]],14,1)</f>
        <v>6</v>
      </c>
      <c r="R2147" s="35" t="s">
        <v>496</v>
      </c>
      <c r="S2147" s="35" t="str">
        <f>MID(Tabla1[[#This Row],[Aplicación]],6,2)</f>
        <v>04</v>
      </c>
      <c r="T2147" s="35" t="str">
        <f>VLOOKUP(Tabla1[[#This Row],[AREA]],Hoja1!A:B,2,FALSE)</f>
        <v>04. Planificación y recursos</v>
      </c>
      <c r="U2147" s="35" t="str">
        <f>MID(Tabla1[[#This Row],[Aplicación]],9,4)</f>
        <v>9204</v>
      </c>
      <c r="V2147" s="35" t="str">
        <f>VLOOKUP(Tabla1[[#This Row],[PROGRAMA]],Hoja1!A:B,2,FALSE)</f>
        <v>9204. Tecnologías de la información y comunicación</v>
      </c>
      <c r="W2147" s="35" t="str">
        <f>MID(Tabla1[[#This Row],[Aplicación]],14,2)</f>
        <v>64</v>
      </c>
      <c r="X2147" s="35" t="str">
        <f>MID(Tabla1[[#This Row],[Aplicación]],14,6)</f>
        <v>641</v>
      </c>
    </row>
    <row r="2148" spans="1:24" x14ac:dyDescent="0.25">
      <c r="A2148" s="45">
        <v>220210023538</v>
      </c>
      <c r="B2148" s="46" t="s">
        <v>204</v>
      </c>
      <c r="C2148" s="47">
        <v>44336</v>
      </c>
      <c r="D2148" s="45">
        <v>22021002203</v>
      </c>
      <c r="E2148" s="46" t="s">
        <v>1220</v>
      </c>
      <c r="F2148" s="48">
        <v>19509.96</v>
      </c>
      <c r="G2148" s="54" t="s">
        <v>53</v>
      </c>
      <c r="H2148" s="54" t="s">
        <v>3570</v>
      </c>
      <c r="I2148" s="53" t="s">
        <v>205</v>
      </c>
      <c r="J2148" s="54" t="s">
        <v>127</v>
      </c>
      <c r="K2148" s="54" t="s">
        <v>127</v>
      </c>
      <c r="L2148" s="54" t="s">
        <v>12</v>
      </c>
      <c r="M2148" s="54" t="s">
        <v>13</v>
      </c>
      <c r="N2148" s="54" t="s">
        <v>16</v>
      </c>
      <c r="O2148" s="49" t="s">
        <v>803</v>
      </c>
      <c r="P2148" s="54" t="s">
        <v>3392</v>
      </c>
      <c r="Q2148" s="35" t="str">
        <f>MID(Tabla1[[#This Row],[Aplicación]],14,1)</f>
        <v>2</v>
      </c>
      <c r="R2148" s="35" t="s">
        <v>495</v>
      </c>
      <c r="S2148" s="35" t="str">
        <f>MID(Tabla1[[#This Row],[Aplicación]],6,2)</f>
        <v>03</v>
      </c>
      <c r="T2148" s="35" t="str">
        <f>VLOOKUP(Tabla1[[#This Row],[AREA]],Hoja1!A:B,2,FALSE)</f>
        <v>03. Participación ciudadana y deportes</v>
      </c>
      <c r="U2148" s="35" t="str">
        <f>MID(Tabla1[[#This Row],[Aplicación]],9,4)</f>
        <v>9241</v>
      </c>
      <c r="V2148" s="35" t="str">
        <f>VLOOKUP(Tabla1[[#This Row],[PROGRAMA]],Hoja1!A:B,2,FALSE)</f>
        <v>9241. Participación ciudadana</v>
      </c>
      <c r="W2148" s="35" t="str">
        <f>MID(Tabla1[[#This Row],[Aplicación]],14,2)</f>
        <v>21</v>
      </c>
      <c r="X2148" s="35" t="str">
        <f>MID(Tabla1[[#This Row],[Aplicación]],14,6)</f>
        <v>213</v>
      </c>
    </row>
    <row r="2149" spans="1:24" x14ac:dyDescent="0.25">
      <c r="A2149" s="45">
        <v>220210014570</v>
      </c>
      <c r="B2149" s="46" t="s">
        <v>9</v>
      </c>
      <c r="C2149" s="47">
        <v>44298</v>
      </c>
      <c r="D2149" s="45">
        <v>22021003801</v>
      </c>
      <c r="E2149" s="46" t="s">
        <v>1263</v>
      </c>
      <c r="F2149" s="48">
        <v>300</v>
      </c>
      <c r="G2149" s="54" t="s">
        <v>53</v>
      </c>
      <c r="H2149" s="54" t="s">
        <v>3571</v>
      </c>
      <c r="I2149" s="53" t="s">
        <v>125</v>
      </c>
      <c r="J2149" s="54" t="s">
        <v>127</v>
      </c>
      <c r="K2149" s="54" t="s">
        <v>127</v>
      </c>
      <c r="L2149" s="54" t="s">
        <v>12</v>
      </c>
      <c r="M2149" s="54" t="s">
        <v>13</v>
      </c>
      <c r="N2149" s="54" t="s">
        <v>16</v>
      </c>
      <c r="O2149" s="49" t="s">
        <v>803</v>
      </c>
      <c r="P2149" s="54" t="s">
        <v>3392</v>
      </c>
      <c r="Q2149" s="35" t="str">
        <f>MID(Tabla1[[#This Row],[Aplicación]],14,1)</f>
        <v>2</v>
      </c>
      <c r="R2149" s="35" t="s">
        <v>495</v>
      </c>
      <c r="S2149" s="35" t="str">
        <f>MID(Tabla1[[#This Row],[Aplicación]],6,2)</f>
        <v>02</v>
      </c>
      <c r="T2149" s="35" t="str">
        <f>VLOOKUP(Tabla1[[#This Row],[AREA]],Hoja1!A:B,2,FALSE)</f>
        <v>02. Planeamiento urbanístico y vivienda</v>
      </c>
      <c r="U2149" s="35" t="str">
        <f>MID(Tabla1[[#This Row],[Aplicación]],9,4)</f>
        <v>9332</v>
      </c>
      <c r="V2149" s="35" t="str">
        <f>VLOOKUP(Tabla1[[#This Row],[PROGRAMA]],Hoja1!A:B,2,FALSE)</f>
        <v>9332. Mantenimiento de edificios e instalaciones municipales</v>
      </c>
      <c r="W2149" s="35" t="str">
        <f>MID(Tabla1[[#This Row],[Aplicación]],14,2)</f>
        <v>21</v>
      </c>
      <c r="X2149" s="35" t="str">
        <f>MID(Tabla1[[#This Row],[Aplicación]],14,6)</f>
        <v>213</v>
      </c>
    </row>
    <row r="2150" spans="1:24" x14ac:dyDescent="0.25">
      <c r="A2150" s="45">
        <v>220210033081</v>
      </c>
      <c r="B2150" s="46" t="s">
        <v>204</v>
      </c>
      <c r="C2150" s="47">
        <v>44376</v>
      </c>
      <c r="D2150" s="45">
        <v>22021001178</v>
      </c>
      <c r="E2150" s="46" t="s">
        <v>1487</v>
      </c>
      <c r="F2150" s="48">
        <v>60500</v>
      </c>
      <c r="G2150" s="54" t="s">
        <v>2262</v>
      </c>
      <c r="H2150" s="54" t="s">
        <v>3572</v>
      </c>
      <c r="I2150" s="53" t="s">
        <v>205</v>
      </c>
      <c r="J2150" s="54" t="s">
        <v>127</v>
      </c>
      <c r="K2150" s="54" t="s">
        <v>127</v>
      </c>
      <c r="L2150" s="54" t="s">
        <v>12</v>
      </c>
      <c r="M2150" s="54" t="s">
        <v>13</v>
      </c>
      <c r="N2150" s="54" t="s">
        <v>14</v>
      </c>
      <c r="O2150" s="49" t="s">
        <v>803</v>
      </c>
      <c r="P2150" s="54" t="s">
        <v>3392</v>
      </c>
      <c r="Q2150" s="35" t="str">
        <f>MID(Tabla1[[#This Row],[Aplicación]],14,1)</f>
        <v>6</v>
      </c>
      <c r="R2150" s="35" t="s">
        <v>496</v>
      </c>
      <c r="S2150" s="35" t="str">
        <f>MID(Tabla1[[#This Row],[Aplicación]],6,2)</f>
        <v>08</v>
      </c>
      <c r="T2150" s="35" t="str">
        <f>VLOOKUP(Tabla1[[#This Row],[AREA]],Hoja1!A:B,2,FALSE)</f>
        <v>08. Movilidad y espacio urbano</v>
      </c>
      <c r="U2150" s="35" t="str">
        <f>MID(Tabla1[[#This Row],[Aplicación]],9,4)</f>
        <v>1532</v>
      </c>
      <c r="V2150" s="35" t="str">
        <f>VLOOKUP(Tabla1[[#This Row],[PROGRAMA]],Hoja1!A:B,2,FALSE)</f>
        <v>1532. Pavimentación vias públicas y otros servicios urbanísticos</v>
      </c>
      <c r="W2150" s="35" t="str">
        <f>MID(Tabla1[[#This Row],[Aplicación]],14,2)</f>
        <v>61</v>
      </c>
      <c r="X2150" s="35" t="str">
        <f>MID(Tabla1[[#This Row],[Aplicación]],14,6)</f>
        <v>619</v>
      </c>
    </row>
    <row r="2151" spans="1:24" x14ac:dyDescent="0.25">
      <c r="A2151" s="45">
        <v>220210031799</v>
      </c>
      <c r="B2151" s="46" t="s">
        <v>9</v>
      </c>
      <c r="C2151" s="47">
        <v>44369</v>
      </c>
      <c r="D2151" s="45">
        <v>22021003436</v>
      </c>
      <c r="E2151" s="46" t="s">
        <v>1172</v>
      </c>
      <c r="F2151" s="48">
        <v>7769</v>
      </c>
      <c r="G2151" s="54" t="s">
        <v>53</v>
      </c>
      <c r="H2151" s="54" t="s">
        <v>3573</v>
      </c>
      <c r="I2151" s="53" t="s">
        <v>125</v>
      </c>
      <c r="J2151" s="54" t="s">
        <v>127</v>
      </c>
      <c r="K2151" s="54" t="s">
        <v>127</v>
      </c>
      <c r="L2151" s="54" t="s">
        <v>12</v>
      </c>
      <c r="M2151" s="54" t="s">
        <v>10</v>
      </c>
      <c r="N2151" s="54" t="s">
        <v>11</v>
      </c>
      <c r="O2151" s="49" t="s">
        <v>815</v>
      </c>
      <c r="P2151" s="54" t="s">
        <v>3392</v>
      </c>
      <c r="Q2151" s="35" t="str">
        <f>MID(Tabla1[[#This Row],[Aplicación]],14,1)</f>
        <v>6</v>
      </c>
      <c r="R2151" s="35" t="s">
        <v>496</v>
      </c>
      <c r="S2151" s="35" t="str">
        <f>MID(Tabla1[[#This Row],[Aplicación]],6,2)</f>
        <v>02</v>
      </c>
      <c r="T2151" s="35" t="str">
        <f>VLOOKUP(Tabla1[[#This Row],[AREA]],Hoja1!A:B,2,FALSE)</f>
        <v>02. Planeamiento urbanístico y vivienda</v>
      </c>
      <c r="U2151" s="35" t="str">
        <f>MID(Tabla1[[#This Row],[Aplicación]],9,4)</f>
        <v>9332</v>
      </c>
      <c r="V2151" s="35" t="str">
        <f>VLOOKUP(Tabla1[[#This Row],[PROGRAMA]],Hoja1!A:B,2,FALSE)</f>
        <v>9332. Mantenimiento de edificios e instalaciones municipales</v>
      </c>
      <c r="W2151" s="35" t="str">
        <f>MID(Tabla1[[#This Row],[Aplicación]],14,2)</f>
        <v>63</v>
      </c>
      <c r="X2151" s="35" t="str">
        <f>MID(Tabla1[[#This Row],[Aplicación]],14,6)</f>
        <v>632</v>
      </c>
    </row>
    <row r="2152" spans="1:24" x14ac:dyDescent="0.25">
      <c r="A2152" s="45">
        <v>220210026136</v>
      </c>
      <c r="B2152" s="46" t="s">
        <v>9</v>
      </c>
      <c r="C2152" s="47">
        <v>44347</v>
      </c>
      <c r="D2152" s="45">
        <v>22021002514</v>
      </c>
      <c r="E2152" s="46" t="s">
        <v>1270</v>
      </c>
      <c r="F2152" s="48">
        <v>824957.43</v>
      </c>
      <c r="G2152" s="54" t="s">
        <v>3574</v>
      </c>
      <c r="H2152" s="54" t="s">
        <v>3575</v>
      </c>
      <c r="I2152" s="53" t="s">
        <v>125</v>
      </c>
      <c r="J2152" s="54" t="s">
        <v>126</v>
      </c>
      <c r="K2152" s="54" t="s">
        <v>126</v>
      </c>
      <c r="L2152" s="54" t="s">
        <v>15</v>
      </c>
      <c r="M2152" s="54" t="s">
        <v>13</v>
      </c>
      <c r="N2152" s="54" t="s">
        <v>14</v>
      </c>
      <c r="O2152" s="49" t="s">
        <v>803</v>
      </c>
      <c r="P2152" s="54" t="s">
        <v>3392</v>
      </c>
      <c r="Q2152" s="35" t="str">
        <f>MID(Tabla1[[#This Row],[Aplicación]],14,1)</f>
        <v>6</v>
      </c>
      <c r="R2152" s="35" t="s">
        <v>496</v>
      </c>
      <c r="S2152" s="35" t="str">
        <f>MID(Tabla1[[#This Row],[Aplicación]],6,2)</f>
        <v>11</v>
      </c>
      <c r="T2152" s="35" t="str">
        <f>VLOOKUP(Tabla1[[#This Row],[AREA]],Hoja1!A:B,2,FALSE)</f>
        <v>11. Salud pública y seguridad ciudadana</v>
      </c>
      <c r="U2152" s="35" t="str">
        <f>MID(Tabla1[[#This Row],[Aplicación]],9,4)</f>
        <v>1621</v>
      </c>
      <c r="V2152" s="35" t="str">
        <f>VLOOKUP(Tabla1[[#This Row],[PROGRAMA]],Hoja1!A:B,2,FALSE)</f>
        <v>1621. Servicio de limpieza</v>
      </c>
      <c r="W2152" s="35" t="str">
        <f>MID(Tabla1[[#This Row],[Aplicación]],14,2)</f>
        <v>63</v>
      </c>
      <c r="X2152" s="35" t="str">
        <f>MID(Tabla1[[#This Row],[Aplicación]],14,6)</f>
        <v>634</v>
      </c>
    </row>
    <row r="2153" spans="1:24" x14ac:dyDescent="0.25">
      <c r="A2153" s="45">
        <v>220210026137</v>
      </c>
      <c r="B2153" s="46" t="s">
        <v>9</v>
      </c>
      <c r="C2153" s="47">
        <v>44347</v>
      </c>
      <c r="D2153" s="45">
        <v>22021003782</v>
      </c>
      <c r="E2153" s="46" t="s">
        <v>1270</v>
      </c>
      <c r="F2153" s="48">
        <v>824957.43</v>
      </c>
      <c r="G2153" s="54" t="s">
        <v>3574</v>
      </c>
      <c r="H2153" s="54" t="s">
        <v>3576</v>
      </c>
      <c r="I2153" s="53" t="s">
        <v>125</v>
      </c>
      <c r="J2153" s="54" t="s">
        <v>126</v>
      </c>
      <c r="K2153" s="54" t="s">
        <v>126</v>
      </c>
      <c r="L2153" s="54" t="s">
        <v>15</v>
      </c>
      <c r="M2153" s="54" t="s">
        <v>13</v>
      </c>
      <c r="N2153" s="54" t="s">
        <v>14</v>
      </c>
      <c r="O2153" s="49" t="s">
        <v>803</v>
      </c>
      <c r="P2153" s="54" t="s">
        <v>3392</v>
      </c>
      <c r="Q2153" s="35" t="str">
        <f>MID(Tabla1[[#This Row],[Aplicación]],14,1)</f>
        <v>6</v>
      </c>
      <c r="R2153" s="35" t="s">
        <v>496</v>
      </c>
      <c r="S2153" s="35" t="str">
        <f>MID(Tabla1[[#This Row],[Aplicación]],6,2)</f>
        <v>11</v>
      </c>
      <c r="T2153" s="35" t="str">
        <f>VLOOKUP(Tabla1[[#This Row],[AREA]],Hoja1!A:B,2,FALSE)</f>
        <v>11. Salud pública y seguridad ciudadana</v>
      </c>
      <c r="U2153" s="35" t="str">
        <f>MID(Tabla1[[#This Row],[Aplicación]],9,4)</f>
        <v>1621</v>
      </c>
      <c r="V2153" s="35" t="str">
        <f>VLOOKUP(Tabla1[[#This Row],[PROGRAMA]],Hoja1!A:B,2,FALSE)</f>
        <v>1621. Servicio de limpieza</v>
      </c>
      <c r="W2153" s="35" t="str">
        <f>MID(Tabla1[[#This Row],[Aplicación]],14,2)</f>
        <v>63</v>
      </c>
      <c r="X2153" s="35" t="str">
        <f>MID(Tabla1[[#This Row],[Aplicación]],14,6)</f>
        <v>634</v>
      </c>
    </row>
    <row r="2154" spans="1:24" x14ac:dyDescent="0.25">
      <c r="A2154" s="45">
        <v>220210025549</v>
      </c>
      <c r="B2154" s="46" t="s">
        <v>9</v>
      </c>
      <c r="C2154" s="47">
        <v>44342</v>
      </c>
      <c r="D2154" s="45">
        <v>22021002929</v>
      </c>
      <c r="E2154" s="46" t="s">
        <v>3161</v>
      </c>
      <c r="F2154" s="48">
        <v>2420</v>
      </c>
      <c r="G2154" s="54" t="s">
        <v>3577</v>
      </c>
      <c r="H2154" s="54" t="s">
        <v>3578</v>
      </c>
      <c r="I2154" s="53" t="s">
        <v>125</v>
      </c>
      <c r="J2154" s="54" t="s">
        <v>674</v>
      </c>
      <c r="K2154" s="54" t="s">
        <v>127</v>
      </c>
      <c r="L2154" s="54" t="s">
        <v>31</v>
      </c>
      <c r="M2154" s="54" t="s">
        <v>13</v>
      </c>
      <c r="N2154" s="54" t="s">
        <v>14</v>
      </c>
      <c r="O2154" s="49" t="s">
        <v>803</v>
      </c>
      <c r="P2154" s="54" t="s">
        <v>3392</v>
      </c>
      <c r="Q2154" s="35" t="str">
        <f>MID(Tabla1[[#This Row],[Aplicación]],14,1)</f>
        <v>6</v>
      </c>
      <c r="R2154" s="35" t="s">
        <v>496</v>
      </c>
      <c r="S2154" s="35" t="str">
        <f>MID(Tabla1[[#This Row],[Aplicación]],6,2)</f>
        <v>10</v>
      </c>
      <c r="T2154" s="35" t="str">
        <f>VLOOKUP(Tabla1[[#This Row],[AREA]],Hoja1!A:B,2,FALSE)</f>
        <v>10. Servicios sociales y mediación comunitaria</v>
      </c>
      <c r="U2154" s="35" t="str">
        <f>MID(Tabla1[[#This Row],[Aplicación]],9,4)</f>
        <v>2312</v>
      </c>
      <c r="V2154" s="35" t="str">
        <f>VLOOKUP(Tabla1[[#This Row],[PROGRAMA]],Hoja1!A:B,2,FALSE)</f>
        <v>2312. Iniciativas sociales</v>
      </c>
      <c r="W2154" s="35" t="str">
        <f>MID(Tabla1[[#This Row],[Aplicación]],14,2)</f>
        <v>63</v>
      </c>
      <c r="X2154" s="35" t="str">
        <f>MID(Tabla1[[#This Row],[Aplicación]],14,6)</f>
        <v>632</v>
      </c>
    </row>
    <row r="2155" spans="1:24" x14ac:dyDescent="0.25">
      <c r="A2155" s="45">
        <v>220210016074</v>
      </c>
      <c r="B2155" s="46" t="s">
        <v>9</v>
      </c>
      <c r="C2155" s="47">
        <v>44305</v>
      </c>
      <c r="D2155" s="45">
        <v>22021003967</v>
      </c>
      <c r="E2155" s="46" t="s">
        <v>941</v>
      </c>
      <c r="F2155" s="48">
        <v>7260</v>
      </c>
      <c r="G2155" s="54" t="s">
        <v>70</v>
      </c>
      <c r="H2155" s="54" t="s">
        <v>3579</v>
      </c>
      <c r="I2155" s="53" t="s">
        <v>125</v>
      </c>
      <c r="J2155" s="54" t="s">
        <v>127</v>
      </c>
      <c r="K2155" s="54" t="s">
        <v>127</v>
      </c>
      <c r="L2155" s="54" t="s">
        <v>12</v>
      </c>
      <c r="M2155" s="54" t="s">
        <v>10</v>
      </c>
      <c r="N2155" s="54" t="s">
        <v>16</v>
      </c>
      <c r="O2155" s="49" t="s">
        <v>815</v>
      </c>
      <c r="P2155" s="54" t="s">
        <v>3392</v>
      </c>
      <c r="Q2155" s="35" t="str">
        <f>MID(Tabla1[[#This Row],[Aplicación]],14,1)</f>
        <v>2</v>
      </c>
      <c r="R2155" s="35" t="s">
        <v>495</v>
      </c>
      <c r="S2155" s="35" t="str">
        <f>MID(Tabla1[[#This Row],[Aplicación]],6,2)</f>
        <v>06</v>
      </c>
      <c r="T2155" s="35" t="str">
        <f>VLOOKUP(Tabla1[[#This Row],[AREA]],Hoja1!A:B,2,FALSE)</f>
        <v>06. Educación, infancia, juventud e igualdad</v>
      </c>
      <c r="U2155" s="35" t="str">
        <f>MID(Tabla1[[#This Row],[Aplicación]],9,4)</f>
        <v>3232</v>
      </c>
      <c r="V2155" s="35" t="str">
        <f>VLOOKUP(Tabla1[[#This Row],[PROGRAMA]],Hoja1!A:B,2,FALSE)</f>
        <v>3232. Conservación y mantenimiento centros educación infantil y primaria</v>
      </c>
      <c r="W2155" s="35" t="str">
        <f>MID(Tabla1[[#This Row],[Aplicación]],14,2)</f>
        <v>21</v>
      </c>
      <c r="X2155" s="35" t="str">
        <f>MID(Tabla1[[#This Row],[Aplicación]],14,6)</f>
        <v>213</v>
      </c>
    </row>
    <row r="2156" spans="1:24" x14ac:dyDescent="0.25">
      <c r="A2156" s="45">
        <v>220210015511</v>
      </c>
      <c r="B2156" s="46" t="s">
        <v>9</v>
      </c>
      <c r="C2156" s="47">
        <v>44300</v>
      </c>
      <c r="D2156" s="45">
        <v>22021003876</v>
      </c>
      <c r="E2156" s="46" t="s">
        <v>3317</v>
      </c>
      <c r="F2156" s="48">
        <v>7260</v>
      </c>
      <c r="G2156" s="54" t="s">
        <v>3580</v>
      </c>
      <c r="H2156" s="54" t="s">
        <v>3581</v>
      </c>
      <c r="I2156" s="53" t="s">
        <v>125</v>
      </c>
      <c r="J2156" s="54" t="s">
        <v>127</v>
      </c>
      <c r="K2156" s="54" t="s">
        <v>127</v>
      </c>
      <c r="L2156" s="54" t="s">
        <v>12</v>
      </c>
      <c r="M2156" s="54" t="s">
        <v>10</v>
      </c>
      <c r="N2156" s="54" t="s">
        <v>11</v>
      </c>
      <c r="O2156" s="49" t="s">
        <v>815</v>
      </c>
      <c r="P2156" s="54" t="s">
        <v>3392</v>
      </c>
      <c r="Q2156" s="35" t="str">
        <f>MID(Tabla1[[#This Row],[Aplicación]],14,1)</f>
        <v>2</v>
      </c>
      <c r="R2156" s="35" t="s">
        <v>495</v>
      </c>
      <c r="S2156" s="35" t="str">
        <f>MID(Tabla1[[#This Row],[Aplicación]],6,2)</f>
        <v>03</v>
      </c>
      <c r="T2156" s="35" t="str">
        <f>VLOOKUP(Tabla1[[#This Row],[AREA]],Hoja1!A:B,2,FALSE)</f>
        <v>03. Participación ciudadana y deportes</v>
      </c>
      <c r="U2156" s="35" t="str">
        <f>MID(Tabla1[[#This Row],[Aplicación]],9,4)</f>
        <v>9241</v>
      </c>
      <c r="V2156" s="35" t="str">
        <f>VLOOKUP(Tabla1[[#This Row],[PROGRAMA]],Hoja1!A:B,2,FALSE)</f>
        <v>9241. Participación ciudadana</v>
      </c>
      <c r="W2156" s="35" t="str">
        <f>MID(Tabla1[[#This Row],[Aplicación]],14,2)</f>
        <v>22</v>
      </c>
      <c r="X2156" s="35" t="str">
        <f>MID(Tabla1[[#This Row],[Aplicación]],14,6)</f>
        <v>22706</v>
      </c>
    </row>
    <row r="2157" spans="1:24" x14ac:dyDescent="0.25">
      <c r="A2157" s="45">
        <v>220210014697</v>
      </c>
      <c r="B2157" s="46" t="s">
        <v>9</v>
      </c>
      <c r="C2157" s="47">
        <v>44299</v>
      </c>
      <c r="D2157" s="45">
        <v>22021003594</v>
      </c>
      <c r="E2157" s="46" t="s">
        <v>1187</v>
      </c>
      <c r="F2157" s="48">
        <v>7260</v>
      </c>
      <c r="G2157" s="54" t="s">
        <v>3582</v>
      </c>
      <c r="H2157" s="54" t="s">
        <v>3583</v>
      </c>
      <c r="I2157" s="53" t="s">
        <v>125</v>
      </c>
      <c r="J2157" s="54" t="s">
        <v>126</v>
      </c>
      <c r="K2157" s="54" t="s">
        <v>126</v>
      </c>
      <c r="L2157" s="54" t="s">
        <v>12</v>
      </c>
      <c r="M2157" s="54" t="s">
        <v>10</v>
      </c>
      <c r="N2157" s="54" t="s">
        <v>11</v>
      </c>
      <c r="O2157" s="49" t="s">
        <v>815</v>
      </c>
      <c r="P2157" s="54" t="s">
        <v>3392</v>
      </c>
      <c r="Q2157" s="35" t="str">
        <f>MID(Tabla1[[#This Row],[Aplicación]],14,1)</f>
        <v>2</v>
      </c>
      <c r="R2157" s="35" t="s">
        <v>495</v>
      </c>
      <c r="S2157" s="35" t="str">
        <f>MID(Tabla1[[#This Row],[Aplicación]],6,2)</f>
        <v>06</v>
      </c>
      <c r="T2157" s="35" t="str">
        <f>VLOOKUP(Tabla1[[#This Row],[AREA]],Hoja1!A:B,2,FALSE)</f>
        <v>06. Educación, infancia, juventud e igualdad</v>
      </c>
      <c r="U2157" s="35" t="str">
        <f>MID(Tabla1[[#This Row],[Aplicación]],9,4)</f>
        <v>2315</v>
      </c>
      <c r="V2157" s="35" t="str">
        <f>VLOOKUP(Tabla1[[#This Row],[PROGRAMA]],Hoja1!A:B,2,FALSE)</f>
        <v>2315. Políticas de Igualdad e infancia</v>
      </c>
      <c r="W2157" s="35" t="str">
        <f>MID(Tabla1[[#This Row],[Aplicación]],14,2)</f>
        <v>22</v>
      </c>
      <c r="X2157" s="35" t="str">
        <f>MID(Tabla1[[#This Row],[Aplicación]],14,6)</f>
        <v>22611</v>
      </c>
    </row>
    <row r="2158" spans="1:24" x14ac:dyDescent="0.25">
      <c r="A2158" s="45">
        <v>220210014682</v>
      </c>
      <c r="B2158" s="46" t="s">
        <v>9</v>
      </c>
      <c r="C2158" s="47">
        <v>44298</v>
      </c>
      <c r="D2158" s="45">
        <v>22021003832</v>
      </c>
      <c r="E2158" s="46" t="s">
        <v>2346</v>
      </c>
      <c r="F2158" s="48">
        <v>7260</v>
      </c>
      <c r="G2158" s="54" t="s">
        <v>3584</v>
      </c>
      <c r="H2158" s="54" t="s">
        <v>3585</v>
      </c>
      <c r="I2158" s="53" t="s">
        <v>125</v>
      </c>
      <c r="J2158" s="54" t="s">
        <v>126</v>
      </c>
      <c r="K2158" s="54" t="s">
        <v>126</v>
      </c>
      <c r="L2158" s="54" t="s">
        <v>15</v>
      </c>
      <c r="M2158" s="54" t="s">
        <v>10</v>
      </c>
      <c r="N2158" s="54" t="s">
        <v>11</v>
      </c>
      <c r="O2158" s="49" t="s">
        <v>815</v>
      </c>
      <c r="P2158" s="54" t="s">
        <v>3392</v>
      </c>
      <c r="Q2158" s="35" t="str">
        <f>MID(Tabla1[[#This Row],[Aplicación]],14,1)</f>
        <v>2</v>
      </c>
      <c r="R2158" s="35" t="s">
        <v>495</v>
      </c>
      <c r="S2158" s="35" t="str">
        <f>MID(Tabla1[[#This Row],[Aplicación]],6,2)</f>
        <v>11</v>
      </c>
      <c r="T2158" s="35" t="str">
        <f>VLOOKUP(Tabla1[[#This Row],[AREA]],Hoja1!A:B,2,FALSE)</f>
        <v>11. Salud pública y seguridad ciudadana</v>
      </c>
      <c r="U2158" s="35" t="str">
        <f>MID(Tabla1[[#This Row],[Aplicación]],9,4)</f>
        <v>3111</v>
      </c>
      <c r="V2158" s="35" t="str">
        <f>VLOOKUP(Tabla1[[#This Row],[PROGRAMA]],Hoja1!A:B,2,FALSE)</f>
        <v>3111. Protección de la salubridad pública</v>
      </c>
      <c r="W2158" s="35" t="str">
        <f>MID(Tabla1[[#This Row],[Aplicación]],14,2)</f>
        <v>22</v>
      </c>
      <c r="X2158" s="35" t="str">
        <f>MID(Tabla1[[#This Row],[Aplicación]],14,6)</f>
        <v>22103</v>
      </c>
    </row>
    <row r="2159" spans="1:24" x14ac:dyDescent="0.25">
      <c r="A2159" s="45">
        <v>220210016438</v>
      </c>
      <c r="B2159" s="46" t="s">
        <v>9</v>
      </c>
      <c r="C2159" s="47">
        <v>44306</v>
      </c>
      <c r="D2159" s="45">
        <v>22021003839</v>
      </c>
      <c r="E2159" s="46" t="s">
        <v>2647</v>
      </c>
      <c r="F2159" s="48">
        <v>7260</v>
      </c>
      <c r="G2159" s="54" t="s">
        <v>1545</v>
      </c>
      <c r="H2159" s="54" t="s">
        <v>3586</v>
      </c>
      <c r="I2159" s="53" t="s">
        <v>125</v>
      </c>
      <c r="J2159" s="54" t="s">
        <v>127</v>
      </c>
      <c r="K2159" s="54" t="s">
        <v>127</v>
      </c>
      <c r="L2159" s="54" t="s">
        <v>12</v>
      </c>
      <c r="M2159" s="54" t="s">
        <v>10</v>
      </c>
      <c r="N2159" s="54" t="s">
        <v>11</v>
      </c>
      <c r="O2159" s="49" t="s">
        <v>815</v>
      </c>
      <c r="P2159" s="54" t="s">
        <v>3392</v>
      </c>
      <c r="Q2159" s="35" t="str">
        <f>MID(Tabla1[[#This Row],[Aplicación]],14,1)</f>
        <v>2</v>
      </c>
      <c r="R2159" s="35" t="s">
        <v>495</v>
      </c>
      <c r="S2159" s="35" t="str">
        <f>MID(Tabla1[[#This Row],[Aplicación]],6,2)</f>
        <v>06</v>
      </c>
      <c r="T2159" s="35" t="str">
        <f>VLOOKUP(Tabla1[[#This Row],[AREA]],Hoja1!A:B,2,FALSE)</f>
        <v>06. Educación, infancia, juventud e igualdad</v>
      </c>
      <c r="U2159" s="35" t="str">
        <f>MID(Tabla1[[#This Row],[Aplicación]],9,4)</f>
        <v>2314</v>
      </c>
      <c r="V2159" s="35" t="str">
        <f>VLOOKUP(Tabla1[[#This Row],[PROGRAMA]],Hoja1!A:B,2,FALSE)</f>
        <v>2314. Centro de programas juveniles</v>
      </c>
      <c r="W2159" s="35" t="str">
        <f>MID(Tabla1[[#This Row],[Aplicación]],14,2)</f>
        <v>22</v>
      </c>
      <c r="X2159" s="35" t="str">
        <f>MID(Tabla1[[#This Row],[Aplicación]],14,6)</f>
        <v>22613</v>
      </c>
    </row>
    <row r="2160" spans="1:24" x14ac:dyDescent="0.25">
      <c r="A2160" s="45">
        <v>220210014676</v>
      </c>
      <c r="B2160" s="46" t="s">
        <v>9</v>
      </c>
      <c r="C2160" s="47">
        <v>44298</v>
      </c>
      <c r="D2160" s="45">
        <v>22021003384</v>
      </c>
      <c r="E2160" s="46" t="s">
        <v>3327</v>
      </c>
      <c r="F2160" s="48">
        <v>7260</v>
      </c>
      <c r="G2160" s="54" t="s">
        <v>3587</v>
      </c>
      <c r="H2160" s="54" t="s">
        <v>3588</v>
      </c>
      <c r="I2160" s="53" t="s">
        <v>125</v>
      </c>
      <c r="J2160" s="54" t="s">
        <v>3589</v>
      </c>
      <c r="K2160" s="54" t="s">
        <v>180</v>
      </c>
      <c r="L2160" s="54" t="s">
        <v>12</v>
      </c>
      <c r="M2160" s="54" t="s">
        <v>10</v>
      </c>
      <c r="N2160" s="54" t="s">
        <v>11</v>
      </c>
      <c r="O2160" s="49" t="s">
        <v>815</v>
      </c>
      <c r="P2160" s="54" t="s">
        <v>3392</v>
      </c>
      <c r="Q2160" s="35" t="str">
        <f>MID(Tabla1[[#This Row],[Aplicación]],14,1)</f>
        <v>2</v>
      </c>
      <c r="R2160" s="35" t="s">
        <v>495</v>
      </c>
      <c r="S2160" s="35" t="str">
        <f>MID(Tabla1[[#This Row],[Aplicación]],6,2)</f>
        <v>08</v>
      </c>
      <c r="T2160" s="35" t="str">
        <f>VLOOKUP(Tabla1[[#This Row],[AREA]],Hoja1!A:B,2,FALSE)</f>
        <v>08. Movilidad y espacio urbano</v>
      </c>
      <c r="U2160" s="35" t="str">
        <f>MID(Tabla1[[#This Row],[Aplicación]],9,4)</f>
        <v>1532</v>
      </c>
      <c r="V2160" s="35" t="str">
        <f>VLOOKUP(Tabla1[[#This Row],[PROGRAMA]],Hoja1!A:B,2,FALSE)</f>
        <v>1532. Pavimentación vias públicas y otros servicios urbanísticos</v>
      </c>
      <c r="W2160" s="35" t="str">
        <f>MID(Tabla1[[#This Row],[Aplicación]],14,2)</f>
        <v>22</v>
      </c>
      <c r="X2160" s="35" t="str">
        <f>MID(Tabla1[[#This Row],[Aplicación]],14,6)</f>
        <v>22706</v>
      </c>
    </row>
    <row r="2161" spans="1:24" x14ac:dyDescent="0.25">
      <c r="A2161" s="45">
        <v>220210032899</v>
      </c>
      <c r="B2161" s="46" t="s">
        <v>9</v>
      </c>
      <c r="C2161" s="47">
        <v>44372</v>
      </c>
      <c r="D2161" s="45">
        <v>22021004712</v>
      </c>
      <c r="E2161" s="46" t="s">
        <v>1724</v>
      </c>
      <c r="F2161" s="48">
        <v>42095.9</v>
      </c>
      <c r="G2161" s="54" t="s">
        <v>3590</v>
      </c>
      <c r="H2161" s="54" t="s">
        <v>3591</v>
      </c>
      <c r="I2161" s="53" t="s">
        <v>125</v>
      </c>
      <c r="J2161" s="54" t="s">
        <v>3592</v>
      </c>
      <c r="K2161" s="54" t="s">
        <v>146</v>
      </c>
      <c r="L2161" s="54" t="s">
        <v>15</v>
      </c>
      <c r="M2161" s="54" t="s">
        <v>13</v>
      </c>
      <c r="N2161" s="54" t="s">
        <v>14</v>
      </c>
      <c r="O2161" s="49" t="s">
        <v>803</v>
      </c>
      <c r="P2161" s="54" t="s">
        <v>3392</v>
      </c>
      <c r="Q2161" s="35" t="str">
        <f>MID(Tabla1[[#This Row],[Aplicación]],14,1)</f>
        <v>6</v>
      </c>
      <c r="R2161" s="35" t="s">
        <v>496</v>
      </c>
      <c r="S2161" s="35" t="str">
        <f>MID(Tabla1[[#This Row],[Aplicación]],6,2)</f>
        <v>07</v>
      </c>
      <c r="T2161" s="35" t="str">
        <f>VLOOKUP(Tabla1[[#This Row],[AREA]],Hoja1!A:B,2,FALSE)</f>
        <v>07. Medio ambiente y desarrollo sostenible</v>
      </c>
      <c r="U2161" s="35" t="str">
        <f>MID(Tabla1[[#This Row],[Aplicación]],9,4)</f>
        <v>1711</v>
      </c>
      <c r="V2161" s="35" t="str">
        <f>VLOOKUP(Tabla1[[#This Row],[PROGRAMA]],Hoja1!A:B,2,FALSE)</f>
        <v>1711. Parques y jardines</v>
      </c>
      <c r="W2161" s="35" t="str">
        <f>MID(Tabla1[[#This Row],[Aplicación]],14,2)</f>
        <v>61</v>
      </c>
      <c r="X2161" s="35" t="str">
        <f>MID(Tabla1[[#This Row],[Aplicación]],14,6)</f>
        <v>619</v>
      </c>
    </row>
    <row r="2162" spans="1:24" x14ac:dyDescent="0.25">
      <c r="A2162" s="45">
        <v>220210031331</v>
      </c>
      <c r="B2162" s="46" t="s">
        <v>204</v>
      </c>
      <c r="C2162" s="47">
        <v>44365</v>
      </c>
      <c r="D2162" s="45">
        <v>22021002498</v>
      </c>
      <c r="E2162" s="46" t="s">
        <v>3328</v>
      </c>
      <c r="F2162" s="48">
        <v>136125</v>
      </c>
      <c r="G2162" s="54" t="s">
        <v>3593</v>
      </c>
      <c r="H2162" s="54" t="s">
        <v>3594</v>
      </c>
      <c r="I2162" s="53" t="s">
        <v>205</v>
      </c>
      <c r="J2162" s="54" t="s">
        <v>3595</v>
      </c>
      <c r="K2162" s="54" t="s">
        <v>126</v>
      </c>
      <c r="L2162" s="54" t="s">
        <v>15</v>
      </c>
      <c r="M2162" s="54" t="s">
        <v>13</v>
      </c>
      <c r="N2162" s="54" t="s">
        <v>14</v>
      </c>
      <c r="O2162" s="49" t="s">
        <v>803</v>
      </c>
      <c r="P2162" s="54" t="s">
        <v>3392</v>
      </c>
      <c r="Q2162" s="35" t="str">
        <f>MID(Tabla1[[#This Row],[Aplicación]],14,1)</f>
        <v>6</v>
      </c>
      <c r="R2162" s="35" t="s">
        <v>496</v>
      </c>
      <c r="S2162" s="35" t="str">
        <f>MID(Tabla1[[#This Row],[Aplicación]],6,2)</f>
        <v>04</v>
      </c>
      <c r="T2162" s="35" t="str">
        <f>VLOOKUP(Tabla1[[#This Row],[AREA]],Hoja1!A:B,2,FALSE)</f>
        <v>04. Planificación y recursos</v>
      </c>
      <c r="U2162" s="35" t="str">
        <f>MID(Tabla1[[#This Row],[Aplicación]],9,4)</f>
        <v>9204</v>
      </c>
      <c r="V2162" s="35" t="str">
        <f>VLOOKUP(Tabla1[[#This Row],[PROGRAMA]],Hoja1!A:B,2,FALSE)</f>
        <v>9204. Tecnologías de la información y comunicación</v>
      </c>
      <c r="W2162" s="35" t="str">
        <f>MID(Tabla1[[#This Row],[Aplicación]],14,2)</f>
        <v>62</v>
      </c>
      <c r="X2162" s="35" t="str">
        <f>MID(Tabla1[[#This Row],[Aplicación]],14,6)</f>
        <v>626</v>
      </c>
    </row>
    <row r="2163" spans="1:24" x14ac:dyDescent="0.25">
      <c r="A2163" s="45">
        <v>220210014580</v>
      </c>
      <c r="B2163" s="46" t="s">
        <v>9</v>
      </c>
      <c r="C2163" s="47">
        <v>44298</v>
      </c>
      <c r="D2163" s="45">
        <v>22021003417</v>
      </c>
      <c r="E2163" s="46" t="s">
        <v>1187</v>
      </c>
      <c r="F2163" s="48">
        <v>7260</v>
      </c>
      <c r="G2163" s="54" t="s">
        <v>3596</v>
      </c>
      <c r="H2163" s="54" t="s">
        <v>3597</v>
      </c>
      <c r="I2163" s="53" t="s">
        <v>125</v>
      </c>
      <c r="J2163" s="54" t="s">
        <v>127</v>
      </c>
      <c r="K2163" s="54" t="s">
        <v>127</v>
      </c>
      <c r="L2163" s="54" t="s">
        <v>12</v>
      </c>
      <c r="M2163" s="54" t="s">
        <v>10</v>
      </c>
      <c r="N2163" s="54" t="s">
        <v>11</v>
      </c>
      <c r="O2163" s="49" t="s">
        <v>815</v>
      </c>
      <c r="P2163" s="54" t="s">
        <v>3392</v>
      </c>
      <c r="Q2163" s="35" t="str">
        <f>MID(Tabla1[[#This Row],[Aplicación]],14,1)</f>
        <v>2</v>
      </c>
      <c r="R2163" s="35" t="s">
        <v>495</v>
      </c>
      <c r="S2163" s="35" t="str">
        <f>MID(Tabla1[[#This Row],[Aplicación]],6,2)</f>
        <v>06</v>
      </c>
      <c r="T2163" s="35" t="str">
        <f>VLOOKUP(Tabla1[[#This Row],[AREA]],Hoja1!A:B,2,FALSE)</f>
        <v>06. Educación, infancia, juventud e igualdad</v>
      </c>
      <c r="U2163" s="35" t="str">
        <f>MID(Tabla1[[#This Row],[Aplicación]],9,4)</f>
        <v>2315</v>
      </c>
      <c r="V2163" s="35" t="str">
        <f>VLOOKUP(Tabla1[[#This Row],[PROGRAMA]],Hoja1!A:B,2,FALSE)</f>
        <v>2315. Políticas de Igualdad e infancia</v>
      </c>
      <c r="W2163" s="35" t="str">
        <f>MID(Tabla1[[#This Row],[Aplicación]],14,2)</f>
        <v>22</v>
      </c>
      <c r="X2163" s="35" t="str">
        <f>MID(Tabla1[[#This Row],[Aplicación]],14,6)</f>
        <v>22611</v>
      </c>
    </row>
    <row r="2164" spans="1:24" x14ac:dyDescent="0.25">
      <c r="A2164" s="45">
        <v>220210025554</v>
      </c>
      <c r="B2164" s="46" t="s">
        <v>9</v>
      </c>
      <c r="C2164" s="47">
        <v>44342</v>
      </c>
      <c r="D2164" s="45">
        <v>22021003406</v>
      </c>
      <c r="E2164" s="46" t="s">
        <v>3329</v>
      </c>
      <c r="F2164" s="48">
        <v>7252.59</v>
      </c>
      <c r="G2164" s="54" t="s">
        <v>228</v>
      </c>
      <c r="H2164" s="54" t="s">
        <v>3598</v>
      </c>
      <c r="I2164" s="53" t="s">
        <v>125</v>
      </c>
      <c r="J2164" s="54" t="s">
        <v>127</v>
      </c>
      <c r="K2164" s="54" t="s">
        <v>127</v>
      </c>
      <c r="L2164" s="54" t="s">
        <v>12</v>
      </c>
      <c r="M2164" s="54" t="s">
        <v>10</v>
      </c>
      <c r="N2164" s="54" t="s">
        <v>11</v>
      </c>
      <c r="O2164" s="49" t="s">
        <v>815</v>
      </c>
      <c r="P2164" s="54" t="s">
        <v>3392</v>
      </c>
      <c r="Q2164" s="35" t="str">
        <f>MID(Tabla1[[#This Row],[Aplicación]],14,1)</f>
        <v>6</v>
      </c>
      <c r="R2164" s="35" t="s">
        <v>496</v>
      </c>
      <c r="S2164" s="35" t="str">
        <f>MID(Tabla1[[#This Row],[Aplicación]],6,2)</f>
        <v>10</v>
      </c>
      <c r="T2164" s="35" t="str">
        <f>VLOOKUP(Tabla1[[#This Row],[AREA]],Hoja1!A:B,2,FALSE)</f>
        <v>10. Servicios sociales y mediación comunitaria</v>
      </c>
      <c r="U2164" s="35" t="str">
        <f>MID(Tabla1[[#This Row],[Aplicación]],9,4)</f>
        <v>2312</v>
      </c>
      <c r="V2164" s="35" t="str">
        <f>VLOOKUP(Tabla1[[#This Row],[PROGRAMA]],Hoja1!A:B,2,FALSE)</f>
        <v>2312. Iniciativas sociales</v>
      </c>
      <c r="W2164" s="35" t="str">
        <f>MID(Tabla1[[#This Row],[Aplicación]],14,2)</f>
        <v>62</v>
      </c>
      <c r="X2164" s="35" t="str">
        <f>MID(Tabla1[[#This Row],[Aplicación]],14,6)</f>
        <v>626</v>
      </c>
    </row>
    <row r="2165" spans="1:24" x14ac:dyDescent="0.25">
      <c r="A2165" s="45">
        <v>220210024828</v>
      </c>
      <c r="B2165" s="46" t="s">
        <v>9</v>
      </c>
      <c r="C2165" s="47">
        <v>44341</v>
      </c>
      <c r="D2165" s="45">
        <v>22021004162</v>
      </c>
      <c r="E2165" s="46" t="s">
        <v>1724</v>
      </c>
      <c r="F2165" s="48">
        <v>7247.9</v>
      </c>
      <c r="G2165" s="54" t="s">
        <v>3067</v>
      </c>
      <c r="H2165" s="54" t="s">
        <v>3599</v>
      </c>
      <c r="I2165" s="53" t="s">
        <v>125</v>
      </c>
      <c r="J2165" s="54" t="s">
        <v>3069</v>
      </c>
      <c r="K2165" s="54" t="s">
        <v>579</v>
      </c>
      <c r="L2165" s="54" t="s">
        <v>15</v>
      </c>
      <c r="M2165" s="54" t="s">
        <v>10</v>
      </c>
      <c r="N2165" s="54" t="s">
        <v>11</v>
      </c>
      <c r="O2165" s="49" t="s">
        <v>815</v>
      </c>
      <c r="P2165" s="54" t="s">
        <v>3392</v>
      </c>
      <c r="Q2165" s="35" t="str">
        <f>MID(Tabla1[[#This Row],[Aplicación]],14,1)</f>
        <v>6</v>
      </c>
      <c r="R2165" s="35" t="s">
        <v>496</v>
      </c>
      <c r="S2165" s="35" t="str">
        <f>MID(Tabla1[[#This Row],[Aplicación]],6,2)</f>
        <v>07</v>
      </c>
      <c r="T2165" s="35" t="str">
        <f>VLOOKUP(Tabla1[[#This Row],[AREA]],Hoja1!A:B,2,FALSE)</f>
        <v>07. Medio ambiente y desarrollo sostenible</v>
      </c>
      <c r="U2165" s="35" t="str">
        <f>MID(Tabla1[[#This Row],[Aplicación]],9,4)</f>
        <v>1711</v>
      </c>
      <c r="V2165" s="35" t="str">
        <f>VLOOKUP(Tabla1[[#This Row],[PROGRAMA]],Hoja1!A:B,2,FALSE)</f>
        <v>1711. Parques y jardines</v>
      </c>
      <c r="W2165" s="35" t="str">
        <f>MID(Tabla1[[#This Row],[Aplicación]],14,2)</f>
        <v>61</v>
      </c>
      <c r="X2165" s="35" t="str">
        <f>MID(Tabla1[[#This Row],[Aplicación]],14,6)</f>
        <v>619</v>
      </c>
    </row>
    <row r="2166" spans="1:24" x14ac:dyDescent="0.25">
      <c r="A2166" s="45">
        <v>220210022407</v>
      </c>
      <c r="B2166" s="46" t="s">
        <v>9</v>
      </c>
      <c r="C2166" s="47">
        <v>44330</v>
      </c>
      <c r="D2166" s="45">
        <v>22021004375</v>
      </c>
      <c r="E2166" s="46" t="s">
        <v>1574</v>
      </c>
      <c r="F2166" s="48">
        <v>7215.41</v>
      </c>
      <c r="G2166" s="54" t="s">
        <v>3600</v>
      </c>
      <c r="H2166" s="54" t="s">
        <v>3601</v>
      </c>
      <c r="I2166" s="53" t="s">
        <v>125</v>
      </c>
      <c r="J2166" s="54" t="s">
        <v>127</v>
      </c>
      <c r="K2166" s="54" t="s">
        <v>127</v>
      </c>
      <c r="L2166" s="54" t="s">
        <v>31</v>
      </c>
      <c r="M2166" s="54" t="s">
        <v>10</v>
      </c>
      <c r="N2166" s="54" t="s">
        <v>11</v>
      </c>
      <c r="O2166" s="49" t="s">
        <v>815</v>
      </c>
      <c r="P2166" s="54" t="s">
        <v>3392</v>
      </c>
      <c r="Q2166" s="35" t="str">
        <f>MID(Tabla1[[#This Row],[Aplicación]],14,1)</f>
        <v>2</v>
      </c>
      <c r="R2166" s="35" t="s">
        <v>495</v>
      </c>
      <c r="S2166" s="35" t="str">
        <f>MID(Tabla1[[#This Row],[Aplicación]],6,2)</f>
        <v>06</v>
      </c>
      <c r="T2166" s="35" t="str">
        <f>VLOOKUP(Tabla1[[#This Row],[AREA]],Hoja1!A:B,2,FALSE)</f>
        <v>06. Educación, infancia, juventud e igualdad</v>
      </c>
      <c r="U2166" s="35" t="str">
        <f>MID(Tabla1[[#This Row],[Aplicación]],9,4)</f>
        <v>3231</v>
      </c>
      <c r="V2166" s="35" t="str">
        <f>VLOOKUP(Tabla1[[#This Row],[PROGRAMA]],Hoja1!A:B,2,FALSE)</f>
        <v>3231. Escuelas infantiles</v>
      </c>
      <c r="W2166" s="35" t="str">
        <f>MID(Tabla1[[#This Row],[Aplicación]],14,2)</f>
        <v>21</v>
      </c>
      <c r="X2166" s="35" t="str">
        <f>MID(Tabla1[[#This Row],[Aplicación]],14,6)</f>
        <v>212</v>
      </c>
    </row>
    <row r="2167" spans="1:24" x14ac:dyDescent="0.25">
      <c r="A2167" s="45">
        <v>220210031507</v>
      </c>
      <c r="B2167" s="46" t="s">
        <v>9</v>
      </c>
      <c r="C2167" s="47">
        <v>44369</v>
      </c>
      <c r="D2167" s="45">
        <v>22021004899</v>
      </c>
      <c r="E2167" s="46" t="s">
        <v>871</v>
      </c>
      <c r="F2167" s="48">
        <v>7209.58</v>
      </c>
      <c r="G2167" s="54" t="s">
        <v>3602</v>
      </c>
      <c r="H2167" s="54" t="s">
        <v>3603</v>
      </c>
      <c r="I2167" s="53" t="s">
        <v>125</v>
      </c>
      <c r="J2167" s="54" t="s">
        <v>127</v>
      </c>
      <c r="K2167" s="54" t="s">
        <v>127</v>
      </c>
      <c r="L2167" s="54" t="s">
        <v>12</v>
      </c>
      <c r="M2167" s="54" t="s">
        <v>10</v>
      </c>
      <c r="N2167" s="54" t="s">
        <v>14</v>
      </c>
      <c r="O2167" s="49" t="s">
        <v>815</v>
      </c>
      <c r="P2167" s="54" t="s">
        <v>3392</v>
      </c>
      <c r="Q2167" s="35" t="str">
        <f>MID(Tabla1[[#This Row],[Aplicación]],14,1)</f>
        <v>2</v>
      </c>
      <c r="R2167" s="35" t="s">
        <v>495</v>
      </c>
      <c r="S2167" s="35" t="str">
        <f>MID(Tabla1[[#This Row],[Aplicación]],6,2)</f>
        <v>09</v>
      </c>
      <c r="T2167" s="35" t="str">
        <f>VLOOKUP(Tabla1[[#This Row],[AREA]],Hoja1!A:B,2,FALSE)</f>
        <v>09. Cultura y turismo</v>
      </c>
      <c r="U2167" s="35" t="str">
        <f>MID(Tabla1[[#This Row],[Aplicación]],9,4)</f>
        <v>3301</v>
      </c>
      <c r="V2167" s="35" t="str">
        <f>VLOOKUP(Tabla1[[#This Row],[PROGRAMA]],Hoja1!A:B,2,FALSE)</f>
        <v>3301. Dirección del área de cultura</v>
      </c>
      <c r="W2167" s="35" t="str">
        <f>MID(Tabla1[[#This Row],[Aplicación]],14,2)</f>
        <v>22</v>
      </c>
      <c r="X2167" s="35" t="str">
        <f>MID(Tabla1[[#This Row],[Aplicación]],14,6)</f>
        <v>22706</v>
      </c>
    </row>
    <row r="2168" spans="1:24" x14ac:dyDescent="0.25">
      <c r="A2168" s="45">
        <v>220210014322</v>
      </c>
      <c r="B2168" s="46" t="s">
        <v>9</v>
      </c>
      <c r="C2168" s="47">
        <v>44295</v>
      </c>
      <c r="D2168" s="45">
        <v>22021003751</v>
      </c>
      <c r="E2168" s="46" t="s">
        <v>1471</v>
      </c>
      <c r="F2168" s="48">
        <v>7205.26</v>
      </c>
      <c r="G2168" s="54" t="s">
        <v>575</v>
      </c>
      <c r="H2168" s="54" t="s">
        <v>3604</v>
      </c>
      <c r="I2168" s="53" t="s">
        <v>125</v>
      </c>
      <c r="J2168" s="54" t="s">
        <v>127</v>
      </c>
      <c r="K2168" s="54" t="s">
        <v>127</v>
      </c>
      <c r="L2168" s="54" t="s">
        <v>31</v>
      </c>
      <c r="M2168" s="54" t="s">
        <v>10</v>
      </c>
      <c r="N2168" s="54" t="s">
        <v>16</v>
      </c>
      <c r="O2168" s="49" t="s">
        <v>815</v>
      </c>
      <c r="P2168" s="54" t="s">
        <v>3392</v>
      </c>
      <c r="Q2168" s="35" t="str">
        <f>MID(Tabla1[[#This Row],[Aplicación]],14,1)</f>
        <v>2</v>
      </c>
      <c r="R2168" s="35" t="s">
        <v>495</v>
      </c>
      <c r="S2168" s="35" t="str">
        <f>MID(Tabla1[[#This Row],[Aplicación]],6,2)</f>
        <v>06</v>
      </c>
      <c r="T2168" s="35" t="str">
        <f>VLOOKUP(Tabla1[[#This Row],[AREA]],Hoja1!A:B,2,FALSE)</f>
        <v>06. Educación, infancia, juventud e igualdad</v>
      </c>
      <c r="U2168" s="35" t="str">
        <f>MID(Tabla1[[#This Row],[Aplicación]],9,4)</f>
        <v>3232</v>
      </c>
      <c r="V2168" s="35" t="str">
        <f>VLOOKUP(Tabla1[[#This Row],[PROGRAMA]],Hoja1!A:B,2,FALSE)</f>
        <v>3232. Conservación y mantenimiento centros educación infantil y primaria</v>
      </c>
      <c r="W2168" s="35" t="str">
        <f>MID(Tabla1[[#This Row],[Aplicación]],14,2)</f>
        <v>21</v>
      </c>
      <c r="X2168" s="35" t="str">
        <f>MID(Tabla1[[#This Row],[Aplicación]],14,6)</f>
        <v>212</v>
      </c>
    </row>
    <row r="2169" spans="1:24" x14ac:dyDescent="0.25">
      <c r="A2169" s="45">
        <v>220210030274</v>
      </c>
      <c r="B2169" s="46" t="s">
        <v>9</v>
      </c>
      <c r="C2169" s="47">
        <v>44357</v>
      </c>
      <c r="D2169" s="45">
        <v>22021004799</v>
      </c>
      <c r="E2169" s="46" t="s">
        <v>1929</v>
      </c>
      <c r="F2169" s="48">
        <v>7169.25</v>
      </c>
      <c r="G2169" s="54" t="s">
        <v>3605</v>
      </c>
      <c r="H2169" s="54" t="s">
        <v>3606</v>
      </c>
      <c r="I2169" s="53" t="s">
        <v>125</v>
      </c>
      <c r="J2169" s="54" t="s">
        <v>127</v>
      </c>
      <c r="K2169" s="54" t="s">
        <v>127</v>
      </c>
      <c r="L2169" s="54" t="s">
        <v>12</v>
      </c>
      <c r="M2169" s="54" t="s">
        <v>10</v>
      </c>
      <c r="N2169" s="54" t="s">
        <v>11</v>
      </c>
      <c r="O2169" s="49" t="s">
        <v>815</v>
      </c>
      <c r="P2169" s="54" t="s">
        <v>3392</v>
      </c>
      <c r="Q2169" s="35" t="str">
        <f>MID(Tabla1[[#This Row],[Aplicación]],14,1)</f>
        <v>2</v>
      </c>
      <c r="R2169" s="35" t="s">
        <v>495</v>
      </c>
      <c r="S2169" s="35" t="str">
        <f>MID(Tabla1[[#This Row],[Aplicación]],6,2)</f>
        <v>11</v>
      </c>
      <c r="T2169" s="35" t="str">
        <f>VLOOKUP(Tabla1[[#This Row],[AREA]],Hoja1!A:B,2,FALSE)</f>
        <v>11. Salud pública y seguridad ciudadana</v>
      </c>
      <c r="U2169" s="35" t="str">
        <f>MID(Tabla1[[#This Row],[Aplicación]],9,4)</f>
        <v>1321</v>
      </c>
      <c r="V2169" s="35" t="str">
        <f>VLOOKUP(Tabla1[[#This Row],[PROGRAMA]],Hoja1!A:B,2,FALSE)</f>
        <v>1321. Policía municipal</v>
      </c>
      <c r="W2169" s="35" t="str">
        <f>MID(Tabla1[[#This Row],[Aplicación]],14,2)</f>
        <v>22</v>
      </c>
      <c r="X2169" s="35" t="str">
        <f>MID(Tabla1[[#This Row],[Aplicación]],14,6)</f>
        <v>22706</v>
      </c>
    </row>
    <row r="2170" spans="1:24" x14ac:dyDescent="0.25">
      <c r="A2170" s="45">
        <v>220210016439</v>
      </c>
      <c r="B2170" s="46" t="s">
        <v>9</v>
      </c>
      <c r="C2170" s="47">
        <v>44306</v>
      </c>
      <c r="D2170" s="45">
        <v>22021003848</v>
      </c>
      <c r="E2170" s="46" t="s">
        <v>1584</v>
      </c>
      <c r="F2170" s="48">
        <v>7139</v>
      </c>
      <c r="G2170" s="54" t="s">
        <v>3607</v>
      </c>
      <c r="H2170" s="54" t="s">
        <v>3608</v>
      </c>
      <c r="I2170" s="53" t="s">
        <v>125</v>
      </c>
      <c r="J2170" s="54" t="s">
        <v>127</v>
      </c>
      <c r="K2170" s="54" t="s">
        <v>127</v>
      </c>
      <c r="L2170" s="54" t="s">
        <v>12</v>
      </c>
      <c r="M2170" s="54" t="s">
        <v>10</v>
      </c>
      <c r="N2170" s="54" t="s">
        <v>11</v>
      </c>
      <c r="O2170" s="49" t="s">
        <v>815</v>
      </c>
      <c r="P2170" s="54" t="s">
        <v>3392</v>
      </c>
      <c r="Q2170" s="35" t="str">
        <f>MID(Tabla1[[#This Row],[Aplicación]],14,1)</f>
        <v>2</v>
      </c>
      <c r="R2170" s="35" t="s">
        <v>495</v>
      </c>
      <c r="S2170" s="35" t="str">
        <f>MID(Tabla1[[#This Row],[Aplicación]],6,2)</f>
        <v>07</v>
      </c>
      <c r="T2170" s="35" t="str">
        <f>VLOOKUP(Tabla1[[#This Row],[AREA]],Hoja1!A:B,2,FALSE)</f>
        <v>07. Medio ambiente y desarrollo sostenible</v>
      </c>
      <c r="U2170" s="35" t="str">
        <f>MID(Tabla1[[#This Row],[Aplicación]],9,4)</f>
        <v>1701</v>
      </c>
      <c r="V2170" s="35" t="str">
        <f>VLOOKUP(Tabla1[[#This Row],[PROGRAMA]],Hoja1!A:B,2,FALSE)</f>
        <v>1701. Dirección del área de medio ambiente</v>
      </c>
      <c r="W2170" s="35" t="str">
        <f>MID(Tabla1[[#This Row],[Aplicación]],14,2)</f>
        <v>22</v>
      </c>
      <c r="X2170" s="35" t="str">
        <f>MID(Tabla1[[#This Row],[Aplicación]],14,6)</f>
        <v>22799</v>
      </c>
    </row>
    <row r="2171" spans="1:24" x14ac:dyDescent="0.25">
      <c r="A2171" s="45">
        <v>220210023575</v>
      </c>
      <c r="B2171" s="46" t="s">
        <v>9</v>
      </c>
      <c r="C2171" s="47">
        <v>44340</v>
      </c>
      <c r="D2171" s="45">
        <v>22021003750</v>
      </c>
      <c r="E2171" s="46" t="s">
        <v>3308</v>
      </c>
      <c r="F2171" s="48">
        <v>7047.62</v>
      </c>
      <c r="G2171" s="54" t="s">
        <v>3609</v>
      </c>
      <c r="H2171" s="54" t="s">
        <v>3610</v>
      </c>
      <c r="I2171" s="53" t="s">
        <v>125</v>
      </c>
      <c r="J2171" s="54" t="s">
        <v>127</v>
      </c>
      <c r="K2171" s="54" t="s">
        <v>127</v>
      </c>
      <c r="L2171" s="54" t="s">
        <v>31</v>
      </c>
      <c r="M2171" s="54" t="s">
        <v>10</v>
      </c>
      <c r="N2171" s="54" t="s">
        <v>16</v>
      </c>
      <c r="O2171" s="49" t="s">
        <v>815</v>
      </c>
      <c r="P2171" s="54" t="s">
        <v>3392</v>
      </c>
      <c r="Q2171" s="35" t="str">
        <f>MID(Tabla1[[#This Row],[Aplicación]],14,1)</f>
        <v>6</v>
      </c>
      <c r="R2171" s="35" t="s">
        <v>496</v>
      </c>
      <c r="S2171" s="35" t="str">
        <f>MID(Tabla1[[#This Row],[Aplicación]],6,2)</f>
        <v>06</v>
      </c>
      <c r="T2171" s="35" t="str">
        <f>VLOOKUP(Tabla1[[#This Row],[AREA]],Hoja1!A:B,2,FALSE)</f>
        <v>06. Educación, infancia, juventud e igualdad</v>
      </c>
      <c r="U2171" s="35" t="str">
        <f>MID(Tabla1[[#This Row],[Aplicación]],9,4)</f>
        <v>3232</v>
      </c>
      <c r="V2171" s="35" t="str">
        <f>VLOOKUP(Tabla1[[#This Row],[PROGRAMA]],Hoja1!A:B,2,FALSE)</f>
        <v>3232. Conservación y mantenimiento centros educación infantil y primaria</v>
      </c>
      <c r="W2171" s="35" t="str">
        <f>MID(Tabla1[[#This Row],[Aplicación]],14,2)</f>
        <v>63</v>
      </c>
      <c r="X2171" s="35" t="str">
        <f>MID(Tabla1[[#This Row],[Aplicación]],14,6)</f>
        <v>632</v>
      </c>
    </row>
    <row r="2172" spans="1:24" x14ac:dyDescent="0.25">
      <c r="A2172" s="45">
        <v>220210033083</v>
      </c>
      <c r="B2172" s="46" t="s">
        <v>204</v>
      </c>
      <c r="C2172" s="47">
        <v>44376</v>
      </c>
      <c r="D2172" s="45">
        <v>22021003971</v>
      </c>
      <c r="E2172" s="46" t="s">
        <v>3330</v>
      </c>
      <c r="F2172" s="48">
        <v>31308.639999999999</v>
      </c>
      <c r="G2172" s="54" t="s">
        <v>218</v>
      </c>
      <c r="H2172" s="54" t="s">
        <v>3611</v>
      </c>
      <c r="I2172" s="53" t="s">
        <v>205</v>
      </c>
      <c r="J2172" s="54" t="s">
        <v>650</v>
      </c>
      <c r="K2172" s="54" t="s">
        <v>127</v>
      </c>
      <c r="L2172" s="54" t="s">
        <v>12</v>
      </c>
      <c r="M2172" s="54" t="s">
        <v>13</v>
      </c>
      <c r="N2172" s="54" t="s">
        <v>14</v>
      </c>
      <c r="O2172" s="49" t="s">
        <v>803</v>
      </c>
      <c r="P2172" s="54" t="s">
        <v>3392</v>
      </c>
      <c r="Q2172" s="35" t="str">
        <f>MID(Tabla1[[#This Row],[Aplicación]],14,1)</f>
        <v>2</v>
      </c>
      <c r="R2172" s="35" t="s">
        <v>495</v>
      </c>
      <c r="S2172" s="35" t="str">
        <f>MID(Tabla1[[#This Row],[Aplicación]],6,2)</f>
        <v>06</v>
      </c>
      <c r="T2172" s="35" t="str">
        <f>VLOOKUP(Tabla1[[#This Row],[AREA]],Hoja1!A:B,2,FALSE)</f>
        <v>06. Educación, infancia, juventud e igualdad</v>
      </c>
      <c r="U2172" s="35" t="str">
        <f>MID(Tabla1[[#This Row],[Aplicación]],9,4)</f>
        <v>2315</v>
      </c>
      <c r="V2172" s="35" t="str">
        <f>VLOOKUP(Tabla1[[#This Row],[PROGRAMA]],Hoja1!A:B,2,FALSE)</f>
        <v>2315. Políticas de Igualdad e infancia</v>
      </c>
      <c r="W2172" s="35" t="str">
        <f>MID(Tabla1[[#This Row],[Aplicación]],14,2)</f>
        <v>22</v>
      </c>
      <c r="X2172" s="35" t="str">
        <f>MID(Tabla1[[#This Row],[Aplicación]],14,6)</f>
        <v>22619</v>
      </c>
    </row>
    <row r="2173" spans="1:24" x14ac:dyDescent="0.25">
      <c r="A2173" s="45">
        <v>220210032827</v>
      </c>
      <c r="B2173" s="46" t="s">
        <v>9</v>
      </c>
      <c r="C2173" s="47">
        <v>44371</v>
      </c>
      <c r="D2173" s="45">
        <v>22021004683</v>
      </c>
      <c r="E2173" s="46" t="s">
        <v>2528</v>
      </c>
      <c r="F2173" s="48">
        <v>7019.94</v>
      </c>
      <c r="G2173" s="54" t="s">
        <v>3612</v>
      </c>
      <c r="H2173" s="54" t="s">
        <v>3613</v>
      </c>
      <c r="I2173" s="53" t="s">
        <v>125</v>
      </c>
      <c r="J2173" s="54" t="s">
        <v>127</v>
      </c>
      <c r="K2173" s="54" t="s">
        <v>127</v>
      </c>
      <c r="L2173" s="54" t="s">
        <v>12</v>
      </c>
      <c r="M2173" s="54" t="s">
        <v>10</v>
      </c>
      <c r="N2173" s="54" t="s">
        <v>11</v>
      </c>
      <c r="O2173" s="49" t="s">
        <v>815</v>
      </c>
      <c r="P2173" s="54" t="s">
        <v>3392</v>
      </c>
      <c r="Q2173" s="35" t="str">
        <f>MID(Tabla1[[#This Row],[Aplicación]],14,1)</f>
        <v>2</v>
      </c>
      <c r="R2173" s="35" t="s">
        <v>495</v>
      </c>
      <c r="S2173" s="35" t="str">
        <f>MID(Tabla1[[#This Row],[Aplicación]],6,2)</f>
        <v>01</v>
      </c>
      <c r="T2173" s="35" t="str">
        <f>VLOOKUP(Tabla1[[#This Row],[AREA]],Hoja1!A:B,2,FALSE)</f>
        <v>01. Alcaldía</v>
      </c>
      <c r="U2173" s="35" t="str">
        <f>MID(Tabla1[[#This Row],[Aplicación]],9,4)</f>
        <v>9206</v>
      </c>
      <c r="V2173" s="35" t="str">
        <f>VLOOKUP(Tabla1[[#This Row],[PROGRAMA]],Hoja1!A:B,2,FALSE)</f>
        <v>9206. Archivo municipal</v>
      </c>
      <c r="W2173" s="35" t="str">
        <f>MID(Tabla1[[#This Row],[Aplicación]],14,2)</f>
        <v>22</v>
      </c>
      <c r="X2173" s="35" t="str">
        <f>MID(Tabla1[[#This Row],[Aplicación]],14,6)</f>
        <v>22799</v>
      </c>
    </row>
    <row r="2174" spans="1:24" x14ac:dyDescent="0.25">
      <c r="A2174" s="45">
        <v>220210022820</v>
      </c>
      <c r="B2174" s="46" t="s">
        <v>9</v>
      </c>
      <c r="C2174" s="47">
        <v>44333</v>
      </c>
      <c r="D2174" s="45">
        <v>22021004418</v>
      </c>
      <c r="E2174" s="46" t="s">
        <v>950</v>
      </c>
      <c r="F2174" s="48">
        <v>7018</v>
      </c>
      <c r="G2174" s="54" t="s">
        <v>50</v>
      </c>
      <c r="H2174" s="54" t="s">
        <v>3614</v>
      </c>
      <c r="I2174" s="53" t="s">
        <v>125</v>
      </c>
      <c r="J2174" s="54" t="s">
        <v>127</v>
      </c>
      <c r="K2174" s="54" t="s">
        <v>127</v>
      </c>
      <c r="L2174" s="54" t="s">
        <v>12</v>
      </c>
      <c r="M2174" s="54" t="s">
        <v>10</v>
      </c>
      <c r="N2174" s="54" t="s">
        <v>11</v>
      </c>
      <c r="O2174" s="49" t="s">
        <v>815</v>
      </c>
      <c r="P2174" s="54" t="s">
        <v>3392</v>
      </c>
      <c r="Q2174" s="35" t="str">
        <f>MID(Tabla1[[#This Row],[Aplicación]],14,1)</f>
        <v>2</v>
      </c>
      <c r="R2174" s="35" t="s">
        <v>495</v>
      </c>
      <c r="S2174" s="35" t="str">
        <f>MID(Tabla1[[#This Row],[Aplicación]],6,2)</f>
        <v>11</v>
      </c>
      <c r="T2174" s="35" t="str">
        <f>VLOOKUP(Tabla1[[#This Row],[AREA]],Hoja1!A:B,2,FALSE)</f>
        <v>11. Salud pública y seguridad ciudadana</v>
      </c>
      <c r="U2174" s="35" t="str">
        <f>MID(Tabla1[[#This Row],[Aplicación]],9,4)</f>
        <v>1321</v>
      </c>
      <c r="V2174" s="35" t="str">
        <f>VLOOKUP(Tabla1[[#This Row],[PROGRAMA]],Hoja1!A:B,2,FALSE)</f>
        <v>1321. Policía municipal</v>
      </c>
      <c r="W2174" s="35" t="str">
        <f>MID(Tabla1[[#This Row],[Aplicación]],14,2)</f>
        <v>21</v>
      </c>
      <c r="X2174" s="35" t="str">
        <f>MID(Tabla1[[#This Row],[Aplicación]],14,6)</f>
        <v>213</v>
      </c>
    </row>
    <row r="2175" spans="1:24" x14ac:dyDescent="0.25">
      <c r="A2175" s="45">
        <v>220210030270</v>
      </c>
      <c r="B2175" s="46" t="s">
        <v>204</v>
      </c>
      <c r="C2175" s="47">
        <v>44357</v>
      </c>
      <c r="D2175" s="45">
        <v>22021002364</v>
      </c>
      <c r="E2175" s="46" t="s">
        <v>2026</v>
      </c>
      <c r="F2175" s="48">
        <v>10560</v>
      </c>
      <c r="G2175" s="54" t="s">
        <v>3615</v>
      </c>
      <c r="H2175" s="54" t="s">
        <v>3616</v>
      </c>
      <c r="I2175" s="53" t="s">
        <v>205</v>
      </c>
      <c r="J2175" s="54" t="s">
        <v>126</v>
      </c>
      <c r="K2175" s="54" t="s">
        <v>126</v>
      </c>
      <c r="L2175" s="54" t="s">
        <v>12</v>
      </c>
      <c r="M2175" s="54" t="s">
        <v>13</v>
      </c>
      <c r="N2175" s="54" t="s">
        <v>14</v>
      </c>
      <c r="O2175" s="49" t="s">
        <v>803</v>
      </c>
      <c r="P2175" s="54" t="s">
        <v>3392</v>
      </c>
      <c r="Q2175" s="35" t="str">
        <f>MID(Tabla1[[#This Row],[Aplicación]],14,1)</f>
        <v>2</v>
      </c>
      <c r="R2175" s="35" t="s">
        <v>495</v>
      </c>
      <c r="S2175" s="35" t="str">
        <f>MID(Tabla1[[#This Row],[Aplicación]],6,2)</f>
        <v>10</v>
      </c>
      <c r="T2175" s="35" t="str">
        <f>VLOOKUP(Tabla1[[#This Row],[AREA]],Hoja1!A:B,2,FALSE)</f>
        <v>10. Servicios sociales y mediación comunitaria</v>
      </c>
      <c r="U2175" s="35" t="str">
        <f>MID(Tabla1[[#This Row],[Aplicación]],9,4)</f>
        <v>2412</v>
      </c>
      <c r="V2175" s="35" t="str">
        <f>VLOOKUP(Tabla1[[#This Row],[PROGRAMA]],Hoja1!A:B,2,FALSE)</f>
        <v>2412. Formación para el empleo</v>
      </c>
      <c r="W2175" s="35" t="str">
        <f>MID(Tabla1[[#This Row],[Aplicación]],14,2)</f>
        <v>22</v>
      </c>
      <c r="X2175" s="35" t="str">
        <f>MID(Tabla1[[#This Row],[Aplicación]],14,6)</f>
        <v>22799</v>
      </c>
    </row>
    <row r="2176" spans="1:24" x14ac:dyDescent="0.25">
      <c r="A2176" s="45">
        <v>220210025431</v>
      </c>
      <c r="B2176" s="46" t="s">
        <v>9</v>
      </c>
      <c r="C2176" s="47">
        <v>44341</v>
      </c>
      <c r="D2176" s="45">
        <v>22021004491</v>
      </c>
      <c r="E2176" s="46" t="s">
        <v>3317</v>
      </c>
      <c r="F2176" s="48">
        <v>18077.400000000001</v>
      </c>
      <c r="G2176" s="54" t="s">
        <v>121</v>
      </c>
      <c r="H2176" s="54" t="s">
        <v>3617</v>
      </c>
      <c r="I2176" s="53" t="s">
        <v>125</v>
      </c>
      <c r="J2176" s="54" t="s">
        <v>664</v>
      </c>
      <c r="K2176" s="54" t="s">
        <v>127</v>
      </c>
      <c r="L2176" s="54" t="s">
        <v>12</v>
      </c>
      <c r="M2176" s="54" t="s">
        <v>10</v>
      </c>
      <c r="N2176" s="54" t="s">
        <v>11</v>
      </c>
      <c r="O2176" s="49" t="s">
        <v>815</v>
      </c>
      <c r="P2176" s="54" t="s">
        <v>3392</v>
      </c>
      <c r="Q2176" s="35" t="str">
        <f>MID(Tabla1[[#This Row],[Aplicación]],14,1)</f>
        <v>2</v>
      </c>
      <c r="R2176" s="35" t="s">
        <v>495</v>
      </c>
      <c r="S2176" s="35" t="str">
        <f>MID(Tabla1[[#This Row],[Aplicación]],6,2)</f>
        <v>03</v>
      </c>
      <c r="T2176" s="35" t="str">
        <f>VLOOKUP(Tabla1[[#This Row],[AREA]],Hoja1!A:B,2,FALSE)</f>
        <v>03. Participación ciudadana y deportes</v>
      </c>
      <c r="U2176" s="35" t="str">
        <f>MID(Tabla1[[#This Row],[Aplicación]],9,4)</f>
        <v>9241</v>
      </c>
      <c r="V2176" s="35" t="str">
        <f>VLOOKUP(Tabla1[[#This Row],[PROGRAMA]],Hoja1!A:B,2,FALSE)</f>
        <v>9241. Participación ciudadana</v>
      </c>
      <c r="W2176" s="35" t="str">
        <f>MID(Tabla1[[#This Row],[Aplicación]],14,2)</f>
        <v>22</v>
      </c>
      <c r="X2176" s="35" t="str">
        <f>MID(Tabla1[[#This Row],[Aplicación]],14,6)</f>
        <v>22706</v>
      </c>
    </row>
    <row r="2177" spans="1:24" x14ac:dyDescent="0.25">
      <c r="A2177" s="45">
        <v>220210014698</v>
      </c>
      <c r="B2177" s="46" t="s">
        <v>9</v>
      </c>
      <c r="C2177" s="47">
        <v>44299</v>
      </c>
      <c r="D2177" s="45">
        <v>22021003509</v>
      </c>
      <c r="E2177" s="46" t="s">
        <v>1438</v>
      </c>
      <c r="F2177" s="48">
        <v>7004.81</v>
      </c>
      <c r="G2177" s="54" t="s">
        <v>260</v>
      </c>
      <c r="H2177" s="54" t="s">
        <v>3618</v>
      </c>
      <c r="I2177" s="53" t="s">
        <v>125</v>
      </c>
      <c r="J2177" s="54" t="s">
        <v>126</v>
      </c>
      <c r="K2177" s="54" t="s">
        <v>126</v>
      </c>
      <c r="L2177" s="54" t="s">
        <v>15</v>
      </c>
      <c r="M2177" s="54" t="s">
        <v>10</v>
      </c>
      <c r="N2177" s="54" t="s">
        <v>11</v>
      </c>
      <c r="O2177" s="49" t="s">
        <v>815</v>
      </c>
      <c r="P2177" s="54" t="s">
        <v>3392</v>
      </c>
      <c r="Q2177" s="35" t="str">
        <f>MID(Tabla1[[#This Row],[Aplicación]],14,1)</f>
        <v>2</v>
      </c>
      <c r="R2177" s="35" t="s">
        <v>495</v>
      </c>
      <c r="S2177" s="35" t="str">
        <f>MID(Tabla1[[#This Row],[Aplicación]],6,2)</f>
        <v>01</v>
      </c>
      <c r="T2177" s="35" t="str">
        <f>VLOOKUP(Tabla1[[#This Row],[AREA]],Hoja1!A:B,2,FALSE)</f>
        <v>01. Alcaldía</v>
      </c>
      <c r="U2177" s="35" t="str">
        <f>MID(Tabla1[[#This Row],[Aplicación]],9,4)</f>
        <v>9206</v>
      </c>
      <c r="V2177" s="35" t="str">
        <f>VLOOKUP(Tabla1[[#This Row],[PROGRAMA]],Hoja1!A:B,2,FALSE)</f>
        <v>9206. Archivo municipal</v>
      </c>
      <c r="W2177" s="35" t="str">
        <f>MID(Tabla1[[#This Row],[Aplicación]],14,2)</f>
        <v>22</v>
      </c>
      <c r="X2177" s="35" t="str">
        <f>MID(Tabla1[[#This Row],[Aplicación]],14,6)</f>
        <v>22001</v>
      </c>
    </row>
    <row r="2178" spans="1:24" x14ac:dyDescent="0.25">
      <c r="A2178" s="45">
        <v>220210031230</v>
      </c>
      <c r="B2178" s="46" t="s">
        <v>9</v>
      </c>
      <c r="C2178" s="47">
        <v>44363</v>
      </c>
      <c r="D2178" s="45">
        <v>22021001246</v>
      </c>
      <c r="E2178" s="46" t="s">
        <v>1382</v>
      </c>
      <c r="F2178" s="48">
        <v>7000</v>
      </c>
      <c r="G2178" s="54" t="s">
        <v>107</v>
      </c>
      <c r="H2178" s="54" t="s">
        <v>3619</v>
      </c>
      <c r="I2178" s="53" t="s">
        <v>125</v>
      </c>
      <c r="J2178" s="54" t="s">
        <v>126</v>
      </c>
      <c r="K2178" s="54" t="s">
        <v>126</v>
      </c>
      <c r="L2178" s="54" t="s">
        <v>15</v>
      </c>
      <c r="M2178" s="54" t="s">
        <v>10</v>
      </c>
      <c r="N2178" s="54" t="s">
        <v>11</v>
      </c>
      <c r="O2178" s="49" t="s">
        <v>815</v>
      </c>
      <c r="P2178" s="54" t="s">
        <v>3392</v>
      </c>
      <c r="Q2178" s="35" t="str">
        <f>MID(Tabla1[[#This Row],[Aplicación]],14,1)</f>
        <v>2</v>
      </c>
      <c r="R2178" s="35" t="s">
        <v>495</v>
      </c>
      <c r="S2178" s="35" t="str">
        <f>MID(Tabla1[[#This Row],[Aplicación]],6,2)</f>
        <v>11</v>
      </c>
      <c r="T2178" s="35" t="str">
        <f>VLOOKUP(Tabla1[[#This Row],[AREA]],Hoja1!A:B,2,FALSE)</f>
        <v>11. Salud pública y seguridad ciudadana</v>
      </c>
      <c r="U2178" s="35" t="str">
        <f>MID(Tabla1[[#This Row],[Aplicación]],9,4)</f>
        <v>1631</v>
      </c>
      <c r="V2178" s="35" t="str">
        <f>VLOOKUP(Tabla1[[#This Row],[PROGRAMA]],Hoja1!A:B,2,FALSE)</f>
        <v>1631. Limpieza viaria</v>
      </c>
      <c r="W2178" s="35" t="str">
        <f>MID(Tabla1[[#This Row],[Aplicación]],14,2)</f>
        <v>21</v>
      </c>
      <c r="X2178" s="35" t="str">
        <f>MID(Tabla1[[#This Row],[Aplicación]],14,6)</f>
        <v>214</v>
      </c>
    </row>
    <row r="2179" spans="1:24" x14ac:dyDescent="0.25">
      <c r="A2179" s="45">
        <v>220210016743</v>
      </c>
      <c r="B2179" s="46" t="s">
        <v>9</v>
      </c>
      <c r="C2179" s="47">
        <v>44307</v>
      </c>
      <c r="D2179" s="45">
        <v>22021003858</v>
      </c>
      <c r="E2179" s="46" t="s">
        <v>2815</v>
      </c>
      <c r="F2179" s="48">
        <v>3150</v>
      </c>
      <c r="G2179" s="54" t="s">
        <v>776</v>
      </c>
      <c r="H2179" s="54" t="s">
        <v>3620</v>
      </c>
      <c r="I2179" s="53" t="s">
        <v>125</v>
      </c>
      <c r="J2179" s="54" t="s">
        <v>127</v>
      </c>
      <c r="K2179" s="54" t="s">
        <v>127</v>
      </c>
      <c r="L2179" s="54" t="s">
        <v>12</v>
      </c>
      <c r="M2179" s="54" t="s">
        <v>13</v>
      </c>
      <c r="N2179" s="54" t="s">
        <v>16</v>
      </c>
      <c r="O2179" s="49" t="s">
        <v>803</v>
      </c>
      <c r="P2179" s="54" t="s">
        <v>3392</v>
      </c>
      <c r="Q2179" s="35" t="str">
        <f>MID(Tabla1[[#This Row],[Aplicación]],14,1)</f>
        <v>2</v>
      </c>
      <c r="R2179" s="35" t="s">
        <v>495</v>
      </c>
      <c r="S2179" s="35" t="str">
        <f>MID(Tabla1[[#This Row],[Aplicación]],6,2)</f>
        <v>08</v>
      </c>
      <c r="T2179" s="35" t="str">
        <f>VLOOKUP(Tabla1[[#This Row],[AREA]],Hoja1!A:B,2,FALSE)</f>
        <v>08. Movilidad y espacio urbano</v>
      </c>
      <c r="U2179" s="35" t="str">
        <f>MID(Tabla1[[#This Row],[Aplicación]],9,4)</f>
        <v>1301</v>
      </c>
      <c r="V2179" s="35" t="str">
        <f>VLOOKUP(Tabla1[[#This Row],[PROGRAMA]],Hoja1!A:B,2,FALSE)</f>
        <v>1301. Dirección del área de seguridad</v>
      </c>
      <c r="W2179" s="35" t="str">
        <f>MID(Tabla1[[#This Row],[Aplicación]],14,2)</f>
        <v>22</v>
      </c>
      <c r="X2179" s="35" t="str">
        <f>MID(Tabla1[[#This Row],[Aplicación]],14,6)</f>
        <v>22706</v>
      </c>
    </row>
    <row r="2180" spans="1:24" x14ac:dyDescent="0.25">
      <c r="A2180" s="45">
        <v>220210031324</v>
      </c>
      <c r="B2180" s="46" t="s">
        <v>9</v>
      </c>
      <c r="C2180" s="47">
        <v>44364</v>
      </c>
      <c r="D2180" s="45">
        <v>22021004953</v>
      </c>
      <c r="E2180" s="46" t="s">
        <v>3331</v>
      </c>
      <c r="F2180" s="48">
        <v>6945.23</v>
      </c>
      <c r="G2180" s="54" t="s">
        <v>3621</v>
      </c>
      <c r="H2180" s="54" t="s">
        <v>3622</v>
      </c>
      <c r="I2180" s="53" t="s">
        <v>125</v>
      </c>
      <c r="J2180" s="54" t="s">
        <v>3623</v>
      </c>
      <c r="K2180" s="54" t="s">
        <v>822</v>
      </c>
      <c r="L2180" s="54" t="s">
        <v>15</v>
      </c>
      <c r="M2180" s="54" t="s">
        <v>10</v>
      </c>
      <c r="N2180" s="54" t="s">
        <v>11</v>
      </c>
      <c r="O2180" s="49" t="s">
        <v>815</v>
      </c>
      <c r="P2180" s="54" t="s">
        <v>3392</v>
      </c>
      <c r="Q2180" s="35" t="str">
        <f>MID(Tabla1[[#This Row],[Aplicación]],14,1)</f>
        <v>6</v>
      </c>
      <c r="R2180" s="35" t="s">
        <v>496</v>
      </c>
      <c r="S2180" s="35" t="str">
        <f>MID(Tabla1[[#This Row],[Aplicación]],6,2)</f>
        <v>11</v>
      </c>
      <c r="T2180" s="35" t="str">
        <f>VLOOKUP(Tabla1[[#This Row],[AREA]],Hoja1!A:B,2,FALSE)</f>
        <v>11. Salud pública y seguridad ciudadana</v>
      </c>
      <c r="U2180" s="35" t="str">
        <f>MID(Tabla1[[#This Row],[Aplicación]],9,4)</f>
        <v>1321</v>
      </c>
      <c r="V2180" s="35" t="str">
        <f>VLOOKUP(Tabla1[[#This Row],[PROGRAMA]],Hoja1!A:B,2,FALSE)</f>
        <v>1321. Policía municipal</v>
      </c>
      <c r="W2180" s="35" t="str">
        <f>MID(Tabla1[[#This Row],[Aplicación]],14,2)</f>
        <v>62</v>
      </c>
      <c r="X2180" s="35" t="str">
        <f>MID(Tabla1[[#This Row],[Aplicación]],14,6)</f>
        <v>626</v>
      </c>
    </row>
    <row r="2181" spans="1:24" x14ac:dyDescent="0.25">
      <c r="A2181" s="45">
        <v>220210029569</v>
      </c>
      <c r="B2181" s="46" t="s">
        <v>9</v>
      </c>
      <c r="C2181" s="47">
        <v>44355</v>
      </c>
      <c r="D2181" s="45">
        <v>22021004786</v>
      </c>
      <c r="E2181" s="46" t="s">
        <v>2944</v>
      </c>
      <c r="F2181" s="48">
        <v>6897</v>
      </c>
      <c r="G2181" s="54" t="s">
        <v>3624</v>
      </c>
      <c r="H2181" s="54" t="s">
        <v>3625</v>
      </c>
      <c r="I2181" s="53" t="s">
        <v>125</v>
      </c>
      <c r="J2181" s="54" t="s">
        <v>126</v>
      </c>
      <c r="K2181" s="54" t="s">
        <v>126</v>
      </c>
      <c r="L2181" s="54" t="s">
        <v>12</v>
      </c>
      <c r="M2181" s="54" t="s">
        <v>10</v>
      </c>
      <c r="N2181" s="54" t="s">
        <v>11</v>
      </c>
      <c r="O2181" s="49" t="s">
        <v>815</v>
      </c>
      <c r="P2181" s="54" t="s">
        <v>3392</v>
      </c>
      <c r="Q2181" s="35" t="str">
        <f>MID(Tabla1[[#This Row],[Aplicación]],14,1)</f>
        <v>2</v>
      </c>
      <c r="R2181" s="35" t="s">
        <v>495</v>
      </c>
      <c r="S2181" s="35" t="str">
        <f>MID(Tabla1[[#This Row],[Aplicación]],6,2)</f>
        <v>02</v>
      </c>
      <c r="T2181" s="35" t="str">
        <f>VLOOKUP(Tabla1[[#This Row],[AREA]],Hoja1!A:B,2,FALSE)</f>
        <v>02. Planeamiento urbanístico y vivienda</v>
      </c>
      <c r="U2181" s="35" t="str">
        <f>MID(Tabla1[[#This Row],[Aplicación]],9,4)</f>
        <v>1511</v>
      </c>
      <c r="V2181" s="35" t="str">
        <f>VLOOKUP(Tabla1[[#This Row],[PROGRAMA]],Hoja1!A:B,2,FALSE)</f>
        <v>1511. Planficación y gestión del urbanismo</v>
      </c>
      <c r="W2181" s="35" t="str">
        <f>MID(Tabla1[[#This Row],[Aplicación]],14,2)</f>
        <v>22</v>
      </c>
      <c r="X2181" s="35" t="str">
        <f>MID(Tabla1[[#This Row],[Aplicación]],14,6)</f>
        <v>22799</v>
      </c>
    </row>
    <row r="2182" spans="1:24" x14ac:dyDescent="0.25">
      <c r="A2182" s="45">
        <v>220210023539</v>
      </c>
      <c r="B2182" s="46" t="s">
        <v>204</v>
      </c>
      <c r="C2182" s="47">
        <v>44336</v>
      </c>
      <c r="D2182" s="45">
        <v>22021002197</v>
      </c>
      <c r="E2182" s="46" t="s">
        <v>1220</v>
      </c>
      <c r="F2182" s="48">
        <v>12903.83</v>
      </c>
      <c r="G2182" s="54" t="s">
        <v>163</v>
      </c>
      <c r="H2182" s="54" t="s">
        <v>3626</v>
      </c>
      <c r="I2182" s="53" t="s">
        <v>205</v>
      </c>
      <c r="J2182" s="54" t="s">
        <v>127</v>
      </c>
      <c r="K2182" s="54" t="s">
        <v>126</v>
      </c>
      <c r="L2182" s="54" t="s">
        <v>12</v>
      </c>
      <c r="M2182" s="54" t="s">
        <v>13</v>
      </c>
      <c r="N2182" s="54" t="s">
        <v>16</v>
      </c>
      <c r="O2182" s="49" t="s">
        <v>803</v>
      </c>
      <c r="P2182" s="54" t="s">
        <v>3392</v>
      </c>
      <c r="Q2182" s="35" t="str">
        <f>MID(Tabla1[[#This Row],[Aplicación]],14,1)</f>
        <v>2</v>
      </c>
      <c r="R2182" s="35" t="s">
        <v>495</v>
      </c>
      <c r="S2182" s="35" t="str">
        <f>MID(Tabla1[[#This Row],[Aplicación]],6,2)</f>
        <v>03</v>
      </c>
      <c r="T2182" s="35" t="str">
        <f>VLOOKUP(Tabla1[[#This Row],[AREA]],Hoja1!A:B,2,FALSE)</f>
        <v>03. Participación ciudadana y deportes</v>
      </c>
      <c r="U2182" s="35" t="str">
        <f>MID(Tabla1[[#This Row],[Aplicación]],9,4)</f>
        <v>9241</v>
      </c>
      <c r="V2182" s="35" t="str">
        <f>VLOOKUP(Tabla1[[#This Row],[PROGRAMA]],Hoja1!A:B,2,FALSE)</f>
        <v>9241. Participación ciudadana</v>
      </c>
      <c r="W2182" s="35" t="str">
        <f>MID(Tabla1[[#This Row],[Aplicación]],14,2)</f>
        <v>21</v>
      </c>
      <c r="X2182" s="35" t="str">
        <f>MID(Tabla1[[#This Row],[Aplicación]],14,6)</f>
        <v>213</v>
      </c>
    </row>
    <row r="2183" spans="1:24" x14ac:dyDescent="0.25">
      <c r="A2183" s="45">
        <v>220210031353</v>
      </c>
      <c r="B2183" s="46" t="s">
        <v>204</v>
      </c>
      <c r="C2183" s="47">
        <v>44365</v>
      </c>
      <c r="D2183" s="45">
        <v>22021003658</v>
      </c>
      <c r="E2183" s="46" t="s">
        <v>3332</v>
      </c>
      <c r="F2183" s="48">
        <v>20289.29</v>
      </c>
      <c r="G2183" s="54" t="s">
        <v>558</v>
      </c>
      <c r="H2183" s="54" t="s">
        <v>3627</v>
      </c>
      <c r="I2183" s="53" t="s">
        <v>205</v>
      </c>
      <c r="J2183" s="54" t="s">
        <v>127</v>
      </c>
      <c r="K2183" s="54" t="s">
        <v>127</v>
      </c>
      <c r="L2183" s="54" t="s">
        <v>15</v>
      </c>
      <c r="M2183" s="54" t="s">
        <v>13</v>
      </c>
      <c r="N2183" s="54" t="s">
        <v>16</v>
      </c>
      <c r="O2183" s="49" t="s">
        <v>803</v>
      </c>
      <c r="P2183" s="54" t="s">
        <v>3392</v>
      </c>
      <c r="Q2183" s="35" t="str">
        <f>MID(Tabla1[[#This Row],[Aplicación]],14,1)</f>
        <v>6</v>
      </c>
      <c r="R2183" s="35" t="s">
        <v>496</v>
      </c>
      <c r="S2183" s="35" t="str">
        <f>MID(Tabla1[[#This Row],[Aplicación]],6,2)</f>
        <v>03</v>
      </c>
      <c r="T2183" s="35" t="str">
        <f>VLOOKUP(Tabla1[[#This Row],[AREA]],Hoja1!A:B,2,FALSE)</f>
        <v>03. Participación ciudadana y deportes</v>
      </c>
      <c r="U2183" s="35" t="str">
        <f>MID(Tabla1[[#This Row],[Aplicación]],9,4)</f>
        <v>9241</v>
      </c>
      <c r="V2183" s="35" t="str">
        <f>VLOOKUP(Tabla1[[#This Row],[PROGRAMA]],Hoja1!A:B,2,FALSE)</f>
        <v>9241. Participación ciudadana</v>
      </c>
      <c r="W2183" s="35" t="str">
        <f>MID(Tabla1[[#This Row],[Aplicación]],14,2)</f>
        <v>63</v>
      </c>
      <c r="X2183" s="35" t="str">
        <f>MID(Tabla1[[#This Row],[Aplicación]],14,6)</f>
        <v>635</v>
      </c>
    </row>
    <row r="2184" spans="1:24" x14ac:dyDescent="0.25">
      <c r="A2184" s="45">
        <v>220210025226</v>
      </c>
      <c r="B2184" s="46" t="s">
        <v>9</v>
      </c>
      <c r="C2184" s="47">
        <v>44341</v>
      </c>
      <c r="D2184" s="45">
        <v>22021004051</v>
      </c>
      <c r="E2184" s="46" t="s">
        <v>1487</v>
      </c>
      <c r="F2184" s="48">
        <v>70213.539999999994</v>
      </c>
      <c r="G2184" s="54" t="s">
        <v>3628</v>
      </c>
      <c r="H2184" s="54" t="s">
        <v>3629</v>
      </c>
      <c r="I2184" s="53" t="s">
        <v>125</v>
      </c>
      <c r="J2184" s="54" t="s">
        <v>3630</v>
      </c>
      <c r="K2184" s="54" t="s">
        <v>3631</v>
      </c>
      <c r="L2184" s="54" t="s">
        <v>31</v>
      </c>
      <c r="M2184" s="54" t="s">
        <v>13</v>
      </c>
      <c r="N2184" s="54" t="s">
        <v>14</v>
      </c>
      <c r="O2184" s="49" t="s">
        <v>803</v>
      </c>
      <c r="P2184" s="54" t="s">
        <v>3392</v>
      </c>
      <c r="Q2184" s="35" t="str">
        <f>MID(Tabla1[[#This Row],[Aplicación]],14,1)</f>
        <v>6</v>
      </c>
      <c r="R2184" s="35" t="s">
        <v>496</v>
      </c>
      <c r="S2184" s="35" t="str">
        <f>MID(Tabla1[[#This Row],[Aplicación]],6,2)</f>
        <v>08</v>
      </c>
      <c r="T2184" s="35" t="str">
        <f>VLOOKUP(Tabla1[[#This Row],[AREA]],Hoja1!A:B,2,FALSE)</f>
        <v>08. Movilidad y espacio urbano</v>
      </c>
      <c r="U2184" s="35" t="str">
        <f>MID(Tabla1[[#This Row],[Aplicación]],9,4)</f>
        <v>1532</v>
      </c>
      <c r="V2184" s="35" t="str">
        <f>VLOOKUP(Tabla1[[#This Row],[PROGRAMA]],Hoja1!A:B,2,FALSE)</f>
        <v>1532. Pavimentación vias públicas y otros servicios urbanísticos</v>
      </c>
      <c r="W2184" s="35" t="str">
        <f>MID(Tabla1[[#This Row],[Aplicación]],14,2)</f>
        <v>61</v>
      </c>
      <c r="X2184" s="35" t="str">
        <f>MID(Tabla1[[#This Row],[Aplicación]],14,6)</f>
        <v>619</v>
      </c>
    </row>
    <row r="2185" spans="1:24" x14ac:dyDescent="0.25">
      <c r="A2185" s="45">
        <v>220210014372</v>
      </c>
      <c r="B2185" s="46" t="s">
        <v>9</v>
      </c>
      <c r="C2185" s="47">
        <v>44295</v>
      </c>
      <c r="D2185" s="45">
        <v>22021003706</v>
      </c>
      <c r="E2185" s="46" t="s">
        <v>1220</v>
      </c>
      <c r="F2185" s="48">
        <v>6700.56</v>
      </c>
      <c r="G2185" s="54" t="s">
        <v>163</v>
      </c>
      <c r="H2185" s="54" t="s">
        <v>3632</v>
      </c>
      <c r="I2185" s="53" t="s">
        <v>125</v>
      </c>
      <c r="J2185" s="54" t="s">
        <v>127</v>
      </c>
      <c r="K2185" s="54" t="s">
        <v>126</v>
      </c>
      <c r="L2185" s="54" t="s">
        <v>15</v>
      </c>
      <c r="M2185" s="54" t="s">
        <v>10</v>
      </c>
      <c r="N2185" s="54" t="s">
        <v>11</v>
      </c>
      <c r="O2185" s="49" t="s">
        <v>815</v>
      </c>
      <c r="P2185" s="54" t="s">
        <v>3392</v>
      </c>
      <c r="Q2185" s="35" t="str">
        <f>MID(Tabla1[[#This Row],[Aplicación]],14,1)</f>
        <v>2</v>
      </c>
      <c r="R2185" s="35" t="s">
        <v>495</v>
      </c>
      <c r="S2185" s="35" t="str">
        <f>MID(Tabla1[[#This Row],[Aplicación]],6,2)</f>
        <v>03</v>
      </c>
      <c r="T2185" s="35" t="str">
        <f>VLOOKUP(Tabla1[[#This Row],[AREA]],Hoja1!A:B,2,FALSE)</f>
        <v>03. Participación ciudadana y deportes</v>
      </c>
      <c r="U2185" s="35" t="str">
        <f>MID(Tabla1[[#This Row],[Aplicación]],9,4)</f>
        <v>9241</v>
      </c>
      <c r="V2185" s="35" t="str">
        <f>VLOOKUP(Tabla1[[#This Row],[PROGRAMA]],Hoja1!A:B,2,FALSE)</f>
        <v>9241. Participación ciudadana</v>
      </c>
      <c r="W2185" s="35" t="str">
        <f>MID(Tabla1[[#This Row],[Aplicación]],14,2)</f>
        <v>21</v>
      </c>
      <c r="X2185" s="35" t="str">
        <f>MID(Tabla1[[#This Row],[Aplicación]],14,6)</f>
        <v>213</v>
      </c>
    </row>
    <row r="2186" spans="1:24" x14ac:dyDescent="0.25">
      <c r="A2186" s="45">
        <v>220210018979</v>
      </c>
      <c r="B2186" s="46" t="s">
        <v>2924</v>
      </c>
      <c r="C2186" s="47">
        <v>44316</v>
      </c>
      <c r="D2186" s="45">
        <v>22021002900</v>
      </c>
      <c r="E2186" s="46" t="s">
        <v>827</v>
      </c>
      <c r="F2186" s="48">
        <v>-42768.71</v>
      </c>
      <c r="G2186" s="54" t="s">
        <v>198</v>
      </c>
      <c r="H2186" s="54" t="s">
        <v>2143</v>
      </c>
      <c r="I2186" s="53" t="s">
        <v>2926</v>
      </c>
      <c r="J2186" s="54" t="s">
        <v>127</v>
      </c>
      <c r="K2186" s="54" t="s">
        <v>127</v>
      </c>
      <c r="L2186" s="54" t="s">
        <v>12</v>
      </c>
      <c r="M2186" s="54" t="s">
        <v>13</v>
      </c>
      <c r="N2186" s="54" t="s">
        <v>14</v>
      </c>
      <c r="O2186" s="49" t="s">
        <v>803</v>
      </c>
      <c r="P2186" s="54" t="s">
        <v>3392</v>
      </c>
      <c r="Q2186" s="35" t="str">
        <f>MID(Tabla1[[#This Row],[Aplicación]],14,1)</f>
        <v>2</v>
      </c>
      <c r="R2186" s="35" t="s">
        <v>495</v>
      </c>
      <c r="S2186" s="35" t="str">
        <f>MID(Tabla1[[#This Row],[Aplicación]],6,2)</f>
        <v>04</v>
      </c>
      <c r="T2186" s="35" t="str">
        <f>VLOOKUP(Tabla1[[#This Row],[AREA]],Hoja1!A:B,2,FALSE)</f>
        <v>04. Planificación y recursos</v>
      </c>
      <c r="U2186" s="35" t="str">
        <f>MID(Tabla1[[#This Row],[Aplicación]],9,4)</f>
        <v>9204</v>
      </c>
      <c r="V2186" s="35" t="str">
        <f>VLOOKUP(Tabla1[[#This Row],[PROGRAMA]],Hoja1!A:B,2,FALSE)</f>
        <v>9204. Tecnologías de la información y comunicación</v>
      </c>
      <c r="W2186" s="35" t="str">
        <f>MID(Tabla1[[#This Row],[Aplicación]],14,2)</f>
        <v>21</v>
      </c>
      <c r="X2186" s="35" t="str">
        <f>MID(Tabla1[[#This Row],[Aplicación]],14,6)</f>
        <v>216</v>
      </c>
    </row>
    <row r="2187" spans="1:24" x14ac:dyDescent="0.25">
      <c r="A2187" s="45">
        <v>220210014321</v>
      </c>
      <c r="B2187" s="46" t="s">
        <v>9</v>
      </c>
      <c r="C2187" s="47">
        <v>44295</v>
      </c>
      <c r="D2187" s="45">
        <v>22021003791</v>
      </c>
      <c r="E2187" s="46" t="s">
        <v>1183</v>
      </c>
      <c r="F2187" s="48">
        <v>6430</v>
      </c>
      <c r="G2187" s="54" t="s">
        <v>3633</v>
      </c>
      <c r="H2187" s="54" t="s">
        <v>3634</v>
      </c>
      <c r="I2187" s="53" t="s">
        <v>125</v>
      </c>
      <c r="J2187" s="54" t="s">
        <v>136</v>
      </c>
      <c r="K2187" s="54" t="s">
        <v>136</v>
      </c>
      <c r="L2187" s="54" t="s">
        <v>15</v>
      </c>
      <c r="M2187" s="54" t="s">
        <v>10</v>
      </c>
      <c r="N2187" s="54" t="s">
        <v>11</v>
      </c>
      <c r="O2187" s="49" t="s">
        <v>815</v>
      </c>
      <c r="P2187" s="54" t="s">
        <v>3392</v>
      </c>
      <c r="Q2187" s="35" t="str">
        <f>MID(Tabla1[[#This Row],[Aplicación]],14,1)</f>
        <v>2</v>
      </c>
      <c r="R2187" s="35" t="s">
        <v>495</v>
      </c>
      <c r="S2187" s="35" t="str">
        <f>MID(Tabla1[[#This Row],[Aplicación]],6,2)</f>
        <v>11</v>
      </c>
      <c r="T2187" s="35" t="str">
        <f>VLOOKUP(Tabla1[[#This Row],[AREA]],Hoja1!A:B,2,FALSE)</f>
        <v>11. Salud pública y seguridad ciudadana</v>
      </c>
      <c r="U2187" s="35" t="str">
        <f>MID(Tabla1[[#This Row],[Aplicación]],9,4)</f>
        <v>1361</v>
      </c>
      <c r="V2187" s="35" t="str">
        <f>VLOOKUP(Tabla1[[#This Row],[PROGRAMA]],Hoja1!A:B,2,FALSE)</f>
        <v>1361. Prevención y extinción de incencios</v>
      </c>
      <c r="W2187" s="35" t="str">
        <f>MID(Tabla1[[#This Row],[Aplicación]],14,2)</f>
        <v>22</v>
      </c>
      <c r="X2187" s="35" t="str">
        <f>MID(Tabla1[[#This Row],[Aplicación]],14,6)</f>
        <v>22199</v>
      </c>
    </row>
    <row r="2188" spans="1:24" x14ac:dyDescent="0.25">
      <c r="A2188" s="45">
        <v>220210031332</v>
      </c>
      <c r="B2188" s="46" t="s">
        <v>204</v>
      </c>
      <c r="C2188" s="47">
        <v>44365</v>
      </c>
      <c r="D2188" s="45">
        <v>22021002499</v>
      </c>
      <c r="E2188" s="46" t="s">
        <v>3328</v>
      </c>
      <c r="F2188" s="48">
        <v>54450</v>
      </c>
      <c r="G2188" s="54" t="s">
        <v>3635</v>
      </c>
      <c r="H2188" s="54" t="s">
        <v>3636</v>
      </c>
      <c r="I2188" s="53" t="s">
        <v>205</v>
      </c>
      <c r="J2188" s="54" t="s">
        <v>146</v>
      </c>
      <c r="K2188" s="54" t="s">
        <v>146</v>
      </c>
      <c r="L2188" s="54" t="s">
        <v>15</v>
      </c>
      <c r="M2188" s="54" t="s">
        <v>13</v>
      </c>
      <c r="N2188" s="54" t="s">
        <v>14</v>
      </c>
      <c r="O2188" s="49" t="s">
        <v>803</v>
      </c>
      <c r="P2188" s="54" t="s">
        <v>3392</v>
      </c>
      <c r="Q2188" s="35" t="str">
        <f>MID(Tabla1[[#This Row],[Aplicación]],14,1)</f>
        <v>6</v>
      </c>
      <c r="R2188" s="35" t="s">
        <v>496</v>
      </c>
      <c r="S2188" s="35" t="str">
        <f>MID(Tabla1[[#This Row],[Aplicación]],6,2)</f>
        <v>04</v>
      </c>
      <c r="T2188" s="35" t="str">
        <f>VLOOKUP(Tabla1[[#This Row],[AREA]],Hoja1!A:B,2,FALSE)</f>
        <v>04. Planificación y recursos</v>
      </c>
      <c r="U2188" s="35" t="str">
        <f>MID(Tabla1[[#This Row],[Aplicación]],9,4)</f>
        <v>9204</v>
      </c>
      <c r="V2188" s="35" t="str">
        <f>VLOOKUP(Tabla1[[#This Row],[PROGRAMA]],Hoja1!A:B,2,FALSE)</f>
        <v>9204. Tecnologías de la información y comunicación</v>
      </c>
      <c r="W2188" s="35" t="str">
        <f>MID(Tabla1[[#This Row],[Aplicación]],14,2)</f>
        <v>62</v>
      </c>
      <c r="X2188" s="35" t="str">
        <f>MID(Tabla1[[#This Row],[Aplicación]],14,6)</f>
        <v>626</v>
      </c>
    </row>
    <row r="2189" spans="1:24" x14ac:dyDescent="0.25">
      <c r="A2189" s="45">
        <v>220210020461</v>
      </c>
      <c r="B2189" s="46" t="s">
        <v>9</v>
      </c>
      <c r="C2189" s="47">
        <v>44322</v>
      </c>
      <c r="D2189" s="45">
        <v>22021004172</v>
      </c>
      <c r="E2189" s="46" t="s">
        <v>3333</v>
      </c>
      <c r="F2189" s="48">
        <v>6402</v>
      </c>
      <c r="G2189" s="54" t="s">
        <v>3637</v>
      </c>
      <c r="H2189" s="54" t="s">
        <v>3638</v>
      </c>
      <c r="I2189" s="53" t="s">
        <v>125</v>
      </c>
      <c r="J2189" s="54" t="s">
        <v>127</v>
      </c>
      <c r="K2189" s="54" t="s">
        <v>127</v>
      </c>
      <c r="L2189" s="54" t="s">
        <v>12</v>
      </c>
      <c r="M2189" s="54" t="s">
        <v>10</v>
      </c>
      <c r="N2189" s="54" t="s">
        <v>14</v>
      </c>
      <c r="O2189" s="49" t="s">
        <v>815</v>
      </c>
      <c r="P2189" s="54" t="s">
        <v>3392</v>
      </c>
      <c r="Q2189" s="35" t="str">
        <f>MID(Tabla1[[#This Row],[Aplicación]],14,1)</f>
        <v>2</v>
      </c>
      <c r="R2189" s="35" t="s">
        <v>495</v>
      </c>
      <c r="S2189" s="35" t="str">
        <f>MID(Tabla1[[#This Row],[Aplicación]],6,2)</f>
        <v>10</v>
      </c>
      <c r="T2189" s="35" t="str">
        <f>VLOOKUP(Tabla1[[#This Row],[AREA]],Hoja1!A:B,2,FALSE)</f>
        <v>10. Servicios sociales y mediación comunitaria</v>
      </c>
      <c r="U2189" s="35" t="str">
        <f>MID(Tabla1[[#This Row],[Aplicación]],9,4)</f>
        <v>2316</v>
      </c>
      <c r="V2189" s="35" t="str">
        <f>VLOOKUP(Tabla1[[#This Row],[PROGRAMA]],Hoja1!A:B,2,FALSE)</f>
        <v>2316. Mediación comunitaria</v>
      </c>
      <c r="W2189" s="35" t="str">
        <f>MID(Tabla1[[#This Row],[Aplicación]],14,2)</f>
        <v>22</v>
      </c>
      <c r="X2189" s="35" t="str">
        <f>MID(Tabla1[[#This Row],[Aplicación]],14,6)</f>
        <v>22616</v>
      </c>
    </row>
    <row r="2190" spans="1:24" x14ac:dyDescent="0.25">
      <c r="A2190" s="45">
        <v>220210024827</v>
      </c>
      <c r="B2190" s="46" t="s">
        <v>9</v>
      </c>
      <c r="C2190" s="47">
        <v>44341</v>
      </c>
      <c r="D2190" s="45">
        <v>22021004136</v>
      </c>
      <c r="E2190" s="46" t="s">
        <v>1936</v>
      </c>
      <c r="F2190" s="48">
        <v>6379.12</v>
      </c>
      <c r="G2190" s="54" t="s">
        <v>535</v>
      </c>
      <c r="H2190" s="54" t="s">
        <v>3639</v>
      </c>
      <c r="I2190" s="53" t="s">
        <v>125</v>
      </c>
      <c r="J2190" s="54" t="s">
        <v>127</v>
      </c>
      <c r="K2190" s="54" t="s">
        <v>127</v>
      </c>
      <c r="L2190" s="54" t="s">
        <v>3640</v>
      </c>
      <c r="M2190" s="54" t="s">
        <v>10</v>
      </c>
      <c r="N2190" s="54" t="s">
        <v>11</v>
      </c>
      <c r="O2190" s="49" t="s">
        <v>815</v>
      </c>
      <c r="P2190" s="54" t="s">
        <v>3392</v>
      </c>
      <c r="Q2190" s="35" t="str">
        <f>MID(Tabla1[[#This Row],[Aplicación]],14,1)</f>
        <v>6</v>
      </c>
      <c r="R2190" s="35" t="s">
        <v>496</v>
      </c>
      <c r="S2190" s="35" t="str">
        <f>MID(Tabla1[[#This Row],[Aplicación]],6,2)</f>
        <v>11</v>
      </c>
      <c r="T2190" s="35" t="str">
        <f>VLOOKUP(Tabla1[[#This Row],[AREA]],Hoja1!A:B,2,FALSE)</f>
        <v>11. Salud pública y seguridad ciudadana</v>
      </c>
      <c r="U2190" s="35" t="str">
        <f>MID(Tabla1[[#This Row],[Aplicación]],9,4)</f>
        <v>1361</v>
      </c>
      <c r="V2190" s="35" t="str">
        <f>VLOOKUP(Tabla1[[#This Row],[PROGRAMA]],Hoja1!A:B,2,FALSE)</f>
        <v>1361. Prevención y extinción de incencios</v>
      </c>
      <c r="W2190" s="35" t="str">
        <f>MID(Tabla1[[#This Row],[Aplicación]],14,2)</f>
        <v>63</v>
      </c>
      <c r="X2190" s="35" t="str">
        <f>MID(Tabla1[[#This Row],[Aplicación]],14,6)</f>
        <v>632</v>
      </c>
    </row>
    <row r="2191" spans="1:24" x14ac:dyDescent="0.25">
      <c r="A2191" s="45">
        <v>220210033112</v>
      </c>
      <c r="B2191" s="46" t="s">
        <v>9</v>
      </c>
      <c r="C2191" s="47">
        <v>44376</v>
      </c>
      <c r="D2191" s="45">
        <v>22021004828</v>
      </c>
      <c r="E2191" s="46" t="s">
        <v>1487</v>
      </c>
      <c r="F2191" s="48">
        <v>6352.2</v>
      </c>
      <c r="G2191" s="54" t="s">
        <v>3641</v>
      </c>
      <c r="H2191" s="54" t="s">
        <v>3642</v>
      </c>
      <c r="I2191" s="53" t="s">
        <v>125</v>
      </c>
      <c r="J2191" s="54" t="s">
        <v>3643</v>
      </c>
      <c r="K2191" s="54" t="s">
        <v>126</v>
      </c>
      <c r="L2191" s="54" t="s">
        <v>12</v>
      </c>
      <c r="M2191" s="54" t="s">
        <v>10</v>
      </c>
      <c r="N2191" s="54" t="s">
        <v>11</v>
      </c>
      <c r="O2191" s="49" t="s">
        <v>815</v>
      </c>
      <c r="P2191" s="54" t="s">
        <v>3392</v>
      </c>
      <c r="Q2191" s="35" t="str">
        <f>MID(Tabla1[[#This Row],[Aplicación]],14,1)</f>
        <v>6</v>
      </c>
      <c r="R2191" s="35" t="s">
        <v>496</v>
      </c>
      <c r="S2191" s="35" t="str">
        <f>MID(Tabla1[[#This Row],[Aplicación]],6,2)</f>
        <v>08</v>
      </c>
      <c r="T2191" s="35" t="str">
        <f>VLOOKUP(Tabla1[[#This Row],[AREA]],Hoja1!A:B,2,FALSE)</f>
        <v>08. Movilidad y espacio urbano</v>
      </c>
      <c r="U2191" s="35" t="str">
        <f>MID(Tabla1[[#This Row],[Aplicación]],9,4)</f>
        <v>1532</v>
      </c>
      <c r="V2191" s="35" t="str">
        <f>VLOOKUP(Tabla1[[#This Row],[PROGRAMA]],Hoja1!A:B,2,FALSE)</f>
        <v>1532. Pavimentación vias públicas y otros servicios urbanísticos</v>
      </c>
      <c r="W2191" s="35" t="str">
        <f>MID(Tabla1[[#This Row],[Aplicación]],14,2)</f>
        <v>61</v>
      </c>
      <c r="X2191" s="35" t="str">
        <f>MID(Tabla1[[#This Row],[Aplicación]],14,6)</f>
        <v>619</v>
      </c>
    </row>
    <row r="2192" spans="1:24" x14ac:dyDescent="0.25">
      <c r="A2192" s="45">
        <v>220210028168</v>
      </c>
      <c r="B2192" s="46" t="s">
        <v>9</v>
      </c>
      <c r="C2192" s="47">
        <v>44349</v>
      </c>
      <c r="D2192" s="45">
        <v>22021003715</v>
      </c>
      <c r="E2192" s="46" t="s">
        <v>3334</v>
      </c>
      <c r="F2192" s="48">
        <v>6267.8</v>
      </c>
      <c r="G2192" s="54" t="s">
        <v>3644</v>
      </c>
      <c r="H2192" s="54" t="s">
        <v>3645</v>
      </c>
      <c r="I2192" s="53" t="s">
        <v>125</v>
      </c>
      <c r="J2192" s="54" t="s">
        <v>127</v>
      </c>
      <c r="K2192" s="54" t="s">
        <v>127</v>
      </c>
      <c r="L2192" s="54" t="s">
        <v>12</v>
      </c>
      <c r="M2192" s="54" t="s">
        <v>10</v>
      </c>
      <c r="N2192" s="54" t="s">
        <v>11</v>
      </c>
      <c r="O2192" s="49" t="s">
        <v>815</v>
      </c>
      <c r="P2192" s="54" t="s">
        <v>3392</v>
      </c>
      <c r="Q2192" s="35" t="str">
        <f>MID(Tabla1[[#This Row],[Aplicación]],14,1)</f>
        <v>6</v>
      </c>
      <c r="R2192" s="35" t="s">
        <v>496</v>
      </c>
      <c r="S2192" s="35" t="str">
        <f>MID(Tabla1[[#This Row],[Aplicación]],6,2)</f>
        <v>11</v>
      </c>
      <c r="T2192" s="35" t="str">
        <f>VLOOKUP(Tabla1[[#This Row],[AREA]],Hoja1!A:B,2,FALSE)</f>
        <v>11. Salud pública y seguridad ciudadana</v>
      </c>
      <c r="U2192" s="35" t="str">
        <f>MID(Tabla1[[#This Row],[Aplicación]],9,4)</f>
        <v>3111</v>
      </c>
      <c r="V2192" s="35" t="str">
        <f>VLOOKUP(Tabla1[[#This Row],[PROGRAMA]],Hoja1!A:B,2,FALSE)</f>
        <v>3111. Protección de la salubridad pública</v>
      </c>
      <c r="W2192" s="35" t="str">
        <f>MID(Tabla1[[#This Row],[Aplicación]],14,2)</f>
        <v>63</v>
      </c>
      <c r="X2192" s="35" t="str">
        <f>MID(Tabla1[[#This Row],[Aplicación]],14,6)</f>
        <v>632</v>
      </c>
    </row>
    <row r="2193" spans="1:24" x14ac:dyDescent="0.25">
      <c r="A2193" s="45">
        <v>220210030507</v>
      </c>
      <c r="B2193" s="46" t="s">
        <v>32</v>
      </c>
      <c r="C2193" s="47">
        <v>44358</v>
      </c>
      <c r="D2193" s="45">
        <v>22021004849</v>
      </c>
      <c r="E2193" s="46" t="s">
        <v>2336</v>
      </c>
      <c r="F2193" s="48">
        <v>13271.28</v>
      </c>
      <c r="G2193" s="54" t="s">
        <v>3646</v>
      </c>
      <c r="H2193" s="54" t="s">
        <v>3647</v>
      </c>
      <c r="I2193" s="53" t="s">
        <v>234</v>
      </c>
      <c r="J2193" s="54" t="s">
        <v>3648</v>
      </c>
      <c r="K2193" s="54" t="s">
        <v>178</v>
      </c>
      <c r="L2193" s="54" t="s">
        <v>15</v>
      </c>
      <c r="M2193" s="54" t="s">
        <v>13</v>
      </c>
      <c r="N2193" s="54" t="s">
        <v>14</v>
      </c>
      <c r="O2193" s="49" t="s">
        <v>803</v>
      </c>
      <c r="P2193" s="54" t="s">
        <v>3392</v>
      </c>
      <c r="Q2193" s="35" t="str">
        <f>MID(Tabla1[[#This Row],[Aplicación]],14,1)</f>
        <v>2</v>
      </c>
      <c r="R2193" s="35" t="s">
        <v>495</v>
      </c>
      <c r="S2193" s="35" t="str">
        <f>MID(Tabla1[[#This Row],[Aplicación]],6,2)</f>
        <v>11</v>
      </c>
      <c r="T2193" s="35" t="str">
        <f>VLOOKUP(Tabla1[[#This Row],[AREA]],Hoja1!A:B,2,FALSE)</f>
        <v>11. Salud pública y seguridad ciudadana</v>
      </c>
      <c r="U2193" s="35" t="str">
        <f>MID(Tabla1[[#This Row],[Aplicación]],9,4)</f>
        <v>1361</v>
      </c>
      <c r="V2193" s="35" t="str">
        <f>VLOOKUP(Tabla1[[#This Row],[PROGRAMA]],Hoja1!A:B,2,FALSE)</f>
        <v>1361. Prevención y extinción de incencios</v>
      </c>
      <c r="W2193" s="35" t="str">
        <f>MID(Tabla1[[#This Row],[Aplicación]],14,2)</f>
        <v>22</v>
      </c>
      <c r="X2193" s="35" t="str">
        <f>MID(Tabla1[[#This Row],[Aplicación]],14,6)</f>
        <v>22104</v>
      </c>
    </row>
    <row r="2194" spans="1:24" x14ac:dyDescent="0.25">
      <c r="A2194" s="45">
        <v>220210026143</v>
      </c>
      <c r="B2194" s="46" t="s">
        <v>9</v>
      </c>
      <c r="C2194" s="47">
        <v>44347</v>
      </c>
      <c r="D2194" s="45">
        <v>22021004662</v>
      </c>
      <c r="E2194" s="46" t="s">
        <v>3335</v>
      </c>
      <c r="F2194" s="48">
        <v>6171</v>
      </c>
      <c r="G2194" s="54" t="s">
        <v>3649</v>
      </c>
      <c r="H2194" s="54" t="s">
        <v>3650</v>
      </c>
      <c r="I2194" s="53" t="s">
        <v>125</v>
      </c>
      <c r="J2194" s="54" t="s">
        <v>127</v>
      </c>
      <c r="K2194" s="54" t="s">
        <v>127</v>
      </c>
      <c r="L2194" s="54" t="s">
        <v>12</v>
      </c>
      <c r="M2194" s="54" t="s">
        <v>10</v>
      </c>
      <c r="N2194" s="54" t="s">
        <v>11</v>
      </c>
      <c r="O2194" s="49" t="s">
        <v>815</v>
      </c>
      <c r="P2194" s="54" t="s">
        <v>3392</v>
      </c>
      <c r="Q2194" s="35" t="str">
        <f>MID(Tabla1[[#This Row],[Aplicación]],14,1)</f>
        <v>2</v>
      </c>
      <c r="R2194" s="35" t="s">
        <v>495</v>
      </c>
      <c r="S2194" s="35" t="str">
        <f>MID(Tabla1[[#This Row],[Aplicación]],6,2)</f>
        <v>06</v>
      </c>
      <c r="T2194" s="35" t="str">
        <f>VLOOKUP(Tabla1[[#This Row],[AREA]],Hoja1!A:B,2,FALSE)</f>
        <v>06. Educación, infancia, juventud e igualdad</v>
      </c>
      <c r="U2194" s="35" t="str">
        <f>MID(Tabla1[[#This Row],[Aplicación]],9,4)</f>
        <v>2315</v>
      </c>
      <c r="V2194" s="35" t="str">
        <f>VLOOKUP(Tabla1[[#This Row],[PROGRAMA]],Hoja1!A:B,2,FALSE)</f>
        <v>2315. Políticas de Igualdad e infancia</v>
      </c>
      <c r="W2194" s="35" t="str">
        <f>MID(Tabla1[[#This Row],[Aplicación]],14,2)</f>
        <v>22</v>
      </c>
      <c r="X2194" s="35" t="str">
        <f>MID(Tabla1[[#This Row],[Aplicación]],14,6)</f>
        <v>22706</v>
      </c>
    </row>
    <row r="2195" spans="1:24" x14ac:dyDescent="0.25">
      <c r="A2195" s="45">
        <v>220210030859</v>
      </c>
      <c r="B2195" s="46" t="s">
        <v>9</v>
      </c>
      <c r="C2195" s="47">
        <v>44361</v>
      </c>
      <c r="D2195" s="45">
        <v>22021004790</v>
      </c>
      <c r="E2195" s="46" t="s">
        <v>2636</v>
      </c>
      <c r="F2195" s="48">
        <v>6110.5</v>
      </c>
      <c r="G2195" s="54" t="s">
        <v>93</v>
      </c>
      <c r="H2195" s="54" t="s">
        <v>3651</v>
      </c>
      <c r="I2195" s="53" t="s">
        <v>125</v>
      </c>
      <c r="J2195" s="54" t="s">
        <v>127</v>
      </c>
      <c r="K2195" s="54" t="s">
        <v>127</v>
      </c>
      <c r="L2195" s="54" t="s">
        <v>12</v>
      </c>
      <c r="M2195" s="54" t="s">
        <v>10</v>
      </c>
      <c r="N2195" s="54" t="s">
        <v>11</v>
      </c>
      <c r="O2195" s="49" t="s">
        <v>815</v>
      </c>
      <c r="P2195" s="54" t="s">
        <v>3392</v>
      </c>
      <c r="Q2195" s="35" t="str">
        <f>MID(Tabla1[[#This Row],[Aplicación]],14,1)</f>
        <v>2</v>
      </c>
      <c r="R2195" s="35" t="s">
        <v>495</v>
      </c>
      <c r="S2195" s="35" t="str">
        <f>MID(Tabla1[[#This Row],[Aplicación]],6,2)</f>
        <v>07</v>
      </c>
      <c r="T2195" s="35" t="str">
        <f>VLOOKUP(Tabla1[[#This Row],[AREA]],Hoja1!A:B,2,FALSE)</f>
        <v>07. Medio ambiente y desarrollo sostenible</v>
      </c>
      <c r="U2195" s="35" t="str">
        <f>MID(Tabla1[[#This Row],[Aplicación]],9,4)</f>
        <v>1721</v>
      </c>
      <c r="V2195" s="35" t="str">
        <f>VLOOKUP(Tabla1[[#This Row],[PROGRAMA]],Hoja1!A:B,2,FALSE)</f>
        <v>1721. Protección del medio ambiente</v>
      </c>
      <c r="W2195" s="35" t="str">
        <f>MID(Tabla1[[#This Row],[Aplicación]],14,2)</f>
        <v>22</v>
      </c>
      <c r="X2195" s="35" t="str">
        <f>MID(Tabla1[[#This Row],[Aplicación]],14,6)</f>
        <v>22706</v>
      </c>
    </row>
    <row r="2196" spans="1:24" x14ac:dyDescent="0.25">
      <c r="A2196" s="45">
        <v>220210020358</v>
      </c>
      <c r="B2196" s="46" t="s">
        <v>204</v>
      </c>
      <c r="C2196" s="47">
        <v>44321</v>
      </c>
      <c r="D2196" s="45">
        <v>22021002458</v>
      </c>
      <c r="E2196" s="46" t="s">
        <v>1988</v>
      </c>
      <c r="F2196" s="48">
        <v>423742</v>
      </c>
      <c r="G2196" s="54" t="s">
        <v>41</v>
      </c>
      <c r="H2196" s="54" t="s">
        <v>3652</v>
      </c>
      <c r="I2196" s="53" t="s">
        <v>205</v>
      </c>
      <c r="J2196" s="54" t="s">
        <v>146</v>
      </c>
      <c r="K2196" s="54" t="s">
        <v>146</v>
      </c>
      <c r="L2196" s="54" t="s">
        <v>12</v>
      </c>
      <c r="M2196" s="54" t="s">
        <v>13</v>
      </c>
      <c r="N2196" s="54" t="s">
        <v>14</v>
      </c>
      <c r="O2196" s="49" t="s">
        <v>803</v>
      </c>
      <c r="P2196" s="54" t="s">
        <v>3392</v>
      </c>
      <c r="Q2196" s="35" t="str">
        <f>MID(Tabla1[[#This Row],[Aplicación]],14,1)</f>
        <v>2</v>
      </c>
      <c r="R2196" s="35" t="s">
        <v>495</v>
      </c>
      <c r="S2196" s="35" t="str">
        <f>MID(Tabla1[[#This Row],[Aplicación]],6,2)</f>
        <v>11</v>
      </c>
      <c r="T2196" s="35" t="str">
        <f>VLOOKUP(Tabla1[[#This Row],[AREA]],Hoja1!A:B,2,FALSE)</f>
        <v>11. Salud pública y seguridad ciudadana</v>
      </c>
      <c r="U2196" s="35" t="str">
        <f>MID(Tabla1[[#This Row],[Aplicación]],9,4)</f>
        <v>1321</v>
      </c>
      <c r="V2196" s="35" t="str">
        <f>VLOOKUP(Tabla1[[#This Row],[PROGRAMA]],Hoja1!A:B,2,FALSE)</f>
        <v>1321. Policía municipal</v>
      </c>
      <c r="W2196" s="35" t="str">
        <f>MID(Tabla1[[#This Row],[Aplicación]],14,2)</f>
        <v>22</v>
      </c>
      <c r="X2196" s="35" t="str">
        <f>MID(Tabla1[[#This Row],[Aplicación]],14,6)</f>
        <v>22799</v>
      </c>
    </row>
    <row r="2197" spans="1:24" x14ac:dyDescent="0.25">
      <c r="A2197" s="45">
        <v>220210020615</v>
      </c>
      <c r="B2197" s="46" t="s">
        <v>9</v>
      </c>
      <c r="C2197" s="47">
        <v>44322</v>
      </c>
      <c r="D2197" s="45">
        <v>22021004158</v>
      </c>
      <c r="E2197" s="46" t="s">
        <v>1187</v>
      </c>
      <c r="F2197" s="48">
        <v>6050</v>
      </c>
      <c r="G2197" s="54" t="s">
        <v>65</v>
      </c>
      <c r="H2197" s="54" t="s">
        <v>3653</v>
      </c>
      <c r="I2197" s="53" t="s">
        <v>125</v>
      </c>
      <c r="J2197" s="54" t="s">
        <v>127</v>
      </c>
      <c r="K2197" s="54" t="s">
        <v>127</v>
      </c>
      <c r="L2197" s="54" t="s">
        <v>12</v>
      </c>
      <c r="M2197" s="54" t="s">
        <v>10</v>
      </c>
      <c r="N2197" s="54" t="s">
        <v>11</v>
      </c>
      <c r="O2197" s="49" t="s">
        <v>814</v>
      </c>
      <c r="P2197" s="54" t="s">
        <v>3392</v>
      </c>
      <c r="Q2197" s="35" t="str">
        <f>MID(Tabla1[[#This Row],[Aplicación]],14,1)</f>
        <v>2</v>
      </c>
      <c r="R2197" s="35" t="s">
        <v>495</v>
      </c>
      <c r="S2197" s="35" t="str">
        <f>MID(Tabla1[[#This Row],[Aplicación]],6,2)</f>
        <v>06</v>
      </c>
      <c r="T2197" s="35" t="str">
        <f>VLOOKUP(Tabla1[[#This Row],[AREA]],Hoja1!A:B,2,FALSE)</f>
        <v>06. Educación, infancia, juventud e igualdad</v>
      </c>
      <c r="U2197" s="35" t="str">
        <f>MID(Tabla1[[#This Row],[Aplicación]],9,4)</f>
        <v>2315</v>
      </c>
      <c r="V2197" s="35" t="str">
        <f>VLOOKUP(Tabla1[[#This Row],[PROGRAMA]],Hoja1!A:B,2,FALSE)</f>
        <v>2315. Políticas de Igualdad e infancia</v>
      </c>
      <c r="W2197" s="35" t="str">
        <f>MID(Tabla1[[#This Row],[Aplicación]],14,2)</f>
        <v>22</v>
      </c>
      <c r="X2197" s="35" t="str">
        <f>MID(Tabla1[[#This Row],[Aplicación]],14,6)</f>
        <v>22611</v>
      </c>
    </row>
    <row r="2198" spans="1:24" x14ac:dyDescent="0.25">
      <c r="A2198" s="45">
        <v>220210016084</v>
      </c>
      <c r="B2198" s="46" t="s">
        <v>9</v>
      </c>
      <c r="C2198" s="47">
        <v>44305</v>
      </c>
      <c r="D2198" s="45">
        <v>22021003910</v>
      </c>
      <c r="E2198" s="46" t="s">
        <v>2704</v>
      </c>
      <c r="F2198" s="48">
        <v>6000</v>
      </c>
      <c r="G2198" s="54" t="s">
        <v>1526</v>
      </c>
      <c r="H2198" s="54" t="s">
        <v>3654</v>
      </c>
      <c r="I2198" s="53" t="s">
        <v>125</v>
      </c>
      <c r="J2198" s="54" t="s">
        <v>126</v>
      </c>
      <c r="K2198" s="54" t="s">
        <v>126</v>
      </c>
      <c r="L2198" s="54" t="s">
        <v>12</v>
      </c>
      <c r="M2198" s="54" t="s">
        <v>10</v>
      </c>
      <c r="N2198" s="54" t="s">
        <v>11</v>
      </c>
      <c r="O2198" s="49" t="s">
        <v>815</v>
      </c>
      <c r="P2198" s="54" t="s">
        <v>3392</v>
      </c>
      <c r="Q2198" s="35" t="str">
        <f>MID(Tabla1[[#This Row],[Aplicación]],14,1)</f>
        <v>2</v>
      </c>
      <c r="R2198" s="35" t="s">
        <v>495</v>
      </c>
      <c r="S2198" s="35" t="str">
        <f>MID(Tabla1[[#This Row],[Aplicación]],6,2)</f>
        <v>04</v>
      </c>
      <c r="T2198" s="35" t="str">
        <f>VLOOKUP(Tabla1[[#This Row],[AREA]],Hoja1!A:B,2,FALSE)</f>
        <v>04. Planificación y recursos</v>
      </c>
      <c r="U2198" s="35" t="str">
        <f>MID(Tabla1[[#This Row],[Aplicación]],9,4)</f>
        <v>3121</v>
      </c>
      <c r="V2198" s="35" t="str">
        <f>VLOOKUP(Tabla1[[#This Row],[PROGRAMA]],Hoja1!A:B,2,FALSE)</f>
        <v>3121. Prevención y salud laboral</v>
      </c>
      <c r="W2198" s="35" t="str">
        <f>MID(Tabla1[[#This Row],[Aplicación]],14,2)</f>
        <v>22</v>
      </c>
      <c r="X2198" s="35" t="str">
        <f>MID(Tabla1[[#This Row],[Aplicación]],14,6)</f>
        <v>22799</v>
      </c>
    </row>
    <row r="2199" spans="1:24" x14ac:dyDescent="0.25">
      <c r="A2199" s="45">
        <v>220210031468</v>
      </c>
      <c r="B2199" s="46" t="s">
        <v>3336</v>
      </c>
      <c r="C2199" s="47">
        <v>44368</v>
      </c>
      <c r="D2199" s="45">
        <v>22021002458</v>
      </c>
      <c r="E2199" s="46" t="s">
        <v>1988</v>
      </c>
      <c r="F2199" s="48">
        <v>-54144.800000000003</v>
      </c>
      <c r="G2199" s="54" t="s">
        <v>41</v>
      </c>
      <c r="H2199" s="54" t="s">
        <v>3655</v>
      </c>
      <c r="I2199" s="53" t="s">
        <v>205</v>
      </c>
      <c r="J2199" s="54" t="s">
        <v>146</v>
      </c>
      <c r="K2199" s="54" t="s">
        <v>146</v>
      </c>
      <c r="L2199" s="54" t="s">
        <v>12</v>
      </c>
      <c r="M2199" s="54" t="s">
        <v>13</v>
      </c>
      <c r="N2199" s="54" t="s">
        <v>14</v>
      </c>
      <c r="O2199" s="49" t="s">
        <v>803</v>
      </c>
      <c r="P2199" s="54" t="s">
        <v>3392</v>
      </c>
      <c r="Q2199" s="35" t="str">
        <f>MID(Tabla1[[#This Row],[Aplicación]],14,1)</f>
        <v>2</v>
      </c>
      <c r="R2199" s="35" t="s">
        <v>495</v>
      </c>
      <c r="S2199" s="35" t="str">
        <f>MID(Tabla1[[#This Row],[Aplicación]],6,2)</f>
        <v>11</v>
      </c>
      <c r="T2199" s="35" t="str">
        <f>VLOOKUP(Tabla1[[#This Row],[AREA]],Hoja1!A:B,2,FALSE)</f>
        <v>11. Salud pública y seguridad ciudadana</v>
      </c>
      <c r="U2199" s="35" t="str">
        <f>MID(Tabla1[[#This Row],[Aplicación]],9,4)</f>
        <v>1321</v>
      </c>
      <c r="V2199" s="35" t="str">
        <f>VLOOKUP(Tabla1[[#This Row],[PROGRAMA]],Hoja1!A:B,2,FALSE)</f>
        <v>1321. Policía municipal</v>
      </c>
      <c r="W2199" s="35" t="str">
        <f>MID(Tabla1[[#This Row],[Aplicación]],14,2)</f>
        <v>22</v>
      </c>
      <c r="X2199" s="35" t="str">
        <f>MID(Tabla1[[#This Row],[Aplicación]],14,6)</f>
        <v>22799</v>
      </c>
    </row>
    <row r="2200" spans="1:24" x14ac:dyDescent="0.25">
      <c r="A2200" s="45">
        <v>220210018982</v>
      </c>
      <c r="B2200" s="46" t="s">
        <v>9</v>
      </c>
      <c r="C2200" s="47">
        <v>44316</v>
      </c>
      <c r="D2200" s="45">
        <v>22021004122</v>
      </c>
      <c r="E2200" s="46" t="s">
        <v>1378</v>
      </c>
      <c r="F2200" s="48">
        <v>5996.08</v>
      </c>
      <c r="G2200" s="54" t="s">
        <v>3656</v>
      </c>
      <c r="H2200" s="54" t="s">
        <v>3657</v>
      </c>
      <c r="I2200" s="53" t="s">
        <v>125</v>
      </c>
      <c r="J2200" s="54" t="s">
        <v>126</v>
      </c>
      <c r="K2200" s="54" t="s">
        <v>126</v>
      </c>
      <c r="L2200" s="54" t="s">
        <v>15</v>
      </c>
      <c r="M2200" s="54" t="s">
        <v>10</v>
      </c>
      <c r="N2200" s="54" t="s">
        <v>11</v>
      </c>
      <c r="O2200" s="49" t="s">
        <v>815</v>
      </c>
      <c r="P2200" s="54" t="s">
        <v>3392</v>
      </c>
      <c r="Q2200" s="35" t="str">
        <f>MID(Tabla1[[#This Row],[Aplicación]],14,1)</f>
        <v>2</v>
      </c>
      <c r="R2200" s="35" t="s">
        <v>495</v>
      </c>
      <c r="S2200" s="35" t="str">
        <f>MID(Tabla1[[#This Row],[Aplicación]],6,2)</f>
        <v>01</v>
      </c>
      <c r="T2200" s="35" t="str">
        <f>VLOOKUP(Tabla1[[#This Row],[AREA]],Hoja1!A:B,2,FALSE)</f>
        <v>01. Alcaldía</v>
      </c>
      <c r="U2200" s="35" t="str">
        <f>MID(Tabla1[[#This Row],[Aplicación]],9,4)</f>
        <v>9205</v>
      </c>
      <c r="V2200" s="35" t="str">
        <f>VLOOKUP(Tabla1[[#This Row],[PROGRAMA]],Hoja1!A:B,2,FALSE)</f>
        <v>9205. Imprenta municipal</v>
      </c>
      <c r="W2200" s="35" t="str">
        <f>MID(Tabla1[[#This Row],[Aplicación]],14,2)</f>
        <v>22</v>
      </c>
      <c r="X2200" s="35" t="str">
        <f>MID(Tabla1[[#This Row],[Aplicación]],14,6)</f>
        <v>22199</v>
      </c>
    </row>
    <row r="2201" spans="1:24" x14ac:dyDescent="0.25">
      <c r="A2201" s="45">
        <v>220210030626</v>
      </c>
      <c r="B2201" s="46" t="s">
        <v>9</v>
      </c>
      <c r="C2201" s="47">
        <v>44358</v>
      </c>
      <c r="D2201" s="45">
        <v>22021004659</v>
      </c>
      <c r="E2201" s="46" t="s">
        <v>1660</v>
      </c>
      <c r="F2201" s="48">
        <v>5950</v>
      </c>
      <c r="G2201" s="54" t="s">
        <v>2968</v>
      </c>
      <c r="H2201" s="54" t="s">
        <v>3658</v>
      </c>
      <c r="I2201" s="53" t="s">
        <v>125</v>
      </c>
      <c r="J2201" s="54" t="s">
        <v>157</v>
      </c>
      <c r="K2201" s="54" t="s">
        <v>157</v>
      </c>
      <c r="L2201" s="54" t="s">
        <v>12</v>
      </c>
      <c r="M2201" s="54" t="s">
        <v>10</v>
      </c>
      <c r="N2201" s="54" t="s">
        <v>11</v>
      </c>
      <c r="O2201" s="49" t="s">
        <v>815</v>
      </c>
      <c r="P2201" s="54" t="s">
        <v>3392</v>
      </c>
      <c r="Q2201" s="35" t="str">
        <f>MID(Tabla1[[#This Row],[Aplicación]],14,1)</f>
        <v>2</v>
      </c>
      <c r="R2201" s="35" t="s">
        <v>495</v>
      </c>
      <c r="S2201" s="35" t="str">
        <f>MID(Tabla1[[#This Row],[Aplicación]],6,2)</f>
        <v>04</v>
      </c>
      <c r="T2201" s="35" t="str">
        <f>VLOOKUP(Tabla1[[#This Row],[AREA]],Hoja1!A:B,2,FALSE)</f>
        <v>04. Planificación y recursos</v>
      </c>
      <c r="U2201" s="35" t="str">
        <f>MID(Tabla1[[#This Row],[Aplicación]],9,4)</f>
        <v>9202</v>
      </c>
      <c r="V2201" s="35" t="str">
        <f>VLOOKUP(Tabla1[[#This Row],[PROGRAMA]],Hoja1!A:B,2,FALSE)</f>
        <v>9202. Gestión de recursos humanos</v>
      </c>
      <c r="W2201" s="35" t="str">
        <f>MID(Tabla1[[#This Row],[Aplicación]],14,2)</f>
        <v>22</v>
      </c>
      <c r="X2201" s="35" t="str">
        <f>MID(Tabla1[[#This Row],[Aplicación]],14,6)</f>
        <v>22607</v>
      </c>
    </row>
    <row r="2202" spans="1:24" x14ac:dyDescent="0.25">
      <c r="A2202" s="45">
        <v>220210022842</v>
      </c>
      <c r="B2202" s="46" t="s">
        <v>9</v>
      </c>
      <c r="C2202" s="47">
        <v>44334</v>
      </c>
      <c r="D2202" s="45">
        <v>22021004157</v>
      </c>
      <c r="E2202" s="46" t="s">
        <v>2382</v>
      </c>
      <c r="F2202" s="48">
        <v>5941.5</v>
      </c>
      <c r="G2202" s="54" t="s">
        <v>202</v>
      </c>
      <c r="H2202" s="54" t="s">
        <v>3659</v>
      </c>
      <c r="I2202" s="53" t="s">
        <v>125</v>
      </c>
      <c r="J2202" s="54" t="s">
        <v>203</v>
      </c>
      <c r="K2202" s="54" t="s">
        <v>203</v>
      </c>
      <c r="L2202" s="54" t="s">
        <v>12</v>
      </c>
      <c r="M2202" s="54" t="s">
        <v>10</v>
      </c>
      <c r="N2202" s="54" t="s">
        <v>11</v>
      </c>
      <c r="O2202" s="49" t="s">
        <v>815</v>
      </c>
      <c r="P2202" s="54" t="s">
        <v>3392</v>
      </c>
      <c r="Q2202" s="35" t="str">
        <f>MID(Tabla1[[#This Row],[Aplicación]],14,1)</f>
        <v>2</v>
      </c>
      <c r="R2202" s="35" t="s">
        <v>495</v>
      </c>
      <c r="S2202" s="35" t="str">
        <f>MID(Tabla1[[#This Row],[Aplicación]],6,2)</f>
        <v>04</v>
      </c>
      <c r="T2202" s="35" t="str">
        <f>VLOOKUP(Tabla1[[#This Row],[AREA]],Hoja1!A:B,2,FALSE)</f>
        <v>04. Planificación y recursos</v>
      </c>
      <c r="U2202" s="35" t="str">
        <f>MID(Tabla1[[#This Row],[Aplicación]],9,4)</f>
        <v>9341</v>
      </c>
      <c r="V2202" s="35" t="str">
        <f>VLOOKUP(Tabla1[[#This Row],[PROGRAMA]],Hoja1!A:B,2,FALSE)</f>
        <v>9341. Tesorería y recaudación</v>
      </c>
      <c r="W2202" s="35" t="str">
        <f>MID(Tabla1[[#This Row],[Aplicación]],14,2)</f>
        <v>22</v>
      </c>
      <c r="X2202" s="35" t="str">
        <f>MID(Tabla1[[#This Row],[Aplicación]],14,6)</f>
        <v>22699</v>
      </c>
    </row>
    <row r="2203" spans="1:24" x14ac:dyDescent="0.25">
      <c r="A2203" s="45">
        <v>220210020445</v>
      </c>
      <c r="B2203" s="46" t="s">
        <v>9</v>
      </c>
      <c r="C2203" s="47">
        <v>44322</v>
      </c>
      <c r="D2203" s="45">
        <v>22021004283</v>
      </c>
      <c r="E2203" s="46" t="s">
        <v>1180</v>
      </c>
      <c r="F2203" s="48">
        <v>5910.85</v>
      </c>
      <c r="G2203" s="54" t="s">
        <v>3660</v>
      </c>
      <c r="H2203" s="54" t="s">
        <v>3661</v>
      </c>
      <c r="I2203" s="53" t="s">
        <v>125</v>
      </c>
      <c r="J2203" s="54" t="s">
        <v>634</v>
      </c>
      <c r="K2203" s="54" t="s">
        <v>127</v>
      </c>
      <c r="L2203" s="54" t="s">
        <v>15</v>
      </c>
      <c r="M2203" s="54" t="s">
        <v>10</v>
      </c>
      <c r="N2203" s="54" t="s">
        <v>11</v>
      </c>
      <c r="O2203" s="49" t="s">
        <v>815</v>
      </c>
      <c r="P2203" s="54" t="s">
        <v>3392</v>
      </c>
      <c r="Q2203" s="35" t="str">
        <f>MID(Tabla1[[#This Row],[Aplicación]],14,1)</f>
        <v>2</v>
      </c>
      <c r="R2203" s="35" t="s">
        <v>495</v>
      </c>
      <c r="S2203" s="35" t="str">
        <f>MID(Tabla1[[#This Row],[Aplicación]],6,2)</f>
        <v>08</v>
      </c>
      <c r="T2203" s="35" t="str">
        <f>VLOOKUP(Tabla1[[#This Row],[AREA]],Hoja1!A:B,2,FALSE)</f>
        <v>08. Movilidad y espacio urbano</v>
      </c>
      <c r="U2203" s="35" t="str">
        <f>MID(Tabla1[[#This Row],[Aplicación]],9,4)</f>
        <v>1532</v>
      </c>
      <c r="V2203" s="35" t="str">
        <f>VLOOKUP(Tabla1[[#This Row],[PROGRAMA]],Hoja1!A:B,2,FALSE)</f>
        <v>1532. Pavimentación vias públicas y otros servicios urbanísticos</v>
      </c>
      <c r="W2203" s="35" t="str">
        <f>MID(Tabla1[[#This Row],[Aplicación]],14,2)</f>
        <v>21</v>
      </c>
      <c r="X2203" s="35" t="str">
        <f>MID(Tabla1[[#This Row],[Aplicación]],14,6)</f>
        <v>210</v>
      </c>
    </row>
    <row r="2204" spans="1:24" x14ac:dyDescent="0.25">
      <c r="A2204" s="45">
        <v>220210026150</v>
      </c>
      <c r="B2204" s="46" t="s">
        <v>9</v>
      </c>
      <c r="C2204" s="47">
        <v>44347</v>
      </c>
      <c r="D2204" s="45">
        <v>22021004577</v>
      </c>
      <c r="E2204" s="46" t="s">
        <v>1267</v>
      </c>
      <c r="F2204" s="48">
        <v>5900</v>
      </c>
      <c r="G2204" s="54" t="s">
        <v>3662</v>
      </c>
      <c r="H2204" s="54" t="s">
        <v>3663</v>
      </c>
      <c r="I2204" s="53" t="s">
        <v>125</v>
      </c>
      <c r="J2204" s="54" t="s">
        <v>127</v>
      </c>
      <c r="K2204" s="54" t="s">
        <v>127</v>
      </c>
      <c r="L2204" s="54" t="s">
        <v>15</v>
      </c>
      <c r="M2204" s="54" t="s">
        <v>10</v>
      </c>
      <c r="N2204" s="54" t="s">
        <v>11</v>
      </c>
      <c r="O2204" s="49" t="s">
        <v>815</v>
      </c>
      <c r="P2204" s="54" t="s">
        <v>3392</v>
      </c>
      <c r="Q2204" s="35" t="str">
        <f>MID(Tabla1[[#This Row],[Aplicación]],14,1)</f>
        <v>2</v>
      </c>
      <c r="R2204" s="35" t="s">
        <v>495</v>
      </c>
      <c r="S2204" s="35" t="str">
        <f>MID(Tabla1[[#This Row],[Aplicación]],6,2)</f>
        <v>03</v>
      </c>
      <c r="T2204" s="35" t="str">
        <f>VLOOKUP(Tabla1[[#This Row],[AREA]],Hoja1!A:B,2,FALSE)</f>
        <v>03. Participación ciudadana y deportes</v>
      </c>
      <c r="U2204" s="35" t="str">
        <f>MID(Tabla1[[#This Row],[Aplicación]],9,4)</f>
        <v>9241</v>
      </c>
      <c r="V2204" s="35" t="str">
        <f>VLOOKUP(Tabla1[[#This Row],[PROGRAMA]],Hoja1!A:B,2,FALSE)</f>
        <v>9241. Participación ciudadana</v>
      </c>
      <c r="W2204" s="35" t="str">
        <f>MID(Tabla1[[#This Row],[Aplicación]],14,2)</f>
        <v>22</v>
      </c>
      <c r="X2204" s="35" t="str">
        <f>MID(Tabla1[[#This Row],[Aplicación]],14,6)</f>
        <v>22602</v>
      </c>
    </row>
    <row r="2205" spans="1:24" x14ac:dyDescent="0.25">
      <c r="A2205" s="45">
        <v>220210033121</v>
      </c>
      <c r="B2205" s="46" t="s">
        <v>9</v>
      </c>
      <c r="C2205" s="47">
        <v>44377</v>
      </c>
      <c r="D2205" s="45">
        <v>22021005082</v>
      </c>
      <c r="E2205" s="46" t="s">
        <v>3337</v>
      </c>
      <c r="F2205" s="48">
        <v>5844.78</v>
      </c>
      <c r="G2205" s="54" t="s">
        <v>298</v>
      </c>
      <c r="H2205" s="54" t="s">
        <v>3664</v>
      </c>
      <c r="I2205" s="53" t="s">
        <v>125</v>
      </c>
      <c r="J2205" s="54" t="s">
        <v>127</v>
      </c>
      <c r="K2205" s="54" t="s">
        <v>127</v>
      </c>
      <c r="L2205" s="54" t="s">
        <v>15</v>
      </c>
      <c r="M2205" s="54" t="s">
        <v>10</v>
      </c>
      <c r="N2205" s="54" t="s">
        <v>14</v>
      </c>
      <c r="O2205" s="49" t="s">
        <v>815</v>
      </c>
      <c r="P2205" s="54" t="s">
        <v>3392</v>
      </c>
      <c r="Q2205" s="35" t="str">
        <f>MID(Tabla1[[#This Row],[Aplicación]],14,1)</f>
        <v>6</v>
      </c>
      <c r="R2205" s="35" t="s">
        <v>496</v>
      </c>
      <c r="S2205" s="35" t="str">
        <f>MID(Tabla1[[#This Row],[Aplicación]],6,2)</f>
        <v>10</v>
      </c>
      <c r="T2205" s="35" t="str">
        <f>VLOOKUP(Tabla1[[#This Row],[AREA]],Hoja1!A:B,2,FALSE)</f>
        <v>10. Servicios sociales y mediación comunitaria</v>
      </c>
      <c r="U2205" s="35" t="str">
        <f>MID(Tabla1[[#This Row],[Aplicación]],9,4)</f>
        <v>2311</v>
      </c>
      <c r="V2205" s="35" t="str">
        <f>VLOOKUP(Tabla1[[#This Row],[PROGRAMA]],Hoja1!A:B,2,FALSE)</f>
        <v>2311. Intervención social</v>
      </c>
      <c r="W2205" s="35" t="str">
        <f>MID(Tabla1[[#This Row],[Aplicación]],14,2)</f>
        <v>63</v>
      </c>
      <c r="X2205" s="35" t="str">
        <f>MID(Tabla1[[#This Row],[Aplicación]],14,6)</f>
        <v>635</v>
      </c>
    </row>
    <row r="2206" spans="1:24" x14ac:dyDescent="0.25">
      <c r="A2206" s="45">
        <v>220210031333</v>
      </c>
      <c r="B2206" s="46" t="s">
        <v>204</v>
      </c>
      <c r="C2206" s="47">
        <v>44365</v>
      </c>
      <c r="D2206" s="45">
        <v>22021002500</v>
      </c>
      <c r="E2206" s="46" t="s">
        <v>1286</v>
      </c>
      <c r="F2206" s="48">
        <v>101640</v>
      </c>
      <c r="G2206" s="54" t="s">
        <v>3665</v>
      </c>
      <c r="H2206" s="54" t="s">
        <v>3666</v>
      </c>
      <c r="I2206" s="53" t="s">
        <v>205</v>
      </c>
      <c r="J2206" s="54" t="s">
        <v>732</v>
      </c>
      <c r="K2206" s="54" t="s">
        <v>127</v>
      </c>
      <c r="L2206" s="54" t="s">
        <v>15</v>
      </c>
      <c r="M2206" s="54" t="s">
        <v>13</v>
      </c>
      <c r="N2206" s="54" t="s">
        <v>16</v>
      </c>
      <c r="O2206" s="49" t="s">
        <v>803</v>
      </c>
      <c r="P2206" s="54" t="s">
        <v>3392</v>
      </c>
      <c r="Q2206" s="35" t="str">
        <f>MID(Tabla1[[#This Row],[Aplicación]],14,1)</f>
        <v>6</v>
      </c>
      <c r="R2206" s="35" t="s">
        <v>496</v>
      </c>
      <c r="S2206" s="35" t="str">
        <f>MID(Tabla1[[#This Row],[Aplicación]],6,2)</f>
        <v>04</v>
      </c>
      <c r="T2206" s="35" t="str">
        <f>VLOOKUP(Tabla1[[#This Row],[AREA]],Hoja1!A:B,2,FALSE)</f>
        <v>04. Planificación y recursos</v>
      </c>
      <c r="U2206" s="35" t="str">
        <f>MID(Tabla1[[#This Row],[Aplicación]],9,4)</f>
        <v>9204</v>
      </c>
      <c r="V2206" s="35" t="str">
        <f>VLOOKUP(Tabla1[[#This Row],[PROGRAMA]],Hoja1!A:B,2,FALSE)</f>
        <v>9204. Tecnologías de la información y comunicación</v>
      </c>
      <c r="W2206" s="35" t="str">
        <f>MID(Tabla1[[#This Row],[Aplicación]],14,2)</f>
        <v>64</v>
      </c>
      <c r="X2206" s="35" t="str">
        <f>MID(Tabla1[[#This Row],[Aplicación]],14,6)</f>
        <v>641</v>
      </c>
    </row>
    <row r="2207" spans="1:24" x14ac:dyDescent="0.25">
      <c r="A2207" s="45">
        <v>220210021020</v>
      </c>
      <c r="B2207" s="46" t="s">
        <v>9</v>
      </c>
      <c r="C2207" s="47">
        <v>44323</v>
      </c>
      <c r="D2207" s="45">
        <v>22021004319</v>
      </c>
      <c r="E2207" s="46" t="s">
        <v>881</v>
      </c>
      <c r="F2207" s="48">
        <v>5808</v>
      </c>
      <c r="G2207" s="54" t="s">
        <v>3667</v>
      </c>
      <c r="H2207" s="54" t="s">
        <v>3668</v>
      </c>
      <c r="I2207" s="53" t="s">
        <v>125</v>
      </c>
      <c r="J2207" s="54" t="s">
        <v>1663</v>
      </c>
      <c r="K2207" s="54" t="s">
        <v>127</v>
      </c>
      <c r="L2207" s="54" t="s">
        <v>12</v>
      </c>
      <c r="M2207" s="54" t="s">
        <v>10</v>
      </c>
      <c r="N2207" s="54" t="s">
        <v>16</v>
      </c>
      <c r="O2207" s="49" t="s">
        <v>815</v>
      </c>
      <c r="P2207" s="54" t="s">
        <v>3392</v>
      </c>
      <c r="Q2207" s="35" t="str">
        <f>MID(Tabla1[[#This Row],[Aplicación]],14,1)</f>
        <v>2</v>
      </c>
      <c r="R2207" s="35" t="s">
        <v>495</v>
      </c>
      <c r="S2207" s="35" t="str">
        <f>MID(Tabla1[[#This Row],[Aplicación]],6,2)</f>
        <v>05</v>
      </c>
      <c r="T2207" s="35" t="str">
        <f>VLOOKUP(Tabla1[[#This Row],[AREA]],Hoja1!A:B,2,FALSE)</f>
        <v>05. Innovación, desarrollo económico, empleo y comercio</v>
      </c>
      <c r="U2207" s="35" t="str">
        <f>MID(Tabla1[[#This Row],[Aplicación]],9,4)</f>
        <v>4331</v>
      </c>
      <c r="V2207" s="35" t="str">
        <f>VLOOKUP(Tabla1[[#This Row],[PROGRAMA]],Hoja1!A:B,2,FALSE)</f>
        <v>4331. Desarrollo empresarial</v>
      </c>
      <c r="W2207" s="35" t="str">
        <f>MID(Tabla1[[#This Row],[Aplicación]],14,2)</f>
        <v>22</v>
      </c>
      <c r="X2207" s="35" t="str">
        <f>MID(Tabla1[[#This Row],[Aplicación]],14,6)</f>
        <v>22799</v>
      </c>
    </row>
    <row r="2208" spans="1:24" x14ac:dyDescent="0.25">
      <c r="A2208" s="45">
        <v>220210032894</v>
      </c>
      <c r="B2208" s="46" t="s">
        <v>9</v>
      </c>
      <c r="C2208" s="47">
        <v>44372</v>
      </c>
      <c r="D2208" s="45">
        <v>22021005034</v>
      </c>
      <c r="E2208" s="46" t="s">
        <v>2992</v>
      </c>
      <c r="F2208" s="48">
        <v>5808</v>
      </c>
      <c r="G2208" s="54" t="s">
        <v>111</v>
      </c>
      <c r="H2208" s="54" t="s">
        <v>3669</v>
      </c>
      <c r="I2208" s="53" t="s">
        <v>125</v>
      </c>
      <c r="J2208" s="54" t="s">
        <v>127</v>
      </c>
      <c r="K2208" s="54" t="s">
        <v>127</v>
      </c>
      <c r="L2208" s="54" t="s">
        <v>12</v>
      </c>
      <c r="M2208" s="54" t="s">
        <v>10</v>
      </c>
      <c r="N2208" s="54" t="s">
        <v>14</v>
      </c>
      <c r="O2208" s="49" t="s">
        <v>815</v>
      </c>
      <c r="P2208" s="54" t="s">
        <v>3392</v>
      </c>
      <c r="Q2208" s="35" t="str">
        <f>MID(Tabla1[[#This Row],[Aplicación]],14,1)</f>
        <v>2</v>
      </c>
      <c r="R2208" s="35" t="s">
        <v>495</v>
      </c>
      <c r="S2208" s="35" t="str">
        <f>MID(Tabla1[[#This Row],[Aplicación]],6,2)</f>
        <v>05</v>
      </c>
      <c r="T2208" s="35" t="str">
        <f>VLOOKUP(Tabla1[[#This Row],[AREA]],Hoja1!A:B,2,FALSE)</f>
        <v>05. Innovación, desarrollo económico, empleo y comercio</v>
      </c>
      <c r="U2208" s="35" t="str">
        <f>MID(Tabla1[[#This Row],[Aplicación]],9,4)</f>
        <v>4314</v>
      </c>
      <c r="V2208" s="35" t="str">
        <f>VLOOKUP(Tabla1[[#This Row],[PROGRAMA]],Hoja1!A:B,2,FALSE)</f>
        <v>4314. Fomento del comercio</v>
      </c>
      <c r="W2208" s="35" t="str">
        <f>MID(Tabla1[[#This Row],[Aplicación]],14,2)</f>
        <v>22</v>
      </c>
      <c r="X2208" s="35" t="str">
        <f>MID(Tabla1[[#This Row],[Aplicación]],14,6)</f>
        <v>22706</v>
      </c>
    </row>
    <row r="2209" spans="1:24" x14ac:dyDescent="0.25">
      <c r="A2209" s="45">
        <v>220200073766</v>
      </c>
      <c r="B2209" s="46" t="s">
        <v>9</v>
      </c>
      <c r="C2209" s="47">
        <v>44375</v>
      </c>
      <c r="D2209" s="45">
        <v>22020007665</v>
      </c>
      <c r="E2209" s="46" t="s">
        <v>1438</v>
      </c>
      <c r="F2209" s="48">
        <v>5804.6</v>
      </c>
      <c r="G2209" s="54" t="s">
        <v>260</v>
      </c>
      <c r="H2209" s="54" t="s">
        <v>3670</v>
      </c>
      <c r="I2209" s="53" t="s">
        <v>125</v>
      </c>
      <c r="J2209" s="54" t="s">
        <v>126</v>
      </c>
      <c r="K2209" s="54" t="s">
        <v>126</v>
      </c>
      <c r="L2209" s="54" t="s">
        <v>15</v>
      </c>
      <c r="M2209" s="54" t="s">
        <v>10</v>
      </c>
      <c r="N2209" s="54" t="s">
        <v>11</v>
      </c>
      <c r="O2209" s="49" t="s">
        <v>815</v>
      </c>
      <c r="P2209" s="54" t="s">
        <v>3392</v>
      </c>
      <c r="Q2209" s="35" t="str">
        <f>MID(Tabla1[[#This Row],[Aplicación]],14,1)</f>
        <v>2</v>
      </c>
      <c r="R2209" s="35" t="s">
        <v>495</v>
      </c>
      <c r="S2209" s="35" t="str">
        <f>MID(Tabla1[[#This Row],[Aplicación]],6,2)</f>
        <v>01</v>
      </c>
      <c r="T2209" s="35" t="str">
        <f>VLOOKUP(Tabla1[[#This Row],[AREA]],Hoja1!A:B,2,FALSE)</f>
        <v>01. Alcaldía</v>
      </c>
      <c r="U2209" s="35" t="str">
        <f>MID(Tabla1[[#This Row],[Aplicación]],9,4)</f>
        <v>9206</v>
      </c>
      <c r="V2209" s="35" t="str">
        <f>VLOOKUP(Tabla1[[#This Row],[PROGRAMA]],Hoja1!A:B,2,FALSE)</f>
        <v>9206. Archivo municipal</v>
      </c>
      <c r="W2209" s="35" t="str">
        <f>MID(Tabla1[[#This Row],[Aplicación]],14,2)</f>
        <v>22</v>
      </c>
      <c r="X2209" s="35" t="str">
        <f>MID(Tabla1[[#This Row],[Aplicación]],14,6)</f>
        <v>22001</v>
      </c>
    </row>
    <row r="2210" spans="1:24" x14ac:dyDescent="0.25">
      <c r="A2210" s="45">
        <v>220210031335</v>
      </c>
      <c r="B2210" s="46" t="s">
        <v>204</v>
      </c>
      <c r="C2210" s="47">
        <v>44365</v>
      </c>
      <c r="D2210" s="45">
        <v>22021002501</v>
      </c>
      <c r="E2210" s="46" t="s">
        <v>1286</v>
      </c>
      <c r="F2210" s="48">
        <v>11459.87</v>
      </c>
      <c r="G2210" s="54" t="s">
        <v>3665</v>
      </c>
      <c r="H2210" s="54" t="s">
        <v>3671</v>
      </c>
      <c r="I2210" s="53" t="s">
        <v>205</v>
      </c>
      <c r="J2210" s="54" t="s">
        <v>732</v>
      </c>
      <c r="K2210" s="54" t="s">
        <v>127</v>
      </c>
      <c r="L2210" s="54" t="s">
        <v>15</v>
      </c>
      <c r="M2210" s="54" t="s">
        <v>13</v>
      </c>
      <c r="N2210" s="54" t="s">
        <v>16</v>
      </c>
      <c r="O2210" s="49" t="s">
        <v>803</v>
      </c>
      <c r="P2210" s="54" t="s">
        <v>3392</v>
      </c>
      <c r="Q2210" s="35" t="str">
        <f>MID(Tabla1[[#This Row],[Aplicación]],14,1)</f>
        <v>6</v>
      </c>
      <c r="R2210" s="35" t="s">
        <v>496</v>
      </c>
      <c r="S2210" s="35" t="str">
        <f>MID(Tabla1[[#This Row],[Aplicación]],6,2)</f>
        <v>04</v>
      </c>
      <c r="T2210" s="35" t="str">
        <f>VLOOKUP(Tabla1[[#This Row],[AREA]],Hoja1!A:B,2,FALSE)</f>
        <v>04. Planificación y recursos</v>
      </c>
      <c r="U2210" s="35" t="str">
        <f>MID(Tabla1[[#This Row],[Aplicación]],9,4)</f>
        <v>9204</v>
      </c>
      <c r="V2210" s="35" t="str">
        <f>VLOOKUP(Tabla1[[#This Row],[PROGRAMA]],Hoja1!A:B,2,FALSE)</f>
        <v>9204. Tecnologías de la información y comunicación</v>
      </c>
      <c r="W2210" s="35" t="str">
        <f>MID(Tabla1[[#This Row],[Aplicación]],14,2)</f>
        <v>64</v>
      </c>
      <c r="X2210" s="35" t="str">
        <f>MID(Tabla1[[#This Row],[Aplicación]],14,6)</f>
        <v>641</v>
      </c>
    </row>
    <row r="2211" spans="1:24" x14ac:dyDescent="0.25">
      <c r="A2211" s="45">
        <v>220210023158</v>
      </c>
      <c r="B2211" s="46" t="s">
        <v>9</v>
      </c>
      <c r="C2211" s="47">
        <v>44335</v>
      </c>
      <c r="D2211" s="45">
        <v>22021004455</v>
      </c>
      <c r="E2211" s="46" t="s">
        <v>3338</v>
      </c>
      <c r="F2211" s="48">
        <v>5664.44</v>
      </c>
      <c r="G2211" s="54" t="s">
        <v>224</v>
      </c>
      <c r="H2211" s="54" t="s">
        <v>3672</v>
      </c>
      <c r="I2211" s="53" t="s">
        <v>125</v>
      </c>
      <c r="J2211" s="54" t="s">
        <v>661</v>
      </c>
      <c r="K2211" s="54" t="s">
        <v>127</v>
      </c>
      <c r="L2211" s="54" t="s">
        <v>15</v>
      </c>
      <c r="M2211" s="54" t="s">
        <v>10</v>
      </c>
      <c r="N2211" s="54" t="s">
        <v>11</v>
      </c>
      <c r="O2211" s="49" t="s">
        <v>815</v>
      </c>
      <c r="P2211" s="54" t="s">
        <v>3392</v>
      </c>
      <c r="Q2211" s="35" t="str">
        <f>MID(Tabla1[[#This Row],[Aplicación]],14,1)</f>
        <v>6</v>
      </c>
      <c r="R2211" s="35" t="s">
        <v>496</v>
      </c>
      <c r="S2211" s="35" t="str">
        <f>MID(Tabla1[[#This Row],[Aplicación]],6,2)</f>
        <v>06</v>
      </c>
      <c r="T2211" s="35" t="str">
        <f>VLOOKUP(Tabla1[[#This Row],[AREA]],Hoja1!A:B,2,FALSE)</f>
        <v>06. Educación, infancia, juventud e igualdad</v>
      </c>
      <c r="U2211" s="35" t="str">
        <f>MID(Tabla1[[#This Row],[Aplicación]],9,4)</f>
        <v>2315</v>
      </c>
      <c r="V2211" s="35" t="str">
        <f>VLOOKUP(Tabla1[[#This Row],[PROGRAMA]],Hoja1!A:B,2,FALSE)</f>
        <v>2315. Políticas de Igualdad e infancia</v>
      </c>
      <c r="W2211" s="35" t="str">
        <f>MID(Tabla1[[#This Row],[Aplicación]],14,2)</f>
        <v>62</v>
      </c>
      <c r="X2211" s="35" t="str">
        <f>MID(Tabla1[[#This Row],[Aplicación]],14,6)</f>
        <v>626</v>
      </c>
    </row>
    <row r="2212" spans="1:24" x14ac:dyDescent="0.25">
      <c r="A2212" s="45">
        <v>220210018970</v>
      </c>
      <c r="B2212" s="46" t="s">
        <v>204</v>
      </c>
      <c r="C2212" s="47">
        <v>44314</v>
      </c>
      <c r="D2212" s="45">
        <v>22021002219</v>
      </c>
      <c r="E2212" s="46" t="s">
        <v>1648</v>
      </c>
      <c r="F2212" s="48">
        <v>17746.669999999998</v>
      </c>
      <c r="G2212" s="54" t="s">
        <v>3673</v>
      </c>
      <c r="H2212" s="54" t="s">
        <v>3404</v>
      </c>
      <c r="I2212" s="53" t="s">
        <v>205</v>
      </c>
      <c r="J2212" s="54" t="s">
        <v>519</v>
      </c>
      <c r="K2212" s="54" t="s">
        <v>519</v>
      </c>
      <c r="L2212" s="54" t="s">
        <v>12</v>
      </c>
      <c r="M2212" s="54" t="s">
        <v>13</v>
      </c>
      <c r="N2212" s="54" t="s">
        <v>14</v>
      </c>
      <c r="O2212" s="49" t="s">
        <v>803</v>
      </c>
      <c r="P2212" s="54" t="s">
        <v>3392</v>
      </c>
      <c r="Q2212" s="35" t="str">
        <f>MID(Tabla1[[#This Row],[Aplicación]],14,1)</f>
        <v>2</v>
      </c>
      <c r="R2212" s="35" t="s">
        <v>495</v>
      </c>
      <c r="S2212" s="35" t="str">
        <f>MID(Tabla1[[#This Row],[Aplicación]],6,2)</f>
        <v>09</v>
      </c>
      <c r="T2212" s="35" t="str">
        <f>VLOOKUP(Tabla1[[#This Row],[AREA]],Hoja1!A:B,2,FALSE)</f>
        <v>09. Cultura y turismo</v>
      </c>
      <c r="U2212" s="35" t="str">
        <f>MID(Tabla1[[#This Row],[Aplicación]],9,4)</f>
        <v>3341</v>
      </c>
      <c r="V2212" s="35" t="str">
        <f>VLOOKUP(Tabla1[[#This Row],[PROGRAMA]],Hoja1!A:B,2,FALSE)</f>
        <v>3341. Coordinación de políticas culturales</v>
      </c>
      <c r="W2212" s="35" t="str">
        <f>MID(Tabla1[[#This Row],[Aplicación]],14,2)</f>
        <v>22</v>
      </c>
      <c r="X2212" s="35" t="str">
        <f>MID(Tabla1[[#This Row],[Aplicación]],14,6)</f>
        <v>22799</v>
      </c>
    </row>
    <row r="2213" spans="1:24" x14ac:dyDescent="0.25">
      <c r="A2213" s="45">
        <v>220210031453</v>
      </c>
      <c r="B2213" s="46" t="s">
        <v>9</v>
      </c>
      <c r="C2213" s="47">
        <v>44368</v>
      </c>
      <c r="D2213" s="45">
        <v>22021004607</v>
      </c>
      <c r="E2213" s="46" t="s">
        <v>1988</v>
      </c>
      <c r="F2213" s="48">
        <v>92941.18</v>
      </c>
      <c r="G2213" s="54" t="s">
        <v>3674</v>
      </c>
      <c r="H2213" s="54" t="s">
        <v>3675</v>
      </c>
      <c r="I2213" s="53" t="s">
        <v>125</v>
      </c>
      <c r="J2213" s="54" t="s">
        <v>169</v>
      </c>
      <c r="K2213" s="54" t="s">
        <v>169</v>
      </c>
      <c r="L2213" s="54" t="s">
        <v>12</v>
      </c>
      <c r="M2213" s="54" t="s">
        <v>13</v>
      </c>
      <c r="N2213" s="54" t="s">
        <v>14</v>
      </c>
      <c r="O2213" s="49" t="s">
        <v>803</v>
      </c>
      <c r="P2213" s="54" t="s">
        <v>3392</v>
      </c>
      <c r="Q2213" s="35" t="str">
        <f>MID(Tabla1[[#This Row],[Aplicación]],14,1)</f>
        <v>2</v>
      </c>
      <c r="R2213" s="35" t="s">
        <v>495</v>
      </c>
      <c r="S2213" s="35" t="str">
        <f>MID(Tabla1[[#This Row],[Aplicación]],6,2)</f>
        <v>11</v>
      </c>
      <c r="T2213" s="35" t="str">
        <f>VLOOKUP(Tabla1[[#This Row],[AREA]],Hoja1!A:B,2,FALSE)</f>
        <v>11. Salud pública y seguridad ciudadana</v>
      </c>
      <c r="U2213" s="35" t="str">
        <f>MID(Tabla1[[#This Row],[Aplicación]],9,4)</f>
        <v>1321</v>
      </c>
      <c r="V2213" s="35" t="str">
        <f>VLOOKUP(Tabla1[[#This Row],[PROGRAMA]],Hoja1!A:B,2,FALSE)</f>
        <v>1321. Policía municipal</v>
      </c>
      <c r="W2213" s="35" t="str">
        <f>MID(Tabla1[[#This Row],[Aplicación]],14,2)</f>
        <v>22</v>
      </c>
      <c r="X2213" s="35" t="str">
        <f>MID(Tabla1[[#This Row],[Aplicación]],14,6)</f>
        <v>22799</v>
      </c>
    </row>
    <row r="2214" spans="1:24" x14ac:dyDescent="0.25">
      <c r="A2214" s="45">
        <v>220210024829</v>
      </c>
      <c r="B2214" s="46" t="s">
        <v>9</v>
      </c>
      <c r="C2214" s="47">
        <v>44341</v>
      </c>
      <c r="D2214" s="45">
        <v>22021004185</v>
      </c>
      <c r="E2214" s="46" t="s">
        <v>1474</v>
      </c>
      <c r="F2214" s="48">
        <v>5623.67</v>
      </c>
      <c r="G2214" s="54" t="s">
        <v>230</v>
      </c>
      <c r="H2214" s="54" t="s">
        <v>3676</v>
      </c>
      <c r="I2214" s="53" t="s">
        <v>125</v>
      </c>
      <c r="J2214" s="54" t="s">
        <v>127</v>
      </c>
      <c r="K2214" s="54" t="s">
        <v>127</v>
      </c>
      <c r="L2214" s="54" t="s">
        <v>31</v>
      </c>
      <c r="M2214" s="54" t="s">
        <v>10</v>
      </c>
      <c r="N2214" s="54" t="s">
        <v>11</v>
      </c>
      <c r="O2214" s="49" t="s">
        <v>815</v>
      </c>
      <c r="P2214" s="54" t="s">
        <v>3392</v>
      </c>
      <c r="Q2214" s="35" t="str">
        <f>MID(Tabla1[[#This Row],[Aplicación]],14,1)</f>
        <v>6</v>
      </c>
      <c r="R2214" s="35" t="s">
        <v>496</v>
      </c>
      <c r="S2214" s="35" t="str">
        <f>MID(Tabla1[[#This Row],[Aplicación]],6,2)</f>
        <v>08</v>
      </c>
      <c r="T2214" s="35" t="str">
        <f>VLOOKUP(Tabla1[[#This Row],[AREA]],Hoja1!A:B,2,FALSE)</f>
        <v>08. Movilidad y espacio urbano</v>
      </c>
      <c r="U2214" s="35" t="str">
        <f>MID(Tabla1[[#This Row],[Aplicación]],9,4)</f>
        <v>1651</v>
      </c>
      <c r="V2214" s="35" t="str">
        <f>VLOOKUP(Tabla1[[#This Row],[PROGRAMA]],Hoja1!A:B,2,FALSE)</f>
        <v>1651. Alumbrado público</v>
      </c>
      <c r="W2214" s="35" t="str">
        <f>MID(Tabla1[[#This Row],[Aplicación]],14,2)</f>
        <v>61</v>
      </c>
      <c r="X2214" s="35" t="str">
        <f>MID(Tabla1[[#This Row],[Aplicación]],14,6)</f>
        <v>619</v>
      </c>
    </row>
    <row r="2215" spans="1:24" x14ac:dyDescent="0.25">
      <c r="A2215" s="45">
        <v>220210032826</v>
      </c>
      <c r="B2215" s="46" t="s">
        <v>9</v>
      </c>
      <c r="C2215" s="47">
        <v>44371</v>
      </c>
      <c r="D2215" s="45">
        <v>22021004681</v>
      </c>
      <c r="E2215" s="46" t="s">
        <v>1648</v>
      </c>
      <c r="F2215" s="48">
        <v>5515.66</v>
      </c>
      <c r="G2215" s="54" t="s">
        <v>3612</v>
      </c>
      <c r="H2215" s="54" t="s">
        <v>3677</v>
      </c>
      <c r="I2215" s="53" t="s">
        <v>125</v>
      </c>
      <c r="J2215" s="54" t="s">
        <v>127</v>
      </c>
      <c r="K2215" s="54" t="s">
        <v>127</v>
      </c>
      <c r="L2215" s="54" t="s">
        <v>12</v>
      </c>
      <c r="M2215" s="54" t="s">
        <v>10</v>
      </c>
      <c r="N2215" s="54" t="s">
        <v>11</v>
      </c>
      <c r="O2215" s="49" t="s">
        <v>815</v>
      </c>
      <c r="P2215" s="54" t="s">
        <v>3392</v>
      </c>
      <c r="Q2215" s="35" t="str">
        <f>MID(Tabla1[[#This Row],[Aplicación]],14,1)</f>
        <v>2</v>
      </c>
      <c r="R2215" s="35" t="s">
        <v>495</v>
      </c>
      <c r="S2215" s="35" t="str">
        <f>MID(Tabla1[[#This Row],[Aplicación]],6,2)</f>
        <v>09</v>
      </c>
      <c r="T2215" s="35" t="str">
        <f>VLOOKUP(Tabla1[[#This Row],[AREA]],Hoja1!A:B,2,FALSE)</f>
        <v>09. Cultura y turismo</v>
      </c>
      <c r="U2215" s="35" t="str">
        <f>MID(Tabla1[[#This Row],[Aplicación]],9,4)</f>
        <v>3341</v>
      </c>
      <c r="V2215" s="35" t="str">
        <f>VLOOKUP(Tabla1[[#This Row],[PROGRAMA]],Hoja1!A:B,2,FALSE)</f>
        <v>3341. Coordinación de políticas culturales</v>
      </c>
      <c r="W2215" s="35" t="str">
        <f>MID(Tabla1[[#This Row],[Aplicación]],14,2)</f>
        <v>22</v>
      </c>
      <c r="X2215" s="35" t="str">
        <f>MID(Tabla1[[#This Row],[Aplicación]],14,6)</f>
        <v>22799</v>
      </c>
    </row>
    <row r="2216" spans="1:24" x14ac:dyDescent="0.25">
      <c r="A2216" s="45">
        <v>220210023571</v>
      </c>
      <c r="B2216" s="46" t="s">
        <v>9</v>
      </c>
      <c r="C2216" s="47">
        <v>44340</v>
      </c>
      <c r="D2216" s="45">
        <v>22021004409</v>
      </c>
      <c r="E2216" s="46" t="s">
        <v>1542</v>
      </c>
      <c r="F2216" s="48">
        <v>5438.95</v>
      </c>
      <c r="G2216" s="54" t="s">
        <v>3678</v>
      </c>
      <c r="H2216" s="54" t="s">
        <v>3679</v>
      </c>
      <c r="I2216" s="53" t="s">
        <v>125</v>
      </c>
      <c r="J2216" s="54" t="s">
        <v>629</v>
      </c>
      <c r="K2216" s="54" t="s">
        <v>127</v>
      </c>
      <c r="L2216" s="54" t="s">
        <v>12</v>
      </c>
      <c r="M2216" s="54" t="s">
        <v>10</v>
      </c>
      <c r="N2216" s="54" t="s">
        <v>11</v>
      </c>
      <c r="O2216" s="49" t="s">
        <v>815</v>
      </c>
      <c r="P2216" s="54" t="s">
        <v>3392</v>
      </c>
      <c r="Q2216" s="35" t="str">
        <f>MID(Tabla1[[#This Row],[Aplicación]],14,1)</f>
        <v>6</v>
      </c>
      <c r="R2216" s="35" t="s">
        <v>496</v>
      </c>
      <c r="S2216" s="35" t="str">
        <f>MID(Tabla1[[#This Row],[Aplicación]],6,2)</f>
        <v>05</v>
      </c>
      <c r="T2216" s="35" t="str">
        <f>VLOOKUP(Tabla1[[#This Row],[AREA]],Hoja1!A:B,2,FALSE)</f>
        <v>05. Innovación, desarrollo económico, empleo y comercio</v>
      </c>
      <c r="U2216" s="35" t="str">
        <f>MID(Tabla1[[#This Row],[Aplicación]],9,4)</f>
        <v>4331</v>
      </c>
      <c r="V2216" s="35" t="str">
        <f>VLOOKUP(Tabla1[[#This Row],[PROGRAMA]],Hoja1!A:B,2,FALSE)</f>
        <v>4331. Desarrollo empresarial</v>
      </c>
      <c r="W2216" s="35" t="str">
        <f>MID(Tabla1[[#This Row],[Aplicación]],14,2)</f>
        <v>60</v>
      </c>
      <c r="X2216" s="35" t="str">
        <f>MID(Tabla1[[#This Row],[Aplicación]],14,6)</f>
        <v>609</v>
      </c>
    </row>
    <row r="2217" spans="1:24" x14ac:dyDescent="0.25">
      <c r="A2217" s="45">
        <v>220210033125</v>
      </c>
      <c r="B2217" s="46" t="s">
        <v>9</v>
      </c>
      <c r="C2217" s="47">
        <v>44377</v>
      </c>
      <c r="D2217" s="45">
        <v>22021005027</v>
      </c>
      <c r="E2217" s="46" t="s">
        <v>1163</v>
      </c>
      <c r="F2217" s="48">
        <v>5369.22</v>
      </c>
      <c r="G2217" s="54" t="s">
        <v>3680</v>
      </c>
      <c r="H2217" s="54" t="s">
        <v>3681</v>
      </c>
      <c r="I2217" s="53" t="s">
        <v>125</v>
      </c>
      <c r="J2217" s="54" t="s">
        <v>146</v>
      </c>
      <c r="K2217" s="54" t="s">
        <v>146</v>
      </c>
      <c r="L2217" s="54" t="s">
        <v>15</v>
      </c>
      <c r="M2217" s="54" t="s">
        <v>10</v>
      </c>
      <c r="N2217" s="54" t="s">
        <v>16</v>
      </c>
      <c r="O2217" s="49" t="s">
        <v>815</v>
      </c>
      <c r="P2217" s="54" t="s">
        <v>3392</v>
      </c>
      <c r="Q2217" s="35" t="str">
        <f>MID(Tabla1[[#This Row],[Aplicación]],14,1)</f>
        <v>2</v>
      </c>
      <c r="R2217" s="35" t="s">
        <v>495</v>
      </c>
      <c r="S2217" s="35" t="str">
        <f>MID(Tabla1[[#This Row],[Aplicación]],6,2)</f>
        <v>06</v>
      </c>
      <c r="T2217" s="35" t="str">
        <f>VLOOKUP(Tabla1[[#This Row],[AREA]],Hoja1!A:B,2,FALSE)</f>
        <v>06. Educación, infancia, juventud e igualdad</v>
      </c>
      <c r="U2217" s="35" t="str">
        <f>MID(Tabla1[[#This Row],[Aplicación]],9,4)</f>
        <v>3321</v>
      </c>
      <c r="V2217" s="35" t="str">
        <f>VLOOKUP(Tabla1[[#This Row],[PROGRAMA]],Hoja1!A:B,2,FALSE)</f>
        <v>3321. Bibliotecas públicas</v>
      </c>
      <c r="W2217" s="35" t="str">
        <f>MID(Tabla1[[#This Row],[Aplicación]],14,2)</f>
        <v>22</v>
      </c>
      <c r="X2217" s="35" t="str">
        <f>MID(Tabla1[[#This Row],[Aplicación]],14,6)</f>
        <v>22001</v>
      </c>
    </row>
    <row r="2218" spans="1:24" x14ac:dyDescent="0.25">
      <c r="A2218" s="45">
        <v>220210014258</v>
      </c>
      <c r="B2218" s="46" t="s">
        <v>9</v>
      </c>
      <c r="C2218" s="47">
        <v>44293</v>
      </c>
      <c r="D2218" s="45">
        <v>22021002853</v>
      </c>
      <c r="E2218" s="46" t="s">
        <v>1286</v>
      </c>
      <c r="F2218" s="48">
        <v>14421.25</v>
      </c>
      <c r="G2218" s="54" t="s">
        <v>3281</v>
      </c>
      <c r="H2218" s="54" t="s">
        <v>3682</v>
      </c>
      <c r="I2218" s="53" t="s">
        <v>125</v>
      </c>
      <c r="J2218" s="54" t="s">
        <v>136</v>
      </c>
      <c r="K2218" s="54" t="s">
        <v>136</v>
      </c>
      <c r="L2218" s="54" t="s">
        <v>12</v>
      </c>
      <c r="M2218" s="54" t="s">
        <v>13</v>
      </c>
      <c r="N2218" s="54" t="s">
        <v>14</v>
      </c>
      <c r="O2218" s="49" t="s">
        <v>803</v>
      </c>
      <c r="P2218" s="54" t="s">
        <v>3392</v>
      </c>
      <c r="Q2218" s="35" t="str">
        <f>MID(Tabla1[[#This Row],[Aplicación]],14,1)</f>
        <v>6</v>
      </c>
      <c r="R2218" s="35" t="s">
        <v>496</v>
      </c>
      <c r="S2218" s="35" t="str">
        <f>MID(Tabla1[[#This Row],[Aplicación]],6,2)</f>
        <v>04</v>
      </c>
      <c r="T2218" s="35" t="str">
        <f>VLOOKUP(Tabla1[[#This Row],[AREA]],Hoja1!A:B,2,FALSE)</f>
        <v>04. Planificación y recursos</v>
      </c>
      <c r="U2218" s="35" t="str">
        <f>MID(Tabla1[[#This Row],[Aplicación]],9,4)</f>
        <v>9204</v>
      </c>
      <c r="V2218" s="35" t="str">
        <f>VLOOKUP(Tabla1[[#This Row],[PROGRAMA]],Hoja1!A:B,2,FALSE)</f>
        <v>9204. Tecnologías de la información y comunicación</v>
      </c>
      <c r="W2218" s="35" t="str">
        <f>MID(Tabla1[[#This Row],[Aplicación]],14,2)</f>
        <v>64</v>
      </c>
      <c r="X2218" s="35" t="str">
        <f>MID(Tabla1[[#This Row],[Aplicación]],14,6)</f>
        <v>641</v>
      </c>
    </row>
    <row r="2219" spans="1:24" x14ac:dyDescent="0.25">
      <c r="A2219" s="45">
        <v>220210024830</v>
      </c>
      <c r="B2219" s="46" t="s">
        <v>9</v>
      </c>
      <c r="C2219" s="47">
        <v>44341</v>
      </c>
      <c r="D2219" s="45">
        <v>22021004357</v>
      </c>
      <c r="E2219" s="46" t="s">
        <v>1724</v>
      </c>
      <c r="F2219" s="48">
        <v>3485.77</v>
      </c>
      <c r="G2219" s="54" t="s">
        <v>121</v>
      </c>
      <c r="H2219" s="54" t="s">
        <v>3683</v>
      </c>
      <c r="I2219" s="53" t="s">
        <v>125</v>
      </c>
      <c r="J2219" s="54" t="s">
        <v>664</v>
      </c>
      <c r="K2219" s="54" t="s">
        <v>127</v>
      </c>
      <c r="L2219" s="54" t="s">
        <v>12</v>
      </c>
      <c r="M2219" s="54" t="s">
        <v>10</v>
      </c>
      <c r="N2219" s="54" t="s">
        <v>11</v>
      </c>
      <c r="O2219" s="49" t="s">
        <v>815</v>
      </c>
      <c r="P2219" s="54" t="s">
        <v>3392</v>
      </c>
      <c r="Q2219" s="35" t="str">
        <f>MID(Tabla1[[#This Row],[Aplicación]],14,1)</f>
        <v>6</v>
      </c>
      <c r="R2219" s="35" t="s">
        <v>496</v>
      </c>
      <c r="S2219" s="35" t="str">
        <f>MID(Tabla1[[#This Row],[Aplicación]],6,2)</f>
        <v>07</v>
      </c>
      <c r="T2219" s="35" t="str">
        <f>VLOOKUP(Tabla1[[#This Row],[AREA]],Hoja1!A:B,2,FALSE)</f>
        <v>07. Medio ambiente y desarrollo sostenible</v>
      </c>
      <c r="U2219" s="35" t="str">
        <f>MID(Tabla1[[#This Row],[Aplicación]],9,4)</f>
        <v>1711</v>
      </c>
      <c r="V2219" s="35" t="str">
        <f>VLOOKUP(Tabla1[[#This Row],[PROGRAMA]],Hoja1!A:B,2,FALSE)</f>
        <v>1711. Parques y jardines</v>
      </c>
      <c r="W2219" s="35" t="str">
        <f>MID(Tabla1[[#This Row],[Aplicación]],14,2)</f>
        <v>61</v>
      </c>
      <c r="X2219" s="35" t="str">
        <f>MID(Tabla1[[#This Row],[Aplicación]],14,6)</f>
        <v>619</v>
      </c>
    </row>
    <row r="2220" spans="1:24" x14ac:dyDescent="0.25">
      <c r="A2220" s="45">
        <v>220210031354</v>
      </c>
      <c r="B2220" s="46" t="s">
        <v>204</v>
      </c>
      <c r="C2220" s="47">
        <v>44365</v>
      </c>
      <c r="D2220" s="45">
        <v>22021003659</v>
      </c>
      <c r="E2220" s="46" t="s">
        <v>3332</v>
      </c>
      <c r="F2220" s="48">
        <v>6889.75</v>
      </c>
      <c r="G2220" s="54" t="s">
        <v>3684</v>
      </c>
      <c r="H2220" s="54" t="s">
        <v>3685</v>
      </c>
      <c r="I2220" s="53" t="s">
        <v>205</v>
      </c>
      <c r="J2220" s="54" t="s">
        <v>127</v>
      </c>
      <c r="K2220" s="54" t="s">
        <v>127</v>
      </c>
      <c r="L2220" s="54" t="s">
        <v>15</v>
      </c>
      <c r="M2220" s="54" t="s">
        <v>13</v>
      </c>
      <c r="N2220" s="54" t="s">
        <v>16</v>
      </c>
      <c r="O2220" s="49" t="s">
        <v>803</v>
      </c>
      <c r="P2220" s="54" t="s">
        <v>3392</v>
      </c>
      <c r="Q2220" s="35" t="str">
        <f>MID(Tabla1[[#This Row],[Aplicación]],14,1)</f>
        <v>6</v>
      </c>
      <c r="R2220" s="35" t="s">
        <v>496</v>
      </c>
      <c r="S2220" s="35" t="str">
        <f>MID(Tabla1[[#This Row],[Aplicación]],6,2)</f>
        <v>03</v>
      </c>
      <c r="T2220" s="35" t="str">
        <f>VLOOKUP(Tabla1[[#This Row],[AREA]],Hoja1!A:B,2,FALSE)</f>
        <v>03. Participación ciudadana y deportes</v>
      </c>
      <c r="U2220" s="35" t="str">
        <f>MID(Tabla1[[#This Row],[Aplicación]],9,4)</f>
        <v>9241</v>
      </c>
      <c r="V2220" s="35" t="str">
        <f>VLOOKUP(Tabla1[[#This Row],[PROGRAMA]],Hoja1!A:B,2,FALSE)</f>
        <v>9241. Participación ciudadana</v>
      </c>
      <c r="W2220" s="35" t="str">
        <f>MID(Tabla1[[#This Row],[Aplicación]],14,2)</f>
        <v>63</v>
      </c>
      <c r="X2220" s="35" t="str">
        <f>MID(Tabla1[[#This Row],[Aplicación]],14,6)</f>
        <v>635</v>
      </c>
    </row>
    <row r="2221" spans="1:24" x14ac:dyDescent="0.25">
      <c r="A2221" s="45">
        <v>220210014477</v>
      </c>
      <c r="B2221" s="46" t="s">
        <v>204</v>
      </c>
      <c r="C2221" s="47">
        <v>44295</v>
      </c>
      <c r="D2221" s="45">
        <v>22021003381</v>
      </c>
      <c r="E2221" s="46" t="s">
        <v>1183</v>
      </c>
      <c r="F2221" s="48">
        <v>1199.8699999999999</v>
      </c>
      <c r="G2221" s="54" t="s">
        <v>235</v>
      </c>
      <c r="H2221" s="54" t="s">
        <v>3686</v>
      </c>
      <c r="I2221" s="53" t="s">
        <v>205</v>
      </c>
      <c r="J2221" s="54" t="s">
        <v>742</v>
      </c>
      <c r="K2221" s="54" t="s">
        <v>165</v>
      </c>
      <c r="L2221" s="54" t="s">
        <v>15</v>
      </c>
      <c r="M2221" s="54" t="s">
        <v>13</v>
      </c>
      <c r="N2221" s="54" t="s">
        <v>14</v>
      </c>
      <c r="O2221" s="49" t="s">
        <v>803</v>
      </c>
      <c r="P2221" s="54" t="s">
        <v>3392</v>
      </c>
      <c r="Q2221" s="35" t="str">
        <f>MID(Tabla1[[#This Row],[Aplicación]],14,1)</f>
        <v>2</v>
      </c>
      <c r="R2221" s="35" t="s">
        <v>495</v>
      </c>
      <c r="S2221" s="35" t="str">
        <f>MID(Tabla1[[#This Row],[Aplicación]],6,2)</f>
        <v>11</v>
      </c>
      <c r="T2221" s="35" t="str">
        <f>VLOOKUP(Tabla1[[#This Row],[AREA]],Hoja1!A:B,2,FALSE)</f>
        <v>11. Salud pública y seguridad ciudadana</v>
      </c>
      <c r="U2221" s="35" t="str">
        <f>MID(Tabla1[[#This Row],[Aplicación]],9,4)</f>
        <v>1361</v>
      </c>
      <c r="V2221" s="35" t="str">
        <f>VLOOKUP(Tabla1[[#This Row],[PROGRAMA]],Hoja1!A:B,2,FALSE)</f>
        <v>1361. Prevención y extinción de incencios</v>
      </c>
      <c r="W2221" s="35" t="str">
        <f>MID(Tabla1[[#This Row],[Aplicación]],14,2)</f>
        <v>22</v>
      </c>
      <c r="X2221" s="35" t="str">
        <f>MID(Tabla1[[#This Row],[Aplicación]],14,6)</f>
        <v>22199</v>
      </c>
    </row>
    <row r="2222" spans="1:24" x14ac:dyDescent="0.25">
      <c r="A2222" s="45">
        <v>220210030625</v>
      </c>
      <c r="B2222" s="46" t="s">
        <v>9</v>
      </c>
      <c r="C2222" s="47">
        <v>44358</v>
      </c>
      <c r="D2222" s="45">
        <v>22021004657</v>
      </c>
      <c r="E2222" s="46" t="s">
        <v>3339</v>
      </c>
      <c r="F2222" s="48">
        <v>5150</v>
      </c>
      <c r="G2222" s="54" t="s">
        <v>3687</v>
      </c>
      <c r="H2222" s="54" t="s">
        <v>3688</v>
      </c>
      <c r="I2222" s="53" t="s">
        <v>125</v>
      </c>
      <c r="J2222" s="54" t="s">
        <v>127</v>
      </c>
      <c r="K2222" s="54" t="s">
        <v>127</v>
      </c>
      <c r="L2222" s="54" t="s">
        <v>15</v>
      </c>
      <c r="M2222" s="54" t="s">
        <v>10</v>
      </c>
      <c r="N2222" s="54" t="s">
        <v>16</v>
      </c>
      <c r="O2222" s="49" t="s">
        <v>815</v>
      </c>
      <c r="P2222" s="54" t="s">
        <v>3392</v>
      </c>
      <c r="Q2222" s="35" t="str">
        <f>MID(Tabla1[[#This Row],[Aplicación]],14,1)</f>
        <v>1</v>
      </c>
      <c r="R2222" s="35" t="s">
        <v>504</v>
      </c>
      <c r="S2222" s="35" t="str">
        <f>MID(Tabla1[[#This Row],[Aplicación]],6,2)</f>
        <v>04</v>
      </c>
      <c r="T2222" s="35" t="str">
        <f>VLOOKUP(Tabla1[[#This Row],[AREA]],Hoja1!A:B,2,FALSE)</f>
        <v>04. Planificación y recursos</v>
      </c>
      <c r="U2222" s="35" t="str">
        <f>MID(Tabla1[[#This Row],[Aplicación]],9,4)</f>
        <v>9202</v>
      </c>
      <c r="V2222" s="35" t="str">
        <f>VLOOKUP(Tabla1[[#This Row],[PROGRAMA]],Hoja1!A:B,2,FALSE)</f>
        <v>9202. Gestión de recursos humanos</v>
      </c>
      <c r="W2222" s="35" t="str">
        <f>MID(Tabla1[[#This Row],[Aplicación]],14,2)</f>
        <v>16</v>
      </c>
      <c r="X2222" s="35" t="str">
        <f>MID(Tabla1[[#This Row],[Aplicación]],14,6)</f>
        <v>16204</v>
      </c>
    </row>
    <row r="2223" spans="1:24" x14ac:dyDescent="0.25">
      <c r="A2223" s="45">
        <v>220210033119</v>
      </c>
      <c r="B2223" s="46" t="s">
        <v>9</v>
      </c>
      <c r="C2223" s="47">
        <v>44377</v>
      </c>
      <c r="D2223" s="45">
        <v>22021005111</v>
      </c>
      <c r="E2223" s="46" t="s">
        <v>823</v>
      </c>
      <c r="F2223" s="48">
        <v>5115</v>
      </c>
      <c r="G2223" s="54" t="s">
        <v>3689</v>
      </c>
      <c r="H2223" s="54" t="s">
        <v>3690</v>
      </c>
      <c r="I2223" s="53" t="s">
        <v>125</v>
      </c>
      <c r="J2223" s="54" t="s">
        <v>127</v>
      </c>
      <c r="K2223" s="54" t="s">
        <v>127</v>
      </c>
      <c r="L2223" s="54" t="s">
        <v>12</v>
      </c>
      <c r="M2223" s="54" t="s">
        <v>10</v>
      </c>
      <c r="N2223" s="54" t="s">
        <v>11</v>
      </c>
      <c r="O2223" s="49" t="s">
        <v>815</v>
      </c>
      <c r="P2223" s="54" t="s">
        <v>3392</v>
      </c>
      <c r="Q2223" s="35" t="str">
        <f>MID(Tabla1[[#This Row],[Aplicación]],14,1)</f>
        <v>2</v>
      </c>
      <c r="R2223" s="35" t="s">
        <v>495</v>
      </c>
      <c r="S2223" s="35" t="str">
        <f>MID(Tabla1[[#This Row],[Aplicación]],6,2)</f>
        <v>03</v>
      </c>
      <c r="T2223" s="35" t="str">
        <f>VLOOKUP(Tabla1[[#This Row],[AREA]],Hoja1!A:B,2,FALSE)</f>
        <v>03. Participación ciudadana y deportes</v>
      </c>
      <c r="U2223" s="35" t="str">
        <f>MID(Tabla1[[#This Row],[Aplicación]],9,4)</f>
        <v>9241</v>
      </c>
      <c r="V2223" s="35" t="str">
        <f>VLOOKUP(Tabla1[[#This Row],[PROGRAMA]],Hoja1!A:B,2,FALSE)</f>
        <v>9241. Participación ciudadana</v>
      </c>
      <c r="W2223" s="35" t="str">
        <f>MID(Tabla1[[#This Row],[Aplicación]],14,2)</f>
        <v>22</v>
      </c>
      <c r="X2223" s="35" t="str">
        <f>MID(Tabla1[[#This Row],[Aplicación]],14,6)</f>
        <v>22609</v>
      </c>
    </row>
    <row r="2224" spans="1:24" x14ac:dyDescent="0.25">
      <c r="A2224" s="45">
        <v>220210029254</v>
      </c>
      <c r="B2224" s="46" t="s">
        <v>9</v>
      </c>
      <c r="C2224" s="47">
        <v>44354</v>
      </c>
      <c r="D2224" s="45">
        <v>22021004755</v>
      </c>
      <c r="E2224" s="46" t="s">
        <v>1172</v>
      </c>
      <c r="F2224" s="48">
        <v>5043.05</v>
      </c>
      <c r="G2224" s="54" t="s">
        <v>3691</v>
      </c>
      <c r="H2224" s="54" t="s">
        <v>3692</v>
      </c>
      <c r="I2224" s="53" t="s">
        <v>125</v>
      </c>
      <c r="J2224" s="54" t="s">
        <v>157</v>
      </c>
      <c r="K2224" s="54" t="s">
        <v>157</v>
      </c>
      <c r="L2224" s="54" t="s">
        <v>15</v>
      </c>
      <c r="M2224" s="54" t="s">
        <v>10</v>
      </c>
      <c r="N2224" s="54" t="s">
        <v>11</v>
      </c>
      <c r="O2224" s="49" t="s">
        <v>815</v>
      </c>
      <c r="P2224" s="54" t="s">
        <v>3392</v>
      </c>
      <c r="Q2224" s="35" t="str">
        <f>MID(Tabla1[[#This Row],[Aplicación]],14,1)</f>
        <v>6</v>
      </c>
      <c r="R2224" s="35" t="s">
        <v>496</v>
      </c>
      <c r="S2224" s="35" t="str">
        <f>MID(Tabla1[[#This Row],[Aplicación]],6,2)</f>
        <v>02</v>
      </c>
      <c r="T2224" s="35" t="str">
        <f>VLOOKUP(Tabla1[[#This Row],[AREA]],Hoja1!A:B,2,FALSE)</f>
        <v>02. Planeamiento urbanístico y vivienda</v>
      </c>
      <c r="U2224" s="35" t="str">
        <f>MID(Tabla1[[#This Row],[Aplicación]],9,4)</f>
        <v>9332</v>
      </c>
      <c r="V2224" s="35" t="str">
        <f>VLOOKUP(Tabla1[[#This Row],[PROGRAMA]],Hoja1!A:B,2,FALSE)</f>
        <v>9332. Mantenimiento de edificios e instalaciones municipales</v>
      </c>
      <c r="W2224" s="35" t="str">
        <f>MID(Tabla1[[#This Row],[Aplicación]],14,2)</f>
        <v>63</v>
      </c>
      <c r="X2224" s="35" t="str">
        <f>MID(Tabla1[[#This Row],[Aplicación]],14,6)</f>
        <v>632</v>
      </c>
    </row>
    <row r="2225" spans="1:24" x14ac:dyDescent="0.25">
      <c r="A2225" s="45">
        <v>220210031227</v>
      </c>
      <c r="B2225" s="46" t="s">
        <v>204</v>
      </c>
      <c r="C2225" s="47">
        <v>44363</v>
      </c>
      <c r="D2225" s="45">
        <v>22021000004</v>
      </c>
      <c r="E2225" s="46" t="s">
        <v>1525</v>
      </c>
      <c r="F2225" s="48">
        <v>30000</v>
      </c>
      <c r="G2225" s="54" t="s">
        <v>3693</v>
      </c>
      <c r="H2225" s="54" t="s">
        <v>3694</v>
      </c>
      <c r="I2225" s="53" t="s">
        <v>205</v>
      </c>
      <c r="J2225" s="54" t="s">
        <v>3695</v>
      </c>
      <c r="K2225" s="54" t="s">
        <v>146</v>
      </c>
      <c r="L2225" s="54" t="s">
        <v>12</v>
      </c>
      <c r="M2225" s="54" t="s">
        <v>13</v>
      </c>
      <c r="N2225" s="54" t="s">
        <v>11</v>
      </c>
      <c r="O2225" s="49" t="s">
        <v>803</v>
      </c>
      <c r="P2225" s="54" t="s">
        <v>3392</v>
      </c>
      <c r="Q2225" s="35" t="str">
        <f>MID(Tabla1[[#This Row],[Aplicación]],14,1)</f>
        <v>2</v>
      </c>
      <c r="R2225" s="35" t="s">
        <v>495</v>
      </c>
      <c r="S2225" s="35" t="str">
        <f>MID(Tabla1[[#This Row],[Aplicación]],6,2)</f>
        <v>04</v>
      </c>
      <c r="T2225" s="35" t="str">
        <f>VLOOKUP(Tabla1[[#This Row],[AREA]],Hoja1!A:B,2,FALSE)</f>
        <v>04. Planificación y recursos</v>
      </c>
      <c r="U2225" s="35" t="str">
        <f>MID(Tabla1[[#This Row],[Aplicación]],9,4)</f>
        <v>3121</v>
      </c>
      <c r="V2225" s="35" t="str">
        <f>VLOOKUP(Tabla1[[#This Row],[PROGRAMA]],Hoja1!A:B,2,FALSE)</f>
        <v>3121. Prevención y salud laboral</v>
      </c>
      <c r="W2225" s="35" t="str">
        <f>MID(Tabla1[[#This Row],[Aplicación]],14,2)</f>
        <v>22</v>
      </c>
      <c r="X2225" s="35" t="str">
        <f>MID(Tabla1[[#This Row],[Aplicación]],14,6)</f>
        <v>22706</v>
      </c>
    </row>
    <row r="2226" spans="1:24" x14ac:dyDescent="0.25">
      <c r="A2226" s="45">
        <v>220210020441</v>
      </c>
      <c r="B2226" s="46" t="s">
        <v>9</v>
      </c>
      <c r="C2226" s="47">
        <v>44322</v>
      </c>
      <c r="D2226" s="45">
        <v>22021004299</v>
      </c>
      <c r="E2226" s="46" t="s">
        <v>1584</v>
      </c>
      <c r="F2226" s="48">
        <v>4961</v>
      </c>
      <c r="G2226" s="54" t="s">
        <v>93</v>
      </c>
      <c r="H2226" s="54" t="s">
        <v>3696</v>
      </c>
      <c r="I2226" s="53" t="s">
        <v>125</v>
      </c>
      <c r="J2226" s="54" t="s">
        <v>127</v>
      </c>
      <c r="K2226" s="54" t="s">
        <v>127</v>
      </c>
      <c r="L2226" s="54" t="s">
        <v>12</v>
      </c>
      <c r="M2226" s="54" t="s">
        <v>10</v>
      </c>
      <c r="N2226" s="54" t="s">
        <v>11</v>
      </c>
      <c r="O2226" s="49" t="s">
        <v>815</v>
      </c>
      <c r="P2226" s="54" t="s">
        <v>3392</v>
      </c>
      <c r="Q2226" s="35" t="str">
        <f>MID(Tabla1[[#This Row],[Aplicación]],14,1)</f>
        <v>2</v>
      </c>
      <c r="R2226" s="35" t="s">
        <v>495</v>
      </c>
      <c r="S2226" s="35" t="str">
        <f>MID(Tabla1[[#This Row],[Aplicación]],6,2)</f>
        <v>07</v>
      </c>
      <c r="T2226" s="35" t="str">
        <f>VLOOKUP(Tabla1[[#This Row],[AREA]],Hoja1!A:B,2,FALSE)</f>
        <v>07. Medio ambiente y desarrollo sostenible</v>
      </c>
      <c r="U2226" s="35" t="str">
        <f>MID(Tabla1[[#This Row],[Aplicación]],9,4)</f>
        <v>1701</v>
      </c>
      <c r="V2226" s="35" t="str">
        <f>VLOOKUP(Tabla1[[#This Row],[PROGRAMA]],Hoja1!A:B,2,FALSE)</f>
        <v>1701. Dirección del área de medio ambiente</v>
      </c>
      <c r="W2226" s="35" t="str">
        <f>MID(Tabla1[[#This Row],[Aplicación]],14,2)</f>
        <v>22</v>
      </c>
      <c r="X2226" s="35" t="str">
        <f>MID(Tabla1[[#This Row],[Aplicación]],14,6)</f>
        <v>22799</v>
      </c>
    </row>
    <row r="2227" spans="1:24" x14ac:dyDescent="0.25">
      <c r="A2227" s="45">
        <v>220210024825</v>
      </c>
      <c r="B2227" s="46" t="s">
        <v>9</v>
      </c>
      <c r="C2227" s="47">
        <v>44341</v>
      </c>
      <c r="D2227" s="45">
        <v>22021003232</v>
      </c>
      <c r="E2227" s="46" t="s">
        <v>1483</v>
      </c>
      <c r="F2227" s="48">
        <v>4943.18</v>
      </c>
      <c r="G2227" s="54" t="s">
        <v>575</v>
      </c>
      <c r="H2227" s="54" t="s">
        <v>3697</v>
      </c>
      <c r="I2227" s="53" t="s">
        <v>125</v>
      </c>
      <c r="J2227" s="54" t="s">
        <v>127</v>
      </c>
      <c r="K2227" s="54" t="s">
        <v>127</v>
      </c>
      <c r="L2227" s="54" t="s">
        <v>31</v>
      </c>
      <c r="M2227" s="54" t="s">
        <v>10</v>
      </c>
      <c r="N2227" s="54" t="s">
        <v>11</v>
      </c>
      <c r="O2227" s="49" t="s">
        <v>815</v>
      </c>
      <c r="P2227" s="54" t="s">
        <v>3392</v>
      </c>
      <c r="Q2227" s="35" t="str">
        <f>MID(Tabla1[[#This Row],[Aplicación]],14,1)</f>
        <v>6</v>
      </c>
      <c r="R2227" s="35" t="s">
        <v>496</v>
      </c>
      <c r="S2227" s="35" t="str">
        <f>MID(Tabla1[[#This Row],[Aplicación]],6,2)</f>
        <v>03</v>
      </c>
      <c r="T2227" s="35" t="str">
        <f>VLOOKUP(Tabla1[[#This Row],[AREA]],Hoja1!A:B,2,FALSE)</f>
        <v>03. Participación ciudadana y deportes</v>
      </c>
      <c r="U2227" s="35" t="str">
        <f>MID(Tabla1[[#This Row],[Aplicación]],9,4)</f>
        <v>9241</v>
      </c>
      <c r="V2227" s="35" t="str">
        <f>VLOOKUP(Tabla1[[#This Row],[PROGRAMA]],Hoja1!A:B,2,FALSE)</f>
        <v>9241. Participación ciudadana</v>
      </c>
      <c r="W2227" s="35" t="str">
        <f>MID(Tabla1[[#This Row],[Aplicación]],14,2)</f>
        <v>63</v>
      </c>
      <c r="X2227" s="35" t="str">
        <f>MID(Tabla1[[#This Row],[Aplicación]],14,6)</f>
        <v>632</v>
      </c>
    </row>
    <row r="2228" spans="1:24" x14ac:dyDescent="0.25">
      <c r="A2228" s="45">
        <v>220210031220</v>
      </c>
      <c r="B2228" s="46" t="s">
        <v>9</v>
      </c>
      <c r="C2228" s="47">
        <v>44362</v>
      </c>
      <c r="D2228" s="45">
        <v>22021004833</v>
      </c>
      <c r="E2228" s="46" t="s">
        <v>3319</v>
      </c>
      <c r="F2228" s="48">
        <v>4900.5</v>
      </c>
      <c r="G2228" s="54" t="s">
        <v>59</v>
      </c>
      <c r="H2228" s="54" t="s">
        <v>3698</v>
      </c>
      <c r="I2228" s="53" t="s">
        <v>125</v>
      </c>
      <c r="J2228" s="54" t="s">
        <v>127</v>
      </c>
      <c r="K2228" s="54" t="s">
        <v>127</v>
      </c>
      <c r="L2228" s="54" t="s">
        <v>15</v>
      </c>
      <c r="M2228" s="54" t="s">
        <v>10</v>
      </c>
      <c r="N2228" s="54" t="s">
        <v>11</v>
      </c>
      <c r="O2228" s="49" t="s">
        <v>815</v>
      </c>
      <c r="P2228" s="54" t="s">
        <v>3392</v>
      </c>
      <c r="Q2228" s="35" t="str">
        <f>MID(Tabla1[[#This Row],[Aplicación]],14,1)</f>
        <v>6</v>
      </c>
      <c r="R2228" s="35" t="s">
        <v>496</v>
      </c>
      <c r="S2228" s="35" t="str">
        <f>MID(Tabla1[[#This Row],[Aplicación]],6,2)</f>
        <v>11</v>
      </c>
      <c r="T2228" s="35" t="str">
        <f>VLOOKUP(Tabla1[[#This Row],[AREA]],Hoja1!A:B,2,FALSE)</f>
        <v>11. Salud pública y seguridad ciudadana</v>
      </c>
      <c r="U2228" s="35" t="str">
        <f>MID(Tabla1[[#This Row],[Aplicación]],9,4)</f>
        <v>1321</v>
      </c>
      <c r="V2228" s="35" t="str">
        <f>VLOOKUP(Tabla1[[#This Row],[PROGRAMA]],Hoja1!A:B,2,FALSE)</f>
        <v>1321. Policía municipal</v>
      </c>
      <c r="W2228" s="35" t="str">
        <f>MID(Tabla1[[#This Row],[Aplicación]],14,2)</f>
        <v>62</v>
      </c>
      <c r="X2228" s="35" t="str">
        <f>MID(Tabla1[[#This Row],[Aplicación]],14,6)</f>
        <v>623</v>
      </c>
    </row>
    <row r="2229" spans="1:24" x14ac:dyDescent="0.25">
      <c r="A2229" s="45">
        <v>220210030277</v>
      </c>
      <c r="B2229" s="46" t="s">
        <v>9</v>
      </c>
      <c r="C2229" s="47">
        <v>44357</v>
      </c>
      <c r="D2229" s="45">
        <v>22021004804</v>
      </c>
      <c r="E2229" s="46" t="s">
        <v>881</v>
      </c>
      <c r="F2229" s="48">
        <v>4773.45</v>
      </c>
      <c r="G2229" s="54" t="s">
        <v>3699</v>
      </c>
      <c r="H2229" s="54" t="s">
        <v>3700</v>
      </c>
      <c r="I2229" s="53" t="s">
        <v>125</v>
      </c>
      <c r="J2229" s="54" t="s">
        <v>127</v>
      </c>
      <c r="K2229" s="54" t="s">
        <v>127</v>
      </c>
      <c r="L2229" s="54" t="s">
        <v>12</v>
      </c>
      <c r="M2229" s="54" t="s">
        <v>10</v>
      </c>
      <c r="N2229" s="54" t="s">
        <v>11</v>
      </c>
      <c r="O2229" s="49" t="s">
        <v>815</v>
      </c>
      <c r="P2229" s="54" t="s">
        <v>3392</v>
      </c>
      <c r="Q2229" s="35" t="str">
        <f>MID(Tabla1[[#This Row],[Aplicación]],14,1)</f>
        <v>2</v>
      </c>
      <c r="R2229" s="35" t="s">
        <v>495</v>
      </c>
      <c r="S2229" s="35" t="str">
        <f>MID(Tabla1[[#This Row],[Aplicación]],6,2)</f>
        <v>05</v>
      </c>
      <c r="T2229" s="35" t="str">
        <f>VLOOKUP(Tabla1[[#This Row],[AREA]],Hoja1!A:B,2,FALSE)</f>
        <v>05. Innovación, desarrollo económico, empleo y comercio</v>
      </c>
      <c r="U2229" s="35" t="str">
        <f>MID(Tabla1[[#This Row],[Aplicación]],9,4)</f>
        <v>4331</v>
      </c>
      <c r="V2229" s="35" t="str">
        <f>VLOOKUP(Tabla1[[#This Row],[PROGRAMA]],Hoja1!A:B,2,FALSE)</f>
        <v>4331. Desarrollo empresarial</v>
      </c>
      <c r="W2229" s="35" t="str">
        <f>MID(Tabla1[[#This Row],[Aplicación]],14,2)</f>
        <v>22</v>
      </c>
      <c r="X2229" s="35" t="str">
        <f>MID(Tabla1[[#This Row],[Aplicación]],14,6)</f>
        <v>22799</v>
      </c>
    </row>
    <row r="2230" spans="1:24" x14ac:dyDescent="0.25">
      <c r="A2230" s="45">
        <v>220210015512</v>
      </c>
      <c r="B2230" s="46" t="s">
        <v>9</v>
      </c>
      <c r="C2230" s="47">
        <v>44300</v>
      </c>
      <c r="D2230" s="45">
        <v>22021003366</v>
      </c>
      <c r="E2230" s="46" t="s">
        <v>1574</v>
      </c>
      <c r="F2230" s="48">
        <v>4729.59</v>
      </c>
      <c r="G2230" s="54" t="s">
        <v>3600</v>
      </c>
      <c r="H2230" s="54" t="s">
        <v>3701</v>
      </c>
      <c r="I2230" s="53" t="s">
        <v>125</v>
      </c>
      <c r="J2230" s="54" t="s">
        <v>127</v>
      </c>
      <c r="K2230" s="54" t="s">
        <v>127</v>
      </c>
      <c r="L2230" s="54" t="s">
        <v>31</v>
      </c>
      <c r="M2230" s="54" t="s">
        <v>10</v>
      </c>
      <c r="N2230" s="54" t="s">
        <v>11</v>
      </c>
      <c r="O2230" s="49" t="s">
        <v>815</v>
      </c>
      <c r="P2230" s="54" t="s">
        <v>3392</v>
      </c>
      <c r="Q2230" s="35" t="str">
        <f>MID(Tabla1[[#This Row],[Aplicación]],14,1)</f>
        <v>2</v>
      </c>
      <c r="R2230" s="35" t="s">
        <v>495</v>
      </c>
      <c r="S2230" s="35" t="str">
        <f>MID(Tabla1[[#This Row],[Aplicación]],6,2)</f>
        <v>06</v>
      </c>
      <c r="T2230" s="35" t="str">
        <f>VLOOKUP(Tabla1[[#This Row],[AREA]],Hoja1!A:B,2,FALSE)</f>
        <v>06. Educación, infancia, juventud e igualdad</v>
      </c>
      <c r="U2230" s="35" t="str">
        <f>MID(Tabla1[[#This Row],[Aplicación]],9,4)</f>
        <v>3231</v>
      </c>
      <c r="V2230" s="35" t="str">
        <f>VLOOKUP(Tabla1[[#This Row],[PROGRAMA]],Hoja1!A:B,2,FALSE)</f>
        <v>3231. Escuelas infantiles</v>
      </c>
      <c r="W2230" s="35" t="str">
        <f>MID(Tabla1[[#This Row],[Aplicación]],14,2)</f>
        <v>21</v>
      </c>
      <c r="X2230" s="35" t="str">
        <f>MID(Tabla1[[#This Row],[Aplicación]],14,6)</f>
        <v>212</v>
      </c>
    </row>
    <row r="2231" spans="1:24" x14ac:dyDescent="0.25">
      <c r="A2231" s="45">
        <v>220210031328</v>
      </c>
      <c r="B2231" s="46" t="s">
        <v>9</v>
      </c>
      <c r="C2231" s="47">
        <v>44364</v>
      </c>
      <c r="D2231" s="45">
        <v>22021004932</v>
      </c>
      <c r="E2231" s="46" t="s">
        <v>881</v>
      </c>
      <c r="F2231" s="48">
        <v>4579.8500000000004</v>
      </c>
      <c r="G2231" s="54" t="s">
        <v>3702</v>
      </c>
      <c r="H2231" s="54" t="s">
        <v>3703</v>
      </c>
      <c r="I2231" s="53" t="s">
        <v>125</v>
      </c>
      <c r="J2231" s="54" t="s">
        <v>127</v>
      </c>
      <c r="K2231" s="54" t="s">
        <v>127</v>
      </c>
      <c r="L2231" s="54" t="s">
        <v>12</v>
      </c>
      <c r="M2231" s="54" t="s">
        <v>10</v>
      </c>
      <c r="N2231" s="54" t="s">
        <v>11</v>
      </c>
      <c r="O2231" s="49" t="s">
        <v>815</v>
      </c>
      <c r="P2231" s="54" t="s">
        <v>3392</v>
      </c>
      <c r="Q2231" s="35" t="str">
        <f>MID(Tabla1[[#This Row],[Aplicación]],14,1)</f>
        <v>2</v>
      </c>
      <c r="R2231" s="35" t="s">
        <v>495</v>
      </c>
      <c r="S2231" s="35" t="str">
        <f>MID(Tabla1[[#This Row],[Aplicación]],6,2)</f>
        <v>05</v>
      </c>
      <c r="T2231" s="35" t="str">
        <f>VLOOKUP(Tabla1[[#This Row],[AREA]],Hoja1!A:B,2,FALSE)</f>
        <v>05. Innovación, desarrollo económico, empleo y comercio</v>
      </c>
      <c r="U2231" s="35" t="str">
        <f>MID(Tabla1[[#This Row],[Aplicación]],9,4)</f>
        <v>4331</v>
      </c>
      <c r="V2231" s="35" t="str">
        <f>VLOOKUP(Tabla1[[#This Row],[PROGRAMA]],Hoja1!A:B,2,FALSE)</f>
        <v>4331. Desarrollo empresarial</v>
      </c>
      <c r="W2231" s="35" t="str">
        <f>MID(Tabla1[[#This Row],[Aplicación]],14,2)</f>
        <v>22</v>
      </c>
      <c r="X2231" s="35" t="str">
        <f>MID(Tabla1[[#This Row],[Aplicación]],14,6)</f>
        <v>22799</v>
      </c>
    </row>
    <row r="2232" spans="1:24" x14ac:dyDescent="0.25">
      <c r="A2232" s="45">
        <v>220210024846</v>
      </c>
      <c r="B2232" s="46" t="s">
        <v>9</v>
      </c>
      <c r="C2232" s="47">
        <v>44341</v>
      </c>
      <c r="D2232" s="45">
        <v>22021004540</v>
      </c>
      <c r="E2232" s="46" t="s">
        <v>1220</v>
      </c>
      <c r="F2232" s="48">
        <v>4512.09</v>
      </c>
      <c r="G2232" s="54" t="s">
        <v>163</v>
      </c>
      <c r="H2232" s="54" t="s">
        <v>3704</v>
      </c>
      <c r="I2232" s="53" t="s">
        <v>125</v>
      </c>
      <c r="J2232" s="54" t="s">
        <v>127</v>
      </c>
      <c r="K2232" s="54" t="s">
        <v>126</v>
      </c>
      <c r="L2232" s="54" t="s">
        <v>15</v>
      </c>
      <c r="M2232" s="54" t="s">
        <v>10</v>
      </c>
      <c r="N2232" s="54" t="s">
        <v>11</v>
      </c>
      <c r="O2232" s="49" t="s">
        <v>815</v>
      </c>
      <c r="P2232" s="54" t="s">
        <v>3392</v>
      </c>
      <c r="Q2232" s="35" t="str">
        <f>MID(Tabla1[[#This Row],[Aplicación]],14,1)</f>
        <v>2</v>
      </c>
      <c r="R2232" s="35" t="s">
        <v>495</v>
      </c>
      <c r="S2232" s="35" t="str">
        <f>MID(Tabla1[[#This Row],[Aplicación]],6,2)</f>
        <v>03</v>
      </c>
      <c r="T2232" s="35" t="str">
        <f>VLOOKUP(Tabla1[[#This Row],[AREA]],Hoja1!A:B,2,FALSE)</f>
        <v>03. Participación ciudadana y deportes</v>
      </c>
      <c r="U2232" s="35" t="str">
        <f>MID(Tabla1[[#This Row],[Aplicación]],9,4)</f>
        <v>9241</v>
      </c>
      <c r="V2232" s="35" t="str">
        <f>VLOOKUP(Tabla1[[#This Row],[PROGRAMA]],Hoja1!A:B,2,FALSE)</f>
        <v>9241. Participación ciudadana</v>
      </c>
      <c r="W2232" s="35" t="str">
        <f>MID(Tabla1[[#This Row],[Aplicación]],14,2)</f>
        <v>21</v>
      </c>
      <c r="X2232" s="35" t="str">
        <f>MID(Tabla1[[#This Row],[Aplicación]],14,6)</f>
        <v>213</v>
      </c>
    </row>
    <row r="2233" spans="1:24" x14ac:dyDescent="0.25">
      <c r="A2233" s="45">
        <v>220210025618</v>
      </c>
      <c r="B2233" s="46" t="s">
        <v>204</v>
      </c>
      <c r="C2233" s="47">
        <v>44342</v>
      </c>
      <c r="D2233" s="45">
        <v>22021003374</v>
      </c>
      <c r="E2233" s="46" t="s">
        <v>3313</v>
      </c>
      <c r="F2233" s="48">
        <v>45980</v>
      </c>
      <c r="G2233" s="54" t="s">
        <v>51</v>
      </c>
      <c r="H2233" s="54" t="s">
        <v>3705</v>
      </c>
      <c r="I2233" s="53" t="s">
        <v>205</v>
      </c>
      <c r="J2233" s="54" t="s">
        <v>127</v>
      </c>
      <c r="K2233" s="54" t="s">
        <v>127</v>
      </c>
      <c r="L2233" s="54" t="s">
        <v>15</v>
      </c>
      <c r="M2233" s="54" t="s">
        <v>13</v>
      </c>
      <c r="N2233" s="54" t="s">
        <v>16</v>
      </c>
      <c r="O2233" s="49" t="s">
        <v>803</v>
      </c>
      <c r="P2233" s="54" t="s">
        <v>3392</v>
      </c>
      <c r="Q2233" s="35" t="str">
        <f>MID(Tabla1[[#This Row],[Aplicación]],14,1)</f>
        <v>6</v>
      </c>
      <c r="R2233" s="35" t="s">
        <v>496</v>
      </c>
      <c r="S2233" s="35" t="str">
        <f>MID(Tabla1[[#This Row],[Aplicación]],6,2)</f>
        <v>06</v>
      </c>
      <c r="T2233" s="35" t="str">
        <f>VLOOKUP(Tabla1[[#This Row],[AREA]],Hoja1!A:B,2,FALSE)</f>
        <v>06. Educación, infancia, juventud e igualdad</v>
      </c>
      <c r="U2233" s="35" t="str">
        <f>MID(Tabla1[[#This Row],[Aplicación]],9,4)</f>
        <v>3232</v>
      </c>
      <c r="V2233" s="35" t="str">
        <f>VLOOKUP(Tabla1[[#This Row],[PROGRAMA]],Hoja1!A:B,2,FALSE)</f>
        <v>3232. Conservación y mantenimiento centros educación infantil y primaria</v>
      </c>
      <c r="W2233" s="35" t="str">
        <f>MID(Tabla1[[#This Row],[Aplicación]],14,2)</f>
        <v>63</v>
      </c>
      <c r="X2233" s="35" t="str">
        <f>MID(Tabla1[[#This Row],[Aplicación]],14,6)</f>
        <v>633</v>
      </c>
    </row>
    <row r="2234" spans="1:24" x14ac:dyDescent="0.25">
      <c r="A2234" s="45">
        <v>220210024823</v>
      </c>
      <c r="B2234" s="46" t="s">
        <v>9</v>
      </c>
      <c r="C2234" s="47">
        <v>44341</v>
      </c>
      <c r="D2234" s="45">
        <v>22021003225</v>
      </c>
      <c r="E2234" s="46" t="s">
        <v>3332</v>
      </c>
      <c r="F2234" s="48">
        <v>4473.3900000000003</v>
      </c>
      <c r="G2234" s="54" t="s">
        <v>558</v>
      </c>
      <c r="H2234" s="54" t="s">
        <v>3706</v>
      </c>
      <c r="I2234" s="53" t="s">
        <v>125</v>
      </c>
      <c r="J2234" s="54" t="s">
        <v>127</v>
      </c>
      <c r="K2234" s="54" t="s">
        <v>127</v>
      </c>
      <c r="L2234" s="54" t="s">
        <v>15</v>
      </c>
      <c r="M2234" s="54" t="s">
        <v>10</v>
      </c>
      <c r="N2234" s="54" t="s">
        <v>11</v>
      </c>
      <c r="O2234" s="49" t="s">
        <v>815</v>
      </c>
      <c r="P2234" s="54" t="s">
        <v>3392</v>
      </c>
      <c r="Q2234" s="35" t="str">
        <f>MID(Tabla1[[#This Row],[Aplicación]],14,1)</f>
        <v>6</v>
      </c>
      <c r="R2234" s="35" t="s">
        <v>496</v>
      </c>
      <c r="S2234" s="35" t="str">
        <f>MID(Tabla1[[#This Row],[Aplicación]],6,2)</f>
        <v>03</v>
      </c>
      <c r="T2234" s="35" t="str">
        <f>VLOOKUP(Tabla1[[#This Row],[AREA]],Hoja1!A:B,2,FALSE)</f>
        <v>03. Participación ciudadana y deportes</v>
      </c>
      <c r="U2234" s="35" t="str">
        <f>MID(Tabla1[[#This Row],[Aplicación]],9,4)</f>
        <v>9241</v>
      </c>
      <c r="V2234" s="35" t="str">
        <f>VLOOKUP(Tabla1[[#This Row],[PROGRAMA]],Hoja1!A:B,2,FALSE)</f>
        <v>9241. Participación ciudadana</v>
      </c>
      <c r="W2234" s="35" t="str">
        <f>MID(Tabla1[[#This Row],[Aplicación]],14,2)</f>
        <v>63</v>
      </c>
      <c r="X2234" s="35" t="str">
        <f>MID(Tabla1[[#This Row],[Aplicación]],14,6)</f>
        <v>635</v>
      </c>
    </row>
    <row r="2235" spans="1:24" x14ac:dyDescent="0.25">
      <c r="A2235" s="45">
        <v>220210022800</v>
      </c>
      <c r="B2235" s="46" t="s">
        <v>501</v>
      </c>
      <c r="C2235" s="47">
        <v>44333</v>
      </c>
      <c r="D2235" s="45">
        <v>22021000292</v>
      </c>
      <c r="E2235" s="46" t="s">
        <v>980</v>
      </c>
      <c r="F2235" s="48">
        <v>-3726.8</v>
      </c>
      <c r="G2235" s="54" t="s">
        <v>59</v>
      </c>
      <c r="H2235" s="54" t="s">
        <v>2972</v>
      </c>
      <c r="I2235" s="53" t="s">
        <v>125</v>
      </c>
      <c r="J2235" s="54" t="s">
        <v>127</v>
      </c>
      <c r="K2235" s="54" t="s">
        <v>127</v>
      </c>
      <c r="L2235" s="54" t="s">
        <v>12</v>
      </c>
      <c r="M2235" s="54" t="s">
        <v>13</v>
      </c>
      <c r="N2235" s="54" t="s">
        <v>14</v>
      </c>
      <c r="O2235" s="49" t="s">
        <v>803</v>
      </c>
      <c r="P2235" s="54" t="s">
        <v>3392</v>
      </c>
      <c r="Q2235" s="35" t="str">
        <f>MID(Tabla1[[#This Row],[Aplicación]],14,1)</f>
        <v>2</v>
      </c>
      <c r="R2235" s="35" t="s">
        <v>495</v>
      </c>
      <c r="S2235" s="35" t="str">
        <f>MID(Tabla1[[#This Row],[Aplicación]],6,2)</f>
        <v>11</v>
      </c>
      <c r="T2235" s="35" t="str">
        <f>VLOOKUP(Tabla1[[#This Row],[AREA]],Hoja1!A:B,2,FALSE)</f>
        <v>11. Salud pública y seguridad ciudadana</v>
      </c>
      <c r="U2235" s="35" t="str">
        <f>MID(Tabla1[[#This Row],[Aplicación]],9,4)</f>
        <v>1361</v>
      </c>
      <c r="V2235" s="35" t="str">
        <f>VLOOKUP(Tabla1[[#This Row],[PROGRAMA]],Hoja1!A:B,2,FALSE)</f>
        <v>1361. Prevención y extinción de incencios</v>
      </c>
      <c r="W2235" s="35" t="str">
        <f>MID(Tabla1[[#This Row],[Aplicación]],14,2)</f>
        <v>21</v>
      </c>
      <c r="X2235" s="35" t="str">
        <f>MID(Tabla1[[#This Row],[Aplicación]],14,6)</f>
        <v>213</v>
      </c>
    </row>
    <row r="2236" spans="1:24" x14ac:dyDescent="0.25">
      <c r="A2236" s="45">
        <v>220210032815</v>
      </c>
      <c r="B2236" s="46" t="s">
        <v>9</v>
      </c>
      <c r="C2236" s="47">
        <v>44371</v>
      </c>
      <c r="D2236" s="45">
        <v>22021005004</v>
      </c>
      <c r="E2236" s="46" t="s">
        <v>1172</v>
      </c>
      <c r="F2236" s="48">
        <v>4434.6499999999996</v>
      </c>
      <c r="G2236" s="54" t="s">
        <v>3707</v>
      </c>
      <c r="H2236" s="54" t="s">
        <v>3708</v>
      </c>
      <c r="I2236" s="53" t="s">
        <v>125</v>
      </c>
      <c r="J2236" s="54" t="s">
        <v>3709</v>
      </c>
      <c r="K2236" s="54" t="s">
        <v>126</v>
      </c>
      <c r="L2236" s="54" t="s">
        <v>12</v>
      </c>
      <c r="M2236" s="54" t="s">
        <v>10</v>
      </c>
      <c r="N2236" s="54" t="s">
        <v>14</v>
      </c>
      <c r="O2236" s="49" t="s">
        <v>815</v>
      </c>
      <c r="P2236" s="54" t="s">
        <v>3392</v>
      </c>
      <c r="Q2236" s="35" t="str">
        <f>MID(Tabla1[[#This Row],[Aplicación]],14,1)</f>
        <v>6</v>
      </c>
      <c r="R2236" s="35" t="s">
        <v>496</v>
      </c>
      <c r="S2236" s="35" t="str">
        <f>MID(Tabla1[[#This Row],[Aplicación]],6,2)</f>
        <v>02</v>
      </c>
      <c r="T2236" s="35" t="str">
        <f>VLOOKUP(Tabla1[[#This Row],[AREA]],Hoja1!A:B,2,FALSE)</f>
        <v>02. Planeamiento urbanístico y vivienda</v>
      </c>
      <c r="U2236" s="35" t="str">
        <f>MID(Tabla1[[#This Row],[Aplicación]],9,4)</f>
        <v>9332</v>
      </c>
      <c r="V2236" s="35" t="str">
        <f>VLOOKUP(Tabla1[[#This Row],[PROGRAMA]],Hoja1!A:B,2,FALSE)</f>
        <v>9332. Mantenimiento de edificios e instalaciones municipales</v>
      </c>
      <c r="W2236" s="35" t="str">
        <f>MID(Tabla1[[#This Row],[Aplicación]],14,2)</f>
        <v>63</v>
      </c>
      <c r="X2236" s="35" t="str">
        <f>MID(Tabla1[[#This Row],[Aplicación]],14,6)</f>
        <v>632</v>
      </c>
    </row>
    <row r="2237" spans="1:24" x14ac:dyDescent="0.25">
      <c r="A2237" s="45">
        <v>220210016740</v>
      </c>
      <c r="B2237" s="46" t="s">
        <v>9</v>
      </c>
      <c r="C2237" s="47">
        <v>44307</v>
      </c>
      <c r="D2237" s="45">
        <v>22021003968</v>
      </c>
      <c r="E2237" s="46" t="s">
        <v>2545</v>
      </c>
      <c r="F2237" s="48">
        <v>4322.68</v>
      </c>
      <c r="G2237" s="54" t="s">
        <v>3710</v>
      </c>
      <c r="H2237" s="54" t="s">
        <v>3711</v>
      </c>
      <c r="I2237" s="53" t="s">
        <v>125</v>
      </c>
      <c r="J2237" s="54" t="s">
        <v>3712</v>
      </c>
      <c r="K2237" s="54" t="s">
        <v>186</v>
      </c>
      <c r="L2237" s="54" t="s">
        <v>12</v>
      </c>
      <c r="M2237" s="54" t="s">
        <v>10</v>
      </c>
      <c r="N2237" s="54" t="s">
        <v>11</v>
      </c>
      <c r="O2237" s="49" t="s">
        <v>815</v>
      </c>
      <c r="P2237" s="54" t="s">
        <v>3392</v>
      </c>
      <c r="Q2237" s="35" t="str">
        <f>MID(Tabla1[[#This Row],[Aplicación]],14,1)</f>
        <v>2</v>
      </c>
      <c r="R2237" s="35" t="s">
        <v>495</v>
      </c>
      <c r="S2237" s="35" t="str">
        <f>MID(Tabla1[[#This Row],[Aplicación]],6,2)</f>
        <v>01</v>
      </c>
      <c r="T2237" s="35" t="str">
        <f>VLOOKUP(Tabla1[[#This Row],[AREA]],Hoja1!A:B,2,FALSE)</f>
        <v>01. Alcaldía</v>
      </c>
      <c r="U2237" s="35" t="str">
        <f>MID(Tabla1[[#This Row],[Aplicación]],9,4)</f>
        <v>9205</v>
      </c>
      <c r="V2237" s="35" t="str">
        <f>VLOOKUP(Tabla1[[#This Row],[PROGRAMA]],Hoja1!A:B,2,FALSE)</f>
        <v>9205. Imprenta municipal</v>
      </c>
      <c r="W2237" s="35" t="str">
        <f>MID(Tabla1[[#This Row],[Aplicación]],14,2)</f>
        <v>21</v>
      </c>
      <c r="X2237" s="35" t="str">
        <f>MID(Tabla1[[#This Row],[Aplicación]],14,6)</f>
        <v>213</v>
      </c>
    </row>
    <row r="2238" spans="1:24" x14ac:dyDescent="0.25">
      <c r="A2238" s="45">
        <v>220210028159</v>
      </c>
      <c r="B2238" s="46" t="s">
        <v>9</v>
      </c>
      <c r="C2238" s="47">
        <v>44348</v>
      </c>
      <c r="D2238" s="45">
        <v>22021004649</v>
      </c>
      <c r="E2238" s="46" t="s">
        <v>3286</v>
      </c>
      <c r="F2238" s="48">
        <v>4235</v>
      </c>
      <c r="G2238" s="54" t="s">
        <v>3713</v>
      </c>
      <c r="H2238" s="54" t="s">
        <v>3714</v>
      </c>
      <c r="I2238" s="53" t="s">
        <v>125</v>
      </c>
      <c r="J2238" s="54" t="s">
        <v>126</v>
      </c>
      <c r="K2238" s="54" t="s">
        <v>126</v>
      </c>
      <c r="L2238" s="54" t="s">
        <v>12</v>
      </c>
      <c r="M2238" s="54" t="s">
        <v>10</v>
      </c>
      <c r="N2238" s="54" t="s">
        <v>11</v>
      </c>
      <c r="O2238" s="49" t="s">
        <v>815</v>
      </c>
      <c r="P2238" s="54" t="s">
        <v>3392</v>
      </c>
      <c r="Q2238" s="35" t="str">
        <f>MID(Tabla1[[#This Row],[Aplicación]],14,1)</f>
        <v>2</v>
      </c>
      <c r="R2238" s="35" t="s">
        <v>495</v>
      </c>
      <c r="S2238" s="35" t="str">
        <f>MID(Tabla1[[#This Row],[Aplicación]],6,2)</f>
        <v>09</v>
      </c>
      <c r="T2238" s="35" t="str">
        <f>VLOOKUP(Tabla1[[#This Row],[AREA]],Hoja1!A:B,2,FALSE)</f>
        <v>09. Cultura y turismo</v>
      </c>
      <c r="U2238" s="35" t="str">
        <f>MID(Tabla1[[#This Row],[Aplicación]],9,4)</f>
        <v>3341</v>
      </c>
      <c r="V2238" s="35" t="str">
        <f>VLOOKUP(Tabla1[[#This Row],[PROGRAMA]],Hoja1!A:B,2,FALSE)</f>
        <v>3341. Coordinación de políticas culturales</v>
      </c>
      <c r="W2238" s="35" t="str">
        <f>MID(Tabla1[[#This Row],[Aplicación]],14,2)</f>
        <v>22</v>
      </c>
      <c r="X2238" s="35" t="str">
        <f>MID(Tabla1[[#This Row],[Aplicación]],14,6)</f>
        <v>22602</v>
      </c>
    </row>
    <row r="2239" spans="1:24" x14ac:dyDescent="0.25">
      <c r="A2239" s="45">
        <v>220200043368</v>
      </c>
      <c r="B2239" s="46" t="s">
        <v>9</v>
      </c>
      <c r="C2239" s="47">
        <v>44375</v>
      </c>
      <c r="D2239" s="45">
        <v>22020005607</v>
      </c>
      <c r="E2239" s="46" t="s">
        <v>3323</v>
      </c>
      <c r="F2239" s="48">
        <v>4235</v>
      </c>
      <c r="G2239" s="54" t="s">
        <v>2664</v>
      </c>
      <c r="H2239" s="54" t="s">
        <v>3715</v>
      </c>
      <c r="I2239" s="53" t="s">
        <v>125</v>
      </c>
      <c r="J2239" s="54" t="s">
        <v>127</v>
      </c>
      <c r="K2239" s="54" t="s">
        <v>127</v>
      </c>
      <c r="L2239" s="54" t="s">
        <v>12</v>
      </c>
      <c r="M2239" s="54" t="s">
        <v>10</v>
      </c>
      <c r="N2239" s="54" t="s">
        <v>11</v>
      </c>
      <c r="O2239" s="49" t="s">
        <v>815</v>
      </c>
      <c r="P2239" s="54" t="s">
        <v>3392</v>
      </c>
      <c r="Q2239" s="35" t="str">
        <f>MID(Tabla1[[#This Row],[Aplicación]],14,1)</f>
        <v>2</v>
      </c>
      <c r="R2239" s="35" t="s">
        <v>495</v>
      </c>
      <c r="S2239" s="35" t="str">
        <f>MID(Tabla1[[#This Row],[Aplicación]],6,2)</f>
        <v>02</v>
      </c>
      <c r="T2239" s="35" t="str">
        <f>VLOOKUP(Tabla1[[#This Row],[AREA]],Hoja1!A:B,2,FALSE)</f>
        <v>02. Planeamiento urbanístico y vivienda</v>
      </c>
      <c r="U2239" s="35" t="str">
        <f>MID(Tabla1[[#This Row],[Aplicación]],9,4)</f>
        <v>1501</v>
      </c>
      <c r="V2239" s="35" t="str">
        <f>VLOOKUP(Tabla1[[#This Row],[PROGRAMA]],Hoja1!A:B,2,FALSE)</f>
        <v>1501. Dirección del área de urbanismo</v>
      </c>
      <c r="W2239" s="35" t="str">
        <f>MID(Tabla1[[#This Row],[Aplicación]],14,2)</f>
        <v>22</v>
      </c>
      <c r="X2239" s="35" t="str">
        <f>MID(Tabla1[[#This Row],[Aplicación]],14,6)</f>
        <v>22706</v>
      </c>
    </row>
    <row r="2240" spans="1:24" x14ac:dyDescent="0.25">
      <c r="A2240" s="45">
        <v>220210024847</v>
      </c>
      <c r="B2240" s="46" t="s">
        <v>9</v>
      </c>
      <c r="C2240" s="47">
        <v>44341</v>
      </c>
      <c r="D2240" s="45">
        <v>22021004541</v>
      </c>
      <c r="E2240" s="46" t="s">
        <v>1220</v>
      </c>
      <c r="F2240" s="48">
        <v>4191.96</v>
      </c>
      <c r="G2240" s="54" t="s">
        <v>163</v>
      </c>
      <c r="H2240" s="54" t="s">
        <v>3716</v>
      </c>
      <c r="I2240" s="53" t="s">
        <v>125</v>
      </c>
      <c r="J2240" s="54" t="s">
        <v>127</v>
      </c>
      <c r="K2240" s="54" t="s">
        <v>126</v>
      </c>
      <c r="L2240" s="54" t="s">
        <v>15</v>
      </c>
      <c r="M2240" s="54" t="s">
        <v>10</v>
      </c>
      <c r="N2240" s="54" t="s">
        <v>11</v>
      </c>
      <c r="O2240" s="49" t="s">
        <v>815</v>
      </c>
      <c r="P2240" s="54" t="s">
        <v>3392</v>
      </c>
      <c r="Q2240" s="35" t="str">
        <f>MID(Tabla1[[#This Row],[Aplicación]],14,1)</f>
        <v>2</v>
      </c>
      <c r="R2240" s="35" t="s">
        <v>495</v>
      </c>
      <c r="S2240" s="35" t="str">
        <f>MID(Tabla1[[#This Row],[Aplicación]],6,2)</f>
        <v>03</v>
      </c>
      <c r="T2240" s="35" t="str">
        <f>VLOOKUP(Tabla1[[#This Row],[AREA]],Hoja1!A:B,2,FALSE)</f>
        <v>03. Participación ciudadana y deportes</v>
      </c>
      <c r="U2240" s="35" t="str">
        <f>MID(Tabla1[[#This Row],[Aplicación]],9,4)</f>
        <v>9241</v>
      </c>
      <c r="V2240" s="35" t="str">
        <f>VLOOKUP(Tabla1[[#This Row],[PROGRAMA]],Hoja1!A:B,2,FALSE)</f>
        <v>9241. Participación ciudadana</v>
      </c>
      <c r="W2240" s="35" t="str">
        <f>MID(Tabla1[[#This Row],[Aplicación]],14,2)</f>
        <v>21</v>
      </c>
      <c r="X2240" s="35" t="str">
        <f>MID(Tabla1[[#This Row],[Aplicación]],14,6)</f>
        <v>213</v>
      </c>
    </row>
    <row r="2241" spans="1:24" x14ac:dyDescent="0.25">
      <c r="A2241" s="45">
        <v>220210022799</v>
      </c>
      <c r="B2241" s="46" t="s">
        <v>501</v>
      </c>
      <c r="C2241" s="47">
        <v>44333</v>
      </c>
      <c r="D2241" s="45">
        <v>22021000293</v>
      </c>
      <c r="E2241" s="46" t="s">
        <v>980</v>
      </c>
      <c r="F2241" s="48">
        <v>-4583.33</v>
      </c>
      <c r="G2241" s="54" t="s">
        <v>59</v>
      </c>
      <c r="H2241" s="54" t="s">
        <v>2979</v>
      </c>
      <c r="I2241" s="53" t="s">
        <v>125</v>
      </c>
      <c r="J2241" s="54" t="s">
        <v>127</v>
      </c>
      <c r="K2241" s="54" t="s">
        <v>127</v>
      </c>
      <c r="L2241" s="54" t="s">
        <v>12</v>
      </c>
      <c r="M2241" s="54" t="s">
        <v>13</v>
      </c>
      <c r="N2241" s="54" t="s">
        <v>14</v>
      </c>
      <c r="O2241" s="49" t="s">
        <v>803</v>
      </c>
      <c r="P2241" s="54" t="s">
        <v>3392</v>
      </c>
      <c r="Q2241" s="35" t="str">
        <f>MID(Tabla1[[#This Row],[Aplicación]],14,1)</f>
        <v>2</v>
      </c>
      <c r="R2241" s="35" t="s">
        <v>495</v>
      </c>
      <c r="S2241" s="35" t="str">
        <f>MID(Tabla1[[#This Row],[Aplicación]],6,2)</f>
        <v>11</v>
      </c>
      <c r="T2241" s="35" t="str">
        <f>VLOOKUP(Tabla1[[#This Row],[AREA]],Hoja1!A:B,2,FALSE)</f>
        <v>11. Salud pública y seguridad ciudadana</v>
      </c>
      <c r="U2241" s="35" t="str">
        <f>MID(Tabla1[[#This Row],[Aplicación]],9,4)</f>
        <v>1361</v>
      </c>
      <c r="V2241" s="35" t="str">
        <f>VLOOKUP(Tabla1[[#This Row],[PROGRAMA]],Hoja1!A:B,2,FALSE)</f>
        <v>1361. Prevención y extinción de incencios</v>
      </c>
      <c r="W2241" s="35" t="str">
        <f>MID(Tabla1[[#This Row],[Aplicación]],14,2)</f>
        <v>21</v>
      </c>
      <c r="X2241" s="35" t="str">
        <f>MID(Tabla1[[#This Row],[Aplicación]],14,6)</f>
        <v>213</v>
      </c>
    </row>
    <row r="2242" spans="1:24" x14ac:dyDescent="0.25">
      <c r="A2242" s="45">
        <v>220210014814</v>
      </c>
      <c r="B2242" s="46" t="s">
        <v>32</v>
      </c>
      <c r="C2242" s="47">
        <v>44299</v>
      </c>
      <c r="D2242" s="45">
        <v>22021003835</v>
      </c>
      <c r="E2242" s="46" t="s">
        <v>2147</v>
      </c>
      <c r="F2242" s="48">
        <v>485.74</v>
      </c>
      <c r="G2242" s="54" t="s">
        <v>86</v>
      </c>
      <c r="H2242" s="54" t="s">
        <v>3717</v>
      </c>
      <c r="I2242" s="53" t="s">
        <v>234</v>
      </c>
      <c r="J2242" s="54" t="s">
        <v>186</v>
      </c>
      <c r="K2242" s="54" t="s">
        <v>186</v>
      </c>
      <c r="L2242" s="54" t="s">
        <v>12</v>
      </c>
      <c r="M2242" s="54" t="s">
        <v>13</v>
      </c>
      <c r="N2242" s="54" t="s">
        <v>14</v>
      </c>
      <c r="O2242" s="49" t="s">
        <v>803</v>
      </c>
      <c r="P2242" s="54" t="s">
        <v>3392</v>
      </c>
      <c r="Q2242" s="35" t="str">
        <f>MID(Tabla1[[#This Row],[Aplicación]],14,1)</f>
        <v>2</v>
      </c>
      <c r="R2242" s="35" t="s">
        <v>495</v>
      </c>
      <c r="S2242" s="35" t="str">
        <f>MID(Tabla1[[#This Row],[Aplicación]],6,2)</f>
        <v>04</v>
      </c>
      <c r="T2242" s="35" t="str">
        <f>VLOOKUP(Tabla1[[#This Row],[AREA]],Hoja1!A:B,2,FALSE)</f>
        <v>04. Planificación y recursos</v>
      </c>
      <c r="U2242" s="35" t="str">
        <f>MID(Tabla1[[#This Row],[Aplicación]],9,4)</f>
        <v>9204</v>
      </c>
      <c r="V2242" s="35" t="str">
        <f>VLOOKUP(Tabla1[[#This Row],[PROGRAMA]],Hoja1!A:B,2,FALSE)</f>
        <v>9204. Tecnologías de la información y comunicación</v>
      </c>
      <c r="W2242" s="35" t="str">
        <f>MID(Tabla1[[#This Row],[Aplicación]],14,2)</f>
        <v>22</v>
      </c>
      <c r="X2242" s="35" t="str">
        <f>MID(Tabla1[[#This Row],[Aplicación]],14,6)</f>
        <v>22200</v>
      </c>
    </row>
    <row r="2243" spans="1:24" x14ac:dyDescent="0.25">
      <c r="A2243" s="45">
        <v>220210031330</v>
      </c>
      <c r="B2243" s="46" t="s">
        <v>204</v>
      </c>
      <c r="C2243" s="47">
        <v>44365</v>
      </c>
      <c r="D2243" s="45">
        <v>22021002497</v>
      </c>
      <c r="E2243" s="46" t="s">
        <v>3328</v>
      </c>
      <c r="F2243" s="48">
        <v>266200</v>
      </c>
      <c r="G2243" s="54" t="s">
        <v>3718</v>
      </c>
      <c r="H2243" s="54" t="s">
        <v>3719</v>
      </c>
      <c r="I2243" s="53" t="s">
        <v>205</v>
      </c>
      <c r="J2243" s="54" t="s">
        <v>126</v>
      </c>
      <c r="K2243" s="54" t="s">
        <v>126</v>
      </c>
      <c r="L2243" s="54" t="s">
        <v>15</v>
      </c>
      <c r="M2243" s="54" t="s">
        <v>13</v>
      </c>
      <c r="N2243" s="54" t="s">
        <v>14</v>
      </c>
      <c r="O2243" s="49" t="s">
        <v>803</v>
      </c>
      <c r="P2243" s="54" t="s">
        <v>3392</v>
      </c>
      <c r="Q2243" s="35" t="str">
        <f>MID(Tabla1[[#This Row],[Aplicación]],14,1)</f>
        <v>6</v>
      </c>
      <c r="R2243" s="35" t="s">
        <v>496</v>
      </c>
      <c r="S2243" s="35" t="str">
        <f>MID(Tabla1[[#This Row],[Aplicación]],6,2)</f>
        <v>04</v>
      </c>
      <c r="T2243" s="35" t="str">
        <f>VLOOKUP(Tabla1[[#This Row],[AREA]],Hoja1!A:B,2,FALSE)</f>
        <v>04. Planificación y recursos</v>
      </c>
      <c r="U2243" s="35" t="str">
        <f>MID(Tabla1[[#This Row],[Aplicación]],9,4)</f>
        <v>9204</v>
      </c>
      <c r="V2243" s="35" t="str">
        <f>VLOOKUP(Tabla1[[#This Row],[PROGRAMA]],Hoja1!A:B,2,FALSE)</f>
        <v>9204. Tecnologías de la información y comunicación</v>
      </c>
      <c r="W2243" s="35" t="str">
        <f>MID(Tabla1[[#This Row],[Aplicación]],14,2)</f>
        <v>62</v>
      </c>
      <c r="X2243" s="35" t="str">
        <f>MID(Tabla1[[#This Row],[Aplicación]],14,6)</f>
        <v>626</v>
      </c>
    </row>
    <row r="2244" spans="1:24" x14ac:dyDescent="0.25">
      <c r="A2244" s="45">
        <v>220210018969</v>
      </c>
      <c r="B2244" s="46" t="s">
        <v>9</v>
      </c>
      <c r="C2244" s="47">
        <v>44314</v>
      </c>
      <c r="D2244" s="45">
        <v>22021004173</v>
      </c>
      <c r="E2244" s="46" t="s">
        <v>842</v>
      </c>
      <c r="F2244" s="48">
        <v>4000.01</v>
      </c>
      <c r="G2244" s="54" t="s">
        <v>3720</v>
      </c>
      <c r="H2244" s="54" t="s">
        <v>3721</v>
      </c>
      <c r="I2244" s="53" t="s">
        <v>125</v>
      </c>
      <c r="J2244" s="54" t="s">
        <v>127</v>
      </c>
      <c r="K2244" s="54" t="s">
        <v>127</v>
      </c>
      <c r="L2244" s="54" t="s">
        <v>12</v>
      </c>
      <c r="M2244" s="54" t="s">
        <v>10</v>
      </c>
      <c r="N2244" s="54" t="s">
        <v>11</v>
      </c>
      <c r="O2244" s="49" t="s">
        <v>815</v>
      </c>
      <c r="P2244" s="54" t="s">
        <v>3392</v>
      </c>
      <c r="Q2244" s="35" t="str">
        <f>MID(Tabla1[[#This Row],[Aplicación]],14,1)</f>
        <v>2</v>
      </c>
      <c r="R2244" s="35" t="s">
        <v>495</v>
      </c>
      <c r="S2244" s="35" t="str">
        <f>MID(Tabla1[[#This Row],[Aplicación]],6,2)</f>
        <v>06</v>
      </c>
      <c r="T2244" s="35" t="str">
        <f>VLOOKUP(Tabla1[[#This Row],[AREA]],Hoja1!A:B,2,FALSE)</f>
        <v>06. Educación, infancia, juventud e igualdad</v>
      </c>
      <c r="U2244" s="35" t="str">
        <f>MID(Tabla1[[#This Row],[Aplicación]],9,4)</f>
        <v>3261</v>
      </c>
      <c r="V2244" s="35" t="str">
        <f>VLOOKUP(Tabla1[[#This Row],[PROGRAMA]],Hoja1!A:B,2,FALSE)</f>
        <v>3261. Servicios complementarios de educación</v>
      </c>
      <c r="W2244" s="35" t="str">
        <f>MID(Tabla1[[#This Row],[Aplicación]],14,2)</f>
        <v>22</v>
      </c>
      <c r="X2244" s="35" t="str">
        <f>MID(Tabla1[[#This Row],[Aplicación]],14,6)</f>
        <v>22799</v>
      </c>
    </row>
    <row r="2245" spans="1:24" x14ac:dyDescent="0.25">
      <c r="A2245" s="45">
        <v>220210029571</v>
      </c>
      <c r="B2245" s="46" t="s">
        <v>9</v>
      </c>
      <c r="C2245" s="47">
        <v>44355</v>
      </c>
      <c r="D2245" s="45">
        <v>22021003657</v>
      </c>
      <c r="E2245" s="46" t="s">
        <v>890</v>
      </c>
      <c r="F2245" s="48">
        <v>4000</v>
      </c>
      <c r="G2245" s="54" t="s">
        <v>108</v>
      </c>
      <c r="H2245" s="54" t="s">
        <v>3722</v>
      </c>
      <c r="I2245" s="53" t="s">
        <v>125</v>
      </c>
      <c r="J2245" s="54" t="s">
        <v>127</v>
      </c>
      <c r="K2245" s="54" t="s">
        <v>127</v>
      </c>
      <c r="L2245" s="54" t="s">
        <v>12</v>
      </c>
      <c r="M2245" s="54" t="s">
        <v>10</v>
      </c>
      <c r="N2245" s="54" t="s">
        <v>11</v>
      </c>
      <c r="O2245" s="49" t="s">
        <v>815</v>
      </c>
      <c r="P2245" s="54" t="s">
        <v>3392</v>
      </c>
      <c r="Q2245" s="35" t="str">
        <f>MID(Tabla1[[#This Row],[Aplicación]],14,1)</f>
        <v>2</v>
      </c>
      <c r="R2245" s="35" t="s">
        <v>495</v>
      </c>
      <c r="S2245" s="35" t="str">
        <f>MID(Tabla1[[#This Row],[Aplicación]],6,2)</f>
        <v>11</v>
      </c>
      <c r="T2245" s="35" t="str">
        <f>VLOOKUP(Tabla1[[#This Row],[AREA]],Hoja1!A:B,2,FALSE)</f>
        <v>11. Salud pública y seguridad ciudadana</v>
      </c>
      <c r="U2245" s="35" t="str">
        <f>MID(Tabla1[[#This Row],[Aplicación]],9,4)</f>
        <v>1621</v>
      </c>
      <c r="V2245" s="35" t="str">
        <f>VLOOKUP(Tabla1[[#This Row],[PROGRAMA]],Hoja1!A:B,2,FALSE)</f>
        <v>1621. Servicio de limpieza</v>
      </c>
      <c r="W2245" s="35" t="str">
        <f>MID(Tabla1[[#This Row],[Aplicación]],14,2)</f>
        <v>21</v>
      </c>
      <c r="X2245" s="35" t="str">
        <f>MID(Tabla1[[#This Row],[Aplicación]],14,6)</f>
        <v>214</v>
      </c>
    </row>
    <row r="2246" spans="1:24" x14ac:dyDescent="0.25">
      <c r="A2246" s="45">
        <v>220210014683</v>
      </c>
      <c r="B2246" s="46" t="s">
        <v>9</v>
      </c>
      <c r="C2246" s="47">
        <v>44298</v>
      </c>
      <c r="D2246" s="45">
        <v>22021003592</v>
      </c>
      <c r="E2246" s="46" t="s">
        <v>1187</v>
      </c>
      <c r="F2246" s="48">
        <v>4000</v>
      </c>
      <c r="G2246" s="54" t="s">
        <v>3723</v>
      </c>
      <c r="H2246" s="54" t="s">
        <v>1739</v>
      </c>
      <c r="I2246" s="53" t="s">
        <v>125</v>
      </c>
      <c r="J2246" s="54" t="s">
        <v>126</v>
      </c>
      <c r="K2246" s="54" t="s">
        <v>126</v>
      </c>
      <c r="L2246" s="54" t="s">
        <v>12</v>
      </c>
      <c r="M2246" s="54" t="s">
        <v>10</v>
      </c>
      <c r="N2246" s="54" t="s">
        <v>11</v>
      </c>
      <c r="O2246" s="49" t="s">
        <v>815</v>
      </c>
      <c r="P2246" s="54" t="s">
        <v>3392</v>
      </c>
      <c r="Q2246" s="35" t="str">
        <f>MID(Tabla1[[#This Row],[Aplicación]],14,1)</f>
        <v>2</v>
      </c>
      <c r="R2246" s="35" t="s">
        <v>495</v>
      </c>
      <c r="S2246" s="35" t="str">
        <f>MID(Tabla1[[#This Row],[Aplicación]],6,2)</f>
        <v>06</v>
      </c>
      <c r="T2246" s="35" t="str">
        <f>VLOOKUP(Tabla1[[#This Row],[AREA]],Hoja1!A:B,2,FALSE)</f>
        <v>06. Educación, infancia, juventud e igualdad</v>
      </c>
      <c r="U2246" s="35" t="str">
        <f>MID(Tabla1[[#This Row],[Aplicación]],9,4)</f>
        <v>2315</v>
      </c>
      <c r="V2246" s="35" t="str">
        <f>VLOOKUP(Tabla1[[#This Row],[PROGRAMA]],Hoja1!A:B,2,FALSE)</f>
        <v>2315. Políticas de Igualdad e infancia</v>
      </c>
      <c r="W2246" s="35" t="str">
        <f>MID(Tabla1[[#This Row],[Aplicación]],14,2)</f>
        <v>22</v>
      </c>
      <c r="X2246" s="35" t="str">
        <f>MID(Tabla1[[#This Row],[Aplicación]],14,6)</f>
        <v>22611</v>
      </c>
    </row>
    <row r="2247" spans="1:24" x14ac:dyDescent="0.25">
      <c r="A2247" s="45">
        <v>220210031469</v>
      </c>
      <c r="B2247" s="46" t="s">
        <v>204</v>
      </c>
      <c r="C2247" s="47">
        <v>44368</v>
      </c>
      <c r="D2247" s="45">
        <v>22020000876</v>
      </c>
      <c r="E2247" s="46" t="s">
        <v>1542</v>
      </c>
      <c r="F2247" s="48">
        <v>23123.07</v>
      </c>
      <c r="G2247" s="54" t="s">
        <v>624</v>
      </c>
      <c r="H2247" s="54" t="s">
        <v>3724</v>
      </c>
      <c r="I2247" s="53" t="s">
        <v>205</v>
      </c>
      <c r="J2247" s="54" t="s">
        <v>126</v>
      </c>
      <c r="K2247" s="54" t="s">
        <v>126</v>
      </c>
      <c r="L2247" s="54" t="s">
        <v>31</v>
      </c>
      <c r="M2247" s="54" t="s">
        <v>13</v>
      </c>
      <c r="N2247" s="54" t="s">
        <v>14</v>
      </c>
      <c r="O2247" s="49" t="s">
        <v>803</v>
      </c>
      <c r="P2247" s="54" t="s">
        <v>3392</v>
      </c>
      <c r="Q2247" s="35" t="str">
        <f>MID(Tabla1[[#This Row],[Aplicación]],14,1)</f>
        <v>6</v>
      </c>
      <c r="R2247" s="35" t="s">
        <v>496</v>
      </c>
      <c r="S2247" s="35" t="str">
        <f>MID(Tabla1[[#This Row],[Aplicación]],6,2)</f>
        <v>05</v>
      </c>
      <c r="T2247" s="35" t="str">
        <f>VLOOKUP(Tabla1[[#This Row],[AREA]],Hoja1!A:B,2,FALSE)</f>
        <v>05. Innovación, desarrollo económico, empleo y comercio</v>
      </c>
      <c r="U2247" s="35" t="str">
        <f>MID(Tabla1[[#This Row],[Aplicación]],9,4)</f>
        <v>4331</v>
      </c>
      <c r="V2247" s="35" t="str">
        <f>VLOOKUP(Tabla1[[#This Row],[PROGRAMA]],Hoja1!A:B,2,FALSE)</f>
        <v>4331. Desarrollo empresarial</v>
      </c>
      <c r="W2247" s="35" t="str">
        <f>MID(Tabla1[[#This Row],[Aplicación]],14,2)</f>
        <v>60</v>
      </c>
      <c r="X2247" s="35" t="str">
        <f>MID(Tabla1[[#This Row],[Aplicación]],14,6)</f>
        <v>609</v>
      </c>
    </row>
    <row r="2248" spans="1:24" x14ac:dyDescent="0.25">
      <c r="A2248" s="45">
        <v>220210022415</v>
      </c>
      <c r="B2248" s="46" t="s">
        <v>9</v>
      </c>
      <c r="C2248" s="47">
        <v>44330</v>
      </c>
      <c r="D2248" s="45">
        <v>22021004408</v>
      </c>
      <c r="E2248" s="46" t="s">
        <v>3340</v>
      </c>
      <c r="F2248" s="48">
        <v>3985</v>
      </c>
      <c r="G2248" s="54" t="s">
        <v>3725</v>
      </c>
      <c r="H2248" s="54" t="s">
        <v>3726</v>
      </c>
      <c r="I2248" s="53" t="s">
        <v>125</v>
      </c>
      <c r="J2248" s="54" t="s">
        <v>127</v>
      </c>
      <c r="K2248" s="54" t="s">
        <v>127</v>
      </c>
      <c r="L2248" s="54" t="s">
        <v>12</v>
      </c>
      <c r="M2248" s="54" t="s">
        <v>10</v>
      </c>
      <c r="N2248" s="54" t="s">
        <v>11</v>
      </c>
      <c r="O2248" s="49" t="s">
        <v>815</v>
      </c>
      <c r="P2248" s="54" t="s">
        <v>3392</v>
      </c>
      <c r="Q2248" s="35" t="str">
        <f>MID(Tabla1[[#This Row],[Aplicación]],14,1)</f>
        <v>2</v>
      </c>
      <c r="R2248" s="35" t="s">
        <v>495</v>
      </c>
      <c r="S2248" s="35" t="str">
        <f>MID(Tabla1[[#This Row],[Aplicación]],6,2)</f>
        <v>09</v>
      </c>
      <c r="T2248" s="35" t="str">
        <f>VLOOKUP(Tabla1[[#This Row],[AREA]],Hoja1!A:B,2,FALSE)</f>
        <v>09. Cultura y turismo</v>
      </c>
      <c r="U2248" s="35" t="str">
        <f>MID(Tabla1[[#This Row],[Aplicación]],9,4)</f>
        <v>3341</v>
      </c>
      <c r="V2248" s="35" t="str">
        <f>VLOOKUP(Tabla1[[#This Row],[PROGRAMA]],Hoja1!A:B,2,FALSE)</f>
        <v>3341. Coordinación de políticas culturales</v>
      </c>
      <c r="W2248" s="35" t="str">
        <f>MID(Tabla1[[#This Row],[Aplicación]],14,2)</f>
        <v>22</v>
      </c>
      <c r="X2248" s="35" t="str">
        <f>MID(Tabla1[[#This Row],[Aplicación]],14,6)</f>
        <v>22706</v>
      </c>
    </row>
    <row r="2249" spans="1:24" x14ac:dyDescent="0.25">
      <c r="A2249" s="45">
        <v>220210023151</v>
      </c>
      <c r="B2249" s="46" t="s">
        <v>204</v>
      </c>
      <c r="C2249" s="47">
        <v>44334</v>
      </c>
      <c r="D2249" s="45">
        <v>22019008560</v>
      </c>
      <c r="E2249" s="46" t="s">
        <v>1487</v>
      </c>
      <c r="F2249" s="48">
        <v>29209.21</v>
      </c>
      <c r="G2249" s="54" t="s">
        <v>2030</v>
      </c>
      <c r="H2249" s="54" t="s">
        <v>3727</v>
      </c>
      <c r="I2249" s="53" t="s">
        <v>205</v>
      </c>
      <c r="J2249" s="54" t="s">
        <v>749</v>
      </c>
      <c r="K2249" s="54" t="s">
        <v>127</v>
      </c>
      <c r="L2249" s="54" t="s">
        <v>31</v>
      </c>
      <c r="M2249" s="54" t="s">
        <v>13</v>
      </c>
      <c r="N2249" s="54" t="s">
        <v>14</v>
      </c>
      <c r="O2249" s="49" t="s">
        <v>803</v>
      </c>
      <c r="P2249" s="54" t="s">
        <v>3392</v>
      </c>
      <c r="Q2249" s="35" t="str">
        <f>MID(Tabla1[[#This Row],[Aplicación]],14,1)</f>
        <v>6</v>
      </c>
      <c r="R2249" s="35" t="s">
        <v>496</v>
      </c>
      <c r="S2249" s="35" t="str">
        <f>MID(Tabla1[[#This Row],[Aplicación]],6,2)</f>
        <v>08</v>
      </c>
      <c r="T2249" s="35" t="str">
        <f>VLOOKUP(Tabla1[[#This Row],[AREA]],Hoja1!A:B,2,FALSE)</f>
        <v>08. Movilidad y espacio urbano</v>
      </c>
      <c r="U2249" s="35" t="str">
        <f>MID(Tabla1[[#This Row],[Aplicación]],9,4)</f>
        <v>1532</v>
      </c>
      <c r="V2249" s="35" t="str">
        <f>VLOOKUP(Tabla1[[#This Row],[PROGRAMA]],Hoja1!A:B,2,FALSE)</f>
        <v>1532. Pavimentación vias públicas y otros servicios urbanísticos</v>
      </c>
      <c r="W2249" s="35" t="str">
        <f>MID(Tabla1[[#This Row],[Aplicación]],14,2)</f>
        <v>61</v>
      </c>
      <c r="X2249" s="35" t="str">
        <f>MID(Tabla1[[#This Row],[Aplicación]],14,6)</f>
        <v>619</v>
      </c>
    </row>
    <row r="2250" spans="1:24" x14ac:dyDescent="0.25">
      <c r="A2250" s="45">
        <v>220210018774</v>
      </c>
      <c r="B2250" s="46" t="s">
        <v>9</v>
      </c>
      <c r="C2250" s="47">
        <v>44313</v>
      </c>
      <c r="D2250" s="45">
        <v>22021004164</v>
      </c>
      <c r="E2250" s="46" t="s">
        <v>2147</v>
      </c>
      <c r="F2250" s="48">
        <v>3925</v>
      </c>
      <c r="G2250" s="54" t="s">
        <v>86</v>
      </c>
      <c r="H2250" s="54" t="s">
        <v>3728</v>
      </c>
      <c r="I2250" s="53" t="s">
        <v>125</v>
      </c>
      <c r="J2250" s="54" t="s">
        <v>186</v>
      </c>
      <c r="K2250" s="54" t="s">
        <v>186</v>
      </c>
      <c r="L2250" s="54" t="s">
        <v>12</v>
      </c>
      <c r="M2250" s="54" t="s">
        <v>10</v>
      </c>
      <c r="N2250" s="54" t="s">
        <v>11</v>
      </c>
      <c r="O2250" s="49" t="s">
        <v>815</v>
      </c>
      <c r="P2250" s="54" t="s">
        <v>3392</v>
      </c>
      <c r="Q2250" s="35" t="str">
        <f>MID(Tabla1[[#This Row],[Aplicación]],14,1)</f>
        <v>2</v>
      </c>
      <c r="R2250" s="35" t="s">
        <v>495</v>
      </c>
      <c r="S2250" s="35" t="str">
        <f>MID(Tabla1[[#This Row],[Aplicación]],6,2)</f>
        <v>04</v>
      </c>
      <c r="T2250" s="35" t="str">
        <f>VLOOKUP(Tabla1[[#This Row],[AREA]],Hoja1!A:B,2,FALSE)</f>
        <v>04. Planificación y recursos</v>
      </c>
      <c r="U2250" s="35" t="str">
        <f>MID(Tabla1[[#This Row],[Aplicación]],9,4)</f>
        <v>9204</v>
      </c>
      <c r="V2250" s="35" t="str">
        <f>VLOOKUP(Tabla1[[#This Row],[PROGRAMA]],Hoja1!A:B,2,FALSE)</f>
        <v>9204. Tecnologías de la información y comunicación</v>
      </c>
      <c r="W2250" s="35" t="str">
        <f>MID(Tabla1[[#This Row],[Aplicación]],14,2)</f>
        <v>22</v>
      </c>
      <c r="X2250" s="35" t="str">
        <f>MID(Tabla1[[#This Row],[Aplicación]],14,6)</f>
        <v>22200</v>
      </c>
    </row>
    <row r="2251" spans="1:24" x14ac:dyDescent="0.25">
      <c r="A2251" s="45">
        <v>220210025601</v>
      </c>
      <c r="B2251" s="46" t="s">
        <v>9</v>
      </c>
      <c r="C2251" s="47">
        <v>44342</v>
      </c>
      <c r="D2251" s="45">
        <v>22021004053</v>
      </c>
      <c r="E2251" s="46" t="s">
        <v>1487</v>
      </c>
      <c r="F2251" s="48">
        <v>191503.81</v>
      </c>
      <c r="G2251" s="54" t="s">
        <v>3011</v>
      </c>
      <c r="H2251" s="54" t="s">
        <v>3729</v>
      </c>
      <c r="I2251" s="53" t="s">
        <v>125</v>
      </c>
      <c r="J2251" s="54" t="s">
        <v>127</v>
      </c>
      <c r="K2251" s="54" t="s">
        <v>127</v>
      </c>
      <c r="L2251" s="54" t="s">
        <v>31</v>
      </c>
      <c r="M2251" s="54" t="s">
        <v>13</v>
      </c>
      <c r="N2251" s="54" t="s">
        <v>14</v>
      </c>
      <c r="O2251" s="49" t="s">
        <v>803</v>
      </c>
      <c r="P2251" s="54" t="s">
        <v>3392</v>
      </c>
      <c r="Q2251" s="35" t="str">
        <f>MID(Tabla1[[#This Row],[Aplicación]],14,1)</f>
        <v>6</v>
      </c>
      <c r="R2251" s="35" t="s">
        <v>496</v>
      </c>
      <c r="S2251" s="35" t="str">
        <f>MID(Tabla1[[#This Row],[Aplicación]],6,2)</f>
        <v>08</v>
      </c>
      <c r="T2251" s="35" t="str">
        <f>VLOOKUP(Tabla1[[#This Row],[AREA]],Hoja1!A:B,2,FALSE)</f>
        <v>08. Movilidad y espacio urbano</v>
      </c>
      <c r="U2251" s="35" t="str">
        <f>MID(Tabla1[[#This Row],[Aplicación]],9,4)</f>
        <v>1532</v>
      </c>
      <c r="V2251" s="35" t="str">
        <f>VLOOKUP(Tabla1[[#This Row],[PROGRAMA]],Hoja1!A:B,2,FALSE)</f>
        <v>1532. Pavimentación vias públicas y otros servicios urbanísticos</v>
      </c>
      <c r="W2251" s="35" t="str">
        <f>MID(Tabla1[[#This Row],[Aplicación]],14,2)</f>
        <v>61</v>
      </c>
      <c r="X2251" s="35" t="str">
        <f>MID(Tabla1[[#This Row],[Aplicación]],14,6)</f>
        <v>619</v>
      </c>
    </row>
    <row r="2252" spans="1:24" x14ac:dyDescent="0.25">
      <c r="A2252" s="45">
        <v>220210025602</v>
      </c>
      <c r="B2252" s="46" t="s">
        <v>9</v>
      </c>
      <c r="C2252" s="47">
        <v>44342</v>
      </c>
      <c r="D2252" s="45">
        <v>22021004054</v>
      </c>
      <c r="E2252" s="46" t="s">
        <v>1487</v>
      </c>
      <c r="F2252" s="48">
        <v>119250.85</v>
      </c>
      <c r="G2252" s="54" t="s">
        <v>3011</v>
      </c>
      <c r="H2252" s="54" t="s">
        <v>3730</v>
      </c>
      <c r="I2252" s="53" t="s">
        <v>125</v>
      </c>
      <c r="J2252" s="54" t="s">
        <v>127</v>
      </c>
      <c r="K2252" s="54" t="s">
        <v>127</v>
      </c>
      <c r="L2252" s="54" t="s">
        <v>31</v>
      </c>
      <c r="M2252" s="54" t="s">
        <v>13</v>
      </c>
      <c r="N2252" s="54" t="s">
        <v>14</v>
      </c>
      <c r="O2252" s="49" t="s">
        <v>803</v>
      </c>
      <c r="P2252" s="54" t="s">
        <v>3392</v>
      </c>
      <c r="Q2252" s="35" t="str">
        <f>MID(Tabla1[[#This Row],[Aplicación]],14,1)</f>
        <v>6</v>
      </c>
      <c r="R2252" s="35" t="s">
        <v>496</v>
      </c>
      <c r="S2252" s="35" t="str">
        <f>MID(Tabla1[[#This Row],[Aplicación]],6,2)</f>
        <v>08</v>
      </c>
      <c r="T2252" s="35" t="str">
        <f>VLOOKUP(Tabla1[[#This Row],[AREA]],Hoja1!A:B,2,FALSE)</f>
        <v>08. Movilidad y espacio urbano</v>
      </c>
      <c r="U2252" s="35" t="str">
        <f>MID(Tabla1[[#This Row],[Aplicación]],9,4)</f>
        <v>1532</v>
      </c>
      <c r="V2252" s="35" t="str">
        <f>VLOOKUP(Tabla1[[#This Row],[PROGRAMA]],Hoja1!A:B,2,FALSE)</f>
        <v>1532. Pavimentación vias públicas y otros servicios urbanísticos</v>
      </c>
      <c r="W2252" s="35" t="str">
        <f>MID(Tabla1[[#This Row],[Aplicación]],14,2)</f>
        <v>61</v>
      </c>
      <c r="X2252" s="35" t="str">
        <f>MID(Tabla1[[#This Row],[Aplicación]],14,6)</f>
        <v>619</v>
      </c>
    </row>
    <row r="2253" spans="1:24" x14ac:dyDescent="0.25">
      <c r="A2253" s="45">
        <v>220210025552</v>
      </c>
      <c r="B2253" s="46" t="s">
        <v>9</v>
      </c>
      <c r="C2253" s="47">
        <v>44342</v>
      </c>
      <c r="D2253" s="45">
        <v>22021003027</v>
      </c>
      <c r="E2253" s="46" t="s">
        <v>3341</v>
      </c>
      <c r="F2253" s="48">
        <v>3878.05</v>
      </c>
      <c r="G2253" s="54" t="s">
        <v>257</v>
      </c>
      <c r="H2253" s="54" t="s">
        <v>3731</v>
      </c>
      <c r="I2253" s="53" t="s">
        <v>125</v>
      </c>
      <c r="J2253" s="54" t="s">
        <v>127</v>
      </c>
      <c r="K2253" s="54" t="s">
        <v>127</v>
      </c>
      <c r="L2253" s="54" t="s">
        <v>15</v>
      </c>
      <c r="M2253" s="54" t="s">
        <v>10</v>
      </c>
      <c r="N2253" s="54" t="s">
        <v>14</v>
      </c>
      <c r="O2253" s="49" t="s">
        <v>815</v>
      </c>
      <c r="P2253" s="54" t="s">
        <v>3392</v>
      </c>
      <c r="Q2253" s="35" t="str">
        <f>MID(Tabla1[[#This Row],[Aplicación]],14,1)</f>
        <v>6</v>
      </c>
      <c r="R2253" s="35" t="s">
        <v>496</v>
      </c>
      <c r="S2253" s="35" t="str">
        <f>MID(Tabla1[[#This Row],[Aplicación]],6,2)</f>
        <v>10</v>
      </c>
      <c r="T2253" s="35" t="str">
        <f>VLOOKUP(Tabla1[[#This Row],[AREA]],Hoja1!A:B,2,FALSE)</f>
        <v>10. Servicios sociales y mediación comunitaria</v>
      </c>
      <c r="U2253" s="35" t="str">
        <f>MID(Tabla1[[#This Row],[Aplicación]],9,4)</f>
        <v>2412</v>
      </c>
      <c r="V2253" s="35" t="str">
        <f>VLOOKUP(Tabla1[[#This Row],[PROGRAMA]],Hoja1!A:B,2,FALSE)</f>
        <v>2412. Formación para el empleo</v>
      </c>
      <c r="W2253" s="35" t="str">
        <f>MID(Tabla1[[#This Row],[Aplicación]],14,2)</f>
        <v>63</v>
      </c>
      <c r="X2253" s="35" t="str">
        <f>MID(Tabla1[[#This Row],[Aplicación]],14,6)</f>
        <v>633</v>
      </c>
    </row>
    <row r="2254" spans="1:24" x14ac:dyDescent="0.25">
      <c r="A2254" s="45">
        <v>220210016942</v>
      </c>
      <c r="B2254" s="46" t="s">
        <v>9</v>
      </c>
      <c r="C2254" s="47">
        <v>44312</v>
      </c>
      <c r="D2254" s="45">
        <v>22021003984</v>
      </c>
      <c r="E2254" s="46" t="s">
        <v>2309</v>
      </c>
      <c r="F2254" s="48">
        <v>3781.65</v>
      </c>
      <c r="G2254" s="54" t="s">
        <v>3732</v>
      </c>
      <c r="H2254" s="54" t="s">
        <v>3733</v>
      </c>
      <c r="I2254" s="53" t="s">
        <v>125</v>
      </c>
      <c r="J2254" s="54" t="s">
        <v>3734</v>
      </c>
      <c r="K2254" s="54" t="s">
        <v>3238</v>
      </c>
      <c r="L2254" s="54" t="s">
        <v>15</v>
      </c>
      <c r="M2254" s="54" t="s">
        <v>10</v>
      </c>
      <c r="N2254" s="54" t="s">
        <v>14</v>
      </c>
      <c r="O2254" s="49" t="s">
        <v>815</v>
      </c>
      <c r="P2254" s="54" t="s">
        <v>3392</v>
      </c>
      <c r="Q2254" s="35" t="str">
        <f>MID(Tabla1[[#This Row],[Aplicación]],14,1)</f>
        <v>2</v>
      </c>
      <c r="R2254" s="35" t="s">
        <v>495</v>
      </c>
      <c r="S2254" s="35" t="str">
        <f>MID(Tabla1[[#This Row],[Aplicación]],6,2)</f>
        <v>10</v>
      </c>
      <c r="T2254" s="35" t="str">
        <f>VLOOKUP(Tabla1[[#This Row],[AREA]],Hoja1!A:B,2,FALSE)</f>
        <v>10. Servicios sociales y mediación comunitaria</v>
      </c>
      <c r="U2254" s="35" t="str">
        <f>MID(Tabla1[[#This Row],[Aplicación]],9,4)</f>
        <v>2312</v>
      </c>
      <c r="V2254" s="35" t="str">
        <f>VLOOKUP(Tabla1[[#This Row],[PROGRAMA]],Hoja1!A:B,2,FALSE)</f>
        <v>2312. Iniciativas sociales</v>
      </c>
      <c r="W2254" s="35" t="str">
        <f>MID(Tabla1[[#This Row],[Aplicación]],14,2)</f>
        <v>22</v>
      </c>
      <c r="X2254" s="35" t="str">
        <f>MID(Tabla1[[#This Row],[Aplicación]],14,6)</f>
        <v>22617</v>
      </c>
    </row>
    <row r="2255" spans="1:24" x14ac:dyDescent="0.25">
      <c r="A2255" s="45">
        <v>220210030030</v>
      </c>
      <c r="B2255" s="46" t="s">
        <v>32</v>
      </c>
      <c r="C2255" s="47">
        <v>44356</v>
      </c>
      <c r="D2255" s="45">
        <v>22021004209</v>
      </c>
      <c r="E2255" s="46" t="s">
        <v>1724</v>
      </c>
      <c r="F2255" s="48">
        <v>8702.49</v>
      </c>
      <c r="G2255" s="54" t="s">
        <v>3011</v>
      </c>
      <c r="H2255" s="54" t="s">
        <v>3735</v>
      </c>
      <c r="I2255" s="53" t="s">
        <v>234</v>
      </c>
      <c r="J2255" s="54" t="s">
        <v>127</v>
      </c>
      <c r="K2255" s="54" t="s">
        <v>127</v>
      </c>
      <c r="L2255" s="54" t="s">
        <v>31</v>
      </c>
      <c r="M2255" s="54" t="s">
        <v>13</v>
      </c>
      <c r="N2255" s="54" t="s">
        <v>14</v>
      </c>
      <c r="O2255" s="49" t="s">
        <v>803</v>
      </c>
      <c r="P2255" s="54" t="s">
        <v>3392</v>
      </c>
      <c r="Q2255" s="35" t="str">
        <f>MID(Tabla1[[#This Row],[Aplicación]],14,1)</f>
        <v>6</v>
      </c>
      <c r="R2255" s="35" t="s">
        <v>496</v>
      </c>
      <c r="S2255" s="35" t="str">
        <f>MID(Tabla1[[#This Row],[Aplicación]],6,2)</f>
        <v>07</v>
      </c>
      <c r="T2255" s="35" t="str">
        <f>VLOOKUP(Tabla1[[#This Row],[AREA]],Hoja1!A:B,2,FALSE)</f>
        <v>07. Medio ambiente y desarrollo sostenible</v>
      </c>
      <c r="U2255" s="35" t="str">
        <f>MID(Tabla1[[#This Row],[Aplicación]],9,4)</f>
        <v>1711</v>
      </c>
      <c r="V2255" s="35" t="str">
        <f>VLOOKUP(Tabla1[[#This Row],[PROGRAMA]],Hoja1!A:B,2,FALSE)</f>
        <v>1711. Parques y jardines</v>
      </c>
      <c r="W2255" s="35" t="str">
        <f>MID(Tabla1[[#This Row],[Aplicación]],14,2)</f>
        <v>61</v>
      </c>
      <c r="X2255" s="35" t="str">
        <f>MID(Tabla1[[#This Row],[Aplicación]],14,6)</f>
        <v>619</v>
      </c>
    </row>
    <row r="2256" spans="1:24" x14ac:dyDescent="0.25">
      <c r="A2256" s="45">
        <v>220210025048</v>
      </c>
      <c r="B2256" s="46" t="s">
        <v>204</v>
      </c>
      <c r="C2256" s="47">
        <v>44341</v>
      </c>
      <c r="D2256" s="45">
        <v>22021002202</v>
      </c>
      <c r="E2256" s="46" t="s">
        <v>1261</v>
      </c>
      <c r="F2256" s="48">
        <v>3339.6</v>
      </c>
      <c r="G2256" s="54" t="s">
        <v>774</v>
      </c>
      <c r="H2256" s="54" t="s">
        <v>3736</v>
      </c>
      <c r="I2256" s="53" t="s">
        <v>205</v>
      </c>
      <c r="J2256" s="54" t="s">
        <v>127</v>
      </c>
      <c r="K2256" s="54" t="s">
        <v>127</v>
      </c>
      <c r="L2256" s="54" t="s">
        <v>12</v>
      </c>
      <c r="M2256" s="54" t="s">
        <v>13</v>
      </c>
      <c r="N2256" s="54" t="s">
        <v>16</v>
      </c>
      <c r="O2256" s="49" t="s">
        <v>803</v>
      </c>
      <c r="P2256" s="54" t="s">
        <v>3392</v>
      </c>
      <c r="Q2256" s="35" t="str">
        <f>MID(Tabla1[[#This Row],[Aplicación]],14,1)</f>
        <v>2</v>
      </c>
      <c r="R2256" s="35" t="s">
        <v>495</v>
      </c>
      <c r="S2256" s="35" t="str">
        <f>MID(Tabla1[[#This Row],[Aplicación]],6,2)</f>
        <v>03</v>
      </c>
      <c r="T2256" s="35" t="str">
        <f>VLOOKUP(Tabla1[[#This Row],[AREA]],Hoja1!A:B,2,FALSE)</f>
        <v>03. Participación ciudadana y deportes</v>
      </c>
      <c r="U2256" s="35" t="str">
        <f>MID(Tabla1[[#This Row],[Aplicación]],9,4)</f>
        <v>9241</v>
      </c>
      <c r="V2256" s="35" t="str">
        <f>VLOOKUP(Tabla1[[#This Row],[PROGRAMA]],Hoja1!A:B,2,FALSE)</f>
        <v>9241. Participación ciudadana</v>
      </c>
      <c r="W2256" s="35" t="str">
        <f>MID(Tabla1[[#This Row],[Aplicación]],14,2)</f>
        <v>22</v>
      </c>
      <c r="X2256" s="35" t="str">
        <f>MID(Tabla1[[#This Row],[Aplicación]],14,6)</f>
        <v>22700</v>
      </c>
    </row>
    <row r="2257" spans="1:24" x14ac:dyDescent="0.25">
      <c r="A2257" s="45">
        <v>220210019102</v>
      </c>
      <c r="B2257" s="46" t="s">
        <v>32</v>
      </c>
      <c r="C2257" s="47">
        <v>44319</v>
      </c>
      <c r="D2257" s="45">
        <v>22021004227</v>
      </c>
      <c r="E2257" s="46" t="s">
        <v>2298</v>
      </c>
      <c r="F2257" s="48">
        <v>11030.51</v>
      </c>
      <c r="G2257" s="54" t="s">
        <v>200</v>
      </c>
      <c r="H2257" s="54" t="s">
        <v>3737</v>
      </c>
      <c r="I2257" s="53" t="s">
        <v>234</v>
      </c>
      <c r="J2257" s="54" t="s">
        <v>127</v>
      </c>
      <c r="K2257" s="54" t="s">
        <v>127</v>
      </c>
      <c r="L2257" s="54" t="s">
        <v>12</v>
      </c>
      <c r="M2257" s="54" t="s">
        <v>13</v>
      </c>
      <c r="N2257" s="54" t="s">
        <v>14</v>
      </c>
      <c r="O2257" s="49" t="s">
        <v>803</v>
      </c>
      <c r="P2257" s="54" t="s">
        <v>3392</v>
      </c>
      <c r="Q2257" s="35" t="str">
        <f>MID(Tabla1[[#This Row],[Aplicación]],14,1)</f>
        <v>2</v>
      </c>
      <c r="R2257" s="35" t="s">
        <v>495</v>
      </c>
      <c r="S2257" s="35" t="str">
        <f>MID(Tabla1[[#This Row],[Aplicación]],6,2)</f>
        <v>03</v>
      </c>
      <c r="T2257" s="35" t="str">
        <f>VLOOKUP(Tabla1[[#This Row],[AREA]],Hoja1!A:B,2,FALSE)</f>
        <v>03. Participación ciudadana y deportes</v>
      </c>
      <c r="U2257" s="35" t="str">
        <f>MID(Tabla1[[#This Row],[Aplicación]],9,4)</f>
        <v>9241</v>
      </c>
      <c r="V2257" s="35" t="str">
        <f>VLOOKUP(Tabla1[[#This Row],[PROGRAMA]],Hoja1!A:B,2,FALSE)</f>
        <v>9241. Participación ciudadana</v>
      </c>
      <c r="W2257" s="35" t="str">
        <f>MID(Tabla1[[#This Row],[Aplicación]],14,2)</f>
        <v>22</v>
      </c>
      <c r="X2257" s="35" t="str">
        <f>MID(Tabla1[[#This Row],[Aplicación]],14,6)</f>
        <v>22701</v>
      </c>
    </row>
    <row r="2258" spans="1:24" x14ac:dyDescent="0.25">
      <c r="A2258" s="45">
        <v>220210019101</v>
      </c>
      <c r="B2258" s="46" t="s">
        <v>32</v>
      </c>
      <c r="C2258" s="47">
        <v>44319</v>
      </c>
      <c r="D2258" s="45">
        <v>22021004226</v>
      </c>
      <c r="E2258" s="46" t="s">
        <v>2298</v>
      </c>
      <c r="F2258" s="48">
        <v>5624</v>
      </c>
      <c r="G2258" s="54" t="s">
        <v>200</v>
      </c>
      <c r="H2258" s="54" t="s">
        <v>3738</v>
      </c>
      <c r="I2258" s="53" t="s">
        <v>234</v>
      </c>
      <c r="J2258" s="54" t="s">
        <v>127</v>
      </c>
      <c r="K2258" s="54" t="s">
        <v>127</v>
      </c>
      <c r="L2258" s="54" t="s">
        <v>12</v>
      </c>
      <c r="M2258" s="54" t="s">
        <v>13</v>
      </c>
      <c r="N2258" s="54" t="s">
        <v>14</v>
      </c>
      <c r="O2258" s="49" t="s">
        <v>803</v>
      </c>
      <c r="P2258" s="54" t="s">
        <v>3392</v>
      </c>
      <c r="Q2258" s="35" t="str">
        <f>MID(Tabla1[[#This Row],[Aplicación]],14,1)</f>
        <v>2</v>
      </c>
      <c r="R2258" s="35" t="s">
        <v>495</v>
      </c>
      <c r="S2258" s="35" t="str">
        <f>MID(Tabla1[[#This Row],[Aplicación]],6,2)</f>
        <v>03</v>
      </c>
      <c r="T2258" s="35" t="str">
        <f>VLOOKUP(Tabla1[[#This Row],[AREA]],Hoja1!A:B,2,FALSE)</f>
        <v>03. Participación ciudadana y deportes</v>
      </c>
      <c r="U2258" s="35" t="str">
        <f>MID(Tabla1[[#This Row],[Aplicación]],9,4)</f>
        <v>9241</v>
      </c>
      <c r="V2258" s="35" t="str">
        <f>VLOOKUP(Tabla1[[#This Row],[PROGRAMA]],Hoja1!A:B,2,FALSE)</f>
        <v>9241. Participación ciudadana</v>
      </c>
      <c r="W2258" s="35" t="str">
        <f>MID(Tabla1[[#This Row],[Aplicación]],14,2)</f>
        <v>22</v>
      </c>
      <c r="X2258" s="35" t="str">
        <f>MID(Tabla1[[#This Row],[Aplicación]],14,6)</f>
        <v>22701</v>
      </c>
    </row>
    <row r="2259" spans="1:24" x14ac:dyDescent="0.25">
      <c r="A2259" s="45">
        <v>220210020465</v>
      </c>
      <c r="B2259" s="46" t="s">
        <v>9</v>
      </c>
      <c r="C2259" s="47">
        <v>44322</v>
      </c>
      <c r="D2259" s="45">
        <v>22021004254</v>
      </c>
      <c r="E2259" s="46" t="s">
        <v>3342</v>
      </c>
      <c r="F2259" s="48">
        <v>1950000</v>
      </c>
      <c r="G2259" s="54" t="s">
        <v>512</v>
      </c>
      <c r="H2259" s="54" t="s">
        <v>3739</v>
      </c>
      <c r="I2259" s="53" t="s">
        <v>125</v>
      </c>
      <c r="J2259" s="54" t="s">
        <v>127</v>
      </c>
      <c r="K2259" s="54" t="s">
        <v>127</v>
      </c>
      <c r="L2259" s="54" t="s">
        <v>3740</v>
      </c>
      <c r="M2259" s="54" t="s">
        <v>13</v>
      </c>
      <c r="N2259" s="54" t="s">
        <v>14</v>
      </c>
      <c r="O2259" s="49" t="s">
        <v>803</v>
      </c>
      <c r="P2259" s="54" t="s">
        <v>3392</v>
      </c>
      <c r="Q2259" s="35" t="str">
        <f>MID(Tabla1[[#This Row],[Aplicación]],14,1)</f>
        <v>2</v>
      </c>
      <c r="R2259" s="35" t="s">
        <v>495</v>
      </c>
      <c r="S2259" s="35" t="str">
        <f>MID(Tabla1[[#This Row],[Aplicación]],6,2)</f>
        <v>07</v>
      </c>
      <c r="T2259" s="35" t="str">
        <f>VLOOKUP(Tabla1[[#This Row],[AREA]],Hoja1!A:B,2,FALSE)</f>
        <v>07. Medio ambiente y desarrollo sostenible</v>
      </c>
      <c r="U2259" s="35" t="str">
        <f>MID(Tabla1[[#This Row],[Aplicación]],9,4)</f>
        <v>1623</v>
      </c>
      <c r="V2259" s="35" t="str">
        <f>VLOOKUP(Tabla1[[#This Row],[PROGRAMA]],Hoja1!A:B,2,FALSE)</f>
        <v>1623. Tratamiento de residuos</v>
      </c>
      <c r="W2259" s="35" t="str">
        <f>MID(Tabla1[[#This Row],[Aplicación]],14,2)</f>
        <v>22</v>
      </c>
      <c r="X2259" s="35" t="str">
        <f>MID(Tabla1[[#This Row],[Aplicación]],14,6)</f>
        <v>22700</v>
      </c>
    </row>
    <row r="2260" spans="1:24" x14ac:dyDescent="0.25">
      <c r="A2260" s="45">
        <v>220210024695</v>
      </c>
      <c r="B2260" s="46" t="s">
        <v>9</v>
      </c>
      <c r="C2260" s="47">
        <v>44340</v>
      </c>
      <c r="D2260" s="45">
        <v>22021003565</v>
      </c>
      <c r="E2260" s="46" t="s">
        <v>2147</v>
      </c>
      <c r="F2260" s="48">
        <v>125624.65</v>
      </c>
      <c r="G2260" s="54" t="s">
        <v>124</v>
      </c>
      <c r="H2260" s="54" t="s">
        <v>3741</v>
      </c>
      <c r="I2260" s="53" t="s">
        <v>125</v>
      </c>
      <c r="J2260" s="54" t="s">
        <v>126</v>
      </c>
      <c r="K2260" s="54" t="s">
        <v>126</v>
      </c>
      <c r="L2260" s="54" t="s">
        <v>12</v>
      </c>
      <c r="M2260" s="54" t="s">
        <v>13</v>
      </c>
      <c r="N2260" s="54" t="s">
        <v>14</v>
      </c>
      <c r="O2260" s="49" t="s">
        <v>803</v>
      </c>
      <c r="P2260" s="54" t="s">
        <v>3392</v>
      </c>
      <c r="Q2260" s="35" t="str">
        <f>MID(Tabla1[[#This Row],[Aplicación]],14,1)</f>
        <v>2</v>
      </c>
      <c r="R2260" s="35" t="s">
        <v>495</v>
      </c>
      <c r="S2260" s="35" t="str">
        <f>MID(Tabla1[[#This Row],[Aplicación]],6,2)</f>
        <v>04</v>
      </c>
      <c r="T2260" s="35" t="str">
        <f>VLOOKUP(Tabla1[[#This Row],[AREA]],Hoja1!A:B,2,FALSE)</f>
        <v>04. Planificación y recursos</v>
      </c>
      <c r="U2260" s="35" t="str">
        <f>MID(Tabla1[[#This Row],[Aplicación]],9,4)</f>
        <v>9204</v>
      </c>
      <c r="V2260" s="35" t="str">
        <f>VLOOKUP(Tabla1[[#This Row],[PROGRAMA]],Hoja1!A:B,2,FALSE)</f>
        <v>9204. Tecnologías de la información y comunicación</v>
      </c>
      <c r="W2260" s="35" t="str">
        <f>MID(Tabla1[[#This Row],[Aplicación]],14,2)</f>
        <v>22</v>
      </c>
      <c r="X2260" s="35" t="str">
        <f>MID(Tabla1[[#This Row],[Aplicación]],14,6)</f>
        <v>22200</v>
      </c>
    </row>
    <row r="2261" spans="1:24" x14ac:dyDescent="0.25">
      <c r="A2261" s="45">
        <v>220210024702</v>
      </c>
      <c r="B2261" s="46" t="s">
        <v>9</v>
      </c>
      <c r="C2261" s="47">
        <v>44340</v>
      </c>
      <c r="D2261" s="45">
        <v>22021003621</v>
      </c>
      <c r="E2261" s="46" t="s">
        <v>3180</v>
      </c>
      <c r="F2261" s="48">
        <v>19533.810000000001</v>
      </c>
      <c r="G2261" s="54" t="s">
        <v>124</v>
      </c>
      <c r="H2261" s="54" t="s">
        <v>3742</v>
      </c>
      <c r="I2261" s="53" t="s">
        <v>125</v>
      </c>
      <c r="J2261" s="54" t="s">
        <v>126</v>
      </c>
      <c r="K2261" s="54" t="s">
        <v>126</v>
      </c>
      <c r="L2261" s="54" t="s">
        <v>12</v>
      </c>
      <c r="M2261" s="54" t="s">
        <v>13</v>
      </c>
      <c r="N2261" s="54" t="s">
        <v>14</v>
      </c>
      <c r="O2261" s="49" t="s">
        <v>803</v>
      </c>
      <c r="P2261" s="54" t="s">
        <v>3392</v>
      </c>
      <c r="Q2261" s="35" t="str">
        <f>MID(Tabla1[[#This Row],[Aplicación]],14,1)</f>
        <v>2</v>
      </c>
      <c r="R2261" s="35" t="s">
        <v>495</v>
      </c>
      <c r="S2261" s="35" t="str">
        <f>MID(Tabla1[[#This Row],[Aplicación]],6,2)</f>
        <v>03</v>
      </c>
      <c r="T2261" s="35" t="str">
        <f>VLOOKUP(Tabla1[[#This Row],[AREA]],Hoja1!A:B,2,FALSE)</f>
        <v>03. Participación ciudadana y deportes</v>
      </c>
      <c r="U2261" s="35" t="str">
        <f>MID(Tabla1[[#This Row],[Aplicación]],9,4)</f>
        <v>9241</v>
      </c>
      <c r="V2261" s="35" t="str">
        <f>VLOOKUP(Tabla1[[#This Row],[PROGRAMA]],Hoja1!A:B,2,FALSE)</f>
        <v>9241. Participación ciudadana</v>
      </c>
      <c r="W2261" s="35" t="str">
        <f>MID(Tabla1[[#This Row],[Aplicación]],14,2)</f>
        <v>22</v>
      </c>
      <c r="X2261" s="35" t="str">
        <f>MID(Tabla1[[#This Row],[Aplicación]],14,6)</f>
        <v>22200</v>
      </c>
    </row>
    <row r="2262" spans="1:24" x14ac:dyDescent="0.25">
      <c r="A2262" s="45">
        <v>220210024697</v>
      </c>
      <c r="B2262" s="46" t="s">
        <v>9</v>
      </c>
      <c r="C2262" s="47">
        <v>44340</v>
      </c>
      <c r="D2262" s="45">
        <v>22021000096</v>
      </c>
      <c r="E2262" s="46" t="s">
        <v>2112</v>
      </c>
      <c r="F2262" s="48">
        <v>12159.53</v>
      </c>
      <c r="G2262" s="54" t="s">
        <v>124</v>
      </c>
      <c r="H2262" s="54" t="s">
        <v>3743</v>
      </c>
      <c r="I2262" s="53" t="s">
        <v>125</v>
      </c>
      <c r="J2262" s="54" t="s">
        <v>126</v>
      </c>
      <c r="K2262" s="54" t="s">
        <v>126</v>
      </c>
      <c r="L2262" s="54" t="s">
        <v>12</v>
      </c>
      <c r="M2262" s="54" t="s">
        <v>13</v>
      </c>
      <c r="N2262" s="54" t="s">
        <v>14</v>
      </c>
      <c r="O2262" s="49" t="s">
        <v>803</v>
      </c>
      <c r="P2262" s="54" t="s">
        <v>3392</v>
      </c>
      <c r="Q2262" s="35" t="str">
        <f>MID(Tabla1[[#This Row],[Aplicación]],14,1)</f>
        <v>2</v>
      </c>
      <c r="R2262" s="35" t="s">
        <v>495</v>
      </c>
      <c r="S2262" s="35" t="str">
        <f>MID(Tabla1[[#This Row],[Aplicación]],6,2)</f>
        <v>10</v>
      </c>
      <c r="T2262" s="35" t="str">
        <f>VLOOKUP(Tabla1[[#This Row],[AREA]],Hoja1!A:B,2,FALSE)</f>
        <v>10. Servicios sociales y mediación comunitaria</v>
      </c>
      <c r="U2262" s="35" t="str">
        <f>MID(Tabla1[[#This Row],[Aplicación]],9,4)</f>
        <v>2311</v>
      </c>
      <c r="V2262" s="35" t="str">
        <f>VLOOKUP(Tabla1[[#This Row],[PROGRAMA]],Hoja1!A:B,2,FALSE)</f>
        <v>2311. Intervención social</v>
      </c>
      <c r="W2262" s="35" t="str">
        <f>MID(Tabla1[[#This Row],[Aplicación]],14,2)</f>
        <v>22</v>
      </c>
      <c r="X2262" s="35" t="str">
        <f>MID(Tabla1[[#This Row],[Aplicación]],14,6)</f>
        <v>22200</v>
      </c>
    </row>
    <row r="2263" spans="1:24" x14ac:dyDescent="0.25">
      <c r="A2263" s="45">
        <v>220210024692</v>
      </c>
      <c r="B2263" s="46" t="s">
        <v>9</v>
      </c>
      <c r="C2263" s="47">
        <v>44340</v>
      </c>
      <c r="D2263" s="45">
        <v>22021000097</v>
      </c>
      <c r="E2263" s="46" t="s">
        <v>3155</v>
      </c>
      <c r="F2263" s="48">
        <v>8457.67</v>
      </c>
      <c r="G2263" s="54" t="s">
        <v>124</v>
      </c>
      <c r="H2263" s="54" t="s">
        <v>3744</v>
      </c>
      <c r="I2263" s="53" t="s">
        <v>125</v>
      </c>
      <c r="J2263" s="54" t="s">
        <v>126</v>
      </c>
      <c r="K2263" s="54" t="s">
        <v>126</v>
      </c>
      <c r="L2263" s="54" t="s">
        <v>15</v>
      </c>
      <c r="M2263" s="54" t="s">
        <v>13</v>
      </c>
      <c r="N2263" s="54" t="s">
        <v>14</v>
      </c>
      <c r="O2263" s="49" t="s">
        <v>803</v>
      </c>
      <c r="P2263" s="54" t="s">
        <v>3392</v>
      </c>
      <c r="Q2263" s="35" t="str">
        <f>MID(Tabla1[[#This Row],[Aplicación]],14,1)</f>
        <v>2</v>
      </c>
      <c r="R2263" s="35" t="s">
        <v>495</v>
      </c>
      <c r="S2263" s="35" t="str">
        <f>MID(Tabla1[[#This Row],[Aplicación]],6,2)</f>
        <v>10</v>
      </c>
      <c r="T2263" s="35" t="str">
        <f>VLOOKUP(Tabla1[[#This Row],[AREA]],Hoja1!A:B,2,FALSE)</f>
        <v>10. Servicios sociales y mediación comunitaria</v>
      </c>
      <c r="U2263" s="35" t="str">
        <f>MID(Tabla1[[#This Row],[Aplicación]],9,4)</f>
        <v>2312</v>
      </c>
      <c r="V2263" s="35" t="str">
        <f>VLOOKUP(Tabla1[[#This Row],[PROGRAMA]],Hoja1!A:B,2,FALSE)</f>
        <v>2312. Iniciativas sociales</v>
      </c>
      <c r="W2263" s="35" t="str">
        <f>MID(Tabla1[[#This Row],[Aplicación]],14,2)</f>
        <v>22</v>
      </c>
      <c r="X2263" s="35" t="str">
        <f>MID(Tabla1[[#This Row],[Aplicación]],14,6)</f>
        <v>22200</v>
      </c>
    </row>
    <row r="2264" spans="1:24" x14ac:dyDescent="0.25">
      <c r="A2264" s="45">
        <v>220210024700</v>
      </c>
      <c r="B2264" s="46" t="s">
        <v>9</v>
      </c>
      <c r="C2264" s="47">
        <v>44340</v>
      </c>
      <c r="D2264" s="45">
        <v>22021003606</v>
      </c>
      <c r="E2264" s="46" t="s">
        <v>2485</v>
      </c>
      <c r="F2264" s="48">
        <v>6795.34</v>
      </c>
      <c r="G2264" s="54" t="s">
        <v>124</v>
      </c>
      <c r="H2264" s="54" t="s">
        <v>3745</v>
      </c>
      <c r="I2264" s="53" t="s">
        <v>125</v>
      </c>
      <c r="J2264" s="54" t="s">
        <v>126</v>
      </c>
      <c r="K2264" s="54" t="s">
        <v>126</v>
      </c>
      <c r="L2264" s="54" t="s">
        <v>12</v>
      </c>
      <c r="M2264" s="54" t="s">
        <v>13</v>
      </c>
      <c r="N2264" s="54" t="s">
        <v>14</v>
      </c>
      <c r="O2264" s="49" t="s">
        <v>803</v>
      </c>
      <c r="P2264" s="54" t="s">
        <v>3392</v>
      </c>
      <c r="Q2264" s="35" t="str">
        <f>MID(Tabla1[[#This Row],[Aplicación]],14,1)</f>
        <v>2</v>
      </c>
      <c r="R2264" s="35" t="s">
        <v>495</v>
      </c>
      <c r="S2264" s="35" t="str">
        <f>MID(Tabla1[[#This Row],[Aplicación]],6,2)</f>
        <v>11</v>
      </c>
      <c r="T2264" s="35" t="str">
        <f>VLOOKUP(Tabla1[[#This Row],[AREA]],Hoja1!A:B,2,FALSE)</f>
        <v>11. Salud pública y seguridad ciudadana</v>
      </c>
      <c r="U2264" s="35" t="str">
        <f>MID(Tabla1[[#This Row],[Aplicación]],9,4)</f>
        <v>1321</v>
      </c>
      <c r="V2264" s="35" t="str">
        <f>VLOOKUP(Tabla1[[#This Row],[PROGRAMA]],Hoja1!A:B,2,FALSE)</f>
        <v>1321. Policía municipal</v>
      </c>
      <c r="W2264" s="35" t="str">
        <f>MID(Tabla1[[#This Row],[Aplicación]],14,2)</f>
        <v>22</v>
      </c>
      <c r="X2264" s="35" t="str">
        <f>MID(Tabla1[[#This Row],[Aplicación]],14,6)</f>
        <v>22200</v>
      </c>
    </row>
    <row r="2265" spans="1:24" x14ac:dyDescent="0.25">
      <c r="A2265" s="45">
        <v>220210024693</v>
      </c>
      <c r="B2265" s="46" t="s">
        <v>9</v>
      </c>
      <c r="C2265" s="47">
        <v>44340</v>
      </c>
      <c r="D2265" s="45">
        <v>22021000098</v>
      </c>
      <c r="E2265" s="46" t="s">
        <v>3155</v>
      </c>
      <c r="F2265" s="48">
        <v>6407.56</v>
      </c>
      <c r="G2265" s="54" t="s">
        <v>124</v>
      </c>
      <c r="H2265" s="54" t="s">
        <v>3746</v>
      </c>
      <c r="I2265" s="53" t="s">
        <v>125</v>
      </c>
      <c r="J2265" s="54" t="s">
        <v>126</v>
      </c>
      <c r="K2265" s="54" t="s">
        <v>126</v>
      </c>
      <c r="L2265" s="54" t="s">
        <v>12</v>
      </c>
      <c r="M2265" s="54" t="s">
        <v>13</v>
      </c>
      <c r="N2265" s="54" t="s">
        <v>14</v>
      </c>
      <c r="O2265" s="49" t="s">
        <v>803</v>
      </c>
      <c r="P2265" s="54" t="s">
        <v>3392</v>
      </c>
      <c r="Q2265" s="35" t="str">
        <f>MID(Tabla1[[#This Row],[Aplicación]],14,1)</f>
        <v>2</v>
      </c>
      <c r="R2265" s="35" t="s">
        <v>495</v>
      </c>
      <c r="S2265" s="35" t="str">
        <f>MID(Tabla1[[#This Row],[Aplicación]],6,2)</f>
        <v>10</v>
      </c>
      <c r="T2265" s="35" t="str">
        <f>VLOOKUP(Tabla1[[#This Row],[AREA]],Hoja1!A:B,2,FALSE)</f>
        <v>10. Servicios sociales y mediación comunitaria</v>
      </c>
      <c r="U2265" s="35" t="str">
        <f>MID(Tabla1[[#This Row],[Aplicación]],9,4)</f>
        <v>2312</v>
      </c>
      <c r="V2265" s="35" t="str">
        <f>VLOOKUP(Tabla1[[#This Row],[PROGRAMA]],Hoja1!A:B,2,FALSE)</f>
        <v>2312. Iniciativas sociales</v>
      </c>
      <c r="W2265" s="35" t="str">
        <f>MID(Tabla1[[#This Row],[Aplicación]],14,2)</f>
        <v>22</v>
      </c>
      <c r="X2265" s="35" t="str">
        <f>MID(Tabla1[[#This Row],[Aplicación]],14,6)</f>
        <v>22200</v>
      </c>
    </row>
    <row r="2266" spans="1:24" x14ac:dyDescent="0.25">
      <c r="A2266" s="45">
        <v>220210024691</v>
      </c>
      <c r="B2266" s="46" t="s">
        <v>9</v>
      </c>
      <c r="C2266" s="47">
        <v>44340</v>
      </c>
      <c r="D2266" s="45">
        <v>22021003534</v>
      </c>
      <c r="E2266" s="46" t="s">
        <v>3143</v>
      </c>
      <c r="F2266" s="48">
        <v>3714.88</v>
      </c>
      <c r="G2266" s="54" t="s">
        <v>124</v>
      </c>
      <c r="H2266" s="54" t="s">
        <v>3747</v>
      </c>
      <c r="I2266" s="53" t="s">
        <v>125</v>
      </c>
      <c r="J2266" s="54" t="s">
        <v>126</v>
      </c>
      <c r="K2266" s="54" t="s">
        <v>126</v>
      </c>
      <c r="L2266" s="54" t="s">
        <v>12</v>
      </c>
      <c r="M2266" s="54" t="s">
        <v>13</v>
      </c>
      <c r="N2266" s="54" t="s">
        <v>14</v>
      </c>
      <c r="O2266" s="49" t="s">
        <v>803</v>
      </c>
      <c r="P2266" s="54" t="s">
        <v>3392</v>
      </c>
      <c r="Q2266" s="35" t="str">
        <f>MID(Tabla1[[#This Row],[Aplicación]],14,1)</f>
        <v>2</v>
      </c>
      <c r="R2266" s="35" t="s">
        <v>495</v>
      </c>
      <c r="S2266" s="35" t="str">
        <f>MID(Tabla1[[#This Row],[Aplicación]],6,2)</f>
        <v>05</v>
      </c>
      <c r="T2266" s="35" t="str">
        <f>VLOOKUP(Tabla1[[#This Row],[AREA]],Hoja1!A:B,2,FALSE)</f>
        <v>05. Innovación, desarrollo económico, empleo y comercio</v>
      </c>
      <c r="U2266" s="35" t="str">
        <f>MID(Tabla1[[#This Row],[Aplicación]],9,4)</f>
        <v>4331</v>
      </c>
      <c r="V2266" s="35" t="str">
        <f>VLOOKUP(Tabla1[[#This Row],[PROGRAMA]],Hoja1!A:B,2,FALSE)</f>
        <v>4331. Desarrollo empresarial</v>
      </c>
      <c r="W2266" s="35" t="str">
        <f>MID(Tabla1[[#This Row],[Aplicación]],14,2)</f>
        <v>22</v>
      </c>
      <c r="X2266" s="35" t="str">
        <f>MID(Tabla1[[#This Row],[Aplicación]],14,6)</f>
        <v>22200</v>
      </c>
    </row>
    <row r="2267" spans="1:24" x14ac:dyDescent="0.25">
      <c r="A2267" s="45">
        <v>220210030523</v>
      </c>
      <c r="B2267" s="46" t="s">
        <v>9</v>
      </c>
      <c r="C2267" s="47">
        <v>44358</v>
      </c>
      <c r="D2267" s="45">
        <v>22021004827</v>
      </c>
      <c r="E2267" s="46" t="s">
        <v>881</v>
      </c>
      <c r="F2267" s="48">
        <v>3699.9</v>
      </c>
      <c r="G2267" s="54" t="s">
        <v>1980</v>
      </c>
      <c r="H2267" s="54" t="s">
        <v>3748</v>
      </c>
      <c r="I2267" s="53" t="s">
        <v>125</v>
      </c>
      <c r="J2267" s="54" t="s">
        <v>1982</v>
      </c>
      <c r="K2267" s="54" t="s">
        <v>1554</v>
      </c>
      <c r="L2267" s="54" t="s">
        <v>15</v>
      </c>
      <c r="M2267" s="54" t="s">
        <v>10</v>
      </c>
      <c r="N2267" s="54" t="s">
        <v>11</v>
      </c>
      <c r="O2267" s="49" t="s">
        <v>815</v>
      </c>
      <c r="P2267" s="54" t="s">
        <v>3392</v>
      </c>
      <c r="Q2267" s="35" t="str">
        <f>MID(Tabla1[[#This Row],[Aplicación]],14,1)</f>
        <v>2</v>
      </c>
      <c r="R2267" s="35" t="s">
        <v>495</v>
      </c>
      <c r="S2267" s="35" t="str">
        <f>MID(Tabla1[[#This Row],[Aplicación]],6,2)</f>
        <v>05</v>
      </c>
      <c r="T2267" s="35" t="str">
        <f>VLOOKUP(Tabla1[[#This Row],[AREA]],Hoja1!A:B,2,FALSE)</f>
        <v>05. Innovación, desarrollo económico, empleo y comercio</v>
      </c>
      <c r="U2267" s="35" t="str">
        <f>MID(Tabla1[[#This Row],[Aplicación]],9,4)</f>
        <v>4331</v>
      </c>
      <c r="V2267" s="35" t="str">
        <f>VLOOKUP(Tabla1[[#This Row],[PROGRAMA]],Hoja1!A:B,2,FALSE)</f>
        <v>4331. Desarrollo empresarial</v>
      </c>
      <c r="W2267" s="35" t="str">
        <f>MID(Tabla1[[#This Row],[Aplicación]],14,2)</f>
        <v>22</v>
      </c>
      <c r="X2267" s="35" t="str">
        <f>MID(Tabla1[[#This Row],[Aplicación]],14,6)</f>
        <v>22799</v>
      </c>
    </row>
    <row r="2268" spans="1:24" x14ac:dyDescent="0.25">
      <c r="A2268" s="45">
        <v>220210026155</v>
      </c>
      <c r="B2268" s="46" t="s">
        <v>9</v>
      </c>
      <c r="C2268" s="47">
        <v>44347</v>
      </c>
      <c r="D2268" s="45">
        <v>22021004622</v>
      </c>
      <c r="E2268" s="46" t="s">
        <v>2266</v>
      </c>
      <c r="F2268" s="48">
        <v>3654</v>
      </c>
      <c r="G2268" s="54" t="s">
        <v>2791</v>
      </c>
      <c r="H2268" s="54" t="s">
        <v>3749</v>
      </c>
      <c r="I2268" s="53" t="s">
        <v>125</v>
      </c>
      <c r="J2268" s="54" t="s">
        <v>127</v>
      </c>
      <c r="K2268" s="54" t="s">
        <v>127</v>
      </c>
      <c r="L2268" s="54" t="s">
        <v>12</v>
      </c>
      <c r="M2268" s="54" t="s">
        <v>10</v>
      </c>
      <c r="N2268" s="54" t="s">
        <v>11</v>
      </c>
      <c r="O2268" s="49" t="s">
        <v>815</v>
      </c>
      <c r="P2268" s="54" t="s">
        <v>3392</v>
      </c>
      <c r="Q2268" s="35" t="str">
        <f>MID(Tabla1[[#This Row],[Aplicación]],14,1)</f>
        <v>2</v>
      </c>
      <c r="R2268" s="35" t="s">
        <v>495</v>
      </c>
      <c r="S2268" s="35" t="str">
        <f>MID(Tabla1[[#This Row],[Aplicación]],6,2)</f>
        <v>11</v>
      </c>
      <c r="T2268" s="35" t="str">
        <f>VLOOKUP(Tabla1[[#This Row],[AREA]],Hoja1!A:B,2,FALSE)</f>
        <v>11. Salud pública y seguridad ciudadana</v>
      </c>
      <c r="U2268" s="35" t="str">
        <f>MID(Tabla1[[#This Row],[Aplicación]],9,4)</f>
        <v>3111</v>
      </c>
      <c r="V2268" s="35" t="str">
        <f>VLOOKUP(Tabla1[[#This Row],[PROGRAMA]],Hoja1!A:B,2,FALSE)</f>
        <v>3111. Protección de la salubridad pública</v>
      </c>
      <c r="W2268" s="35" t="str">
        <f>MID(Tabla1[[#This Row],[Aplicación]],14,2)</f>
        <v>22</v>
      </c>
      <c r="X2268" s="35" t="str">
        <f>MID(Tabla1[[#This Row],[Aplicación]],14,6)</f>
        <v>22799</v>
      </c>
    </row>
    <row r="2269" spans="1:24" x14ac:dyDescent="0.25">
      <c r="A2269" s="45">
        <v>220210026999</v>
      </c>
      <c r="B2269" s="46" t="s">
        <v>9</v>
      </c>
      <c r="C2269" s="47">
        <v>44348</v>
      </c>
      <c r="D2269" s="45">
        <v>22021004638</v>
      </c>
      <c r="E2269" s="46" t="s">
        <v>836</v>
      </c>
      <c r="F2269" s="48">
        <v>3630</v>
      </c>
      <c r="G2269" s="54" t="s">
        <v>3750</v>
      </c>
      <c r="H2269" s="54" t="s">
        <v>3751</v>
      </c>
      <c r="I2269" s="53" t="s">
        <v>125</v>
      </c>
      <c r="J2269" s="54" t="s">
        <v>126</v>
      </c>
      <c r="K2269" s="54" t="s">
        <v>126</v>
      </c>
      <c r="L2269" s="54" t="s">
        <v>12</v>
      </c>
      <c r="M2269" s="54" t="s">
        <v>10</v>
      </c>
      <c r="N2269" s="54" t="s">
        <v>11</v>
      </c>
      <c r="O2269" s="49" t="s">
        <v>815</v>
      </c>
      <c r="P2269" s="54" t="s">
        <v>3392</v>
      </c>
      <c r="Q2269" s="35" t="str">
        <f>MID(Tabla1[[#This Row],[Aplicación]],14,1)</f>
        <v>2</v>
      </c>
      <c r="R2269" s="35" t="s">
        <v>495</v>
      </c>
      <c r="S2269" s="35" t="str">
        <f>MID(Tabla1[[#This Row],[Aplicación]],6,2)</f>
        <v>05</v>
      </c>
      <c r="T2269" s="35" t="str">
        <f>VLOOKUP(Tabla1[[#This Row],[AREA]],Hoja1!A:B,2,FALSE)</f>
        <v>05. Innovación, desarrollo económico, empleo y comercio</v>
      </c>
      <c r="U2269" s="35" t="str">
        <f>MID(Tabla1[[#This Row],[Aplicación]],9,4)</f>
        <v>4331</v>
      </c>
      <c r="V2269" s="35" t="str">
        <f>VLOOKUP(Tabla1[[#This Row],[PROGRAMA]],Hoja1!A:B,2,FALSE)</f>
        <v>4331. Desarrollo empresarial</v>
      </c>
      <c r="W2269" s="35" t="str">
        <f>MID(Tabla1[[#This Row],[Aplicación]],14,2)</f>
        <v>22</v>
      </c>
      <c r="X2269" s="35" t="str">
        <f>MID(Tabla1[[#This Row],[Aplicación]],14,6)</f>
        <v>22699</v>
      </c>
    </row>
    <row r="2270" spans="1:24" x14ac:dyDescent="0.25">
      <c r="A2270" s="45">
        <v>220210033124</v>
      </c>
      <c r="B2270" s="46" t="s">
        <v>9</v>
      </c>
      <c r="C2270" s="47">
        <v>44377</v>
      </c>
      <c r="D2270" s="45">
        <v>22021005150</v>
      </c>
      <c r="E2270" s="46" t="s">
        <v>3343</v>
      </c>
      <c r="F2270" s="48">
        <v>3630</v>
      </c>
      <c r="G2270" s="54" t="s">
        <v>2262</v>
      </c>
      <c r="H2270" s="54" t="s">
        <v>3752</v>
      </c>
      <c r="I2270" s="53" t="s">
        <v>125</v>
      </c>
      <c r="J2270" s="54" t="s">
        <v>127</v>
      </c>
      <c r="K2270" s="54" t="s">
        <v>127</v>
      </c>
      <c r="L2270" s="54" t="s">
        <v>12</v>
      </c>
      <c r="M2270" s="54" t="s">
        <v>10</v>
      </c>
      <c r="N2270" s="54" t="s">
        <v>14</v>
      </c>
      <c r="O2270" s="49" t="s">
        <v>815</v>
      </c>
      <c r="P2270" s="54" t="s">
        <v>3392</v>
      </c>
      <c r="Q2270" s="35" t="str">
        <f>MID(Tabla1[[#This Row],[Aplicación]],14,1)</f>
        <v>2</v>
      </c>
      <c r="R2270" s="35" t="s">
        <v>495</v>
      </c>
      <c r="S2270" s="35" t="str">
        <f>MID(Tabla1[[#This Row],[Aplicación]],6,2)</f>
        <v>10</v>
      </c>
      <c r="T2270" s="35" t="str">
        <f>VLOOKUP(Tabla1[[#This Row],[AREA]],Hoja1!A:B,2,FALSE)</f>
        <v>10. Servicios sociales y mediación comunitaria</v>
      </c>
      <c r="U2270" s="35" t="str">
        <f>MID(Tabla1[[#This Row],[Aplicación]],9,4)</f>
        <v>2312</v>
      </c>
      <c r="V2270" s="35" t="str">
        <f>VLOOKUP(Tabla1[[#This Row],[PROGRAMA]],Hoja1!A:B,2,FALSE)</f>
        <v>2312. Iniciativas sociales</v>
      </c>
      <c r="W2270" s="35" t="str">
        <f>MID(Tabla1[[#This Row],[Aplicación]],14,2)</f>
        <v>22</v>
      </c>
      <c r="X2270" s="35" t="str">
        <f>MID(Tabla1[[#This Row],[Aplicación]],14,6)</f>
        <v>22706</v>
      </c>
    </row>
    <row r="2271" spans="1:24" x14ac:dyDescent="0.25">
      <c r="A2271" s="45">
        <v>220210024704</v>
      </c>
      <c r="B2271" s="46" t="s">
        <v>9</v>
      </c>
      <c r="C2271" s="47">
        <v>44340</v>
      </c>
      <c r="D2271" s="45">
        <v>22021003772</v>
      </c>
      <c r="E2271" s="46" t="s">
        <v>3140</v>
      </c>
      <c r="F2271" s="48">
        <v>1875.24</v>
      </c>
      <c r="G2271" s="54" t="s">
        <v>124</v>
      </c>
      <c r="H2271" s="54" t="s">
        <v>3753</v>
      </c>
      <c r="I2271" s="53" t="s">
        <v>125</v>
      </c>
      <c r="J2271" s="54" t="s">
        <v>126</v>
      </c>
      <c r="K2271" s="54" t="s">
        <v>126</v>
      </c>
      <c r="L2271" s="54" t="s">
        <v>12</v>
      </c>
      <c r="M2271" s="54" t="s">
        <v>13</v>
      </c>
      <c r="N2271" s="54" t="s">
        <v>14</v>
      </c>
      <c r="O2271" s="49" t="s">
        <v>803</v>
      </c>
      <c r="P2271" s="54" t="s">
        <v>3392</v>
      </c>
      <c r="Q2271" s="35" t="str">
        <f>MID(Tabla1[[#This Row],[Aplicación]],14,1)</f>
        <v>2</v>
      </c>
      <c r="R2271" s="35" t="s">
        <v>495</v>
      </c>
      <c r="S2271" s="35" t="str">
        <f>MID(Tabla1[[#This Row],[Aplicación]],6,2)</f>
        <v>06</v>
      </c>
      <c r="T2271" s="35" t="str">
        <f>VLOOKUP(Tabla1[[#This Row],[AREA]],Hoja1!A:B,2,FALSE)</f>
        <v>06. Educación, infancia, juventud e igualdad</v>
      </c>
      <c r="U2271" s="35" t="str">
        <f>MID(Tabla1[[#This Row],[Aplicación]],9,4)</f>
        <v>3232</v>
      </c>
      <c r="V2271" s="35" t="str">
        <f>VLOOKUP(Tabla1[[#This Row],[PROGRAMA]],Hoja1!A:B,2,FALSE)</f>
        <v>3232. Conservación y mantenimiento centros educación infantil y primaria</v>
      </c>
      <c r="W2271" s="35" t="str">
        <f>MID(Tabla1[[#This Row],[Aplicación]],14,2)</f>
        <v>22</v>
      </c>
      <c r="X2271" s="35" t="str">
        <f>MID(Tabla1[[#This Row],[Aplicación]],14,6)</f>
        <v>22200</v>
      </c>
    </row>
    <row r="2272" spans="1:24" x14ac:dyDescent="0.25">
      <c r="A2272" s="45">
        <v>220210024698</v>
      </c>
      <c r="B2272" s="46" t="s">
        <v>9</v>
      </c>
      <c r="C2272" s="47">
        <v>44340</v>
      </c>
      <c r="D2272" s="45">
        <v>22021000095</v>
      </c>
      <c r="E2272" s="46" t="s">
        <v>2112</v>
      </c>
      <c r="F2272" s="48">
        <v>1352</v>
      </c>
      <c r="G2272" s="54" t="s">
        <v>124</v>
      </c>
      <c r="H2272" s="54" t="s">
        <v>3754</v>
      </c>
      <c r="I2272" s="53" t="s">
        <v>125</v>
      </c>
      <c r="J2272" s="54" t="s">
        <v>126</v>
      </c>
      <c r="K2272" s="54" t="s">
        <v>126</v>
      </c>
      <c r="L2272" s="54" t="s">
        <v>12</v>
      </c>
      <c r="M2272" s="54" t="s">
        <v>13</v>
      </c>
      <c r="N2272" s="54" t="s">
        <v>14</v>
      </c>
      <c r="O2272" s="49" t="s">
        <v>803</v>
      </c>
      <c r="P2272" s="54" t="s">
        <v>3392</v>
      </c>
      <c r="Q2272" s="35" t="str">
        <f>MID(Tabla1[[#This Row],[Aplicación]],14,1)</f>
        <v>2</v>
      </c>
      <c r="R2272" s="35" t="s">
        <v>495</v>
      </c>
      <c r="S2272" s="35" t="str">
        <f>MID(Tabla1[[#This Row],[Aplicación]],6,2)</f>
        <v>10</v>
      </c>
      <c r="T2272" s="35" t="str">
        <f>VLOOKUP(Tabla1[[#This Row],[AREA]],Hoja1!A:B,2,FALSE)</f>
        <v>10. Servicios sociales y mediación comunitaria</v>
      </c>
      <c r="U2272" s="35" t="str">
        <f>MID(Tabla1[[#This Row],[Aplicación]],9,4)</f>
        <v>2311</v>
      </c>
      <c r="V2272" s="35" t="str">
        <f>VLOOKUP(Tabla1[[#This Row],[PROGRAMA]],Hoja1!A:B,2,FALSE)</f>
        <v>2311. Intervención social</v>
      </c>
      <c r="W2272" s="35" t="str">
        <f>MID(Tabla1[[#This Row],[Aplicación]],14,2)</f>
        <v>22</v>
      </c>
      <c r="X2272" s="35" t="str">
        <f>MID(Tabla1[[#This Row],[Aplicación]],14,6)</f>
        <v>22200</v>
      </c>
    </row>
    <row r="2273" spans="1:24" x14ac:dyDescent="0.25">
      <c r="A2273" s="45">
        <v>220210024703</v>
      </c>
      <c r="B2273" s="46" t="s">
        <v>9</v>
      </c>
      <c r="C2273" s="47">
        <v>44340</v>
      </c>
      <c r="D2273" s="45">
        <v>22021003668</v>
      </c>
      <c r="E2273" s="46" t="s">
        <v>2483</v>
      </c>
      <c r="F2273" s="48">
        <v>781.35</v>
      </c>
      <c r="G2273" s="54" t="s">
        <v>124</v>
      </c>
      <c r="H2273" s="54" t="s">
        <v>3755</v>
      </c>
      <c r="I2273" s="53" t="s">
        <v>125</v>
      </c>
      <c r="J2273" s="54" t="s">
        <v>126</v>
      </c>
      <c r="K2273" s="54" t="s">
        <v>126</v>
      </c>
      <c r="L2273" s="54" t="s">
        <v>12</v>
      </c>
      <c r="M2273" s="54" t="s">
        <v>13</v>
      </c>
      <c r="N2273" s="54" t="s">
        <v>14</v>
      </c>
      <c r="O2273" s="49" t="s">
        <v>803</v>
      </c>
      <c r="P2273" s="54" t="s">
        <v>3392</v>
      </c>
      <c r="Q2273" s="35" t="str">
        <f>MID(Tabla1[[#This Row],[Aplicación]],14,1)</f>
        <v>2</v>
      </c>
      <c r="R2273" s="35" t="s">
        <v>495</v>
      </c>
      <c r="S2273" s="35" t="str">
        <f>MID(Tabla1[[#This Row],[Aplicación]],6,2)</f>
        <v>11</v>
      </c>
      <c r="T2273" s="35" t="str">
        <f>VLOOKUP(Tabla1[[#This Row],[AREA]],Hoja1!A:B,2,FALSE)</f>
        <v>11. Salud pública y seguridad ciudadana</v>
      </c>
      <c r="U2273" s="35" t="str">
        <f>MID(Tabla1[[#This Row],[Aplicación]],9,4)</f>
        <v>1361</v>
      </c>
      <c r="V2273" s="35" t="str">
        <f>VLOOKUP(Tabla1[[#This Row],[PROGRAMA]],Hoja1!A:B,2,FALSE)</f>
        <v>1361. Prevención y extinción de incencios</v>
      </c>
      <c r="W2273" s="35" t="str">
        <f>MID(Tabla1[[#This Row],[Aplicación]],14,2)</f>
        <v>22</v>
      </c>
      <c r="X2273" s="35" t="str">
        <f>MID(Tabla1[[#This Row],[Aplicación]],14,6)</f>
        <v>22200</v>
      </c>
    </row>
    <row r="2274" spans="1:24" x14ac:dyDescent="0.25">
      <c r="A2274" s="45">
        <v>220210024699</v>
      </c>
      <c r="B2274" s="46" t="s">
        <v>9</v>
      </c>
      <c r="C2274" s="47">
        <v>44340</v>
      </c>
      <c r="D2274" s="45">
        <v>22021003572</v>
      </c>
      <c r="E2274" s="46" t="s">
        <v>3178</v>
      </c>
      <c r="F2274" s="48">
        <v>732.48</v>
      </c>
      <c r="G2274" s="54" t="s">
        <v>124</v>
      </c>
      <c r="H2274" s="54" t="s">
        <v>3756</v>
      </c>
      <c r="I2274" s="53" t="s">
        <v>125</v>
      </c>
      <c r="J2274" s="54" t="s">
        <v>126</v>
      </c>
      <c r="K2274" s="54" t="s">
        <v>126</v>
      </c>
      <c r="L2274" s="54" t="s">
        <v>15</v>
      </c>
      <c r="M2274" s="54" t="s">
        <v>13</v>
      </c>
      <c r="N2274" s="54" t="s">
        <v>14</v>
      </c>
      <c r="O2274" s="49" t="s">
        <v>803</v>
      </c>
      <c r="P2274" s="54" t="s">
        <v>3392</v>
      </c>
      <c r="Q2274" s="35" t="str">
        <f>MID(Tabla1[[#This Row],[Aplicación]],14,1)</f>
        <v>2</v>
      </c>
      <c r="R2274" s="35" t="s">
        <v>495</v>
      </c>
      <c r="S2274" s="35" t="str">
        <f>MID(Tabla1[[#This Row],[Aplicación]],6,2)</f>
        <v>10</v>
      </c>
      <c r="T2274" s="35" t="str">
        <f>VLOOKUP(Tabla1[[#This Row],[AREA]],Hoja1!A:B,2,FALSE)</f>
        <v>10. Servicios sociales y mediación comunitaria</v>
      </c>
      <c r="U2274" s="35" t="str">
        <f>MID(Tabla1[[#This Row],[Aplicación]],9,4)</f>
        <v>2412</v>
      </c>
      <c r="V2274" s="35" t="str">
        <f>VLOOKUP(Tabla1[[#This Row],[PROGRAMA]],Hoja1!A:B,2,FALSE)</f>
        <v>2412. Formación para el empleo</v>
      </c>
      <c r="W2274" s="35" t="str">
        <f>MID(Tabla1[[#This Row],[Aplicación]],14,2)</f>
        <v>22</v>
      </c>
      <c r="X2274" s="35" t="str">
        <f>MID(Tabla1[[#This Row],[Aplicación]],14,6)</f>
        <v>22200</v>
      </c>
    </row>
    <row r="2275" spans="1:24" x14ac:dyDescent="0.25">
      <c r="A2275" s="45">
        <v>220210020463</v>
      </c>
      <c r="B2275" s="46" t="s">
        <v>9</v>
      </c>
      <c r="C2275" s="47">
        <v>44322</v>
      </c>
      <c r="D2275" s="45">
        <v>22021000691</v>
      </c>
      <c r="E2275" s="46" t="s">
        <v>3178</v>
      </c>
      <c r="F2275" s="48">
        <v>342.7</v>
      </c>
      <c r="G2275" s="54" t="s">
        <v>124</v>
      </c>
      <c r="H2275" s="54" t="s">
        <v>3757</v>
      </c>
      <c r="I2275" s="53" t="s">
        <v>125</v>
      </c>
      <c r="J2275" s="54" t="s">
        <v>126</v>
      </c>
      <c r="K2275" s="54" t="s">
        <v>126</v>
      </c>
      <c r="L2275" s="54" t="s">
        <v>15</v>
      </c>
      <c r="M2275" s="54" t="s">
        <v>13</v>
      </c>
      <c r="N2275" s="54" t="s">
        <v>14</v>
      </c>
      <c r="O2275" s="49" t="s">
        <v>803</v>
      </c>
      <c r="P2275" s="54" t="s">
        <v>3392</v>
      </c>
      <c r="Q2275" s="35" t="str">
        <f>MID(Tabla1[[#This Row],[Aplicación]],14,1)</f>
        <v>2</v>
      </c>
      <c r="R2275" s="35" t="s">
        <v>495</v>
      </c>
      <c r="S2275" s="35" t="str">
        <f>MID(Tabla1[[#This Row],[Aplicación]],6,2)</f>
        <v>10</v>
      </c>
      <c r="T2275" s="35" t="str">
        <f>VLOOKUP(Tabla1[[#This Row],[AREA]],Hoja1!A:B,2,FALSE)</f>
        <v>10. Servicios sociales y mediación comunitaria</v>
      </c>
      <c r="U2275" s="35" t="str">
        <f>MID(Tabla1[[#This Row],[Aplicación]],9,4)</f>
        <v>2412</v>
      </c>
      <c r="V2275" s="35" t="str">
        <f>VLOOKUP(Tabla1[[#This Row],[PROGRAMA]],Hoja1!A:B,2,FALSE)</f>
        <v>2412. Formación para el empleo</v>
      </c>
      <c r="W2275" s="35" t="str">
        <f>MID(Tabla1[[#This Row],[Aplicación]],14,2)</f>
        <v>22</v>
      </c>
      <c r="X2275" s="35" t="str">
        <f>MID(Tabla1[[#This Row],[Aplicación]],14,6)</f>
        <v>22200</v>
      </c>
    </row>
    <row r="2276" spans="1:24" x14ac:dyDescent="0.25">
      <c r="A2276" s="45">
        <v>220210014181</v>
      </c>
      <c r="B2276" s="46" t="s">
        <v>32</v>
      </c>
      <c r="C2276" s="47">
        <v>44293</v>
      </c>
      <c r="D2276" s="45">
        <v>22021002861</v>
      </c>
      <c r="E2276" s="46" t="s">
        <v>1518</v>
      </c>
      <c r="F2276" s="48">
        <v>3630</v>
      </c>
      <c r="G2276" s="54" t="s">
        <v>775</v>
      </c>
      <c r="H2276" s="54" t="s">
        <v>3758</v>
      </c>
      <c r="I2276" s="53" t="s">
        <v>234</v>
      </c>
      <c r="J2276" s="54" t="s">
        <v>3759</v>
      </c>
      <c r="K2276" s="54" t="s">
        <v>3759</v>
      </c>
      <c r="L2276" s="54" t="s">
        <v>12</v>
      </c>
      <c r="M2276" s="54" t="s">
        <v>10</v>
      </c>
      <c r="N2276" s="54" t="s">
        <v>11</v>
      </c>
      <c r="O2276" s="49" t="s">
        <v>815</v>
      </c>
      <c r="P2276" s="54" t="s">
        <v>3392</v>
      </c>
      <c r="Q2276" s="35" t="str">
        <f>MID(Tabla1[[#This Row],[Aplicación]],14,1)</f>
        <v>2</v>
      </c>
      <c r="R2276" s="35" t="s">
        <v>495</v>
      </c>
      <c r="S2276" s="35" t="str">
        <f>MID(Tabla1[[#This Row],[Aplicación]],6,2)</f>
        <v>04</v>
      </c>
      <c r="T2276" s="35" t="str">
        <f>VLOOKUP(Tabla1[[#This Row],[AREA]],Hoja1!A:B,2,FALSE)</f>
        <v>04. Planificación y recursos</v>
      </c>
      <c r="U2276" s="35" t="str">
        <f>MID(Tabla1[[#This Row],[Aplicación]],9,4)</f>
        <v>9331</v>
      </c>
      <c r="V2276" s="35" t="str">
        <f>VLOOKUP(Tabla1[[#This Row],[PROGRAMA]],Hoja1!A:B,2,FALSE)</f>
        <v>9331. Gestión del patrimonio</v>
      </c>
      <c r="W2276" s="35" t="str">
        <f>MID(Tabla1[[#This Row],[Aplicación]],14,2)</f>
        <v>22</v>
      </c>
      <c r="X2276" s="35" t="str">
        <f>MID(Tabla1[[#This Row],[Aplicación]],14,6)</f>
        <v>22706</v>
      </c>
    </row>
    <row r="2277" spans="1:24" x14ac:dyDescent="0.25">
      <c r="A2277" s="45">
        <v>220210016075</v>
      </c>
      <c r="B2277" s="46" t="s">
        <v>9</v>
      </c>
      <c r="C2277" s="47">
        <v>44305</v>
      </c>
      <c r="D2277" s="45">
        <v>22021003961</v>
      </c>
      <c r="E2277" s="46" t="s">
        <v>1187</v>
      </c>
      <c r="F2277" s="48">
        <v>3630</v>
      </c>
      <c r="G2277" s="54" t="s">
        <v>3760</v>
      </c>
      <c r="H2277" s="54" t="s">
        <v>3761</v>
      </c>
      <c r="I2277" s="53" t="s">
        <v>125</v>
      </c>
      <c r="J2277" s="54" t="s">
        <v>127</v>
      </c>
      <c r="K2277" s="54" t="s">
        <v>127</v>
      </c>
      <c r="L2277" s="54" t="s">
        <v>12</v>
      </c>
      <c r="M2277" s="54" t="s">
        <v>10</v>
      </c>
      <c r="N2277" s="54" t="s">
        <v>11</v>
      </c>
      <c r="O2277" s="49" t="s">
        <v>815</v>
      </c>
      <c r="P2277" s="54" t="s">
        <v>3392</v>
      </c>
      <c r="Q2277" s="35" t="str">
        <f>MID(Tabla1[[#This Row],[Aplicación]],14,1)</f>
        <v>2</v>
      </c>
      <c r="R2277" s="35" t="s">
        <v>495</v>
      </c>
      <c r="S2277" s="35" t="str">
        <f>MID(Tabla1[[#This Row],[Aplicación]],6,2)</f>
        <v>06</v>
      </c>
      <c r="T2277" s="35" t="str">
        <f>VLOOKUP(Tabla1[[#This Row],[AREA]],Hoja1!A:B,2,FALSE)</f>
        <v>06. Educación, infancia, juventud e igualdad</v>
      </c>
      <c r="U2277" s="35" t="str">
        <f>MID(Tabla1[[#This Row],[Aplicación]],9,4)</f>
        <v>2315</v>
      </c>
      <c r="V2277" s="35" t="str">
        <f>VLOOKUP(Tabla1[[#This Row],[PROGRAMA]],Hoja1!A:B,2,FALSE)</f>
        <v>2315. Políticas de Igualdad e infancia</v>
      </c>
      <c r="W2277" s="35" t="str">
        <f>MID(Tabla1[[#This Row],[Aplicación]],14,2)</f>
        <v>22</v>
      </c>
      <c r="X2277" s="35" t="str">
        <f>MID(Tabla1[[#This Row],[Aplicación]],14,6)</f>
        <v>22611</v>
      </c>
    </row>
    <row r="2278" spans="1:24" x14ac:dyDescent="0.25">
      <c r="A2278" s="45">
        <v>220210023576</v>
      </c>
      <c r="B2278" s="46" t="s">
        <v>9</v>
      </c>
      <c r="C2278" s="47">
        <v>44340</v>
      </c>
      <c r="D2278" s="45">
        <v>22021003749</v>
      </c>
      <c r="E2278" s="46" t="s">
        <v>3308</v>
      </c>
      <c r="F2278" s="48">
        <v>3615.48</v>
      </c>
      <c r="G2278" s="54" t="s">
        <v>3762</v>
      </c>
      <c r="H2278" s="54" t="s">
        <v>3763</v>
      </c>
      <c r="I2278" s="53" t="s">
        <v>125</v>
      </c>
      <c r="J2278" s="54" t="s">
        <v>127</v>
      </c>
      <c r="K2278" s="54" t="s">
        <v>127</v>
      </c>
      <c r="L2278" s="54" t="s">
        <v>15</v>
      </c>
      <c r="M2278" s="54" t="s">
        <v>10</v>
      </c>
      <c r="N2278" s="54" t="s">
        <v>16</v>
      </c>
      <c r="O2278" s="49" t="s">
        <v>815</v>
      </c>
      <c r="P2278" s="54" t="s">
        <v>3392</v>
      </c>
      <c r="Q2278" s="35" t="str">
        <f>MID(Tabla1[[#This Row],[Aplicación]],14,1)</f>
        <v>6</v>
      </c>
      <c r="R2278" s="35" t="s">
        <v>496</v>
      </c>
      <c r="S2278" s="35" t="str">
        <f>MID(Tabla1[[#This Row],[Aplicación]],6,2)</f>
        <v>06</v>
      </c>
      <c r="T2278" s="35" t="str">
        <f>VLOOKUP(Tabla1[[#This Row],[AREA]],Hoja1!A:B,2,FALSE)</f>
        <v>06. Educación, infancia, juventud e igualdad</v>
      </c>
      <c r="U2278" s="35" t="str">
        <f>MID(Tabla1[[#This Row],[Aplicación]],9,4)</f>
        <v>3232</v>
      </c>
      <c r="V2278" s="35" t="str">
        <f>VLOOKUP(Tabla1[[#This Row],[PROGRAMA]],Hoja1!A:B,2,FALSE)</f>
        <v>3232. Conservación y mantenimiento centros educación infantil y primaria</v>
      </c>
      <c r="W2278" s="35" t="str">
        <f>MID(Tabla1[[#This Row],[Aplicación]],14,2)</f>
        <v>63</v>
      </c>
      <c r="X2278" s="35" t="str">
        <f>MID(Tabla1[[#This Row],[Aplicación]],14,6)</f>
        <v>632</v>
      </c>
    </row>
    <row r="2279" spans="1:24" x14ac:dyDescent="0.25">
      <c r="A2279" s="45">
        <v>220210016947</v>
      </c>
      <c r="B2279" s="46" t="s">
        <v>9</v>
      </c>
      <c r="C2279" s="47">
        <v>44312</v>
      </c>
      <c r="D2279" s="45">
        <v>22021004132</v>
      </c>
      <c r="E2279" s="46" t="s">
        <v>1700</v>
      </c>
      <c r="F2279" s="48">
        <v>3565.75</v>
      </c>
      <c r="G2279" s="54" t="s">
        <v>765</v>
      </c>
      <c r="H2279" s="54" t="s">
        <v>3764</v>
      </c>
      <c r="I2279" s="53" t="s">
        <v>125</v>
      </c>
      <c r="J2279" s="54" t="s">
        <v>674</v>
      </c>
      <c r="K2279" s="54" t="s">
        <v>127</v>
      </c>
      <c r="L2279" s="54" t="s">
        <v>12</v>
      </c>
      <c r="M2279" s="54" t="s">
        <v>10</v>
      </c>
      <c r="N2279" s="54" t="s">
        <v>11</v>
      </c>
      <c r="O2279" s="49" t="s">
        <v>815</v>
      </c>
      <c r="P2279" s="54" t="s">
        <v>3392</v>
      </c>
      <c r="Q2279" s="35" t="str">
        <f>MID(Tabla1[[#This Row],[Aplicación]],14,1)</f>
        <v>2</v>
      </c>
      <c r="R2279" s="35" t="s">
        <v>495</v>
      </c>
      <c r="S2279" s="35" t="str">
        <f>MID(Tabla1[[#This Row],[Aplicación]],6,2)</f>
        <v>07</v>
      </c>
      <c r="T2279" s="35" t="str">
        <f>VLOOKUP(Tabla1[[#This Row],[AREA]],Hoja1!A:B,2,FALSE)</f>
        <v>07. Medio ambiente y desarrollo sostenible</v>
      </c>
      <c r="U2279" s="35" t="str">
        <f>MID(Tabla1[[#This Row],[Aplicación]],9,4)</f>
        <v>1721</v>
      </c>
      <c r="V2279" s="35" t="str">
        <f>VLOOKUP(Tabla1[[#This Row],[PROGRAMA]],Hoja1!A:B,2,FALSE)</f>
        <v>1721. Protección del medio ambiente</v>
      </c>
      <c r="W2279" s="35" t="str">
        <f>MID(Tabla1[[#This Row],[Aplicación]],14,2)</f>
        <v>22</v>
      </c>
      <c r="X2279" s="35" t="str">
        <f>MID(Tabla1[[#This Row],[Aplicación]],14,6)</f>
        <v>22112</v>
      </c>
    </row>
    <row r="2280" spans="1:24" x14ac:dyDescent="0.25">
      <c r="A2280" s="45">
        <v>220210020463</v>
      </c>
      <c r="B2280" s="46" t="s">
        <v>9</v>
      </c>
      <c r="C2280" s="47">
        <v>44322</v>
      </c>
      <c r="D2280" s="45">
        <v>22021000692</v>
      </c>
      <c r="E2280" s="46" t="s">
        <v>3178</v>
      </c>
      <c r="F2280" s="48">
        <v>342.7</v>
      </c>
      <c r="G2280" s="54" t="s">
        <v>124</v>
      </c>
      <c r="H2280" s="54" t="s">
        <v>3757</v>
      </c>
      <c r="I2280" s="53" t="s">
        <v>125</v>
      </c>
      <c r="J2280" s="54" t="s">
        <v>126</v>
      </c>
      <c r="K2280" s="54" t="s">
        <v>126</v>
      </c>
      <c r="L2280" s="54" t="s">
        <v>15</v>
      </c>
      <c r="M2280" s="54" t="s">
        <v>13</v>
      </c>
      <c r="N2280" s="54" t="s">
        <v>14</v>
      </c>
      <c r="O2280" s="49" t="s">
        <v>803</v>
      </c>
      <c r="P2280" s="54" t="s">
        <v>3392</v>
      </c>
      <c r="Q2280" s="35" t="str">
        <f>MID(Tabla1[[#This Row],[Aplicación]],14,1)</f>
        <v>2</v>
      </c>
      <c r="R2280" s="35" t="s">
        <v>495</v>
      </c>
      <c r="S2280" s="35" t="str">
        <f>MID(Tabla1[[#This Row],[Aplicación]],6,2)</f>
        <v>10</v>
      </c>
      <c r="T2280" s="35" t="str">
        <f>VLOOKUP(Tabla1[[#This Row],[AREA]],Hoja1!A:B,2,FALSE)</f>
        <v>10. Servicios sociales y mediación comunitaria</v>
      </c>
      <c r="U2280" s="35" t="str">
        <f>MID(Tabla1[[#This Row],[Aplicación]],9,4)</f>
        <v>2412</v>
      </c>
      <c r="V2280" s="35" t="str">
        <f>VLOOKUP(Tabla1[[#This Row],[PROGRAMA]],Hoja1!A:B,2,FALSE)</f>
        <v>2412. Formación para el empleo</v>
      </c>
      <c r="W2280" s="35" t="str">
        <f>MID(Tabla1[[#This Row],[Aplicación]],14,2)</f>
        <v>22</v>
      </c>
      <c r="X2280" s="35" t="str">
        <f>MID(Tabla1[[#This Row],[Aplicación]],14,6)</f>
        <v>22200</v>
      </c>
    </row>
    <row r="2281" spans="1:24" x14ac:dyDescent="0.25">
      <c r="A2281" s="45">
        <v>220210020463</v>
      </c>
      <c r="B2281" s="46" t="s">
        <v>9</v>
      </c>
      <c r="C2281" s="47">
        <v>44322</v>
      </c>
      <c r="D2281" s="45">
        <v>22021000693</v>
      </c>
      <c r="E2281" s="46" t="s">
        <v>3178</v>
      </c>
      <c r="F2281" s="48">
        <v>342.69</v>
      </c>
      <c r="G2281" s="54" t="s">
        <v>124</v>
      </c>
      <c r="H2281" s="54" t="s">
        <v>3757</v>
      </c>
      <c r="I2281" s="53" t="s">
        <v>125</v>
      </c>
      <c r="J2281" s="54" t="s">
        <v>126</v>
      </c>
      <c r="K2281" s="54" t="s">
        <v>126</v>
      </c>
      <c r="L2281" s="54" t="s">
        <v>15</v>
      </c>
      <c r="M2281" s="54" t="s">
        <v>13</v>
      </c>
      <c r="N2281" s="54" t="s">
        <v>14</v>
      </c>
      <c r="O2281" s="49" t="s">
        <v>803</v>
      </c>
      <c r="P2281" s="54" t="s">
        <v>3392</v>
      </c>
      <c r="Q2281" s="35" t="str">
        <f>MID(Tabla1[[#This Row],[Aplicación]],14,1)</f>
        <v>2</v>
      </c>
      <c r="R2281" s="35" t="s">
        <v>495</v>
      </c>
      <c r="S2281" s="35" t="str">
        <f>MID(Tabla1[[#This Row],[Aplicación]],6,2)</f>
        <v>10</v>
      </c>
      <c r="T2281" s="35" t="str">
        <f>VLOOKUP(Tabla1[[#This Row],[AREA]],Hoja1!A:B,2,FALSE)</f>
        <v>10. Servicios sociales y mediación comunitaria</v>
      </c>
      <c r="U2281" s="35" t="str">
        <f>MID(Tabla1[[#This Row],[Aplicación]],9,4)</f>
        <v>2412</v>
      </c>
      <c r="V2281" s="35" t="str">
        <f>VLOOKUP(Tabla1[[#This Row],[PROGRAMA]],Hoja1!A:B,2,FALSE)</f>
        <v>2412. Formación para el empleo</v>
      </c>
      <c r="W2281" s="35" t="str">
        <f>MID(Tabla1[[#This Row],[Aplicación]],14,2)</f>
        <v>22</v>
      </c>
      <c r="X2281" s="35" t="str">
        <f>MID(Tabla1[[#This Row],[Aplicación]],14,6)</f>
        <v>22200</v>
      </c>
    </row>
    <row r="2282" spans="1:24" x14ac:dyDescent="0.25">
      <c r="A2282" s="45">
        <v>220210025551</v>
      </c>
      <c r="B2282" s="46" t="s">
        <v>9</v>
      </c>
      <c r="C2282" s="47">
        <v>44342</v>
      </c>
      <c r="D2282" s="45">
        <v>22021002980</v>
      </c>
      <c r="E2282" s="46" t="s">
        <v>1172</v>
      </c>
      <c r="F2282" s="48">
        <v>61.98</v>
      </c>
      <c r="G2282" s="54" t="s">
        <v>121</v>
      </c>
      <c r="H2282" s="54" t="s">
        <v>3765</v>
      </c>
      <c r="I2282" s="53" t="s">
        <v>125</v>
      </c>
      <c r="J2282" s="54" t="s">
        <v>664</v>
      </c>
      <c r="K2282" s="54" t="s">
        <v>127</v>
      </c>
      <c r="L2282" s="54" t="s">
        <v>12</v>
      </c>
      <c r="M2282" s="54" t="s">
        <v>10</v>
      </c>
      <c r="N2282" s="54" t="s">
        <v>14</v>
      </c>
      <c r="O2282" s="49" t="s">
        <v>815</v>
      </c>
      <c r="P2282" s="54" t="s">
        <v>3392</v>
      </c>
      <c r="Q2282" s="35" t="str">
        <f>MID(Tabla1[[#This Row],[Aplicación]],14,1)</f>
        <v>6</v>
      </c>
      <c r="R2282" s="35" t="s">
        <v>496</v>
      </c>
      <c r="S2282" s="35" t="str">
        <f>MID(Tabla1[[#This Row],[Aplicación]],6,2)</f>
        <v>02</v>
      </c>
      <c r="T2282" s="35" t="str">
        <f>VLOOKUP(Tabla1[[#This Row],[AREA]],Hoja1!A:B,2,FALSE)</f>
        <v>02. Planeamiento urbanístico y vivienda</v>
      </c>
      <c r="U2282" s="35" t="str">
        <f>MID(Tabla1[[#This Row],[Aplicación]],9,4)</f>
        <v>9332</v>
      </c>
      <c r="V2282" s="35" t="str">
        <f>VLOOKUP(Tabla1[[#This Row],[PROGRAMA]],Hoja1!A:B,2,FALSE)</f>
        <v>9332. Mantenimiento de edificios e instalaciones municipales</v>
      </c>
      <c r="W2282" s="35" t="str">
        <f>MID(Tabla1[[#This Row],[Aplicación]],14,2)</f>
        <v>63</v>
      </c>
      <c r="X2282" s="35" t="str">
        <f>MID(Tabla1[[#This Row],[Aplicación]],14,6)</f>
        <v>632</v>
      </c>
    </row>
    <row r="2283" spans="1:24" x14ac:dyDescent="0.25">
      <c r="A2283" s="45">
        <v>220210024699</v>
      </c>
      <c r="B2283" s="46" t="s">
        <v>9</v>
      </c>
      <c r="C2283" s="47">
        <v>44340</v>
      </c>
      <c r="D2283" s="45">
        <v>22021003573</v>
      </c>
      <c r="E2283" s="46" t="s">
        <v>3178</v>
      </c>
      <c r="F2283" s="48">
        <v>293.06</v>
      </c>
      <c r="G2283" s="54" t="s">
        <v>124</v>
      </c>
      <c r="H2283" s="54" t="s">
        <v>3756</v>
      </c>
      <c r="I2283" s="53" t="s">
        <v>125</v>
      </c>
      <c r="J2283" s="54" t="s">
        <v>126</v>
      </c>
      <c r="K2283" s="54" t="s">
        <v>126</v>
      </c>
      <c r="L2283" s="54" t="s">
        <v>12</v>
      </c>
      <c r="M2283" s="54" t="s">
        <v>13</v>
      </c>
      <c r="N2283" s="54" t="s">
        <v>14</v>
      </c>
      <c r="O2283" s="49" t="s">
        <v>803</v>
      </c>
      <c r="P2283" s="54" t="s">
        <v>3392</v>
      </c>
      <c r="Q2283" s="35" t="str">
        <f>MID(Tabla1[[#This Row],[Aplicación]],14,1)</f>
        <v>2</v>
      </c>
      <c r="R2283" s="35" t="s">
        <v>495</v>
      </c>
      <c r="S2283" s="35" t="str">
        <f>MID(Tabla1[[#This Row],[Aplicación]],6,2)</f>
        <v>10</v>
      </c>
      <c r="T2283" s="35" t="str">
        <f>VLOOKUP(Tabla1[[#This Row],[AREA]],Hoja1!A:B,2,FALSE)</f>
        <v>10. Servicios sociales y mediación comunitaria</v>
      </c>
      <c r="U2283" s="35" t="str">
        <f>MID(Tabla1[[#This Row],[Aplicación]],9,4)</f>
        <v>2412</v>
      </c>
      <c r="V2283" s="35" t="str">
        <f>VLOOKUP(Tabla1[[#This Row],[PROGRAMA]],Hoja1!A:B,2,FALSE)</f>
        <v>2412. Formación para el empleo</v>
      </c>
      <c r="W2283" s="35" t="str">
        <f>MID(Tabla1[[#This Row],[Aplicación]],14,2)</f>
        <v>22</v>
      </c>
      <c r="X2283" s="35" t="str">
        <f>MID(Tabla1[[#This Row],[Aplicación]],14,6)</f>
        <v>22200</v>
      </c>
    </row>
    <row r="2284" spans="1:24" x14ac:dyDescent="0.25">
      <c r="A2284" s="45">
        <v>220210024699</v>
      </c>
      <c r="B2284" s="46" t="s">
        <v>9</v>
      </c>
      <c r="C2284" s="47">
        <v>44340</v>
      </c>
      <c r="D2284" s="45">
        <v>22021003571</v>
      </c>
      <c r="E2284" s="46" t="s">
        <v>3178</v>
      </c>
      <c r="F2284" s="48">
        <v>146.49</v>
      </c>
      <c r="G2284" s="54" t="s">
        <v>124</v>
      </c>
      <c r="H2284" s="54" t="s">
        <v>3756</v>
      </c>
      <c r="I2284" s="53" t="s">
        <v>125</v>
      </c>
      <c r="J2284" s="54" t="s">
        <v>126</v>
      </c>
      <c r="K2284" s="54" t="s">
        <v>126</v>
      </c>
      <c r="L2284" s="54" t="s">
        <v>15</v>
      </c>
      <c r="M2284" s="54" t="s">
        <v>13</v>
      </c>
      <c r="N2284" s="54" t="s">
        <v>14</v>
      </c>
      <c r="O2284" s="49" t="s">
        <v>803</v>
      </c>
      <c r="P2284" s="54" t="s">
        <v>3392</v>
      </c>
      <c r="Q2284" s="35" t="str">
        <f>MID(Tabla1[[#This Row],[Aplicación]],14,1)</f>
        <v>2</v>
      </c>
      <c r="R2284" s="35" t="s">
        <v>495</v>
      </c>
      <c r="S2284" s="35" t="str">
        <f>MID(Tabla1[[#This Row],[Aplicación]],6,2)</f>
        <v>10</v>
      </c>
      <c r="T2284" s="35" t="str">
        <f>VLOOKUP(Tabla1[[#This Row],[AREA]],Hoja1!A:B,2,FALSE)</f>
        <v>10. Servicios sociales y mediación comunitaria</v>
      </c>
      <c r="U2284" s="35" t="str">
        <f>MID(Tabla1[[#This Row],[Aplicación]],9,4)</f>
        <v>2412</v>
      </c>
      <c r="V2284" s="35" t="str">
        <f>VLOOKUP(Tabla1[[#This Row],[PROGRAMA]],Hoja1!A:B,2,FALSE)</f>
        <v>2412. Formación para el empleo</v>
      </c>
      <c r="W2284" s="35" t="str">
        <f>MID(Tabla1[[#This Row],[Aplicación]],14,2)</f>
        <v>22</v>
      </c>
      <c r="X2284" s="35" t="str">
        <f>MID(Tabla1[[#This Row],[Aplicación]],14,6)</f>
        <v>22200</v>
      </c>
    </row>
    <row r="2285" spans="1:24" x14ac:dyDescent="0.25">
      <c r="A2285" s="45">
        <v>220210024841</v>
      </c>
      <c r="B2285" s="46" t="s">
        <v>9</v>
      </c>
      <c r="C2285" s="47">
        <v>44341</v>
      </c>
      <c r="D2285" s="45">
        <v>22021004575</v>
      </c>
      <c r="E2285" s="46" t="s">
        <v>3325</v>
      </c>
      <c r="F2285" s="48">
        <v>3415.22</v>
      </c>
      <c r="G2285" s="54" t="s">
        <v>48</v>
      </c>
      <c r="H2285" s="54" t="s">
        <v>3766</v>
      </c>
      <c r="I2285" s="53" t="s">
        <v>125</v>
      </c>
      <c r="J2285" s="54" t="s">
        <v>127</v>
      </c>
      <c r="K2285" s="54" t="s">
        <v>127</v>
      </c>
      <c r="L2285" s="54" t="s">
        <v>15</v>
      </c>
      <c r="M2285" s="54" t="s">
        <v>10</v>
      </c>
      <c r="N2285" s="54" t="s">
        <v>11</v>
      </c>
      <c r="O2285" s="49" t="s">
        <v>815</v>
      </c>
      <c r="P2285" s="54" t="s">
        <v>3392</v>
      </c>
      <c r="Q2285" s="35" t="str">
        <f>MID(Tabla1[[#This Row],[Aplicación]],14,1)</f>
        <v>2</v>
      </c>
      <c r="R2285" s="35" t="s">
        <v>495</v>
      </c>
      <c r="S2285" s="35" t="str">
        <f>MID(Tabla1[[#This Row],[Aplicación]],6,2)</f>
        <v>08</v>
      </c>
      <c r="T2285" s="35" t="str">
        <f>VLOOKUP(Tabla1[[#This Row],[AREA]],Hoja1!A:B,2,FALSE)</f>
        <v>08. Movilidad y espacio urbano</v>
      </c>
      <c r="U2285" s="35" t="str">
        <f>MID(Tabla1[[#This Row],[Aplicación]],9,4)</f>
        <v>1532</v>
      </c>
      <c r="V2285" s="35" t="str">
        <f>VLOOKUP(Tabla1[[#This Row],[PROGRAMA]],Hoja1!A:B,2,FALSE)</f>
        <v>1532. Pavimentación vias públicas y otros servicios urbanísticos</v>
      </c>
      <c r="W2285" s="35" t="str">
        <f>MID(Tabla1[[#This Row],[Aplicación]],14,2)</f>
        <v>22</v>
      </c>
      <c r="X2285" s="35" t="str">
        <f>MID(Tabla1[[#This Row],[Aplicación]],14,6)</f>
        <v>22104</v>
      </c>
    </row>
    <row r="2286" spans="1:24" x14ac:dyDescent="0.25">
      <c r="A2286" s="45">
        <v>220210030281</v>
      </c>
      <c r="B2286" s="46" t="s">
        <v>9</v>
      </c>
      <c r="C2286" s="47">
        <v>44357</v>
      </c>
      <c r="D2286" s="45">
        <v>22021004822</v>
      </c>
      <c r="E2286" s="46" t="s">
        <v>842</v>
      </c>
      <c r="F2286" s="48">
        <v>3392.84</v>
      </c>
      <c r="G2286" s="54" t="s">
        <v>3767</v>
      </c>
      <c r="H2286" s="54" t="s">
        <v>3768</v>
      </c>
      <c r="I2286" s="53" t="s">
        <v>125</v>
      </c>
      <c r="J2286" s="54" t="s">
        <v>661</v>
      </c>
      <c r="K2286" s="54" t="s">
        <v>127</v>
      </c>
      <c r="L2286" s="54" t="s">
        <v>12</v>
      </c>
      <c r="M2286" s="54" t="s">
        <v>10</v>
      </c>
      <c r="N2286" s="54" t="s">
        <v>11</v>
      </c>
      <c r="O2286" s="49" t="s">
        <v>815</v>
      </c>
      <c r="P2286" s="54" t="s">
        <v>3392</v>
      </c>
      <c r="Q2286" s="35" t="str">
        <f>MID(Tabla1[[#This Row],[Aplicación]],14,1)</f>
        <v>2</v>
      </c>
      <c r="R2286" s="35" t="s">
        <v>495</v>
      </c>
      <c r="S2286" s="35" t="str">
        <f>MID(Tabla1[[#This Row],[Aplicación]],6,2)</f>
        <v>06</v>
      </c>
      <c r="T2286" s="35" t="str">
        <f>VLOOKUP(Tabla1[[#This Row],[AREA]],Hoja1!A:B,2,FALSE)</f>
        <v>06. Educación, infancia, juventud e igualdad</v>
      </c>
      <c r="U2286" s="35" t="str">
        <f>MID(Tabla1[[#This Row],[Aplicación]],9,4)</f>
        <v>3261</v>
      </c>
      <c r="V2286" s="35" t="str">
        <f>VLOOKUP(Tabla1[[#This Row],[PROGRAMA]],Hoja1!A:B,2,FALSE)</f>
        <v>3261. Servicios complementarios de educación</v>
      </c>
      <c r="W2286" s="35" t="str">
        <f>MID(Tabla1[[#This Row],[Aplicación]],14,2)</f>
        <v>22</v>
      </c>
      <c r="X2286" s="35" t="str">
        <f>MID(Tabla1[[#This Row],[Aplicación]],14,6)</f>
        <v>22799</v>
      </c>
    </row>
    <row r="2287" spans="1:24" x14ac:dyDescent="0.25">
      <c r="A2287" s="45">
        <v>220210024707</v>
      </c>
      <c r="B2287" s="46" t="s">
        <v>501</v>
      </c>
      <c r="C2287" s="47">
        <v>44340</v>
      </c>
      <c r="D2287" s="45">
        <v>22021000691</v>
      </c>
      <c r="E2287" s="46" t="s">
        <v>3178</v>
      </c>
      <c r="F2287" s="48">
        <v>-34.270000000000003</v>
      </c>
      <c r="G2287" s="54" t="s">
        <v>124</v>
      </c>
      <c r="H2287" s="54" t="s">
        <v>3213</v>
      </c>
      <c r="I2287" s="53" t="s">
        <v>125</v>
      </c>
      <c r="J2287" s="54" t="s">
        <v>126</v>
      </c>
      <c r="K2287" s="54" t="s">
        <v>126</v>
      </c>
      <c r="L2287" s="54" t="s">
        <v>12</v>
      </c>
      <c r="M2287" s="54" t="s">
        <v>13</v>
      </c>
      <c r="N2287" s="54" t="s">
        <v>14</v>
      </c>
      <c r="O2287" s="49" t="s">
        <v>803</v>
      </c>
      <c r="P2287" s="54" t="s">
        <v>3392</v>
      </c>
      <c r="Q2287" s="35" t="str">
        <f>MID(Tabla1[[#This Row],[Aplicación]],14,1)</f>
        <v>2</v>
      </c>
      <c r="R2287" s="35" t="s">
        <v>495</v>
      </c>
      <c r="S2287" s="35" t="str">
        <f>MID(Tabla1[[#This Row],[Aplicación]],6,2)</f>
        <v>10</v>
      </c>
      <c r="T2287" s="35" t="str">
        <f>VLOOKUP(Tabla1[[#This Row],[AREA]],Hoja1!A:B,2,FALSE)</f>
        <v>10. Servicios sociales y mediación comunitaria</v>
      </c>
      <c r="U2287" s="35" t="str">
        <f>MID(Tabla1[[#This Row],[Aplicación]],9,4)</f>
        <v>2412</v>
      </c>
      <c r="V2287" s="35" t="str">
        <f>VLOOKUP(Tabla1[[#This Row],[PROGRAMA]],Hoja1!A:B,2,FALSE)</f>
        <v>2412. Formación para el empleo</v>
      </c>
      <c r="W2287" s="35" t="str">
        <f>MID(Tabla1[[#This Row],[Aplicación]],14,2)</f>
        <v>22</v>
      </c>
      <c r="X2287" s="35" t="str">
        <f>MID(Tabla1[[#This Row],[Aplicación]],14,6)</f>
        <v>22200</v>
      </c>
    </row>
    <row r="2288" spans="1:24" x14ac:dyDescent="0.25">
      <c r="A2288" s="45">
        <v>220210025565</v>
      </c>
      <c r="B2288" s="46" t="s">
        <v>9</v>
      </c>
      <c r="C2288" s="47">
        <v>44342</v>
      </c>
      <c r="D2288" s="45">
        <v>22021004598</v>
      </c>
      <c r="E2288" s="46" t="s">
        <v>3321</v>
      </c>
      <c r="F2288" s="48">
        <v>3388</v>
      </c>
      <c r="G2288" s="54" t="s">
        <v>2664</v>
      </c>
      <c r="H2288" s="54" t="s">
        <v>3769</v>
      </c>
      <c r="I2288" s="53" t="s">
        <v>125</v>
      </c>
      <c r="J2288" s="54" t="s">
        <v>127</v>
      </c>
      <c r="K2288" s="54" t="s">
        <v>127</v>
      </c>
      <c r="L2288" s="54" t="s">
        <v>12</v>
      </c>
      <c r="M2288" s="54" t="s">
        <v>10</v>
      </c>
      <c r="N2288" s="54" t="s">
        <v>14</v>
      </c>
      <c r="O2288" s="49" t="s">
        <v>815</v>
      </c>
      <c r="P2288" s="54" t="s">
        <v>3392</v>
      </c>
      <c r="Q2288" s="35" t="str">
        <f>MID(Tabla1[[#This Row],[Aplicación]],14,1)</f>
        <v>2</v>
      </c>
      <c r="R2288" s="35" t="s">
        <v>495</v>
      </c>
      <c r="S2288" s="35" t="str">
        <f>MID(Tabla1[[#This Row],[Aplicación]],6,2)</f>
        <v>02</v>
      </c>
      <c r="T2288" s="35" t="str">
        <f>VLOOKUP(Tabla1[[#This Row],[AREA]],Hoja1!A:B,2,FALSE)</f>
        <v>02. Planeamiento urbanístico y vivienda</v>
      </c>
      <c r="U2288" s="35" t="str">
        <f>MID(Tabla1[[#This Row],[Aplicación]],9,4)</f>
        <v>9332</v>
      </c>
      <c r="V2288" s="35" t="str">
        <f>VLOOKUP(Tabla1[[#This Row],[PROGRAMA]],Hoja1!A:B,2,FALSE)</f>
        <v>9332. Mantenimiento de edificios e instalaciones municipales</v>
      </c>
      <c r="W2288" s="35" t="str">
        <f>MID(Tabla1[[#This Row],[Aplicación]],14,2)</f>
        <v>22</v>
      </c>
      <c r="X2288" s="35" t="str">
        <f>MID(Tabla1[[#This Row],[Aplicación]],14,6)</f>
        <v>22799</v>
      </c>
    </row>
    <row r="2289" spans="1:24" x14ac:dyDescent="0.25">
      <c r="A2289" s="45">
        <v>220210024834</v>
      </c>
      <c r="B2289" s="46" t="s">
        <v>9</v>
      </c>
      <c r="C2289" s="47">
        <v>44341</v>
      </c>
      <c r="D2289" s="45">
        <v>22021004457</v>
      </c>
      <c r="E2289" s="46" t="s">
        <v>3338</v>
      </c>
      <c r="F2289" s="48">
        <v>3376.57</v>
      </c>
      <c r="G2289" s="54" t="s">
        <v>3770</v>
      </c>
      <c r="H2289" s="54" t="s">
        <v>3771</v>
      </c>
      <c r="I2289" s="53" t="s">
        <v>125</v>
      </c>
      <c r="J2289" s="54" t="s">
        <v>127</v>
      </c>
      <c r="K2289" s="54" t="s">
        <v>127</v>
      </c>
      <c r="L2289" s="54" t="s">
        <v>15</v>
      </c>
      <c r="M2289" s="54" t="s">
        <v>10</v>
      </c>
      <c r="N2289" s="54" t="s">
        <v>11</v>
      </c>
      <c r="O2289" s="49" t="s">
        <v>815</v>
      </c>
      <c r="P2289" s="54" t="s">
        <v>3392</v>
      </c>
      <c r="Q2289" s="35" t="str">
        <f>MID(Tabla1[[#This Row],[Aplicación]],14,1)</f>
        <v>6</v>
      </c>
      <c r="R2289" s="35" t="s">
        <v>496</v>
      </c>
      <c r="S2289" s="35" t="str">
        <f>MID(Tabla1[[#This Row],[Aplicación]],6,2)</f>
        <v>06</v>
      </c>
      <c r="T2289" s="35" t="str">
        <f>VLOOKUP(Tabla1[[#This Row],[AREA]],Hoja1!A:B,2,FALSE)</f>
        <v>06. Educación, infancia, juventud e igualdad</v>
      </c>
      <c r="U2289" s="35" t="str">
        <f>MID(Tabla1[[#This Row],[Aplicación]],9,4)</f>
        <v>2315</v>
      </c>
      <c r="V2289" s="35" t="str">
        <f>VLOOKUP(Tabla1[[#This Row],[PROGRAMA]],Hoja1!A:B,2,FALSE)</f>
        <v>2315. Políticas de Igualdad e infancia</v>
      </c>
      <c r="W2289" s="35" t="str">
        <f>MID(Tabla1[[#This Row],[Aplicación]],14,2)</f>
        <v>62</v>
      </c>
      <c r="X2289" s="35" t="str">
        <f>MID(Tabla1[[#This Row],[Aplicación]],14,6)</f>
        <v>626</v>
      </c>
    </row>
    <row r="2290" spans="1:24" x14ac:dyDescent="0.25">
      <c r="A2290" s="45">
        <v>220210024707</v>
      </c>
      <c r="B2290" s="46" t="s">
        <v>501</v>
      </c>
      <c r="C2290" s="47">
        <v>44340</v>
      </c>
      <c r="D2290" s="45">
        <v>22021000694</v>
      </c>
      <c r="E2290" s="46" t="s">
        <v>3178</v>
      </c>
      <c r="F2290" s="48">
        <v>-205.61</v>
      </c>
      <c r="G2290" s="54" t="s">
        <v>124</v>
      </c>
      <c r="H2290" s="54" t="s">
        <v>3213</v>
      </c>
      <c r="I2290" s="53" t="s">
        <v>125</v>
      </c>
      <c r="J2290" s="54" t="s">
        <v>126</v>
      </c>
      <c r="K2290" s="54" t="s">
        <v>126</v>
      </c>
      <c r="L2290" s="54" t="s">
        <v>12</v>
      </c>
      <c r="M2290" s="54" t="s">
        <v>13</v>
      </c>
      <c r="N2290" s="54" t="s">
        <v>14</v>
      </c>
      <c r="O2290" s="49" t="s">
        <v>803</v>
      </c>
      <c r="P2290" s="54" t="s">
        <v>3392</v>
      </c>
      <c r="Q2290" s="35" t="str">
        <f>MID(Tabla1[[#This Row],[Aplicación]],14,1)</f>
        <v>2</v>
      </c>
      <c r="R2290" s="35" t="s">
        <v>495</v>
      </c>
      <c r="S2290" s="35" t="str">
        <f>MID(Tabla1[[#This Row],[Aplicación]],6,2)</f>
        <v>10</v>
      </c>
      <c r="T2290" s="35" t="str">
        <f>VLOOKUP(Tabla1[[#This Row],[AREA]],Hoja1!A:B,2,FALSE)</f>
        <v>10. Servicios sociales y mediación comunitaria</v>
      </c>
      <c r="U2290" s="35" t="str">
        <f>MID(Tabla1[[#This Row],[Aplicación]],9,4)</f>
        <v>2412</v>
      </c>
      <c r="V2290" s="35" t="str">
        <f>VLOOKUP(Tabla1[[#This Row],[PROGRAMA]],Hoja1!A:B,2,FALSE)</f>
        <v>2412. Formación para el empleo</v>
      </c>
      <c r="W2290" s="35" t="str">
        <f>MID(Tabla1[[#This Row],[Aplicación]],14,2)</f>
        <v>22</v>
      </c>
      <c r="X2290" s="35" t="str">
        <f>MID(Tabla1[[#This Row],[Aplicación]],14,6)</f>
        <v>22200</v>
      </c>
    </row>
    <row r="2291" spans="1:24" x14ac:dyDescent="0.25">
      <c r="A2291" s="45">
        <v>220210024707</v>
      </c>
      <c r="B2291" s="46" t="s">
        <v>501</v>
      </c>
      <c r="C2291" s="47">
        <v>44340</v>
      </c>
      <c r="D2291" s="45">
        <v>22021000692</v>
      </c>
      <c r="E2291" s="46" t="s">
        <v>3178</v>
      </c>
      <c r="F2291" s="48">
        <v>-239.89</v>
      </c>
      <c r="G2291" s="54" t="s">
        <v>124</v>
      </c>
      <c r="H2291" s="54" t="s">
        <v>3213</v>
      </c>
      <c r="I2291" s="53" t="s">
        <v>125</v>
      </c>
      <c r="J2291" s="54" t="s">
        <v>126</v>
      </c>
      <c r="K2291" s="54" t="s">
        <v>126</v>
      </c>
      <c r="L2291" s="54" t="s">
        <v>12</v>
      </c>
      <c r="M2291" s="54" t="s">
        <v>13</v>
      </c>
      <c r="N2291" s="54" t="s">
        <v>14</v>
      </c>
      <c r="O2291" s="49" t="s">
        <v>803</v>
      </c>
      <c r="P2291" s="54" t="s">
        <v>3392</v>
      </c>
      <c r="Q2291" s="35" t="str">
        <f>MID(Tabla1[[#This Row],[Aplicación]],14,1)</f>
        <v>2</v>
      </c>
      <c r="R2291" s="35" t="s">
        <v>495</v>
      </c>
      <c r="S2291" s="35" t="str">
        <f>MID(Tabla1[[#This Row],[Aplicación]],6,2)</f>
        <v>10</v>
      </c>
      <c r="T2291" s="35" t="str">
        <f>VLOOKUP(Tabla1[[#This Row],[AREA]],Hoja1!A:B,2,FALSE)</f>
        <v>10. Servicios sociales y mediación comunitaria</v>
      </c>
      <c r="U2291" s="35" t="str">
        <f>MID(Tabla1[[#This Row],[Aplicación]],9,4)</f>
        <v>2412</v>
      </c>
      <c r="V2291" s="35" t="str">
        <f>VLOOKUP(Tabla1[[#This Row],[PROGRAMA]],Hoja1!A:B,2,FALSE)</f>
        <v>2412. Formación para el empleo</v>
      </c>
      <c r="W2291" s="35" t="str">
        <f>MID(Tabla1[[#This Row],[Aplicación]],14,2)</f>
        <v>22</v>
      </c>
      <c r="X2291" s="35" t="str">
        <f>MID(Tabla1[[#This Row],[Aplicación]],14,6)</f>
        <v>22200</v>
      </c>
    </row>
    <row r="2292" spans="1:24" x14ac:dyDescent="0.25">
      <c r="A2292" s="45">
        <v>220210024707</v>
      </c>
      <c r="B2292" s="46" t="s">
        <v>501</v>
      </c>
      <c r="C2292" s="47">
        <v>44340</v>
      </c>
      <c r="D2292" s="45">
        <v>22021000693</v>
      </c>
      <c r="E2292" s="46" t="s">
        <v>3178</v>
      </c>
      <c r="F2292" s="48">
        <v>-548.32000000000005</v>
      </c>
      <c r="G2292" s="54" t="s">
        <v>124</v>
      </c>
      <c r="H2292" s="54" t="s">
        <v>3213</v>
      </c>
      <c r="I2292" s="53" t="s">
        <v>125</v>
      </c>
      <c r="J2292" s="54" t="s">
        <v>126</v>
      </c>
      <c r="K2292" s="54" t="s">
        <v>126</v>
      </c>
      <c r="L2292" s="54" t="s">
        <v>12</v>
      </c>
      <c r="M2292" s="54" t="s">
        <v>13</v>
      </c>
      <c r="N2292" s="54" t="s">
        <v>14</v>
      </c>
      <c r="O2292" s="49" t="s">
        <v>803</v>
      </c>
      <c r="P2292" s="54" t="s">
        <v>3392</v>
      </c>
      <c r="Q2292" s="35" t="str">
        <f>MID(Tabla1[[#This Row],[Aplicación]],14,1)</f>
        <v>2</v>
      </c>
      <c r="R2292" s="35" t="s">
        <v>495</v>
      </c>
      <c r="S2292" s="35" t="str">
        <f>MID(Tabla1[[#This Row],[Aplicación]],6,2)</f>
        <v>10</v>
      </c>
      <c r="T2292" s="35" t="str">
        <f>VLOOKUP(Tabla1[[#This Row],[AREA]],Hoja1!A:B,2,FALSE)</f>
        <v>10. Servicios sociales y mediación comunitaria</v>
      </c>
      <c r="U2292" s="35" t="str">
        <f>MID(Tabla1[[#This Row],[Aplicación]],9,4)</f>
        <v>2412</v>
      </c>
      <c r="V2292" s="35" t="str">
        <f>VLOOKUP(Tabla1[[#This Row],[PROGRAMA]],Hoja1!A:B,2,FALSE)</f>
        <v>2412. Formación para el empleo</v>
      </c>
      <c r="W2292" s="35" t="str">
        <f>MID(Tabla1[[#This Row],[Aplicación]],14,2)</f>
        <v>22</v>
      </c>
      <c r="X2292" s="35" t="str">
        <f>MID(Tabla1[[#This Row],[Aplicación]],14,6)</f>
        <v>22200</v>
      </c>
    </row>
    <row r="2293" spans="1:24" x14ac:dyDescent="0.25">
      <c r="A2293" s="45">
        <v>220210023162</v>
      </c>
      <c r="B2293" s="46" t="s">
        <v>9</v>
      </c>
      <c r="C2293" s="47">
        <v>44335</v>
      </c>
      <c r="D2293" s="45">
        <v>22021004415</v>
      </c>
      <c r="E2293" s="46" t="s">
        <v>3127</v>
      </c>
      <c r="F2293" s="48">
        <v>3329.92</v>
      </c>
      <c r="G2293" s="54" t="s">
        <v>207</v>
      </c>
      <c r="H2293" s="54" t="s">
        <v>3772</v>
      </c>
      <c r="I2293" s="53" t="s">
        <v>125</v>
      </c>
      <c r="J2293" s="54" t="s">
        <v>127</v>
      </c>
      <c r="K2293" s="54" t="s">
        <v>127</v>
      </c>
      <c r="L2293" s="54" t="s">
        <v>12</v>
      </c>
      <c r="M2293" s="54" t="s">
        <v>10</v>
      </c>
      <c r="N2293" s="54" t="s">
        <v>11</v>
      </c>
      <c r="O2293" s="49" t="s">
        <v>815</v>
      </c>
      <c r="P2293" s="54" t="s">
        <v>3392</v>
      </c>
      <c r="Q2293" s="35" t="str">
        <f>MID(Tabla1[[#This Row],[Aplicación]],14,1)</f>
        <v>2</v>
      </c>
      <c r="R2293" s="35" t="s">
        <v>495</v>
      </c>
      <c r="S2293" s="35" t="str">
        <f>MID(Tabla1[[#This Row],[Aplicación]],6,2)</f>
        <v>09</v>
      </c>
      <c r="T2293" s="35" t="str">
        <f>VLOOKUP(Tabla1[[#This Row],[AREA]],Hoja1!A:B,2,FALSE)</f>
        <v>09. Cultura y turismo</v>
      </c>
      <c r="U2293" s="35" t="str">
        <f>MID(Tabla1[[#This Row],[Aplicación]],9,4)</f>
        <v>3341</v>
      </c>
      <c r="V2293" s="35" t="str">
        <f>VLOOKUP(Tabla1[[#This Row],[PROGRAMA]],Hoja1!A:B,2,FALSE)</f>
        <v>3341. Coordinación de políticas culturales</v>
      </c>
      <c r="W2293" s="35" t="str">
        <f>MID(Tabla1[[#This Row],[Aplicación]],14,2)</f>
        <v>22</v>
      </c>
      <c r="X2293" s="35" t="str">
        <f>MID(Tabla1[[#This Row],[Aplicación]],14,6)</f>
        <v>22700</v>
      </c>
    </row>
    <row r="2294" spans="1:24" x14ac:dyDescent="0.25">
      <c r="A2294" s="45">
        <v>220210022819</v>
      </c>
      <c r="B2294" s="46" t="s">
        <v>9</v>
      </c>
      <c r="C2294" s="47">
        <v>44333</v>
      </c>
      <c r="D2294" s="45">
        <v>22021004414</v>
      </c>
      <c r="E2294" s="46" t="s">
        <v>1397</v>
      </c>
      <c r="F2294" s="48">
        <v>3327.5</v>
      </c>
      <c r="G2294" s="54" t="s">
        <v>3773</v>
      </c>
      <c r="H2294" s="54" t="s">
        <v>3774</v>
      </c>
      <c r="I2294" s="53" t="s">
        <v>125</v>
      </c>
      <c r="J2294" s="54" t="s">
        <v>1663</v>
      </c>
      <c r="K2294" s="54" t="s">
        <v>127</v>
      </c>
      <c r="L2294" s="54" t="s">
        <v>15</v>
      </c>
      <c r="M2294" s="54" t="s">
        <v>10</v>
      </c>
      <c r="N2294" s="54" t="s">
        <v>11</v>
      </c>
      <c r="O2294" s="49" t="s">
        <v>815</v>
      </c>
      <c r="P2294" s="54" t="s">
        <v>3392</v>
      </c>
      <c r="Q2294" s="35" t="str">
        <f>MID(Tabla1[[#This Row],[Aplicación]],14,1)</f>
        <v>2</v>
      </c>
      <c r="R2294" s="35" t="s">
        <v>495</v>
      </c>
      <c r="S2294" s="35" t="str">
        <f>MID(Tabla1[[#This Row],[Aplicación]],6,2)</f>
        <v>11</v>
      </c>
      <c r="T2294" s="35" t="str">
        <f>VLOOKUP(Tabla1[[#This Row],[AREA]],Hoja1!A:B,2,FALSE)</f>
        <v>11. Salud pública y seguridad ciudadana</v>
      </c>
      <c r="U2294" s="35" t="str">
        <f>MID(Tabla1[[#This Row],[Aplicación]],9,4)</f>
        <v>1361</v>
      </c>
      <c r="V2294" s="35" t="str">
        <f>VLOOKUP(Tabla1[[#This Row],[PROGRAMA]],Hoja1!A:B,2,FALSE)</f>
        <v>1361. Prevención y extinción de incencios</v>
      </c>
      <c r="W2294" s="35" t="str">
        <f>MID(Tabla1[[#This Row],[Aplicación]],14,2)</f>
        <v>21</v>
      </c>
      <c r="X2294" s="35" t="str">
        <f>MID(Tabla1[[#This Row],[Aplicación]],14,6)</f>
        <v>214</v>
      </c>
    </row>
    <row r="2295" spans="1:24" x14ac:dyDescent="0.25">
      <c r="A2295" s="45">
        <v>220210020093</v>
      </c>
      <c r="B2295" s="46" t="s">
        <v>9</v>
      </c>
      <c r="C2295" s="47">
        <v>44321</v>
      </c>
      <c r="D2295" s="45">
        <v>22021004267</v>
      </c>
      <c r="E2295" s="46" t="s">
        <v>3344</v>
      </c>
      <c r="F2295" s="48">
        <v>3309.35</v>
      </c>
      <c r="G2295" s="54" t="s">
        <v>3775</v>
      </c>
      <c r="H2295" s="54" t="s">
        <v>3776</v>
      </c>
      <c r="I2295" s="53" t="s">
        <v>125</v>
      </c>
      <c r="J2295" s="54" t="s">
        <v>127</v>
      </c>
      <c r="K2295" s="54" t="s">
        <v>127</v>
      </c>
      <c r="L2295" s="54" t="s">
        <v>12</v>
      </c>
      <c r="M2295" s="54" t="s">
        <v>10</v>
      </c>
      <c r="N2295" s="54" t="s">
        <v>11</v>
      </c>
      <c r="O2295" s="49" t="s">
        <v>815</v>
      </c>
      <c r="P2295" s="54" t="s">
        <v>3392</v>
      </c>
      <c r="Q2295" s="35" t="str">
        <f>MID(Tabla1[[#This Row],[Aplicación]],14,1)</f>
        <v>2</v>
      </c>
      <c r="R2295" s="35" t="s">
        <v>495</v>
      </c>
      <c r="S2295" s="35" t="str">
        <f>MID(Tabla1[[#This Row],[Aplicación]],6,2)</f>
        <v>07</v>
      </c>
      <c r="T2295" s="35" t="str">
        <f>VLOOKUP(Tabla1[[#This Row],[AREA]],Hoja1!A:B,2,FALSE)</f>
        <v>07. Medio ambiente y desarrollo sostenible</v>
      </c>
      <c r="U2295" s="35" t="str">
        <f>MID(Tabla1[[#This Row],[Aplicación]],9,4)</f>
        <v>1721</v>
      </c>
      <c r="V2295" s="35" t="str">
        <f>VLOOKUP(Tabla1[[#This Row],[PROGRAMA]],Hoja1!A:B,2,FALSE)</f>
        <v>1721. Protección del medio ambiente</v>
      </c>
      <c r="W2295" s="35" t="str">
        <f>MID(Tabla1[[#This Row],[Aplicación]],14,2)</f>
        <v>22</v>
      </c>
      <c r="X2295" s="35" t="str">
        <f>MID(Tabla1[[#This Row],[Aplicación]],14,6)</f>
        <v>22602</v>
      </c>
    </row>
    <row r="2296" spans="1:24" x14ac:dyDescent="0.25">
      <c r="A2296" s="45">
        <v>220210028272</v>
      </c>
      <c r="B2296" s="46" t="s">
        <v>9</v>
      </c>
      <c r="C2296" s="47">
        <v>44350</v>
      </c>
      <c r="D2296" s="45">
        <v>22021004673</v>
      </c>
      <c r="E2296" s="46" t="s">
        <v>3345</v>
      </c>
      <c r="F2296" s="48">
        <v>3260.21</v>
      </c>
      <c r="G2296" s="54" t="s">
        <v>53</v>
      </c>
      <c r="H2296" s="54" t="s">
        <v>3777</v>
      </c>
      <c r="I2296" s="53" t="s">
        <v>125</v>
      </c>
      <c r="J2296" s="54" t="s">
        <v>127</v>
      </c>
      <c r="K2296" s="54" t="s">
        <v>127</v>
      </c>
      <c r="L2296" s="54" t="s">
        <v>15</v>
      </c>
      <c r="M2296" s="54" t="s">
        <v>10</v>
      </c>
      <c r="N2296" s="54" t="s">
        <v>11</v>
      </c>
      <c r="O2296" s="49" t="s">
        <v>815</v>
      </c>
      <c r="P2296" s="54" t="s">
        <v>3392</v>
      </c>
      <c r="Q2296" s="35" t="str">
        <f>MID(Tabla1[[#This Row],[Aplicación]],14,1)</f>
        <v>6</v>
      </c>
      <c r="R2296" s="35" t="s">
        <v>496</v>
      </c>
      <c r="S2296" s="35" t="str">
        <f>MID(Tabla1[[#This Row],[Aplicación]],6,2)</f>
        <v>03</v>
      </c>
      <c r="T2296" s="35" t="str">
        <f>VLOOKUP(Tabla1[[#This Row],[AREA]],Hoja1!A:B,2,FALSE)</f>
        <v>03. Participación ciudadana y deportes</v>
      </c>
      <c r="U2296" s="35" t="str">
        <f>MID(Tabla1[[#This Row],[Aplicación]],9,4)</f>
        <v>9241</v>
      </c>
      <c r="V2296" s="35" t="str">
        <f>VLOOKUP(Tabla1[[#This Row],[PROGRAMA]],Hoja1!A:B,2,FALSE)</f>
        <v>9241. Participación ciudadana</v>
      </c>
      <c r="W2296" s="35" t="str">
        <f>MID(Tabla1[[#This Row],[Aplicación]],14,2)</f>
        <v>63</v>
      </c>
      <c r="X2296" s="35" t="str">
        <f>MID(Tabla1[[#This Row],[Aplicación]],14,6)</f>
        <v>633</v>
      </c>
    </row>
    <row r="2297" spans="1:24" x14ac:dyDescent="0.25">
      <c r="A2297" s="45">
        <v>220210015519</v>
      </c>
      <c r="B2297" s="46" t="s">
        <v>9</v>
      </c>
      <c r="C2297" s="47">
        <v>44301</v>
      </c>
      <c r="D2297" s="45">
        <v>22021003874</v>
      </c>
      <c r="E2297" s="46" t="s">
        <v>883</v>
      </c>
      <c r="F2297" s="48">
        <v>3254.9</v>
      </c>
      <c r="G2297" s="54" t="s">
        <v>2875</v>
      </c>
      <c r="H2297" s="54" t="s">
        <v>3778</v>
      </c>
      <c r="I2297" s="53" t="s">
        <v>125</v>
      </c>
      <c r="J2297" s="54" t="s">
        <v>617</v>
      </c>
      <c r="K2297" s="54" t="s">
        <v>157</v>
      </c>
      <c r="L2297" s="54" t="s">
        <v>12</v>
      </c>
      <c r="M2297" s="54" t="s">
        <v>10</v>
      </c>
      <c r="N2297" s="54" t="s">
        <v>11</v>
      </c>
      <c r="O2297" s="49" t="s">
        <v>815</v>
      </c>
      <c r="P2297" s="54" t="s">
        <v>3392</v>
      </c>
      <c r="Q2297" s="35" t="str">
        <f>MID(Tabla1[[#This Row],[Aplicación]],14,1)</f>
        <v>2</v>
      </c>
      <c r="R2297" s="35" t="s">
        <v>495</v>
      </c>
      <c r="S2297" s="35" t="str">
        <f>MID(Tabla1[[#This Row],[Aplicación]],6,2)</f>
        <v>11</v>
      </c>
      <c r="T2297" s="35" t="str">
        <f>VLOOKUP(Tabla1[[#This Row],[AREA]],Hoja1!A:B,2,FALSE)</f>
        <v>11. Salud pública y seguridad ciudadana</v>
      </c>
      <c r="U2297" s="35" t="str">
        <f>MID(Tabla1[[#This Row],[Aplicación]],9,4)</f>
        <v>1621</v>
      </c>
      <c r="V2297" s="35" t="str">
        <f>VLOOKUP(Tabla1[[#This Row],[PROGRAMA]],Hoja1!A:B,2,FALSE)</f>
        <v>1621. Servicio de limpieza</v>
      </c>
      <c r="W2297" s="35" t="str">
        <f>MID(Tabla1[[#This Row],[Aplicación]],14,2)</f>
        <v>22</v>
      </c>
      <c r="X2297" s="35" t="str">
        <f>MID(Tabla1[[#This Row],[Aplicación]],14,6)</f>
        <v>22700</v>
      </c>
    </row>
    <row r="2298" spans="1:24" x14ac:dyDescent="0.25">
      <c r="A2298" s="45">
        <v>220210031104</v>
      </c>
      <c r="B2298" s="46" t="s">
        <v>501</v>
      </c>
      <c r="C2298" s="47">
        <v>44361</v>
      </c>
      <c r="D2298" s="45">
        <v>22021000099</v>
      </c>
      <c r="E2298" s="46" t="s">
        <v>3178</v>
      </c>
      <c r="F2298" s="48">
        <v>-1233.71</v>
      </c>
      <c r="G2298" s="54" t="s">
        <v>124</v>
      </c>
      <c r="H2298" s="54" t="s">
        <v>3179</v>
      </c>
      <c r="I2298" s="53" t="s">
        <v>125</v>
      </c>
      <c r="J2298" s="54" t="s">
        <v>126</v>
      </c>
      <c r="K2298" s="54" t="s">
        <v>126</v>
      </c>
      <c r="L2298" s="54" t="s">
        <v>12</v>
      </c>
      <c r="M2298" s="54" t="s">
        <v>13</v>
      </c>
      <c r="N2298" s="54" t="s">
        <v>14</v>
      </c>
      <c r="O2298" s="49" t="s">
        <v>803</v>
      </c>
      <c r="P2298" s="54" t="s">
        <v>3392</v>
      </c>
      <c r="Q2298" s="35" t="str">
        <f>MID(Tabla1[[#This Row],[Aplicación]],14,1)</f>
        <v>2</v>
      </c>
      <c r="R2298" s="35" t="s">
        <v>495</v>
      </c>
      <c r="S2298" s="35" t="str">
        <f>MID(Tabla1[[#This Row],[Aplicación]],6,2)</f>
        <v>10</v>
      </c>
      <c r="T2298" s="35" t="str">
        <f>VLOOKUP(Tabla1[[#This Row],[AREA]],Hoja1!A:B,2,FALSE)</f>
        <v>10. Servicios sociales y mediación comunitaria</v>
      </c>
      <c r="U2298" s="35" t="str">
        <f>MID(Tabla1[[#This Row],[Aplicación]],9,4)</f>
        <v>2412</v>
      </c>
      <c r="V2298" s="35" t="str">
        <f>VLOOKUP(Tabla1[[#This Row],[PROGRAMA]],Hoja1!A:B,2,FALSE)</f>
        <v>2412. Formación para el empleo</v>
      </c>
      <c r="W2298" s="35" t="str">
        <f>MID(Tabla1[[#This Row],[Aplicación]],14,2)</f>
        <v>22</v>
      </c>
      <c r="X2298" s="35" t="str">
        <f>MID(Tabla1[[#This Row],[Aplicación]],14,6)</f>
        <v>22200</v>
      </c>
    </row>
    <row r="2299" spans="1:24" x14ac:dyDescent="0.25">
      <c r="A2299" s="45">
        <v>220210019251</v>
      </c>
      <c r="B2299" s="46" t="s">
        <v>9</v>
      </c>
      <c r="C2299" s="47">
        <v>44320</v>
      </c>
      <c r="D2299" s="45">
        <v>22021004241</v>
      </c>
      <c r="E2299" s="46" t="s">
        <v>1187</v>
      </c>
      <c r="F2299" s="48">
        <v>3200</v>
      </c>
      <c r="G2299" s="54" t="s">
        <v>1545</v>
      </c>
      <c r="H2299" s="54" t="s">
        <v>3779</v>
      </c>
      <c r="I2299" s="53" t="s">
        <v>125</v>
      </c>
      <c r="J2299" s="54" t="s">
        <v>127</v>
      </c>
      <c r="K2299" s="54" t="s">
        <v>127</v>
      </c>
      <c r="L2299" s="54" t="s">
        <v>12</v>
      </c>
      <c r="M2299" s="54" t="s">
        <v>10</v>
      </c>
      <c r="N2299" s="54" t="s">
        <v>11</v>
      </c>
      <c r="O2299" s="49" t="s">
        <v>815</v>
      </c>
      <c r="P2299" s="54" t="s">
        <v>3392</v>
      </c>
      <c r="Q2299" s="35" t="str">
        <f>MID(Tabla1[[#This Row],[Aplicación]],14,1)</f>
        <v>2</v>
      </c>
      <c r="R2299" s="35" t="s">
        <v>495</v>
      </c>
      <c r="S2299" s="35" t="str">
        <f>MID(Tabla1[[#This Row],[Aplicación]],6,2)</f>
        <v>06</v>
      </c>
      <c r="T2299" s="35" t="str">
        <f>VLOOKUP(Tabla1[[#This Row],[AREA]],Hoja1!A:B,2,FALSE)</f>
        <v>06. Educación, infancia, juventud e igualdad</v>
      </c>
      <c r="U2299" s="35" t="str">
        <f>MID(Tabla1[[#This Row],[Aplicación]],9,4)</f>
        <v>2315</v>
      </c>
      <c r="V2299" s="35" t="str">
        <f>VLOOKUP(Tabla1[[#This Row],[PROGRAMA]],Hoja1!A:B,2,FALSE)</f>
        <v>2315. Políticas de Igualdad e infancia</v>
      </c>
      <c r="W2299" s="35" t="str">
        <f>MID(Tabla1[[#This Row],[Aplicación]],14,2)</f>
        <v>22</v>
      </c>
      <c r="X2299" s="35" t="str">
        <f>MID(Tabla1[[#This Row],[Aplicación]],14,6)</f>
        <v>22611</v>
      </c>
    </row>
    <row r="2300" spans="1:24" x14ac:dyDescent="0.25">
      <c r="A2300" s="45">
        <v>220210033114</v>
      </c>
      <c r="B2300" s="46" t="s">
        <v>9</v>
      </c>
      <c r="C2300" s="47">
        <v>44376</v>
      </c>
      <c r="D2300" s="45">
        <v>22021004356</v>
      </c>
      <c r="E2300" s="46" t="s">
        <v>1724</v>
      </c>
      <c r="F2300" s="48">
        <v>165922.56</v>
      </c>
      <c r="G2300" s="54" t="s">
        <v>2065</v>
      </c>
      <c r="H2300" s="54" t="s">
        <v>3780</v>
      </c>
      <c r="I2300" s="53" t="s">
        <v>125</v>
      </c>
      <c r="J2300" s="54" t="s">
        <v>187</v>
      </c>
      <c r="K2300" s="54" t="s">
        <v>187</v>
      </c>
      <c r="L2300" s="54" t="s">
        <v>31</v>
      </c>
      <c r="M2300" s="54" t="s">
        <v>13</v>
      </c>
      <c r="N2300" s="54" t="s">
        <v>14</v>
      </c>
      <c r="O2300" s="49" t="s">
        <v>803</v>
      </c>
      <c r="P2300" s="54" t="s">
        <v>3392</v>
      </c>
      <c r="Q2300" s="35" t="str">
        <f>MID(Tabla1[[#This Row],[Aplicación]],14,1)</f>
        <v>6</v>
      </c>
      <c r="R2300" s="35" t="s">
        <v>496</v>
      </c>
      <c r="S2300" s="35" t="str">
        <f>MID(Tabla1[[#This Row],[Aplicación]],6,2)</f>
        <v>07</v>
      </c>
      <c r="T2300" s="35" t="str">
        <f>VLOOKUP(Tabla1[[#This Row],[AREA]],Hoja1!A:B,2,FALSE)</f>
        <v>07. Medio ambiente y desarrollo sostenible</v>
      </c>
      <c r="U2300" s="35" t="str">
        <f>MID(Tabla1[[#This Row],[Aplicación]],9,4)</f>
        <v>1711</v>
      </c>
      <c r="V2300" s="35" t="str">
        <f>VLOOKUP(Tabla1[[#This Row],[PROGRAMA]],Hoja1!A:B,2,FALSE)</f>
        <v>1711. Parques y jardines</v>
      </c>
      <c r="W2300" s="35" t="str">
        <f>MID(Tabla1[[#This Row],[Aplicación]],14,2)</f>
        <v>61</v>
      </c>
      <c r="X2300" s="35" t="str">
        <f>MID(Tabla1[[#This Row],[Aplicación]],14,6)</f>
        <v>619</v>
      </c>
    </row>
    <row r="2301" spans="1:24" x14ac:dyDescent="0.25">
      <c r="A2301" s="45">
        <v>220210030029</v>
      </c>
      <c r="B2301" s="46" t="s">
        <v>32</v>
      </c>
      <c r="C2301" s="47">
        <v>44356</v>
      </c>
      <c r="D2301" s="45">
        <v>22021004207</v>
      </c>
      <c r="E2301" s="46" t="s">
        <v>1724</v>
      </c>
      <c r="F2301" s="48">
        <v>14921.72</v>
      </c>
      <c r="G2301" s="54" t="s">
        <v>2065</v>
      </c>
      <c r="H2301" s="54" t="s">
        <v>3781</v>
      </c>
      <c r="I2301" s="53" t="s">
        <v>234</v>
      </c>
      <c r="J2301" s="54" t="s">
        <v>187</v>
      </c>
      <c r="K2301" s="54" t="s">
        <v>187</v>
      </c>
      <c r="L2301" s="54" t="s">
        <v>31</v>
      </c>
      <c r="M2301" s="54" t="s">
        <v>13</v>
      </c>
      <c r="N2301" s="54" t="s">
        <v>14</v>
      </c>
      <c r="O2301" s="49" t="s">
        <v>803</v>
      </c>
      <c r="P2301" s="54" t="s">
        <v>3392</v>
      </c>
      <c r="Q2301" s="35" t="str">
        <f>MID(Tabla1[[#This Row],[Aplicación]],14,1)</f>
        <v>6</v>
      </c>
      <c r="R2301" s="35" t="s">
        <v>496</v>
      </c>
      <c r="S2301" s="35" t="str">
        <f>MID(Tabla1[[#This Row],[Aplicación]],6,2)</f>
        <v>07</v>
      </c>
      <c r="T2301" s="35" t="str">
        <f>VLOOKUP(Tabla1[[#This Row],[AREA]],Hoja1!A:B,2,FALSE)</f>
        <v>07. Medio ambiente y desarrollo sostenible</v>
      </c>
      <c r="U2301" s="35" t="str">
        <f>MID(Tabla1[[#This Row],[Aplicación]],9,4)</f>
        <v>1711</v>
      </c>
      <c r="V2301" s="35" t="str">
        <f>VLOOKUP(Tabla1[[#This Row],[PROGRAMA]],Hoja1!A:B,2,FALSE)</f>
        <v>1711. Parques y jardines</v>
      </c>
      <c r="W2301" s="35" t="str">
        <f>MID(Tabla1[[#This Row],[Aplicación]],14,2)</f>
        <v>61</v>
      </c>
      <c r="X2301" s="35" t="str">
        <f>MID(Tabla1[[#This Row],[Aplicación]],14,6)</f>
        <v>619</v>
      </c>
    </row>
    <row r="2302" spans="1:24" x14ac:dyDescent="0.25">
      <c r="A2302" s="45">
        <v>220210030028</v>
      </c>
      <c r="B2302" s="46" t="s">
        <v>32</v>
      </c>
      <c r="C2302" s="47">
        <v>44356</v>
      </c>
      <c r="D2302" s="45">
        <v>22021004205</v>
      </c>
      <c r="E2302" s="46" t="s">
        <v>1724</v>
      </c>
      <c r="F2302" s="48">
        <v>14773.37</v>
      </c>
      <c r="G2302" s="54" t="s">
        <v>2065</v>
      </c>
      <c r="H2302" s="54" t="s">
        <v>3782</v>
      </c>
      <c r="I2302" s="53" t="s">
        <v>234</v>
      </c>
      <c r="J2302" s="54" t="s">
        <v>187</v>
      </c>
      <c r="K2302" s="54" t="s">
        <v>187</v>
      </c>
      <c r="L2302" s="54" t="s">
        <v>31</v>
      </c>
      <c r="M2302" s="54" t="s">
        <v>13</v>
      </c>
      <c r="N2302" s="54" t="s">
        <v>14</v>
      </c>
      <c r="O2302" s="49" t="s">
        <v>803</v>
      </c>
      <c r="P2302" s="54" t="s">
        <v>3392</v>
      </c>
      <c r="Q2302" s="35" t="str">
        <f>MID(Tabla1[[#This Row],[Aplicación]],14,1)</f>
        <v>6</v>
      </c>
      <c r="R2302" s="35" t="s">
        <v>496</v>
      </c>
      <c r="S2302" s="35" t="str">
        <f>MID(Tabla1[[#This Row],[Aplicación]],6,2)</f>
        <v>07</v>
      </c>
      <c r="T2302" s="35" t="str">
        <f>VLOOKUP(Tabla1[[#This Row],[AREA]],Hoja1!A:B,2,FALSE)</f>
        <v>07. Medio ambiente y desarrollo sostenible</v>
      </c>
      <c r="U2302" s="35" t="str">
        <f>MID(Tabla1[[#This Row],[Aplicación]],9,4)</f>
        <v>1711</v>
      </c>
      <c r="V2302" s="35" t="str">
        <f>VLOOKUP(Tabla1[[#This Row],[PROGRAMA]],Hoja1!A:B,2,FALSE)</f>
        <v>1711. Parques y jardines</v>
      </c>
      <c r="W2302" s="35" t="str">
        <f>MID(Tabla1[[#This Row],[Aplicación]],14,2)</f>
        <v>61</v>
      </c>
      <c r="X2302" s="35" t="str">
        <f>MID(Tabla1[[#This Row],[Aplicación]],14,6)</f>
        <v>619</v>
      </c>
    </row>
    <row r="2303" spans="1:24" x14ac:dyDescent="0.25">
      <c r="A2303" s="45">
        <v>220210016753</v>
      </c>
      <c r="B2303" s="46" t="s">
        <v>9</v>
      </c>
      <c r="C2303" s="47">
        <v>44308</v>
      </c>
      <c r="D2303" s="45">
        <v>22021004112</v>
      </c>
      <c r="E2303" s="46" t="s">
        <v>1228</v>
      </c>
      <c r="F2303" s="48">
        <v>3054.15</v>
      </c>
      <c r="G2303" s="54" t="s">
        <v>3783</v>
      </c>
      <c r="H2303" s="54" t="s">
        <v>3784</v>
      </c>
      <c r="I2303" s="53" t="s">
        <v>125</v>
      </c>
      <c r="J2303" s="54" t="s">
        <v>127</v>
      </c>
      <c r="K2303" s="54" t="s">
        <v>127</v>
      </c>
      <c r="L2303" s="54" t="s">
        <v>12</v>
      </c>
      <c r="M2303" s="54" t="s">
        <v>10</v>
      </c>
      <c r="N2303" s="54" t="s">
        <v>11</v>
      </c>
      <c r="O2303" s="49" t="s">
        <v>815</v>
      </c>
      <c r="P2303" s="54" t="s">
        <v>3392</v>
      </c>
      <c r="Q2303" s="35" t="str">
        <f>MID(Tabla1[[#This Row],[Aplicación]],14,1)</f>
        <v>2</v>
      </c>
      <c r="R2303" s="35" t="s">
        <v>495</v>
      </c>
      <c r="S2303" s="35" t="str">
        <f>MID(Tabla1[[#This Row],[Aplicación]],6,2)</f>
        <v>02</v>
      </c>
      <c r="T2303" s="35" t="str">
        <f>VLOOKUP(Tabla1[[#This Row],[AREA]],Hoja1!A:B,2,FALSE)</f>
        <v>02. Planeamiento urbanístico y vivienda</v>
      </c>
      <c r="U2303" s="35" t="str">
        <f>MID(Tabla1[[#This Row],[Aplicación]],9,4)</f>
        <v>9332</v>
      </c>
      <c r="V2303" s="35" t="str">
        <f>VLOOKUP(Tabla1[[#This Row],[PROGRAMA]],Hoja1!A:B,2,FALSE)</f>
        <v>9332. Mantenimiento de edificios e instalaciones municipales</v>
      </c>
      <c r="W2303" s="35" t="str">
        <f>MID(Tabla1[[#This Row],[Aplicación]],14,2)</f>
        <v>21</v>
      </c>
      <c r="X2303" s="35" t="str">
        <f>MID(Tabla1[[#This Row],[Aplicación]],14,6)</f>
        <v>214</v>
      </c>
    </row>
    <row r="2304" spans="1:24" x14ac:dyDescent="0.25">
      <c r="A2304" s="45">
        <v>220210016373</v>
      </c>
      <c r="B2304" s="46" t="s">
        <v>9</v>
      </c>
      <c r="C2304" s="47">
        <v>44306</v>
      </c>
      <c r="D2304" s="45">
        <v>22021003921</v>
      </c>
      <c r="E2304" s="46" t="s">
        <v>3346</v>
      </c>
      <c r="F2304" s="48">
        <v>3049.2</v>
      </c>
      <c r="G2304" s="54" t="s">
        <v>720</v>
      </c>
      <c r="H2304" s="54" t="s">
        <v>3785</v>
      </c>
      <c r="I2304" s="53" t="s">
        <v>125</v>
      </c>
      <c r="J2304" s="54" t="s">
        <v>127</v>
      </c>
      <c r="K2304" s="54" t="s">
        <v>127</v>
      </c>
      <c r="L2304" s="54" t="s">
        <v>12</v>
      </c>
      <c r="M2304" s="54" t="s">
        <v>10</v>
      </c>
      <c r="N2304" s="54" t="s">
        <v>11</v>
      </c>
      <c r="O2304" s="49" t="s">
        <v>815</v>
      </c>
      <c r="P2304" s="54" t="s">
        <v>3392</v>
      </c>
      <c r="Q2304" s="35" t="str">
        <f>MID(Tabla1[[#This Row],[Aplicación]],14,1)</f>
        <v>2</v>
      </c>
      <c r="R2304" s="35" t="s">
        <v>495</v>
      </c>
      <c r="S2304" s="35" t="str">
        <f>MID(Tabla1[[#This Row],[Aplicación]],6,2)</f>
        <v>07</v>
      </c>
      <c r="T2304" s="35" t="str">
        <f>VLOOKUP(Tabla1[[#This Row],[AREA]],Hoja1!A:B,2,FALSE)</f>
        <v>07. Medio ambiente y desarrollo sostenible</v>
      </c>
      <c r="U2304" s="35" t="str">
        <f>MID(Tabla1[[#This Row],[Aplicación]],9,4)</f>
        <v>1701</v>
      </c>
      <c r="V2304" s="35" t="str">
        <f>VLOOKUP(Tabla1[[#This Row],[PROGRAMA]],Hoja1!A:B,2,FALSE)</f>
        <v>1701. Dirección del área de medio ambiente</v>
      </c>
      <c r="W2304" s="35" t="str">
        <f>MID(Tabla1[[#This Row],[Aplicación]],14,2)</f>
        <v>22</v>
      </c>
      <c r="X2304" s="35" t="str">
        <f>MID(Tabla1[[#This Row],[Aplicación]],14,6)</f>
        <v>22602</v>
      </c>
    </row>
    <row r="2305" spans="1:24" x14ac:dyDescent="0.25">
      <c r="A2305" s="45">
        <v>220210031250</v>
      </c>
      <c r="B2305" s="46" t="s">
        <v>9</v>
      </c>
      <c r="C2305" s="47">
        <v>44363</v>
      </c>
      <c r="D2305" s="45">
        <v>22021004032</v>
      </c>
      <c r="E2305" s="46" t="s">
        <v>859</v>
      </c>
      <c r="F2305" s="48">
        <v>3029</v>
      </c>
      <c r="G2305" s="54" t="s">
        <v>1424</v>
      </c>
      <c r="H2305" s="54" t="s">
        <v>3786</v>
      </c>
      <c r="I2305" s="53" t="s">
        <v>125</v>
      </c>
      <c r="J2305" s="54" t="s">
        <v>610</v>
      </c>
      <c r="K2305" s="54" t="s">
        <v>195</v>
      </c>
      <c r="L2305" s="54" t="s">
        <v>12</v>
      </c>
      <c r="M2305" s="54" t="s">
        <v>10</v>
      </c>
      <c r="N2305" s="54" t="s">
        <v>14</v>
      </c>
      <c r="O2305" s="49" t="s">
        <v>815</v>
      </c>
      <c r="P2305" s="54" t="s">
        <v>3392</v>
      </c>
      <c r="Q2305" s="35" t="str">
        <f>MID(Tabla1[[#This Row],[Aplicación]],14,1)</f>
        <v>2</v>
      </c>
      <c r="R2305" s="35" t="s">
        <v>495</v>
      </c>
      <c r="S2305" s="35" t="str">
        <f>MID(Tabla1[[#This Row],[Aplicación]],6,2)</f>
        <v>05</v>
      </c>
      <c r="T2305" s="35" t="str">
        <f>VLOOKUP(Tabla1[[#This Row],[AREA]],Hoja1!A:B,2,FALSE)</f>
        <v>05. Innovación, desarrollo económico, empleo y comercio</v>
      </c>
      <c r="U2305" s="35" t="str">
        <f>MID(Tabla1[[#This Row],[Aplicación]],9,4)</f>
        <v>4331</v>
      </c>
      <c r="V2305" s="35" t="str">
        <f>VLOOKUP(Tabla1[[#This Row],[PROGRAMA]],Hoja1!A:B,2,FALSE)</f>
        <v>4331. Desarrollo empresarial</v>
      </c>
      <c r="W2305" s="35" t="str">
        <f>MID(Tabla1[[#This Row],[Aplicación]],14,2)</f>
        <v>22</v>
      </c>
      <c r="X2305" s="35" t="str">
        <f>MID(Tabla1[[#This Row],[Aplicación]],14,6)</f>
        <v>22706</v>
      </c>
    </row>
    <row r="2306" spans="1:24" x14ac:dyDescent="0.25">
      <c r="A2306" s="45">
        <v>220210025793</v>
      </c>
      <c r="B2306" s="46" t="s">
        <v>9</v>
      </c>
      <c r="C2306" s="47">
        <v>44343</v>
      </c>
      <c r="D2306" s="45">
        <v>22021004416</v>
      </c>
      <c r="E2306" s="46" t="s">
        <v>1382</v>
      </c>
      <c r="F2306" s="48">
        <v>3000</v>
      </c>
      <c r="G2306" s="54" t="s">
        <v>244</v>
      </c>
      <c r="H2306" s="54" t="s">
        <v>3787</v>
      </c>
      <c r="I2306" s="53" t="s">
        <v>125</v>
      </c>
      <c r="J2306" s="54" t="s">
        <v>127</v>
      </c>
      <c r="K2306" s="54" t="s">
        <v>127</v>
      </c>
      <c r="L2306" s="54" t="s">
        <v>12</v>
      </c>
      <c r="M2306" s="54" t="s">
        <v>10</v>
      </c>
      <c r="N2306" s="54" t="s">
        <v>11</v>
      </c>
      <c r="O2306" s="49" t="s">
        <v>815</v>
      </c>
      <c r="P2306" s="54" t="s">
        <v>3392</v>
      </c>
      <c r="Q2306" s="35" t="str">
        <f>MID(Tabla1[[#This Row],[Aplicación]],14,1)</f>
        <v>2</v>
      </c>
      <c r="R2306" s="35" t="s">
        <v>495</v>
      </c>
      <c r="S2306" s="35" t="str">
        <f>MID(Tabla1[[#This Row],[Aplicación]],6,2)</f>
        <v>11</v>
      </c>
      <c r="T2306" s="35" t="str">
        <f>VLOOKUP(Tabla1[[#This Row],[AREA]],Hoja1!A:B,2,FALSE)</f>
        <v>11. Salud pública y seguridad ciudadana</v>
      </c>
      <c r="U2306" s="35" t="str">
        <f>MID(Tabla1[[#This Row],[Aplicación]],9,4)</f>
        <v>1631</v>
      </c>
      <c r="V2306" s="35" t="str">
        <f>VLOOKUP(Tabla1[[#This Row],[PROGRAMA]],Hoja1!A:B,2,FALSE)</f>
        <v>1631. Limpieza viaria</v>
      </c>
      <c r="W2306" s="35" t="str">
        <f>MID(Tabla1[[#This Row],[Aplicación]],14,2)</f>
        <v>21</v>
      </c>
      <c r="X2306" s="35" t="str">
        <f>MID(Tabla1[[#This Row],[Aplicación]],14,6)</f>
        <v>214</v>
      </c>
    </row>
    <row r="2307" spans="1:24" x14ac:dyDescent="0.25">
      <c r="A2307" s="45">
        <v>220210021022</v>
      </c>
      <c r="B2307" s="46" t="s">
        <v>9</v>
      </c>
      <c r="C2307" s="47">
        <v>44323</v>
      </c>
      <c r="D2307" s="45">
        <v>22021004308</v>
      </c>
      <c r="E2307" s="46" t="s">
        <v>1293</v>
      </c>
      <c r="F2307" s="48">
        <v>3000</v>
      </c>
      <c r="G2307" s="54" t="s">
        <v>1576</v>
      </c>
      <c r="H2307" s="54" t="s">
        <v>3788</v>
      </c>
      <c r="I2307" s="53" t="s">
        <v>125</v>
      </c>
      <c r="J2307" s="54" t="s">
        <v>127</v>
      </c>
      <c r="K2307" s="54" t="s">
        <v>127</v>
      </c>
      <c r="L2307" s="54" t="s">
        <v>12</v>
      </c>
      <c r="M2307" s="54" t="s">
        <v>10</v>
      </c>
      <c r="N2307" s="54" t="s">
        <v>11</v>
      </c>
      <c r="O2307" s="49" t="s">
        <v>815</v>
      </c>
      <c r="P2307" s="54" t="s">
        <v>3392</v>
      </c>
      <c r="Q2307" s="35" t="str">
        <f>MID(Tabla1[[#This Row],[Aplicación]],14,1)</f>
        <v>2</v>
      </c>
      <c r="R2307" s="35" t="s">
        <v>495</v>
      </c>
      <c r="S2307" s="35" t="str">
        <f>MID(Tabla1[[#This Row],[Aplicación]],6,2)</f>
        <v>06</v>
      </c>
      <c r="T2307" s="35" t="str">
        <f>VLOOKUP(Tabla1[[#This Row],[AREA]],Hoja1!A:B,2,FALSE)</f>
        <v>06. Educación, infancia, juventud e igualdad</v>
      </c>
      <c r="U2307" s="35" t="str">
        <f>MID(Tabla1[[#This Row],[Aplicación]],9,4)</f>
        <v>2314</v>
      </c>
      <c r="V2307" s="35" t="str">
        <f>VLOOKUP(Tabla1[[#This Row],[PROGRAMA]],Hoja1!A:B,2,FALSE)</f>
        <v>2314. Centro de programas juveniles</v>
      </c>
      <c r="W2307" s="35" t="str">
        <f>MID(Tabla1[[#This Row],[Aplicación]],14,2)</f>
        <v>22</v>
      </c>
      <c r="X2307" s="35" t="str">
        <f>MID(Tabla1[[#This Row],[Aplicación]],14,6)</f>
        <v>22699</v>
      </c>
    </row>
    <row r="2308" spans="1:24" x14ac:dyDescent="0.25">
      <c r="A2308" s="45">
        <v>220210033077</v>
      </c>
      <c r="B2308" s="46" t="s">
        <v>9</v>
      </c>
      <c r="C2308" s="47">
        <v>44376</v>
      </c>
      <c r="D2308" s="45">
        <v>22021005116</v>
      </c>
      <c r="E2308" s="46" t="s">
        <v>2647</v>
      </c>
      <c r="F2308" s="48">
        <v>3000</v>
      </c>
      <c r="G2308" s="54" t="s">
        <v>1903</v>
      </c>
      <c r="H2308" s="54" t="s">
        <v>3789</v>
      </c>
      <c r="I2308" s="53" t="s">
        <v>125</v>
      </c>
      <c r="J2308" s="54" t="s">
        <v>127</v>
      </c>
      <c r="K2308" s="54" t="s">
        <v>127</v>
      </c>
      <c r="L2308" s="54" t="s">
        <v>12</v>
      </c>
      <c r="M2308" s="54" t="s">
        <v>10</v>
      </c>
      <c r="N2308" s="54" t="s">
        <v>11</v>
      </c>
      <c r="O2308" s="49" t="s">
        <v>815</v>
      </c>
      <c r="P2308" s="54" t="s">
        <v>3392</v>
      </c>
      <c r="Q2308" s="35" t="str">
        <f>MID(Tabla1[[#This Row],[Aplicación]],14,1)</f>
        <v>2</v>
      </c>
      <c r="R2308" s="35" t="s">
        <v>495</v>
      </c>
      <c r="S2308" s="35" t="str">
        <f>MID(Tabla1[[#This Row],[Aplicación]],6,2)</f>
        <v>06</v>
      </c>
      <c r="T2308" s="35" t="str">
        <f>VLOOKUP(Tabla1[[#This Row],[AREA]],Hoja1!A:B,2,FALSE)</f>
        <v>06. Educación, infancia, juventud e igualdad</v>
      </c>
      <c r="U2308" s="35" t="str">
        <f>MID(Tabla1[[#This Row],[Aplicación]],9,4)</f>
        <v>2314</v>
      </c>
      <c r="V2308" s="35" t="str">
        <f>VLOOKUP(Tabla1[[#This Row],[PROGRAMA]],Hoja1!A:B,2,FALSE)</f>
        <v>2314. Centro de programas juveniles</v>
      </c>
      <c r="W2308" s="35" t="str">
        <f>MID(Tabla1[[#This Row],[Aplicación]],14,2)</f>
        <v>22</v>
      </c>
      <c r="X2308" s="35" t="str">
        <f>MID(Tabla1[[#This Row],[Aplicación]],14,6)</f>
        <v>22613</v>
      </c>
    </row>
    <row r="2309" spans="1:24" x14ac:dyDescent="0.25">
      <c r="A2309" s="45">
        <v>220210029253</v>
      </c>
      <c r="B2309" s="46" t="s">
        <v>9</v>
      </c>
      <c r="C2309" s="47">
        <v>44354</v>
      </c>
      <c r="D2309" s="45">
        <v>22021004753</v>
      </c>
      <c r="E2309" s="46" t="s">
        <v>3347</v>
      </c>
      <c r="F2309" s="48">
        <v>2959.66</v>
      </c>
      <c r="G2309" s="54" t="s">
        <v>164</v>
      </c>
      <c r="H2309" s="54" t="s">
        <v>3790</v>
      </c>
      <c r="I2309" s="53" t="s">
        <v>125</v>
      </c>
      <c r="J2309" s="54" t="s">
        <v>127</v>
      </c>
      <c r="K2309" s="54" t="s">
        <v>127</v>
      </c>
      <c r="L2309" s="54" t="s">
        <v>12</v>
      </c>
      <c r="M2309" s="54" t="s">
        <v>10</v>
      </c>
      <c r="N2309" s="54" t="s">
        <v>11</v>
      </c>
      <c r="O2309" s="49" t="s">
        <v>815</v>
      </c>
      <c r="P2309" s="54" t="s">
        <v>3392</v>
      </c>
      <c r="Q2309" s="35" t="str">
        <f>MID(Tabla1[[#This Row],[Aplicación]],14,1)</f>
        <v>2</v>
      </c>
      <c r="R2309" s="35" t="s">
        <v>495</v>
      </c>
      <c r="S2309" s="35" t="str">
        <f>MID(Tabla1[[#This Row],[Aplicación]],6,2)</f>
        <v>06</v>
      </c>
      <c r="T2309" s="35" t="str">
        <f>VLOOKUP(Tabla1[[#This Row],[AREA]],Hoja1!A:B,2,FALSE)</f>
        <v>06. Educación, infancia, juventud e igualdad</v>
      </c>
      <c r="U2309" s="35" t="str">
        <f>MID(Tabla1[[#This Row],[Aplicación]],9,4)</f>
        <v>2315</v>
      </c>
      <c r="V2309" s="35" t="str">
        <f>VLOOKUP(Tabla1[[#This Row],[PROGRAMA]],Hoja1!A:B,2,FALSE)</f>
        <v>2315. Políticas de Igualdad e infancia</v>
      </c>
      <c r="W2309" s="35" t="str">
        <f>MID(Tabla1[[#This Row],[Aplicación]],14,2)</f>
        <v>22</v>
      </c>
      <c r="X2309" s="35" t="str">
        <f>MID(Tabla1[[#This Row],[Aplicación]],14,6)</f>
        <v>22614</v>
      </c>
    </row>
    <row r="2310" spans="1:24" x14ac:dyDescent="0.25">
      <c r="A2310" s="45">
        <v>220210024696</v>
      </c>
      <c r="B2310" s="46" t="s">
        <v>9</v>
      </c>
      <c r="C2310" s="47">
        <v>44340</v>
      </c>
      <c r="D2310" s="45">
        <v>22021003566</v>
      </c>
      <c r="E2310" s="46" t="s">
        <v>2147</v>
      </c>
      <c r="F2310" s="48">
        <v>31744.07</v>
      </c>
      <c r="G2310" s="54" t="s">
        <v>37</v>
      </c>
      <c r="H2310" s="54" t="s">
        <v>3791</v>
      </c>
      <c r="I2310" s="53" t="s">
        <v>125</v>
      </c>
      <c r="J2310" s="54" t="s">
        <v>126</v>
      </c>
      <c r="K2310" s="54" t="s">
        <v>126</v>
      </c>
      <c r="L2310" s="54" t="s">
        <v>12</v>
      </c>
      <c r="M2310" s="54" t="s">
        <v>13</v>
      </c>
      <c r="N2310" s="54" t="s">
        <v>14</v>
      </c>
      <c r="O2310" s="49" t="s">
        <v>803</v>
      </c>
      <c r="P2310" s="54" t="s">
        <v>3392</v>
      </c>
      <c r="Q2310" s="35" t="str">
        <f>MID(Tabla1[[#This Row],[Aplicación]],14,1)</f>
        <v>2</v>
      </c>
      <c r="R2310" s="35" t="s">
        <v>495</v>
      </c>
      <c r="S2310" s="35" t="str">
        <f>MID(Tabla1[[#This Row],[Aplicación]],6,2)</f>
        <v>04</v>
      </c>
      <c r="T2310" s="35" t="str">
        <f>VLOOKUP(Tabla1[[#This Row],[AREA]],Hoja1!A:B,2,FALSE)</f>
        <v>04. Planificación y recursos</v>
      </c>
      <c r="U2310" s="35" t="str">
        <f>MID(Tabla1[[#This Row],[Aplicación]],9,4)</f>
        <v>9204</v>
      </c>
      <c r="V2310" s="35" t="str">
        <f>VLOOKUP(Tabla1[[#This Row],[PROGRAMA]],Hoja1!A:B,2,FALSE)</f>
        <v>9204. Tecnologías de la información y comunicación</v>
      </c>
      <c r="W2310" s="35" t="str">
        <f>MID(Tabla1[[#This Row],[Aplicación]],14,2)</f>
        <v>22</v>
      </c>
      <c r="X2310" s="35" t="str">
        <f>MID(Tabla1[[#This Row],[Aplicación]],14,6)</f>
        <v>22200</v>
      </c>
    </row>
    <row r="2311" spans="1:24" x14ac:dyDescent="0.25">
      <c r="A2311" s="45">
        <v>220210024694</v>
      </c>
      <c r="B2311" s="46" t="s">
        <v>9</v>
      </c>
      <c r="C2311" s="47">
        <v>44340</v>
      </c>
      <c r="D2311" s="45">
        <v>22021003561</v>
      </c>
      <c r="E2311" s="46" t="s">
        <v>2613</v>
      </c>
      <c r="F2311" s="48">
        <v>1455.99</v>
      </c>
      <c r="G2311" s="54" t="s">
        <v>37</v>
      </c>
      <c r="H2311" s="54" t="s">
        <v>3792</v>
      </c>
      <c r="I2311" s="53" t="s">
        <v>125</v>
      </c>
      <c r="J2311" s="54" t="s">
        <v>126</v>
      </c>
      <c r="K2311" s="54" t="s">
        <v>126</v>
      </c>
      <c r="L2311" s="54" t="s">
        <v>12</v>
      </c>
      <c r="M2311" s="54" t="s">
        <v>13</v>
      </c>
      <c r="N2311" s="54" t="s">
        <v>11</v>
      </c>
      <c r="O2311" s="49" t="s">
        <v>803</v>
      </c>
      <c r="P2311" s="54" t="s">
        <v>3392</v>
      </c>
      <c r="Q2311" s="35" t="str">
        <f>MID(Tabla1[[#This Row],[Aplicación]],14,1)</f>
        <v>2</v>
      </c>
      <c r="R2311" s="35" t="s">
        <v>495</v>
      </c>
      <c r="S2311" s="35" t="str">
        <f>MID(Tabla1[[#This Row],[Aplicación]],6,2)</f>
        <v>09</v>
      </c>
      <c r="T2311" s="35" t="str">
        <f>VLOOKUP(Tabla1[[#This Row],[AREA]],Hoja1!A:B,2,FALSE)</f>
        <v>09. Cultura y turismo</v>
      </c>
      <c r="U2311" s="35" t="str">
        <f>MID(Tabla1[[#This Row],[Aplicación]],9,4)</f>
        <v>3341</v>
      </c>
      <c r="V2311" s="35" t="str">
        <f>VLOOKUP(Tabla1[[#This Row],[PROGRAMA]],Hoja1!A:B,2,FALSE)</f>
        <v>3341. Coordinación de políticas culturales</v>
      </c>
      <c r="W2311" s="35" t="str">
        <f>MID(Tabla1[[#This Row],[Aplicación]],14,2)</f>
        <v>22</v>
      </c>
      <c r="X2311" s="35" t="str">
        <f>MID(Tabla1[[#This Row],[Aplicación]],14,6)</f>
        <v>22200</v>
      </c>
    </row>
    <row r="2312" spans="1:24" x14ac:dyDescent="0.25">
      <c r="A2312" s="45">
        <v>220210024701</v>
      </c>
      <c r="B2312" s="46" t="s">
        <v>9</v>
      </c>
      <c r="C2312" s="47">
        <v>44340</v>
      </c>
      <c r="D2312" s="45">
        <v>22021003610</v>
      </c>
      <c r="E2312" s="46" t="s">
        <v>2485</v>
      </c>
      <c r="F2312" s="48">
        <v>1245.9000000000001</v>
      </c>
      <c r="G2312" s="54" t="s">
        <v>37</v>
      </c>
      <c r="H2312" s="54" t="s">
        <v>3793</v>
      </c>
      <c r="I2312" s="53" t="s">
        <v>125</v>
      </c>
      <c r="J2312" s="54" t="s">
        <v>126</v>
      </c>
      <c r="K2312" s="54" t="s">
        <v>126</v>
      </c>
      <c r="L2312" s="54" t="s">
        <v>12</v>
      </c>
      <c r="M2312" s="54" t="s">
        <v>13</v>
      </c>
      <c r="N2312" s="54" t="s">
        <v>14</v>
      </c>
      <c r="O2312" s="49" t="s">
        <v>803</v>
      </c>
      <c r="P2312" s="54" t="s">
        <v>3392</v>
      </c>
      <c r="Q2312" s="35" t="str">
        <f>MID(Tabla1[[#This Row],[Aplicación]],14,1)</f>
        <v>2</v>
      </c>
      <c r="R2312" s="35" t="s">
        <v>495</v>
      </c>
      <c r="S2312" s="35" t="str">
        <f>MID(Tabla1[[#This Row],[Aplicación]],6,2)</f>
        <v>11</v>
      </c>
      <c r="T2312" s="35" t="str">
        <f>VLOOKUP(Tabla1[[#This Row],[AREA]],Hoja1!A:B,2,FALSE)</f>
        <v>11. Salud pública y seguridad ciudadana</v>
      </c>
      <c r="U2312" s="35" t="str">
        <f>MID(Tabla1[[#This Row],[Aplicación]],9,4)</f>
        <v>1321</v>
      </c>
      <c r="V2312" s="35" t="str">
        <f>VLOOKUP(Tabla1[[#This Row],[PROGRAMA]],Hoja1!A:B,2,FALSE)</f>
        <v>1321. Policía municipal</v>
      </c>
      <c r="W2312" s="35" t="str">
        <f>MID(Tabla1[[#This Row],[Aplicación]],14,2)</f>
        <v>22</v>
      </c>
      <c r="X2312" s="35" t="str">
        <f>MID(Tabla1[[#This Row],[Aplicación]],14,6)</f>
        <v>22200</v>
      </c>
    </row>
    <row r="2313" spans="1:24" x14ac:dyDescent="0.25">
      <c r="A2313" s="45">
        <v>220210026138</v>
      </c>
      <c r="B2313" s="46" t="s">
        <v>204</v>
      </c>
      <c r="C2313" s="47">
        <v>44347</v>
      </c>
      <c r="D2313" s="45">
        <v>22020005366</v>
      </c>
      <c r="E2313" s="46" t="s">
        <v>3348</v>
      </c>
      <c r="F2313" s="48">
        <v>88237.34</v>
      </c>
      <c r="G2313" s="54" t="s">
        <v>528</v>
      </c>
      <c r="H2313" s="54" t="s">
        <v>3794</v>
      </c>
      <c r="I2313" s="53" t="s">
        <v>205</v>
      </c>
      <c r="J2313" s="54" t="s">
        <v>127</v>
      </c>
      <c r="K2313" s="54" t="s">
        <v>127</v>
      </c>
      <c r="L2313" s="54" t="s">
        <v>15</v>
      </c>
      <c r="M2313" s="54" t="s">
        <v>13</v>
      </c>
      <c r="N2313" s="54" t="s">
        <v>14</v>
      </c>
      <c r="O2313" s="49" t="s">
        <v>803</v>
      </c>
      <c r="P2313" s="54" t="s">
        <v>3392</v>
      </c>
      <c r="Q2313" s="35" t="str">
        <f>MID(Tabla1[[#This Row],[Aplicación]],14,1)</f>
        <v>6</v>
      </c>
      <c r="R2313" s="35" t="s">
        <v>496</v>
      </c>
      <c r="S2313" s="35" t="str">
        <f>MID(Tabla1[[#This Row],[Aplicación]],6,2)</f>
        <v>11</v>
      </c>
      <c r="T2313" s="35" t="str">
        <f>VLOOKUP(Tabla1[[#This Row],[AREA]],Hoja1!A:B,2,FALSE)</f>
        <v>11. Salud pública y seguridad ciudadana</v>
      </c>
      <c r="U2313" s="35" t="str">
        <f>MID(Tabla1[[#This Row],[Aplicación]],9,4)</f>
        <v>1621</v>
      </c>
      <c r="V2313" s="35" t="str">
        <f>VLOOKUP(Tabla1[[#This Row],[PROGRAMA]],Hoja1!A:B,2,FALSE)</f>
        <v>1621. Servicio de limpieza</v>
      </c>
      <c r="W2313" s="35" t="str">
        <f>MID(Tabla1[[#This Row],[Aplicación]],14,2)</f>
        <v>62</v>
      </c>
      <c r="X2313" s="35" t="str">
        <f>MID(Tabla1[[#This Row],[Aplicación]],14,6)</f>
        <v>624</v>
      </c>
    </row>
    <row r="2314" spans="1:24" x14ac:dyDescent="0.25">
      <c r="A2314" s="45">
        <v>220210021006</v>
      </c>
      <c r="B2314" s="46" t="s">
        <v>204</v>
      </c>
      <c r="C2314" s="47">
        <v>44323</v>
      </c>
      <c r="D2314" s="45">
        <v>22020005803</v>
      </c>
      <c r="E2314" s="46" t="s">
        <v>3349</v>
      </c>
      <c r="F2314" s="48">
        <v>64411.8</v>
      </c>
      <c r="G2314" s="54" t="s">
        <v>528</v>
      </c>
      <c r="H2314" s="54" t="s">
        <v>3795</v>
      </c>
      <c r="I2314" s="53" t="s">
        <v>205</v>
      </c>
      <c r="J2314" s="54" t="s">
        <v>127</v>
      </c>
      <c r="K2314" s="54" t="s">
        <v>127</v>
      </c>
      <c r="L2314" s="54" t="s">
        <v>15</v>
      </c>
      <c r="M2314" s="54" t="s">
        <v>13</v>
      </c>
      <c r="N2314" s="54" t="s">
        <v>14</v>
      </c>
      <c r="O2314" s="49" t="s">
        <v>803</v>
      </c>
      <c r="P2314" s="54" t="s">
        <v>3392</v>
      </c>
      <c r="Q2314" s="35" t="str">
        <f>MID(Tabla1[[#This Row],[Aplicación]],14,1)</f>
        <v>6</v>
      </c>
      <c r="R2314" s="35" t="s">
        <v>496</v>
      </c>
      <c r="S2314" s="35" t="str">
        <f>MID(Tabla1[[#This Row],[Aplicación]],6,2)</f>
        <v>11</v>
      </c>
      <c r="T2314" s="35" t="str">
        <f>VLOOKUP(Tabla1[[#This Row],[AREA]],Hoja1!A:B,2,FALSE)</f>
        <v>11. Salud pública y seguridad ciudadana</v>
      </c>
      <c r="U2314" s="35" t="str">
        <f>MID(Tabla1[[#This Row],[Aplicación]],9,4)</f>
        <v>1321</v>
      </c>
      <c r="V2314" s="35" t="str">
        <f>VLOOKUP(Tabla1[[#This Row],[PROGRAMA]],Hoja1!A:B,2,FALSE)</f>
        <v>1321. Policía municipal</v>
      </c>
      <c r="W2314" s="35" t="str">
        <f>MID(Tabla1[[#This Row],[Aplicación]],14,2)</f>
        <v>62</v>
      </c>
      <c r="X2314" s="35" t="str">
        <f>MID(Tabla1[[#This Row],[Aplicación]],14,6)</f>
        <v>624</v>
      </c>
    </row>
    <row r="2315" spans="1:24" x14ac:dyDescent="0.25">
      <c r="A2315" s="45">
        <v>220210033082</v>
      </c>
      <c r="B2315" s="46" t="s">
        <v>9</v>
      </c>
      <c r="C2315" s="47">
        <v>44376</v>
      </c>
      <c r="D2315" s="45">
        <v>22021003589</v>
      </c>
      <c r="E2315" s="46" t="s">
        <v>3220</v>
      </c>
      <c r="F2315" s="48">
        <v>67578.5</v>
      </c>
      <c r="G2315" s="54" t="s">
        <v>3796</v>
      </c>
      <c r="H2315" s="54" t="s">
        <v>3797</v>
      </c>
      <c r="I2315" s="53" t="s">
        <v>125</v>
      </c>
      <c r="J2315" s="54" t="s">
        <v>126</v>
      </c>
      <c r="K2315" s="54" t="s">
        <v>126</v>
      </c>
      <c r="L2315" s="54" t="s">
        <v>15</v>
      </c>
      <c r="M2315" s="54" t="s">
        <v>13</v>
      </c>
      <c r="N2315" s="54" t="s">
        <v>14</v>
      </c>
      <c r="O2315" s="49" t="s">
        <v>803</v>
      </c>
      <c r="P2315" s="54" t="s">
        <v>3392</v>
      </c>
      <c r="Q2315" s="35" t="str">
        <f>MID(Tabla1[[#This Row],[Aplicación]],14,1)</f>
        <v>6</v>
      </c>
      <c r="R2315" s="35" t="s">
        <v>496</v>
      </c>
      <c r="S2315" s="35" t="str">
        <f>MID(Tabla1[[#This Row],[Aplicación]],6,2)</f>
        <v>08</v>
      </c>
      <c r="T2315" s="35" t="str">
        <f>VLOOKUP(Tabla1[[#This Row],[AREA]],Hoja1!A:B,2,FALSE)</f>
        <v>08. Movilidad y espacio urbano</v>
      </c>
      <c r="U2315" s="35" t="str">
        <f>MID(Tabla1[[#This Row],[Aplicación]],9,4)</f>
        <v>1532</v>
      </c>
      <c r="V2315" s="35" t="str">
        <f>VLOOKUP(Tabla1[[#This Row],[PROGRAMA]],Hoja1!A:B,2,FALSE)</f>
        <v>1532. Pavimentación vias públicas y otros servicios urbanísticos</v>
      </c>
      <c r="W2315" s="35" t="str">
        <f>MID(Tabla1[[#This Row],[Aplicación]],14,2)</f>
        <v>62</v>
      </c>
      <c r="X2315" s="35" t="str">
        <f>MID(Tabla1[[#This Row],[Aplicación]],14,6)</f>
        <v>624</v>
      </c>
    </row>
    <row r="2316" spans="1:24" x14ac:dyDescent="0.25">
      <c r="A2316" s="45">
        <v>220210018775</v>
      </c>
      <c r="B2316" s="46" t="s">
        <v>9</v>
      </c>
      <c r="C2316" s="47">
        <v>44313</v>
      </c>
      <c r="D2316" s="45">
        <v>22021004166</v>
      </c>
      <c r="E2316" s="46" t="s">
        <v>842</v>
      </c>
      <c r="F2316" s="48">
        <v>2958.45</v>
      </c>
      <c r="G2316" s="54" t="s">
        <v>553</v>
      </c>
      <c r="H2316" s="54" t="s">
        <v>3798</v>
      </c>
      <c r="I2316" s="53" t="s">
        <v>125</v>
      </c>
      <c r="J2316" s="54" t="s">
        <v>127</v>
      </c>
      <c r="K2316" s="54" t="s">
        <v>127</v>
      </c>
      <c r="L2316" s="54" t="s">
        <v>12</v>
      </c>
      <c r="M2316" s="54" t="s">
        <v>10</v>
      </c>
      <c r="N2316" s="54" t="s">
        <v>11</v>
      </c>
      <c r="O2316" s="49" t="s">
        <v>815</v>
      </c>
      <c r="P2316" s="54" t="s">
        <v>3392</v>
      </c>
      <c r="Q2316" s="35" t="str">
        <f>MID(Tabla1[[#This Row],[Aplicación]],14,1)</f>
        <v>2</v>
      </c>
      <c r="R2316" s="35" t="s">
        <v>495</v>
      </c>
      <c r="S2316" s="35" t="str">
        <f>MID(Tabla1[[#This Row],[Aplicación]],6,2)</f>
        <v>06</v>
      </c>
      <c r="T2316" s="35" t="str">
        <f>VLOOKUP(Tabla1[[#This Row],[AREA]],Hoja1!A:B,2,FALSE)</f>
        <v>06. Educación, infancia, juventud e igualdad</v>
      </c>
      <c r="U2316" s="35" t="str">
        <f>MID(Tabla1[[#This Row],[Aplicación]],9,4)</f>
        <v>3261</v>
      </c>
      <c r="V2316" s="35" t="str">
        <f>VLOOKUP(Tabla1[[#This Row],[PROGRAMA]],Hoja1!A:B,2,FALSE)</f>
        <v>3261. Servicios complementarios de educación</v>
      </c>
      <c r="W2316" s="35" t="str">
        <f>MID(Tabla1[[#This Row],[Aplicación]],14,2)</f>
        <v>22</v>
      </c>
      <c r="X2316" s="35" t="str">
        <f>MID(Tabla1[[#This Row],[Aplicación]],14,6)</f>
        <v>22799</v>
      </c>
    </row>
    <row r="2317" spans="1:24" x14ac:dyDescent="0.25">
      <c r="A2317" s="45">
        <v>220210022815</v>
      </c>
      <c r="B2317" s="46" t="s">
        <v>9</v>
      </c>
      <c r="C2317" s="47">
        <v>44333</v>
      </c>
      <c r="D2317" s="45">
        <v>22021004381</v>
      </c>
      <c r="E2317" s="46" t="s">
        <v>1267</v>
      </c>
      <c r="F2317" s="48">
        <v>2891.9</v>
      </c>
      <c r="G2317" s="54" t="s">
        <v>1268</v>
      </c>
      <c r="H2317" s="54" t="s">
        <v>3799</v>
      </c>
      <c r="I2317" s="53" t="s">
        <v>125</v>
      </c>
      <c r="J2317" s="54" t="s">
        <v>127</v>
      </c>
      <c r="K2317" s="54" t="s">
        <v>127</v>
      </c>
      <c r="L2317" s="54" t="s">
        <v>15</v>
      </c>
      <c r="M2317" s="54" t="s">
        <v>10</v>
      </c>
      <c r="N2317" s="54" t="s">
        <v>11</v>
      </c>
      <c r="O2317" s="49" t="s">
        <v>815</v>
      </c>
      <c r="P2317" s="54" t="s">
        <v>3392</v>
      </c>
      <c r="Q2317" s="35" t="str">
        <f>MID(Tabla1[[#This Row],[Aplicación]],14,1)</f>
        <v>2</v>
      </c>
      <c r="R2317" s="35" t="s">
        <v>495</v>
      </c>
      <c r="S2317" s="35" t="str">
        <f>MID(Tabla1[[#This Row],[Aplicación]],6,2)</f>
        <v>03</v>
      </c>
      <c r="T2317" s="35" t="str">
        <f>VLOOKUP(Tabla1[[#This Row],[AREA]],Hoja1!A:B,2,FALSE)</f>
        <v>03. Participación ciudadana y deportes</v>
      </c>
      <c r="U2317" s="35" t="str">
        <f>MID(Tabla1[[#This Row],[Aplicación]],9,4)</f>
        <v>9241</v>
      </c>
      <c r="V2317" s="35" t="str">
        <f>VLOOKUP(Tabla1[[#This Row],[PROGRAMA]],Hoja1!A:B,2,FALSE)</f>
        <v>9241. Participación ciudadana</v>
      </c>
      <c r="W2317" s="35" t="str">
        <f>MID(Tabla1[[#This Row],[Aplicación]],14,2)</f>
        <v>22</v>
      </c>
      <c r="X2317" s="35" t="str">
        <f>MID(Tabla1[[#This Row],[Aplicación]],14,6)</f>
        <v>22602</v>
      </c>
    </row>
    <row r="2318" spans="1:24" x14ac:dyDescent="0.25">
      <c r="A2318" s="45">
        <v>220210016073</v>
      </c>
      <c r="B2318" s="46" t="s">
        <v>9</v>
      </c>
      <c r="C2318" s="47">
        <v>44305</v>
      </c>
      <c r="D2318" s="45">
        <v>22021003995</v>
      </c>
      <c r="E2318" s="46" t="s">
        <v>1505</v>
      </c>
      <c r="F2318" s="48">
        <v>2882.83</v>
      </c>
      <c r="G2318" s="54" t="s">
        <v>3800</v>
      </c>
      <c r="H2318" s="54" t="s">
        <v>3801</v>
      </c>
      <c r="I2318" s="53" t="s">
        <v>125</v>
      </c>
      <c r="J2318" s="54" t="s">
        <v>127</v>
      </c>
      <c r="K2318" s="54" t="s">
        <v>127</v>
      </c>
      <c r="L2318" s="54" t="s">
        <v>12</v>
      </c>
      <c r="M2318" s="54" t="s">
        <v>10</v>
      </c>
      <c r="N2318" s="54" t="s">
        <v>11</v>
      </c>
      <c r="O2318" s="49" t="s">
        <v>815</v>
      </c>
      <c r="P2318" s="54" t="s">
        <v>3392</v>
      </c>
      <c r="Q2318" s="35" t="str">
        <f>MID(Tabla1[[#This Row],[Aplicación]],14,1)</f>
        <v>2</v>
      </c>
      <c r="R2318" s="35" t="s">
        <v>495</v>
      </c>
      <c r="S2318" s="35" t="str">
        <f>MID(Tabla1[[#This Row],[Aplicación]],6,2)</f>
        <v>06</v>
      </c>
      <c r="T2318" s="35" t="str">
        <f>VLOOKUP(Tabla1[[#This Row],[AREA]],Hoja1!A:B,2,FALSE)</f>
        <v>06. Educación, infancia, juventud e igualdad</v>
      </c>
      <c r="U2318" s="35" t="str">
        <f>MID(Tabla1[[#This Row],[Aplicación]],9,4)</f>
        <v>3231</v>
      </c>
      <c r="V2318" s="35" t="str">
        <f>VLOOKUP(Tabla1[[#This Row],[PROGRAMA]],Hoja1!A:B,2,FALSE)</f>
        <v>3231. Escuelas infantiles</v>
      </c>
      <c r="W2318" s="35" t="str">
        <f>MID(Tabla1[[#This Row],[Aplicación]],14,2)</f>
        <v>21</v>
      </c>
      <c r="X2318" s="35" t="str">
        <f>MID(Tabla1[[#This Row],[Aplicación]],14,6)</f>
        <v>213</v>
      </c>
    </row>
    <row r="2319" spans="1:24" x14ac:dyDescent="0.25">
      <c r="A2319" s="45">
        <v>220210033123</v>
      </c>
      <c r="B2319" s="46" t="s">
        <v>9</v>
      </c>
      <c r="C2319" s="47">
        <v>44377</v>
      </c>
      <c r="D2319" s="45">
        <v>22021005167</v>
      </c>
      <c r="E2319" s="46" t="s">
        <v>1589</v>
      </c>
      <c r="F2319" s="48">
        <v>2877.28</v>
      </c>
      <c r="G2319" s="54" t="s">
        <v>53</v>
      </c>
      <c r="H2319" s="54" t="s">
        <v>3802</v>
      </c>
      <c r="I2319" s="53" t="s">
        <v>125</v>
      </c>
      <c r="J2319" s="54" t="s">
        <v>127</v>
      </c>
      <c r="K2319" s="54" t="s">
        <v>127</v>
      </c>
      <c r="L2319" s="54" t="s">
        <v>12</v>
      </c>
      <c r="M2319" s="54" t="s">
        <v>10</v>
      </c>
      <c r="N2319" s="54" t="s">
        <v>11</v>
      </c>
      <c r="O2319" s="49" t="s">
        <v>815</v>
      </c>
      <c r="P2319" s="54" t="s">
        <v>3392</v>
      </c>
      <c r="Q2319" s="35" t="str">
        <f>MID(Tabla1[[#This Row],[Aplicación]],14,1)</f>
        <v>2</v>
      </c>
      <c r="R2319" s="35" t="s">
        <v>495</v>
      </c>
      <c r="S2319" s="35" t="str">
        <f>MID(Tabla1[[#This Row],[Aplicación]],6,2)</f>
        <v>08</v>
      </c>
      <c r="T2319" s="35" t="str">
        <f>VLOOKUP(Tabla1[[#This Row],[AREA]],Hoja1!A:B,2,FALSE)</f>
        <v>08. Movilidad y espacio urbano</v>
      </c>
      <c r="U2319" s="35" t="str">
        <f>MID(Tabla1[[#This Row],[Aplicación]],9,4)</f>
        <v>1341</v>
      </c>
      <c r="V2319" s="35" t="str">
        <f>VLOOKUP(Tabla1[[#This Row],[PROGRAMA]],Hoja1!A:B,2,FALSE)</f>
        <v>1341. Movilidad</v>
      </c>
      <c r="W2319" s="35" t="str">
        <f>MID(Tabla1[[#This Row],[Aplicación]],14,2)</f>
        <v>22</v>
      </c>
      <c r="X2319" s="35" t="str">
        <f>MID(Tabla1[[#This Row],[Aplicación]],14,6)</f>
        <v>22799</v>
      </c>
    </row>
    <row r="2320" spans="1:24" x14ac:dyDescent="0.25">
      <c r="A2320" s="45">
        <v>220210028276</v>
      </c>
      <c r="B2320" s="46" t="s">
        <v>9</v>
      </c>
      <c r="C2320" s="47">
        <v>44350</v>
      </c>
      <c r="D2320" s="45">
        <v>22021004668</v>
      </c>
      <c r="E2320" s="46" t="s">
        <v>1478</v>
      </c>
      <c r="F2320" s="48">
        <v>2869.06</v>
      </c>
      <c r="G2320" s="54" t="s">
        <v>575</v>
      </c>
      <c r="H2320" s="54" t="s">
        <v>3803</v>
      </c>
      <c r="I2320" s="53" t="s">
        <v>125</v>
      </c>
      <c r="J2320" s="54" t="s">
        <v>127</v>
      </c>
      <c r="K2320" s="54" t="s">
        <v>127</v>
      </c>
      <c r="L2320" s="54" t="s">
        <v>12</v>
      </c>
      <c r="M2320" s="54" t="s">
        <v>10</v>
      </c>
      <c r="N2320" s="54" t="s">
        <v>11</v>
      </c>
      <c r="O2320" s="49" t="s">
        <v>815</v>
      </c>
      <c r="P2320" s="54" t="s">
        <v>3392</v>
      </c>
      <c r="Q2320" s="35" t="str">
        <f>MID(Tabla1[[#This Row],[Aplicación]],14,1)</f>
        <v>2</v>
      </c>
      <c r="R2320" s="35" t="s">
        <v>495</v>
      </c>
      <c r="S2320" s="35" t="str">
        <f>MID(Tabla1[[#This Row],[Aplicación]],6,2)</f>
        <v>03</v>
      </c>
      <c r="T2320" s="35" t="str">
        <f>VLOOKUP(Tabla1[[#This Row],[AREA]],Hoja1!A:B,2,FALSE)</f>
        <v>03. Participación ciudadana y deportes</v>
      </c>
      <c r="U2320" s="35" t="str">
        <f>MID(Tabla1[[#This Row],[Aplicación]],9,4)</f>
        <v>9241</v>
      </c>
      <c r="V2320" s="35" t="str">
        <f>VLOOKUP(Tabla1[[#This Row],[PROGRAMA]],Hoja1!A:B,2,FALSE)</f>
        <v>9241. Participación ciudadana</v>
      </c>
      <c r="W2320" s="35" t="str">
        <f>MID(Tabla1[[#This Row],[Aplicación]],14,2)</f>
        <v>21</v>
      </c>
      <c r="X2320" s="35" t="str">
        <f>MID(Tabla1[[#This Row],[Aplicación]],14,6)</f>
        <v>212</v>
      </c>
    </row>
    <row r="2321" spans="1:24" x14ac:dyDescent="0.25">
      <c r="A2321" s="45">
        <v>220210014261</v>
      </c>
      <c r="B2321" s="46" t="s">
        <v>9</v>
      </c>
      <c r="C2321" s="47">
        <v>44294</v>
      </c>
      <c r="D2321" s="45">
        <v>22021003746</v>
      </c>
      <c r="E2321" s="46" t="s">
        <v>1471</v>
      </c>
      <c r="F2321" s="48">
        <v>2864.12</v>
      </c>
      <c r="G2321" s="54" t="s">
        <v>3804</v>
      </c>
      <c r="H2321" s="54" t="s">
        <v>3805</v>
      </c>
      <c r="I2321" s="53" t="s">
        <v>125</v>
      </c>
      <c r="J2321" s="54" t="s">
        <v>634</v>
      </c>
      <c r="K2321" s="54" t="s">
        <v>127</v>
      </c>
      <c r="L2321" s="54" t="s">
        <v>12</v>
      </c>
      <c r="M2321" s="54" t="s">
        <v>10</v>
      </c>
      <c r="N2321" s="54" t="s">
        <v>16</v>
      </c>
      <c r="O2321" s="49" t="s">
        <v>815</v>
      </c>
      <c r="P2321" s="54" t="s">
        <v>3392</v>
      </c>
      <c r="Q2321" s="35" t="str">
        <f>MID(Tabla1[[#This Row],[Aplicación]],14,1)</f>
        <v>2</v>
      </c>
      <c r="R2321" s="35" t="s">
        <v>495</v>
      </c>
      <c r="S2321" s="35" t="str">
        <f>MID(Tabla1[[#This Row],[Aplicación]],6,2)</f>
        <v>06</v>
      </c>
      <c r="T2321" s="35" t="str">
        <f>VLOOKUP(Tabla1[[#This Row],[AREA]],Hoja1!A:B,2,FALSE)</f>
        <v>06. Educación, infancia, juventud e igualdad</v>
      </c>
      <c r="U2321" s="35" t="str">
        <f>MID(Tabla1[[#This Row],[Aplicación]],9,4)</f>
        <v>3232</v>
      </c>
      <c r="V2321" s="35" t="str">
        <f>VLOOKUP(Tabla1[[#This Row],[PROGRAMA]],Hoja1!A:B,2,FALSE)</f>
        <v>3232. Conservación y mantenimiento centros educación infantil y primaria</v>
      </c>
      <c r="W2321" s="35" t="str">
        <f>MID(Tabla1[[#This Row],[Aplicación]],14,2)</f>
        <v>21</v>
      </c>
      <c r="X2321" s="35" t="str">
        <f>MID(Tabla1[[#This Row],[Aplicación]],14,6)</f>
        <v>212</v>
      </c>
    </row>
    <row r="2322" spans="1:24" x14ac:dyDescent="0.25">
      <c r="A2322" s="45">
        <v>220210020614</v>
      </c>
      <c r="B2322" s="46" t="s">
        <v>9</v>
      </c>
      <c r="C2322" s="47">
        <v>44322</v>
      </c>
      <c r="D2322" s="45">
        <v>22021004133</v>
      </c>
      <c r="E2322" s="46" t="s">
        <v>3316</v>
      </c>
      <c r="F2322" s="48">
        <v>6500</v>
      </c>
      <c r="G2322" s="54" t="s">
        <v>3485</v>
      </c>
      <c r="H2322" s="54" t="s">
        <v>3806</v>
      </c>
      <c r="I2322" s="53" t="s">
        <v>125</v>
      </c>
      <c r="J2322" s="54" t="s">
        <v>126</v>
      </c>
      <c r="K2322" s="54" t="s">
        <v>126</v>
      </c>
      <c r="L2322" s="54" t="s">
        <v>12</v>
      </c>
      <c r="M2322" s="54" t="s">
        <v>13</v>
      </c>
      <c r="N2322" s="54" t="s">
        <v>14</v>
      </c>
      <c r="O2322" s="49" t="s">
        <v>803</v>
      </c>
      <c r="P2322" s="54" t="s">
        <v>3392</v>
      </c>
      <c r="Q2322" s="35" t="str">
        <f>MID(Tabla1[[#This Row],[Aplicación]],14,1)</f>
        <v>2</v>
      </c>
      <c r="R2322" s="35" t="s">
        <v>495</v>
      </c>
      <c r="S2322" s="35" t="str">
        <f>MID(Tabla1[[#This Row],[Aplicación]],6,2)</f>
        <v>02</v>
      </c>
      <c r="T2322" s="35" t="str">
        <f>VLOOKUP(Tabla1[[#This Row],[AREA]],Hoja1!A:B,2,FALSE)</f>
        <v>02. Planeamiento urbanístico y vivienda</v>
      </c>
      <c r="U2322" s="35" t="str">
        <f>MID(Tabla1[[#This Row],[Aplicación]],9,4)</f>
        <v>1501</v>
      </c>
      <c r="V2322" s="35" t="str">
        <f>VLOOKUP(Tabla1[[#This Row],[PROGRAMA]],Hoja1!A:B,2,FALSE)</f>
        <v>1501. Dirección del área de urbanismo</v>
      </c>
      <c r="W2322" s="35" t="str">
        <f>MID(Tabla1[[#This Row],[Aplicación]],14,2)</f>
        <v>22</v>
      </c>
      <c r="X2322" s="35" t="str">
        <f>MID(Tabla1[[#This Row],[Aplicación]],14,6)</f>
        <v>224</v>
      </c>
    </row>
    <row r="2323" spans="1:24" x14ac:dyDescent="0.25">
      <c r="A2323" s="45">
        <v>220210016744</v>
      </c>
      <c r="B2323" s="46" t="s">
        <v>204</v>
      </c>
      <c r="C2323" s="47">
        <v>44307</v>
      </c>
      <c r="D2323" s="45">
        <v>22020005626</v>
      </c>
      <c r="E2323" s="46" t="s">
        <v>3350</v>
      </c>
      <c r="F2323" s="48">
        <v>61575</v>
      </c>
      <c r="G2323" s="54" t="s">
        <v>3807</v>
      </c>
      <c r="H2323" s="54" t="s">
        <v>3808</v>
      </c>
      <c r="I2323" s="53" t="s">
        <v>205</v>
      </c>
      <c r="J2323" s="54" t="s">
        <v>146</v>
      </c>
      <c r="K2323" s="54" t="s">
        <v>146</v>
      </c>
      <c r="L2323" s="54" t="s">
        <v>15</v>
      </c>
      <c r="M2323" s="54" t="s">
        <v>13</v>
      </c>
      <c r="N2323" s="54" t="s">
        <v>14</v>
      </c>
      <c r="O2323" s="49" t="s">
        <v>803</v>
      </c>
      <c r="P2323" s="54" t="s">
        <v>3392</v>
      </c>
      <c r="Q2323" s="35" t="str">
        <f>MID(Tabla1[[#This Row],[Aplicación]],14,1)</f>
        <v>6</v>
      </c>
      <c r="R2323" s="35" t="s">
        <v>496</v>
      </c>
      <c r="S2323" s="35" t="str">
        <f>MID(Tabla1[[#This Row],[Aplicación]],6,2)</f>
        <v>11</v>
      </c>
      <c r="T2323" s="35" t="str">
        <f>VLOOKUP(Tabla1[[#This Row],[AREA]],Hoja1!A:B,2,FALSE)</f>
        <v>11. Salud pública y seguridad ciudadana</v>
      </c>
      <c r="U2323" s="35" t="str">
        <f>MID(Tabla1[[#This Row],[Aplicación]],9,4)</f>
        <v>1361</v>
      </c>
      <c r="V2323" s="35" t="str">
        <f>VLOOKUP(Tabla1[[#This Row],[PROGRAMA]],Hoja1!A:B,2,FALSE)</f>
        <v>1361. Prevención y extinción de incencios</v>
      </c>
      <c r="W2323" s="35" t="str">
        <f>MID(Tabla1[[#This Row],[Aplicación]],14,2)</f>
        <v>62</v>
      </c>
      <c r="X2323" s="35" t="str">
        <f>MID(Tabla1[[#This Row],[Aplicación]],14,6)</f>
        <v>624</v>
      </c>
    </row>
    <row r="2324" spans="1:24" x14ac:dyDescent="0.25">
      <c r="A2324" s="45">
        <v>220210033086</v>
      </c>
      <c r="B2324" s="46" t="s">
        <v>204</v>
      </c>
      <c r="C2324" s="47">
        <v>44376</v>
      </c>
      <c r="D2324" s="45">
        <v>22021002765</v>
      </c>
      <c r="E2324" s="46" t="s">
        <v>1487</v>
      </c>
      <c r="F2324" s="48">
        <v>178798.64</v>
      </c>
      <c r="G2324" s="54" t="s">
        <v>308</v>
      </c>
      <c r="H2324" s="54" t="s">
        <v>3809</v>
      </c>
      <c r="I2324" s="53" t="s">
        <v>205</v>
      </c>
      <c r="J2324" s="54" t="s">
        <v>127</v>
      </c>
      <c r="K2324" s="54" t="s">
        <v>127</v>
      </c>
      <c r="L2324" s="54" t="s">
        <v>31</v>
      </c>
      <c r="M2324" s="54" t="s">
        <v>13</v>
      </c>
      <c r="N2324" s="54" t="s">
        <v>14</v>
      </c>
      <c r="O2324" s="49" t="s">
        <v>803</v>
      </c>
      <c r="P2324" s="54" t="s">
        <v>3392</v>
      </c>
      <c r="Q2324" s="35" t="str">
        <f>MID(Tabla1[[#This Row],[Aplicación]],14,1)</f>
        <v>6</v>
      </c>
      <c r="R2324" s="35" t="s">
        <v>496</v>
      </c>
      <c r="S2324" s="35" t="str">
        <f>MID(Tabla1[[#This Row],[Aplicación]],6,2)</f>
        <v>08</v>
      </c>
      <c r="T2324" s="35" t="str">
        <f>VLOOKUP(Tabla1[[#This Row],[AREA]],Hoja1!A:B,2,FALSE)</f>
        <v>08. Movilidad y espacio urbano</v>
      </c>
      <c r="U2324" s="35" t="str">
        <f>MID(Tabla1[[#This Row],[Aplicación]],9,4)</f>
        <v>1532</v>
      </c>
      <c r="V2324" s="35" t="str">
        <f>VLOOKUP(Tabla1[[#This Row],[PROGRAMA]],Hoja1!A:B,2,FALSE)</f>
        <v>1532. Pavimentación vias públicas y otros servicios urbanísticos</v>
      </c>
      <c r="W2324" s="35" t="str">
        <f>MID(Tabla1[[#This Row],[Aplicación]],14,2)</f>
        <v>61</v>
      </c>
      <c r="X2324" s="35" t="str">
        <f>MID(Tabla1[[#This Row],[Aplicación]],14,6)</f>
        <v>619</v>
      </c>
    </row>
    <row r="2325" spans="1:24" x14ac:dyDescent="0.25">
      <c r="A2325" s="45">
        <v>220210015305</v>
      </c>
      <c r="B2325" s="46" t="s">
        <v>9</v>
      </c>
      <c r="C2325" s="47">
        <v>44300</v>
      </c>
      <c r="D2325" s="45">
        <v>22021003856</v>
      </c>
      <c r="E2325" s="46" t="s">
        <v>1660</v>
      </c>
      <c r="F2325" s="48">
        <v>2700</v>
      </c>
      <c r="G2325" s="54" t="s">
        <v>2968</v>
      </c>
      <c r="H2325" s="54" t="s">
        <v>3810</v>
      </c>
      <c r="I2325" s="53" t="s">
        <v>125</v>
      </c>
      <c r="J2325" s="54" t="s">
        <v>157</v>
      </c>
      <c r="K2325" s="54" t="s">
        <v>157</v>
      </c>
      <c r="L2325" s="54" t="s">
        <v>12</v>
      </c>
      <c r="M2325" s="54" t="s">
        <v>10</v>
      </c>
      <c r="N2325" s="54" t="s">
        <v>11</v>
      </c>
      <c r="O2325" s="49" t="s">
        <v>815</v>
      </c>
      <c r="P2325" s="54" t="s">
        <v>3392</v>
      </c>
      <c r="Q2325" s="35" t="str">
        <f>MID(Tabla1[[#This Row],[Aplicación]],14,1)</f>
        <v>2</v>
      </c>
      <c r="R2325" s="35" t="s">
        <v>495</v>
      </c>
      <c r="S2325" s="35" t="str">
        <f>MID(Tabla1[[#This Row],[Aplicación]],6,2)</f>
        <v>04</v>
      </c>
      <c r="T2325" s="35" t="str">
        <f>VLOOKUP(Tabla1[[#This Row],[AREA]],Hoja1!A:B,2,FALSE)</f>
        <v>04. Planificación y recursos</v>
      </c>
      <c r="U2325" s="35" t="str">
        <f>MID(Tabla1[[#This Row],[Aplicación]],9,4)</f>
        <v>9202</v>
      </c>
      <c r="V2325" s="35" t="str">
        <f>VLOOKUP(Tabla1[[#This Row],[PROGRAMA]],Hoja1!A:B,2,FALSE)</f>
        <v>9202. Gestión de recursos humanos</v>
      </c>
      <c r="W2325" s="35" t="str">
        <f>MID(Tabla1[[#This Row],[Aplicación]],14,2)</f>
        <v>22</v>
      </c>
      <c r="X2325" s="35" t="str">
        <f>MID(Tabla1[[#This Row],[Aplicación]],14,6)</f>
        <v>22607</v>
      </c>
    </row>
    <row r="2326" spans="1:24" x14ac:dyDescent="0.25">
      <c r="A2326" s="45">
        <v>220210020447</v>
      </c>
      <c r="B2326" s="46" t="s">
        <v>9</v>
      </c>
      <c r="C2326" s="47">
        <v>44322</v>
      </c>
      <c r="D2326" s="45">
        <v>22021004280</v>
      </c>
      <c r="E2326" s="46" t="s">
        <v>3351</v>
      </c>
      <c r="F2326" s="48">
        <v>2699.92</v>
      </c>
      <c r="G2326" s="54" t="s">
        <v>3811</v>
      </c>
      <c r="H2326" s="54" t="s">
        <v>3812</v>
      </c>
      <c r="I2326" s="53" t="s">
        <v>125</v>
      </c>
      <c r="J2326" s="54" t="s">
        <v>127</v>
      </c>
      <c r="K2326" s="54" t="s">
        <v>127</v>
      </c>
      <c r="L2326" s="54" t="s">
        <v>15</v>
      </c>
      <c r="M2326" s="54" t="s">
        <v>10</v>
      </c>
      <c r="N2326" s="54" t="s">
        <v>11</v>
      </c>
      <c r="O2326" s="49" t="s">
        <v>815</v>
      </c>
      <c r="P2326" s="54" t="s">
        <v>3392</v>
      </c>
      <c r="Q2326" s="35" t="str">
        <f>MID(Tabla1[[#This Row],[Aplicación]],14,1)</f>
        <v>2</v>
      </c>
      <c r="R2326" s="35" t="s">
        <v>495</v>
      </c>
      <c r="S2326" s="35" t="str">
        <f>MID(Tabla1[[#This Row],[Aplicación]],6,2)</f>
        <v>08</v>
      </c>
      <c r="T2326" s="35" t="str">
        <f>VLOOKUP(Tabla1[[#This Row],[AREA]],Hoja1!A:B,2,FALSE)</f>
        <v>08. Movilidad y espacio urbano</v>
      </c>
      <c r="U2326" s="35" t="str">
        <f>MID(Tabla1[[#This Row],[Aplicación]],9,4)</f>
        <v>1651</v>
      </c>
      <c r="V2326" s="35" t="str">
        <f>VLOOKUP(Tabla1[[#This Row],[PROGRAMA]],Hoja1!A:B,2,FALSE)</f>
        <v>1651. Alumbrado público</v>
      </c>
      <c r="W2326" s="35" t="str">
        <f>MID(Tabla1[[#This Row],[Aplicación]],14,2)</f>
        <v>20</v>
      </c>
      <c r="X2326" s="35" t="str">
        <f>MID(Tabla1[[#This Row],[Aplicación]],14,6)</f>
        <v>204</v>
      </c>
    </row>
    <row r="2327" spans="1:24" x14ac:dyDescent="0.25">
      <c r="A2327" s="45">
        <v>220210029575</v>
      </c>
      <c r="B2327" s="46" t="s">
        <v>9</v>
      </c>
      <c r="C2327" s="47">
        <v>44355</v>
      </c>
      <c r="D2327" s="45">
        <v>22021004746</v>
      </c>
      <c r="E2327" s="46" t="s">
        <v>1172</v>
      </c>
      <c r="F2327" s="48">
        <v>2692.25</v>
      </c>
      <c r="G2327" s="54" t="s">
        <v>66</v>
      </c>
      <c r="H2327" s="54" t="s">
        <v>3813</v>
      </c>
      <c r="I2327" s="53" t="s">
        <v>125</v>
      </c>
      <c r="J2327" s="54" t="s">
        <v>127</v>
      </c>
      <c r="K2327" s="54" t="s">
        <v>127</v>
      </c>
      <c r="L2327" s="54" t="s">
        <v>15</v>
      </c>
      <c r="M2327" s="54" t="s">
        <v>10</v>
      </c>
      <c r="N2327" s="54" t="s">
        <v>14</v>
      </c>
      <c r="O2327" s="49" t="s">
        <v>815</v>
      </c>
      <c r="P2327" s="54" t="s">
        <v>3392</v>
      </c>
      <c r="Q2327" s="35" t="str">
        <f>MID(Tabla1[[#This Row],[Aplicación]],14,1)</f>
        <v>6</v>
      </c>
      <c r="R2327" s="35" t="s">
        <v>496</v>
      </c>
      <c r="S2327" s="35" t="str">
        <f>MID(Tabla1[[#This Row],[Aplicación]],6,2)</f>
        <v>02</v>
      </c>
      <c r="T2327" s="35" t="str">
        <f>VLOOKUP(Tabla1[[#This Row],[AREA]],Hoja1!A:B,2,FALSE)</f>
        <v>02. Planeamiento urbanístico y vivienda</v>
      </c>
      <c r="U2327" s="35" t="str">
        <f>MID(Tabla1[[#This Row],[Aplicación]],9,4)</f>
        <v>9332</v>
      </c>
      <c r="V2327" s="35" t="str">
        <f>VLOOKUP(Tabla1[[#This Row],[PROGRAMA]],Hoja1!A:B,2,FALSE)</f>
        <v>9332. Mantenimiento de edificios e instalaciones municipales</v>
      </c>
      <c r="W2327" s="35" t="str">
        <f>MID(Tabla1[[#This Row],[Aplicación]],14,2)</f>
        <v>63</v>
      </c>
      <c r="X2327" s="35" t="str">
        <f>MID(Tabla1[[#This Row],[Aplicación]],14,6)</f>
        <v>632</v>
      </c>
    </row>
    <row r="2328" spans="1:24" x14ac:dyDescent="0.25">
      <c r="A2328" s="45">
        <v>220210031415</v>
      </c>
      <c r="B2328" s="46" t="s">
        <v>32</v>
      </c>
      <c r="C2328" s="47">
        <v>44365</v>
      </c>
      <c r="D2328" s="45">
        <v>22021004931</v>
      </c>
      <c r="E2328" s="46" t="s">
        <v>1660</v>
      </c>
      <c r="F2328" s="48">
        <v>2685.3</v>
      </c>
      <c r="G2328" s="54" t="s">
        <v>2330</v>
      </c>
      <c r="H2328" s="54" t="s">
        <v>3814</v>
      </c>
      <c r="I2328" s="53" t="s">
        <v>234</v>
      </c>
      <c r="J2328" s="54" t="s">
        <v>127</v>
      </c>
      <c r="K2328" s="54" t="s">
        <v>127</v>
      </c>
      <c r="L2328" s="54" t="s">
        <v>12</v>
      </c>
      <c r="M2328" s="54" t="s">
        <v>10</v>
      </c>
      <c r="N2328" s="54" t="s">
        <v>11</v>
      </c>
      <c r="O2328" s="49" t="s">
        <v>815</v>
      </c>
      <c r="P2328" s="54" t="s">
        <v>3392</v>
      </c>
      <c r="Q2328" s="35" t="str">
        <f>MID(Tabla1[[#This Row],[Aplicación]],14,1)</f>
        <v>2</v>
      </c>
      <c r="R2328" s="35" t="s">
        <v>495</v>
      </c>
      <c r="S2328" s="35" t="str">
        <f>MID(Tabla1[[#This Row],[Aplicación]],6,2)</f>
        <v>04</v>
      </c>
      <c r="T2328" s="35" t="str">
        <f>VLOOKUP(Tabla1[[#This Row],[AREA]],Hoja1!A:B,2,FALSE)</f>
        <v>04. Planificación y recursos</v>
      </c>
      <c r="U2328" s="35" t="str">
        <f>MID(Tabla1[[#This Row],[Aplicación]],9,4)</f>
        <v>9202</v>
      </c>
      <c r="V2328" s="35" t="str">
        <f>VLOOKUP(Tabla1[[#This Row],[PROGRAMA]],Hoja1!A:B,2,FALSE)</f>
        <v>9202. Gestión de recursos humanos</v>
      </c>
      <c r="W2328" s="35" t="str">
        <f>MID(Tabla1[[#This Row],[Aplicación]],14,2)</f>
        <v>22</v>
      </c>
      <c r="X2328" s="35" t="str">
        <f>MID(Tabla1[[#This Row],[Aplicación]],14,6)</f>
        <v>22607</v>
      </c>
    </row>
    <row r="2329" spans="1:24" x14ac:dyDescent="0.25">
      <c r="A2329" s="45">
        <v>220210021028</v>
      </c>
      <c r="B2329" s="46" t="s">
        <v>9</v>
      </c>
      <c r="C2329" s="47">
        <v>44326</v>
      </c>
      <c r="D2329" s="45">
        <v>22021004337</v>
      </c>
      <c r="E2329" s="46" t="s">
        <v>3352</v>
      </c>
      <c r="F2329" s="48">
        <v>2680.15</v>
      </c>
      <c r="G2329" s="54" t="s">
        <v>3815</v>
      </c>
      <c r="H2329" s="54" t="s">
        <v>3816</v>
      </c>
      <c r="I2329" s="53" t="s">
        <v>125</v>
      </c>
      <c r="J2329" s="54" t="s">
        <v>127</v>
      </c>
      <c r="K2329" s="54" t="s">
        <v>127</v>
      </c>
      <c r="L2329" s="54" t="s">
        <v>31</v>
      </c>
      <c r="M2329" s="54" t="s">
        <v>10</v>
      </c>
      <c r="N2329" s="54" t="s">
        <v>11</v>
      </c>
      <c r="O2329" s="49" t="s">
        <v>815</v>
      </c>
      <c r="P2329" s="54" t="s">
        <v>3392</v>
      </c>
      <c r="Q2329" s="35" t="str">
        <f>MID(Tabla1[[#This Row],[Aplicación]],14,1)</f>
        <v>2</v>
      </c>
      <c r="R2329" s="35" t="s">
        <v>495</v>
      </c>
      <c r="S2329" s="35" t="str">
        <f>MID(Tabla1[[#This Row],[Aplicación]],6,2)</f>
        <v>06</v>
      </c>
      <c r="T2329" s="35" t="str">
        <f>VLOOKUP(Tabla1[[#This Row],[AREA]],Hoja1!A:B,2,FALSE)</f>
        <v>06. Educación, infancia, juventud e igualdad</v>
      </c>
      <c r="U2329" s="35" t="str">
        <f>MID(Tabla1[[#This Row],[Aplicación]],9,4)</f>
        <v>2315</v>
      </c>
      <c r="V2329" s="35" t="str">
        <f>VLOOKUP(Tabla1[[#This Row],[PROGRAMA]],Hoja1!A:B,2,FALSE)</f>
        <v>2315. Políticas de Igualdad e infancia</v>
      </c>
      <c r="W2329" s="35" t="str">
        <f>MID(Tabla1[[#This Row],[Aplicación]],14,2)</f>
        <v>21</v>
      </c>
      <c r="X2329" s="35" t="str">
        <f>MID(Tabla1[[#This Row],[Aplicación]],14,6)</f>
        <v>212</v>
      </c>
    </row>
    <row r="2330" spans="1:24" x14ac:dyDescent="0.25">
      <c r="A2330" s="45">
        <v>220210015510</v>
      </c>
      <c r="B2330" s="46" t="s">
        <v>9</v>
      </c>
      <c r="C2330" s="47">
        <v>44300</v>
      </c>
      <c r="D2330" s="45">
        <v>22021003875</v>
      </c>
      <c r="E2330" s="46" t="s">
        <v>1261</v>
      </c>
      <c r="F2330" s="48">
        <v>2599.08</v>
      </c>
      <c r="G2330" s="54" t="s">
        <v>51</v>
      </c>
      <c r="H2330" s="54" t="s">
        <v>3817</v>
      </c>
      <c r="I2330" s="53" t="s">
        <v>125</v>
      </c>
      <c r="J2330" s="54" t="s">
        <v>127</v>
      </c>
      <c r="K2330" s="54" t="s">
        <v>127</v>
      </c>
      <c r="L2330" s="54" t="s">
        <v>12</v>
      </c>
      <c r="M2330" s="54" t="s">
        <v>10</v>
      </c>
      <c r="N2330" s="54" t="s">
        <v>11</v>
      </c>
      <c r="O2330" s="49" t="s">
        <v>815</v>
      </c>
      <c r="P2330" s="54" t="s">
        <v>3392</v>
      </c>
      <c r="Q2330" s="35" t="str">
        <f>MID(Tabla1[[#This Row],[Aplicación]],14,1)</f>
        <v>2</v>
      </c>
      <c r="R2330" s="35" t="s">
        <v>495</v>
      </c>
      <c r="S2330" s="35" t="str">
        <f>MID(Tabla1[[#This Row],[Aplicación]],6,2)</f>
        <v>03</v>
      </c>
      <c r="T2330" s="35" t="str">
        <f>VLOOKUP(Tabla1[[#This Row],[AREA]],Hoja1!A:B,2,FALSE)</f>
        <v>03. Participación ciudadana y deportes</v>
      </c>
      <c r="U2330" s="35" t="str">
        <f>MID(Tabla1[[#This Row],[Aplicación]],9,4)</f>
        <v>9241</v>
      </c>
      <c r="V2330" s="35" t="str">
        <f>VLOOKUP(Tabla1[[#This Row],[PROGRAMA]],Hoja1!A:B,2,FALSE)</f>
        <v>9241. Participación ciudadana</v>
      </c>
      <c r="W2330" s="35" t="str">
        <f>MID(Tabla1[[#This Row],[Aplicación]],14,2)</f>
        <v>22</v>
      </c>
      <c r="X2330" s="35" t="str">
        <f>MID(Tabla1[[#This Row],[Aplicación]],14,6)</f>
        <v>22700</v>
      </c>
    </row>
    <row r="2331" spans="1:24" x14ac:dyDescent="0.25">
      <c r="A2331" s="45">
        <v>220210023546</v>
      </c>
      <c r="B2331" s="46" t="s">
        <v>9</v>
      </c>
      <c r="C2331" s="47">
        <v>44336</v>
      </c>
      <c r="D2331" s="45">
        <v>22021003404</v>
      </c>
      <c r="E2331" s="46" t="s">
        <v>1300</v>
      </c>
      <c r="F2331" s="48">
        <v>95299.58</v>
      </c>
      <c r="G2331" s="54" t="s">
        <v>608</v>
      </c>
      <c r="H2331" s="54" t="s">
        <v>3818</v>
      </c>
      <c r="I2331" s="53" t="s">
        <v>125</v>
      </c>
      <c r="J2331" s="54" t="s">
        <v>146</v>
      </c>
      <c r="K2331" s="54" t="s">
        <v>146</v>
      </c>
      <c r="L2331" s="54" t="s">
        <v>12</v>
      </c>
      <c r="M2331" s="54" t="s">
        <v>13</v>
      </c>
      <c r="N2331" s="54" t="s">
        <v>14</v>
      </c>
      <c r="O2331" s="49" t="s">
        <v>803</v>
      </c>
      <c r="P2331" s="54" t="s">
        <v>3392</v>
      </c>
      <c r="Q2331" s="35" t="str">
        <f>MID(Tabla1[[#This Row],[Aplicación]],14,1)</f>
        <v>2</v>
      </c>
      <c r="R2331" s="35" t="s">
        <v>495</v>
      </c>
      <c r="S2331" s="35" t="str">
        <f>MID(Tabla1[[#This Row],[Aplicación]],6,2)</f>
        <v>04</v>
      </c>
      <c r="T2331" s="35" t="str">
        <f>VLOOKUP(Tabla1[[#This Row],[AREA]],Hoja1!A:B,2,FALSE)</f>
        <v>04. Planificación y recursos</v>
      </c>
      <c r="U2331" s="35" t="str">
        <f>MID(Tabla1[[#This Row],[Aplicación]],9,4)</f>
        <v>9331</v>
      </c>
      <c r="V2331" s="35" t="str">
        <f>VLOOKUP(Tabla1[[#This Row],[PROGRAMA]],Hoja1!A:B,2,FALSE)</f>
        <v>9331. Gestión del patrimonio</v>
      </c>
      <c r="W2331" s="35" t="str">
        <f>MID(Tabla1[[#This Row],[Aplicación]],14,2)</f>
        <v>22</v>
      </c>
      <c r="X2331" s="35" t="str">
        <f>MID(Tabla1[[#This Row],[Aplicación]],14,6)</f>
        <v>224</v>
      </c>
    </row>
    <row r="2332" spans="1:24" x14ac:dyDescent="0.25">
      <c r="A2332" s="45">
        <v>220210022841</v>
      </c>
      <c r="B2332" s="46" t="s">
        <v>9</v>
      </c>
      <c r="C2332" s="47">
        <v>44334</v>
      </c>
      <c r="D2332" s="45">
        <v>22021003953</v>
      </c>
      <c r="E2332" s="46" t="s">
        <v>2382</v>
      </c>
      <c r="F2332" s="48">
        <v>930.73</v>
      </c>
      <c r="G2332" s="54" t="s">
        <v>202</v>
      </c>
      <c r="H2332" s="54" t="s">
        <v>3819</v>
      </c>
      <c r="I2332" s="53" t="s">
        <v>125</v>
      </c>
      <c r="J2332" s="54" t="s">
        <v>203</v>
      </c>
      <c r="K2332" s="54" t="s">
        <v>203</v>
      </c>
      <c r="L2332" s="54" t="s">
        <v>12</v>
      </c>
      <c r="M2332" s="54" t="s">
        <v>13</v>
      </c>
      <c r="N2332" s="54" t="s">
        <v>14</v>
      </c>
      <c r="O2332" s="49" t="s">
        <v>803</v>
      </c>
      <c r="P2332" s="54" t="s">
        <v>3392</v>
      </c>
      <c r="Q2332" s="35" t="str">
        <f>MID(Tabla1[[#This Row],[Aplicación]],14,1)</f>
        <v>2</v>
      </c>
      <c r="R2332" s="35" t="s">
        <v>495</v>
      </c>
      <c r="S2332" s="35" t="str">
        <f>MID(Tabla1[[#This Row],[Aplicación]],6,2)</f>
        <v>04</v>
      </c>
      <c r="T2332" s="35" t="str">
        <f>VLOOKUP(Tabla1[[#This Row],[AREA]],Hoja1!A:B,2,FALSE)</f>
        <v>04. Planificación y recursos</v>
      </c>
      <c r="U2332" s="35" t="str">
        <f>MID(Tabla1[[#This Row],[Aplicación]],9,4)</f>
        <v>9341</v>
      </c>
      <c r="V2332" s="35" t="str">
        <f>VLOOKUP(Tabla1[[#This Row],[PROGRAMA]],Hoja1!A:B,2,FALSE)</f>
        <v>9341. Tesorería y recaudación</v>
      </c>
      <c r="W2332" s="35" t="str">
        <f>MID(Tabla1[[#This Row],[Aplicación]],14,2)</f>
        <v>22</v>
      </c>
      <c r="X2332" s="35" t="str">
        <f>MID(Tabla1[[#This Row],[Aplicación]],14,6)</f>
        <v>22699</v>
      </c>
    </row>
    <row r="2333" spans="1:24" x14ac:dyDescent="0.25">
      <c r="A2333" s="45">
        <v>220210014681</v>
      </c>
      <c r="B2333" s="46" t="s">
        <v>9</v>
      </c>
      <c r="C2333" s="47">
        <v>44298</v>
      </c>
      <c r="D2333" s="45">
        <v>22021003828</v>
      </c>
      <c r="E2333" s="46" t="s">
        <v>950</v>
      </c>
      <c r="F2333" s="48">
        <v>2500</v>
      </c>
      <c r="G2333" s="54" t="s">
        <v>3820</v>
      </c>
      <c r="H2333" s="54" t="s">
        <v>3821</v>
      </c>
      <c r="I2333" s="53" t="s">
        <v>125</v>
      </c>
      <c r="J2333" s="54" t="s">
        <v>127</v>
      </c>
      <c r="K2333" s="54" t="s">
        <v>127</v>
      </c>
      <c r="L2333" s="54" t="s">
        <v>12</v>
      </c>
      <c r="M2333" s="54" t="s">
        <v>10</v>
      </c>
      <c r="N2333" s="54" t="s">
        <v>11</v>
      </c>
      <c r="O2333" s="49" t="s">
        <v>814</v>
      </c>
      <c r="P2333" s="54" t="s">
        <v>3392</v>
      </c>
      <c r="Q2333" s="35" t="str">
        <f>MID(Tabla1[[#This Row],[Aplicación]],14,1)</f>
        <v>2</v>
      </c>
      <c r="R2333" s="35" t="s">
        <v>495</v>
      </c>
      <c r="S2333" s="35" t="str">
        <f>MID(Tabla1[[#This Row],[Aplicación]],6,2)</f>
        <v>11</v>
      </c>
      <c r="T2333" s="35" t="str">
        <f>VLOOKUP(Tabla1[[#This Row],[AREA]],Hoja1!A:B,2,FALSE)</f>
        <v>11. Salud pública y seguridad ciudadana</v>
      </c>
      <c r="U2333" s="35" t="str">
        <f>MID(Tabla1[[#This Row],[Aplicación]],9,4)</f>
        <v>1321</v>
      </c>
      <c r="V2333" s="35" t="str">
        <f>VLOOKUP(Tabla1[[#This Row],[PROGRAMA]],Hoja1!A:B,2,FALSE)</f>
        <v>1321. Policía municipal</v>
      </c>
      <c r="W2333" s="35" t="str">
        <f>MID(Tabla1[[#This Row],[Aplicación]],14,2)</f>
        <v>21</v>
      </c>
      <c r="X2333" s="35" t="str">
        <f>MID(Tabla1[[#This Row],[Aplicación]],14,6)</f>
        <v>213</v>
      </c>
    </row>
    <row r="2334" spans="1:24" x14ac:dyDescent="0.25">
      <c r="A2334" s="45">
        <v>220210018985</v>
      </c>
      <c r="B2334" s="46" t="s">
        <v>9</v>
      </c>
      <c r="C2334" s="47">
        <v>44316</v>
      </c>
      <c r="D2334" s="45">
        <v>22021004186</v>
      </c>
      <c r="E2334" s="46" t="s">
        <v>1201</v>
      </c>
      <c r="F2334" s="48">
        <v>2500</v>
      </c>
      <c r="G2334" s="54" t="s">
        <v>3822</v>
      </c>
      <c r="H2334" s="54" t="s">
        <v>3823</v>
      </c>
      <c r="I2334" s="53" t="s">
        <v>125</v>
      </c>
      <c r="J2334" s="54" t="s">
        <v>126</v>
      </c>
      <c r="K2334" s="54" t="s">
        <v>126</v>
      </c>
      <c r="L2334" s="54" t="s">
        <v>15</v>
      </c>
      <c r="M2334" s="54" t="s">
        <v>10</v>
      </c>
      <c r="N2334" s="54" t="s">
        <v>11</v>
      </c>
      <c r="O2334" s="49" t="s">
        <v>815</v>
      </c>
      <c r="P2334" s="54" t="s">
        <v>3392</v>
      </c>
      <c r="Q2334" s="35" t="str">
        <f>MID(Tabla1[[#This Row],[Aplicación]],14,1)</f>
        <v>2</v>
      </c>
      <c r="R2334" s="35" t="s">
        <v>495</v>
      </c>
      <c r="S2334" s="35" t="str">
        <f>MID(Tabla1[[#This Row],[Aplicación]],6,2)</f>
        <v>11</v>
      </c>
      <c r="T2334" s="35" t="str">
        <f>VLOOKUP(Tabla1[[#This Row],[AREA]],Hoja1!A:B,2,FALSE)</f>
        <v>11. Salud pública y seguridad ciudadana</v>
      </c>
      <c r="U2334" s="35" t="str">
        <f>MID(Tabla1[[#This Row],[Aplicación]],9,4)</f>
        <v>3111</v>
      </c>
      <c r="V2334" s="35" t="str">
        <f>VLOOKUP(Tabla1[[#This Row],[PROGRAMA]],Hoja1!A:B,2,FALSE)</f>
        <v>3111. Protección de la salubridad pública</v>
      </c>
      <c r="W2334" s="35" t="str">
        <f>MID(Tabla1[[#This Row],[Aplicación]],14,2)</f>
        <v>22</v>
      </c>
      <c r="X2334" s="35" t="str">
        <f>MID(Tabla1[[#This Row],[Aplicación]],14,6)</f>
        <v>22106</v>
      </c>
    </row>
    <row r="2335" spans="1:24" x14ac:dyDescent="0.25">
      <c r="A2335" s="45">
        <v>220210014680</v>
      </c>
      <c r="B2335" s="46" t="s">
        <v>9</v>
      </c>
      <c r="C2335" s="47">
        <v>44298</v>
      </c>
      <c r="D2335" s="45">
        <v>22021003820</v>
      </c>
      <c r="E2335" s="46" t="s">
        <v>1279</v>
      </c>
      <c r="F2335" s="48">
        <v>2500</v>
      </c>
      <c r="G2335" s="54" t="s">
        <v>3824</v>
      </c>
      <c r="H2335" s="54" t="s">
        <v>3825</v>
      </c>
      <c r="I2335" s="53" t="s">
        <v>125</v>
      </c>
      <c r="J2335" s="54" t="s">
        <v>127</v>
      </c>
      <c r="K2335" s="54" t="s">
        <v>127</v>
      </c>
      <c r="L2335" s="54" t="s">
        <v>15</v>
      </c>
      <c r="M2335" s="54" t="s">
        <v>10</v>
      </c>
      <c r="N2335" s="54" t="s">
        <v>11</v>
      </c>
      <c r="O2335" s="49" t="s">
        <v>815</v>
      </c>
      <c r="P2335" s="54" t="s">
        <v>3392</v>
      </c>
      <c r="Q2335" s="35" t="str">
        <f>MID(Tabla1[[#This Row],[Aplicación]],14,1)</f>
        <v>2</v>
      </c>
      <c r="R2335" s="35" t="s">
        <v>495</v>
      </c>
      <c r="S2335" s="35" t="str">
        <f>MID(Tabla1[[#This Row],[Aplicación]],6,2)</f>
        <v>04</v>
      </c>
      <c r="T2335" s="35" t="str">
        <f>VLOOKUP(Tabla1[[#This Row],[AREA]],Hoja1!A:B,2,FALSE)</f>
        <v>04. Planificación y recursos</v>
      </c>
      <c r="U2335" s="35" t="str">
        <f>MID(Tabla1[[#This Row],[Aplicación]],9,4)</f>
        <v>9231</v>
      </c>
      <c r="V2335" s="35" t="str">
        <f>VLOOKUP(Tabla1[[#This Row],[PROGRAMA]],Hoja1!A:B,2,FALSE)</f>
        <v>9231. Información, registro y gestión del padrón</v>
      </c>
      <c r="W2335" s="35" t="str">
        <f>MID(Tabla1[[#This Row],[Aplicación]],14,2)</f>
        <v>22</v>
      </c>
      <c r="X2335" s="35" t="str">
        <f>MID(Tabla1[[#This Row],[Aplicación]],14,6)</f>
        <v>22799</v>
      </c>
    </row>
    <row r="2336" spans="1:24" x14ac:dyDescent="0.25">
      <c r="A2336" s="45">
        <v>220210028591</v>
      </c>
      <c r="B2336" s="46" t="s">
        <v>9</v>
      </c>
      <c r="C2336" s="47">
        <v>44350</v>
      </c>
      <c r="D2336" s="45">
        <v>22021004629</v>
      </c>
      <c r="E2336" s="46" t="s">
        <v>840</v>
      </c>
      <c r="F2336" s="48">
        <v>2500</v>
      </c>
      <c r="G2336" s="54" t="s">
        <v>3011</v>
      </c>
      <c r="H2336" s="54" t="s">
        <v>3826</v>
      </c>
      <c r="I2336" s="53" t="s">
        <v>125</v>
      </c>
      <c r="J2336" s="54" t="s">
        <v>127</v>
      </c>
      <c r="K2336" s="54" t="s">
        <v>127</v>
      </c>
      <c r="L2336" s="54" t="s">
        <v>12</v>
      </c>
      <c r="M2336" s="54" t="s">
        <v>10</v>
      </c>
      <c r="N2336" s="54" t="s">
        <v>11</v>
      </c>
      <c r="O2336" s="49" t="s">
        <v>815</v>
      </c>
      <c r="P2336" s="54" t="s">
        <v>3392</v>
      </c>
      <c r="Q2336" s="35" t="str">
        <f>MID(Tabla1[[#This Row],[Aplicación]],14,1)</f>
        <v>2</v>
      </c>
      <c r="R2336" s="35" t="s">
        <v>495</v>
      </c>
      <c r="S2336" s="35" t="str">
        <f>MID(Tabla1[[#This Row],[Aplicación]],6,2)</f>
        <v>07</v>
      </c>
      <c r="T2336" s="35" t="str">
        <f>VLOOKUP(Tabla1[[#This Row],[AREA]],Hoja1!A:B,2,FALSE)</f>
        <v>07. Medio ambiente y desarrollo sostenible</v>
      </c>
      <c r="U2336" s="35" t="str">
        <f>MID(Tabla1[[#This Row],[Aplicación]],9,4)</f>
        <v>1711</v>
      </c>
      <c r="V2336" s="35" t="str">
        <f>VLOOKUP(Tabla1[[#This Row],[PROGRAMA]],Hoja1!A:B,2,FALSE)</f>
        <v>1711. Parques y jardines</v>
      </c>
      <c r="W2336" s="35" t="str">
        <f>MID(Tabla1[[#This Row],[Aplicación]],14,2)</f>
        <v>22</v>
      </c>
      <c r="X2336" s="35" t="str">
        <f>MID(Tabla1[[#This Row],[Aplicación]],14,6)</f>
        <v>22799</v>
      </c>
    </row>
    <row r="2337" spans="1:24" x14ac:dyDescent="0.25">
      <c r="A2337" s="45">
        <v>220210014225</v>
      </c>
      <c r="B2337" s="46" t="s">
        <v>204</v>
      </c>
      <c r="C2337" s="47">
        <v>44293</v>
      </c>
      <c r="D2337" s="45">
        <v>22021001275</v>
      </c>
      <c r="E2337" s="46" t="s">
        <v>1334</v>
      </c>
      <c r="F2337" s="48">
        <v>359.7</v>
      </c>
      <c r="G2337" s="54" t="s">
        <v>2907</v>
      </c>
      <c r="H2337" s="54" t="s">
        <v>3827</v>
      </c>
      <c r="I2337" s="53" t="s">
        <v>205</v>
      </c>
      <c r="J2337" s="54" t="s">
        <v>2909</v>
      </c>
      <c r="K2337" s="54" t="s">
        <v>127</v>
      </c>
      <c r="L2337" s="54" t="s">
        <v>15</v>
      </c>
      <c r="M2337" s="54" t="s">
        <v>13</v>
      </c>
      <c r="N2337" s="54" t="s">
        <v>14</v>
      </c>
      <c r="O2337" s="49" t="s">
        <v>814</v>
      </c>
      <c r="P2337" s="54" t="s">
        <v>3392</v>
      </c>
      <c r="Q2337" s="35" t="str">
        <f>MID(Tabla1[[#This Row],[Aplicación]],14,1)</f>
        <v>2</v>
      </c>
      <c r="R2337" s="35" t="s">
        <v>495</v>
      </c>
      <c r="S2337" s="35" t="str">
        <f>MID(Tabla1[[#This Row],[Aplicación]],6,2)</f>
        <v>07</v>
      </c>
      <c r="T2337" s="35" t="str">
        <f>VLOOKUP(Tabla1[[#This Row],[AREA]],Hoja1!A:B,2,FALSE)</f>
        <v>07. Medio ambiente y desarrollo sostenible</v>
      </c>
      <c r="U2337" s="35" t="str">
        <f>MID(Tabla1[[#This Row],[Aplicación]],9,4)</f>
        <v>1711</v>
      </c>
      <c r="V2337" s="35" t="str">
        <f>VLOOKUP(Tabla1[[#This Row],[PROGRAMA]],Hoja1!A:B,2,FALSE)</f>
        <v>1711. Parques y jardines</v>
      </c>
      <c r="W2337" s="35" t="str">
        <f>MID(Tabla1[[#This Row],[Aplicación]],14,2)</f>
        <v>22</v>
      </c>
      <c r="X2337" s="35" t="str">
        <f>MID(Tabla1[[#This Row],[Aplicación]],14,6)</f>
        <v>22199</v>
      </c>
    </row>
    <row r="2338" spans="1:24" x14ac:dyDescent="0.25">
      <c r="A2338" s="45">
        <v>220210025889</v>
      </c>
      <c r="B2338" s="46" t="s">
        <v>9</v>
      </c>
      <c r="C2338" s="47">
        <v>44343</v>
      </c>
      <c r="D2338" s="45">
        <v>22021004279</v>
      </c>
      <c r="E2338" s="46" t="s">
        <v>3328</v>
      </c>
      <c r="F2338" s="48">
        <v>2421.8200000000002</v>
      </c>
      <c r="G2338" s="54" t="s">
        <v>3770</v>
      </c>
      <c r="H2338" s="54" t="s">
        <v>3828</v>
      </c>
      <c r="I2338" s="53" t="s">
        <v>125</v>
      </c>
      <c r="J2338" s="54" t="s">
        <v>127</v>
      </c>
      <c r="K2338" s="54" t="s">
        <v>127</v>
      </c>
      <c r="L2338" s="54" t="s">
        <v>15</v>
      </c>
      <c r="M2338" s="54" t="s">
        <v>10</v>
      </c>
      <c r="N2338" s="54" t="s">
        <v>11</v>
      </c>
      <c r="O2338" s="49" t="s">
        <v>815</v>
      </c>
      <c r="P2338" s="54" t="s">
        <v>3392</v>
      </c>
      <c r="Q2338" s="35" t="str">
        <f>MID(Tabla1[[#This Row],[Aplicación]],14,1)</f>
        <v>6</v>
      </c>
      <c r="R2338" s="35" t="s">
        <v>496</v>
      </c>
      <c r="S2338" s="35" t="str">
        <f>MID(Tabla1[[#This Row],[Aplicación]],6,2)</f>
        <v>04</v>
      </c>
      <c r="T2338" s="35" t="str">
        <f>VLOOKUP(Tabla1[[#This Row],[AREA]],Hoja1!A:B,2,FALSE)</f>
        <v>04. Planificación y recursos</v>
      </c>
      <c r="U2338" s="35" t="str">
        <f>MID(Tabla1[[#This Row],[Aplicación]],9,4)</f>
        <v>9204</v>
      </c>
      <c r="V2338" s="35" t="str">
        <f>VLOOKUP(Tabla1[[#This Row],[PROGRAMA]],Hoja1!A:B,2,FALSE)</f>
        <v>9204. Tecnologías de la información y comunicación</v>
      </c>
      <c r="W2338" s="35" t="str">
        <f>MID(Tabla1[[#This Row],[Aplicación]],14,2)</f>
        <v>62</v>
      </c>
      <c r="X2338" s="35" t="str">
        <f>MID(Tabla1[[#This Row],[Aplicación]],14,6)</f>
        <v>626</v>
      </c>
    </row>
    <row r="2339" spans="1:24" x14ac:dyDescent="0.25">
      <c r="A2339" s="45">
        <v>220210023161</v>
      </c>
      <c r="B2339" s="46" t="s">
        <v>9</v>
      </c>
      <c r="C2339" s="47">
        <v>44335</v>
      </c>
      <c r="D2339" s="45">
        <v>22021004431</v>
      </c>
      <c r="E2339" s="46" t="s">
        <v>3353</v>
      </c>
      <c r="F2339" s="48">
        <v>2420</v>
      </c>
      <c r="G2339" s="54" t="s">
        <v>3829</v>
      </c>
      <c r="H2339" s="54" t="s">
        <v>3830</v>
      </c>
      <c r="I2339" s="53" t="s">
        <v>125</v>
      </c>
      <c r="J2339" s="54" t="s">
        <v>127</v>
      </c>
      <c r="K2339" s="54" t="s">
        <v>127</v>
      </c>
      <c r="L2339" s="54" t="s">
        <v>12</v>
      </c>
      <c r="M2339" s="54" t="s">
        <v>10</v>
      </c>
      <c r="N2339" s="54" t="s">
        <v>11</v>
      </c>
      <c r="O2339" s="49" t="s">
        <v>815</v>
      </c>
      <c r="P2339" s="54" t="s">
        <v>3392</v>
      </c>
      <c r="Q2339" s="35" t="str">
        <f>MID(Tabla1[[#This Row],[Aplicación]],14,1)</f>
        <v>2</v>
      </c>
      <c r="R2339" s="35" t="s">
        <v>495</v>
      </c>
      <c r="S2339" s="35" t="str">
        <f>MID(Tabla1[[#This Row],[Aplicación]],6,2)</f>
        <v>09</v>
      </c>
      <c r="T2339" s="35" t="str">
        <f>VLOOKUP(Tabla1[[#This Row],[AREA]],Hoja1!A:B,2,FALSE)</f>
        <v>09. Cultura y turismo</v>
      </c>
      <c r="U2339" s="35" t="str">
        <f>MID(Tabla1[[#This Row],[Aplicación]],9,4)</f>
        <v>4321</v>
      </c>
      <c r="V2339" s="35" t="str">
        <f>VLOOKUP(Tabla1[[#This Row],[PROGRAMA]],Hoja1!A:B,2,FALSE)</f>
        <v>4321. Turismo</v>
      </c>
      <c r="W2339" s="35" t="str">
        <f>MID(Tabla1[[#This Row],[Aplicación]],14,2)</f>
        <v>22</v>
      </c>
      <c r="X2339" s="35" t="str">
        <f>MID(Tabla1[[#This Row],[Aplicación]],14,6)</f>
        <v>22706</v>
      </c>
    </row>
    <row r="2340" spans="1:24" x14ac:dyDescent="0.25">
      <c r="A2340" s="45">
        <v>220210033124</v>
      </c>
      <c r="B2340" s="46" t="s">
        <v>9</v>
      </c>
      <c r="C2340" s="47">
        <v>44377</v>
      </c>
      <c r="D2340" s="45">
        <v>22021005149</v>
      </c>
      <c r="E2340" s="46" t="s">
        <v>3343</v>
      </c>
      <c r="F2340" s="48">
        <v>2420</v>
      </c>
      <c r="G2340" s="54" t="s">
        <v>2262</v>
      </c>
      <c r="H2340" s="54" t="s">
        <v>3752</v>
      </c>
      <c r="I2340" s="53" t="s">
        <v>125</v>
      </c>
      <c r="J2340" s="54" t="s">
        <v>127</v>
      </c>
      <c r="K2340" s="54" t="s">
        <v>127</v>
      </c>
      <c r="L2340" s="54" t="s">
        <v>12</v>
      </c>
      <c r="M2340" s="54" t="s">
        <v>10</v>
      </c>
      <c r="N2340" s="54" t="s">
        <v>14</v>
      </c>
      <c r="O2340" s="49" t="s">
        <v>815</v>
      </c>
      <c r="P2340" s="54" t="s">
        <v>3392</v>
      </c>
      <c r="Q2340" s="35" t="str">
        <f>MID(Tabla1[[#This Row],[Aplicación]],14,1)</f>
        <v>2</v>
      </c>
      <c r="R2340" s="35" t="s">
        <v>495</v>
      </c>
      <c r="S2340" s="35" t="str">
        <f>MID(Tabla1[[#This Row],[Aplicación]],6,2)</f>
        <v>10</v>
      </c>
      <c r="T2340" s="35" t="str">
        <f>VLOOKUP(Tabla1[[#This Row],[AREA]],Hoja1!A:B,2,FALSE)</f>
        <v>10. Servicios sociales y mediación comunitaria</v>
      </c>
      <c r="U2340" s="35" t="str">
        <f>MID(Tabla1[[#This Row],[Aplicación]],9,4)</f>
        <v>2312</v>
      </c>
      <c r="V2340" s="35" t="str">
        <f>VLOOKUP(Tabla1[[#This Row],[PROGRAMA]],Hoja1!A:B,2,FALSE)</f>
        <v>2312. Iniciativas sociales</v>
      </c>
      <c r="W2340" s="35" t="str">
        <f>MID(Tabla1[[#This Row],[Aplicación]],14,2)</f>
        <v>22</v>
      </c>
      <c r="X2340" s="35" t="str">
        <f>MID(Tabla1[[#This Row],[Aplicación]],14,6)</f>
        <v>22706</v>
      </c>
    </row>
    <row r="2341" spans="1:24" x14ac:dyDescent="0.25">
      <c r="A2341" s="45">
        <v>220210015842</v>
      </c>
      <c r="B2341" s="46" t="s">
        <v>204</v>
      </c>
      <c r="C2341" s="47">
        <v>44302</v>
      </c>
      <c r="D2341" s="45">
        <v>22021001275</v>
      </c>
      <c r="E2341" s="46" t="s">
        <v>1334</v>
      </c>
      <c r="F2341" s="48">
        <v>503.8</v>
      </c>
      <c r="G2341" s="54" t="s">
        <v>2907</v>
      </c>
      <c r="H2341" s="54" t="s">
        <v>3831</v>
      </c>
      <c r="I2341" s="53" t="s">
        <v>205</v>
      </c>
      <c r="J2341" s="54" t="s">
        <v>2909</v>
      </c>
      <c r="K2341" s="54" t="s">
        <v>127</v>
      </c>
      <c r="L2341" s="54" t="s">
        <v>15</v>
      </c>
      <c r="M2341" s="54" t="s">
        <v>13</v>
      </c>
      <c r="N2341" s="54" t="s">
        <v>14</v>
      </c>
      <c r="O2341" s="49" t="s">
        <v>814</v>
      </c>
      <c r="P2341" s="54" t="s">
        <v>3392</v>
      </c>
      <c r="Q2341" s="35" t="str">
        <f>MID(Tabla1[[#This Row],[Aplicación]],14,1)</f>
        <v>2</v>
      </c>
      <c r="R2341" s="35" t="s">
        <v>495</v>
      </c>
      <c r="S2341" s="35" t="str">
        <f>MID(Tabla1[[#This Row],[Aplicación]],6,2)</f>
        <v>07</v>
      </c>
      <c r="T2341" s="35" t="str">
        <f>VLOOKUP(Tabla1[[#This Row],[AREA]],Hoja1!A:B,2,FALSE)</f>
        <v>07. Medio ambiente y desarrollo sostenible</v>
      </c>
      <c r="U2341" s="35" t="str">
        <f>MID(Tabla1[[#This Row],[Aplicación]],9,4)</f>
        <v>1711</v>
      </c>
      <c r="V2341" s="35" t="str">
        <f>VLOOKUP(Tabla1[[#This Row],[PROGRAMA]],Hoja1!A:B,2,FALSE)</f>
        <v>1711. Parques y jardines</v>
      </c>
      <c r="W2341" s="35" t="str">
        <f>MID(Tabla1[[#This Row],[Aplicación]],14,2)</f>
        <v>22</v>
      </c>
      <c r="X2341" s="35" t="str">
        <f>MID(Tabla1[[#This Row],[Aplicación]],14,6)</f>
        <v>22199</v>
      </c>
    </row>
    <row r="2342" spans="1:24" x14ac:dyDescent="0.25">
      <c r="A2342" s="45">
        <v>220210016810</v>
      </c>
      <c r="B2342" s="46" t="s">
        <v>204</v>
      </c>
      <c r="C2342" s="47">
        <v>44308</v>
      </c>
      <c r="D2342" s="45">
        <v>22021001275</v>
      </c>
      <c r="E2342" s="46" t="s">
        <v>1334</v>
      </c>
      <c r="F2342" s="48">
        <v>1295.8</v>
      </c>
      <c r="G2342" s="54" t="s">
        <v>2907</v>
      </c>
      <c r="H2342" s="54" t="s">
        <v>2908</v>
      </c>
      <c r="I2342" s="53" t="s">
        <v>205</v>
      </c>
      <c r="J2342" s="54" t="s">
        <v>2909</v>
      </c>
      <c r="K2342" s="54" t="s">
        <v>127</v>
      </c>
      <c r="L2342" s="54" t="s">
        <v>15</v>
      </c>
      <c r="M2342" s="54" t="s">
        <v>13</v>
      </c>
      <c r="N2342" s="54" t="s">
        <v>14</v>
      </c>
      <c r="O2342" s="49" t="s">
        <v>814</v>
      </c>
      <c r="P2342" s="54" t="s">
        <v>3392</v>
      </c>
      <c r="Q2342" s="35" t="str">
        <f>MID(Tabla1[[#This Row],[Aplicación]],14,1)</f>
        <v>2</v>
      </c>
      <c r="R2342" s="35" t="s">
        <v>495</v>
      </c>
      <c r="S2342" s="35" t="str">
        <f>MID(Tabla1[[#This Row],[Aplicación]],6,2)</f>
        <v>07</v>
      </c>
      <c r="T2342" s="35" t="str">
        <f>VLOOKUP(Tabla1[[#This Row],[AREA]],Hoja1!A:B,2,FALSE)</f>
        <v>07. Medio ambiente y desarrollo sostenible</v>
      </c>
      <c r="U2342" s="35" t="str">
        <f>MID(Tabla1[[#This Row],[Aplicación]],9,4)</f>
        <v>1711</v>
      </c>
      <c r="V2342" s="35" t="str">
        <f>VLOOKUP(Tabla1[[#This Row],[PROGRAMA]],Hoja1!A:B,2,FALSE)</f>
        <v>1711. Parques y jardines</v>
      </c>
      <c r="W2342" s="35" t="str">
        <f>MID(Tabla1[[#This Row],[Aplicación]],14,2)</f>
        <v>22</v>
      </c>
      <c r="X2342" s="35" t="str">
        <f>MID(Tabla1[[#This Row],[Aplicación]],14,6)</f>
        <v>22199</v>
      </c>
    </row>
    <row r="2343" spans="1:24" x14ac:dyDescent="0.25">
      <c r="A2343" s="45">
        <v>220200060375</v>
      </c>
      <c r="B2343" s="46" t="s">
        <v>9</v>
      </c>
      <c r="C2343" s="47">
        <v>44375</v>
      </c>
      <c r="D2343" s="45">
        <v>22020006803</v>
      </c>
      <c r="E2343" s="46" t="s">
        <v>2554</v>
      </c>
      <c r="F2343" s="48">
        <v>2413.75</v>
      </c>
      <c r="G2343" s="54" t="s">
        <v>213</v>
      </c>
      <c r="H2343" s="54" t="s">
        <v>3832</v>
      </c>
      <c r="I2343" s="53" t="s">
        <v>125</v>
      </c>
      <c r="J2343" s="54" t="s">
        <v>127</v>
      </c>
      <c r="K2343" s="54" t="s">
        <v>127</v>
      </c>
      <c r="L2343" s="54" t="s">
        <v>12</v>
      </c>
      <c r="M2343" s="54" t="s">
        <v>10</v>
      </c>
      <c r="N2343" s="54" t="s">
        <v>11</v>
      </c>
      <c r="O2343" s="49" t="s">
        <v>815</v>
      </c>
      <c r="P2343" s="54" t="s">
        <v>3392</v>
      </c>
      <c r="Q2343" s="35" t="str">
        <f>MID(Tabla1[[#This Row],[Aplicación]],14,1)</f>
        <v>2</v>
      </c>
      <c r="R2343" s="35" t="s">
        <v>495</v>
      </c>
      <c r="S2343" s="35" t="str">
        <f>MID(Tabla1[[#This Row],[Aplicación]],6,2)</f>
        <v>02</v>
      </c>
      <c r="T2343" s="35" t="str">
        <f>VLOOKUP(Tabla1[[#This Row],[AREA]],Hoja1!A:B,2,FALSE)</f>
        <v>02. Planeamiento urbanístico y vivienda</v>
      </c>
      <c r="U2343" s="35" t="str">
        <f>MID(Tabla1[[#This Row],[Aplicación]],9,4)</f>
        <v>1511</v>
      </c>
      <c r="V2343" s="35" t="str">
        <f>VLOOKUP(Tabla1[[#This Row],[PROGRAMA]],Hoja1!A:B,2,FALSE)</f>
        <v>1511. Planficación y gestión del urbanismo</v>
      </c>
      <c r="W2343" s="35" t="str">
        <f>MID(Tabla1[[#This Row],[Aplicación]],14,2)</f>
        <v>22</v>
      </c>
      <c r="X2343" s="35" t="str">
        <f>MID(Tabla1[[#This Row],[Aplicación]],14,6)</f>
        <v>22706</v>
      </c>
    </row>
    <row r="2344" spans="1:24" x14ac:dyDescent="0.25">
      <c r="A2344" s="45">
        <v>220210014373</v>
      </c>
      <c r="B2344" s="46" t="s">
        <v>9</v>
      </c>
      <c r="C2344" s="47">
        <v>44295</v>
      </c>
      <c r="D2344" s="45">
        <v>22021003713</v>
      </c>
      <c r="E2344" s="46" t="s">
        <v>3340</v>
      </c>
      <c r="F2344" s="48">
        <v>2383.6999999999998</v>
      </c>
      <c r="G2344" s="54" t="s">
        <v>3833</v>
      </c>
      <c r="H2344" s="54" t="s">
        <v>3834</v>
      </c>
      <c r="I2344" s="53" t="s">
        <v>125</v>
      </c>
      <c r="J2344" s="54" t="s">
        <v>3835</v>
      </c>
      <c r="K2344" s="54" t="s">
        <v>127</v>
      </c>
      <c r="L2344" s="54" t="s">
        <v>12</v>
      </c>
      <c r="M2344" s="54" t="s">
        <v>10</v>
      </c>
      <c r="N2344" s="54" t="s">
        <v>11</v>
      </c>
      <c r="O2344" s="49" t="s">
        <v>815</v>
      </c>
      <c r="P2344" s="54" t="s">
        <v>3392</v>
      </c>
      <c r="Q2344" s="35" t="str">
        <f>MID(Tabla1[[#This Row],[Aplicación]],14,1)</f>
        <v>2</v>
      </c>
      <c r="R2344" s="35" t="s">
        <v>495</v>
      </c>
      <c r="S2344" s="35" t="str">
        <f>MID(Tabla1[[#This Row],[Aplicación]],6,2)</f>
        <v>09</v>
      </c>
      <c r="T2344" s="35" t="str">
        <f>VLOOKUP(Tabla1[[#This Row],[AREA]],Hoja1!A:B,2,FALSE)</f>
        <v>09. Cultura y turismo</v>
      </c>
      <c r="U2344" s="35" t="str">
        <f>MID(Tabla1[[#This Row],[Aplicación]],9,4)</f>
        <v>3341</v>
      </c>
      <c r="V2344" s="35" t="str">
        <f>VLOOKUP(Tabla1[[#This Row],[PROGRAMA]],Hoja1!A:B,2,FALSE)</f>
        <v>3341. Coordinación de políticas culturales</v>
      </c>
      <c r="W2344" s="35" t="str">
        <f>MID(Tabla1[[#This Row],[Aplicación]],14,2)</f>
        <v>22</v>
      </c>
      <c r="X2344" s="35" t="str">
        <f>MID(Tabla1[[#This Row],[Aplicación]],14,6)</f>
        <v>22706</v>
      </c>
    </row>
    <row r="2345" spans="1:24" x14ac:dyDescent="0.25">
      <c r="A2345" s="45">
        <v>220210019215</v>
      </c>
      <c r="B2345" s="46" t="s">
        <v>204</v>
      </c>
      <c r="C2345" s="47">
        <v>44319</v>
      </c>
      <c r="D2345" s="45">
        <v>22021001275</v>
      </c>
      <c r="E2345" s="46" t="s">
        <v>1334</v>
      </c>
      <c r="F2345" s="48">
        <v>748.07</v>
      </c>
      <c r="G2345" s="54" t="s">
        <v>2907</v>
      </c>
      <c r="H2345" s="54" t="s">
        <v>3267</v>
      </c>
      <c r="I2345" s="53" t="s">
        <v>205</v>
      </c>
      <c r="J2345" s="54" t="s">
        <v>2909</v>
      </c>
      <c r="K2345" s="54" t="s">
        <v>127</v>
      </c>
      <c r="L2345" s="54" t="s">
        <v>15</v>
      </c>
      <c r="M2345" s="54" t="s">
        <v>13</v>
      </c>
      <c r="N2345" s="54" t="s">
        <v>14</v>
      </c>
      <c r="O2345" s="49" t="s">
        <v>814</v>
      </c>
      <c r="P2345" s="54" t="s">
        <v>3392</v>
      </c>
      <c r="Q2345" s="35" t="str">
        <f>MID(Tabla1[[#This Row],[Aplicación]],14,1)</f>
        <v>2</v>
      </c>
      <c r="R2345" s="35" t="s">
        <v>495</v>
      </c>
      <c r="S2345" s="35" t="str">
        <f>MID(Tabla1[[#This Row],[Aplicación]],6,2)</f>
        <v>07</v>
      </c>
      <c r="T2345" s="35" t="str">
        <f>VLOOKUP(Tabla1[[#This Row],[AREA]],Hoja1!A:B,2,FALSE)</f>
        <v>07. Medio ambiente y desarrollo sostenible</v>
      </c>
      <c r="U2345" s="35" t="str">
        <f>MID(Tabla1[[#This Row],[Aplicación]],9,4)</f>
        <v>1711</v>
      </c>
      <c r="V2345" s="35" t="str">
        <f>VLOOKUP(Tabla1[[#This Row],[PROGRAMA]],Hoja1!A:B,2,FALSE)</f>
        <v>1711. Parques y jardines</v>
      </c>
      <c r="W2345" s="35" t="str">
        <f>MID(Tabla1[[#This Row],[Aplicación]],14,2)</f>
        <v>22</v>
      </c>
      <c r="X2345" s="35" t="str">
        <f>MID(Tabla1[[#This Row],[Aplicación]],14,6)</f>
        <v>22199</v>
      </c>
    </row>
    <row r="2346" spans="1:24" x14ac:dyDescent="0.25">
      <c r="A2346" s="45">
        <v>220210023274</v>
      </c>
      <c r="B2346" s="46" t="s">
        <v>204</v>
      </c>
      <c r="C2346" s="47">
        <v>44335</v>
      </c>
      <c r="D2346" s="45">
        <v>22021001275</v>
      </c>
      <c r="E2346" s="46" t="s">
        <v>1334</v>
      </c>
      <c r="F2346" s="48">
        <v>849.62</v>
      </c>
      <c r="G2346" s="54" t="s">
        <v>2907</v>
      </c>
      <c r="H2346" s="54" t="s">
        <v>3827</v>
      </c>
      <c r="I2346" s="53" t="s">
        <v>205</v>
      </c>
      <c r="J2346" s="54" t="s">
        <v>2909</v>
      </c>
      <c r="K2346" s="54" t="s">
        <v>127</v>
      </c>
      <c r="L2346" s="54" t="s">
        <v>15</v>
      </c>
      <c r="M2346" s="54" t="s">
        <v>13</v>
      </c>
      <c r="N2346" s="54" t="s">
        <v>14</v>
      </c>
      <c r="O2346" s="49" t="s">
        <v>814</v>
      </c>
      <c r="P2346" s="54" t="s">
        <v>3392</v>
      </c>
      <c r="Q2346" s="35" t="str">
        <f>MID(Tabla1[[#This Row],[Aplicación]],14,1)</f>
        <v>2</v>
      </c>
      <c r="R2346" s="35" t="s">
        <v>495</v>
      </c>
      <c r="S2346" s="35" t="str">
        <f>MID(Tabla1[[#This Row],[Aplicación]],6,2)</f>
        <v>07</v>
      </c>
      <c r="T2346" s="35" t="str">
        <f>VLOOKUP(Tabla1[[#This Row],[AREA]],Hoja1!A:B,2,FALSE)</f>
        <v>07. Medio ambiente y desarrollo sostenible</v>
      </c>
      <c r="U2346" s="35" t="str">
        <f>MID(Tabla1[[#This Row],[Aplicación]],9,4)</f>
        <v>1711</v>
      </c>
      <c r="V2346" s="35" t="str">
        <f>VLOOKUP(Tabla1[[#This Row],[PROGRAMA]],Hoja1!A:B,2,FALSE)</f>
        <v>1711. Parques y jardines</v>
      </c>
      <c r="W2346" s="35" t="str">
        <f>MID(Tabla1[[#This Row],[Aplicación]],14,2)</f>
        <v>22</v>
      </c>
      <c r="X2346" s="35" t="str">
        <f>MID(Tabla1[[#This Row],[Aplicación]],14,6)</f>
        <v>22199</v>
      </c>
    </row>
    <row r="2347" spans="1:24" x14ac:dyDescent="0.25">
      <c r="A2347" s="45">
        <v>220210024722</v>
      </c>
      <c r="B2347" s="46" t="s">
        <v>204</v>
      </c>
      <c r="C2347" s="47">
        <v>44340</v>
      </c>
      <c r="D2347" s="45">
        <v>22021001275</v>
      </c>
      <c r="E2347" s="46" t="s">
        <v>1334</v>
      </c>
      <c r="F2347" s="48">
        <v>2939.51</v>
      </c>
      <c r="G2347" s="54" t="s">
        <v>2907</v>
      </c>
      <c r="H2347" s="54" t="s">
        <v>3827</v>
      </c>
      <c r="I2347" s="53" t="s">
        <v>205</v>
      </c>
      <c r="J2347" s="54" t="s">
        <v>2909</v>
      </c>
      <c r="K2347" s="54" t="s">
        <v>127</v>
      </c>
      <c r="L2347" s="54" t="s">
        <v>15</v>
      </c>
      <c r="M2347" s="54" t="s">
        <v>13</v>
      </c>
      <c r="N2347" s="54" t="s">
        <v>14</v>
      </c>
      <c r="O2347" s="49" t="s">
        <v>814</v>
      </c>
      <c r="P2347" s="54" t="s">
        <v>3392</v>
      </c>
      <c r="Q2347" s="35" t="str">
        <f>MID(Tabla1[[#This Row],[Aplicación]],14,1)</f>
        <v>2</v>
      </c>
      <c r="R2347" s="35" t="s">
        <v>495</v>
      </c>
      <c r="S2347" s="35" t="str">
        <f>MID(Tabla1[[#This Row],[Aplicación]],6,2)</f>
        <v>07</v>
      </c>
      <c r="T2347" s="35" t="str">
        <f>VLOOKUP(Tabla1[[#This Row],[AREA]],Hoja1!A:B,2,FALSE)</f>
        <v>07. Medio ambiente y desarrollo sostenible</v>
      </c>
      <c r="U2347" s="35" t="str">
        <f>MID(Tabla1[[#This Row],[Aplicación]],9,4)</f>
        <v>1711</v>
      </c>
      <c r="V2347" s="35" t="str">
        <f>VLOOKUP(Tabla1[[#This Row],[PROGRAMA]],Hoja1!A:B,2,FALSE)</f>
        <v>1711. Parques y jardines</v>
      </c>
      <c r="W2347" s="35" t="str">
        <f>MID(Tabla1[[#This Row],[Aplicación]],14,2)</f>
        <v>22</v>
      </c>
      <c r="X2347" s="35" t="str">
        <f>MID(Tabla1[[#This Row],[Aplicación]],14,6)</f>
        <v>22199</v>
      </c>
    </row>
    <row r="2348" spans="1:24" x14ac:dyDescent="0.25">
      <c r="A2348" s="45">
        <v>220210028430</v>
      </c>
      <c r="B2348" s="46" t="s">
        <v>204</v>
      </c>
      <c r="C2348" s="47">
        <v>44350</v>
      </c>
      <c r="D2348" s="45">
        <v>22021001275</v>
      </c>
      <c r="E2348" s="46" t="s">
        <v>1334</v>
      </c>
      <c r="F2348" s="48">
        <v>4673.13</v>
      </c>
      <c r="G2348" s="54" t="s">
        <v>2907</v>
      </c>
      <c r="H2348" s="54" t="s">
        <v>2908</v>
      </c>
      <c r="I2348" s="53" t="s">
        <v>205</v>
      </c>
      <c r="J2348" s="54" t="s">
        <v>2909</v>
      </c>
      <c r="K2348" s="54" t="s">
        <v>127</v>
      </c>
      <c r="L2348" s="54" t="s">
        <v>15</v>
      </c>
      <c r="M2348" s="54" t="s">
        <v>13</v>
      </c>
      <c r="N2348" s="54" t="s">
        <v>14</v>
      </c>
      <c r="O2348" s="49" t="s">
        <v>814</v>
      </c>
      <c r="P2348" s="54" t="s">
        <v>3392</v>
      </c>
      <c r="Q2348" s="35" t="str">
        <f>MID(Tabla1[[#This Row],[Aplicación]],14,1)</f>
        <v>2</v>
      </c>
      <c r="R2348" s="35" t="s">
        <v>495</v>
      </c>
      <c r="S2348" s="35" t="str">
        <f>MID(Tabla1[[#This Row],[Aplicación]],6,2)</f>
        <v>07</v>
      </c>
      <c r="T2348" s="35" t="str">
        <f>VLOOKUP(Tabla1[[#This Row],[AREA]],Hoja1!A:B,2,FALSE)</f>
        <v>07. Medio ambiente y desarrollo sostenible</v>
      </c>
      <c r="U2348" s="35" t="str">
        <f>MID(Tabla1[[#This Row],[Aplicación]],9,4)</f>
        <v>1711</v>
      </c>
      <c r="V2348" s="35" t="str">
        <f>VLOOKUP(Tabla1[[#This Row],[PROGRAMA]],Hoja1!A:B,2,FALSE)</f>
        <v>1711. Parques y jardines</v>
      </c>
      <c r="W2348" s="35" t="str">
        <f>MID(Tabla1[[#This Row],[Aplicación]],14,2)</f>
        <v>22</v>
      </c>
      <c r="X2348" s="35" t="str">
        <f>MID(Tabla1[[#This Row],[Aplicación]],14,6)</f>
        <v>22199</v>
      </c>
    </row>
    <row r="2349" spans="1:24" x14ac:dyDescent="0.25">
      <c r="A2349" s="45">
        <v>220210028280</v>
      </c>
      <c r="B2349" s="46" t="s">
        <v>9</v>
      </c>
      <c r="C2349" s="47">
        <v>44350</v>
      </c>
      <c r="D2349" s="45">
        <v>22021004614</v>
      </c>
      <c r="E2349" s="46" t="s">
        <v>1397</v>
      </c>
      <c r="F2349" s="48">
        <v>2285.34</v>
      </c>
      <c r="G2349" s="54" t="s">
        <v>3836</v>
      </c>
      <c r="H2349" s="54" t="s">
        <v>3837</v>
      </c>
      <c r="I2349" s="53" t="s">
        <v>125</v>
      </c>
      <c r="J2349" s="54" t="s">
        <v>126</v>
      </c>
      <c r="K2349" s="54" t="s">
        <v>126</v>
      </c>
      <c r="L2349" s="54" t="s">
        <v>3640</v>
      </c>
      <c r="M2349" s="54" t="s">
        <v>10</v>
      </c>
      <c r="N2349" s="54" t="s">
        <v>11</v>
      </c>
      <c r="O2349" s="49" t="s">
        <v>815</v>
      </c>
      <c r="P2349" s="54" t="s">
        <v>3392</v>
      </c>
      <c r="Q2349" s="35" t="str">
        <f>MID(Tabla1[[#This Row],[Aplicación]],14,1)</f>
        <v>2</v>
      </c>
      <c r="R2349" s="35" t="s">
        <v>495</v>
      </c>
      <c r="S2349" s="35" t="str">
        <f>MID(Tabla1[[#This Row],[Aplicación]],6,2)</f>
        <v>11</v>
      </c>
      <c r="T2349" s="35" t="str">
        <f>VLOOKUP(Tabla1[[#This Row],[AREA]],Hoja1!A:B,2,FALSE)</f>
        <v>11. Salud pública y seguridad ciudadana</v>
      </c>
      <c r="U2349" s="35" t="str">
        <f>MID(Tabla1[[#This Row],[Aplicación]],9,4)</f>
        <v>1361</v>
      </c>
      <c r="V2349" s="35" t="str">
        <f>VLOOKUP(Tabla1[[#This Row],[PROGRAMA]],Hoja1!A:B,2,FALSE)</f>
        <v>1361. Prevención y extinción de incencios</v>
      </c>
      <c r="W2349" s="35" t="str">
        <f>MID(Tabla1[[#This Row],[Aplicación]],14,2)</f>
        <v>21</v>
      </c>
      <c r="X2349" s="35" t="str">
        <f>MID(Tabla1[[#This Row],[Aplicación]],14,6)</f>
        <v>214</v>
      </c>
    </row>
    <row r="2350" spans="1:24" x14ac:dyDescent="0.25">
      <c r="A2350" s="45">
        <v>220210020450</v>
      </c>
      <c r="B2350" s="46" t="s">
        <v>9</v>
      </c>
      <c r="C2350" s="47">
        <v>44322</v>
      </c>
      <c r="D2350" s="45">
        <v>22021004165</v>
      </c>
      <c r="E2350" s="46" t="s">
        <v>3127</v>
      </c>
      <c r="F2350" s="48">
        <v>2259.6799999999998</v>
      </c>
      <c r="G2350" s="54" t="s">
        <v>3838</v>
      </c>
      <c r="H2350" s="54" t="s">
        <v>3839</v>
      </c>
      <c r="I2350" s="53" t="s">
        <v>125</v>
      </c>
      <c r="J2350" s="54" t="s">
        <v>127</v>
      </c>
      <c r="K2350" s="54" t="s">
        <v>127</v>
      </c>
      <c r="L2350" s="54" t="s">
        <v>12</v>
      </c>
      <c r="M2350" s="54" t="s">
        <v>10</v>
      </c>
      <c r="N2350" s="54" t="s">
        <v>11</v>
      </c>
      <c r="O2350" s="49" t="s">
        <v>815</v>
      </c>
      <c r="P2350" s="54" t="s">
        <v>3392</v>
      </c>
      <c r="Q2350" s="35" t="str">
        <f>MID(Tabla1[[#This Row],[Aplicación]],14,1)</f>
        <v>2</v>
      </c>
      <c r="R2350" s="35" t="s">
        <v>495</v>
      </c>
      <c r="S2350" s="35" t="str">
        <f>MID(Tabla1[[#This Row],[Aplicación]],6,2)</f>
        <v>09</v>
      </c>
      <c r="T2350" s="35" t="str">
        <f>VLOOKUP(Tabla1[[#This Row],[AREA]],Hoja1!A:B,2,FALSE)</f>
        <v>09. Cultura y turismo</v>
      </c>
      <c r="U2350" s="35" t="str">
        <f>MID(Tabla1[[#This Row],[Aplicación]],9,4)</f>
        <v>3341</v>
      </c>
      <c r="V2350" s="35" t="str">
        <f>VLOOKUP(Tabla1[[#This Row],[PROGRAMA]],Hoja1!A:B,2,FALSE)</f>
        <v>3341. Coordinación de políticas culturales</v>
      </c>
      <c r="W2350" s="35" t="str">
        <f>MID(Tabla1[[#This Row],[Aplicación]],14,2)</f>
        <v>22</v>
      </c>
      <c r="X2350" s="35" t="str">
        <f>MID(Tabla1[[#This Row],[Aplicación]],14,6)</f>
        <v>22700</v>
      </c>
    </row>
    <row r="2351" spans="1:24" x14ac:dyDescent="0.25">
      <c r="A2351" s="45">
        <v>220210029596</v>
      </c>
      <c r="B2351" s="46" t="s">
        <v>204</v>
      </c>
      <c r="C2351" s="47">
        <v>44355</v>
      </c>
      <c r="D2351" s="45">
        <v>22021001275</v>
      </c>
      <c r="E2351" s="46" t="s">
        <v>1334</v>
      </c>
      <c r="F2351" s="48">
        <v>1364</v>
      </c>
      <c r="G2351" s="54" t="s">
        <v>2907</v>
      </c>
      <c r="H2351" s="54" t="s">
        <v>3267</v>
      </c>
      <c r="I2351" s="53" t="s">
        <v>205</v>
      </c>
      <c r="J2351" s="54" t="s">
        <v>2909</v>
      </c>
      <c r="K2351" s="54" t="s">
        <v>127</v>
      </c>
      <c r="L2351" s="54" t="s">
        <v>15</v>
      </c>
      <c r="M2351" s="54" t="s">
        <v>13</v>
      </c>
      <c r="N2351" s="54" t="s">
        <v>14</v>
      </c>
      <c r="O2351" s="49" t="s">
        <v>814</v>
      </c>
      <c r="P2351" s="54" t="s">
        <v>3392</v>
      </c>
      <c r="Q2351" s="35" t="str">
        <f>MID(Tabla1[[#This Row],[Aplicación]],14,1)</f>
        <v>2</v>
      </c>
      <c r="R2351" s="35" t="s">
        <v>495</v>
      </c>
      <c r="S2351" s="35" t="str">
        <f>MID(Tabla1[[#This Row],[Aplicación]],6,2)</f>
        <v>07</v>
      </c>
      <c r="T2351" s="35" t="str">
        <f>VLOOKUP(Tabla1[[#This Row],[AREA]],Hoja1!A:B,2,FALSE)</f>
        <v>07. Medio ambiente y desarrollo sostenible</v>
      </c>
      <c r="U2351" s="35" t="str">
        <f>MID(Tabla1[[#This Row],[Aplicación]],9,4)</f>
        <v>1711</v>
      </c>
      <c r="V2351" s="35" t="str">
        <f>VLOOKUP(Tabla1[[#This Row],[PROGRAMA]],Hoja1!A:B,2,FALSE)</f>
        <v>1711. Parques y jardines</v>
      </c>
      <c r="W2351" s="35" t="str">
        <f>MID(Tabla1[[#This Row],[Aplicación]],14,2)</f>
        <v>22</v>
      </c>
      <c r="X2351" s="35" t="str">
        <f>MID(Tabla1[[#This Row],[Aplicación]],14,6)</f>
        <v>22199</v>
      </c>
    </row>
    <row r="2352" spans="1:24" x14ac:dyDescent="0.25">
      <c r="A2352" s="45">
        <v>220210032969</v>
      </c>
      <c r="B2352" s="46" t="s">
        <v>204</v>
      </c>
      <c r="C2352" s="47">
        <v>44375</v>
      </c>
      <c r="D2352" s="45">
        <v>22021001275</v>
      </c>
      <c r="E2352" s="46" t="s">
        <v>1334</v>
      </c>
      <c r="F2352" s="48">
        <v>3596.36</v>
      </c>
      <c r="G2352" s="54" t="s">
        <v>2907</v>
      </c>
      <c r="H2352" s="54" t="s">
        <v>3267</v>
      </c>
      <c r="I2352" s="53" t="s">
        <v>205</v>
      </c>
      <c r="J2352" s="54" t="s">
        <v>2909</v>
      </c>
      <c r="K2352" s="54" t="s">
        <v>127</v>
      </c>
      <c r="L2352" s="54" t="s">
        <v>15</v>
      </c>
      <c r="M2352" s="54" t="s">
        <v>13</v>
      </c>
      <c r="N2352" s="54" t="s">
        <v>14</v>
      </c>
      <c r="O2352" s="49" t="s">
        <v>814</v>
      </c>
      <c r="P2352" s="54" t="s">
        <v>3392</v>
      </c>
      <c r="Q2352" s="35" t="str">
        <f>MID(Tabla1[[#This Row],[Aplicación]],14,1)</f>
        <v>2</v>
      </c>
      <c r="R2352" s="35" t="s">
        <v>495</v>
      </c>
      <c r="S2352" s="35" t="str">
        <f>MID(Tabla1[[#This Row],[Aplicación]],6,2)</f>
        <v>07</v>
      </c>
      <c r="T2352" s="35" t="str">
        <f>VLOOKUP(Tabla1[[#This Row],[AREA]],Hoja1!A:B,2,FALSE)</f>
        <v>07. Medio ambiente y desarrollo sostenible</v>
      </c>
      <c r="U2352" s="35" t="str">
        <f>MID(Tabla1[[#This Row],[Aplicación]],9,4)</f>
        <v>1711</v>
      </c>
      <c r="V2352" s="35" t="str">
        <f>VLOOKUP(Tabla1[[#This Row],[PROGRAMA]],Hoja1!A:B,2,FALSE)</f>
        <v>1711. Parques y jardines</v>
      </c>
      <c r="W2352" s="35" t="str">
        <f>MID(Tabla1[[#This Row],[Aplicación]],14,2)</f>
        <v>22</v>
      </c>
      <c r="X2352" s="35" t="str">
        <f>MID(Tabla1[[#This Row],[Aplicación]],14,6)</f>
        <v>22199</v>
      </c>
    </row>
    <row r="2353" spans="1:24" x14ac:dyDescent="0.25">
      <c r="A2353" s="45">
        <v>220210014482</v>
      </c>
      <c r="B2353" s="46" t="s">
        <v>204</v>
      </c>
      <c r="C2353" s="47">
        <v>44295</v>
      </c>
      <c r="D2353" s="45">
        <v>22021003381</v>
      </c>
      <c r="E2353" s="46" t="s">
        <v>1183</v>
      </c>
      <c r="F2353" s="48">
        <v>9.52</v>
      </c>
      <c r="G2353" s="54" t="s">
        <v>271</v>
      </c>
      <c r="H2353" s="54" t="s">
        <v>3840</v>
      </c>
      <c r="I2353" s="53" t="s">
        <v>205</v>
      </c>
      <c r="J2353" s="54" t="s">
        <v>127</v>
      </c>
      <c r="K2353" s="54" t="s">
        <v>127</v>
      </c>
      <c r="L2353" s="54" t="s">
        <v>15</v>
      </c>
      <c r="M2353" s="54" t="s">
        <v>13</v>
      </c>
      <c r="N2353" s="54" t="s">
        <v>14</v>
      </c>
      <c r="O2353" s="49" t="s">
        <v>814</v>
      </c>
      <c r="P2353" s="54" t="s">
        <v>3392</v>
      </c>
      <c r="Q2353" s="35" t="str">
        <f>MID(Tabla1[[#This Row],[Aplicación]],14,1)</f>
        <v>2</v>
      </c>
      <c r="R2353" s="35" t="s">
        <v>495</v>
      </c>
      <c r="S2353" s="35" t="str">
        <f>MID(Tabla1[[#This Row],[Aplicación]],6,2)</f>
        <v>11</v>
      </c>
      <c r="T2353" s="35" t="str">
        <f>VLOOKUP(Tabla1[[#This Row],[AREA]],Hoja1!A:B,2,FALSE)</f>
        <v>11. Salud pública y seguridad ciudadana</v>
      </c>
      <c r="U2353" s="35" t="str">
        <f>MID(Tabla1[[#This Row],[Aplicación]],9,4)</f>
        <v>1361</v>
      </c>
      <c r="V2353" s="35" t="str">
        <f>VLOOKUP(Tabla1[[#This Row],[PROGRAMA]],Hoja1!A:B,2,FALSE)</f>
        <v>1361. Prevención y extinción de incencios</v>
      </c>
      <c r="W2353" s="35" t="str">
        <f>MID(Tabla1[[#This Row],[Aplicación]],14,2)</f>
        <v>22</v>
      </c>
      <c r="X2353" s="35" t="str">
        <f>MID(Tabla1[[#This Row],[Aplicación]],14,6)</f>
        <v>22199</v>
      </c>
    </row>
    <row r="2354" spans="1:24" x14ac:dyDescent="0.25">
      <c r="A2354" s="45">
        <v>220210030624</v>
      </c>
      <c r="B2354" s="46" t="s">
        <v>9</v>
      </c>
      <c r="C2354" s="47">
        <v>44358</v>
      </c>
      <c r="D2354" s="45">
        <v>22021004656</v>
      </c>
      <c r="E2354" s="46" t="s">
        <v>3339</v>
      </c>
      <c r="F2354" s="48">
        <v>2192.77</v>
      </c>
      <c r="G2354" s="54" t="s">
        <v>3841</v>
      </c>
      <c r="H2354" s="54" t="s">
        <v>3842</v>
      </c>
      <c r="I2354" s="53" t="s">
        <v>125</v>
      </c>
      <c r="J2354" s="54" t="s">
        <v>127</v>
      </c>
      <c r="K2354" s="54" t="s">
        <v>127</v>
      </c>
      <c r="L2354" s="54" t="s">
        <v>15</v>
      </c>
      <c r="M2354" s="54" t="s">
        <v>10</v>
      </c>
      <c r="N2354" s="54" t="s">
        <v>11</v>
      </c>
      <c r="O2354" s="49" t="s">
        <v>815</v>
      </c>
      <c r="P2354" s="54" t="s">
        <v>3392</v>
      </c>
      <c r="Q2354" s="35" t="str">
        <f>MID(Tabla1[[#This Row],[Aplicación]],14,1)</f>
        <v>1</v>
      </c>
      <c r="R2354" s="35" t="s">
        <v>504</v>
      </c>
      <c r="S2354" s="35" t="str">
        <f>MID(Tabla1[[#This Row],[Aplicación]],6,2)</f>
        <v>04</v>
      </c>
      <c r="T2354" s="35" t="str">
        <f>VLOOKUP(Tabla1[[#This Row],[AREA]],Hoja1!A:B,2,FALSE)</f>
        <v>04. Planificación y recursos</v>
      </c>
      <c r="U2354" s="35" t="str">
        <f>MID(Tabla1[[#This Row],[Aplicación]],9,4)</f>
        <v>9202</v>
      </c>
      <c r="V2354" s="35" t="str">
        <f>VLOOKUP(Tabla1[[#This Row],[PROGRAMA]],Hoja1!A:B,2,FALSE)</f>
        <v>9202. Gestión de recursos humanos</v>
      </c>
      <c r="W2354" s="35" t="str">
        <f>MID(Tabla1[[#This Row],[Aplicación]],14,2)</f>
        <v>16</v>
      </c>
      <c r="X2354" s="35" t="str">
        <f>MID(Tabla1[[#This Row],[Aplicación]],14,6)</f>
        <v>16204</v>
      </c>
    </row>
    <row r="2355" spans="1:24" x14ac:dyDescent="0.25">
      <c r="A2355" s="45">
        <v>220210026148</v>
      </c>
      <c r="B2355" s="46" t="s">
        <v>9</v>
      </c>
      <c r="C2355" s="47">
        <v>44347</v>
      </c>
      <c r="D2355" s="45">
        <v>22021004562</v>
      </c>
      <c r="E2355" s="46" t="s">
        <v>1220</v>
      </c>
      <c r="F2355" s="48">
        <v>2156.2199999999998</v>
      </c>
      <c r="G2355" s="54" t="s">
        <v>46</v>
      </c>
      <c r="H2355" s="54" t="s">
        <v>3843</v>
      </c>
      <c r="I2355" s="53" t="s">
        <v>125</v>
      </c>
      <c r="J2355" s="54" t="s">
        <v>126</v>
      </c>
      <c r="K2355" s="54" t="s">
        <v>126</v>
      </c>
      <c r="L2355" s="54" t="s">
        <v>12</v>
      </c>
      <c r="M2355" s="54" t="s">
        <v>10</v>
      </c>
      <c r="N2355" s="54" t="s">
        <v>11</v>
      </c>
      <c r="O2355" s="49" t="s">
        <v>815</v>
      </c>
      <c r="P2355" s="54" t="s">
        <v>3392</v>
      </c>
      <c r="Q2355" s="35" t="str">
        <f>MID(Tabla1[[#This Row],[Aplicación]],14,1)</f>
        <v>2</v>
      </c>
      <c r="R2355" s="35" t="s">
        <v>495</v>
      </c>
      <c r="S2355" s="35" t="str">
        <f>MID(Tabla1[[#This Row],[Aplicación]],6,2)</f>
        <v>03</v>
      </c>
      <c r="T2355" s="35" t="str">
        <f>VLOOKUP(Tabla1[[#This Row],[AREA]],Hoja1!A:B,2,FALSE)</f>
        <v>03. Participación ciudadana y deportes</v>
      </c>
      <c r="U2355" s="35" t="str">
        <f>MID(Tabla1[[#This Row],[Aplicación]],9,4)</f>
        <v>9241</v>
      </c>
      <c r="V2355" s="35" t="str">
        <f>VLOOKUP(Tabla1[[#This Row],[PROGRAMA]],Hoja1!A:B,2,FALSE)</f>
        <v>9241. Participación ciudadana</v>
      </c>
      <c r="W2355" s="35" t="str">
        <f>MID(Tabla1[[#This Row],[Aplicación]],14,2)</f>
        <v>21</v>
      </c>
      <c r="X2355" s="35" t="str">
        <f>MID(Tabla1[[#This Row],[Aplicación]],14,6)</f>
        <v>213</v>
      </c>
    </row>
    <row r="2356" spans="1:24" x14ac:dyDescent="0.25">
      <c r="A2356" s="45">
        <v>220210018840</v>
      </c>
      <c r="B2356" s="46" t="s">
        <v>204</v>
      </c>
      <c r="C2356" s="47">
        <v>44314</v>
      </c>
      <c r="D2356" s="45">
        <v>22021003381</v>
      </c>
      <c r="E2356" s="46" t="s">
        <v>1183</v>
      </c>
      <c r="F2356" s="48">
        <v>156.44999999999999</v>
      </c>
      <c r="G2356" s="54" t="s">
        <v>271</v>
      </c>
      <c r="H2356" s="54" t="s">
        <v>3844</v>
      </c>
      <c r="I2356" s="53" t="s">
        <v>205</v>
      </c>
      <c r="J2356" s="54" t="s">
        <v>127</v>
      </c>
      <c r="K2356" s="54" t="s">
        <v>127</v>
      </c>
      <c r="L2356" s="54" t="s">
        <v>15</v>
      </c>
      <c r="M2356" s="54" t="s">
        <v>13</v>
      </c>
      <c r="N2356" s="54" t="s">
        <v>14</v>
      </c>
      <c r="O2356" s="49" t="s">
        <v>814</v>
      </c>
      <c r="P2356" s="54" t="s">
        <v>3392</v>
      </c>
      <c r="Q2356" s="35" t="str">
        <f>MID(Tabla1[[#This Row],[Aplicación]],14,1)</f>
        <v>2</v>
      </c>
      <c r="R2356" s="35" t="s">
        <v>495</v>
      </c>
      <c r="S2356" s="35" t="str">
        <f>MID(Tabla1[[#This Row],[Aplicación]],6,2)</f>
        <v>11</v>
      </c>
      <c r="T2356" s="35" t="str">
        <f>VLOOKUP(Tabla1[[#This Row],[AREA]],Hoja1!A:B,2,FALSE)</f>
        <v>11. Salud pública y seguridad ciudadana</v>
      </c>
      <c r="U2356" s="35" t="str">
        <f>MID(Tabla1[[#This Row],[Aplicación]],9,4)</f>
        <v>1361</v>
      </c>
      <c r="V2356" s="35" t="str">
        <f>VLOOKUP(Tabla1[[#This Row],[PROGRAMA]],Hoja1!A:B,2,FALSE)</f>
        <v>1361. Prevención y extinción de incencios</v>
      </c>
      <c r="W2356" s="35" t="str">
        <f>MID(Tabla1[[#This Row],[Aplicación]],14,2)</f>
        <v>22</v>
      </c>
      <c r="X2356" s="35" t="str">
        <f>MID(Tabla1[[#This Row],[Aplicación]],14,6)</f>
        <v>22199</v>
      </c>
    </row>
    <row r="2357" spans="1:24" x14ac:dyDescent="0.25">
      <c r="A2357" s="45">
        <v>220210028269</v>
      </c>
      <c r="B2357" s="46" t="s">
        <v>9</v>
      </c>
      <c r="C2357" s="47">
        <v>44350</v>
      </c>
      <c r="D2357" s="45">
        <v>22021003373</v>
      </c>
      <c r="E2357" s="46" t="s">
        <v>3331</v>
      </c>
      <c r="F2357" s="48">
        <v>2125.56</v>
      </c>
      <c r="G2357" s="54" t="s">
        <v>221</v>
      </c>
      <c r="H2357" s="54" t="s">
        <v>3845</v>
      </c>
      <c r="I2357" s="53" t="s">
        <v>125</v>
      </c>
      <c r="J2357" s="54" t="s">
        <v>565</v>
      </c>
      <c r="K2357" s="54" t="s">
        <v>126</v>
      </c>
      <c r="L2357" s="54" t="s">
        <v>15</v>
      </c>
      <c r="M2357" s="54" t="s">
        <v>10</v>
      </c>
      <c r="N2357" s="54" t="s">
        <v>11</v>
      </c>
      <c r="O2357" s="49" t="s">
        <v>815</v>
      </c>
      <c r="P2357" s="54" t="s">
        <v>3392</v>
      </c>
      <c r="Q2357" s="35" t="str">
        <f>MID(Tabla1[[#This Row],[Aplicación]],14,1)</f>
        <v>6</v>
      </c>
      <c r="R2357" s="35" t="s">
        <v>496</v>
      </c>
      <c r="S2357" s="35" t="str">
        <f>MID(Tabla1[[#This Row],[Aplicación]],6,2)</f>
        <v>11</v>
      </c>
      <c r="T2357" s="35" t="str">
        <f>VLOOKUP(Tabla1[[#This Row],[AREA]],Hoja1!A:B,2,FALSE)</f>
        <v>11. Salud pública y seguridad ciudadana</v>
      </c>
      <c r="U2357" s="35" t="str">
        <f>MID(Tabla1[[#This Row],[Aplicación]],9,4)</f>
        <v>1321</v>
      </c>
      <c r="V2357" s="35" t="str">
        <f>VLOOKUP(Tabla1[[#This Row],[PROGRAMA]],Hoja1!A:B,2,FALSE)</f>
        <v>1321. Policía municipal</v>
      </c>
      <c r="W2357" s="35" t="str">
        <f>MID(Tabla1[[#This Row],[Aplicación]],14,2)</f>
        <v>62</v>
      </c>
      <c r="X2357" s="35" t="str">
        <f>MID(Tabla1[[#This Row],[Aplicación]],14,6)</f>
        <v>626</v>
      </c>
    </row>
    <row r="2358" spans="1:24" x14ac:dyDescent="0.25">
      <c r="A2358" s="45">
        <v>220210029589</v>
      </c>
      <c r="B2358" s="46" t="s">
        <v>204</v>
      </c>
      <c r="C2358" s="47">
        <v>44355</v>
      </c>
      <c r="D2358" s="45">
        <v>22021003381</v>
      </c>
      <c r="E2358" s="46" t="s">
        <v>1183</v>
      </c>
      <c r="F2358" s="48">
        <v>25.12</v>
      </c>
      <c r="G2358" s="54" t="s">
        <v>271</v>
      </c>
      <c r="H2358" s="54" t="s">
        <v>3846</v>
      </c>
      <c r="I2358" s="53" t="s">
        <v>205</v>
      </c>
      <c r="J2358" s="54" t="s">
        <v>127</v>
      </c>
      <c r="K2358" s="54" t="s">
        <v>127</v>
      </c>
      <c r="L2358" s="54" t="s">
        <v>15</v>
      </c>
      <c r="M2358" s="54" t="s">
        <v>13</v>
      </c>
      <c r="N2358" s="54" t="s">
        <v>14</v>
      </c>
      <c r="O2358" s="49" t="s">
        <v>814</v>
      </c>
      <c r="P2358" s="54" t="s">
        <v>3392</v>
      </c>
      <c r="Q2358" s="35" t="str">
        <f>MID(Tabla1[[#This Row],[Aplicación]],14,1)</f>
        <v>2</v>
      </c>
      <c r="R2358" s="35" t="s">
        <v>495</v>
      </c>
      <c r="S2358" s="35" t="str">
        <f>MID(Tabla1[[#This Row],[Aplicación]],6,2)</f>
        <v>11</v>
      </c>
      <c r="T2358" s="35" t="str">
        <f>VLOOKUP(Tabla1[[#This Row],[AREA]],Hoja1!A:B,2,FALSE)</f>
        <v>11. Salud pública y seguridad ciudadana</v>
      </c>
      <c r="U2358" s="35" t="str">
        <f>MID(Tabla1[[#This Row],[Aplicación]],9,4)</f>
        <v>1361</v>
      </c>
      <c r="V2358" s="35" t="str">
        <f>VLOOKUP(Tabla1[[#This Row],[PROGRAMA]],Hoja1!A:B,2,FALSE)</f>
        <v>1361. Prevención y extinción de incencios</v>
      </c>
      <c r="W2358" s="35" t="str">
        <f>MID(Tabla1[[#This Row],[Aplicación]],14,2)</f>
        <v>22</v>
      </c>
      <c r="X2358" s="35" t="str">
        <f>MID(Tabla1[[#This Row],[Aplicación]],14,6)</f>
        <v>22199</v>
      </c>
    </row>
    <row r="2359" spans="1:24" x14ac:dyDescent="0.25">
      <c r="A2359" s="45">
        <v>220210021017</v>
      </c>
      <c r="B2359" s="46" t="s">
        <v>9</v>
      </c>
      <c r="C2359" s="47">
        <v>44323</v>
      </c>
      <c r="D2359" s="45">
        <v>22021004338</v>
      </c>
      <c r="E2359" s="46" t="s">
        <v>1267</v>
      </c>
      <c r="F2359" s="48">
        <v>2114.6</v>
      </c>
      <c r="G2359" s="54" t="s">
        <v>297</v>
      </c>
      <c r="H2359" s="54" t="s">
        <v>3847</v>
      </c>
      <c r="I2359" s="53" t="s">
        <v>125</v>
      </c>
      <c r="J2359" s="54" t="s">
        <v>127</v>
      </c>
      <c r="K2359" s="54" t="s">
        <v>127</v>
      </c>
      <c r="L2359" s="54" t="s">
        <v>15</v>
      </c>
      <c r="M2359" s="54" t="s">
        <v>10</v>
      </c>
      <c r="N2359" s="54" t="s">
        <v>11</v>
      </c>
      <c r="O2359" s="49" t="s">
        <v>815</v>
      </c>
      <c r="P2359" s="54" t="s">
        <v>3392</v>
      </c>
      <c r="Q2359" s="35" t="str">
        <f>MID(Tabla1[[#This Row],[Aplicación]],14,1)</f>
        <v>2</v>
      </c>
      <c r="R2359" s="35" t="s">
        <v>495</v>
      </c>
      <c r="S2359" s="35" t="str">
        <f>MID(Tabla1[[#This Row],[Aplicación]],6,2)</f>
        <v>03</v>
      </c>
      <c r="T2359" s="35" t="str">
        <f>VLOOKUP(Tabla1[[#This Row],[AREA]],Hoja1!A:B,2,FALSE)</f>
        <v>03. Participación ciudadana y deportes</v>
      </c>
      <c r="U2359" s="35" t="str">
        <f>MID(Tabla1[[#This Row],[Aplicación]],9,4)</f>
        <v>9241</v>
      </c>
      <c r="V2359" s="35" t="str">
        <f>VLOOKUP(Tabla1[[#This Row],[PROGRAMA]],Hoja1!A:B,2,FALSE)</f>
        <v>9241. Participación ciudadana</v>
      </c>
      <c r="W2359" s="35" t="str">
        <f>MID(Tabla1[[#This Row],[Aplicación]],14,2)</f>
        <v>22</v>
      </c>
      <c r="X2359" s="35" t="str">
        <f>MID(Tabla1[[#This Row],[Aplicación]],14,6)</f>
        <v>22602</v>
      </c>
    </row>
    <row r="2360" spans="1:24" x14ac:dyDescent="0.25">
      <c r="A2360" s="45">
        <v>220210016941</v>
      </c>
      <c r="B2360" s="46" t="s">
        <v>9</v>
      </c>
      <c r="C2360" s="47">
        <v>44312</v>
      </c>
      <c r="D2360" s="45">
        <v>22021003983</v>
      </c>
      <c r="E2360" s="46" t="s">
        <v>844</v>
      </c>
      <c r="F2360" s="48">
        <v>2081.1999999999998</v>
      </c>
      <c r="G2360" s="54" t="s">
        <v>3848</v>
      </c>
      <c r="H2360" s="54" t="s">
        <v>3849</v>
      </c>
      <c r="I2360" s="53" t="s">
        <v>125</v>
      </c>
      <c r="J2360" s="54" t="s">
        <v>127</v>
      </c>
      <c r="K2360" s="54" t="s">
        <v>127</v>
      </c>
      <c r="L2360" s="54" t="s">
        <v>31</v>
      </c>
      <c r="M2360" s="54" t="s">
        <v>10</v>
      </c>
      <c r="N2360" s="54" t="s">
        <v>14</v>
      </c>
      <c r="O2360" s="49" t="s">
        <v>815</v>
      </c>
      <c r="P2360" s="54" t="s">
        <v>3392</v>
      </c>
      <c r="Q2360" s="35" t="str">
        <f>MID(Tabla1[[#This Row],[Aplicación]],14,1)</f>
        <v>2</v>
      </c>
      <c r="R2360" s="35" t="s">
        <v>495</v>
      </c>
      <c r="S2360" s="35" t="str">
        <f>MID(Tabla1[[#This Row],[Aplicación]],6,2)</f>
        <v>10</v>
      </c>
      <c r="T2360" s="35" t="str">
        <f>VLOOKUP(Tabla1[[#This Row],[AREA]],Hoja1!A:B,2,FALSE)</f>
        <v>10. Servicios sociales y mediación comunitaria</v>
      </c>
      <c r="U2360" s="35" t="str">
        <f>MID(Tabla1[[#This Row],[Aplicación]],9,4)</f>
        <v>2312</v>
      </c>
      <c r="V2360" s="35" t="str">
        <f>VLOOKUP(Tabla1[[#This Row],[PROGRAMA]],Hoja1!A:B,2,FALSE)</f>
        <v>2312. Iniciativas sociales</v>
      </c>
      <c r="W2360" s="35" t="str">
        <f>MID(Tabla1[[#This Row],[Aplicación]],14,2)</f>
        <v>21</v>
      </c>
      <c r="X2360" s="35" t="str">
        <f>MID(Tabla1[[#This Row],[Aplicación]],14,6)</f>
        <v>212</v>
      </c>
    </row>
    <row r="2361" spans="1:24" x14ac:dyDescent="0.25">
      <c r="A2361" s="45">
        <v>220210032802</v>
      </c>
      <c r="B2361" s="46" t="s">
        <v>204</v>
      </c>
      <c r="C2361" s="47">
        <v>44371</v>
      </c>
      <c r="D2361" s="45">
        <v>22021003381</v>
      </c>
      <c r="E2361" s="46" t="s">
        <v>1183</v>
      </c>
      <c r="F2361" s="48">
        <v>150.02000000000001</v>
      </c>
      <c r="G2361" s="54" t="s">
        <v>271</v>
      </c>
      <c r="H2361" s="54" t="s">
        <v>3850</v>
      </c>
      <c r="I2361" s="53" t="s">
        <v>205</v>
      </c>
      <c r="J2361" s="54" t="s">
        <v>127</v>
      </c>
      <c r="K2361" s="54" t="s">
        <v>127</v>
      </c>
      <c r="L2361" s="54" t="s">
        <v>15</v>
      </c>
      <c r="M2361" s="54" t="s">
        <v>13</v>
      </c>
      <c r="N2361" s="54" t="s">
        <v>14</v>
      </c>
      <c r="O2361" s="49" t="s">
        <v>814</v>
      </c>
      <c r="P2361" s="54" t="s">
        <v>3392</v>
      </c>
      <c r="Q2361" s="35" t="str">
        <f>MID(Tabla1[[#This Row],[Aplicación]],14,1)</f>
        <v>2</v>
      </c>
      <c r="R2361" s="35" t="s">
        <v>495</v>
      </c>
      <c r="S2361" s="35" t="str">
        <f>MID(Tabla1[[#This Row],[Aplicación]],6,2)</f>
        <v>11</v>
      </c>
      <c r="T2361" s="35" t="str">
        <f>VLOOKUP(Tabla1[[#This Row],[AREA]],Hoja1!A:B,2,FALSE)</f>
        <v>11. Salud pública y seguridad ciudadana</v>
      </c>
      <c r="U2361" s="35" t="str">
        <f>MID(Tabla1[[#This Row],[Aplicación]],9,4)</f>
        <v>1361</v>
      </c>
      <c r="V2361" s="35" t="str">
        <f>VLOOKUP(Tabla1[[#This Row],[PROGRAMA]],Hoja1!A:B,2,FALSE)</f>
        <v>1361. Prevención y extinción de incencios</v>
      </c>
      <c r="W2361" s="35" t="str">
        <f>MID(Tabla1[[#This Row],[Aplicación]],14,2)</f>
        <v>22</v>
      </c>
      <c r="X2361" s="35" t="str">
        <f>MID(Tabla1[[#This Row],[Aplicación]],14,6)</f>
        <v>22199</v>
      </c>
    </row>
    <row r="2362" spans="1:24" x14ac:dyDescent="0.25">
      <c r="A2362" s="45">
        <v>220210014693</v>
      </c>
      <c r="B2362" s="46" t="s">
        <v>9</v>
      </c>
      <c r="C2362" s="47">
        <v>44299</v>
      </c>
      <c r="D2362" s="45">
        <v>22021003833</v>
      </c>
      <c r="E2362" s="46" t="s">
        <v>1397</v>
      </c>
      <c r="F2362" s="48">
        <v>2057</v>
      </c>
      <c r="G2362" s="54" t="s">
        <v>3633</v>
      </c>
      <c r="H2362" s="54" t="s">
        <v>3851</v>
      </c>
      <c r="I2362" s="53" t="s">
        <v>125</v>
      </c>
      <c r="J2362" s="54" t="s">
        <v>136</v>
      </c>
      <c r="K2362" s="54" t="s">
        <v>136</v>
      </c>
      <c r="L2362" s="54" t="s">
        <v>15</v>
      </c>
      <c r="M2362" s="54" t="s">
        <v>10</v>
      </c>
      <c r="N2362" s="54" t="s">
        <v>11</v>
      </c>
      <c r="O2362" s="49" t="s">
        <v>815</v>
      </c>
      <c r="P2362" s="54" t="s">
        <v>3392</v>
      </c>
      <c r="Q2362" s="35" t="str">
        <f>MID(Tabla1[[#This Row],[Aplicación]],14,1)</f>
        <v>2</v>
      </c>
      <c r="R2362" s="35" t="s">
        <v>495</v>
      </c>
      <c r="S2362" s="35" t="str">
        <f>MID(Tabla1[[#This Row],[Aplicación]],6,2)</f>
        <v>11</v>
      </c>
      <c r="T2362" s="35" t="str">
        <f>VLOOKUP(Tabla1[[#This Row],[AREA]],Hoja1!A:B,2,FALSE)</f>
        <v>11. Salud pública y seguridad ciudadana</v>
      </c>
      <c r="U2362" s="35" t="str">
        <f>MID(Tabla1[[#This Row],[Aplicación]],9,4)</f>
        <v>1361</v>
      </c>
      <c r="V2362" s="35" t="str">
        <f>VLOOKUP(Tabla1[[#This Row],[PROGRAMA]],Hoja1!A:B,2,FALSE)</f>
        <v>1361. Prevención y extinción de incencios</v>
      </c>
      <c r="W2362" s="35" t="str">
        <f>MID(Tabla1[[#This Row],[Aplicación]],14,2)</f>
        <v>21</v>
      </c>
      <c r="X2362" s="35" t="str">
        <f>MID(Tabla1[[#This Row],[Aplicación]],14,6)</f>
        <v>214</v>
      </c>
    </row>
    <row r="2363" spans="1:24" x14ac:dyDescent="0.25">
      <c r="A2363" s="45">
        <v>220210031460</v>
      </c>
      <c r="B2363" s="46" t="s">
        <v>9</v>
      </c>
      <c r="C2363" s="47">
        <v>44368</v>
      </c>
      <c r="D2363" s="45">
        <v>22021004998</v>
      </c>
      <c r="E2363" s="46" t="s">
        <v>2155</v>
      </c>
      <c r="F2363" s="48">
        <v>2032.8</v>
      </c>
      <c r="G2363" s="54" t="s">
        <v>3472</v>
      </c>
      <c r="H2363" s="54" t="s">
        <v>3852</v>
      </c>
      <c r="I2363" s="53" t="s">
        <v>125</v>
      </c>
      <c r="J2363" s="54" t="s">
        <v>127</v>
      </c>
      <c r="K2363" s="54" t="s">
        <v>127</v>
      </c>
      <c r="L2363" s="54" t="s">
        <v>31</v>
      </c>
      <c r="M2363" s="54" t="s">
        <v>10</v>
      </c>
      <c r="N2363" s="54" t="s">
        <v>11</v>
      </c>
      <c r="O2363" s="49" t="s">
        <v>815</v>
      </c>
      <c r="P2363" s="54" t="s">
        <v>3392</v>
      </c>
      <c r="Q2363" s="35" t="str">
        <f>MID(Tabla1[[#This Row],[Aplicación]],14,1)</f>
        <v>2</v>
      </c>
      <c r="R2363" s="35" t="s">
        <v>495</v>
      </c>
      <c r="S2363" s="35" t="str">
        <f>MID(Tabla1[[#This Row],[Aplicación]],6,2)</f>
        <v>11</v>
      </c>
      <c r="T2363" s="35" t="str">
        <f>VLOOKUP(Tabla1[[#This Row],[AREA]],Hoja1!A:B,2,FALSE)</f>
        <v>11. Salud pública y seguridad ciudadana</v>
      </c>
      <c r="U2363" s="35" t="str">
        <f>MID(Tabla1[[#This Row],[Aplicación]],9,4)</f>
        <v>1621</v>
      </c>
      <c r="V2363" s="35" t="str">
        <f>VLOOKUP(Tabla1[[#This Row],[PROGRAMA]],Hoja1!A:B,2,FALSE)</f>
        <v>1621. Servicio de limpieza</v>
      </c>
      <c r="W2363" s="35" t="str">
        <f>MID(Tabla1[[#This Row],[Aplicación]],14,2)</f>
        <v>21</v>
      </c>
      <c r="X2363" s="35" t="str">
        <f>MID(Tabla1[[#This Row],[Aplicación]],14,6)</f>
        <v>212</v>
      </c>
    </row>
    <row r="2364" spans="1:24" x14ac:dyDescent="0.25">
      <c r="A2364" s="45">
        <v>220210020446</v>
      </c>
      <c r="B2364" s="46" t="s">
        <v>9</v>
      </c>
      <c r="C2364" s="47">
        <v>44322</v>
      </c>
      <c r="D2364" s="45">
        <v>22021004281</v>
      </c>
      <c r="E2364" s="46" t="s">
        <v>1336</v>
      </c>
      <c r="F2364" s="48">
        <v>3000</v>
      </c>
      <c r="G2364" s="54" t="s">
        <v>256</v>
      </c>
      <c r="H2364" s="54" t="s">
        <v>3853</v>
      </c>
      <c r="I2364" s="53" t="s">
        <v>125</v>
      </c>
      <c r="J2364" s="54" t="s">
        <v>127</v>
      </c>
      <c r="K2364" s="54" t="s">
        <v>127</v>
      </c>
      <c r="L2364" s="54" t="s">
        <v>15</v>
      </c>
      <c r="M2364" s="54" t="s">
        <v>13</v>
      </c>
      <c r="N2364" s="54" t="s">
        <v>14</v>
      </c>
      <c r="O2364" s="49" t="s">
        <v>814</v>
      </c>
      <c r="P2364" s="54" t="s">
        <v>3392</v>
      </c>
      <c r="Q2364" s="35" t="str">
        <f>MID(Tabla1[[#This Row],[Aplicación]],14,1)</f>
        <v>2</v>
      </c>
      <c r="R2364" s="35" t="s">
        <v>495</v>
      </c>
      <c r="S2364" s="35" t="str">
        <f>MID(Tabla1[[#This Row],[Aplicación]],6,2)</f>
        <v>02</v>
      </c>
      <c r="T2364" s="35" t="str">
        <f>VLOOKUP(Tabla1[[#This Row],[AREA]],Hoja1!A:B,2,FALSE)</f>
        <v>02. Planeamiento urbanístico y vivienda</v>
      </c>
      <c r="U2364" s="35" t="str">
        <f>MID(Tabla1[[#This Row],[Aplicación]],9,4)</f>
        <v>9332</v>
      </c>
      <c r="V2364" s="35" t="str">
        <f>VLOOKUP(Tabla1[[#This Row],[PROGRAMA]],Hoja1!A:B,2,FALSE)</f>
        <v>9332. Mantenimiento de edificios e instalaciones municipales</v>
      </c>
      <c r="W2364" s="35" t="str">
        <f>MID(Tabla1[[#This Row],[Aplicación]],14,2)</f>
        <v>21</v>
      </c>
      <c r="X2364" s="35" t="str">
        <f>MID(Tabla1[[#This Row],[Aplicación]],14,6)</f>
        <v>212</v>
      </c>
    </row>
    <row r="2365" spans="1:24" x14ac:dyDescent="0.25">
      <c r="A2365" s="45">
        <v>220210015636</v>
      </c>
      <c r="B2365" s="46" t="s">
        <v>204</v>
      </c>
      <c r="C2365" s="47">
        <v>44302</v>
      </c>
      <c r="D2365" s="45">
        <v>22021001966</v>
      </c>
      <c r="E2365" s="46" t="s">
        <v>950</v>
      </c>
      <c r="F2365" s="48">
        <v>2064.0100000000002</v>
      </c>
      <c r="G2365" s="54" t="s">
        <v>102</v>
      </c>
      <c r="H2365" s="54" t="s">
        <v>3854</v>
      </c>
      <c r="I2365" s="53" t="s">
        <v>205</v>
      </c>
      <c r="J2365" s="54" t="s">
        <v>127</v>
      </c>
      <c r="K2365" s="54" t="s">
        <v>127</v>
      </c>
      <c r="L2365" s="54" t="s">
        <v>15</v>
      </c>
      <c r="M2365" s="54" t="s">
        <v>13</v>
      </c>
      <c r="N2365" s="54" t="s">
        <v>14</v>
      </c>
      <c r="O2365" s="49" t="s">
        <v>814</v>
      </c>
      <c r="P2365" s="54" t="s">
        <v>3392</v>
      </c>
      <c r="Q2365" s="35" t="str">
        <f>MID(Tabla1[[#This Row],[Aplicación]],14,1)</f>
        <v>2</v>
      </c>
      <c r="R2365" s="35" t="s">
        <v>495</v>
      </c>
      <c r="S2365" s="35" t="str">
        <f>MID(Tabla1[[#This Row],[Aplicación]],6,2)</f>
        <v>11</v>
      </c>
      <c r="T2365" s="35" t="str">
        <f>VLOOKUP(Tabla1[[#This Row],[AREA]],Hoja1!A:B,2,FALSE)</f>
        <v>11. Salud pública y seguridad ciudadana</v>
      </c>
      <c r="U2365" s="35" t="str">
        <f>MID(Tabla1[[#This Row],[Aplicación]],9,4)</f>
        <v>1321</v>
      </c>
      <c r="V2365" s="35" t="str">
        <f>VLOOKUP(Tabla1[[#This Row],[PROGRAMA]],Hoja1!A:B,2,FALSE)</f>
        <v>1321. Policía municipal</v>
      </c>
      <c r="W2365" s="35" t="str">
        <f>MID(Tabla1[[#This Row],[Aplicación]],14,2)</f>
        <v>21</v>
      </c>
      <c r="X2365" s="35" t="str">
        <f>MID(Tabla1[[#This Row],[Aplicación]],14,6)</f>
        <v>213</v>
      </c>
    </row>
    <row r="2366" spans="1:24" x14ac:dyDescent="0.25">
      <c r="A2366" s="45">
        <v>220210017132</v>
      </c>
      <c r="B2366" s="46" t="s">
        <v>9</v>
      </c>
      <c r="C2366" s="47">
        <v>44312</v>
      </c>
      <c r="D2366" s="45">
        <v>22021004124</v>
      </c>
      <c r="E2366" s="46" t="s">
        <v>3354</v>
      </c>
      <c r="F2366" s="48">
        <v>2018.89</v>
      </c>
      <c r="G2366" s="54" t="s">
        <v>3855</v>
      </c>
      <c r="H2366" s="54" t="s">
        <v>3856</v>
      </c>
      <c r="I2366" s="53" t="s">
        <v>125</v>
      </c>
      <c r="J2366" s="54" t="s">
        <v>127</v>
      </c>
      <c r="K2366" s="54" t="s">
        <v>127</v>
      </c>
      <c r="L2366" s="54" t="s">
        <v>12</v>
      </c>
      <c r="M2366" s="54" t="s">
        <v>10</v>
      </c>
      <c r="N2366" s="54" t="s">
        <v>11</v>
      </c>
      <c r="O2366" s="49" t="s">
        <v>815</v>
      </c>
      <c r="P2366" s="54" t="s">
        <v>3392</v>
      </c>
      <c r="Q2366" s="35" t="str">
        <f>MID(Tabla1[[#This Row],[Aplicación]],14,1)</f>
        <v>2</v>
      </c>
      <c r="R2366" s="35" t="s">
        <v>495</v>
      </c>
      <c r="S2366" s="35" t="str">
        <f>MID(Tabla1[[#This Row],[Aplicación]],6,2)</f>
        <v>06</v>
      </c>
      <c r="T2366" s="35" t="str">
        <f>VLOOKUP(Tabla1[[#This Row],[AREA]],Hoja1!A:B,2,FALSE)</f>
        <v>06. Educación, infancia, juventud e igualdad</v>
      </c>
      <c r="U2366" s="35" t="str">
        <f>MID(Tabla1[[#This Row],[Aplicación]],9,4)</f>
        <v>2314</v>
      </c>
      <c r="V2366" s="35" t="str">
        <f>VLOOKUP(Tabla1[[#This Row],[PROGRAMA]],Hoja1!A:B,2,FALSE)</f>
        <v>2314. Centro de programas juveniles</v>
      </c>
      <c r="W2366" s="35" t="str">
        <f>MID(Tabla1[[#This Row],[Aplicación]],14,2)</f>
        <v>22</v>
      </c>
      <c r="X2366" s="35" t="str">
        <f>MID(Tabla1[[#This Row],[Aplicación]],14,6)</f>
        <v>22706</v>
      </c>
    </row>
    <row r="2367" spans="1:24" x14ac:dyDescent="0.25">
      <c r="A2367" s="45">
        <v>220210018210</v>
      </c>
      <c r="B2367" s="46" t="s">
        <v>9</v>
      </c>
      <c r="C2367" s="47">
        <v>44313</v>
      </c>
      <c r="D2367" s="45">
        <v>22021004111</v>
      </c>
      <c r="E2367" s="46" t="s">
        <v>3354</v>
      </c>
      <c r="F2367" s="48">
        <v>2018.89</v>
      </c>
      <c r="G2367" s="54" t="s">
        <v>3857</v>
      </c>
      <c r="H2367" s="54" t="s">
        <v>3856</v>
      </c>
      <c r="I2367" s="53" t="s">
        <v>125</v>
      </c>
      <c r="J2367" s="54" t="s">
        <v>127</v>
      </c>
      <c r="K2367" s="54" t="s">
        <v>127</v>
      </c>
      <c r="L2367" s="54" t="s">
        <v>12</v>
      </c>
      <c r="M2367" s="54" t="s">
        <v>10</v>
      </c>
      <c r="N2367" s="54" t="s">
        <v>11</v>
      </c>
      <c r="O2367" s="49" t="s">
        <v>815</v>
      </c>
      <c r="P2367" s="54" t="s">
        <v>3392</v>
      </c>
      <c r="Q2367" s="35" t="str">
        <f>MID(Tabla1[[#This Row],[Aplicación]],14,1)</f>
        <v>2</v>
      </c>
      <c r="R2367" s="35" t="s">
        <v>495</v>
      </c>
      <c r="S2367" s="35" t="str">
        <f>MID(Tabla1[[#This Row],[Aplicación]],6,2)</f>
        <v>06</v>
      </c>
      <c r="T2367" s="35" t="str">
        <f>VLOOKUP(Tabla1[[#This Row],[AREA]],Hoja1!A:B,2,FALSE)</f>
        <v>06. Educación, infancia, juventud e igualdad</v>
      </c>
      <c r="U2367" s="35" t="str">
        <f>MID(Tabla1[[#This Row],[Aplicación]],9,4)</f>
        <v>2314</v>
      </c>
      <c r="V2367" s="35" t="str">
        <f>VLOOKUP(Tabla1[[#This Row],[PROGRAMA]],Hoja1!A:B,2,FALSE)</f>
        <v>2314. Centro de programas juveniles</v>
      </c>
      <c r="W2367" s="35" t="str">
        <f>MID(Tabla1[[#This Row],[Aplicación]],14,2)</f>
        <v>22</v>
      </c>
      <c r="X2367" s="35" t="str">
        <f>MID(Tabla1[[#This Row],[Aplicación]],14,6)</f>
        <v>22706</v>
      </c>
    </row>
    <row r="2368" spans="1:24" x14ac:dyDescent="0.25">
      <c r="A2368" s="45">
        <v>220210020091</v>
      </c>
      <c r="B2368" s="46" t="s">
        <v>9</v>
      </c>
      <c r="C2368" s="47">
        <v>44321</v>
      </c>
      <c r="D2368" s="45">
        <v>22021003145</v>
      </c>
      <c r="E2368" s="46" t="s">
        <v>1410</v>
      </c>
      <c r="F2368" s="48">
        <v>2000</v>
      </c>
      <c r="G2368" s="54" t="s">
        <v>289</v>
      </c>
      <c r="H2368" s="54" t="s">
        <v>3858</v>
      </c>
      <c r="I2368" s="53" t="s">
        <v>125</v>
      </c>
      <c r="J2368" s="54" t="s">
        <v>127</v>
      </c>
      <c r="K2368" s="54" t="s">
        <v>127</v>
      </c>
      <c r="L2368" s="54" t="s">
        <v>12</v>
      </c>
      <c r="M2368" s="54" t="s">
        <v>10</v>
      </c>
      <c r="N2368" s="54" t="s">
        <v>11</v>
      </c>
      <c r="O2368" s="49" t="s">
        <v>815</v>
      </c>
      <c r="P2368" s="54" t="s">
        <v>3392</v>
      </c>
      <c r="Q2368" s="35" t="str">
        <f>MID(Tabla1[[#This Row],[Aplicación]],14,1)</f>
        <v>2</v>
      </c>
      <c r="R2368" s="35" t="s">
        <v>495</v>
      </c>
      <c r="S2368" s="35" t="str">
        <f>MID(Tabla1[[#This Row],[Aplicación]],6,2)</f>
        <v>07</v>
      </c>
      <c r="T2368" s="35" t="str">
        <f>VLOOKUP(Tabla1[[#This Row],[AREA]],Hoja1!A:B,2,FALSE)</f>
        <v>07. Medio ambiente y desarrollo sostenible</v>
      </c>
      <c r="U2368" s="35" t="str">
        <f>MID(Tabla1[[#This Row],[Aplicación]],9,4)</f>
        <v>1711</v>
      </c>
      <c r="V2368" s="35" t="str">
        <f>VLOOKUP(Tabla1[[#This Row],[PROGRAMA]],Hoja1!A:B,2,FALSE)</f>
        <v>1711. Parques y jardines</v>
      </c>
      <c r="W2368" s="35" t="str">
        <f>MID(Tabla1[[#This Row],[Aplicación]],14,2)</f>
        <v>21</v>
      </c>
      <c r="X2368" s="35" t="str">
        <f>MID(Tabla1[[#This Row],[Aplicación]],14,6)</f>
        <v>214</v>
      </c>
    </row>
    <row r="2369" spans="1:24" x14ac:dyDescent="0.25">
      <c r="A2369" s="45">
        <v>220210016083</v>
      </c>
      <c r="B2369" s="46" t="s">
        <v>9</v>
      </c>
      <c r="C2369" s="47">
        <v>44305</v>
      </c>
      <c r="D2369" s="45">
        <v>22021003912</v>
      </c>
      <c r="E2369" s="46" t="s">
        <v>1372</v>
      </c>
      <c r="F2369" s="48">
        <v>2000</v>
      </c>
      <c r="G2369" s="54" t="s">
        <v>51</v>
      </c>
      <c r="H2369" s="54" t="s">
        <v>2522</v>
      </c>
      <c r="I2369" s="53" t="s">
        <v>125</v>
      </c>
      <c r="J2369" s="54" t="s">
        <v>127</v>
      </c>
      <c r="K2369" s="54" t="s">
        <v>127</v>
      </c>
      <c r="L2369" s="54" t="s">
        <v>12</v>
      </c>
      <c r="M2369" s="54" t="s">
        <v>10</v>
      </c>
      <c r="N2369" s="54" t="s">
        <v>11</v>
      </c>
      <c r="O2369" s="49" t="s">
        <v>815</v>
      </c>
      <c r="P2369" s="54" t="s">
        <v>3392</v>
      </c>
      <c r="Q2369" s="35" t="str">
        <f>MID(Tabla1[[#This Row],[Aplicación]],14,1)</f>
        <v>2</v>
      </c>
      <c r="R2369" s="35" t="s">
        <v>495</v>
      </c>
      <c r="S2369" s="35" t="str">
        <f>MID(Tabla1[[#This Row],[Aplicación]],6,2)</f>
        <v>07</v>
      </c>
      <c r="T2369" s="35" t="str">
        <f>VLOOKUP(Tabla1[[#This Row],[AREA]],Hoja1!A:B,2,FALSE)</f>
        <v>07. Medio ambiente y desarrollo sostenible</v>
      </c>
      <c r="U2369" s="35" t="str">
        <f>MID(Tabla1[[#This Row],[Aplicación]],9,4)</f>
        <v>1711</v>
      </c>
      <c r="V2369" s="35" t="str">
        <f>VLOOKUP(Tabla1[[#This Row],[PROGRAMA]],Hoja1!A:B,2,FALSE)</f>
        <v>1711. Parques y jardines</v>
      </c>
      <c r="W2369" s="35" t="str">
        <f>MID(Tabla1[[#This Row],[Aplicación]],14,2)</f>
        <v>21</v>
      </c>
      <c r="X2369" s="35" t="str">
        <f>MID(Tabla1[[#This Row],[Aplicación]],14,6)</f>
        <v>213</v>
      </c>
    </row>
    <row r="2370" spans="1:24" x14ac:dyDescent="0.25">
      <c r="A2370" s="45">
        <v>220210020449</v>
      </c>
      <c r="B2370" s="46" t="s">
        <v>9</v>
      </c>
      <c r="C2370" s="47">
        <v>44322</v>
      </c>
      <c r="D2370" s="45">
        <v>22021004243</v>
      </c>
      <c r="E2370" s="46" t="s">
        <v>2992</v>
      </c>
      <c r="F2370" s="48">
        <v>2000</v>
      </c>
      <c r="G2370" s="54" t="s">
        <v>2632</v>
      </c>
      <c r="H2370" s="54" t="s">
        <v>3859</v>
      </c>
      <c r="I2370" s="53" t="s">
        <v>125</v>
      </c>
      <c r="J2370" s="54" t="s">
        <v>127</v>
      </c>
      <c r="K2370" s="54" t="s">
        <v>127</v>
      </c>
      <c r="L2370" s="54" t="s">
        <v>12</v>
      </c>
      <c r="M2370" s="54" t="s">
        <v>10</v>
      </c>
      <c r="N2370" s="54" t="s">
        <v>11</v>
      </c>
      <c r="O2370" s="49" t="s">
        <v>815</v>
      </c>
      <c r="P2370" s="54" t="s">
        <v>3392</v>
      </c>
      <c r="Q2370" s="35" t="str">
        <f>MID(Tabla1[[#This Row],[Aplicación]],14,1)</f>
        <v>2</v>
      </c>
      <c r="R2370" s="35" t="s">
        <v>495</v>
      </c>
      <c r="S2370" s="35" t="str">
        <f>MID(Tabla1[[#This Row],[Aplicación]],6,2)</f>
        <v>05</v>
      </c>
      <c r="T2370" s="35" t="str">
        <f>VLOOKUP(Tabla1[[#This Row],[AREA]],Hoja1!A:B,2,FALSE)</f>
        <v>05. Innovación, desarrollo económico, empleo y comercio</v>
      </c>
      <c r="U2370" s="35" t="str">
        <f>MID(Tabla1[[#This Row],[Aplicación]],9,4)</f>
        <v>4314</v>
      </c>
      <c r="V2370" s="35" t="str">
        <f>VLOOKUP(Tabla1[[#This Row],[PROGRAMA]],Hoja1!A:B,2,FALSE)</f>
        <v>4314. Fomento del comercio</v>
      </c>
      <c r="W2370" s="35" t="str">
        <f>MID(Tabla1[[#This Row],[Aplicación]],14,2)</f>
        <v>22</v>
      </c>
      <c r="X2370" s="35" t="str">
        <f>MID(Tabla1[[#This Row],[Aplicación]],14,6)</f>
        <v>22706</v>
      </c>
    </row>
    <row r="2371" spans="1:24" x14ac:dyDescent="0.25">
      <c r="A2371" s="45">
        <v>220210016384</v>
      </c>
      <c r="B2371" s="46" t="s">
        <v>9</v>
      </c>
      <c r="C2371" s="47">
        <v>44306</v>
      </c>
      <c r="D2371" s="45">
        <v>22021003903</v>
      </c>
      <c r="E2371" s="46" t="s">
        <v>1187</v>
      </c>
      <c r="F2371" s="48">
        <v>2000</v>
      </c>
      <c r="G2371" s="54" t="s">
        <v>3860</v>
      </c>
      <c r="H2371" s="54" t="s">
        <v>3861</v>
      </c>
      <c r="I2371" s="53" t="s">
        <v>125</v>
      </c>
      <c r="J2371" s="54" t="s">
        <v>664</v>
      </c>
      <c r="K2371" s="54" t="s">
        <v>127</v>
      </c>
      <c r="L2371" s="54" t="s">
        <v>12</v>
      </c>
      <c r="M2371" s="54" t="s">
        <v>10</v>
      </c>
      <c r="N2371" s="54" t="s">
        <v>11</v>
      </c>
      <c r="O2371" s="49" t="s">
        <v>815</v>
      </c>
      <c r="P2371" s="54" t="s">
        <v>3392</v>
      </c>
      <c r="Q2371" s="35" t="str">
        <f>MID(Tabla1[[#This Row],[Aplicación]],14,1)</f>
        <v>2</v>
      </c>
      <c r="R2371" s="35" t="s">
        <v>495</v>
      </c>
      <c r="S2371" s="35" t="str">
        <f>MID(Tabla1[[#This Row],[Aplicación]],6,2)</f>
        <v>06</v>
      </c>
      <c r="T2371" s="35" t="str">
        <f>VLOOKUP(Tabla1[[#This Row],[AREA]],Hoja1!A:B,2,FALSE)</f>
        <v>06. Educación, infancia, juventud e igualdad</v>
      </c>
      <c r="U2371" s="35" t="str">
        <f>MID(Tabla1[[#This Row],[Aplicación]],9,4)</f>
        <v>2315</v>
      </c>
      <c r="V2371" s="35" t="str">
        <f>VLOOKUP(Tabla1[[#This Row],[PROGRAMA]],Hoja1!A:B,2,FALSE)</f>
        <v>2315. Políticas de Igualdad e infancia</v>
      </c>
      <c r="W2371" s="35" t="str">
        <f>MID(Tabla1[[#This Row],[Aplicación]],14,2)</f>
        <v>22</v>
      </c>
      <c r="X2371" s="35" t="str">
        <f>MID(Tabla1[[#This Row],[Aplicación]],14,6)</f>
        <v>22611</v>
      </c>
    </row>
    <row r="2372" spans="1:24" x14ac:dyDescent="0.25">
      <c r="A2372" s="45">
        <v>220210026144</v>
      </c>
      <c r="B2372" s="46" t="s">
        <v>9</v>
      </c>
      <c r="C2372" s="47">
        <v>44347</v>
      </c>
      <c r="D2372" s="45">
        <v>22021004663</v>
      </c>
      <c r="E2372" s="46" t="s">
        <v>3355</v>
      </c>
      <c r="F2372" s="48">
        <v>2000</v>
      </c>
      <c r="G2372" s="54" t="s">
        <v>3862</v>
      </c>
      <c r="H2372" s="54" t="s">
        <v>3863</v>
      </c>
      <c r="I2372" s="53" t="s">
        <v>125</v>
      </c>
      <c r="J2372" s="54" t="s">
        <v>127</v>
      </c>
      <c r="K2372" s="54" t="s">
        <v>127</v>
      </c>
      <c r="L2372" s="54" t="s">
        <v>15</v>
      </c>
      <c r="M2372" s="54" t="s">
        <v>10</v>
      </c>
      <c r="N2372" s="54" t="s">
        <v>11</v>
      </c>
      <c r="O2372" s="49" t="s">
        <v>815</v>
      </c>
      <c r="P2372" s="54" t="s">
        <v>3392</v>
      </c>
      <c r="Q2372" s="35" t="str">
        <f>MID(Tabla1[[#This Row],[Aplicación]],14,1)</f>
        <v>6</v>
      </c>
      <c r="R2372" s="35" t="s">
        <v>496</v>
      </c>
      <c r="S2372" s="35" t="str">
        <f>MID(Tabla1[[#This Row],[Aplicación]],6,2)</f>
        <v>06</v>
      </c>
      <c r="T2372" s="35" t="str">
        <f>VLOOKUP(Tabla1[[#This Row],[AREA]],Hoja1!A:B,2,FALSE)</f>
        <v>06. Educación, infancia, juventud e igualdad</v>
      </c>
      <c r="U2372" s="35" t="str">
        <f>MID(Tabla1[[#This Row],[Aplicación]],9,4)</f>
        <v>2315</v>
      </c>
      <c r="V2372" s="35" t="str">
        <f>VLOOKUP(Tabla1[[#This Row],[PROGRAMA]],Hoja1!A:B,2,FALSE)</f>
        <v>2315. Políticas de Igualdad e infancia</v>
      </c>
      <c r="W2372" s="35" t="str">
        <f>MID(Tabla1[[#This Row],[Aplicación]],14,2)</f>
        <v>62</v>
      </c>
      <c r="X2372" s="35" t="str">
        <f>MID(Tabla1[[#This Row],[Aplicación]],14,6)</f>
        <v>623</v>
      </c>
    </row>
    <row r="2373" spans="1:24" x14ac:dyDescent="0.25">
      <c r="A2373" s="45">
        <v>220210023543</v>
      </c>
      <c r="B2373" s="46" t="s">
        <v>9</v>
      </c>
      <c r="C2373" s="47">
        <v>44336</v>
      </c>
      <c r="D2373" s="45">
        <v>22021003680</v>
      </c>
      <c r="E2373" s="46" t="s">
        <v>3356</v>
      </c>
      <c r="F2373" s="48">
        <v>1996.5</v>
      </c>
      <c r="G2373" s="54" t="s">
        <v>3431</v>
      </c>
      <c r="H2373" s="54" t="s">
        <v>3864</v>
      </c>
      <c r="I2373" s="53" t="s">
        <v>125</v>
      </c>
      <c r="J2373" s="54" t="s">
        <v>127</v>
      </c>
      <c r="K2373" s="54" t="s">
        <v>127</v>
      </c>
      <c r="L2373" s="54" t="s">
        <v>12</v>
      </c>
      <c r="M2373" s="54" t="s">
        <v>10</v>
      </c>
      <c r="N2373" s="54" t="s">
        <v>11</v>
      </c>
      <c r="O2373" s="49" t="s">
        <v>815</v>
      </c>
      <c r="P2373" s="54" t="s">
        <v>3392</v>
      </c>
      <c r="Q2373" s="35" t="str">
        <f>MID(Tabla1[[#This Row],[Aplicación]],14,1)</f>
        <v>2</v>
      </c>
      <c r="R2373" s="35" t="s">
        <v>495</v>
      </c>
      <c r="S2373" s="35" t="str">
        <f>MID(Tabla1[[#This Row],[Aplicación]],6,2)</f>
        <v>08</v>
      </c>
      <c r="T2373" s="35" t="str">
        <f>VLOOKUP(Tabla1[[#This Row],[AREA]],Hoja1!A:B,2,FALSE)</f>
        <v>08. Movilidad y espacio urbano</v>
      </c>
      <c r="U2373" s="35" t="str">
        <f>MID(Tabla1[[#This Row],[Aplicación]],9,4)</f>
        <v>1532</v>
      </c>
      <c r="V2373" s="35" t="str">
        <f>VLOOKUP(Tabla1[[#This Row],[PROGRAMA]],Hoja1!A:B,2,FALSE)</f>
        <v>1532. Pavimentación vias públicas y otros servicios urbanísticos</v>
      </c>
      <c r="W2373" s="35" t="str">
        <f>MID(Tabla1[[#This Row],[Aplicación]],14,2)</f>
        <v>22</v>
      </c>
      <c r="X2373" s="35" t="str">
        <f>MID(Tabla1[[#This Row],[Aplicación]],14,6)</f>
        <v>22699</v>
      </c>
    </row>
    <row r="2374" spans="1:24" x14ac:dyDescent="0.25">
      <c r="A2374" s="45">
        <v>220210018834</v>
      </c>
      <c r="B2374" s="46" t="s">
        <v>204</v>
      </c>
      <c r="C2374" s="47">
        <v>44314</v>
      </c>
      <c r="D2374" s="45">
        <v>22021002059</v>
      </c>
      <c r="E2374" s="46" t="s">
        <v>1183</v>
      </c>
      <c r="F2374" s="48">
        <v>30.82</v>
      </c>
      <c r="G2374" s="54" t="s">
        <v>102</v>
      </c>
      <c r="H2374" s="54" t="s">
        <v>3865</v>
      </c>
      <c r="I2374" s="53" t="s">
        <v>205</v>
      </c>
      <c r="J2374" s="54" t="s">
        <v>127</v>
      </c>
      <c r="K2374" s="54" t="s">
        <v>127</v>
      </c>
      <c r="L2374" s="54" t="s">
        <v>15</v>
      </c>
      <c r="M2374" s="54" t="s">
        <v>13</v>
      </c>
      <c r="N2374" s="54" t="s">
        <v>14</v>
      </c>
      <c r="O2374" s="49" t="s">
        <v>814</v>
      </c>
      <c r="P2374" s="54" t="s">
        <v>3392</v>
      </c>
      <c r="Q2374" s="35" t="str">
        <f>MID(Tabla1[[#This Row],[Aplicación]],14,1)</f>
        <v>2</v>
      </c>
      <c r="R2374" s="35" t="s">
        <v>495</v>
      </c>
      <c r="S2374" s="35" t="str">
        <f>MID(Tabla1[[#This Row],[Aplicación]],6,2)</f>
        <v>11</v>
      </c>
      <c r="T2374" s="35" t="str">
        <f>VLOOKUP(Tabla1[[#This Row],[AREA]],Hoja1!A:B,2,FALSE)</f>
        <v>11. Salud pública y seguridad ciudadana</v>
      </c>
      <c r="U2374" s="35" t="str">
        <f>MID(Tabla1[[#This Row],[Aplicación]],9,4)</f>
        <v>1361</v>
      </c>
      <c r="V2374" s="35" t="str">
        <f>VLOOKUP(Tabla1[[#This Row],[PROGRAMA]],Hoja1!A:B,2,FALSE)</f>
        <v>1361. Prevención y extinción de incencios</v>
      </c>
      <c r="W2374" s="35" t="str">
        <f>MID(Tabla1[[#This Row],[Aplicación]],14,2)</f>
        <v>22</v>
      </c>
      <c r="X2374" s="35" t="str">
        <f>MID(Tabla1[[#This Row],[Aplicación]],14,6)</f>
        <v>22199</v>
      </c>
    </row>
    <row r="2375" spans="1:24" x14ac:dyDescent="0.25">
      <c r="A2375" s="45">
        <v>220210016046</v>
      </c>
      <c r="B2375" s="46" t="s">
        <v>204</v>
      </c>
      <c r="C2375" s="47">
        <v>44305</v>
      </c>
      <c r="D2375" s="45">
        <v>22021001966</v>
      </c>
      <c r="E2375" s="46" t="s">
        <v>950</v>
      </c>
      <c r="F2375" s="48">
        <v>57.21</v>
      </c>
      <c r="G2375" s="54" t="s">
        <v>102</v>
      </c>
      <c r="H2375" s="54" t="s">
        <v>3866</v>
      </c>
      <c r="I2375" s="53" t="s">
        <v>205</v>
      </c>
      <c r="J2375" s="54" t="s">
        <v>127</v>
      </c>
      <c r="K2375" s="54" t="s">
        <v>127</v>
      </c>
      <c r="L2375" s="54" t="s">
        <v>15</v>
      </c>
      <c r="M2375" s="54" t="s">
        <v>13</v>
      </c>
      <c r="N2375" s="54" t="s">
        <v>14</v>
      </c>
      <c r="O2375" s="49" t="s">
        <v>814</v>
      </c>
      <c r="P2375" s="54" t="s">
        <v>3392</v>
      </c>
      <c r="Q2375" s="35" t="str">
        <f>MID(Tabla1[[#This Row],[Aplicación]],14,1)</f>
        <v>2</v>
      </c>
      <c r="R2375" s="35" t="s">
        <v>495</v>
      </c>
      <c r="S2375" s="35" t="str">
        <f>MID(Tabla1[[#This Row],[Aplicación]],6,2)</f>
        <v>11</v>
      </c>
      <c r="T2375" s="35" t="str">
        <f>VLOOKUP(Tabla1[[#This Row],[AREA]],Hoja1!A:B,2,FALSE)</f>
        <v>11. Salud pública y seguridad ciudadana</v>
      </c>
      <c r="U2375" s="35" t="str">
        <f>MID(Tabla1[[#This Row],[Aplicación]],9,4)</f>
        <v>1321</v>
      </c>
      <c r="V2375" s="35" t="str">
        <f>VLOOKUP(Tabla1[[#This Row],[PROGRAMA]],Hoja1!A:B,2,FALSE)</f>
        <v>1321. Policía municipal</v>
      </c>
      <c r="W2375" s="35" t="str">
        <f>MID(Tabla1[[#This Row],[Aplicación]],14,2)</f>
        <v>21</v>
      </c>
      <c r="X2375" s="35" t="str">
        <f>MID(Tabla1[[#This Row],[Aplicación]],14,6)</f>
        <v>213</v>
      </c>
    </row>
    <row r="2376" spans="1:24" x14ac:dyDescent="0.25">
      <c r="A2376" s="45">
        <v>220210026997</v>
      </c>
      <c r="B2376" s="46" t="s">
        <v>9</v>
      </c>
      <c r="C2376" s="47">
        <v>44348</v>
      </c>
      <c r="D2376" s="45">
        <v>22021004661</v>
      </c>
      <c r="E2376" s="46" t="s">
        <v>1172</v>
      </c>
      <c r="F2376" s="48">
        <v>722.25</v>
      </c>
      <c r="G2376" s="54" t="s">
        <v>121</v>
      </c>
      <c r="H2376" s="54" t="s">
        <v>3867</v>
      </c>
      <c r="I2376" s="53" t="s">
        <v>125</v>
      </c>
      <c r="J2376" s="54" t="s">
        <v>664</v>
      </c>
      <c r="K2376" s="54" t="s">
        <v>127</v>
      </c>
      <c r="L2376" s="54" t="s">
        <v>12</v>
      </c>
      <c r="M2376" s="54" t="s">
        <v>10</v>
      </c>
      <c r="N2376" s="54" t="s">
        <v>11</v>
      </c>
      <c r="O2376" s="49" t="s">
        <v>815</v>
      </c>
      <c r="P2376" s="54" t="s">
        <v>3392</v>
      </c>
      <c r="Q2376" s="35" t="str">
        <f>MID(Tabla1[[#This Row],[Aplicación]],14,1)</f>
        <v>6</v>
      </c>
      <c r="R2376" s="35" t="s">
        <v>496</v>
      </c>
      <c r="S2376" s="35" t="str">
        <f>MID(Tabla1[[#This Row],[Aplicación]],6,2)</f>
        <v>02</v>
      </c>
      <c r="T2376" s="35" t="str">
        <f>VLOOKUP(Tabla1[[#This Row],[AREA]],Hoja1!A:B,2,FALSE)</f>
        <v>02. Planeamiento urbanístico y vivienda</v>
      </c>
      <c r="U2376" s="35" t="str">
        <f>MID(Tabla1[[#This Row],[Aplicación]],9,4)</f>
        <v>9332</v>
      </c>
      <c r="V2376" s="35" t="str">
        <f>VLOOKUP(Tabla1[[#This Row],[PROGRAMA]],Hoja1!A:B,2,FALSE)</f>
        <v>9332. Mantenimiento de edificios e instalaciones municipales</v>
      </c>
      <c r="W2376" s="35" t="str">
        <f>MID(Tabla1[[#This Row],[Aplicación]],14,2)</f>
        <v>63</v>
      </c>
      <c r="X2376" s="35" t="str">
        <f>MID(Tabla1[[#This Row],[Aplicación]],14,6)</f>
        <v>632</v>
      </c>
    </row>
    <row r="2377" spans="1:24" x14ac:dyDescent="0.25">
      <c r="A2377" s="45">
        <v>220210028638</v>
      </c>
      <c r="B2377" s="46" t="s">
        <v>9</v>
      </c>
      <c r="C2377" s="47">
        <v>44351</v>
      </c>
      <c r="D2377" s="45">
        <v>22021004727</v>
      </c>
      <c r="E2377" s="46" t="s">
        <v>3328</v>
      </c>
      <c r="F2377" s="48">
        <v>1863.4</v>
      </c>
      <c r="G2377" s="54" t="s">
        <v>3770</v>
      </c>
      <c r="H2377" s="54" t="s">
        <v>3868</v>
      </c>
      <c r="I2377" s="53" t="s">
        <v>125</v>
      </c>
      <c r="J2377" s="54" t="s">
        <v>127</v>
      </c>
      <c r="K2377" s="54" t="s">
        <v>127</v>
      </c>
      <c r="L2377" s="54" t="s">
        <v>15</v>
      </c>
      <c r="M2377" s="54" t="s">
        <v>10</v>
      </c>
      <c r="N2377" s="54" t="s">
        <v>11</v>
      </c>
      <c r="O2377" s="49" t="s">
        <v>815</v>
      </c>
      <c r="P2377" s="54" t="s">
        <v>3392</v>
      </c>
      <c r="Q2377" s="35" t="str">
        <f>MID(Tabla1[[#This Row],[Aplicación]],14,1)</f>
        <v>6</v>
      </c>
      <c r="R2377" s="35" t="s">
        <v>496</v>
      </c>
      <c r="S2377" s="35" t="str">
        <f>MID(Tabla1[[#This Row],[Aplicación]],6,2)</f>
        <v>04</v>
      </c>
      <c r="T2377" s="35" t="str">
        <f>VLOOKUP(Tabla1[[#This Row],[AREA]],Hoja1!A:B,2,FALSE)</f>
        <v>04. Planificación y recursos</v>
      </c>
      <c r="U2377" s="35" t="str">
        <f>MID(Tabla1[[#This Row],[Aplicación]],9,4)</f>
        <v>9204</v>
      </c>
      <c r="V2377" s="35" t="str">
        <f>VLOOKUP(Tabla1[[#This Row],[PROGRAMA]],Hoja1!A:B,2,FALSE)</f>
        <v>9204. Tecnologías de la información y comunicación</v>
      </c>
      <c r="W2377" s="35" t="str">
        <f>MID(Tabla1[[#This Row],[Aplicación]],14,2)</f>
        <v>62</v>
      </c>
      <c r="X2377" s="35" t="str">
        <f>MID(Tabla1[[#This Row],[Aplicación]],14,6)</f>
        <v>626</v>
      </c>
    </row>
    <row r="2378" spans="1:24" x14ac:dyDescent="0.25">
      <c r="A2378" s="45">
        <v>220210020833</v>
      </c>
      <c r="B2378" s="46" t="s">
        <v>9</v>
      </c>
      <c r="C2378" s="47">
        <v>44323</v>
      </c>
      <c r="D2378" s="45">
        <v>22021004304</v>
      </c>
      <c r="E2378" s="46" t="s">
        <v>3357</v>
      </c>
      <c r="F2378" s="48">
        <v>1840.54</v>
      </c>
      <c r="G2378" s="54" t="s">
        <v>48</v>
      </c>
      <c r="H2378" s="54" t="s">
        <v>3869</v>
      </c>
      <c r="I2378" s="53" t="s">
        <v>125</v>
      </c>
      <c r="J2378" s="54" t="s">
        <v>127</v>
      </c>
      <c r="K2378" s="54" t="s">
        <v>127</v>
      </c>
      <c r="L2378" s="54" t="s">
        <v>15</v>
      </c>
      <c r="M2378" s="54" t="s">
        <v>10</v>
      </c>
      <c r="N2378" s="54" t="s">
        <v>11</v>
      </c>
      <c r="O2378" s="49" t="s">
        <v>815</v>
      </c>
      <c r="P2378" s="54" t="s">
        <v>3392</v>
      </c>
      <c r="Q2378" s="35" t="str">
        <f>MID(Tabla1[[#This Row],[Aplicación]],14,1)</f>
        <v>2</v>
      </c>
      <c r="R2378" s="35" t="s">
        <v>495</v>
      </c>
      <c r="S2378" s="35" t="str">
        <f>MID(Tabla1[[#This Row],[Aplicación]],6,2)</f>
        <v>02</v>
      </c>
      <c r="T2378" s="35" t="str">
        <f>VLOOKUP(Tabla1[[#This Row],[AREA]],Hoja1!A:B,2,FALSE)</f>
        <v>02. Planeamiento urbanístico y vivienda</v>
      </c>
      <c r="U2378" s="35" t="str">
        <f>MID(Tabla1[[#This Row],[Aplicación]],9,4)</f>
        <v>1501</v>
      </c>
      <c r="V2378" s="35" t="str">
        <f>VLOOKUP(Tabla1[[#This Row],[PROGRAMA]],Hoja1!A:B,2,FALSE)</f>
        <v>1501. Dirección del área de urbanismo</v>
      </c>
      <c r="W2378" s="35" t="str">
        <f>MID(Tabla1[[#This Row],[Aplicación]],14,2)</f>
        <v>22</v>
      </c>
      <c r="X2378" s="35" t="str">
        <f>MID(Tabla1[[#This Row],[Aplicación]],14,6)</f>
        <v>22104</v>
      </c>
    </row>
    <row r="2379" spans="1:24" x14ac:dyDescent="0.25">
      <c r="A2379" s="45">
        <v>220210023542</v>
      </c>
      <c r="B2379" s="46" t="s">
        <v>9</v>
      </c>
      <c r="C2379" s="47">
        <v>44336</v>
      </c>
      <c r="D2379" s="45">
        <v>22021003585</v>
      </c>
      <c r="E2379" s="46" t="s">
        <v>1617</v>
      </c>
      <c r="F2379" s="48">
        <v>15057.78</v>
      </c>
      <c r="G2379" s="54" t="s">
        <v>513</v>
      </c>
      <c r="H2379" s="54" t="s">
        <v>3870</v>
      </c>
      <c r="I2379" s="53" t="s">
        <v>125</v>
      </c>
      <c r="J2379" s="54" t="s">
        <v>127</v>
      </c>
      <c r="K2379" s="54" t="s">
        <v>127</v>
      </c>
      <c r="L2379" s="54" t="s">
        <v>12</v>
      </c>
      <c r="M2379" s="54" t="s">
        <v>13</v>
      </c>
      <c r="N2379" s="54" t="s">
        <v>14</v>
      </c>
      <c r="O2379" s="49" t="s">
        <v>814</v>
      </c>
      <c r="P2379" s="54" t="s">
        <v>3392</v>
      </c>
      <c r="Q2379" s="35" t="str">
        <f>MID(Tabla1[[#This Row],[Aplicación]],14,1)</f>
        <v>2</v>
      </c>
      <c r="R2379" s="35" t="s">
        <v>495</v>
      </c>
      <c r="S2379" s="35" t="str">
        <f>MID(Tabla1[[#This Row],[Aplicación]],6,2)</f>
        <v>05</v>
      </c>
      <c r="T2379" s="35" t="str">
        <f>VLOOKUP(Tabla1[[#This Row],[AREA]],Hoja1!A:B,2,FALSE)</f>
        <v>05. Innovación, desarrollo económico, empleo y comercio</v>
      </c>
      <c r="U2379" s="35" t="str">
        <f>MID(Tabla1[[#This Row],[Aplicación]],9,4)</f>
        <v>4331</v>
      </c>
      <c r="V2379" s="35" t="str">
        <f>VLOOKUP(Tabla1[[#This Row],[PROGRAMA]],Hoja1!A:B,2,FALSE)</f>
        <v>4331. Desarrollo empresarial</v>
      </c>
      <c r="W2379" s="35" t="str">
        <f>MID(Tabla1[[#This Row],[Aplicación]],14,2)</f>
        <v>22</v>
      </c>
      <c r="X2379" s="35" t="str">
        <f>MID(Tabla1[[#This Row],[Aplicación]],14,6)</f>
        <v>22602</v>
      </c>
    </row>
    <row r="2380" spans="1:24" x14ac:dyDescent="0.25">
      <c r="A2380" s="45">
        <v>220210021826</v>
      </c>
      <c r="B2380" s="46" t="s">
        <v>9</v>
      </c>
      <c r="C2380" s="47">
        <v>44327</v>
      </c>
      <c r="D2380" s="45">
        <v>22021004368</v>
      </c>
      <c r="E2380" s="46" t="s">
        <v>818</v>
      </c>
      <c r="F2380" s="48">
        <v>1810.08</v>
      </c>
      <c r="G2380" s="54" t="s">
        <v>3199</v>
      </c>
      <c r="H2380" s="54" t="s">
        <v>3871</v>
      </c>
      <c r="I2380" s="53" t="s">
        <v>125</v>
      </c>
      <c r="J2380" s="54" t="s">
        <v>127</v>
      </c>
      <c r="K2380" s="54" t="s">
        <v>127</v>
      </c>
      <c r="L2380" s="54" t="s">
        <v>12</v>
      </c>
      <c r="M2380" s="54" t="s">
        <v>10</v>
      </c>
      <c r="N2380" s="54" t="s">
        <v>11</v>
      </c>
      <c r="O2380" s="49" t="s">
        <v>815</v>
      </c>
      <c r="P2380" s="54" t="s">
        <v>3392</v>
      </c>
      <c r="Q2380" s="35" t="str">
        <f>MID(Tabla1[[#This Row],[Aplicación]],14,1)</f>
        <v>2</v>
      </c>
      <c r="R2380" s="35" t="s">
        <v>495</v>
      </c>
      <c r="S2380" s="35" t="str">
        <f>MID(Tabla1[[#This Row],[Aplicación]],6,2)</f>
        <v>09</v>
      </c>
      <c r="T2380" s="35" t="str">
        <f>VLOOKUP(Tabla1[[#This Row],[AREA]],Hoja1!A:B,2,FALSE)</f>
        <v>09. Cultura y turismo</v>
      </c>
      <c r="U2380" s="35" t="str">
        <f>MID(Tabla1[[#This Row],[Aplicación]],9,4)</f>
        <v>3341</v>
      </c>
      <c r="V2380" s="35" t="str">
        <f>VLOOKUP(Tabla1[[#This Row],[PROGRAMA]],Hoja1!A:B,2,FALSE)</f>
        <v>3341. Coordinación de políticas culturales</v>
      </c>
      <c r="W2380" s="35" t="str">
        <f>MID(Tabla1[[#This Row],[Aplicación]],14,2)</f>
        <v>22</v>
      </c>
      <c r="X2380" s="35" t="str">
        <f>MID(Tabla1[[#This Row],[Aplicación]],14,6)</f>
        <v>22609</v>
      </c>
    </row>
    <row r="2381" spans="1:24" x14ac:dyDescent="0.25">
      <c r="A2381" s="45">
        <v>220210023570</v>
      </c>
      <c r="B2381" s="46" t="s">
        <v>9</v>
      </c>
      <c r="C2381" s="47">
        <v>44340</v>
      </c>
      <c r="D2381" s="45">
        <v>22021004428</v>
      </c>
      <c r="E2381" s="46" t="s">
        <v>1542</v>
      </c>
      <c r="F2381" s="48">
        <v>528.64</v>
      </c>
      <c r="G2381" s="54" t="s">
        <v>121</v>
      </c>
      <c r="H2381" s="54" t="s">
        <v>3872</v>
      </c>
      <c r="I2381" s="53" t="s">
        <v>125</v>
      </c>
      <c r="J2381" s="54" t="s">
        <v>664</v>
      </c>
      <c r="K2381" s="54" t="s">
        <v>127</v>
      </c>
      <c r="L2381" s="54" t="s">
        <v>31</v>
      </c>
      <c r="M2381" s="54" t="s">
        <v>13</v>
      </c>
      <c r="N2381" s="54" t="s">
        <v>16</v>
      </c>
      <c r="O2381" s="49" t="s">
        <v>814</v>
      </c>
      <c r="P2381" s="54" t="s">
        <v>3392</v>
      </c>
      <c r="Q2381" s="35" t="str">
        <f>MID(Tabla1[[#This Row],[Aplicación]],14,1)</f>
        <v>6</v>
      </c>
      <c r="R2381" s="35" t="s">
        <v>496</v>
      </c>
      <c r="S2381" s="35" t="str">
        <f>MID(Tabla1[[#This Row],[Aplicación]],6,2)</f>
        <v>05</v>
      </c>
      <c r="T2381" s="35" t="str">
        <f>VLOOKUP(Tabla1[[#This Row],[AREA]],Hoja1!A:B,2,FALSE)</f>
        <v>05. Innovación, desarrollo económico, empleo y comercio</v>
      </c>
      <c r="U2381" s="35" t="str">
        <f>MID(Tabla1[[#This Row],[Aplicación]],9,4)</f>
        <v>4331</v>
      </c>
      <c r="V2381" s="35" t="str">
        <f>VLOOKUP(Tabla1[[#This Row],[PROGRAMA]],Hoja1!A:B,2,FALSE)</f>
        <v>4331. Desarrollo empresarial</v>
      </c>
      <c r="W2381" s="35" t="str">
        <f>MID(Tabla1[[#This Row],[Aplicación]],14,2)</f>
        <v>60</v>
      </c>
      <c r="X2381" s="35" t="str">
        <f>MID(Tabla1[[#This Row],[Aplicación]],14,6)</f>
        <v>609</v>
      </c>
    </row>
    <row r="2382" spans="1:24" x14ac:dyDescent="0.25">
      <c r="A2382" s="45">
        <v>220210025673</v>
      </c>
      <c r="B2382" s="46" t="s">
        <v>204</v>
      </c>
      <c r="C2382" s="47">
        <v>44343</v>
      </c>
      <c r="D2382" s="45">
        <v>22021003381</v>
      </c>
      <c r="E2382" s="46" t="s">
        <v>1183</v>
      </c>
      <c r="F2382" s="48">
        <v>32.950000000000003</v>
      </c>
      <c r="G2382" s="54" t="s">
        <v>102</v>
      </c>
      <c r="H2382" s="54" t="s">
        <v>3873</v>
      </c>
      <c r="I2382" s="53" t="s">
        <v>205</v>
      </c>
      <c r="J2382" s="54" t="s">
        <v>127</v>
      </c>
      <c r="K2382" s="54" t="s">
        <v>127</v>
      </c>
      <c r="L2382" s="54" t="s">
        <v>15</v>
      </c>
      <c r="M2382" s="54" t="s">
        <v>13</v>
      </c>
      <c r="N2382" s="54" t="s">
        <v>14</v>
      </c>
      <c r="O2382" s="49" t="s">
        <v>814</v>
      </c>
      <c r="P2382" s="54" t="s">
        <v>3392</v>
      </c>
      <c r="Q2382" s="35" t="str">
        <f>MID(Tabla1[[#This Row],[Aplicación]],14,1)</f>
        <v>2</v>
      </c>
      <c r="R2382" s="35" t="s">
        <v>495</v>
      </c>
      <c r="S2382" s="35" t="str">
        <f>MID(Tabla1[[#This Row],[Aplicación]],6,2)</f>
        <v>11</v>
      </c>
      <c r="T2382" s="35" t="str">
        <f>VLOOKUP(Tabla1[[#This Row],[AREA]],Hoja1!A:B,2,FALSE)</f>
        <v>11. Salud pública y seguridad ciudadana</v>
      </c>
      <c r="U2382" s="35" t="str">
        <f>MID(Tabla1[[#This Row],[Aplicación]],9,4)</f>
        <v>1361</v>
      </c>
      <c r="V2382" s="35" t="str">
        <f>VLOOKUP(Tabla1[[#This Row],[PROGRAMA]],Hoja1!A:B,2,FALSE)</f>
        <v>1361. Prevención y extinción de incencios</v>
      </c>
      <c r="W2382" s="35" t="str">
        <f>MID(Tabla1[[#This Row],[Aplicación]],14,2)</f>
        <v>22</v>
      </c>
      <c r="X2382" s="35" t="str">
        <f>MID(Tabla1[[#This Row],[Aplicación]],14,6)</f>
        <v>22199</v>
      </c>
    </row>
    <row r="2383" spans="1:24" x14ac:dyDescent="0.25">
      <c r="A2383" s="45">
        <v>220210020793</v>
      </c>
      <c r="B2383" s="46" t="s">
        <v>32</v>
      </c>
      <c r="C2383" s="47">
        <v>44323</v>
      </c>
      <c r="D2383" s="45">
        <v>22021004301</v>
      </c>
      <c r="E2383" s="46" t="s">
        <v>1660</v>
      </c>
      <c r="F2383" s="48">
        <v>1795.7</v>
      </c>
      <c r="G2383" s="54" t="s">
        <v>2330</v>
      </c>
      <c r="H2383" s="54" t="s">
        <v>3874</v>
      </c>
      <c r="I2383" s="53" t="s">
        <v>234</v>
      </c>
      <c r="J2383" s="54" t="s">
        <v>127</v>
      </c>
      <c r="K2383" s="54" t="s">
        <v>127</v>
      </c>
      <c r="L2383" s="54" t="s">
        <v>12</v>
      </c>
      <c r="M2383" s="54" t="s">
        <v>10</v>
      </c>
      <c r="N2383" s="54" t="s">
        <v>11</v>
      </c>
      <c r="O2383" s="49" t="s">
        <v>815</v>
      </c>
      <c r="P2383" s="54" t="s">
        <v>3392</v>
      </c>
      <c r="Q2383" s="35" t="str">
        <f>MID(Tabla1[[#This Row],[Aplicación]],14,1)</f>
        <v>2</v>
      </c>
      <c r="R2383" s="35" t="s">
        <v>495</v>
      </c>
      <c r="S2383" s="35" t="str">
        <f>MID(Tabla1[[#This Row],[Aplicación]],6,2)</f>
        <v>04</v>
      </c>
      <c r="T2383" s="35" t="str">
        <f>VLOOKUP(Tabla1[[#This Row],[AREA]],Hoja1!A:B,2,FALSE)</f>
        <v>04. Planificación y recursos</v>
      </c>
      <c r="U2383" s="35" t="str">
        <f>MID(Tabla1[[#This Row],[Aplicación]],9,4)</f>
        <v>9202</v>
      </c>
      <c r="V2383" s="35" t="str">
        <f>VLOOKUP(Tabla1[[#This Row],[PROGRAMA]],Hoja1!A:B,2,FALSE)</f>
        <v>9202. Gestión de recursos humanos</v>
      </c>
      <c r="W2383" s="35" t="str">
        <f>MID(Tabla1[[#This Row],[Aplicación]],14,2)</f>
        <v>22</v>
      </c>
      <c r="X2383" s="35" t="str">
        <f>MID(Tabla1[[#This Row],[Aplicación]],14,6)</f>
        <v>22607</v>
      </c>
    </row>
    <row r="2384" spans="1:24" x14ac:dyDescent="0.25">
      <c r="A2384" s="45">
        <v>220210031326</v>
      </c>
      <c r="B2384" s="46" t="s">
        <v>9</v>
      </c>
      <c r="C2384" s="47">
        <v>44364</v>
      </c>
      <c r="D2384" s="45">
        <v>22021004924</v>
      </c>
      <c r="E2384" s="46" t="s">
        <v>1596</v>
      </c>
      <c r="F2384" s="48">
        <v>1790.8</v>
      </c>
      <c r="G2384" s="54" t="s">
        <v>1895</v>
      </c>
      <c r="H2384" s="54" t="s">
        <v>3875</v>
      </c>
      <c r="I2384" s="53" t="s">
        <v>125</v>
      </c>
      <c r="J2384" s="54" t="s">
        <v>642</v>
      </c>
      <c r="K2384" s="54" t="s">
        <v>160</v>
      </c>
      <c r="L2384" s="54" t="s">
        <v>12</v>
      </c>
      <c r="M2384" s="54" t="s">
        <v>10</v>
      </c>
      <c r="N2384" s="54" t="s">
        <v>11</v>
      </c>
      <c r="O2384" s="49" t="s">
        <v>815</v>
      </c>
      <c r="P2384" s="54" t="s">
        <v>3392</v>
      </c>
      <c r="Q2384" s="35" t="str">
        <f>MID(Tabla1[[#This Row],[Aplicación]],14,1)</f>
        <v>2</v>
      </c>
      <c r="R2384" s="35" t="s">
        <v>495</v>
      </c>
      <c r="S2384" s="35" t="str">
        <f>MID(Tabla1[[#This Row],[Aplicación]],6,2)</f>
        <v>11</v>
      </c>
      <c r="T2384" s="35" t="str">
        <f>VLOOKUP(Tabla1[[#This Row],[AREA]],Hoja1!A:B,2,FALSE)</f>
        <v>11. Salud pública y seguridad ciudadana</v>
      </c>
      <c r="U2384" s="35" t="str">
        <f>MID(Tabla1[[#This Row],[Aplicación]],9,4)</f>
        <v>1321</v>
      </c>
      <c r="V2384" s="35" t="str">
        <f>VLOOKUP(Tabla1[[#This Row],[PROGRAMA]],Hoja1!A:B,2,FALSE)</f>
        <v>1321. Policía municipal</v>
      </c>
      <c r="W2384" s="35" t="str">
        <f>MID(Tabla1[[#This Row],[Aplicación]],14,2)</f>
        <v>22</v>
      </c>
      <c r="X2384" s="35" t="str">
        <f>MID(Tabla1[[#This Row],[Aplicación]],14,6)</f>
        <v>22699</v>
      </c>
    </row>
    <row r="2385" spans="1:24" x14ac:dyDescent="0.25">
      <c r="A2385" s="45">
        <v>220210019013</v>
      </c>
      <c r="B2385" s="46" t="s">
        <v>9</v>
      </c>
      <c r="C2385" s="47">
        <v>44319</v>
      </c>
      <c r="D2385" s="45">
        <v>22021004240</v>
      </c>
      <c r="E2385" s="46" t="s">
        <v>1167</v>
      </c>
      <c r="F2385" s="48">
        <v>1787.87</v>
      </c>
      <c r="G2385" s="54" t="s">
        <v>3876</v>
      </c>
      <c r="H2385" s="54" t="s">
        <v>3877</v>
      </c>
      <c r="I2385" s="53" t="s">
        <v>125</v>
      </c>
      <c r="J2385" s="54" t="s">
        <v>127</v>
      </c>
      <c r="K2385" s="54" t="s">
        <v>127</v>
      </c>
      <c r="L2385" s="54" t="s">
        <v>12</v>
      </c>
      <c r="M2385" s="54" t="s">
        <v>10</v>
      </c>
      <c r="N2385" s="54" t="s">
        <v>11</v>
      </c>
      <c r="O2385" s="49" t="s">
        <v>815</v>
      </c>
      <c r="P2385" s="54" t="s">
        <v>3392</v>
      </c>
      <c r="Q2385" s="35" t="str">
        <f>MID(Tabla1[[#This Row],[Aplicación]],14,1)</f>
        <v>2</v>
      </c>
      <c r="R2385" s="35" t="s">
        <v>495</v>
      </c>
      <c r="S2385" s="35" t="str">
        <f>MID(Tabla1[[#This Row],[Aplicación]],6,2)</f>
        <v>11</v>
      </c>
      <c r="T2385" s="35" t="str">
        <f>VLOOKUP(Tabla1[[#This Row],[AREA]],Hoja1!A:B,2,FALSE)</f>
        <v>11. Salud pública y seguridad ciudadana</v>
      </c>
      <c r="U2385" s="35" t="str">
        <f>MID(Tabla1[[#This Row],[Aplicación]],9,4)</f>
        <v>1321</v>
      </c>
      <c r="V2385" s="35" t="str">
        <f>VLOOKUP(Tabla1[[#This Row],[PROGRAMA]],Hoja1!A:B,2,FALSE)</f>
        <v>1321. Policía municipal</v>
      </c>
      <c r="W2385" s="35" t="str">
        <f>MID(Tabla1[[#This Row],[Aplicación]],14,2)</f>
        <v>21</v>
      </c>
      <c r="X2385" s="35" t="str">
        <f>MID(Tabla1[[#This Row],[Aplicación]],14,6)</f>
        <v>214</v>
      </c>
    </row>
    <row r="2386" spans="1:24" x14ac:dyDescent="0.25">
      <c r="A2386" s="45">
        <v>220210029585</v>
      </c>
      <c r="B2386" s="46" t="s">
        <v>204</v>
      </c>
      <c r="C2386" s="47">
        <v>44355</v>
      </c>
      <c r="D2386" s="45">
        <v>22021003381</v>
      </c>
      <c r="E2386" s="46" t="s">
        <v>1183</v>
      </c>
      <c r="F2386" s="48">
        <v>60.26</v>
      </c>
      <c r="G2386" s="54" t="s">
        <v>102</v>
      </c>
      <c r="H2386" s="54" t="s">
        <v>3878</v>
      </c>
      <c r="I2386" s="53" t="s">
        <v>205</v>
      </c>
      <c r="J2386" s="54" t="s">
        <v>127</v>
      </c>
      <c r="K2386" s="54" t="s">
        <v>127</v>
      </c>
      <c r="L2386" s="54" t="s">
        <v>15</v>
      </c>
      <c r="M2386" s="54" t="s">
        <v>13</v>
      </c>
      <c r="N2386" s="54" t="s">
        <v>14</v>
      </c>
      <c r="O2386" s="49" t="s">
        <v>814</v>
      </c>
      <c r="P2386" s="54" t="s">
        <v>3392</v>
      </c>
      <c r="Q2386" s="35" t="str">
        <f>MID(Tabla1[[#This Row],[Aplicación]],14,1)</f>
        <v>2</v>
      </c>
      <c r="R2386" s="35" t="s">
        <v>495</v>
      </c>
      <c r="S2386" s="35" t="str">
        <f>MID(Tabla1[[#This Row],[Aplicación]],6,2)</f>
        <v>11</v>
      </c>
      <c r="T2386" s="35" t="str">
        <f>VLOOKUP(Tabla1[[#This Row],[AREA]],Hoja1!A:B,2,FALSE)</f>
        <v>11. Salud pública y seguridad ciudadana</v>
      </c>
      <c r="U2386" s="35" t="str">
        <f>MID(Tabla1[[#This Row],[Aplicación]],9,4)</f>
        <v>1361</v>
      </c>
      <c r="V2386" s="35" t="str">
        <f>VLOOKUP(Tabla1[[#This Row],[PROGRAMA]],Hoja1!A:B,2,FALSE)</f>
        <v>1361. Prevención y extinción de incencios</v>
      </c>
      <c r="W2386" s="35" t="str">
        <f>MID(Tabla1[[#This Row],[Aplicación]],14,2)</f>
        <v>22</v>
      </c>
      <c r="X2386" s="35" t="str">
        <f>MID(Tabla1[[#This Row],[Aplicación]],14,6)</f>
        <v>22199</v>
      </c>
    </row>
    <row r="2387" spans="1:24" x14ac:dyDescent="0.25">
      <c r="A2387" s="45">
        <v>220210016946</v>
      </c>
      <c r="B2387" s="46" t="s">
        <v>9</v>
      </c>
      <c r="C2387" s="47">
        <v>44312</v>
      </c>
      <c r="D2387" s="45">
        <v>22021004042</v>
      </c>
      <c r="E2387" s="46" t="s">
        <v>1187</v>
      </c>
      <c r="F2387" s="48">
        <v>1760</v>
      </c>
      <c r="G2387" s="54" t="s">
        <v>2349</v>
      </c>
      <c r="H2387" s="54" t="s">
        <v>3879</v>
      </c>
      <c r="I2387" s="53" t="s">
        <v>125</v>
      </c>
      <c r="J2387" s="54" t="s">
        <v>2259</v>
      </c>
      <c r="K2387" s="54" t="s">
        <v>127</v>
      </c>
      <c r="L2387" s="54" t="s">
        <v>12</v>
      </c>
      <c r="M2387" s="54" t="s">
        <v>10</v>
      </c>
      <c r="N2387" s="54" t="s">
        <v>11</v>
      </c>
      <c r="O2387" s="49" t="s">
        <v>815</v>
      </c>
      <c r="P2387" s="54" t="s">
        <v>3392</v>
      </c>
      <c r="Q2387" s="35" t="str">
        <f>MID(Tabla1[[#This Row],[Aplicación]],14,1)</f>
        <v>2</v>
      </c>
      <c r="R2387" s="35" t="s">
        <v>495</v>
      </c>
      <c r="S2387" s="35" t="str">
        <f>MID(Tabla1[[#This Row],[Aplicación]],6,2)</f>
        <v>06</v>
      </c>
      <c r="T2387" s="35" t="str">
        <f>VLOOKUP(Tabla1[[#This Row],[AREA]],Hoja1!A:B,2,FALSE)</f>
        <v>06. Educación, infancia, juventud e igualdad</v>
      </c>
      <c r="U2387" s="35" t="str">
        <f>MID(Tabla1[[#This Row],[Aplicación]],9,4)</f>
        <v>2315</v>
      </c>
      <c r="V2387" s="35" t="str">
        <f>VLOOKUP(Tabla1[[#This Row],[PROGRAMA]],Hoja1!A:B,2,FALSE)</f>
        <v>2315. Políticas de Igualdad e infancia</v>
      </c>
      <c r="W2387" s="35" t="str">
        <f>MID(Tabla1[[#This Row],[Aplicación]],14,2)</f>
        <v>22</v>
      </c>
      <c r="X2387" s="35" t="str">
        <f>MID(Tabla1[[#This Row],[Aplicación]],14,6)</f>
        <v>22611</v>
      </c>
    </row>
    <row r="2388" spans="1:24" x14ac:dyDescent="0.25">
      <c r="A2388" s="45">
        <v>220210019246</v>
      </c>
      <c r="B2388" s="46" t="s">
        <v>9</v>
      </c>
      <c r="C2388" s="47">
        <v>44320</v>
      </c>
      <c r="D2388" s="45">
        <v>22021004170</v>
      </c>
      <c r="E2388" s="46" t="s">
        <v>1187</v>
      </c>
      <c r="F2388" s="48">
        <v>1760</v>
      </c>
      <c r="G2388" s="54" t="s">
        <v>3880</v>
      </c>
      <c r="H2388" s="54" t="s">
        <v>3881</v>
      </c>
      <c r="I2388" s="53" t="s">
        <v>125</v>
      </c>
      <c r="J2388" s="54" t="s">
        <v>127</v>
      </c>
      <c r="K2388" s="54" t="s">
        <v>127</v>
      </c>
      <c r="L2388" s="54" t="s">
        <v>12</v>
      </c>
      <c r="M2388" s="54" t="s">
        <v>10</v>
      </c>
      <c r="N2388" s="54" t="s">
        <v>11</v>
      </c>
      <c r="O2388" s="49" t="s">
        <v>815</v>
      </c>
      <c r="P2388" s="54" t="s">
        <v>3392</v>
      </c>
      <c r="Q2388" s="35" t="str">
        <f>MID(Tabla1[[#This Row],[Aplicación]],14,1)</f>
        <v>2</v>
      </c>
      <c r="R2388" s="35" t="s">
        <v>495</v>
      </c>
      <c r="S2388" s="35" t="str">
        <f>MID(Tabla1[[#This Row],[Aplicación]],6,2)</f>
        <v>06</v>
      </c>
      <c r="T2388" s="35" t="str">
        <f>VLOOKUP(Tabla1[[#This Row],[AREA]],Hoja1!A:B,2,FALSE)</f>
        <v>06. Educación, infancia, juventud e igualdad</v>
      </c>
      <c r="U2388" s="35" t="str">
        <f>MID(Tabla1[[#This Row],[Aplicación]],9,4)</f>
        <v>2315</v>
      </c>
      <c r="V2388" s="35" t="str">
        <f>VLOOKUP(Tabla1[[#This Row],[PROGRAMA]],Hoja1!A:B,2,FALSE)</f>
        <v>2315. Políticas de Igualdad e infancia</v>
      </c>
      <c r="W2388" s="35" t="str">
        <f>MID(Tabla1[[#This Row],[Aplicación]],14,2)</f>
        <v>22</v>
      </c>
      <c r="X2388" s="35" t="str">
        <f>MID(Tabla1[[#This Row],[Aplicación]],14,6)</f>
        <v>22611</v>
      </c>
    </row>
    <row r="2389" spans="1:24" x14ac:dyDescent="0.25">
      <c r="A2389" s="45">
        <v>220210029587</v>
      </c>
      <c r="B2389" s="46" t="s">
        <v>204</v>
      </c>
      <c r="C2389" s="47">
        <v>44355</v>
      </c>
      <c r="D2389" s="45">
        <v>22021003381</v>
      </c>
      <c r="E2389" s="46" t="s">
        <v>1183</v>
      </c>
      <c r="F2389" s="48">
        <v>23.3</v>
      </c>
      <c r="G2389" s="54" t="s">
        <v>102</v>
      </c>
      <c r="H2389" s="54" t="s">
        <v>3882</v>
      </c>
      <c r="I2389" s="53" t="s">
        <v>205</v>
      </c>
      <c r="J2389" s="54" t="s">
        <v>127</v>
      </c>
      <c r="K2389" s="54" t="s">
        <v>127</v>
      </c>
      <c r="L2389" s="54" t="s">
        <v>15</v>
      </c>
      <c r="M2389" s="54" t="s">
        <v>13</v>
      </c>
      <c r="N2389" s="54" t="s">
        <v>14</v>
      </c>
      <c r="O2389" s="49" t="s">
        <v>814</v>
      </c>
      <c r="P2389" s="54" t="s">
        <v>3392</v>
      </c>
      <c r="Q2389" s="35" t="str">
        <f>MID(Tabla1[[#This Row],[Aplicación]],14,1)</f>
        <v>2</v>
      </c>
      <c r="R2389" s="35" t="s">
        <v>495</v>
      </c>
      <c r="S2389" s="35" t="str">
        <f>MID(Tabla1[[#This Row],[Aplicación]],6,2)</f>
        <v>11</v>
      </c>
      <c r="T2389" s="35" t="str">
        <f>VLOOKUP(Tabla1[[#This Row],[AREA]],Hoja1!A:B,2,FALSE)</f>
        <v>11. Salud pública y seguridad ciudadana</v>
      </c>
      <c r="U2389" s="35" t="str">
        <f>MID(Tabla1[[#This Row],[Aplicación]],9,4)</f>
        <v>1361</v>
      </c>
      <c r="V2389" s="35" t="str">
        <f>VLOOKUP(Tabla1[[#This Row],[PROGRAMA]],Hoja1!A:B,2,FALSE)</f>
        <v>1361. Prevención y extinción de incencios</v>
      </c>
      <c r="W2389" s="35" t="str">
        <f>MID(Tabla1[[#This Row],[Aplicación]],14,2)</f>
        <v>22</v>
      </c>
      <c r="X2389" s="35" t="str">
        <f>MID(Tabla1[[#This Row],[Aplicación]],14,6)</f>
        <v>22199</v>
      </c>
    </row>
    <row r="2390" spans="1:24" x14ac:dyDescent="0.25">
      <c r="A2390" s="45">
        <v>220210029251</v>
      </c>
      <c r="B2390" s="46" t="s">
        <v>9</v>
      </c>
      <c r="C2390" s="47">
        <v>44354</v>
      </c>
      <c r="D2390" s="45">
        <v>22021004583</v>
      </c>
      <c r="E2390" s="46" t="s">
        <v>1621</v>
      </c>
      <c r="F2390" s="48">
        <v>1754.5</v>
      </c>
      <c r="G2390" s="54" t="s">
        <v>531</v>
      </c>
      <c r="H2390" s="54" t="s">
        <v>3883</v>
      </c>
      <c r="I2390" s="53" t="s">
        <v>125</v>
      </c>
      <c r="J2390" s="54" t="s">
        <v>127</v>
      </c>
      <c r="K2390" s="54" t="s">
        <v>127</v>
      </c>
      <c r="L2390" s="54" t="s">
        <v>12</v>
      </c>
      <c r="M2390" s="54" t="s">
        <v>10</v>
      </c>
      <c r="N2390" s="54" t="s">
        <v>11</v>
      </c>
      <c r="O2390" s="49" t="s">
        <v>815</v>
      </c>
      <c r="P2390" s="54" t="s">
        <v>3392</v>
      </c>
      <c r="Q2390" s="35" t="str">
        <f>MID(Tabla1[[#This Row],[Aplicación]],14,1)</f>
        <v>2</v>
      </c>
      <c r="R2390" s="35" t="s">
        <v>495</v>
      </c>
      <c r="S2390" s="35" t="str">
        <f>MID(Tabla1[[#This Row],[Aplicación]],6,2)</f>
        <v>01</v>
      </c>
      <c r="T2390" s="35" t="str">
        <f>VLOOKUP(Tabla1[[#This Row],[AREA]],Hoja1!A:B,2,FALSE)</f>
        <v>01. Alcaldía</v>
      </c>
      <c r="U2390" s="35" t="str">
        <f>MID(Tabla1[[#This Row],[Aplicación]],9,4)</f>
        <v>9207</v>
      </c>
      <c r="V2390" s="35" t="str">
        <f>VLOOKUP(Tabla1[[#This Row],[PROGRAMA]],Hoja1!A:B,2,FALSE)</f>
        <v>9207. Gobierno y relaciones</v>
      </c>
      <c r="W2390" s="35" t="str">
        <f>MID(Tabla1[[#This Row],[Aplicación]],14,2)</f>
        <v>22</v>
      </c>
      <c r="X2390" s="35" t="str">
        <f>MID(Tabla1[[#This Row],[Aplicación]],14,6)</f>
        <v>22602</v>
      </c>
    </row>
    <row r="2391" spans="1:24" x14ac:dyDescent="0.25">
      <c r="A2391" s="45">
        <v>220210032804</v>
      </c>
      <c r="B2391" s="46" t="s">
        <v>204</v>
      </c>
      <c r="C2391" s="47">
        <v>44371</v>
      </c>
      <c r="D2391" s="45">
        <v>22021003381</v>
      </c>
      <c r="E2391" s="46" t="s">
        <v>1183</v>
      </c>
      <c r="F2391" s="48">
        <v>1.06</v>
      </c>
      <c r="G2391" s="54" t="s">
        <v>102</v>
      </c>
      <c r="H2391" s="54" t="s">
        <v>3884</v>
      </c>
      <c r="I2391" s="53" t="s">
        <v>205</v>
      </c>
      <c r="J2391" s="54" t="s">
        <v>127</v>
      </c>
      <c r="K2391" s="54" t="s">
        <v>127</v>
      </c>
      <c r="L2391" s="54" t="s">
        <v>15</v>
      </c>
      <c r="M2391" s="54" t="s">
        <v>13</v>
      </c>
      <c r="N2391" s="54" t="s">
        <v>14</v>
      </c>
      <c r="O2391" s="49" t="s">
        <v>814</v>
      </c>
      <c r="P2391" s="54" t="s">
        <v>3392</v>
      </c>
      <c r="Q2391" s="35" t="str">
        <f>MID(Tabla1[[#This Row],[Aplicación]],14,1)</f>
        <v>2</v>
      </c>
      <c r="R2391" s="35" t="s">
        <v>495</v>
      </c>
      <c r="S2391" s="35" t="str">
        <f>MID(Tabla1[[#This Row],[Aplicación]],6,2)</f>
        <v>11</v>
      </c>
      <c r="T2391" s="35" t="str">
        <f>VLOOKUP(Tabla1[[#This Row],[AREA]],Hoja1!A:B,2,FALSE)</f>
        <v>11. Salud pública y seguridad ciudadana</v>
      </c>
      <c r="U2391" s="35" t="str">
        <f>MID(Tabla1[[#This Row],[Aplicación]],9,4)</f>
        <v>1361</v>
      </c>
      <c r="V2391" s="35" t="str">
        <f>VLOOKUP(Tabla1[[#This Row],[PROGRAMA]],Hoja1!A:B,2,FALSE)</f>
        <v>1361. Prevención y extinción de incencios</v>
      </c>
      <c r="W2391" s="35" t="str">
        <f>MID(Tabla1[[#This Row],[Aplicación]],14,2)</f>
        <v>22</v>
      </c>
      <c r="X2391" s="35" t="str">
        <f>MID(Tabla1[[#This Row],[Aplicación]],14,6)</f>
        <v>22199</v>
      </c>
    </row>
    <row r="2392" spans="1:24" x14ac:dyDescent="0.25">
      <c r="A2392" s="45">
        <v>220210031800</v>
      </c>
      <c r="B2392" s="46" t="s">
        <v>204</v>
      </c>
      <c r="C2392" s="47">
        <v>44369</v>
      </c>
      <c r="D2392" s="45">
        <v>22019009556</v>
      </c>
      <c r="E2392" s="46" t="s">
        <v>3358</v>
      </c>
      <c r="F2392" s="48">
        <v>8579.69</v>
      </c>
      <c r="G2392" s="54" t="s">
        <v>102</v>
      </c>
      <c r="H2392" s="54" t="s">
        <v>3885</v>
      </c>
      <c r="I2392" s="53" t="s">
        <v>205</v>
      </c>
      <c r="J2392" s="54" t="s">
        <v>127</v>
      </c>
      <c r="K2392" s="54" t="s">
        <v>127</v>
      </c>
      <c r="L2392" s="54" t="s">
        <v>15</v>
      </c>
      <c r="M2392" s="54" t="s">
        <v>13</v>
      </c>
      <c r="N2392" s="54" t="s">
        <v>14</v>
      </c>
      <c r="O2392" s="49" t="s">
        <v>814</v>
      </c>
      <c r="P2392" s="54" t="s">
        <v>3392</v>
      </c>
      <c r="Q2392" s="35" t="str">
        <f>MID(Tabla1[[#This Row],[Aplicación]],14,1)</f>
        <v>6</v>
      </c>
      <c r="R2392" s="35" t="s">
        <v>496</v>
      </c>
      <c r="S2392" s="35" t="str">
        <f>MID(Tabla1[[#This Row],[Aplicación]],6,2)</f>
        <v>02</v>
      </c>
      <c r="T2392" s="35" t="str">
        <f>VLOOKUP(Tabla1[[#This Row],[AREA]],Hoja1!A:B,2,FALSE)</f>
        <v>02. Planeamiento urbanístico y vivienda</v>
      </c>
      <c r="U2392" s="35" t="str">
        <f>MID(Tabla1[[#This Row],[Aplicación]],9,4)</f>
        <v>9332</v>
      </c>
      <c r="V2392" s="35" t="str">
        <f>VLOOKUP(Tabla1[[#This Row],[PROGRAMA]],Hoja1!A:B,2,FALSE)</f>
        <v>9332. Mantenimiento de edificios e instalaciones municipales</v>
      </c>
      <c r="W2392" s="35" t="str">
        <f>MID(Tabla1[[#This Row],[Aplicación]],14,2)</f>
        <v>63</v>
      </c>
      <c r="X2392" s="35" t="str">
        <f>MID(Tabla1[[#This Row],[Aplicación]],14,6)</f>
        <v>633</v>
      </c>
    </row>
    <row r="2393" spans="1:24" x14ac:dyDescent="0.25">
      <c r="A2393" s="45">
        <v>220210020467</v>
      </c>
      <c r="B2393" s="46" t="s">
        <v>32</v>
      </c>
      <c r="C2393" s="47">
        <v>44322</v>
      </c>
      <c r="D2393" s="45">
        <v>22021004269</v>
      </c>
      <c r="E2393" s="46" t="s">
        <v>3311</v>
      </c>
      <c r="F2393" s="48">
        <v>1738.46</v>
      </c>
      <c r="G2393" s="54" t="s">
        <v>3886</v>
      </c>
      <c r="H2393" s="54" t="s">
        <v>3887</v>
      </c>
      <c r="I2393" s="53" t="s">
        <v>234</v>
      </c>
      <c r="J2393" s="54" t="s">
        <v>127</v>
      </c>
      <c r="K2393" s="54" t="s">
        <v>127</v>
      </c>
      <c r="L2393" s="54" t="s">
        <v>12</v>
      </c>
      <c r="M2393" s="54" t="s">
        <v>10</v>
      </c>
      <c r="N2393" s="54" t="s">
        <v>11</v>
      </c>
      <c r="O2393" s="49" t="s">
        <v>815</v>
      </c>
      <c r="P2393" s="54" t="s">
        <v>3392</v>
      </c>
      <c r="Q2393" s="35" t="str">
        <f>MID(Tabla1[[#This Row],[Aplicación]],14,1)</f>
        <v>8</v>
      </c>
      <c r="R2393" s="35" t="s">
        <v>497</v>
      </c>
      <c r="S2393" s="35" t="str">
        <f>MID(Tabla1[[#This Row],[Aplicación]],6,2)</f>
        <v>08</v>
      </c>
      <c r="T2393" s="35" t="str">
        <f>VLOOKUP(Tabla1[[#This Row],[AREA]],Hoja1!A:B,2,FALSE)</f>
        <v>08. Movilidad y espacio urbano</v>
      </c>
      <c r="U2393" s="35" t="str">
        <f>MID(Tabla1[[#This Row],[Aplicación]],9,4)</f>
        <v>1513</v>
      </c>
      <c r="V2393" s="35" t="str">
        <f>VLOOKUP(Tabla1[[#This Row],[PROGRAMA]],Hoja1!A:B,2,FALSE)</f>
        <v>1513. Licencias urbanísticas</v>
      </c>
      <c r="W2393" s="35" t="str">
        <f>MID(Tabla1[[#This Row],[Aplicación]],14,2)</f>
        <v>83</v>
      </c>
      <c r="X2393" s="35" t="str">
        <f>MID(Tabla1[[#This Row],[Aplicación]],14,6)</f>
        <v>83100</v>
      </c>
    </row>
    <row r="2394" spans="1:24" x14ac:dyDescent="0.25">
      <c r="A2394" s="45">
        <v>220210033088</v>
      </c>
      <c r="B2394" s="46" t="s">
        <v>9</v>
      </c>
      <c r="C2394" s="47">
        <v>44376</v>
      </c>
      <c r="D2394" s="45">
        <v>22021005089</v>
      </c>
      <c r="E2394" s="46" t="s">
        <v>1180</v>
      </c>
      <c r="F2394" s="48">
        <v>1730.3</v>
      </c>
      <c r="G2394" s="54" t="s">
        <v>1181</v>
      </c>
      <c r="H2394" s="54" t="s">
        <v>3888</v>
      </c>
      <c r="I2394" s="53" t="s">
        <v>125</v>
      </c>
      <c r="J2394" s="54" t="s">
        <v>127</v>
      </c>
      <c r="K2394" s="54" t="s">
        <v>127</v>
      </c>
      <c r="L2394" s="54" t="s">
        <v>15</v>
      </c>
      <c r="M2394" s="54" t="s">
        <v>10</v>
      </c>
      <c r="N2394" s="54" t="s">
        <v>11</v>
      </c>
      <c r="O2394" s="49" t="s">
        <v>815</v>
      </c>
      <c r="P2394" s="54" t="s">
        <v>3392</v>
      </c>
      <c r="Q2394" s="35" t="str">
        <f>MID(Tabla1[[#This Row],[Aplicación]],14,1)</f>
        <v>2</v>
      </c>
      <c r="R2394" s="35" t="s">
        <v>495</v>
      </c>
      <c r="S2394" s="35" t="str">
        <f>MID(Tabla1[[#This Row],[Aplicación]],6,2)</f>
        <v>08</v>
      </c>
      <c r="T2394" s="35" t="str">
        <f>VLOOKUP(Tabla1[[#This Row],[AREA]],Hoja1!A:B,2,FALSE)</f>
        <v>08. Movilidad y espacio urbano</v>
      </c>
      <c r="U2394" s="35" t="str">
        <f>MID(Tabla1[[#This Row],[Aplicación]],9,4)</f>
        <v>1532</v>
      </c>
      <c r="V2394" s="35" t="str">
        <f>VLOOKUP(Tabla1[[#This Row],[PROGRAMA]],Hoja1!A:B,2,FALSE)</f>
        <v>1532. Pavimentación vias públicas y otros servicios urbanísticos</v>
      </c>
      <c r="W2394" s="35" t="str">
        <f>MID(Tabla1[[#This Row],[Aplicación]],14,2)</f>
        <v>21</v>
      </c>
      <c r="X2394" s="35" t="str">
        <f>MID(Tabla1[[#This Row],[Aplicación]],14,6)</f>
        <v>210</v>
      </c>
    </row>
    <row r="2395" spans="1:24" x14ac:dyDescent="0.25">
      <c r="A2395" s="45">
        <v>220210033126</v>
      </c>
      <c r="B2395" s="46" t="s">
        <v>9</v>
      </c>
      <c r="C2395" s="47">
        <v>44377</v>
      </c>
      <c r="D2395" s="45">
        <v>22021005093</v>
      </c>
      <c r="E2395" s="46" t="s">
        <v>1474</v>
      </c>
      <c r="F2395" s="48">
        <v>754.51</v>
      </c>
      <c r="G2395" s="54" t="s">
        <v>3889</v>
      </c>
      <c r="H2395" s="54" t="s">
        <v>3890</v>
      </c>
      <c r="I2395" s="53" t="s">
        <v>125</v>
      </c>
      <c r="J2395" s="54" t="s">
        <v>203</v>
      </c>
      <c r="K2395" s="54" t="s">
        <v>203</v>
      </c>
      <c r="L2395" s="54" t="s">
        <v>12</v>
      </c>
      <c r="M2395" s="54" t="s">
        <v>13</v>
      </c>
      <c r="N2395" s="54" t="s">
        <v>14</v>
      </c>
      <c r="O2395" s="49" t="s">
        <v>814</v>
      </c>
      <c r="P2395" s="54" t="s">
        <v>3392</v>
      </c>
      <c r="Q2395" s="35" t="str">
        <f>MID(Tabla1[[#This Row],[Aplicación]],14,1)</f>
        <v>6</v>
      </c>
      <c r="R2395" s="35" t="s">
        <v>496</v>
      </c>
      <c r="S2395" s="35" t="str">
        <f>MID(Tabla1[[#This Row],[Aplicación]],6,2)</f>
        <v>08</v>
      </c>
      <c r="T2395" s="35" t="str">
        <f>VLOOKUP(Tabla1[[#This Row],[AREA]],Hoja1!A:B,2,FALSE)</f>
        <v>08. Movilidad y espacio urbano</v>
      </c>
      <c r="U2395" s="35" t="str">
        <f>MID(Tabla1[[#This Row],[Aplicación]],9,4)</f>
        <v>1651</v>
      </c>
      <c r="V2395" s="35" t="str">
        <f>VLOOKUP(Tabla1[[#This Row],[PROGRAMA]],Hoja1!A:B,2,FALSE)</f>
        <v>1651. Alumbrado público</v>
      </c>
      <c r="W2395" s="35" t="str">
        <f>MID(Tabla1[[#This Row],[Aplicación]],14,2)</f>
        <v>61</v>
      </c>
      <c r="X2395" s="35" t="str">
        <f>MID(Tabla1[[#This Row],[Aplicación]],14,6)</f>
        <v>619</v>
      </c>
    </row>
    <row r="2396" spans="1:24" x14ac:dyDescent="0.25">
      <c r="A2396" s="45">
        <v>220210033094</v>
      </c>
      <c r="B2396" s="46" t="s">
        <v>9</v>
      </c>
      <c r="C2396" s="47">
        <v>44376</v>
      </c>
      <c r="D2396" s="45">
        <v>22021005117</v>
      </c>
      <c r="E2396" s="46" t="s">
        <v>3327</v>
      </c>
      <c r="F2396" s="48">
        <v>1669.8</v>
      </c>
      <c r="G2396" s="54" t="s">
        <v>134</v>
      </c>
      <c r="H2396" s="54" t="s">
        <v>3891</v>
      </c>
      <c r="I2396" s="53" t="s">
        <v>125</v>
      </c>
      <c r="J2396" s="54" t="s">
        <v>659</v>
      </c>
      <c r="K2396" s="54" t="s">
        <v>127</v>
      </c>
      <c r="L2396" s="54" t="s">
        <v>12</v>
      </c>
      <c r="M2396" s="54" t="s">
        <v>10</v>
      </c>
      <c r="N2396" s="54" t="s">
        <v>11</v>
      </c>
      <c r="O2396" s="49" t="s">
        <v>815</v>
      </c>
      <c r="P2396" s="54" t="s">
        <v>3392</v>
      </c>
      <c r="Q2396" s="35" t="str">
        <f>MID(Tabla1[[#This Row],[Aplicación]],14,1)</f>
        <v>2</v>
      </c>
      <c r="R2396" s="35" t="s">
        <v>495</v>
      </c>
      <c r="S2396" s="35" t="str">
        <f>MID(Tabla1[[#This Row],[Aplicación]],6,2)</f>
        <v>08</v>
      </c>
      <c r="T2396" s="35" t="str">
        <f>VLOOKUP(Tabla1[[#This Row],[AREA]],Hoja1!A:B,2,FALSE)</f>
        <v>08. Movilidad y espacio urbano</v>
      </c>
      <c r="U2396" s="35" t="str">
        <f>MID(Tabla1[[#This Row],[Aplicación]],9,4)</f>
        <v>1532</v>
      </c>
      <c r="V2396" s="35" t="str">
        <f>VLOOKUP(Tabla1[[#This Row],[PROGRAMA]],Hoja1!A:B,2,FALSE)</f>
        <v>1532. Pavimentación vias públicas y otros servicios urbanísticos</v>
      </c>
      <c r="W2396" s="35" t="str">
        <f>MID(Tabla1[[#This Row],[Aplicación]],14,2)</f>
        <v>22</v>
      </c>
      <c r="X2396" s="35" t="str">
        <f>MID(Tabla1[[#This Row],[Aplicación]],14,6)</f>
        <v>22706</v>
      </c>
    </row>
    <row r="2397" spans="1:24" x14ac:dyDescent="0.25">
      <c r="A2397" s="45">
        <v>220210023525</v>
      </c>
      <c r="B2397" s="46" t="s">
        <v>9</v>
      </c>
      <c r="C2397" s="47">
        <v>44336</v>
      </c>
      <c r="D2397" s="45">
        <v>22021004424</v>
      </c>
      <c r="E2397" s="46" t="s">
        <v>3359</v>
      </c>
      <c r="F2397" s="48">
        <v>1624.7</v>
      </c>
      <c r="G2397" s="54" t="s">
        <v>49</v>
      </c>
      <c r="H2397" s="54" t="s">
        <v>3892</v>
      </c>
      <c r="I2397" s="53" t="s">
        <v>125</v>
      </c>
      <c r="J2397" s="54" t="s">
        <v>127</v>
      </c>
      <c r="K2397" s="54" t="s">
        <v>127</v>
      </c>
      <c r="L2397" s="54" t="s">
        <v>12</v>
      </c>
      <c r="M2397" s="54" t="s">
        <v>10</v>
      </c>
      <c r="N2397" s="54" t="s">
        <v>11</v>
      </c>
      <c r="O2397" s="49" t="s">
        <v>815</v>
      </c>
      <c r="P2397" s="54" t="s">
        <v>3392</v>
      </c>
      <c r="Q2397" s="35" t="str">
        <f>MID(Tabla1[[#This Row],[Aplicación]],14,1)</f>
        <v>2</v>
      </c>
      <c r="R2397" s="35" t="s">
        <v>495</v>
      </c>
      <c r="S2397" s="35" t="str">
        <f>MID(Tabla1[[#This Row],[Aplicación]],6,2)</f>
        <v>01</v>
      </c>
      <c r="T2397" s="35" t="str">
        <f>VLOOKUP(Tabla1[[#This Row],[AREA]],Hoja1!A:B,2,FALSE)</f>
        <v>01. Alcaldía</v>
      </c>
      <c r="U2397" s="35" t="str">
        <f>MID(Tabla1[[#This Row],[Aplicación]],9,4)</f>
        <v>9206</v>
      </c>
      <c r="V2397" s="35" t="str">
        <f>VLOOKUP(Tabla1[[#This Row],[PROGRAMA]],Hoja1!A:B,2,FALSE)</f>
        <v>9206. Archivo municipal</v>
      </c>
      <c r="W2397" s="35" t="str">
        <f>MID(Tabla1[[#This Row],[Aplicación]],14,2)</f>
        <v>22</v>
      </c>
      <c r="X2397" s="35" t="str">
        <f>MID(Tabla1[[#This Row],[Aplicación]],14,6)</f>
        <v>223</v>
      </c>
    </row>
    <row r="2398" spans="1:24" x14ac:dyDescent="0.25">
      <c r="A2398" s="45">
        <v>220210021021</v>
      </c>
      <c r="B2398" s="46" t="s">
        <v>9</v>
      </c>
      <c r="C2398" s="47">
        <v>44323</v>
      </c>
      <c r="D2398" s="45">
        <v>22021004318</v>
      </c>
      <c r="E2398" s="46" t="s">
        <v>1410</v>
      </c>
      <c r="F2398" s="48">
        <v>7260</v>
      </c>
      <c r="G2398" s="54" t="s">
        <v>239</v>
      </c>
      <c r="H2398" s="54" t="s">
        <v>1434</v>
      </c>
      <c r="I2398" s="53" t="s">
        <v>125</v>
      </c>
      <c r="J2398" s="54" t="s">
        <v>127</v>
      </c>
      <c r="K2398" s="54" t="s">
        <v>127</v>
      </c>
      <c r="L2398" s="54" t="s">
        <v>12</v>
      </c>
      <c r="M2398" s="54" t="s">
        <v>13</v>
      </c>
      <c r="N2398" s="54" t="s">
        <v>11</v>
      </c>
      <c r="O2398" s="49" t="s">
        <v>814</v>
      </c>
      <c r="P2398" s="54" t="s">
        <v>3392</v>
      </c>
      <c r="Q2398" s="35" t="str">
        <f>MID(Tabla1[[#This Row],[Aplicación]],14,1)</f>
        <v>2</v>
      </c>
      <c r="R2398" s="35" t="s">
        <v>495</v>
      </c>
      <c r="S2398" s="35" t="str">
        <f>MID(Tabla1[[#This Row],[Aplicación]],6,2)</f>
        <v>07</v>
      </c>
      <c r="T2398" s="35" t="str">
        <f>VLOOKUP(Tabla1[[#This Row],[AREA]],Hoja1!A:B,2,FALSE)</f>
        <v>07. Medio ambiente y desarrollo sostenible</v>
      </c>
      <c r="U2398" s="35" t="str">
        <f>MID(Tabla1[[#This Row],[Aplicación]],9,4)</f>
        <v>1711</v>
      </c>
      <c r="V2398" s="35" t="str">
        <f>VLOOKUP(Tabla1[[#This Row],[PROGRAMA]],Hoja1!A:B,2,FALSE)</f>
        <v>1711. Parques y jardines</v>
      </c>
      <c r="W2398" s="35" t="str">
        <f>MID(Tabla1[[#This Row],[Aplicación]],14,2)</f>
        <v>21</v>
      </c>
      <c r="X2398" s="35" t="str">
        <f>MID(Tabla1[[#This Row],[Aplicación]],14,6)</f>
        <v>214</v>
      </c>
    </row>
    <row r="2399" spans="1:24" x14ac:dyDescent="0.25">
      <c r="A2399" s="45">
        <v>220210025553</v>
      </c>
      <c r="B2399" s="46" t="s">
        <v>9</v>
      </c>
      <c r="C2399" s="47">
        <v>44342</v>
      </c>
      <c r="D2399" s="45">
        <v>22021003137</v>
      </c>
      <c r="E2399" s="46" t="s">
        <v>2699</v>
      </c>
      <c r="F2399" s="48">
        <v>1597.2</v>
      </c>
      <c r="G2399" s="54" t="s">
        <v>250</v>
      </c>
      <c r="H2399" s="54" t="s">
        <v>3893</v>
      </c>
      <c r="I2399" s="53" t="s">
        <v>125</v>
      </c>
      <c r="J2399" s="54" t="s">
        <v>127</v>
      </c>
      <c r="K2399" s="54" t="s">
        <v>127</v>
      </c>
      <c r="L2399" s="54" t="s">
        <v>15</v>
      </c>
      <c r="M2399" s="54" t="s">
        <v>10</v>
      </c>
      <c r="N2399" s="54" t="s">
        <v>11</v>
      </c>
      <c r="O2399" s="49" t="s">
        <v>815</v>
      </c>
      <c r="P2399" s="54" t="s">
        <v>3392</v>
      </c>
      <c r="Q2399" s="35" t="str">
        <f>MID(Tabla1[[#This Row],[Aplicación]],14,1)</f>
        <v>6</v>
      </c>
      <c r="R2399" s="35" t="s">
        <v>496</v>
      </c>
      <c r="S2399" s="35" t="str">
        <f>MID(Tabla1[[#This Row],[Aplicación]],6,2)</f>
        <v>01</v>
      </c>
      <c r="T2399" s="35" t="str">
        <f>VLOOKUP(Tabla1[[#This Row],[AREA]],Hoja1!A:B,2,FALSE)</f>
        <v>01. Alcaldía</v>
      </c>
      <c r="U2399" s="35" t="str">
        <f>MID(Tabla1[[#This Row],[Aplicación]],9,4)</f>
        <v>9205</v>
      </c>
      <c r="V2399" s="35" t="str">
        <f>VLOOKUP(Tabla1[[#This Row],[PROGRAMA]],Hoja1!A:B,2,FALSE)</f>
        <v>9205. Imprenta municipal</v>
      </c>
      <c r="W2399" s="35" t="str">
        <f>MID(Tabla1[[#This Row],[Aplicación]],14,2)</f>
        <v>62</v>
      </c>
      <c r="X2399" s="35" t="str">
        <f>MID(Tabla1[[#This Row],[Aplicación]],14,6)</f>
        <v>623</v>
      </c>
    </row>
    <row r="2400" spans="1:24" x14ac:dyDescent="0.25">
      <c r="A2400" s="45">
        <v>220210020444</v>
      </c>
      <c r="B2400" s="46" t="s">
        <v>9</v>
      </c>
      <c r="C2400" s="47">
        <v>44322</v>
      </c>
      <c r="D2400" s="45">
        <v>22021004290</v>
      </c>
      <c r="E2400" s="46" t="s">
        <v>1564</v>
      </c>
      <c r="F2400" s="48">
        <v>1550</v>
      </c>
      <c r="G2400" s="54" t="s">
        <v>2598</v>
      </c>
      <c r="H2400" s="54" t="s">
        <v>3894</v>
      </c>
      <c r="I2400" s="53" t="s">
        <v>125</v>
      </c>
      <c r="J2400" s="54" t="s">
        <v>2600</v>
      </c>
      <c r="K2400" s="54" t="s">
        <v>180</v>
      </c>
      <c r="L2400" s="54" t="s">
        <v>15</v>
      </c>
      <c r="M2400" s="54" t="s">
        <v>10</v>
      </c>
      <c r="N2400" s="54" t="s">
        <v>11</v>
      </c>
      <c r="O2400" s="49" t="s">
        <v>815</v>
      </c>
      <c r="P2400" s="54" t="s">
        <v>3392</v>
      </c>
      <c r="Q2400" s="35" t="str">
        <f>MID(Tabla1[[#This Row],[Aplicación]],14,1)</f>
        <v>2</v>
      </c>
      <c r="R2400" s="35" t="s">
        <v>495</v>
      </c>
      <c r="S2400" s="35" t="str">
        <f>MID(Tabla1[[#This Row],[Aplicación]],6,2)</f>
        <v>08</v>
      </c>
      <c r="T2400" s="35" t="str">
        <f>VLOOKUP(Tabla1[[#This Row],[AREA]],Hoja1!A:B,2,FALSE)</f>
        <v>08. Movilidad y espacio urbano</v>
      </c>
      <c r="U2400" s="35" t="str">
        <f>MID(Tabla1[[#This Row],[Aplicación]],9,4)</f>
        <v>1532</v>
      </c>
      <c r="V2400" s="35" t="str">
        <f>VLOOKUP(Tabla1[[#This Row],[PROGRAMA]],Hoja1!A:B,2,FALSE)</f>
        <v>1532. Pavimentación vias públicas y otros servicios urbanísticos</v>
      </c>
      <c r="W2400" s="35" t="str">
        <f>MID(Tabla1[[#This Row],[Aplicación]],14,2)</f>
        <v>22</v>
      </c>
      <c r="X2400" s="35" t="str">
        <f>MID(Tabla1[[#This Row],[Aplicación]],14,6)</f>
        <v>22103</v>
      </c>
    </row>
    <row r="2401" spans="1:24" x14ac:dyDescent="0.25">
      <c r="A2401" s="45">
        <v>220210031359</v>
      </c>
      <c r="B2401" s="46" t="s">
        <v>9</v>
      </c>
      <c r="C2401" s="47">
        <v>44365</v>
      </c>
      <c r="D2401" s="45">
        <v>22021004925</v>
      </c>
      <c r="E2401" s="46" t="s">
        <v>866</v>
      </c>
      <c r="F2401" s="48">
        <v>1543.27</v>
      </c>
      <c r="G2401" s="54" t="s">
        <v>3895</v>
      </c>
      <c r="H2401" s="54" t="s">
        <v>3896</v>
      </c>
      <c r="I2401" s="53" t="s">
        <v>125</v>
      </c>
      <c r="J2401" s="54" t="s">
        <v>3897</v>
      </c>
      <c r="K2401" s="54" t="s">
        <v>3897</v>
      </c>
      <c r="L2401" s="54" t="s">
        <v>12</v>
      </c>
      <c r="M2401" s="54" t="s">
        <v>10</v>
      </c>
      <c r="N2401" s="54" t="s">
        <v>11</v>
      </c>
      <c r="O2401" s="49" t="s">
        <v>815</v>
      </c>
      <c r="P2401" s="54" t="s">
        <v>3392</v>
      </c>
      <c r="Q2401" s="35" t="str">
        <f>MID(Tabla1[[#This Row],[Aplicación]],14,1)</f>
        <v>2</v>
      </c>
      <c r="R2401" s="35" t="s">
        <v>495</v>
      </c>
      <c r="S2401" s="35" t="str">
        <f>MID(Tabla1[[#This Row],[Aplicación]],6,2)</f>
        <v>07</v>
      </c>
      <c r="T2401" s="35" t="str">
        <f>VLOOKUP(Tabla1[[#This Row],[AREA]],Hoja1!A:B,2,FALSE)</f>
        <v>07. Medio ambiente y desarrollo sostenible</v>
      </c>
      <c r="U2401" s="35" t="str">
        <f>MID(Tabla1[[#This Row],[Aplicación]],9,4)</f>
        <v>1721</v>
      </c>
      <c r="V2401" s="35" t="str">
        <f>VLOOKUP(Tabla1[[#This Row],[PROGRAMA]],Hoja1!A:B,2,FALSE)</f>
        <v>1721. Protección del medio ambiente</v>
      </c>
      <c r="W2401" s="35" t="str">
        <f>MID(Tabla1[[#This Row],[Aplicación]],14,2)</f>
        <v>22</v>
      </c>
      <c r="X2401" s="35" t="str">
        <f>MID(Tabla1[[#This Row],[Aplicación]],14,6)</f>
        <v>22199</v>
      </c>
    </row>
    <row r="2402" spans="1:24" x14ac:dyDescent="0.25">
      <c r="A2402" s="45">
        <v>220210027702</v>
      </c>
      <c r="B2402" s="46" t="s">
        <v>204</v>
      </c>
      <c r="C2402" s="47">
        <v>44348</v>
      </c>
      <c r="D2402" s="45">
        <v>22021004322</v>
      </c>
      <c r="E2402" s="46" t="s">
        <v>1724</v>
      </c>
      <c r="F2402" s="48">
        <v>867.18</v>
      </c>
      <c r="G2402" s="54" t="s">
        <v>1407</v>
      </c>
      <c r="H2402" s="54" t="s">
        <v>3898</v>
      </c>
      <c r="I2402" s="53" t="s">
        <v>205</v>
      </c>
      <c r="J2402" s="54" t="s">
        <v>127</v>
      </c>
      <c r="K2402" s="54" t="s">
        <v>127</v>
      </c>
      <c r="L2402" s="54" t="s">
        <v>15</v>
      </c>
      <c r="M2402" s="54" t="s">
        <v>13</v>
      </c>
      <c r="N2402" s="54" t="s">
        <v>14</v>
      </c>
      <c r="O2402" s="49" t="s">
        <v>814</v>
      </c>
      <c r="P2402" s="54" t="s">
        <v>3392</v>
      </c>
      <c r="Q2402" s="35" t="str">
        <f>MID(Tabla1[[#This Row],[Aplicación]],14,1)</f>
        <v>6</v>
      </c>
      <c r="R2402" s="35" t="s">
        <v>496</v>
      </c>
      <c r="S2402" s="35" t="str">
        <f>MID(Tabla1[[#This Row],[Aplicación]],6,2)</f>
        <v>07</v>
      </c>
      <c r="T2402" s="35" t="str">
        <f>VLOOKUP(Tabla1[[#This Row],[AREA]],Hoja1!A:B,2,FALSE)</f>
        <v>07. Medio ambiente y desarrollo sostenible</v>
      </c>
      <c r="U2402" s="35" t="str">
        <f>MID(Tabla1[[#This Row],[Aplicación]],9,4)</f>
        <v>1711</v>
      </c>
      <c r="V2402" s="35" t="str">
        <f>VLOOKUP(Tabla1[[#This Row],[PROGRAMA]],Hoja1!A:B,2,FALSE)</f>
        <v>1711. Parques y jardines</v>
      </c>
      <c r="W2402" s="35" t="str">
        <f>MID(Tabla1[[#This Row],[Aplicación]],14,2)</f>
        <v>61</v>
      </c>
      <c r="X2402" s="35" t="str">
        <f>MID(Tabla1[[#This Row],[Aplicación]],14,6)</f>
        <v>619</v>
      </c>
    </row>
    <row r="2403" spans="1:24" x14ac:dyDescent="0.25">
      <c r="A2403" s="45">
        <v>220210020857</v>
      </c>
      <c r="B2403" s="46" t="s">
        <v>204</v>
      </c>
      <c r="C2403" s="47">
        <v>44323</v>
      </c>
      <c r="D2403" s="45">
        <v>22021003381</v>
      </c>
      <c r="E2403" s="46" t="s">
        <v>1183</v>
      </c>
      <c r="F2403" s="48">
        <v>23.58</v>
      </c>
      <c r="G2403" s="54" t="s">
        <v>1475</v>
      </c>
      <c r="H2403" s="54" t="s">
        <v>3899</v>
      </c>
      <c r="I2403" s="53" t="s">
        <v>205</v>
      </c>
      <c r="J2403" s="54" t="s">
        <v>127</v>
      </c>
      <c r="K2403" s="54" t="s">
        <v>127</v>
      </c>
      <c r="L2403" s="54" t="s">
        <v>15</v>
      </c>
      <c r="M2403" s="54" t="s">
        <v>13</v>
      </c>
      <c r="N2403" s="54" t="s">
        <v>14</v>
      </c>
      <c r="O2403" s="49" t="s">
        <v>814</v>
      </c>
      <c r="P2403" s="54" t="s">
        <v>3392</v>
      </c>
      <c r="Q2403" s="35" t="str">
        <f>MID(Tabla1[[#This Row],[Aplicación]],14,1)</f>
        <v>2</v>
      </c>
      <c r="R2403" s="35" t="s">
        <v>495</v>
      </c>
      <c r="S2403" s="35" t="str">
        <f>MID(Tabla1[[#This Row],[Aplicación]],6,2)</f>
        <v>11</v>
      </c>
      <c r="T2403" s="35" t="str">
        <f>VLOOKUP(Tabla1[[#This Row],[AREA]],Hoja1!A:B,2,FALSE)</f>
        <v>11. Salud pública y seguridad ciudadana</v>
      </c>
      <c r="U2403" s="35" t="str">
        <f>MID(Tabla1[[#This Row],[Aplicación]],9,4)</f>
        <v>1361</v>
      </c>
      <c r="V2403" s="35" t="str">
        <f>VLOOKUP(Tabla1[[#This Row],[PROGRAMA]],Hoja1!A:B,2,FALSE)</f>
        <v>1361. Prevención y extinción de incencios</v>
      </c>
      <c r="W2403" s="35" t="str">
        <f>MID(Tabla1[[#This Row],[Aplicación]],14,2)</f>
        <v>22</v>
      </c>
      <c r="X2403" s="35" t="str">
        <f>MID(Tabla1[[#This Row],[Aplicación]],14,6)</f>
        <v>22199</v>
      </c>
    </row>
    <row r="2404" spans="1:24" x14ac:dyDescent="0.25">
      <c r="A2404" s="45">
        <v>220210031225</v>
      </c>
      <c r="B2404" s="46" t="s">
        <v>9</v>
      </c>
      <c r="C2404" s="47">
        <v>44362</v>
      </c>
      <c r="D2404" s="45">
        <v>22021004903</v>
      </c>
      <c r="E2404" s="46" t="s">
        <v>836</v>
      </c>
      <c r="F2404" s="48">
        <v>1525.32</v>
      </c>
      <c r="G2404" s="54" t="s">
        <v>3900</v>
      </c>
      <c r="H2404" s="54" t="s">
        <v>3901</v>
      </c>
      <c r="I2404" s="53" t="s">
        <v>125</v>
      </c>
      <c r="J2404" s="54" t="s">
        <v>127</v>
      </c>
      <c r="K2404" s="54" t="s">
        <v>127</v>
      </c>
      <c r="L2404" s="54" t="s">
        <v>12</v>
      </c>
      <c r="M2404" s="54" t="s">
        <v>10</v>
      </c>
      <c r="N2404" s="54" t="s">
        <v>11</v>
      </c>
      <c r="O2404" s="49" t="s">
        <v>815</v>
      </c>
      <c r="P2404" s="54" t="s">
        <v>3392</v>
      </c>
      <c r="Q2404" s="35" t="str">
        <f>MID(Tabla1[[#This Row],[Aplicación]],14,1)</f>
        <v>2</v>
      </c>
      <c r="R2404" s="35" t="s">
        <v>495</v>
      </c>
      <c r="S2404" s="35" t="str">
        <f>MID(Tabla1[[#This Row],[Aplicación]],6,2)</f>
        <v>05</v>
      </c>
      <c r="T2404" s="35" t="str">
        <f>VLOOKUP(Tabla1[[#This Row],[AREA]],Hoja1!A:B,2,FALSE)</f>
        <v>05. Innovación, desarrollo económico, empleo y comercio</v>
      </c>
      <c r="U2404" s="35" t="str">
        <f>MID(Tabla1[[#This Row],[Aplicación]],9,4)</f>
        <v>4331</v>
      </c>
      <c r="V2404" s="35" t="str">
        <f>VLOOKUP(Tabla1[[#This Row],[PROGRAMA]],Hoja1!A:B,2,FALSE)</f>
        <v>4331. Desarrollo empresarial</v>
      </c>
      <c r="W2404" s="35" t="str">
        <f>MID(Tabla1[[#This Row],[Aplicación]],14,2)</f>
        <v>22</v>
      </c>
      <c r="X2404" s="35" t="str">
        <f>MID(Tabla1[[#This Row],[Aplicación]],14,6)</f>
        <v>22699</v>
      </c>
    </row>
    <row r="2405" spans="1:24" x14ac:dyDescent="0.25">
      <c r="A2405" s="45">
        <v>220210016819</v>
      </c>
      <c r="B2405" s="46" t="s">
        <v>204</v>
      </c>
      <c r="C2405" s="47">
        <v>44308</v>
      </c>
      <c r="D2405" s="45">
        <v>22021002449</v>
      </c>
      <c r="E2405" s="46" t="s">
        <v>1724</v>
      </c>
      <c r="F2405" s="48">
        <v>142.30000000000001</v>
      </c>
      <c r="G2405" s="54" t="s">
        <v>3902</v>
      </c>
      <c r="H2405" s="54" t="s">
        <v>1725</v>
      </c>
      <c r="I2405" s="53" t="s">
        <v>205</v>
      </c>
      <c r="J2405" s="54" t="s">
        <v>127</v>
      </c>
      <c r="K2405" s="54" t="s">
        <v>127</v>
      </c>
      <c r="L2405" s="54" t="s">
        <v>15</v>
      </c>
      <c r="M2405" s="54" t="s">
        <v>13</v>
      </c>
      <c r="N2405" s="54" t="s">
        <v>14</v>
      </c>
      <c r="O2405" s="49" t="s">
        <v>814</v>
      </c>
      <c r="P2405" s="54" t="s">
        <v>3392</v>
      </c>
      <c r="Q2405" s="35" t="str">
        <f>MID(Tabla1[[#This Row],[Aplicación]],14,1)</f>
        <v>6</v>
      </c>
      <c r="R2405" s="35" t="s">
        <v>496</v>
      </c>
      <c r="S2405" s="35" t="str">
        <f>MID(Tabla1[[#This Row],[Aplicación]],6,2)</f>
        <v>07</v>
      </c>
      <c r="T2405" s="35" t="str">
        <f>VLOOKUP(Tabla1[[#This Row],[AREA]],Hoja1!A:B,2,FALSE)</f>
        <v>07. Medio ambiente y desarrollo sostenible</v>
      </c>
      <c r="U2405" s="35" t="str">
        <f>MID(Tabla1[[#This Row],[Aplicación]],9,4)</f>
        <v>1711</v>
      </c>
      <c r="V2405" s="35" t="str">
        <f>VLOOKUP(Tabla1[[#This Row],[PROGRAMA]],Hoja1!A:B,2,FALSE)</f>
        <v>1711. Parques y jardines</v>
      </c>
      <c r="W2405" s="35" t="str">
        <f>MID(Tabla1[[#This Row],[Aplicación]],14,2)</f>
        <v>61</v>
      </c>
      <c r="X2405" s="35" t="str">
        <f>MID(Tabla1[[#This Row],[Aplicación]],14,6)</f>
        <v>619</v>
      </c>
    </row>
    <row r="2406" spans="1:24" x14ac:dyDescent="0.25">
      <c r="A2406" s="45">
        <v>220210015304</v>
      </c>
      <c r="B2406" s="46" t="s">
        <v>9</v>
      </c>
      <c r="C2406" s="47">
        <v>44300</v>
      </c>
      <c r="D2406" s="45">
        <v>22021003855</v>
      </c>
      <c r="E2406" s="46" t="s">
        <v>1660</v>
      </c>
      <c r="F2406" s="48">
        <v>1512.5</v>
      </c>
      <c r="G2406" s="54" t="s">
        <v>3903</v>
      </c>
      <c r="H2406" s="54" t="s">
        <v>3904</v>
      </c>
      <c r="I2406" s="53" t="s">
        <v>125</v>
      </c>
      <c r="J2406" s="54" t="s">
        <v>133</v>
      </c>
      <c r="K2406" s="54" t="s">
        <v>3905</v>
      </c>
      <c r="L2406" s="54" t="s">
        <v>12</v>
      </c>
      <c r="M2406" s="54" t="s">
        <v>10</v>
      </c>
      <c r="N2406" s="54" t="s">
        <v>11</v>
      </c>
      <c r="O2406" s="49" t="s">
        <v>815</v>
      </c>
      <c r="P2406" s="54" t="s">
        <v>3392</v>
      </c>
      <c r="Q2406" s="35" t="str">
        <f>MID(Tabla1[[#This Row],[Aplicación]],14,1)</f>
        <v>2</v>
      </c>
      <c r="R2406" s="35" t="s">
        <v>495</v>
      </c>
      <c r="S2406" s="35" t="str">
        <f>MID(Tabla1[[#This Row],[Aplicación]],6,2)</f>
        <v>04</v>
      </c>
      <c r="T2406" s="35" t="str">
        <f>VLOOKUP(Tabla1[[#This Row],[AREA]],Hoja1!A:B,2,FALSE)</f>
        <v>04. Planificación y recursos</v>
      </c>
      <c r="U2406" s="35" t="str">
        <f>MID(Tabla1[[#This Row],[Aplicación]],9,4)</f>
        <v>9202</v>
      </c>
      <c r="V2406" s="35" t="str">
        <f>VLOOKUP(Tabla1[[#This Row],[PROGRAMA]],Hoja1!A:B,2,FALSE)</f>
        <v>9202. Gestión de recursos humanos</v>
      </c>
      <c r="W2406" s="35" t="str">
        <f>MID(Tabla1[[#This Row],[Aplicación]],14,2)</f>
        <v>22</v>
      </c>
      <c r="X2406" s="35" t="str">
        <f>MID(Tabla1[[#This Row],[Aplicación]],14,6)</f>
        <v>22607</v>
      </c>
    </row>
    <row r="2407" spans="1:24" x14ac:dyDescent="0.25">
      <c r="A2407" s="45">
        <v>220210020359</v>
      </c>
      <c r="B2407" s="46" t="s">
        <v>9</v>
      </c>
      <c r="C2407" s="47">
        <v>44321</v>
      </c>
      <c r="D2407" s="45">
        <v>22021003205</v>
      </c>
      <c r="E2407" s="46" t="s">
        <v>1617</v>
      </c>
      <c r="F2407" s="48">
        <v>6969.6</v>
      </c>
      <c r="G2407" s="54" t="s">
        <v>65</v>
      </c>
      <c r="H2407" s="54" t="s">
        <v>3906</v>
      </c>
      <c r="I2407" s="53" t="s">
        <v>216</v>
      </c>
      <c r="J2407" s="54" t="s">
        <v>127</v>
      </c>
      <c r="K2407" s="54" t="s">
        <v>127</v>
      </c>
      <c r="L2407" s="54" t="s">
        <v>12</v>
      </c>
      <c r="M2407" s="54" t="s">
        <v>13</v>
      </c>
      <c r="N2407" s="54" t="s">
        <v>14</v>
      </c>
      <c r="O2407" s="49" t="s">
        <v>814</v>
      </c>
      <c r="P2407" s="54" t="s">
        <v>3392</v>
      </c>
      <c r="Q2407" s="35" t="str">
        <f>MID(Tabla1[[#This Row],[Aplicación]],14,1)</f>
        <v>2</v>
      </c>
      <c r="R2407" s="35" t="s">
        <v>495</v>
      </c>
      <c r="S2407" s="35" t="str">
        <f>MID(Tabla1[[#This Row],[Aplicación]],6,2)</f>
        <v>05</v>
      </c>
      <c r="T2407" s="35" t="str">
        <f>VLOOKUP(Tabla1[[#This Row],[AREA]],Hoja1!A:B,2,FALSE)</f>
        <v>05. Innovación, desarrollo económico, empleo y comercio</v>
      </c>
      <c r="U2407" s="35" t="str">
        <f>MID(Tabla1[[#This Row],[Aplicación]],9,4)</f>
        <v>4331</v>
      </c>
      <c r="V2407" s="35" t="str">
        <f>VLOOKUP(Tabla1[[#This Row],[PROGRAMA]],Hoja1!A:B,2,FALSE)</f>
        <v>4331. Desarrollo empresarial</v>
      </c>
      <c r="W2407" s="35" t="str">
        <f>MID(Tabla1[[#This Row],[Aplicación]],14,2)</f>
        <v>22</v>
      </c>
      <c r="X2407" s="35" t="str">
        <f>MID(Tabla1[[#This Row],[Aplicación]],14,6)</f>
        <v>22602</v>
      </c>
    </row>
    <row r="2408" spans="1:24" x14ac:dyDescent="0.25">
      <c r="A2408" s="45">
        <v>220210015504</v>
      </c>
      <c r="B2408" s="46" t="s">
        <v>9</v>
      </c>
      <c r="C2408" s="47">
        <v>44300</v>
      </c>
      <c r="D2408" s="45">
        <v>22021003812</v>
      </c>
      <c r="E2408" s="46" t="s">
        <v>1990</v>
      </c>
      <c r="F2408" s="48">
        <v>1500</v>
      </c>
      <c r="G2408" s="54" t="s">
        <v>307</v>
      </c>
      <c r="H2408" s="54" t="s">
        <v>3907</v>
      </c>
      <c r="I2408" s="53" t="s">
        <v>125</v>
      </c>
      <c r="J2408" s="54" t="s">
        <v>127</v>
      </c>
      <c r="K2408" s="54" t="s">
        <v>127</v>
      </c>
      <c r="L2408" s="54" t="s">
        <v>12</v>
      </c>
      <c r="M2408" s="54" t="s">
        <v>10</v>
      </c>
      <c r="N2408" s="54" t="s">
        <v>16</v>
      </c>
      <c r="O2408" s="49" t="s">
        <v>815</v>
      </c>
      <c r="P2408" s="54" t="s">
        <v>3392</v>
      </c>
      <c r="Q2408" s="35" t="str">
        <f>MID(Tabla1[[#This Row],[Aplicación]],14,1)</f>
        <v>2</v>
      </c>
      <c r="R2408" s="35" t="s">
        <v>495</v>
      </c>
      <c r="S2408" s="35" t="str">
        <f>MID(Tabla1[[#This Row],[Aplicación]],6,2)</f>
        <v>06</v>
      </c>
      <c r="T2408" s="35" t="str">
        <f>VLOOKUP(Tabla1[[#This Row],[AREA]],Hoja1!A:B,2,FALSE)</f>
        <v>06. Educación, infancia, juventud e igualdad</v>
      </c>
      <c r="U2408" s="35" t="str">
        <f>MID(Tabla1[[#This Row],[Aplicación]],9,4)</f>
        <v>3321</v>
      </c>
      <c r="V2408" s="35" t="str">
        <f>VLOOKUP(Tabla1[[#This Row],[PROGRAMA]],Hoja1!A:B,2,FALSE)</f>
        <v>3321. Bibliotecas públicas</v>
      </c>
      <c r="W2408" s="35" t="str">
        <f>MID(Tabla1[[#This Row],[Aplicación]],14,2)</f>
        <v>22</v>
      </c>
      <c r="X2408" s="35" t="str">
        <f>MID(Tabla1[[#This Row],[Aplicación]],14,6)</f>
        <v>22799</v>
      </c>
    </row>
    <row r="2409" spans="1:24" x14ac:dyDescent="0.25">
      <c r="A2409" s="45">
        <v>220210014454</v>
      </c>
      <c r="B2409" s="46" t="s">
        <v>204</v>
      </c>
      <c r="C2409" s="47">
        <v>44295</v>
      </c>
      <c r="D2409" s="45">
        <v>22021003381</v>
      </c>
      <c r="E2409" s="46" t="s">
        <v>1183</v>
      </c>
      <c r="F2409" s="48">
        <v>1045.2</v>
      </c>
      <c r="G2409" s="54" t="s">
        <v>135</v>
      </c>
      <c r="H2409" s="54" t="s">
        <v>3908</v>
      </c>
      <c r="I2409" s="53" t="s">
        <v>205</v>
      </c>
      <c r="J2409" s="54" t="s">
        <v>127</v>
      </c>
      <c r="K2409" s="54" t="s">
        <v>127</v>
      </c>
      <c r="L2409" s="54" t="s">
        <v>15</v>
      </c>
      <c r="M2409" s="54" t="s">
        <v>13</v>
      </c>
      <c r="N2409" s="54" t="s">
        <v>14</v>
      </c>
      <c r="O2409" s="49" t="s">
        <v>814</v>
      </c>
      <c r="P2409" s="54" t="s">
        <v>3392</v>
      </c>
      <c r="Q2409" s="35" t="str">
        <f>MID(Tabla1[[#This Row],[Aplicación]],14,1)</f>
        <v>2</v>
      </c>
      <c r="R2409" s="35" t="s">
        <v>495</v>
      </c>
      <c r="S2409" s="35" t="str">
        <f>MID(Tabla1[[#This Row],[Aplicación]],6,2)</f>
        <v>11</v>
      </c>
      <c r="T2409" s="35" t="str">
        <f>VLOOKUP(Tabla1[[#This Row],[AREA]],Hoja1!A:B,2,FALSE)</f>
        <v>11. Salud pública y seguridad ciudadana</v>
      </c>
      <c r="U2409" s="35" t="str">
        <f>MID(Tabla1[[#This Row],[Aplicación]],9,4)</f>
        <v>1361</v>
      </c>
      <c r="V2409" s="35" t="str">
        <f>VLOOKUP(Tabla1[[#This Row],[PROGRAMA]],Hoja1!A:B,2,FALSE)</f>
        <v>1361. Prevención y extinción de incencios</v>
      </c>
      <c r="W2409" s="35" t="str">
        <f>MID(Tabla1[[#This Row],[Aplicación]],14,2)</f>
        <v>22</v>
      </c>
      <c r="X2409" s="35" t="str">
        <f>MID(Tabla1[[#This Row],[Aplicación]],14,6)</f>
        <v>22199</v>
      </c>
    </row>
    <row r="2410" spans="1:24" x14ac:dyDescent="0.25">
      <c r="A2410" s="45">
        <v>220210016082</v>
      </c>
      <c r="B2410" s="46" t="s">
        <v>9</v>
      </c>
      <c r="C2410" s="47">
        <v>44305</v>
      </c>
      <c r="D2410" s="45">
        <v>22021003913</v>
      </c>
      <c r="E2410" s="46" t="s">
        <v>840</v>
      </c>
      <c r="F2410" s="48">
        <v>1500</v>
      </c>
      <c r="G2410" s="54" t="s">
        <v>536</v>
      </c>
      <c r="H2410" s="54" t="s">
        <v>1423</v>
      </c>
      <c r="I2410" s="53" t="s">
        <v>125</v>
      </c>
      <c r="J2410" s="54" t="s">
        <v>741</v>
      </c>
      <c r="K2410" s="54" t="s">
        <v>127</v>
      </c>
      <c r="L2410" s="54" t="s">
        <v>12</v>
      </c>
      <c r="M2410" s="54" t="s">
        <v>10</v>
      </c>
      <c r="N2410" s="54" t="s">
        <v>11</v>
      </c>
      <c r="O2410" s="49" t="s">
        <v>815</v>
      </c>
      <c r="P2410" s="54" t="s">
        <v>3392</v>
      </c>
      <c r="Q2410" s="35" t="str">
        <f>MID(Tabla1[[#This Row],[Aplicación]],14,1)</f>
        <v>2</v>
      </c>
      <c r="R2410" s="35" t="s">
        <v>495</v>
      </c>
      <c r="S2410" s="35" t="str">
        <f>MID(Tabla1[[#This Row],[Aplicación]],6,2)</f>
        <v>07</v>
      </c>
      <c r="T2410" s="35" t="str">
        <f>VLOOKUP(Tabla1[[#This Row],[AREA]],Hoja1!A:B,2,FALSE)</f>
        <v>07. Medio ambiente y desarrollo sostenible</v>
      </c>
      <c r="U2410" s="35" t="str">
        <f>MID(Tabla1[[#This Row],[Aplicación]],9,4)</f>
        <v>1711</v>
      </c>
      <c r="V2410" s="35" t="str">
        <f>VLOOKUP(Tabla1[[#This Row],[PROGRAMA]],Hoja1!A:B,2,FALSE)</f>
        <v>1711. Parques y jardines</v>
      </c>
      <c r="W2410" s="35" t="str">
        <f>MID(Tabla1[[#This Row],[Aplicación]],14,2)</f>
        <v>22</v>
      </c>
      <c r="X2410" s="35" t="str">
        <f>MID(Tabla1[[#This Row],[Aplicación]],14,6)</f>
        <v>22799</v>
      </c>
    </row>
    <row r="2411" spans="1:24" x14ac:dyDescent="0.25">
      <c r="A2411" s="45">
        <v>220210019253</v>
      </c>
      <c r="B2411" s="46" t="s">
        <v>9</v>
      </c>
      <c r="C2411" s="47">
        <v>44320</v>
      </c>
      <c r="D2411" s="45">
        <v>22021004249</v>
      </c>
      <c r="E2411" s="46" t="s">
        <v>1187</v>
      </c>
      <c r="F2411" s="48">
        <v>1500</v>
      </c>
      <c r="G2411" s="54" t="s">
        <v>3909</v>
      </c>
      <c r="H2411" s="54" t="s">
        <v>3910</v>
      </c>
      <c r="I2411" s="53" t="s">
        <v>125</v>
      </c>
      <c r="J2411" s="54" t="s">
        <v>127</v>
      </c>
      <c r="K2411" s="54" t="s">
        <v>127</v>
      </c>
      <c r="L2411" s="54" t="s">
        <v>12</v>
      </c>
      <c r="M2411" s="54" t="s">
        <v>10</v>
      </c>
      <c r="N2411" s="54" t="s">
        <v>11</v>
      </c>
      <c r="O2411" s="49" t="s">
        <v>815</v>
      </c>
      <c r="P2411" s="54" t="s">
        <v>3392</v>
      </c>
      <c r="Q2411" s="35" t="str">
        <f>MID(Tabla1[[#This Row],[Aplicación]],14,1)</f>
        <v>2</v>
      </c>
      <c r="R2411" s="35" t="s">
        <v>495</v>
      </c>
      <c r="S2411" s="35" t="str">
        <f>MID(Tabla1[[#This Row],[Aplicación]],6,2)</f>
        <v>06</v>
      </c>
      <c r="T2411" s="35" t="str">
        <f>VLOOKUP(Tabla1[[#This Row],[AREA]],Hoja1!A:B,2,FALSE)</f>
        <v>06. Educación, infancia, juventud e igualdad</v>
      </c>
      <c r="U2411" s="35" t="str">
        <f>MID(Tabla1[[#This Row],[Aplicación]],9,4)</f>
        <v>2315</v>
      </c>
      <c r="V2411" s="35" t="str">
        <f>VLOOKUP(Tabla1[[#This Row],[PROGRAMA]],Hoja1!A:B,2,FALSE)</f>
        <v>2315. Políticas de Igualdad e infancia</v>
      </c>
      <c r="W2411" s="35" t="str">
        <f>MID(Tabla1[[#This Row],[Aplicación]],14,2)</f>
        <v>22</v>
      </c>
      <c r="X2411" s="35" t="str">
        <f>MID(Tabla1[[#This Row],[Aplicación]],14,6)</f>
        <v>22611</v>
      </c>
    </row>
    <row r="2412" spans="1:24" x14ac:dyDescent="0.25">
      <c r="A2412" s="45">
        <v>220210029566</v>
      </c>
      <c r="B2412" s="46" t="s">
        <v>9</v>
      </c>
      <c r="C2412" s="47">
        <v>44354</v>
      </c>
      <c r="D2412" s="45">
        <v>22021002064</v>
      </c>
      <c r="E2412" s="46" t="s">
        <v>873</v>
      </c>
      <c r="F2412" s="48">
        <v>1500</v>
      </c>
      <c r="G2412" s="54" t="s">
        <v>209</v>
      </c>
      <c r="H2412" s="54" t="s">
        <v>3536</v>
      </c>
      <c r="I2412" s="53" t="s">
        <v>125</v>
      </c>
      <c r="J2412" s="54" t="s">
        <v>127</v>
      </c>
      <c r="K2412" s="54" t="s">
        <v>127</v>
      </c>
      <c r="L2412" s="54" t="s">
        <v>15</v>
      </c>
      <c r="M2412" s="54" t="s">
        <v>10</v>
      </c>
      <c r="N2412" s="54" t="s">
        <v>11</v>
      </c>
      <c r="O2412" s="49" t="s">
        <v>815</v>
      </c>
      <c r="P2412" s="54" t="s">
        <v>3392</v>
      </c>
      <c r="Q2412" s="35" t="str">
        <f>MID(Tabla1[[#This Row],[Aplicación]],14,1)</f>
        <v>2</v>
      </c>
      <c r="R2412" s="35" t="s">
        <v>495</v>
      </c>
      <c r="S2412" s="35" t="str">
        <f>MID(Tabla1[[#This Row],[Aplicación]],6,2)</f>
        <v>10</v>
      </c>
      <c r="T2412" s="35" t="str">
        <f>VLOOKUP(Tabla1[[#This Row],[AREA]],Hoja1!A:B,2,FALSE)</f>
        <v>10. Servicios sociales y mediación comunitaria</v>
      </c>
      <c r="U2412" s="35" t="str">
        <f>MID(Tabla1[[#This Row],[Aplicación]],9,4)</f>
        <v>2412</v>
      </c>
      <c r="V2412" s="35" t="str">
        <f>VLOOKUP(Tabla1[[#This Row],[PROGRAMA]],Hoja1!A:B,2,FALSE)</f>
        <v>2412. Formación para el empleo</v>
      </c>
      <c r="W2412" s="35" t="str">
        <f>MID(Tabla1[[#This Row],[Aplicación]],14,2)</f>
        <v>22</v>
      </c>
      <c r="X2412" s="35" t="str">
        <f>MID(Tabla1[[#This Row],[Aplicación]],14,6)</f>
        <v>22199</v>
      </c>
    </row>
    <row r="2413" spans="1:24" x14ac:dyDescent="0.25">
      <c r="A2413" s="45">
        <v>220210022107</v>
      </c>
      <c r="B2413" s="46" t="s">
        <v>9</v>
      </c>
      <c r="C2413" s="47">
        <v>44328</v>
      </c>
      <c r="D2413" s="45">
        <v>22021004369</v>
      </c>
      <c r="E2413" s="46" t="s">
        <v>1201</v>
      </c>
      <c r="F2413" s="48">
        <v>1500</v>
      </c>
      <c r="G2413" s="54" t="s">
        <v>220</v>
      </c>
      <c r="H2413" s="54" t="s">
        <v>3911</v>
      </c>
      <c r="I2413" s="53" t="s">
        <v>125</v>
      </c>
      <c r="J2413" s="54" t="s">
        <v>127</v>
      </c>
      <c r="K2413" s="54" t="s">
        <v>127</v>
      </c>
      <c r="L2413" s="54" t="s">
        <v>15</v>
      </c>
      <c r="M2413" s="54" t="s">
        <v>10</v>
      </c>
      <c r="N2413" s="54" t="s">
        <v>11</v>
      </c>
      <c r="O2413" s="49" t="s">
        <v>815</v>
      </c>
      <c r="P2413" s="54" t="s">
        <v>3392</v>
      </c>
      <c r="Q2413" s="35" t="str">
        <f>MID(Tabla1[[#This Row],[Aplicación]],14,1)</f>
        <v>2</v>
      </c>
      <c r="R2413" s="35" t="s">
        <v>495</v>
      </c>
      <c r="S2413" s="35" t="str">
        <f>MID(Tabla1[[#This Row],[Aplicación]],6,2)</f>
        <v>11</v>
      </c>
      <c r="T2413" s="35" t="str">
        <f>VLOOKUP(Tabla1[[#This Row],[AREA]],Hoja1!A:B,2,FALSE)</f>
        <v>11. Salud pública y seguridad ciudadana</v>
      </c>
      <c r="U2413" s="35" t="str">
        <f>MID(Tabla1[[#This Row],[Aplicación]],9,4)</f>
        <v>3111</v>
      </c>
      <c r="V2413" s="35" t="str">
        <f>VLOOKUP(Tabla1[[#This Row],[PROGRAMA]],Hoja1!A:B,2,FALSE)</f>
        <v>3111. Protección de la salubridad pública</v>
      </c>
      <c r="W2413" s="35" t="str">
        <f>MID(Tabla1[[#This Row],[Aplicación]],14,2)</f>
        <v>22</v>
      </c>
      <c r="X2413" s="35" t="str">
        <f>MID(Tabla1[[#This Row],[Aplicación]],14,6)</f>
        <v>22106</v>
      </c>
    </row>
    <row r="2414" spans="1:24" x14ac:dyDescent="0.25">
      <c r="A2414" s="45">
        <v>220210019250</v>
      </c>
      <c r="B2414" s="46" t="s">
        <v>9</v>
      </c>
      <c r="C2414" s="47">
        <v>44320</v>
      </c>
      <c r="D2414" s="45">
        <v>22021004238</v>
      </c>
      <c r="E2414" s="46" t="s">
        <v>1187</v>
      </c>
      <c r="F2414" s="48">
        <v>1500</v>
      </c>
      <c r="G2414" s="54" t="s">
        <v>3912</v>
      </c>
      <c r="H2414" s="54" t="s">
        <v>3913</v>
      </c>
      <c r="I2414" s="53" t="s">
        <v>125</v>
      </c>
      <c r="J2414" s="54" t="s">
        <v>127</v>
      </c>
      <c r="K2414" s="54" t="s">
        <v>127</v>
      </c>
      <c r="L2414" s="54" t="s">
        <v>12</v>
      </c>
      <c r="M2414" s="54" t="s">
        <v>10</v>
      </c>
      <c r="N2414" s="54" t="s">
        <v>11</v>
      </c>
      <c r="O2414" s="49" t="s">
        <v>815</v>
      </c>
      <c r="P2414" s="54" t="s">
        <v>3392</v>
      </c>
      <c r="Q2414" s="35" t="str">
        <f>MID(Tabla1[[#This Row],[Aplicación]],14,1)</f>
        <v>2</v>
      </c>
      <c r="R2414" s="35" t="s">
        <v>495</v>
      </c>
      <c r="S2414" s="35" t="str">
        <f>MID(Tabla1[[#This Row],[Aplicación]],6,2)</f>
        <v>06</v>
      </c>
      <c r="T2414" s="35" t="str">
        <f>VLOOKUP(Tabla1[[#This Row],[AREA]],Hoja1!A:B,2,FALSE)</f>
        <v>06. Educación, infancia, juventud e igualdad</v>
      </c>
      <c r="U2414" s="35" t="str">
        <f>MID(Tabla1[[#This Row],[Aplicación]],9,4)</f>
        <v>2315</v>
      </c>
      <c r="V2414" s="35" t="str">
        <f>VLOOKUP(Tabla1[[#This Row],[PROGRAMA]],Hoja1!A:B,2,FALSE)</f>
        <v>2315. Políticas de Igualdad e infancia</v>
      </c>
      <c r="W2414" s="35" t="str">
        <f>MID(Tabla1[[#This Row],[Aplicación]],14,2)</f>
        <v>22</v>
      </c>
      <c r="X2414" s="35" t="str">
        <f>MID(Tabla1[[#This Row],[Aplicación]],14,6)</f>
        <v>22611</v>
      </c>
    </row>
    <row r="2415" spans="1:24" x14ac:dyDescent="0.25">
      <c r="A2415" s="45">
        <v>220210031498</v>
      </c>
      <c r="B2415" s="46" t="s">
        <v>9</v>
      </c>
      <c r="C2415" s="47">
        <v>44369</v>
      </c>
      <c r="D2415" s="45">
        <v>22021004957</v>
      </c>
      <c r="E2415" s="46" t="s">
        <v>3360</v>
      </c>
      <c r="F2415" s="48">
        <v>1500</v>
      </c>
      <c r="G2415" s="54" t="s">
        <v>292</v>
      </c>
      <c r="H2415" s="54" t="s">
        <v>3914</v>
      </c>
      <c r="I2415" s="53" t="s">
        <v>125</v>
      </c>
      <c r="J2415" s="54" t="s">
        <v>127</v>
      </c>
      <c r="K2415" s="54" t="s">
        <v>127</v>
      </c>
      <c r="L2415" s="54" t="s">
        <v>12</v>
      </c>
      <c r="M2415" s="54" t="s">
        <v>10</v>
      </c>
      <c r="N2415" s="54" t="s">
        <v>11</v>
      </c>
      <c r="O2415" s="49" t="s">
        <v>815</v>
      </c>
      <c r="P2415" s="54" t="s">
        <v>3392</v>
      </c>
      <c r="Q2415" s="35" t="str">
        <f>MID(Tabla1[[#This Row],[Aplicación]],14,1)</f>
        <v>2</v>
      </c>
      <c r="R2415" s="35" t="s">
        <v>495</v>
      </c>
      <c r="S2415" s="35" t="str">
        <f>MID(Tabla1[[#This Row],[Aplicación]],6,2)</f>
        <v>06</v>
      </c>
      <c r="T2415" s="35" t="str">
        <f>VLOOKUP(Tabla1[[#This Row],[AREA]],Hoja1!A:B,2,FALSE)</f>
        <v>06. Educación, infancia, juventud e igualdad</v>
      </c>
      <c r="U2415" s="35" t="str">
        <f>MID(Tabla1[[#This Row],[Aplicación]],9,4)</f>
        <v>3321</v>
      </c>
      <c r="V2415" s="35" t="str">
        <f>VLOOKUP(Tabla1[[#This Row],[PROGRAMA]],Hoja1!A:B,2,FALSE)</f>
        <v>3321. Bibliotecas públicas</v>
      </c>
      <c r="W2415" s="35" t="str">
        <f>MID(Tabla1[[#This Row],[Aplicación]],14,2)</f>
        <v>22</v>
      </c>
      <c r="X2415" s="35" t="str">
        <f>MID(Tabla1[[#This Row],[Aplicación]],14,6)</f>
        <v>223</v>
      </c>
    </row>
    <row r="2416" spans="1:24" x14ac:dyDescent="0.25">
      <c r="A2416" s="45">
        <v>220210016939</v>
      </c>
      <c r="B2416" s="46" t="s">
        <v>9</v>
      </c>
      <c r="C2416" s="47">
        <v>44312</v>
      </c>
      <c r="D2416" s="45">
        <v>22021003982</v>
      </c>
      <c r="E2416" s="46" t="s">
        <v>982</v>
      </c>
      <c r="F2416" s="48">
        <v>1464.1</v>
      </c>
      <c r="G2416" s="54" t="s">
        <v>43</v>
      </c>
      <c r="H2416" s="54" t="s">
        <v>3915</v>
      </c>
      <c r="I2416" s="53" t="s">
        <v>125</v>
      </c>
      <c r="J2416" s="54" t="s">
        <v>127</v>
      </c>
      <c r="K2416" s="54" t="s">
        <v>127</v>
      </c>
      <c r="L2416" s="54" t="s">
        <v>12</v>
      </c>
      <c r="M2416" s="54" t="s">
        <v>10</v>
      </c>
      <c r="N2416" s="54" t="s">
        <v>11</v>
      </c>
      <c r="O2416" s="49" t="s">
        <v>815</v>
      </c>
      <c r="P2416" s="54" t="s">
        <v>3392</v>
      </c>
      <c r="Q2416" s="35" t="str">
        <f>MID(Tabla1[[#This Row],[Aplicación]],14,1)</f>
        <v>2</v>
      </c>
      <c r="R2416" s="35" t="s">
        <v>495</v>
      </c>
      <c r="S2416" s="35" t="str">
        <f>MID(Tabla1[[#This Row],[Aplicación]],6,2)</f>
        <v>10</v>
      </c>
      <c r="T2416" s="35" t="str">
        <f>VLOOKUP(Tabla1[[#This Row],[AREA]],Hoja1!A:B,2,FALSE)</f>
        <v>10. Servicios sociales y mediación comunitaria</v>
      </c>
      <c r="U2416" s="35" t="str">
        <f>MID(Tabla1[[#This Row],[Aplicación]],9,4)</f>
        <v>2312</v>
      </c>
      <c r="V2416" s="35" t="str">
        <f>VLOOKUP(Tabla1[[#This Row],[PROGRAMA]],Hoja1!A:B,2,FALSE)</f>
        <v>2312. Iniciativas sociales</v>
      </c>
      <c r="W2416" s="35" t="str">
        <f>MID(Tabla1[[#This Row],[Aplicación]],14,2)</f>
        <v>21</v>
      </c>
      <c r="X2416" s="35" t="str">
        <f>MID(Tabla1[[#This Row],[Aplicación]],14,6)</f>
        <v>213</v>
      </c>
    </row>
    <row r="2417" spans="1:24" x14ac:dyDescent="0.25">
      <c r="A2417" s="45">
        <v>220210014465</v>
      </c>
      <c r="B2417" s="46" t="s">
        <v>204</v>
      </c>
      <c r="C2417" s="47">
        <v>44295</v>
      </c>
      <c r="D2417" s="45">
        <v>22021003381</v>
      </c>
      <c r="E2417" s="46" t="s">
        <v>1183</v>
      </c>
      <c r="F2417" s="48">
        <v>145.43</v>
      </c>
      <c r="G2417" s="54" t="s">
        <v>135</v>
      </c>
      <c r="H2417" s="54" t="s">
        <v>3916</v>
      </c>
      <c r="I2417" s="53" t="s">
        <v>205</v>
      </c>
      <c r="J2417" s="54" t="s">
        <v>127</v>
      </c>
      <c r="K2417" s="54" t="s">
        <v>127</v>
      </c>
      <c r="L2417" s="54" t="s">
        <v>15</v>
      </c>
      <c r="M2417" s="54" t="s">
        <v>13</v>
      </c>
      <c r="N2417" s="54" t="s">
        <v>14</v>
      </c>
      <c r="O2417" s="49" t="s">
        <v>814</v>
      </c>
      <c r="P2417" s="54" t="s">
        <v>3392</v>
      </c>
      <c r="Q2417" s="35" t="str">
        <f>MID(Tabla1[[#This Row],[Aplicación]],14,1)</f>
        <v>2</v>
      </c>
      <c r="R2417" s="35" t="s">
        <v>495</v>
      </c>
      <c r="S2417" s="35" t="str">
        <f>MID(Tabla1[[#This Row],[Aplicación]],6,2)</f>
        <v>11</v>
      </c>
      <c r="T2417" s="35" t="str">
        <f>VLOOKUP(Tabla1[[#This Row],[AREA]],Hoja1!A:B,2,FALSE)</f>
        <v>11. Salud pública y seguridad ciudadana</v>
      </c>
      <c r="U2417" s="35" t="str">
        <f>MID(Tabla1[[#This Row],[Aplicación]],9,4)</f>
        <v>1361</v>
      </c>
      <c r="V2417" s="35" t="str">
        <f>VLOOKUP(Tabla1[[#This Row],[PROGRAMA]],Hoja1!A:B,2,FALSE)</f>
        <v>1361. Prevención y extinción de incencios</v>
      </c>
      <c r="W2417" s="35" t="str">
        <f>MID(Tabla1[[#This Row],[Aplicación]],14,2)</f>
        <v>22</v>
      </c>
      <c r="X2417" s="35" t="str">
        <f>MID(Tabla1[[#This Row],[Aplicación]],14,6)</f>
        <v>22199</v>
      </c>
    </row>
    <row r="2418" spans="1:24" x14ac:dyDescent="0.25">
      <c r="A2418" s="45">
        <v>220210014484</v>
      </c>
      <c r="B2418" s="46" t="s">
        <v>204</v>
      </c>
      <c r="C2418" s="47">
        <v>44295</v>
      </c>
      <c r="D2418" s="45">
        <v>22021003381</v>
      </c>
      <c r="E2418" s="46" t="s">
        <v>1183</v>
      </c>
      <c r="F2418" s="48">
        <v>126</v>
      </c>
      <c r="G2418" s="54" t="s">
        <v>135</v>
      </c>
      <c r="H2418" s="54" t="s">
        <v>3917</v>
      </c>
      <c r="I2418" s="53" t="s">
        <v>205</v>
      </c>
      <c r="J2418" s="54" t="s">
        <v>127</v>
      </c>
      <c r="K2418" s="54" t="s">
        <v>127</v>
      </c>
      <c r="L2418" s="54" t="s">
        <v>15</v>
      </c>
      <c r="M2418" s="54" t="s">
        <v>13</v>
      </c>
      <c r="N2418" s="54" t="s">
        <v>14</v>
      </c>
      <c r="O2418" s="49" t="s">
        <v>814</v>
      </c>
      <c r="P2418" s="54" t="s">
        <v>3392</v>
      </c>
      <c r="Q2418" s="35" t="str">
        <f>MID(Tabla1[[#This Row],[Aplicación]],14,1)</f>
        <v>2</v>
      </c>
      <c r="R2418" s="35" t="s">
        <v>495</v>
      </c>
      <c r="S2418" s="35" t="str">
        <f>MID(Tabla1[[#This Row],[Aplicación]],6,2)</f>
        <v>11</v>
      </c>
      <c r="T2418" s="35" t="str">
        <f>VLOOKUP(Tabla1[[#This Row],[AREA]],Hoja1!A:B,2,FALSE)</f>
        <v>11. Salud pública y seguridad ciudadana</v>
      </c>
      <c r="U2418" s="35" t="str">
        <f>MID(Tabla1[[#This Row],[Aplicación]],9,4)</f>
        <v>1361</v>
      </c>
      <c r="V2418" s="35" t="str">
        <f>VLOOKUP(Tabla1[[#This Row],[PROGRAMA]],Hoja1!A:B,2,FALSE)</f>
        <v>1361. Prevención y extinción de incencios</v>
      </c>
      <c r="W2418" s="35" t="str">
        <f>MID(Tabla1[[#This Row],[Aplicación]],14,2)</f>
        <v>22</v>
      </c>
      <c r="X2418" s="35" t="str">
        <f>MID(Tabla1[[#This Row],[Aplicación]],14,6)</f>
        <v>22199</v>
      </c>
    </row>
    <row r="2419" spans="1:24" x14ac:dyDescent="0.25">
      <c r="A2419" s="45">
        <v>220210032810</v>
      </c>
      <c r="B2419" s="46" t="s">
        <v>9</v>
      </c>
      <c r="C2419" s="47">
        <v>44371</v>
      </c>
      <c r="D2419" s="45">
        <v>22021004443</v>
      </c>
      <c r="E2419" s="46" t="s">
        <v>1189</v>
      </c>
      <c r="F2419" s="48">
        <v>1459.26</v>
      </c>
      <c r="G2419" s="54" t="s">
        <v>1908</v>
      </c>
      <c r="H2419" s="54" t="s">
        <v>3918</v>
      </c>
      <c r="I2419" s="53" t="s">
        <v>125</v>
      </c>
      <c r="J2419" s="54" t="s">
        <v>126</v>
      </c>
      <c r="K2419" s="54" t="s">
        <v>126</v>
      </c>
      <c r="L2419" s="54" t="s">
        <v>12</v>
      </c>
      <c r="M2419" s="54" t="s">
        <v>10</v>
      </c>
      <c r="N2419" s="54" t="s">
        <v>11</v>
      </c>
      <c r="O2419" s="49" t="s">
        <v>815</v>
      </c>
      <c r="P2419" s="54" t="s">
        <v>3392</v>
      </c>
      <c r="Q2419" s="35" t="str">
        <f>MID(Tabla1[[#This Row],[Aplicación]],14,1)</f>
        <v>2</v>
      </c>
      <c r="R2419" s="35" t="s">
        <v>495</v>
      </c>
      <c r="S2419" s="35" t="str">
        <f>MID(Tabla1[[#This Row],[Aplicación]],6,2)</f>
        <v>10</v>
      </c>
      <c r="T2419" s="35" t="str">
        <f>VLOOKUP(Tabla1[[#This Row],[AREA]],Hoja1!A:B,2,FALSE)</f>
        <v>10. Servicios sociales y mediación comunitaria</v>
      </c>
      <c r="U2419" s="35" t="str">
        <f>MID(Tabla1[[#This Row],[Aplicación]],9,4)</f>
        <v>2311</v>
      </c>
      <c r="V2419" s="35" t="str">
        <f>VLOOKUP(Tabla1[[#This Row],[PROGRAMA]],Hoja1!A:B,2,FALSE)</f>
        <v>2311. Intervención social</v>
      </c>
      <c r="W2419" s="35" t="str">
        <f>MID(Tabla1[[#This Row],[Aplicación]],14,2)</f>
        <v>22</v>
      </c>
      <c r="X2419" s="35" t="str">
        <f>MID(Tabla1[[#This Row],[Aplicación]],14,6)</f>
        <v>22700</v>
      </c>
    </row>
    <row r="2420" spans="1:24" x14ac:dyDescent="0.25">
      <c r="A2420" s="45">
        <v>220210015844</v>
      </c>
      <c r="B2420" s="46" t="s">
        <v>204</v>
      </c>
      <c r="C2420" s="47">
        <v>44302</v>
      </c>
      <c r="D2420" s="45">
        <v>22021001275</v>
      </c>
      <c r="E2420" s="46" t="s">
        <v>1334</v>
      </c>
      <c r="F2420" s="48">
        <v>293.69</v>
      </c>
      <c r="G2420" s="54" t="s">
        <v>135</v>
      </c>
      <c r="H2420" s="54" t="s">
        <v>1461</v>
      </c>
      <c r="I2420" s="53" t="s">
        <v>205</v>
      </c>
      <c r="J2420" s="54" t="s">
        <v>127</v>
      </c>
      <c r="K2420" s="54" t="s">
        <v>127</v>
      </c>
      <c r="L2420" s="54" t="s">
        <v>15</v>
      </c>
      <c r="M2420" s="54" t="s">
        <v>13</v>
      </c>
      <c r="N2420" s="54" t="s">
        <v>14</v>
      </c>
      <c r="O2420" s="49" t="s">
        <v>814</v>
      </c>
      <c r="P2420" s="54" t="s">
        <v>3392</v>
      </c>
      <c r="Q2420" s="35" t="str">
        <f>MID(Tabla1[[#This Row],[Aplicación]],14,1)</f>
        <v>2</v>
      </c>
      <c r="R2420" s="35" t="s">
        <v>495</v>
      </c>
      <c r="S2420" s="35" t="str">
        <f>MID(Tabla1[[#This Row],[Aplicación]],6,2)</f>
        <v>07</v>
      </c>
      <c r="T2420" s="35" t="str">
        <f>VLOOKUP(Tabla1[[#This Row],[AREA]],Hoja1!A:B,2,FALSE)</f>
        <v>07. Medio ambiente y desarrollo sostenible</v>
      </c>
      <c r="U2420" s="35" t="str">
        <f>MID(Tabla1[[#This Row],[Aplicación]],9,4)</f>
        <v>1711</v>
      </c>
      <c r="V2420" s="35" t="str">
        <f>VLOOKUP(Tabla1[[#This Row],[PROGRAMA]],Hoja1!A:B,2,FALSE)</f>
        <v>1711. Parques y jardines</v>
      </c>
      <c r="W2420" s="35" t="str">
        <f>MID(Tabla1[[#This Row],[Aplicación]],14,2)</f>
        <v>22</v>
      </c>
      <c r="X2420" s="35" t="str">
        <f>MID(Tabla1[[#This Row],[Aplicación]],14,6)</f>
        <v>22199</v>
      </c>
    </row>
    <row r="2421" spans="1:24" x14ac:dyDescent="0.25">
      <c r="A2421" s="45">
        <v>220210028268</v>
      </c>
      <c r="B2421" s="46" t="s">
        <v>9</v>
      </c>
      <c r="C2421" s="47">
        <v>44350</v>
      </c>
      <c r="D2421" s="45">
        <v>22021003230</v>
      </c>
      <c r="E2421" s="46" t="s">
        <v>3361</v>
      </c>
      <c r="F2421" s="48">
        <v>1452</v>
      </c>
      <c r="G2421" s="54" t="s">
        <v>3919</v>
      </c>
      <c r="H2421" s="54" t="s">
        <v>3920</v>
      </c>
      <c r="I2421" s="53" t="s">
        <v>125</v>
      </c>
      <c r="J2421" s="54" t="s">
        <v>3921</v>
      </c>
      <c r="K2421" s="54" t="s">
        <v>3922</v>
      </c>
      <c r="L2421" s="54" t="s">
        <v>12</v>
      </c>
      <c r="M2421" s="54" t="s">
        <v>10</v>
      </c>
      <c r="N2421" s="54" t="s">
        <v>11</v>
      </c>
      <c r="O2421" s="49" t="s">
        <v>815</v>
      </c>
      <c r="P2421" s="54" t="s">
        <v>3392</v>
      </c>
      <c r="Q2421" s="35" t="str">
        <f>MID(Tabla1[[#This Row],[Aplicación]],14,1)</f>
        <v>6</v>
      </c>
      <c r="R2421" s="35" t="s">
        <v>496</v>
      </c>
      <c r="S2421" s="35" t="str">
        <f>MID(Tabla1[[#This Row],[Aplicación]],6,2)</f>
        <v>02</v>
      </c>
      <c r="T2421" s="35" t="str">
        <f>VLOOKUP(Tabla1[[#This Row],[AREA]],Hoja1!A:B,2,FALSE)</f>
        <v>02. Planeamiento urbanístico y vivienda</v>
      </c>
      <c r="U2421" s="35" t="str">
        <f>MID(Tabla1[[#This Row],[Aplicación]],9,4)</f>
        <v>1511</v>
      </c>
      <c r="V2421" s="35" t="str">
        <f>VLOOKUP(Tabla1[[#This Row],[PROGRAMA]],Hoja1!A:B,2,FALSE)</f>
        <v>1511. Planficación y gestión del urbanismo</v>
      </c>
      <c r="W2421" s="35" t="str">
        <f>MID(Tabla1[[#This Row],[Aplicación]],14,2)</f>
        <v>64</v>
      </c>
      <c r="X2421" s="35" t="str">
        <f>MID(Tabla1[[#This Row],[Aplicación]],14,6)</f>
        <v>641</v>
      </c>
    </row>
    <row r="2422" spans="1:24" x14ac:dyDescent="0.25">
      <c r="A2422" s="45">
        <v>220210020912</v>
      </c>
      <c r="B2422" s="46" t="s">
        <v>204</v>
      </c>
      <c r="C2422" s="47">
        <v>44323</v>
      </c>
      <c r="D2422" s="45">
        <v>22021002089</v>
      </c>
      <c r="E2422" s="46" t="s">
        <v>1220</v>
      </c>
      <c r="F2422" s="48">
        <v>5354.7</v>
      </c>
      <c r="G2422" s="54" t="s">
        <v>223</v>
      </c>
      <c r="H2422" s="54" t="s">
        <v>3923</v>
      </c>
      <c r="I2422" s="53" t="s">
        <v>205</v>
      </c>
      <c r="J2422" s="54" t="s">
        <v>127</v>
      </c>
      <c r="K2422" s="54" t="s">
        <v>127</v>
      </c>
      <c r="L2422" s="54" t="s">
        <v>15</v>
      </c>
      <c r="M2422" s="54" t="s">
        <v>13</v>
      </c>
      <c r="N2422" s="54" t="s">
        <v>16</v>
      </c>
      <c r="O2422" s="49" t="s">
        <v>814</v>
      </c>
      <c r="P2422" s="54" t="s">
        <v>3392</v>
      </c>
      <c r="Q2422" s="35" t="str">
        <f>MID(Tabla1[[#This Row],[Aplicación]],14,1)</f>
        <v>2</v>
      </c>
      <c r="R2422" s="35" t="s">
        <v>495</v>
      </c>
      <c r="S2422" s="35" t="str">
        <f>MID(Tabla1[[#This Row],[Aplicación]],6,2)</f>
        <v>03</v>
      </c>
      <c r="T2422" s="35" t="str">
        <f>VLOOKUP(Tabla1[[#This Row],[AREA]],Hoja1!A:B,2,FALSE)</f>
        <v>03. Participación ciudadana y deportes</v>
      </c>
      <c r="U2422" s="35" t="str">
        <f>MID(Tabla1[[#This Row],[Aplicación]],9,4)</f>
        <v>9241</v>
      </c>
      <c r="V2422" s="35" t="str">
        <f>VLOOKUP(Tabla1[[#This Row],[PROGRAMA]],Hoja1!A:B,2,FALSE)</f>
        <v>9241. Participación ciudadana</v>
      </c>
      <c r="W2422" s="35" t="str">
        <f>MID(Tabla1[[#This Row],[Aplicación]],14,2)</f>
        <v>21</v>
      </c>
      <c r="X2422" s="35" t="str">
        <f>MID(Tabla1[[#This Row],[Aplicación]],14,6)</f>
        <v>213</v>
      </c>
    </row>
    <row r="2423" spans="1:24" x14ac:dyDescent="0.25">
      <c r="A2423" s="45">
        <v>220210024848</v>
      </c>
      <c r="B2423" s="46" t="s">
        <v>9</v>
      </c>
      <c r="C2423" s="47">
        <v>44341</v>
      </c>
      <c r="D2423" s="45">
        <v>22021004542</v>
      </c>
      <c r="E2423" s="46" t="s">
        <v>1220</v>
      </c>
      <c r="F2423" s="48">
        <v>1406.02</v>
      </c>
      <c r="G2423" s="54" t="s">
        <v>3567</v>
      </c>
      <c r="H2423" s="54" t="s">
        <v>3924</v>
      </c>
      <c r="I2423" s="53" t="s">
        <v>125</v>
      </c>
      <c r="J2423" s="54" t="s">
        <v>127</v>
      </c>
      <c r="K2423" s="54" t="s">
        <v>127</v>
      </c>
      <c r="L2423" s="54" t="s">
        <v>12</v>
      </c>
      <c r="M2423" s="54" t="s">
        <v>10</v>
      </c>
      <c r="N2423" s="54" t="s">
        <v>11</v>
      </c>
      <c r="O2423" s="49" t="s">
        <v>815</v>
      </c>
      <c r="P2423" s="54" t="s">
        <v>3392</v>
      </c>
      <c r="Q2423" s="35" t="str">
        <f>MID(Tabla1[[#This Row],[Aplicación]],14,1)</f>
        <v>2</v>
      </c>
      <c r="R2423" s="35" t="s">
        <v>495</v>
      </c>
      <c r="S2423" s="35" t="str">
        <f>MID(Tabla1[[#This Row],[Aplicación]],6,2)</f>
        <v>03</v>
      </c>
      <c r="T2423" s="35" t="str">
        <f>VLOOKUP(Tabla1[[#This Row],[AREA]],Hoja1!A:B,2,FALSE)</f>
        <v>03. Participación ciudadana y deportes</v>
      </c>
      <c r="U2423" s="35" t="str">
        <f>MID(Tabla1[[#This Row],[Aplicación]],9,4)</f>
        <v>9241</v>
      </c>
      <c r="V2423" s="35" t="str">
        <f>VLOOKUP(Tabla1[[#This Row],[PROGRAMA]],Hoja1!A:B,2,FALSE)</f>
        <v>9241. Participación ciudadana</v>
      </c>
      <c r="W2423" s="35" t="str">
        <f>MID(Tabla1[[#This Row],[Aplicación]],14,2)</f>
        <v>21</v>
      </c>
      <c r="X2423" s="35" t="str">
        <f>MID(Tabla1[[#This Row],[Aplicación]],14,6)</f>
        <v>213</v>
      </c>
    </row>
    <row r="2424" spans="1:24" x14ac:dyDescent="0.25">
      <c r="A2424" s="45">
        <v>220210015867</v>
      </c>
      <c r="B2424" s="46" t="s">
        <v>204</v>
      </c>
      <c r="C2424" s="47">
        <v>44302</v>
      </c>
      <c r="D2424" s="45">
        <v>22021001968</v>
      </c>
      <c r="E2424" s="46" t="s">
        <v>1388</v>
      </c>
      <c r="F2424" s="48">
        <v>1899.7</v>
      </c>
      <c r="G2424" s="54" t="s">
        <v>135</v>
      </c>
      <c r="H2424" s="54" t="s">
        <v>3925</v>
      </c>
      <c r="I2424" s="53" t="s">
        <v>205</v>
      </c>
      <c r="J2424" s="54" t="s">
        <v>127</v>
      </c>
      <c r="K2424" s="54" t="s">
        <v>127</v>
      </c>
      <c r="L2424" s="54" t="s">
        <v>15</v>
      </c>
      <c r="M2424" s="54" t="s">
        <v>13</v>
      </c>
      <c r="N2424" s="54" t="s">
        <v>14</v>
      </c>
      <c r="O2424" s="49" t="s">
        <v>814</v>
      </c>
      <c r="P2424" s="54" t="s">
        <v>3392</v>
      </c>
      <c r="Q2424" s="35" t="str">
        <f>MID(Tabla1[[#This Row],[Aplicación]],14,1)</f>
        <v>2</v>
      </c>
      <c r="R2424" s="35" t="s">
        <v>495</v>
      </c>
      <c r="S2424" s="35" t="str">
        <f>MID(Tabla1[[#This Row],[Aplicación]],6,2)</f>
        <v>11</v>
      </c>
      <c r="T2424" s="35" t="str">
        <f>VLOOKUP(Tabla1[[#This Row],[AREA]],Hoja1!A:B,2,FALSE)</f>
        <v>11. Salud pública y seguridad ciudadana</v>
      </c>
      <c r="U2424" s="35" t="str">
        <f>MID(Tabla1[[#This Row],[Aplicación]],9,4)</f>
        <v>1321</v>
      </c>
      <c r="V2424" s="35" t="str">
        <f>VLOOKUP(Tabla1[[#This Row],[PROGRAMA]],Hoja1!A:B,2,FALSE)</f>
        <v>1321. Policía municipal</v>
      </c>
      <c r="W2424" s="35" t="str">
        <f>MID(Tabla1[[#This Row],[Aplicación]],14,2)</f>
        <v>22</v>
      </c>
      <c r="X2424" s="35" t="str">
        <f>MID(Tabla1[[#This Row],[Aplicación]],14,6)</f>
        <v>22199</v>
      </c>
    </row>
    <row r="2425" spans="1:24" x14ac:dyDescent="0.25">
      <c r="A2425" s="45">
        <v>220210025901</v>
      </c>
      <c r="B2425" s="46" t="s">
        <v>9</v>
      </c>
      <c r="C2425" s="47">
        <v>44344</v>
      </c>
      <c r="D2425" s="45">
        <v>22021004493</v>
      </c>
      <c r="E2425" s="46" t="s">
        <v>1348</v>
      </c>
      <c r="F2425" s="48">
        <v>1399.97</v>
      </c>
      <c r="G2425" s="54" t="s">
        <v>3762</v>
      </c>
      <c r="H2425" s="54" t="s">
        <v>3926</v>
      </c>
      <c r="I2425" s="53" t="s">
        <v>125</v>
      </c>
      <c r="J2425" s="54" t="s">
        <v>127</v>
      </c>
      <c r="K2425" s="54" t="s">
        <v>127</v>
      </c>
      <c r="L2425" s="54" t="s">
        <v>15</v>
      </c>
      <c r="M2425" s="54" t="s">
        <v>10</v>
      </c>
      <c r="N2425" s="54" t="s">
        <v>16</v>
      </c>
      <c r="O2425" s="49" t="s">
        <v>815</v>
      </c>
      <c r="P2425" s="54" t="s">
        <v>3392</v>
      </c>
      <c r="Q2425" s="35" t="str">
        <f>MID(Tabla1[[#This Row],[Aplicación]],14,1)</f>
        <v>2</v>
      </c>
      <c r="R2425" s="35" t="s">
        <v>495</v>
      </c>
      <c r="S2425" s="35" t="str">
        <f>MID(Tabla1[[#This Row],[Aplicación]],6,2)</f>
        <v>06</v>
      </c>
      <c r="T2425" s="35" t="str">
        <f>VLOOKUP(Tabla1[[#This Row],[AREA]],Hoja1!A:B,2,FALSE)</f>
        <v>06. Educación, infancia, juventud e igualdad</v>
      </c>
      <c r="U2425" s="35" t="str">
        <f>MID(Tabla1[[#This Row],[Aplicación]],9,4)</f>
        <v>3321</v>
      </c>
      <c r="V2425" s="35" t="str">
        <f>VLOOKUP(Tabla1[[#This Row],[PROGRAMA]],Hoja1!A:B,2,FALSE)</f>
        <v>3321. Bibliotecas públicas</v>
      </c>
      <c r="W2425" s="35" t="str">
        <f>MID(Tabla1[[#This Row],[Aplicación]],14,2)</f>
        <v>21</v>
      </c>
      <c r="X2425" s="35" t="str">
        <f>MID(Tabla1[[#This Row],[Aplicación]],14,6)</f>
        <v>213</v>
      </c>
    </row>
    <row r="2426" spans="1:24" x14ac:dyDescent="0.25">
      <c r="A2426" s="45">
        <v>220210025520</v>
      </c>
      <c r="B2426" s="46" t="s">
        <v>204</v>
      </c>
      <c r="C2426" s="47">
        <v>44342</v>
      </c>
      <c r="D2426" s="45">
        <v>22021002601</v>
      </c>
      <c r="E2426" s="46" t="s">
        <v>3362</v>
      </c>
      <c r="F2426" s="48">
        <v>4032.01</v>
      </c>
      <c r="G2426" s="54" t="s">
        <v>3927</v>
      </c>
      <c r="H2426" s="54" t="s">
        <v>3928</v>
      </c>
      <c r="I2426" s="53" t="s">
        <v>205</v>
      </c>
      <c r="J2426" s="54" t="s">
        <v>127</v>
      </c>
      <c r="K2426" s="54" t="s">
        <v>127</v>
      </c>
      <c r="L2426" s="54" t="s">
        <v>15</v>
      </c>
      <c r="M2426" s="54" t="s">
        <v>13</v>
      </c>
      <c r="N2426" s="54" t="s">
        <v>14</v>
      </c>
      <c r="O2426" s="49" t="s">
        <v>814</v>
      </c>
      <c r="P2426" s="54" t="s">
        <v>3392</v>
      </c>
      <c r="Q2426" s="35" t="str">
        <f>MID(Tabla1[[#This Row],[Aplicación]],14,1)</f>
        <v>6</v>
      </c>
      <c r="R2426" s="35" t="s">
        <v>496</v>
      </c>
      <c r="S2426" s="35" t="str">
        <f>MID(Tabla1[[#This Row],[Aplicación]],6,2)</f>
        <v>06</v>
      </c>
      <c r="T2426" s="35" t="str">
        <f>VLOOKUP(Tabla1[[#This Row],[AREA]],Hoja1!A:B,2,FALSE)</f>
        <v>06. Educación, infancia, juventud e igualdad</v>
      </c>
      <c r="U2426" s="35" t="str">
        <f>MID(Tabla1[[#This Row],[Aplicación]],9,4)</f>
        <v>3321</v>
      </c>
      <c r="V2426" s="35" t="str">
        <f>VLOOKUP(Tabla1[[#This Row],[PROGRAMA]],Hoja1!A:B,2,FALSE)</f>
        <v>3321. Bibliotecas públicas</v>
      </c>
      <c r="W2426" s="35" t="str">
        <f>MID(Tabla1[[#This Row],[Aplicación]],14,2)</f>
        <v>62</v>
      </c>
      <c r="X2426" s="35" t="str">
        <f>MID(Tabla1[[#This Row],[Aplicación]],14,6)</f>
        <v>629</v>
      </c>
    </row>
    <row r="2427" spans="1:24" x14ac:dyDescent="0.25">
      <c r="A2427" s="45">
        <v>220210022483</v>
      </c>
      <c r="B2427" s="46" t="s">
        <v>204</v>
      </c>
      <c r="C2427" s="47">
        <v>44330</v>
      </c>
      <c r="D2427" s="45">
        <v>22021001256</v>
      </c>
      <c r="E2427" s="46" t="s">
        <v>1700</v>
      </c>
      <c r="F2427" s="48">
        <v>4019.05</v>
      </c>
      <c r="G2427" s="54" t="s">
        <v>102</v>
      </c>
      <c r="H2427" s="54" t="s">
        <v>3929</v>
      </c>
      <c r="I2427" s="53" t="s">
        <v>205</v>
      </c>
      <c r="J2427" s="54" t="s">
        <v>127</v>
      </c>
      <c r="K2427" s="54" t="s">
        <v>127</v>
      </c>
      <c r="L2427" s="54" t="s">
        <v>15</v>
      </c>
      <c r="M2427" s="54" t="s">
        <v>13</v>
      </c>
      <c r="N2427" s="54" t="s">
        <v>11</v>
      </c>
      <c r="O2427" s="49" t="s">
        <v>814</v>
      </c>
      <c r="P2427" s="54" t="s">
        <v>3392</v>
      </c>
      <c r="Q2427" s="35" t="str">
        <f>MID(Tabla1[[#This Row],[Aplicación]],14,1)</f>
        <v>2</v>
      </c>
      <c r="R2427" s="35" t="s">
        <v>495</v>
      </c>
      <c r="S2427" s="35" t="str">
        <f>MID(Tabla1[[#This Row],[Aplicación]],6,2)</f>
        <v>07</v>
      </c>
      <c r="T2427" s="35" t="str">
        <f>VLOOKUP(Tabla1[[#This Row],[AREA]],Hoja1!A:B,2,FALSE)</f>
        <v>07. Medio ambiente y desarrollo sostenible</v>
      </c>
      <c r="U2427" s="35" t="str">
        <f>MID(Tabla1[[#This Row],[Aplicación]],9,4)</f>
        <v>1721</v>
      </c>
      <c r="V2427" s="35" t="str">
        <f>VLOOKUP(Tabla1[[#This Row],[PROGRAMA]],Hoja1!A:B,2,FALSE)</f>
        <v>1721. Protección del medio ambiente</v>
      </c>
      <c r="W2427" s="35" t="str">
        <f>MID(Tabla1[[#This Row],[Aplicación]],14,2)</f>
        <v>22</v>
      </c>
      <c r="X2427" s="35" t="str">
        <f>MID(Tabla1[[#This Row],[Aplicación]],14,6)</f>
        <v>22112</v>
      </c>
    </row>
    <row r="2428" spans="1:24" x14ac:dyDescent="0.25">
      <c r="A2428" s="45">
        <v>220210025547</v>
      </c>
      <c r="B2428" s="46" t="s">
        <v>9</v>
      </c>
      <c r="C2428" s="47">
        <v>44342</v>
      </c>
      <c r="D2428" s="45">
        <v>22021002924</v>
      </c>
      <c r="E2428" s="46" t="s">
        <v>1172</v>
      </c>
      <c r="F2428" s="48">
        <v>771.23</v>
      </c>
      <c r="G2428" s="54" t="s">
        <v>121</v>
      </c>
      <c r="H2428" s="54" t="s">
        <v>3930</v>
      </c>
      <c r="I2428" s="53" t="s">
        <v>125</v>
      </c>
      <c r="J2428" s="54" t="s">
        <v>664</v>
      </c>
      <c r="K2428" s="54" t="s">
        <v>127</v>
      </c>
      <c r="L2428" s="54" t="s">
        <v>12</v>
      </c>
      <c r="M2428" s="54" t="s">
        <v>13</v>
      </c>
      <c r="N2428" s="54" t="s">
        <v>14</v>
      </c>
      <c r="O2428" s="49" t="s">
        <v>814</v>
      </c>
      <c r="P2428" s="54" t="s">
        <v>3392</v>
      </c>
      <c r="Q2428" s="35" t="str">
        <f>MID(Tabla1[[#This Row],[Aplicación]],14,1)</f>
        <v>6</v>
      </c>
      <c r="R2428" s="35" t="s">
        <v>496</v>
      </c>
      <c r="S2428" s="35" t="str">
        <f>MID(Tabla1[[#This Row],[Aplicación]],6,2)</f>
        <v>02</v>
      </c>
      <c r="T2428" s="35" t="str">
        <f>VLOOKUP(Tabla1[[#This Row],[AREA]],Hoja1!A:B,2,FALSE)</f>
        <v>02. Planeamiento urbanístico y vivienda</v>
      </c>
      <c r="U2428" s="35" t="str">
        <f>MID(Tabla1[[#This Row],[Aplicación]],9,4)</f>
        <v>9332</v>
      </c>
      <c r="V2428" s="35" t="str">
        <f>VLOOKUP(Tabla1[[#This Row],[PROGRAMA]],Hoja1!A:B,2,FALSE)</f>
        <v>9332. Mantenimiento de edificios e instalaciones municipales</v>
      </c>
      <c r="W2428" s="35" t="str">
        <f>MID(Tabla1[[#This Row],[Aplicación]],14,2)</f>
        <v>63</v>
      </c>
      <c r="X2428" s="35" t="str">
        <f>MID(Tabla1[[#This Row],[Aplicación]],14,6)</f>
        <v>632</v>
      </c>
    </row>
    <row r="2429" spans="1:24" x14ac:dyDescent="0.25">
      <c r="A2429" s="45">
        <v>220210030468</v>
      </c>
      <c r="B2429" s="46" t="s">
        <v>204</v>
      </c>
      <c r="C2429" s="47">
        <v>44358</v>
      </c>
      <c r="D2429" s="45">
        <v>22021002048</v>
      </c>
      <c r="E2429" s="46" t="s">
        <v>890</v>
      </c>
      <c r="F2429" s="48">
        <v>3971.98</v>
      </c>
      <c r="G2429" s="54" t="s">
        <v>269</v>
      </c>
      <c r="H2429" s="54" t="s">
        <v>3931</v>
      </c>
      <c r="I2429" s="53" t="s">
        <v>205</v>
      </c>
      <c r="J2429" s="54" t="s">
        <v>127</v>
      </c>
      <c r="K2429" s="54" t="s">
        <v>127</v>
      </c>
      <c r="L2429" s="54" t="s">
        <v>15</v>
      </c>
      <c r="M2429" s="54" t="s">
        <v>13</v>
      </c>
      <c r="N2429" s="54" t="s">
        <v>14</v>
      </c>
      <c r="O2429" s="49" t="s">
        <v>814</v>
      </c>
      <c r="P2429" s="54" t="s">
        <v>3392</v>
      </c>
      <c r="Q2429" s="35" t="str">
        <f>MID(Tabla1[[#This Row],[Aplicación]],14,1)</f>
        <v>2</v>
      </c>
      <c r="R2429" s="35" t="s">
        <v>495</v>
      </c>
      <c r="S2429" s="35" t="str">
        <f>MID(Tabla1[[#This Row],[Aplicación]],6,2)</f>
        <v>11</v>
      </c>
      <c r="T2429" s="35" t="str">
        <f>VLOOKUP(Tabla1[[#This Row],[AREA]],Hoja1!A:B,2,FALSE)</f>
        <v>11. Salud pública y seguridad ciudadana</v>
      </c>
      <c r="U2429" s="35" t="str">
        <f>MID(Tabla1[[#This Row],[Aplicación]],9,4)</f>
        <v>1621</v>
      </c>
      <c r="V2429" s="35" t="str">
        <f>VLOOKUP(Tabla1[[#This Row],[PROGRAMA]],Hoja1!A:B,2,FALSE)</f>
        <v>1621. Servicio de limpieza</v>
      </c>
      <c r="W2429" s="35" t="str">
        <f>MID(Tabla1[[#This Row],[Aplicación]],14,2)</f>
        <v>21</v>
      </c>
      <c r="X2429" s="35" t="str">
        <f>MID(Tabla1[[#This Row],[Aplicación]],14,6)</f>
        <v>214</v>
      </c>
    </row>
    <row r="2430" spans="1:24" x14ac:dyDescent="0.25">
      <c r="A2430" s="45">
        <v>220210025988</v>
      </c>
      <c r="B2430" s="46" t="s">
        <v>204</v>
      </c>
      <c r="C2430" s="47">
        <v>44344</v>
      </c>
      <c r="D2430" s="45">
        <v>22021002601</v>
      </c>
      <c r="E2430" s="46" t="s">
        <v>3362</v>
      </c>
      <c r="F2430" s="48">
        <v>3915.72</v>
      </c>
      <c r="G2430" s="54" t="s">
        <v>3932</v>
      </c>
      <c r="H2430" s="54" t="s">
        <v>3933</v>
      </c>
      <c r="I2430" s="53" t="s">
        <v>205</v>
      </c>
      <c r="J2430" s="54" t="s">
        <v>127</v>
      </c>
      <c r="K2430" s="54" t="s">
        <v>127</v>
      </c>
      <c r="L2430" s="54" t="s">
        <v>15</v>
      </c>
      <c r="M2430" s="54" t="s">
        <v>13</v>
      </c>
      <c r="N2430" s="54" t="s">
        <v>14</v>
      </c>
      <c r="O2430" s="49" t="s">
        <v>814</v>
      </c>
      <c r="P2430" s="54" t="s">
        <v>3392</v>
      </c>
      <c r="Q2430" s="35" t="str">
        <f>MID(Tabla1[[#This Row],[Aplicación]],14,1)</f>
        <v>6</v>
      </c>
      <c r="R2430" s="35" t="s">
        <v>496</v>
      </c>
      <c r="S2430" s="35" t="str">
        <f>MID(Tabla1[[#This Row],[Aplicación]],6,2)</f>
        <v>06</v>
      </c>
      <c r="T2430" s="35" t="str">
        <f>VLOOKUP(Tabla1[[#This Row],[AREA]],Hoja1!A:B,2,FALSE)</f>
        <v>06. Educación, infancia, juventud e igualdad</v>
      </c>
      <c r="U2430" s="35" t="str">
        <f>MID(Tabla1[[#This Row],[Aplicación]],9,4)</f>
        <v>3321</v>
      </c>
      <c r="V2430" s="35" t="str">
        <f>VLOOKUP(Tabla1[[#This Row],[PROGRAMA]],Hoja1!A:B,2,FALSE)</f>
        <v>3321. Bibliotecas públicas</v>
      </c>
      <c r="W2430" s="35" t="str">
        <f>MID(Tabla1[[#This Row],[Aplicación]],14,2)</f>
        <v>62</v>
      </c>
      <c r="X2430" s="35" t="str">
        <f>MID(Tabla1[[#This Row],[Aplicación]],14,6)</f>
        <v>629</v>
      </c>
    </row>
    <row r="2431" spans="1:24" x14ac:dyDescent="0.25">
      <c r="A2431" s="45">
        <v>220210018842</v>
      </c>
      <c r="B2431" s="46" t="s">
        <v>204</v>
      </c>
      <c r="C2431" s="47">
        <v>44314</v>
      </c>
      <c r="D2431" s="45">
        <v>22021002059</v>
      </c>
      <c r="E2431" s="46" t="s">
        <v>1183</v>
      </c>
      <c r="F2431" s="48">
        <v>14.86</v>
      </c>
      <c r="G2431" s="54" t="s">
        <v>135</v>
      </c>
      <c r="H2431" s="54" t="s">
        <v>3934</v>
      </c>
      <c r="I2431" s="53" t="s">
        <v>205</v>
      </c>
      <c r="J2431" s="54" t="s">
        <v>127</v>
      </c>
      <c r="K2431" s="54" t="s">
        <v>127</v>
      </c>
      <c r="L2431" s="54" t="s">
        <v>15</v>
      </c>
      <c r="M2431" s="54" t="s">
        <v>13</v>
      </c>
      <c r="N2431" s="54" t="s">
        <v>14</v>
      </c>
      <c r="O2431" s="49" t="s">
        <v>814</v>
      </c>
      <c r="P2431" s="54" t="s">
        <v>3392</v>
      </c>
      <c r="Q2431" s="35" t="str">
        <f>MID(Tabla1[[#This Row],[Aplicación]],14,1)</f>
        <v>2</v>
      </c>
      <c r="R2431" s="35" t="s">
        <v>495</v>
      </c>
      <c r="S2431" s="35" t="str">
        <f>MID(Tabla1[[#This Row],[Aplicación]],6,2)</f>
        <v>11</v>
      </c>
      <c r="T2431" s="35" t="str">
        <f>VLOOKUP(Tabla1[[#This Row],[AREA]],Hoja1!A:B,2,FALSE)</f>
        <v>11. Salud pública y seguridad ciudadana</v>
      </c>
      <c r="U2431" s="35" t="str">
        <f>MID(Tabla1[[#This Row],[Aplicación]],9,4)</f>
        <v>1361</v>
      </c>
      <c r="V2431" s="35" t="str">
        <f>VLOOKUP(Tabla1[[#This Row],[PROGRAMA]],Hoja1!A:B,2,FALSE)</f>
        <v>1361. Prevención y extinción de incencios</v>
      </c>
      <c r="W2431" s="35" t="str">
        <f>MID(Tabla1[[#This Row],[Aplicación]],14,2)</f>
        <v>22</v>
      </c>
      <c r="X2431" s="35" t="str">
        <f>MID(Tabla1[[#This Row],[Aplicación]],14,6)</f>
        <v>22199</v>
      </c>
    </row>
    <row r="2432" spans="1:24" x14ac:dyDescent="0.25">
      <c r="A2432" s="45">
        <v>220210019056</v>
      </c>
      <c r="B2432" s="46" t="s">
        <v>204</v>
      </c>
      <c r="C2432" s="47">
        <v>44319</v>
      </c>
      <c r="D2432" s="45">
        <v>22021001275</v>
      </c>
      <c r="E2432" s="46" t="s">
        <v>1334</v>
      </c>
      <c r="F2432" s="48">
        <v>66.489999999999995</v>
      </c>
      <c r="G2432" s="54" t="s">
        <v>135</v>
      </c>
      <c r="H2432" s="54" t="s">
        <v>1461</v>
      </c>
      <c r="I2432" s="53" t="s">
        <v>205</v>
      </c>
      <c r="J2432" s="54" t="s">
        <v>127</v>
      </c>
      <c r="K2432" s="54" t="s">
        <v>127</v>
      </c>
      <c r="L2432" s="54" t="s">
        <v>15</v>
      </c>
      <c r="M2432" s="54" t="s">
        <v>13</v>
      </c>
      <c r="N2432" s="54" t="s">
        <v>14</v>
      </c>
      <c r="O2432" s="49" t="s">
        <v>814</v>
      </c>
      <c r="P2432" s="54" t="s">
        <v>3392</v>
      </c>
      <c r="Q2432" s="35" t="str">
        <f>MID(Tabla1[[#This Row],[Aplicación]],14,1)</f>
        <v>2</v>
      </c>
      <c r="R2432" s="35" t="s">
        <v>495</v>
      </c>
      <c r="S2432" s="35" t="str">
        <f>MID(Tabla1[[#This Row],[Aplicación]],6,2)</f>
        <v>07</v>
      </c>
      <c r="T2432" s="35" t="str">
        <f>VLOOKUP(Tabla1[[#This Row],[AREA]],Hoja1!A:B,2,FALSE)</f>
        <v>07. Medio ambiente y desarrollo sostenible</v>
      </c>
      <c r="U2432" s="35" t="str">
        <f>MID(Tabla1[[#This Row],[Aplicación]],9,4)</f>
        <v>1711</v>
      </c>
      <c r="V2432" s="35" t="str">
        <f>VLOOKUP(Tabla1[[#This Row],[PROGRAMA]],Hoja1!A:B,2,FALSE)</f>
        <v>1711. Parques y jardines</v>
      </c>
      <c r="W2432" s="35" t="str">
        <f>MID(Tabla1[[#This Row],[Aplicación]],14,2)</f>
        <v>22</v>
      </c>
      <c r="X2432" s="35" t="str">
        <f>MID(Tabla1[[#This Row],[Aplicación]],14,6)</f>
        <v>22199</v>
      </c>
    </row>
    <row r="2433" spans="1:24" x14ac:dyDescent="0.25">
      <c r="A2433" s="45">
        <v>220210020866</v>
      </c>
      <c r="B2433" s="46" t="s">
        <v>204</v>
      </c>
      <c r="C2433" s="47">
        <v>44323</v>
      </c>
      <c r="D2433" s="45">
        <v>22021003381</v>
      </c>
      <c r="E2433" s="46" t="s">
        <v>1183</v>
      </c>
      <c r="F2433" s="48">
        <v>92.94</v>
      </c>
      <c r="G2433" s="54" t="s">
        <v>135</v>
      </c>
      <c r="H2433" s="54" t="s">
        <v>3935</v>
      </c>
      <c r="I2433" s="53" t="s">
        <v>205</v>
      </c>
      <c r="J2433" s="54" t="s">
        <v>127</v>
      </c>
      <c r="K2433" s="54" t="s">
        <v>127</v>
      </c>
      <c r="L2433" s="54" t="s">
        <v>15</v>
      </c>
      <c r="M2433" s="54" t="s">
        <v>13</v>
      </c>
      <c r="N2433" s="54" t="s">
        <v>14</v>
      </c>
      <c r="O2433" s="49" t="s">
        <v>814</v>
      </c>
      <c r="P2433" s="54" t="s">
        <v>3392</v>
      </c>
      <c r="Q2433" s="35" t="str">
        <f>MID(Tabla1[[#This Row],[Aplicación]],14,1)</f>
        <v>2</v>
      </c>
      <c r="R2433" s="35" t="s">
        <v>495</v>
      </c>
      <c r="S2433" s="35" t="str">
        <f>MID(Tabla1[[#This Row],[Aplicación]],6,2)</f>
        <v>11</v>
      </c>
      <c r="T2433" s="35" t="str">
        <f>VLOOKUP(Tabla1[[#This Row],[AREA]],Hoja1!A:B,2,FALSE)</f>
        <v>11. Salud pública y seguridad ciudadana</v>
      </c>
      <c r="U2433" s="35" t="str">
        <f>MID(Tabla1[[#This Row],[Aplicación]],9,4)</f>
        <v>1361</v>
      </c>
      <c r="V2433" s="35" t="str">
        <f>VLOOKUP(Tabla1[[#This Row],[PROGRAMA]],Hoja1!A:B,2,FALSE)</f>
        <v>1361. Prevención y extinción de incencios</v>
      </c>
      <c r="W2433" s="35" t="str">
        <f>MID(Tabla1[[#This Row],[Aplicación]],14,2)</f>
        <v>22</v>
      </c>
      <c r="X2433" s="35" t="str">
        <f>MID(Tabla1[[#This Row],[Aplicación]],14,6)</f>
        <v>22199</v>
      </c>
    </row>
    <row r="2434" spans="1:24" x14ac:dyDescent="0.25">
      <c r="A2434" s="45">
        <v>220210020652</v>
      </c>
      <c r="B2434" s="46" t="s">
        <v>32</v>
      </c>
      <c r="C2434" s="47">
        <v>44323</v>
      </c>
      <c r="D2434" s="45">
        <v>22021004212</v>
      </c>
      <c r="E2434" s="46" t="s">
        <v>1660</v>
      </c>
      <c r="F2434" s="48">
        <v>1350.9</v>
      </c>
      <c r="G2434" s="54" t="s">
        <v>2330</v>
      </c>
      <c r="H2434" s="54" t="s">
        <v>3936</v>
      </c>
      <c r="I2434" s="53" t="s">
        <v>234</v>
      </c>
      <c r="J2434" s="54" t="s">
        <v>127</v>
      </c>
      <c r="K2434" s="54" t="s">
        <v>127</v>
      </c>
      <c r="L2434" s="54" t="s">
        <v>12</v>
      </c>
      <c r="M2434" s="54" t="s">
        <v>10</v>
      </c>
      <c r="N2434" s="54" t="s">
        <v>11</v>
      </c>
      <c r="O2434" s="49" t="s">
        <v>815</v>
      </c>
      <c r="P2434" s="54" t="s">
        <v>3392</v>
      </c>
      <c r="Q2434" s="35" t="str">
        <f>MID(Tabla1[[#This Row],[Aplicación]],14,1)</f>
        <v>2</v>
      </c>
      <c r="R2434" s="35" t="s">
        <v>495</v>
      </c>
      <c r="S2434" s="35" t="str">
        <f>MID(Tabla1[[#This Row],[Aplicación]],6,2)</f>
        <v>04</v>
      </c>
      <c r="T2434" s="35" t="str">
        <f>VLOOKUP(Tabla1[[#This Row],[AREA]],Hoja1!A:B,2,FALSE)</f>
        <v>04. Planificación y recursos</v>
      </c>
      <c r="U2434" s="35" t="str">
        <f>MID(Tabla1[[#This Row],[Aplicación]],9,4)</f>
        <v>9202</v>
      </c>
      <c r="V2434" s="35" t="str">
        <f>VLOOKUP(Tabla1[[#This Row],[PROGRAMA]],Hoja1!A:B,2,FALSE)</f>
        <v>9202. Gestión de recursos humanos</v>
      </c>
      <c r="W2434" s="35" t="str">
        <f>MID(Tabla1[[#This Row],[Aplicación]],14,2)</f>
        <v>22</v>
      </c>
      <c r="X2434" s="35" t="str">
        <f>MID(Tabla1[[#This Row],[Aplicación]],14,6)</f>
        <v>22607</v>
      </c>
    </row>
    <row r="2435" spans="1:24" x14ac:dyDescent="0.25">
      <c r="A2435" s="45">
        <v>220210028745</v>
      </c>
      <c r="B2435" s="46" t="s">
        <v>204</v>
      </c>
      <c r="C2435" s="47">
        <v>44351</v>
      </c>
      <c r="D2435" s="45">
        <v>22021001275</v>
      </c>
      <c r="E2435" s="46" t="s">
        <v>1334</v>
      </c>
      <c r="F2435" s="48">
        <v>914.76</v>
      </c>
      <c r="G2435" s="54" t="s">
        <v>135</v>
      </c>
      <c r="H2435" s="54" t="s">
        <v>1461</v>
      </c>
      <c r="I2435" s="53" t="s">
        <v>205</v>
      </c>
      <c r="J2435" s="54" t="s">
        <v>127</v>
      </c>
      <c r="K2435" s="54" t="s">
        <v>127</v>
      </c>
      <c r="L2435" s="54" t="s">
        <v>15</v>
      </c>
      <c r="M2435" s="54" t="s">
        <v>13</v>
      </c>
      <c r="N2435" s="54" t="s">
        <v>14</v>
      </c>
      <c r="O2435" s="49" t="s">
        <v>814</v>
      </c>
      <c r="P2435" s="54" t="s">
        <v>3392</v>
      </c>
      <c r="Q2435" s="35" t="str">
        <f>MID(Tabla1[[#This Row],[Aplicación]],14,1)</f>
        <v>2</v>
      </c>
      <c r="R2435" s="35" t="s">
        <v>495</v>
      </c>
      <c r="S2435" s="35" t="str">
        <f>MID(Tabla1[[#This Row],[Aplicación]],6,2)</f>
        <v>07</v>
      </c>
      <c r="T2435" s="35" t="str">
        <f>VLOOKUP(Tabla1[[#This Row],[AREA]],Hoja1!A:B,2,FALSE)</f>
        <v>07. Medio ambiente y desarrollo sostenible</v>
      </c>
      <c r="U2435" s="35" t="str">
        <f>MID(Tabla1[[#This Row],[Aplicación]],9,4)</f>
        <v>1711</v>
      </c>
      <c r="V2435" s="35" t="str">
        <f>VLOOKUP(Tabla1[[#This Row],[PROGRAMA]],Hoja1!A:B,2,FALSE)</f>
        <v>1711. Parques y jardines</v>
      </c>
      <c r="W2435" s="35" t="str">
        <f>MID(Tabla1[[#This Row],[Aplicación]],14,2)</f>
        <v>22</v>
      </c>
      <c r="X2435" s="35" t="str">
        <f>MID(Tabla1[[#This Row],[Aplicación]],14,6)</f>
        <v>22199</v>
      </c>
    </row>
    <row r="2436" spans="1:24" x14ac:dyDescent="0.25">
      <c r="A2436" s="45">
        <v>220210028747</v>
      </c>
      <c r="B2436" s="46" t="s">
        <v>204</v>
      </c>
      <c r="C2436" s="47">
        <v>44351</v>
      </c>
      <c r="D2436" s="45">
        <v>22021001275</v>
      </c>
      <c r="E2436" s="46" t="s">
        <v>1334</v>
      </c>
      <c r="F2436" s="48">
        <v>82.4</v>
      </c>
      <c r="G2436" s="54" t="s">
        <v>135</v>
      </c>
      <c r="H2436" s="54" t="s">
        <v>1461</v>
      </c>
      <c r="I2436" s="53" t="s">
        <v>205</v>
      </c>
      <c r="J2436" s="54" t="s">
        <v>127</v>
      </c>
      <c r="K2436" s="54" t="s">
        <v>127</v>
      </c>
      <c r="L2436" s="54" t="s">
        <v>15</v>
      </c>
      <c r="M2436" s="54" t="s">
        <v>13</v>
      </c>
      <c r="N2436" s="54" t="s">
        <v>14</v>
      </c>
      <c r="O2436" s="49" t="s">
        <v>814</v>
      </c>
      <c r="P2436" s="54" t="s">
        <v>3392</v>
      </c>
      <c r="Q2436" s="35" t="str">
        <f>MID(Tabla1[[#This Row],[Aplicación]],14,1)</f>
        <v>2</v>
      </c>
      <c r="R2436" s="35" t="s">
        <v>495</v>
      </c>
      <c r="S2436" s="35" t="str">
        <f>MID(Tabla1[[#This Row],[Aplicación]],6,2)</f>
        <v>07</v>
      </c>
      <c r="T2436" s="35" t="str">
        <f>VLOOKUP(Tabla1[[#This Row],[AREA]],Hoja1!A:B,2,FALSE)</f>
        <v>07. Medio ambiente y desarrollo sostenible</v>
      </c>
      <c r="U2436" s="35" t="str">
        <f>MID(Tabla1[[#This Row],[Aplicación]],9,4)</f>
        <v>1711</v>
      </c>
      <c r="V2436" s="35" t="str">
        <f>VLOOKUP(Tabla1[[#This Row],[PROGRAMA]],Hoja1!A:B,2,FALSE)</f>
        <v>1711. Parques y jardines</v>
      </c>
      <c r="W2436" s="35" t="str">
        <f>MID(Tabla1[[#This Row],[Aplicación]],14,2)</f>
        <v>22</v>
      </c>
      <c r="X2436" s="35" t="str">
        <f>MID(Tabla1[[#This Row],[Aplicación]],14,6)</f>
        <v>22199</v>
      </c>
    </row>
    <row r="2437" spans="1:24" x14ac:dyDescent="0.25">
      <c r="A2437" s="45">
        <v>220210029583</v>
      </c>
      <c r="B2437" s="46" t="s">
        <v>204</v>
      </c>
      <c r="C2437" s="47">
        <v>44355</v>
      </c>
      <c r="D2437" s="45">
        <v>22021003381</v>
      </c>
      <c r="E2437" s="46" t="s">
        <v>1183</v>
      </c>
      <c r="F2437" s="48">
        <v>26.08</v>
      </c>
      <c r="G2437" s="54" t="s">
        <v>135</v>
      </c>
      <c r="H2437" s="54" t="s">
        <v>3937</v>
      </c>
      <c r="I2437" s="53" t="s">
        <v>205</v>
      </c>
      <c r="J2437" s="54" t="s">
        <v>127</v>
      </c>
      <c r="K2437" s="54" t="s">
        <v>127</v>
      </c>
      <c r="L2437" s="54" t="s">
        <v>15</v>
      </c>
      <c r="M2437" s="54" t="s">
        <v>13</v>
      </c>
      <c r="N2437" s="54" t="s">
        <v>14</v>
      </c>
      <c r="O2437" s="49" t="s">
        <v>814</v>
      </c>
      <c r="P2437" s="54" t="s">
        <v>3392</v>
      </c>
      <c r="Q2437" s="35" t="str">
        <f>MID(Tabla1[[#This Row],[Aplicación]],14,1)</f>
        <v>2</v>
      </c>
      <c r="R2437" s="35" t="s">
        <v>495</v>
      </c>
      <c r="S2437" s="35" t="str">
        <f>MID(Tabla1[[#This Row],[Aplicación]],6,2)</f>
        <v>11</v>
      </c>
      <c r="T2437" s="35" t="str">
        <f>VLOOKUP(Tabla1[[#This Row],[AREA]],Hoja1!A:B,2,FALSE)</f>
        <v>11. Salud pública y seguridad ciudadana</v>
      </c>
      <c r="U2437" s="35" t="str">
        <f>MID(Tabla1[[#This Row],[Aplicación]],9,4)</f>
        <v>1361</v>
      </c>
      <c r="V2437" s="35" t="str">
        <f>VLOOKUP(Tabla1[[#This Row],[PROGRAMA]],Hoja1!A:B,2,FALSE)</f>
        <v>1361. Prevención y extinción de incencios</v>
      </c>
      <c r="W2437" s="35" t="str">
        <f>MID(Tabla1[[#This Row],[Aplicación]],14,2)</f>
        <v>22</v>
      </c>
      <c r="X2437" s="35" t="str">
        <f>MID(Tabla1[[#This Row],[Aplicación]],14,6)</f>
        <v>22199</v>
      </c>
    </row>
    <row r="2438" spans="1:24" x14ac:dyDescent="0.25">
      <c r="A2438" s="45">
        <v>220210029594</v>
      </c>
      <c r="B2438" s="46" t="s">
        <v>204</v>
      </c>
      <c r="C2438" s="47">
        <v>44355</v>
      </c>
      <c r="D2438" s="45">
        <v>22021003381</v>
      </c>
      <c r="E2438" s="46" t="s">
        <v>1183</v>
      </c>
      <c r="F2438" s="48">
        <v>239.58</v>
      </c>
      <c r="G2438" s="54" t="s">
        <v>135</v>
      </c>
      <c r="H2438" s="54" t="s">
        <v>3938</v>
      </c>
      <c r="I2438" s="53" t="s">
        <v>205</v>
      </c>
      <c r="J2438" s="54" t="s">
        <v>127</v>
      </c>
      <c r="K2438" s="54" t="s">
        <v>127</v>
      </c>
      <c r="L2438" s="54" t="s">
        <v>15</v>
      </c>
      <c r="M2438" s="54" t="s">
        <v>13</v>
      </c>
      <c r="N2438" s="54" t="s">
        <v>14</v>
      </c>
      <c r="O2438" s="49" t="s">
        <v>814</v>
      </c>
      <c r="P2438" s="54" t="s">
        <v>3392</v>
      </c>
      <c r="Q2438" s="35" t="str">
        <f>MID(Tabla1[[#This Row],[Aplicación]],14,1)</f>
        <v>2</v>
      </c>
      <c r="R2438" s="35" t="s">
        <v>495</v>
      </c>
      <c r="S2438" s="35" t="str">
        <f>MID(Tabla1[[#This Row],[Aplicación]],6,2)</f>
        <v>11</v>
      </c>
      <c r="T2438" s="35" t="str">
        <f>VLOOKUP(Tabla1[[#This Row],[AREA]],Hoja1!A:B,2,FALSE)</f>
        <v>11. Salud pública y seguridad ciudadana</v>
      </c>
      <c r="U2438" s="35" t="str">
        <f>MID(Tabla1[[#This Row],[Aplicación]],9,4)</f>
        <v>1361</v>
      </c>
      <c r="V2438" s="35" t="str">
        <f>VLOOKUP(Tabla1[[#This Row],[PROGRAMA]],Hoja1!A:B,2,FALSE)</f>
        <v>1361. Prevención y extinción de incencios</v>
      </c>
      <c r="W2438" s="35" t="str">
        <f>MID(Tabla1[[#This Row],[Aplicación]],14,2)</f>
        <v>22</v>
      </c>
      <c r="X2438" s="35" t="str">
        <f>MID(Tabla1[[#This Row],[Aplicación]],14,6)</f>
        <v>22199</v>
      </c>
    </row>
    <row r="2439" spans="1:24" x14ac:dyDescent="0.25">
      <c r="A2439" s="45">
        <v>220210029628</v>
      </c>
      <c r="B2439" s="46" t="s">
        <v>204</v>
      </c>
      <c r="C2439" s="47">
        <v>44355</v>
      </c>
      <c r="D2439" s="45">
        <v>22021002601</v>
      </c>
      <c r="E2439" s="46" t="s">
        <v>3362</v>
      </c>
      <c r="F2439" s="48">
        <v>3737.38</v>
      </c>
      <c r="G2439" s="54" t="s">
        <v>3939</v>
      </c>
      <c r="H2439" s="54" t="s">
        <v>3940</v>
      </c>
      <c r="I2439" s="53" t="s">
        <v>205</v>
      </c>
      <c r="J2439" s="54" t="s">
        <v>751</v>
      </c>
      <c r="K2439" s="54" t="s">
        <v>126</v>
      </c>
      <c r="L2439" s="54" t="s">
        <v>15</v>
      </c>
      <c r="M2439" s="54" t="s">
        <v>13</v>
      </c>
      <c r="N2439" s="54" t="s">
        <v>14</v>
      </c>
      <c r="O2439" s="49" t="s">
        <v>814</v>
      </c>
      <c r="P2439" s="54" t="s">
        <v>3392</v>
      </c>
      <c r="Q2439" s="35" t="str">
        <f>MID(Tabla1[[#This Row],[Aplicación]],14,1)</f>
        <v>6</v>
      </c>
      <c r="R2439" s="35" t="s">
        <v>496</v>
      </c>
      <c r="S2439" s="35" t="str">
        <f>MID(Tabla1[[#This Row],[Aplicación]],6,2)</f>
        <v>06</v>
      </c>
      <c r="T2439" s="35" t="str">
        <f>VLOOKUP(Tabla1[[#This Row],[AREA]],Hoja1!A:B,2,FALSE)</f>
        <v>06. Educación, infancia, juventud e igualdad</v>
      </c>
      <c r="U2439" s="35" t="str">
        <f>MID(Tabla1[[#This Row],[Aplicación]],9,4)</f>
        <v>3321</v>
      </c>
      <c r="V2439" s="35" t="str">
        <f>VLOOKUP(Tabla1[[#This Row],[PROGRAMA]],Hoja1!A:B,2,FALSE)</f>
        <v>3321. Bibliotecas públicas</v>
      </c>
      <c r="W2439" s="35" t="str">
        <f>MID(Tabla1[[#This Row],[Aplicación]],14,2)</f>
        <v>62</v>
      </c>
      <c r="X2439" s="35" t="str">
        <f>MID(Tabla1[[#This Row],[Aplicación]],14,6)</f>
        <v>629</v>
      </c>
    </row>
    <row r="2440" spans="1:24" x14ac:dyDescent="0.25">
      <c r="A2440" s="45">
        <v>220210031425</v>
      </c>
      <c r="B2440" s="46" t="s">
        <v>204</v>
      </c>
      <c r="C2440" s="47">
        <v>44365</v>
      </c>
      <c r="D2440" s="45">
        <v>22021001968</v>
      </c>
      <c r="E2440" s="46" t="s">
        <v>1388</v>
      </c>
      <c r="F2440" s="48">
        <v>26.14</v>
      </c>
      <c r="G2440" s="54" t="s">
        <v>135</v>
      </c>
      <c r="H2440" s="54" t="s">
        <v>3941</v>
      </c>
      <c r="I2440" s="53" t="s">
        <v>205</v>
      </c>
      <c r="J2440" s="54" t="s">
        <v>127</v>
      </c>
      <c r="K2440" s="54" t="s">
        <v>127</v>
      </c>
      <c r="L2440" s="54" t="s">
        <v>15</v>
      </c>
      <c r="M2440" s="54" t="s">
        <v>13</v>
      </c>
      <c r="N2440" s="54" t="s">
        <v>14</v>
      </c>
      <c r="O2440" s="49" t="s">
        <v>814</v>
      </c>
      <c r="P2440" s="54" t="s">
        <v>3392</v>
      </c>
      <c r="Q2440" s="35" t="str">
        <f>MID(Tabla1[[#This Row],[Aplicación]],14,1)</f>
        <v>2</v>
      </c>
      <c r="R2440" s="35" t="s">
        <v>495</v>
      </c>
      <c r="S2440" s="35" t="str">
        <f>MID(Tabla1[[#This Row],[Aplicación]],6,2)</f>
        <v>11</v>
      </c>
      <c r="T2440" s="35" t="str">
        <f>VLOOKUP(Tabla1[[#This Row],[AREA]],Hoja1!A:B,2,FALSE)</f>
        <v>11. Salud pública y seguridad ciudadana</v>
      </c>
      <c r="U2440" s="35" t="str">
        <f>MID(Tabla1[[#This Row],[Aplicación]],9,4)</f>
        <v>1321</v>
      </c>
      <c r="V2440" s="35" t="str">
        <f>VLOOKUP(Tabla1[[#This Row],[PROGRAMA]],Hoja1!A:B,2,FALSE)</f>
        <v>1321. Policía municipal</v>
      </c>
      <c r="W2440" s="35" t="str">
        <f>MID(Tabla1[[#This Row],[Aplicación]],14,2)</f>
        <v>22</v>
      </c>
      <c r="X2440" s="35" t="str">
        <f>MID(Tabla1[[#This Row],[Aplicación]],14,6)</f>
        <v>22199</v>
      </c>
    </row>
    <row r="2441" spans="1:24" x14ac:dyDescent="0.25">
      <c r="A2441" s="45">
        <v>220210025561</v>
      </c>
      <c r="B2441" s="46" t="s">
        <v>9</v>
      </c>
      <c r="C2441" s="47">
        <v>44342</v>
      </c>
      <c r="D2441" s="45">
        <v>22021004569</v>
      </c>
      <c r="E2441" s="46" t="s">
        <v>2955</v>
      </c>
      <c r="F2441" s="48">
        <v>1307.76</v>
      </c>
      <c r="G2441" s="54" t="s">
        <v>1992</v>
      </c>
      <c r="H2441" s="54" t="s">
        <v>3942</v>
      </c>
      <c r="I2441" s="53" t="s">
        <v>125</v>
      </c>
      <c r="J2441" s="54" t="s">
        <v>634</v>
      </c>
      <c r="K2441" s="54" t="s">
        <v>127</v>
      </c>
      <c r="L2441" s="54" t="s">
        <v>31</v>
      </c>
      <c r="M2441" s="54" t="s">
        <v>10</v>
      </c>
      <c r="N2441" s="54" t="s">
        <v>11</v>
      </c>
      <c r="O2441" s="49" t="s">
        <v>815</v>
      </c>
      <c r="P2441" s="54" t="s">
        <v>3392</v>
      </c>
      <c r="Q2441" s="35" t="str">
        <f>MID(Tabla1[[#This Row],[Aplicación]],14,1)</f>
        <v>2</v>
      </c>
      <c r="R2441" s="35" t="s">
        <v>495</v>
      </c>
      <c r="S2441" s="35" t="str">
        <f>MID(Tabla1[[#This Row],[Aplicación]],6,2)</f>
        <v>11</v>
      </c>
      <c r="T2441" s="35" t="str">
        <f>VLOOKUP(Tabla1[[#This Row],[AREA]],Hoja1!A:B,2,FALSE)</f>
        <v>11. Salud pública y seguridad ciudadana</v>
      </c>
      <c r="U2441" s="35" t="str">
        <f>MID(Tabla1[[#This Row],[Aplicación]],9,4)</f>
        <v>1321</v>
      </c>
      <c r="V2441" s="35" t="str">
        <f>VLOOKUP(Tabla1[[#This Row],[PROGRAMA]],Hoja1!A:B,2,FALSE)</f>
        <v>1321. Policía municipal</v>
      </c>
      <c r="W2441" s="35" t="str">
        <f>MID(Tabla1[[#This Row],[Aplicación]],14,2)</f>
        <v>21</v>
      </c>
      <c r="X2441" s="35" t="str">
        <f>MID(Tabla1[[#This Row],[Aplicación]],14,6)</f>
        <v>212</v>
      </c>
    </row>
    <row r="2442" spans="1:24" x14ac:dyDescent="0.25">
      <c r="A2442" s="45">
        <v>220210025986</v>
      </c>
      <c r="B2442" s="46" t="s">
        <v>204</v>
      </c>
      <c r="C2442" s="47">
        <v>44344</v>
      </c>
      <c r="D2442" s="45">
        <v>22021002601</v>
      </c>
      <c r="E2442" s="46" t="s">
        <v>3362</v>
      </c>
      <c r="F2442" s="48">
        <v>3721.11</v>
      </c>
      <c r="G2442" s="54" t="s">
        <v>3943</v>
      </c>
      <c r="H2442" s="54" t="s">
        <v>3944</v>
      </c>
      <c r="I2442" s="53" t="s">
        <v>205</v>
      </c>
      <c r="J2442" s="54" t="s">
        <v>127</v>
      </c>
      <c r="K2442" s="54" t="s">
        <v>127</v>
      </c>
      <c r="L2442" s="54" t="s">
        <v>15</v>
      </c>
      <c r="M2442" s="54" t="s">
        <v>13</v>
      </c>
      <c r="N2442" s="54" t="s">
        <v>14</v>
      </c>
      <c r="O2442" s="49" t="s">
        <v>814</v>
      </c>
      <c r="P2442" s="54" t="s">
        <v>3392</v>
      </c>
      <c r="Q2442" s="35" t="str">
        <f>MID(Tabla1[[#This Row],[Aplicación]],14,1)</f>
        <v>6</v>
      </c>
      <c r="R2442" s="35" t="s">
        <v>496</v>
      </c>
      <c r="S2442" s="35" t="str">
        <f>MID(Tabla1[[#This Row],[Aplicación]],6,2)</f>
        <v>06</v>
      </c>
      <c r="T2442" s="35" t="str">
        <f>VLOOKUP(Tabla1[[#This Row],[AREA]],Hoja1!A:B,2,FALSE)</f>
        <v>06. Educación, infancia, juventud e igualdad</v>
      </c>
      <c r="U2442" s="35" t="str">
        <f>MID(Tabla1[[#This Row],[Aplicación]],9,4)</f>
        <v>3321</v>
      </c>
      <c r="V2442" s="35" t="str">
        <f>VLOOKUP(Tabla1[[#This Row],[PROGRAMA]],Hoja1!A:B,2,FALSE)</f>
        <v>3321. Bibliotecas públicas</v>
      </c>
      <c r="W2442" s="35" t="str">
        <f>MID(Tabla1[[#This Row],[Aplicación]],14,2)</f>
        <v>62</v>
      </c>
      <c r="X2442" s="35" t="str">
        <f>MID(Tabla1[[#This Row],[Aplicación]],14,6)</f>
        <v>629</v>
      </c>
    </row>
    <row r="2443" spans="1:24" x14ac:dyDescent="0.25">
      <c r="A2443" s="45">
        <v>220210019252</v>
      </c>
      <c r="B2443" s="46" t="s">
        <v>9</v>
      </c>
      <c r="C2443" s="47">
        <v>44320</v>
      </c>
      <c r="D2443" s="45">
        <v>22021004242</v>
      </c>
      <c r="E2443" s="46" t="s">
        <v>1187</v>
      </c>
      <c r="F2443" s="48">
        <v>1300</v>
      </c>
      <c r="G2443" s="54" t="s">
        <v>3945</v>
      </c>
      <c r="H2443" s="54" t="s">
        <v>3946</v>
      </c>
      <c r="I2443" s="53" t="s">
        <v>125</v>
      </c>
      <c r="J2443" s="54" t="s">
        <v>127</v>
      </c>
      <c r="K2443" s="54" t="s">
        <v>127</v>
      </c>
      <c r="L2443" s="54" t="s">
        <v>12</v>
      </c>
      <c r="M2443" s="54" t="s">
        <v>10</v>
      </c>
      <c r="N2443" s="54" t="s">
        <v>11</v>
      </c>
      <c r="O2443" s="49" t="s">
        <v>815</v>
      </c>
      <c r="P2443" s="54" t="s">
        <v>3392</v>
      </c>
      <c r="Q2443" s="35" t="str">
        <f>MID(Tabla1[[#This Row],[Aplicación]],14,1)</f>
        <v>2</v>
      </c>
      <c r="R2443" s="35" t="s">
        <v>495</v>
      </c>
      <c r="S2443" s="35" t="str">
        <f>MID(Tabla1[[#This Row],[Aplicación]],6,2)</f>
        <v>06</v>
      </c>
      <c r="T2443" s="35" t="str">
        <f>VLOOKUP(Tabla1[[#This Row],[AREA]],Hoja1!A:B,2,FALSE)</f>
        <v>06. Educación, infancia, juventud e igualdad</v>
      </c>
      <c r="U2443" s="35" t="str">
        <f>MID(Tabla1[[#This Row],[Aplicación]],9,4)</f>
        <v>2315</v>
      </c>
      <c r="V2443" s="35" t="str">
        <f>VLOOKUP(Tabla1[[#This Row],[PROGRAMA]],Hoja1!A:B,2,FALSE)</f>
        <v>2315. Políticas de Igualdad e infancia</v>
      </c>
      <c r="W2443" s="35" t="str">
        <f>MID(Tabla1[[#This Row],[Aplicación]],14,2)</f>
        <v>22</v>
      </c>
      <c r="X2443" s="35" t="str">
        <f>MID(Tabla1[[#This Row],[Aplicación]],14,6)</f>
        <v>22611</v>
      </c>
    </row>
    <row r="2444" spans="1:24" x14ac:dyDescent="0.25">
      <c r="A2444" s="45">
        <v>220210015847</v>
      </c>
      <c r="B2444" s="46" t="s">
        <v>204</v>
      </c>
      <c r="C2444" s="47">
        <v>44302</v>
      </c>
      <c r="D2444" s="45">
        <v>22021001275</v>
      </c>
      <c r="E2444" s="46" t="s">
        <v>1334</v>
      </c>
      <c r="F2444" s="48">
        <v>5378.58</v>
      </c>
      <c r="G2444" s="54" t="s">
        <v>257</v>
      </c>
      <c r="H2444" s="54" t="s">
        <v>1461</v>
      </c>
      <c r="I2444" s="53" t="s">
        <v>205</v>
      </c>
      <c r="J2444" s="54" t="s">
        <v>127</v>
      </c>
      <c r="K2444" s="54" t="s">
        <v>127</v>
      </c>
      <c r="L2444" s="54" t="s">
        <v>15</v>
      </c>
      <c r="M2444" s="54" t="s">
        <v>13</v>
      </c>
      <c r="N2444" s="54" t="s">
        <v>14</v>
      </c>
      <c r="O2444" s="49" t="s">
        <v>814</v>
      </c>
      <c r="P2444" s="54" t="s">
        <v>3392</v>
      </c>
      <c r="Q2444" s="35" t="str">
        <f>MID(Tabla1[[#This Row],[Aplicación]],14,1)</f>
        <v>2</v>
      </c>
      <c r="R2444" s="35" t="s">
        <v>495</v>
      </c>
      <c r="S2444" s="35" t="str">
        <f>MID(Tabla1[[#This Row],[Aplicación]],6,2)</f>
        <v>07</v>
      </c>
      <c r="T2444" s="35" t="str">
        <f>VLOOKUP(Tabla1[[#This Row],[AREA]],Hoja1!A:B,2,FALSE)</f>
        <v>07. Medio ambiente y desarrollo sostenible</v>
      </c>
      <c r="U2444" s="35" t="str">
        <f>MID(Tabla1[[#This Row],[Aplicación]],9,4)</f>
        <v>1711</v>
      </c>
      <c r="V2444" s="35" t="str">
        <f>VLOOKUP(Tabla1[[#This Row],[PROGRAMA]],Hoja1!A:B,2,FALSE)</f>
        <v>1711. Parques y jardines</v>
      </c>
      <c r="W2444" s="35" t="str">
        <f>MID(Tabla1[[#This Row],[Aplicación]],14,2)</f>
        <v>22</v>
      </c>
      <c r="X2444" s="35" t="str">
        <f>MID(Tabla1[[#This Row],[Aplicación]],14,6)</f>
        <v>22199</v>
      </c>
    </row>
    <row r="2445" spans="1:24" x14ac:dyDescent="0.25">
      <c r="A2445" s="45">
        <v>220210023268</v>
      </c>
      <c r="B2445" s="46" t="s">
        <v>204</v>
      </c>
      <c r="C2445" s="47">
        <v>44335</v>
      </c>
      <c r="D2445" s="45">
        <v>22021001275</v>
      </c>
      <c r="E2445" s="46" t="s">
        <v>1334</v>
      </c>
      <c r="F2445" s="48">
        <v>2230.5700000000002</v>
      </c>
      <c r="G2445" s="54" t="s">
        <v>257</v>
      </c>
      <c r="H2445" s="54" t="s">
        <v>1461</v>
      </c>
      <c r="I2445" s="53" t="s">
        <v>205</v>
      </c>
      <c r="J2445" s="54" t="s">
        <v>127</v>
      </c>
      <c r="K2445" s="54" t="s">
        <v>127</v>
      </c>
      <c r="L2445" s="54" t="s">
        <v>15</v>
      </c>
      <c r="M2445" s="54" t="s">
        <v>13</v>
      </c>
      <c r="N2445" s="54" t="s">
        <v>14</v>
      </c>
      <c r="O2445" s="49" t="s">
        <v>814</v>
      </c>
      <c r="P2445" s="54" t="s">
        <v>3392</v>
      </c>
      <c r="Q2445" s="35" t="str">
        <f>MID(Tabla1[[#This Row],[Aplicación]],14,1)</f>
        <v>2</v>
      </c>
      <c r="R2445" s="35" t="s">
        <v>495</v>
      </c>
      <c r="S2445" s="35" t="str">
        <f>MID(Tabla1[[#This Row],[Aplicación]],6,2)</f>
        <v>07</v>
      </c>
      <c r="T2445" s="35" t="str">
        <f>VLOOKUP(Tabla1[[#This Row],[AREA]],Hoja1!A:B,2,FALSE)</f>
        <v>07. Medio ambiente y desarrollo sostenible</v>
      </c>
      <c r="U2445" s="35" t="str">
        <f>MID(Tabla1[[#This Row],[Aplicación]],9,4)</f>
        <v>1711</v>
      </c>
      <c r="V2445" s="35" t="str">
        <f>VLOOKUP(Tabla1[[#This Row],[PROGRAMA]],Hoja1!A:B,2,FALSE)</f>
        <v>1711. Parques y jardines</v>
      </c>
      <c r="W2445" s="35" t="str">
        <f>MID(Tabla1[[#This Row],[Aplicación]],14,2)</f>
        <v>22</v>
      </c>
      <c r="X2445" s="35" t="str">
        <f>MID(Tabla1[[#This Row],[Aplicación]],14,6)</f>
        <v>22199</v>
      </c>
    </row>
    <row r="2446" spans="1:24" x14ac:dyDescent="0.25">
      <c r="A2446" s="45">
        <v>220210030253</v>
      </c>
      <c r="B2446" s="46" t="s">
        <v>204</v>
      </c>
      <c r="C2446" s="47">
        <v>44357</v>
      </c>
      <c r="D2446" s="45">
        <v>22021001275</v>
      </c>
      <c r="E2446" s="46" t="s">
        <v>1334</v>
      </c>
      <c r="F2446" s="48">
        <v>1504.88</v>
      </c>
      <c r="G2446" s="54" t="s">
        <v>257</v>
      </c>
      <c r="H2446" s="54" t="s">
        <v>1461</v>
      </c>
      <c r="I2446" s="53" t="s">
        <v>205</v>
      </c>
      <c r="J2446" s="54" t="s">
        <v>127</v>
      </c>
      <c r="K2446" s="54" t="s">
        <v>127</v>
      </c>
      <c r="L2446" s="54" t="s">
        <v>15</v>
      </c>
      <c r="M2446" s="54" t="s">
        <v>13</v>
      </c>
      <c r="N2446" s="54" t="s">
        <v>14</v>
      </c>
      <c r="O2446" s="49" t="s">
        <v>814</v>
      </c>
      <c r="P2446" s="54" t="s">
        <v>3392</v>
      </c>
      <c r="Q2446" s="35" t="str">
        <f>MID(Tabla1[[#This Row],[Aplicación]],14,1)</f>
        <v>2</v>
      </c>
      <c r="R2446" s="35" t="s">
        <v>495</v>
      </c>
      <c r="S2446" s="35" t="str">
        <f>MID(Tabla1[[#This Row],[Aplicación]],6,2)</f>
        <v>07</v>
      </c>
      <c r="T2446" s="35" t="str">
        <f>VLOOKUP(Tabla1[[#This Row],[AREA]],Hoja1!A:B,2,FALSE)</f>
        <v>07. Medio ambiente y desarrollo sostenible</v>
      </c>
      <c r="U2446" s="35" t="str">
        <f>MID(Tabla1[[#This Row],[Aplicación]],9,4)</f>
        <v>1711</v>
      </c>
      <c r="V2446" s="35" t="str">
        <f>VLOOKUP(Tabla1[[#This Row],[PROGRAMA]],Hoja1!A:B,2,FALSE)</f>
        <v>1711. Parques y jardines</v>
      </c>
      <c r="W2446" s="35" t="str">
        <f>MID(Tabla1[[#This Row],[Aplicación]],14,2)</f>
        <v>22</v>
      </c>
      <c r="X2446" s="35" t="str">
        <f>MID(Tabla1[[#This Row],[Aplicación]],14,6)</f>
        <v>22199</v>
      </c>
    </row>
    <row r="2447" spans="1:24" x14ac:dyDescent="0.25">
      <c r="A2447" s="45">
        <v>220210031167</v>
      </c>
      <c r="B2447" s="46" t="s">
        <v>204</v>
      </c>
      <c r="C2447" s="47">
        <v>44361</v>
      </c>
      <c r="D2447" s="45">
        <v>22021003381</v>
      </c>
      <c r="E2447" s="46" t="s">
        <v>1183</v>
      </c>
      <c r="F2447" s="48">
        <v>468.49</v>
      </c>
      <c r="G2447" s="54" t="s">
        <v>257</v>
      </c>
      <c r="H2447" s="54" t="s">
        <v>3947</v>
      </c>
      <c r="I2447" s="53" t="s">
        <v>205</v>
      </c>
      <c r="J2447" s="54" t="s">
        <v>127</v>
      </c>
      <c r="K2447" s="54" t="s">
        <v>127</v>
      </c>
      <c r="L2447" s="54" t="s">
        <v>15</v>
      </c>
      <c r="M2447" s="54" t="s">
        <v>13</v>
      </c>
      <c r="N2447" s="54" t="s">
        <v>14</v>
      </c>
      <c r="O2447" s="49" t="s">
        <v>814</v>
      </c>
      <c r="P2447" s="54" t="s">
        <v>3392</v>
      </c>
      <c r="Q2447" s="35" t="str">
        <f>MID(Tabla1[[#This Row],[Aplicación]],14,1)</f>
        <v>2</v>
      </c>
      <c r="R2447" s="35" t="s">
        <v>495</v>
      </c>
      <c r="S2447" s="35" t="str">
        <f>MID(Tabla1[[#This Row],[Aplicación]],6,2)</f>
        <v>11</v>
      </c>
      <c r="T2447" s="35" t="str">
        <f>VLOOKUP(Tabla1[[#This Row],[AREA]],Hoja1!A:B,2,FALSE)</f>
        <v>11. Salud pública y seguridad ciudadana</v>
      </c>
      <c r="U2447" s="35" t="str">
        <f>MID(Tabla1[[#This Row],[Aplicación]],9,4)</f>
        <v>1361</v>
      </c>
      <c r="V2447" s="35" t="str">
        <f>VLOOKUP(Tabla1[[#This Row],[PROGRAMA]],Hoja1!A:B,2,FALSE)</f>
        <v>1361. Prevención y extinción de incencios</v>
      </c>
      <c r="W2447" s="35" t="str">
        <f>MID(Tabla1[[#This Row],[Aplicación]],14,2)</f>
        <v>22</v>
      </c>
      <c r="X2447" s="35" t="str">
        <f>MID(Tabla1[[#This Row],[Aplicación]],14,6)</f>
        <v>22199</v>
      </c>
    </row>
    <row r="2448" spans="1:24" x14ac:dyDescent="0.25">
      <c r="A2448" s="45">
        <v>220210022404</v>
      </c>
      <c r="B2448" s="46" t="s">
        <v>9</v>
      </c>
      <c r="C2448" s="47">
        <v>44330</v>
      </c>
      <c r="D2448" s="45">
        <v>22021004396</v>
      </c>
      <c r="E2448" s="46" t="s">
        <v>1328</v>
      </c>
      <c r="F2448" s="48">
        <v>1283.29</v>
      </c>
      <c r="G2448" s="54" t="s">
        <v>53</v>
      </c>
      <c r="H2448" s="54" t="s">
        <v>3948</v>
      </c>
      <c r="I2448" s="53" t="s">
        <v>125</v>
      </c>
      <c r="J2448" s="54" t="s">
        <v>127</v>
      </c>
      <c r="K2448" s="54" t="s">
        <v>127</v>
      </c>
      <c r="L2448" s="54" t="s">
        <v>15</v>
      </c>
      <c r="M2448" s="54" t="s">
        <v>10</v>
      </c>
      <c r="N2448" s="54" t="s">
        <v>11</v>
      </c>
      <c r="O2448" s="49" t="s">
        <v>815</v>
      </c>
      <c r="P2448" s="54" t="s">
        <v>3392</v>
      </c>
      <c r="Q2448" s="35" t="str">
        <f>MID(Tabla1[[#This Row],[Aplicación]],14,1)</f>
        <v>2</v>
      </c>
      <c r="R2448" s="35" t="s">
        <v>495</v>
      </c>
      <c r="S2448" s="35" t="str">
        <f>MID(Tabla1[[#This Row],[Aplicación]],6,2)</f>
        <v>10</v>
      </c>
      <c r="T2448" s="35" t="str">
        <f>VLOOKUP(Tabla1[[#This Row],[AREA]],Hoja1!A:B,2,FALSE)</f>
        <v>10. Servicios sociales y mediación comunitaria</v>
      </c>
      <c r="U2448" s="35" t="str">
        <f>MID(Tabla1[[#This Row],[Aplicación]],9,4)</f>
        <v>2311</v>
      </c>
      <c r="V2448" s="35" t="str">
        <f>VLOOKUP(Tabla1[[#This Row],[PROGRAMA]],Hoja1!A:B,2,FALSE)</f>
        <v>2311. Intervención social</v>
      </c>
      <c r="W2448" s="35" t="str">
        <f>MID(Tabla1[[#This Row],[Aplicación]],14,2)</f>
        <v>21</v>
      </c>
      <c r="X2448" s="35" t="str">
        <f>MID(Tabla1[[#This Row],[Aplicación]],14,6)</f>
        <v>212</v>
      </c>
    </row>
    <row r="2449" spans="1:24" x14ac:dyDescent="0.25">
      <c r="A2449" s="45">
        <v>220210014475</v>
      </c>
      <c r="B2449" s="46" t="s">
        <v>204</v>
      </c>
      <c r="C2449" s="47">
        <v>44295</v>
      </c>
      <c r="D2449" s="45">
        <v>22021003381</v>
      </c>
      <c r="E2449" s="46" t="s">
        <v>1183</v>
      </c>
      <c r="F2449" s="48">
        <v>95.58</v>
      </c>
      <c r="G2449" s="54" t="s">
        <v>223</v>
      </c>
      <c r="H2449" s="54" t="s">
        <v>3949</v>
      </c>
      <c r="I2449" s="53" t="s">
        <v>205</v>
      </c>
      <c r="J2449" s="54" t="s">
        <v>127</v>
      </c>
      <c r="K2449" s="54" t="s">
        <v>127</v>
      </c>
      <c r="L2449" s="54" t="s">
        <v>15</v>
      </c>
      <c r="M2449" s="54" t="s">
        <v>13</v>
      </c>
      <c r="N2449" s="54" t="s">
        <v>14</v>
      </c>
      <c r="O2449" s="49" t="s">
        <v>814</v>
      </c>
      <c r="P2449" s="54" t="s">
        <v>3392</v>
      </c>
      <c r="Q2449" s="35" t="str">
        <f>MID(Tabla1[[#This Row],[Aplicación]],14,1)</f>
        <v>2</v>
      </c>
      <c r="R2449" s="35" t="s">
        <v>495</v>
      </c>
      <c r="S2449" s="35" t="str">
        <f>MID(Tabla1[[#This Row],[Aplicación]],6,2)</f>
        <v>11</v>
      </c>
      <c r="T2449" s="35" t="str">
        <f>VLOOKUP(Tabla1[[#This Row],[AREA]],Hoja1!A:B,2,FALSE)</f>
        <v>11. Salud pública y seguridad ciudadana</v>
      </c>
      <c r="U2449" s="35" t="str">
        <f>MID(Tabla1[[#This Row],[Aplicación]],9,4)</f>
        <v>1361</v>
      </c>
      <c r="V2449" s="35" t="str">
        <f>VLOOKUP(Tabla1[[#This Row],[PROGRAMA]],Hoja1!A:B,2,FALSE)</f>
        <v>1361. Prevención y extinción de incencios</v>
      </c>
      <c r="W2449" s="35" t="str">
        <f>MID(Tabla1[[#This Row],[Aplicación]],14,2)</f>
        <v>22</v>
      </c>
      <c r="X2449" s="35" t="str">
        <f>MID(Tabla1[[#This Row],[Aplicación]],14,6)</f>
        <v>22199</v>
      </c>
    </row>
    <row r="2450" spans="1:24" x14ac:dyDescent="0.25">
      <c r="A2450" s="45">
        <v>220210014607</v>
      </c>
      <c r="B2450" s="46" t="s">
        <v>204</v>
      </c>
      <c r="C2450" s="47">
        <v>44298</v>
      </c>
      <c r="D2450" s="45">
        <v>22021001968</v>
      </c>
      <c r="E2450" s="46" t="s">
        <v>1388</v>
      </c>
      <c r="F2450" s="48">
        <v>243.73</v>
      </c>
      <c r="G2450" s="54" t="s">
        <v>223</v>
      </c>
      <c r="H2450" s="54" t="s">
        <v>3950</v>
      </c>
      <c r="I2450" s="53" t="s">
        <v>205</v>
      </c>
      <c r="J2450" s="54" t="s">
        <v>127</v>
      </c>
      <c r="K2450" s="54" t="s">
        <v>127</v>
      </c>
      <c r="L2450" s="54" t="s">
        <v>15</v>
      </c>
      <c r="M2450" s="54" t="s">
        <v>13</v>
      </c>
      <c r="N2450" s="54" t="s">
        <v>14</v>
      </c>
      <c r="O2450" s="49" t="s">
        <v>814</v>
      </c>
      <c r="P2450" s="54" t="s">
        <v>3392</v>
      </c>
      <c r="Q2450" s="35" t="str">
        <f>MID(Tabla1[[#This Row],[Aplicación]],14,1)</f>
        <v>2</v>
      </c>
      <c r="R2450" s="35" t="s">
        <v>495</v>
      </c>
      <c r="S2450" s="35" t="str">
        <f>MID(Tabla1[[#This Row],[Aplicación]],6,2)</f>
        <v>11</v>
      </c>
      <c r="T2450" s="35" t="str">
        <f>VLOOKUP(Tabla1[[#This Row],[AREA]],Hoja1!A:B,2,FALSE)</f>
        <v>11. Salud pública y seguridad ciudadana</v>
      </c>
      <c r="U2450" s="35" t="str">
        <f>MID(Tabla1[[#This Row],[Aplicación]],9,4)</f>
        <v>1321</v>
      </c>
      <c r="V2450" s="35" t="str">
        <f>VLOOKUP(Tabla1[[#This Row],[PROGRAMA]],Hoja1!A:B,2,FALSE)</f>
        <v>1321. Policía municipal</v>
      </c>
      <c r="W2450" s="35" t="str">
        <f>MID(Tabla1[[#This Row],[Aplicación]],14,2)</f>
        <v>22</v>
      </c>
      <c r="X2450" s="35" t="str">
        <f>MID(Tabla1[[#This Row],[Aplicación]],14,6)</f>
        <v>22199</v>
      </c>
    </row>
    <row r="2451" spans="1:24" x14ac:dyDescent="0.25">
      <c r="A2451" s="45">
        <v>220210020087</v>
      </c>
      <c r="B2451" s="46" t="s">
        <v>9</v>
      </c>
      <c r="C2451" s="47">
        <v>44321</v>
      </c>
      <c r="D2451" s="45">
        <v>22021004176</v>
      </c>
      <c r="E2451" s="46" t="s">
        <v>2147</v>
      </c>
      <c r="F2451" s="48">
        <v>1259.3900000000001</v>
      </c>
      <c r="G2451" s="54" t="s">
        <v>86</v>
      </c>
      <c r="H2451" s="54" t="s">
        <v>3951</v>
      </c>
      <c r="I2451" s="53" t="s">
        <v>125</v>
      </c>
      <c r="J2451" s="54" t="s">
        <v>186</v>
      </c>
      <c r="K2451" s="54" t="s">
        <v>186</v>
      </c>
      <c r="L2451" s="54" t="s">
        <v>12</v>
      </c>
      <c r="M2451" s="54" t="s">
        <v>10</v>
      </c>
      <c r="N2451" s="54" t="s">
        <v>11</v>
      </c>
      <c r="O2451" s="49" t="s">
        <v>815</v>
      </c>
      <c r="P2451" s="54" t="s">
        <v>3392</v>
      </c>
      <c r="Q2451" s="35" t="str">
        <f>MID(Tabla1[[#This Row],[Aplicación]],14,1)</f>
        <v>2</v>
      </c>
      <c r="R2451" s="35" t="s">
        <v>495</v>
      </c>
      <c r="S2451" s="35" t="str">
        <f>MID(Tabla1[[#This Row],[Aplicación]],6,2)</f>
        <v>04</v>
      </c>
      <c r="T2451" s="35" t="str">
        <f>VLOOKUP(Tabla1[[#This Row],[AREA]],Hoja1!A:B,2,FALSE)</f>
        <v>04. Planificación y recursos</v>
      </c>
      <c r="U2451" s="35" t="str">
        <f>MID(Tabla1[[#This Row],[Aplicación]],9,4)</f>
        <v>9204</v>
      </c>
      <c r="V2451" s="35" t="str">
        <f>VLOOKUP(Tabla1[[#This Row],[PROGRAMA]],Hoja1!A:B,2,FALSE)</f>
        <v>9204. Tecnologías de la información y comunicación</v>
      </c>
      <c r="W2451" s="35" t="str">
        <f>MID(Tabla1[[#This Row],[Aplicación]],14,2)</f>
        <v>22</v>
      </c>
      <c r="X2451" s="35" t="str">
        <f>MID(Tabla1[[#This Row],[Aplicación]],14,6)</f>
        <v>22200</v>
      </c>
    </row>
    <row r="2452" spans="1:24" x14ac:dyDescent="0.25">
      <c r="A2452" s="45">
        <v>220210014692</v>
      </c>
      <c r="B2452" s="46" t="s">
        <v>9</v>
      </c>
      <c r="C2452" s="47">
        <v>44299</v>
      </c>
      <c r="D2452" s="45">
        <v>22021003836</v>
      </c>
      <c r="E2452" s="46" t="s">
        <v>1183</v>
      </c>
      <c r="F2452" s="48">
        <v>1253.02</v>
      </c>
      <c r="G2452" s="54" t="s">
        <v>3952</v>
      </c>
      <c r="H2452" s="54" t="s">
        <v>3953</v>
      </c>
      <c r="I2452" s="53" t="s">
        <v>125</v>
      </c>
      <c r="J2452" s="54" t="s">
        <v>127</v>
      </c>
      <c r="K2452" s="54" t="s">
        <v>127</v>
      </c>
      <c r="L2452" s="54" t="s">
        <v>15</v>
      </c>
      <c r="M2452" s="54" t="s">
        <v>10</v>
      </c>
      <c r="N2452" s="54" t="s">
        <v>11</v>
      </c>
      <c r="O2452" s="49" t="s">
        <v>815</v>
      </c>
      <c r="P2452" s="54" t="s">
        <v>3392</v>
      </c>
      <c r="Q2452" s="35" t="str">
        <f>MID(Tabla1[[#This Row],[Aplicación]],14,1)</f>
        <v>2</v>
      </c>
      <c r="R2452" s="35" t="s">
        <v>495</v>
      </c>
      <c r="S2452" s="35" t="str">
        <f>MID(Tabla1[[#This Row],[Aplicación]],6,2)</f>
        <v>11</v>
      </c>
      <c r="T2452" s="35" t="str">
        <f>VLOOKUP(Tabla1[[#This Row],[AREA]],Hoja1!A:B,2,FALSE)</f>
        <v>11. Salud pública y seguridad ciudadana</v>
      </c>
      <c r="U2452" s="35" t="str">
        <f>MID(Tabla1[[#This Row],[Aplicación]],9,4)</f>
        <v>1361</v>
      </c>
      <c r="V2452" s="35" t="str">
        <f>VLOOKUP(Tabla1[[#This Row],[PROGRAMA]],Hoja1!A:B,2,FALSE)</f>
        <v>1361. Prevención y extinción de incencios</v>
      </c>
      <c r="W2452" s="35" t="str">
        <f>MID(Tabla1[[#This Row],[Aplicación]],14,2)</f>
        <v>22</v>
      </c>
      <c r="X2452" s="35" t="str">
        <f>MID(Tabla1[[#This Row],[Aplicación]],14,6)</f>
        <v>22199</v>
      </c>
    </row>
    <row r="2453" spans="1:24" x14ac:dyDescent="0.25">
      <c r="A2453" s="45">
        <v>220210023405</v>
      </c>
      <c r="B2453" s="46" t="s">
        <v>204</v>
      </c>
      <c r="C2453" s="47">
        <v>44335</v>
      </c>
      <c r="D2453" s="45">
        <v>22021002601</v>
      </c>
      <c r="E2453" s="46" t="s">
        <v>3362</v>
      </c>
      <c r="F2453" s="48">
        <v>3525.48</v>
      </c>
      <c r="G2453" s="54" t="s">
        <v>3954</v>
      </c>
      <c r="H2453" s="54" t="s">
        <v>3955</v>
      </c>
      <c r="I2453" s="53" t="s">
        <v>205</v>
      </c>
      <c r="J2453" s="54" t="s">
        <v>127</v>
      </c>
      <c r="K2453" s="54" t="s">
        <v>127</v>
      </c>
      <c r="L2453" s="54" t="s">
        <v>15</v>
      </c>
      <c r="M2453" s="54" t="s">
        <v>13</v>
      </c>
      <c r="N2453" s="54" t="s">
        <v>14</v>
      </c>
      <c r="O2453" s="49" t="s">
        <v>814</v>
      </c>
      <c r="P2453" s="54" t="s">
        <v>3392</v>
      </c>
      <c r="Q2453" s="35" t="str">
        <f>MID(Tabla1[[#This Row],[Aplicación]],14,1)</f>
        <v>6</v>
      </c>
      <c r="R2453" s="35" t="s">
        <v>496</v>
      </c>
      <c r="S2453" s="35" t="str">
        <f>MID(Tabla1[[#This Row],[Aplicación]],6,2)</f>
        <v>06</v>
      </c>
      <c r="T2453" s="35" t="str">
        <f>VLOOKUP(Tabla1[[#This Row],[AREA]],Hoja1!A:B,2,FALSE)</f>
        <v>06. Educación, infancia, juventud e igualdad</v>
      </c>
      <c r="U2453" s="35" t="str">
        <f>MID(Tabla1[[#This Row],[Aplicación]],9,4)</f>
        <v>3321</v>
      </c>
      <c r="V2453" s="35" t="str">
        <f>VLOOKUP(Tabla1[[#This Row],[PROGRAMA]],Hoja1!A:B,2,FALSE)</f>
        <v>3321. Bibliotecas públicas</v>
      </c>
      <c r="W2453" s="35" t="str">
        <f>MID(Tabla1[[#This Row],[Aplicación]],14,2)</f>
        <v>62</v>
      </c>
      <c r="X2453" s="35" t="str">
        <f>MID(Tabla1[[#This Row],[Aplicación]],14,6)</f>
        <v>629</v>
      </c>
    </row>
    <row r="2454" spans="1:24" x14ac:dyDescent="0.25">
      <c r="A2454" s="45">
        <v>220210031362</v>
      </c>
      <c r="B2454" s="46" t="s">
        <v>9</v>
      </c>
      <c r="C2454" s="47">
        <v>44365</v>
      </c>
      <c r="D2454" s="45">
        <v>22021004941</v>
      </c>
      <c r="E2454" s="46" t="s">
        <v>1172</v>
      </c>
      <c r="F2454" s="48">
        <v>1233.94</v>
      </c>
      <c r="G2454" s="54" t="s">
        <v>301</v>
      </c>
      <c r="H2454" s="54" t="s">
        <v>3956</v>
      </c>
      <c r="I2454" s="53" t="s">
        <v>125</v>
      </c>
      <c r="J2454" s="54" t="s">
        <v>127</v>
      </c>
      <c r="K2454" s="54" t="s">
        <v>127</v>
      </c>
      <c r="L2454" s="54" t="s">
        <v>15</v>
      </c>
      <c r="M2454" s="54" t="s">
        <v>10</v>
      </c>
      <c r="N2454" s="54" t="s">
        <v>11</v>
      </c>
      <c r="O2454" s="49" t="s">
        <v>815</v>
      </c>
      <c r="P2454" s="54" t="s">
        <v>3392</v>
      </c>
      <c r="Q2454" s="35" t="str">
        <f>MID(Tabla1[[#This Row],[Aplicación]],14,1)</f>
        <v>6</v>
      </c>
      <c r="R2454" s="35" t="s">
        <v>496</v>
      </c>
      <c r="S2454" s="35" t="str">
        <f>MID(Tabla1[[#This Row],[Aplicación]],6,2)</f>
        <v>02</v>
      </c>
      <c r="T2454" s="35" t="str">
        <f>VLOOKUP(Tabla1[[#This Row],[AREA]],Hoja1!A:B,2,FALSE)</f>
        <v>02. Planeamiento urbanístico y vivienda</v>
      </c>
      <c r="U2454" s="35" t="str">
        <f>MID(Tabla1[[#This Row],[Aplicación]],9,4)</f>
        <v>9332</v>
      </c>
      <c r="V2454" s="35" t="str">
        <f>VLOOKUP(Tabla1[[#This Row],[PROGRAMA]],Hoja1!A:B,2,FALSE)</f>
        <v>9332. Mantenimiento de edificios e instalaciones municipales</v>
      </c>
      <c r="W2454" s="35" t="str">
        <f>MID(Tabla1[[#This Row],[Aplicación]],14,2)</f>
        <v>63</v>
      </c>
      <c r="X2454" s="35" t="str">
        <f>MID(Tabla1[[#This Row],[Aplicación]],14,6)</f>
        <v>632</v>
      </c>
    </row>
    <row r="2455" spans="1:24" x14ac:dyDescent="0.25">
      <c r="A2455" s="45">
        <v>220210020639</v>
      </c>
      <c r="B2455" s="46" t="s">
        <v>204</v>
      </c>
      <c r="C2455" s="47">
        <v>44323</v>
      </c>
      <c r="D2455" s="45">
        <v>22021002054</v>
      </c>
      <c r="E2455" s="46" t="s">
        <v>1382</v>
      </c>
      <c r="F2455" s="48">
        <v>3509</v>
      </c>
      <c r="G2455" s="54" t="s">
        <v>269</v>
      </c>
      <c r="H2455" s="54" t="s">
        <v>3957</v>
      </c>
      <c r="I2455" s="53" t="s">
        <v>205</v>
      </c>
      <c r="J2455" s="54" t="s">
        <v>127</v>
      </c>
      <c r="K2455" s="54" t="s">
        <v>127</v>
      </c>
      <c r="L2455" s="54" t="s">
        <v>15</v>
      </c>
      <c r="M2455" s="54" t="s">
        <v>13</v>
      </c>
      <c r="N2455" s="54" t="s">
        <v>14</v>
      </c>
      <c r="O2455" s="49" t="s">
        <v>814</v>
      </c>
      <c r="P2455" s="54" t="s">
        <v>3392</v>
      </c>
      <c r="Q2455" s="35" t="str">
        <f>MID(Tabla1[[#This Row],[Aplicación]],14,1)</f>
        <v>2</v>
      </c>
      <c r="R2455" s="35" t="s">
        <v>495</v>
      </c>
      <c r="S2455" s="35" t="str">
        <f>MID(Tabla1[[#This Row],[Aplicación]],6,2)</f>
        <v>11</v>
      </c>
      <c r="T2455" s="35" t="str">
        <f>VLOOKUP(Tabla1[[#This Row],[AREA]],Hoja1!A:B,2,FALSE)</f>
        <v>11. Salud pública y seguridad ciudadana</v>
      </c>
      <c r="U2455" s="35" t="str">
        <f>MID(Tabla1[[#This Row],[Aplicación]],9,4)</f>
        <v>1631</v>
      </c>
      <c r="V2455" s="35" t="str">
        <f>VLOOKUP(Tabla1[[#This Row],[PROGRAMA]],Hoja1!A:B,2,FALSE)</f>
        <v>1631. Limpieza viaria</v>
      </c>
      <c r="W2455" s="35" t="str">
        <f>MID(Tabla1[[#This Row],[Aplicación]],14,2)</f>
        <v>21</v>
      </c>
      <c r="X2455" s="35" t="str">
        <f>MID(Tabla1[[#This Row],[Aplicación]],14,6)</f>
        <v>214</v>
      </c>
    </row>
    <row r="2456" spans="1:24" x14ac:dyDescent="0.25">
      <c r="A2456" s="45">
        <v>220210030485</v>
      </c>
      <c r="B2456" s="46" t="s">
        <v>204</v>
      </c>
      <c r="C2456" s="47">
        <v>44358</v>
      </c>
      <c r="D2456" s="45">
        <v>22021002054</v>
      </c>
      <c r="E2456" s="46" t="s">
        <v>1382</v>
      </c>
      <c r="F2456" s="48">
        <v>3473.96</v>
      </c>
      <c r="G2456" s="54" t="s">
        <v>269</v>
      </c>
      <c r="H2456" s="54" t="s">
        <v>3958</v>
      </c>
      <c r="I2456" s="53" t="s">
        <v>205</v>
      </c>
      <c r="J2456" s="54" t="s">
        <v>127</v>
      </c>
      <c r="K2456" s="54" t="s">
        <v>127</v>
      </c>
      <c r="L2456" s="54" t="s">
        <v>15</v>
      </c>
      <c r="M2456" s="54" t="s">
        <v>13</v>
      </c>
      <c r="N2456" s="54" t="s">
        <v>14</v>
      </c>
      <c r="O2456" s="49" t="s">
        <v>814</v>
      </c>
      <c r="P2456" s="54" t="s">
        <v>3392</v>
      </c>
      <c r="Q2456" s="35" t="str">
        <f>MID(Tabla1[[#This Row],[Aplicación]],14,1)</f>
        <v>2</v>
      </c>
      <c r="R2456" s="35" t="s">
        <v>495</v>
      </c>
      <c r="S2456" s="35" t="str">
        <f>MID(Tabla1[[#This Row],[Aplicación]],6,2)</f>
        <v>11</v>
      </c>
      <c r="T2456" s="35" t="str">
        <f>VLOOKUP(Tabla1[[#This Row],[AREA]],Hoja1!A:B,2,FALSE)</f>
        <v>11. Salud pública y seguridad ciudadana</v>
      </c>
      <c r="U2456" s="35" t="str">
        <f>MID(Tabla1[[#This Row],[Aplicación]],9,4)</f>
        <v>1631</v>
      </c>
      <c r="V2456" s="35" t="str">
        <f>VLOOKUP(Tabla1[[#This Row],[PROGRAMA]],Hoja1!A:B,2,FALSE)</f>
        <v>1631. Limpieza viaria</v>
      </c>
      <c r="W2456" s="35" t="str">
        <f>MID(Tabla1[[#This Row],[Aplicación]],14,2)</f>
        <v>21</v>
      </c>
      <c r="X2456" s="35" t="str">
        <f>MID(Tabla1[[#This Row],[Aplicación]],14,6)</f>
        <v>214</v>
      </c>
    </row>
    <row r="2457" spans="1:24" x14ac:dyDescent="0.25">
      <c r="A2457" s="45">
        <v>220210020470</v>
      </c>
      <c r="B2457" s="46" t="s">
        <v>32</v>
      </c>
      <c r="C2457" s="47">
        <v>44322</v>
      </c>
      <c r="D2457" s="45">
        <v>22021004273</v>
      </c>
      <c r="E2457" s="46" t="s">
        <v>3311</v>
      </c>
      <c r="F2457" s="48">
        <v>1208.01</v>
      </c>
      <c r="G2457" s="54" t="s">
        <v>3886</v>
      </c>
      <c r="H2457" s="54" t="s">
        <v>3959</v>
      </c>
      <c r="I2457" s="53" t="s">
        <v>234</v>
      </c>
      <c r="J2457" s="54" t="s">
        <v>127</v>
      </c>
      <c r="K2457" s="54" t="s">
        <v>127</v>
      </c>
      <c r="L2457" s="54" t="s">
        <v>12</v>
      </c>
      <c r="M2457" s="54" t="s">
        <v>10</v>
      </c>
      <c r="N2457" s="54" t="s">
        <v>11</v>
      </c>
      <c r="O2457" s="49" t="s">
        <v>815</v>
      </c>
      <c r="P2457" s="54" t="s">
        <v>3392</v>
      </c>
      <c r="Q2457" s="35" t="str">
        <f>MID(Tabla1[[#This Row],[Aplicación]],14,1)</f>
        <v>8</v>
      </c>
      <c r="R2457" s="35" t="s">
        <v>497</v>
      </c>
      <c r="S2457" s="35" t="str">
        <f>MID(Tabla1[[#This Row],[Aplicación]],6,2)</f>
        <v>08</v>
      </c>
      <c r="T2457" s="35" t="str">
        <f>VLOOKUP(Tabla1[[#This Row],[AREA]],Hoja1!A:B,2,FALSE)</f>
        <v>08. Movilidad y espacio urbano</v>
      </c>
      <c r="U2457" s="35" t="str">
        <f>MID(Tabla1[[#This Row],[Aplicación]],9,4)</f>
        <v>1513</v>
      </c>
      <c r="V2457" s="35" t="str">
        <f>VLOOKUP(Tabla1[[#This Row],[PROGRAMA]],Hoja1!A:B,2,FALSE)</f>
        <v>1513. Licencias urbanísticas</v>
      </c>
      <c r="W2457" s="35" t="str">
        <f>MID(Tabla1[[#This Row],[Aplicación]],14,2)</f>
        <v>83</v>
      </c>
      <c r="X2457" s="35" t="str">
        <f>MID(Tabla1[[#This Row],[Aplicación]],14,6)</f>
        <v>83100</v>
      </c>
    </row>
    <row r="2458" spans="1:24" x14ac:dyDescent="0.25">
      <c r="A2458" s="45">
        <v>220210027001</v>
      </c>
      <c r="B2458" s="46" t="s">
        <v>9</v>
      </c>
      <c r="C2458" s="47">
        <v>44348</v>
      </c>
      <c r="D2458" s="45">
        <v>22021004620</v>
      </c>
      <c r="E2458" s="46" t="s">
        <v>1172</v>
      </c>
      <c r="F2458" s="48">
        <v>3472.83</v>
      </c>
      <c r="G2458" s="54" t="s">
        <v>3960</v>
      </c>
      <c r="H2458" s="54" t="s">
        <v>3961</v>
      </c>
      <c r="I2458" s="53" t="s">
        <v>125</v>
      </c>
      <c r="J2458" s="54" t="s">
        <v>127</v>
      </c>
      <c r="K2458" s="54" t="s">
        <v>127</v>
      </c>
      <c r="L2458" s="54" t="s">
        <v>15</v>
      </c>
      <c r="M2458" s="54" t="s">
        <v>13</v>
      </c>
      <c r="N2458" s="54" t="s">
        <v>14</v>
      </c>
      <c r="O2458" s="49" t="s">
        <v>814</v>
      </c>
      <c r="P2458" s="54" t="s">
        <v>3392</v>
      </c>
      <c r="Q2458" s="35" t="str">
        <f>MID(Tabla1[[#This Row],[Aplicación]],14,1)</f>
        <v>6</v>
      </c>
      <c r="R2458" s="35" t="s">
        <v>496</v>
      </c>
      <c r="S2458" s="35" t="str">
        <f>MID(Tabla1[[#This Row],[Aplicación]],6,2)</f>
        <v>02</v>
      </c>
      <c r="T2458" s="35" t="str">
        <f>VLOOKUP(Tabla1[[#This Row],[AREA]],Hoja1!A:B,2,FALSE)</f>
        <v>02. Planeamiento urbanístico y vivienda</v>
      </c>
      <c r="U2458" s="35" t="str">
        <f>MID(Tabla1[[#This Row],[Aplicación]],9,4)</f>
        <v>9332</v>
      </c>
      <c r="V2458" s="35" t="str">
        <f>VLOOKUP(Tabla1[[#This Row],[PROGRAMA]],Hoja1!A:B,2,FALSE)</f>
        <v>9332. Mantenimiento de edificios e instalaciones municipales</v>
      </c>
      <c r="W2458" s="35" t="str">
        <f>MID(Tabla1[[#This Row],[Aplicación]],14,2)</f>
        <v>63</v>
      </c>
      <c r="X2458" s="35" t="str">
        <f>MID(Tabla1[[#This Row],[Aplicación]],14,6)</f>
        <v>632</v>
      </c>
    </row>
    <row r="2459" spans="1:24" x14ac:dyDescent="0.25">
      <c r="A2459" s="45">
        <v>220210014506</v>
      </c>
      <c r="B2459" s="46" t="s">
        <v>204</v>
      </c>
      <c r="C2459" s="47">
        <v>44295</v>
      </c>
      <c r="D2459" s="45">
        <v>22020001574</v>
      </c>
      <c r="E2459" s="46" t="s">
        <v>3362</v>
      </c>
      <c r="F2459" s="48">
        <v>3391.46</v>
      </c>
      <c r="G2459" s="54" t="s">
        <v>3927</v>
      </c>
      <c r="H2459" s="54" t="s">
        <v>3962</v>
      </c>
      <c r="I2459" s="53" t="s">
        <v>205</v>
      </c>
      <c r="J2459" s="54" t="s">
        <v>127</v>
      </c>
      <c r="K2459" s="54" t="s">
        <v>127</v>
      </c>
      <c r="L2459" s="54" t="s">
        <v>15</v>
      </c>
      <c r="M2459" s="54" t="s">
        <v>13</v>
      </c>
      <c r="N2459" s="54" t="s">
        <v>14</v>
      </c>
      <c r="O2459" s="49" t="s">
        <v>814</v>
      </c>
      <c r="P2459" s="54" t="s">
        <v>3392</v>
      </c>
      <c r="Q2459" s="35" t="str">
        <f>MID(Tabla1[[#This Row],[Aplicación]],14,1)</f>
        <v>6</v>
      </c>
      <c r="R2459" s="35" t="s">
        <v>496</v>
      </c>
      <c r="S2459" s="35" t="str">
        <f>MID(Tabla1[[#This Row],[Aplicación]],6,2)</f>
        <v>06</v>
      </c>
      <c r="T2459" s="35" t="str">
        <f>VLOOKUP(Tabla1[[#This Row],[AREA]],Hoja1!A:B,2,FALSE)</f>
        <v>06. Educación, infancia, juventud e igualdad</v>
      </c>
      <c r="U2459" s="35" t="str">
        <f>MID(Tabla1[[#This Row],[Aplicación]],9,4)</f>
        <v>3321</v>
      </c>
      <c r="V2459" s="35" t="str">
        <f>VLOOKUP(Tabla1[[#This Row],[PROGRAMA]],Hoja1!A:B,2,FALSE)</f>
        <v>3321. Bibliotecas públicas</v>
      </c>
      <c r="W2459" s="35" t="str">
        <f>MID(Tabla1[[#This Row],[Aplicación]],14,2)</f>
        <v>62</v>
      </c>
      <c r="X2459" s="35" t="str">
        <f>MID(Tabla1[[#This Row],[Aplicación]],14,6)</f>
        <v>629</v>
      </c>
    </row>
    <row r="2460" spans="1:24" x14ac:dyDescent="0.25">
      <c r="A2460" s="45">
        <v>220200065333</v>
      </c>
      <c r="B2460" s="46" t="s">
        <v>9</v>
      </c>
      <c r="C2460" s="47">
        <v>44375</v>
      </c>
      <c r="D2460" s="45">
        <v>22020007167</v>
      </c>
      <c r="E2460" s="46" t="s">
        <v>3363</v>
      </c>
      <c r="F2460" s="48">
        <v>3356.8</v>
      </c>
      <c r="G2460" s="54" t="s">
        <v>223</v>
      </c>
      <c r="H2460" s="54" t="s">
        <v>3963</v>
      </c>
      <c r="I2460" s="53" t="s">
        <v>125</v>
      </c>
      <c r="J2460" s="54" t="s">
        <v>127</v>
      </c>
      <c r="K2460" s="54" t="s">
        <v>127</v>
      </c>
      <c r="L2460" s="54" t="s">
        <v>15</v>
      </c>
      <c r="M2460" s="54" t="s">
        <v>13</v>
      </c>
      <c r="N2460" s="54" t="s">
        <v>14</v>
      </c>
      <c r="O2460" s="49" t="s">
        <v>814</v>
      </c>
      <c r="P2460" s="54" t="s">
        <v>3392</v>
      </c>
      <c r="Q2460" s="35" t="str">
        <f>MID(Tabla1[[#This Row],[Aplicación]],14,1)</f>
        <v>2</v>
      </c>
      <c r="R2460" s="35" t="s">
        <v>495</v>
      </c>
      <c r="S2460" s="35" t="str">
        <f>MID(Tabla1[[#This Row],[Aplicación]],6,2)</f>
        <v>02</v>
      </c>
      <c r="T2460" s="35" t="str">
        <f>VLOOKUP(Tabla1[[#This Row],[AREA]],Hoja1!A:B,2,FALSE)</f>
        <v>02. Planeamiento urbanístico y vivienda</v>
      </c>
      <c r="U2460" s="35" t="str">
        <f>MID(Tabla1[[#This Row],[Aplicación]],9,4)</f>
        <v>1511</v>
      </c>
      <c r="V2460" s="35" t="str">
        <f>VLOOKUP(Tabla1[[#This Row],[PROGRAMA]],Hoja1!A:B,2,FALSE)</f>
        <v>1511. Planficación y gestión del urbanismo</v>
      </c>
      <c r="W2460" s="35" t="str">
        <f>MID(Tabla1[[#This Row],[Aplicación]],14,2)</f>
        <v>21</v>
      </c>
      <c r="X2460" s="35" t="str">
        <f>MID(Tabla1[[#This Row],[Aplicación]],14,6)</f>
        <v>212</v>
      </c>
    </row>
    <row r="2461" spans="1:24" x14ac:dyDescent="0.25">
      <c r="A2461" s="45">
        <v>220210016437</v>
      </c>
      <c r="B2461" s="46" t="s">
        <v>9</v>
      </c>
      <c r="C2461" s="47">
        <v>44306</v>
      </c>
      <c r="D2461" s="45">
        <v>22021003827</v>
      </c>
      <c r="E2461" s="46" t="s">
        <v>1550</v>
      </c>
      <c r="F2461" s="48">
        <v>1200</v>
      </c>
      <c r="G2461" s="54" t="s">
        <v>134</v>
      </c>
      <c r="H2461" s="54" t="s">
        <v>3964</v>
      </c>
      <c r="I2461" s="53" t="s">
        <v>125</v>
      </c>
      <c r="J2461" s="54" t="s">
        <v>659</v>
      </c>
      <c r="K2461" s="54" t="s">
        <v>127</v>
      </c>
      <c r="L2461" s="54" t="s">
        <v>12</v>
      </c>
      <c r="M2461" s="54" t="s">
        <v>10</v>
      </c>
      <c r="N2461" s="54" t="s">
        <v>11</v>
      </c>
      <c r="O2461" s="49" t="s">
        <v>815</v>
      </c>
      <c r="P2461" s="54" t="s">
        <v>3392</v>
      </c>
      <c r="Q2461" s="35" t="str">
        <f>MID(Tabla1[[#This Row],[Aplicación]],14,1)</f>
        <v>2</v>
      </c>
      <c r="R2461" s="35" t="s">
        <v>495</v>
      </c>
      <c r="S2461" s="35" t="str">
        <f>MID(Tabla1[[#This Row],[Aplicación]],6,2)</f>
        <v>06</v>
      </c>
      <c r="T2461" s="35" t="str">
        <f>VLOOKUP(Tabla1[[#This Row],[AREA]],Hoja1!A:B,2,FALSE)</f>
        <v>06. Educación, infancia, juventud e igualdad</v>
      </c>
      <c r="U2461" s="35" t="str">
        <f>MID(Tabla1[[#This Row],[Aplicación]],9,4)</f>
        <v>2315</v>
      </c>
      <c r="V2461" s="35" t="str">
        <f>VLOOKUP(Tabla1[[#This Row],[PROGRAMA]],Hoja1!A:B,2,FALSE)</f>
        <v>2315. Políticas de Igualdad e infancia</v>
      </c>
      <c r="W2461" s="35" t="str">
        <f>MID(Tabla1[[#This Row],[Aplicación]],14,2)</f>
        <v>22</v>
      </c>
      <c r="X2461" s="35" t="str">
        <f>MID(Tabla1[[#This Row],[Aplicación]],14,6)</f>
        <v>22799</v>
      </c>
    </row>
    <row r="2462" spans="1:24" x14ac:dyDescent="0.25">
      <c r="A2462" s="45">
        <v>220210025044</v>
      </c>
      <c r="B2462" s="46" t="s">
        <v>9</v>
      </c>
      <c r="C2462" s="47">
        <v>44341</v>
      </c>
      <c r="D2462" s="45">
        <v>22021003167</v>
      </c>
      <c r="E2462" s="46" t="s">
        <v>1172</v>
      </c>
      <c r="F2462" s="48">
        <v>3356.8</v>
      </c>
      <c r="G2462" s="54" t="s">
        <v>223</v>
      </c>
      <c r="H2462" s="54" t="s">
        <v>3965</v>
      </c>
      <c r="I2462" s="53" t="s">
        <v>125</v>
      </c>
      <c r="J2462" s="54" t="s">
        <v>127</v>
      </c>
      <c r="K2462" s="54" t="s">
        <v>127</v>
      </c>
      <c r="L2462" s="54" t="s">
        <v>15</v>
      </c>
      <c r="M2462" s="54" t="s">
        <v>13</v>
      </c>
      <c r="N2462" s="54" t="s">
        <v>11</v>
      </c>
      <c r="O2462" s="49" t="s">
        <v>814</v>
      </c>
      <c r="P2462" s="54" t="s">
        <v>3392</v>
      </c>
      <c r="Q2462" s="35" t="str">
        <f>MID(Tabla1[[#This Row],[Aplicación]],14,1)</f>
        <v>6</v>
      </c>
      <c r="R2462" s="35" t="s">
        <v>496</v>
      </c>
      <c r="S2462" s="35" t="str">
        <f>MID(Tabla1[[#This Row],[Aplicación]],6,2)</f>
        <v>02</v>
      </c>
      <c r="T2462" s="35" t="str">
        <f>VLOOKUP(Tabla1[[#This Row],[AREA]],Hoja1!A:B,2,FALSE)</f>
        <v>02. Planeamiento urbanístico y vivienda</v>
      </c>
      <c r="U2462" s="35" t="str">
        <f>MID(Tabla1[[#This Row],[Aplicación]],9,4)</f>
        <v>9332</v>
      </c>
      <c r="V2462" s="35" t="str">
        <f>VLOOKUP(Tabla1[[#This Row],[PROGRAMA]],Hoja1!A:B,2,FALSE)</f>
        <v>9332. Mantenimiento de edificios e instalaciones municipales</v>
      </c>
      <c r="W2462" s="35" t="str">
        <f>MID(Tabla1[[#This Row],[Aplicación]],14,2)</f>
        <v>63</v>
      </c>
      <c r="X2462" s="35" t="str">
        <f>MID(Tabla1[[#This Row],[Aplicación]],14,6)</f>
        <v>632</v>
      </c>
    </row>
    <row r="2463" spans="1:24" x14ac:dyDescent="0.25">
      <c r="A2463" s="45">
        <v>220210020725</v>
      </c>
      <c r="B2463" s="46" t="s">
        <v>204</v>
      </c>
      <c r="C2463" s="47">
        <v>44323</v>
      </c>
      <c r="D2463" s="45">
        <v>22021002054</v>
      </c>
      <c r="E2463" s="46" t="s">
        <v>1382</v>
      </c>
      <c r="F2463" s="48">
        <v>3189.84</v>
      </c>
      <c r="G2463" s="54" t="s">
        <v>269</v>
      </c>
      <c r="H2463" s="54" t="s">
        <v>3966</v>
      </c>
      <c r="I2463" s="53" t="s">
        <v>205</v>
      </c>
      <c r="J2463" s="54" t="s">
        <v>127</v>
      </c>
      <c r="K2463" s="54" t="s">
        <v>127</v>
      </c>
      <c r="L2463" s="54" t="s">
        <v>15</v>
      </c>
      <c r="M2463" s="54" t="s">
        <v>13</v>
      </c>
      <c r="N2463" s="54" t="s">
        <v>14</v>
      </c>
      <c r="O2463" s="49" t="s">
        <v>814</v>
      </c>
      <c r="P2463" s="54" t="s">
        <v>3392</v>
      </c>
      <c r="Q2463" s="35" t="str">
        <f>MID(Tabla1[[#This Row],[Aplicación]],14,1)</f>
        <v>2</v>
      </c>
      <c r="R2463" s="35" t="s">
        <v>495</v>
      </c>
      <c r="S2463" s="35" t="str">
        <f>MID(Tabla1[[#This Row],[Aplicación]],6,2)</f>
        <v>11</v>
      </c>
      <c r="T2463" s="35" t="str">
        <f>VLOOKUP(Tabla1[[#This Row],[AREA]],Hoja1!A:B,2,FALSE)</f>
        <v>11. Salud pública y seguridad ciudadana</v>
      </c>
      <c r="U2463" s="35" t="str">
        <f>MID(Tabla1[[#This Row],[Aplicación]],9,4)</f>
        <v>1631</v>
      </c>
      <c r="V2463" s="35" t="str">
        <f>VLOOKUP(Tabla1[[#This Row],[PROGRAMA]],Hoja1!A:B,2,FALSE)</f>
        <v>1631. Limpieza viaria</v>
      </c>
      <c r="W2463" s="35" t="str">
        <f>MID(Tabla1[[#This Row],[Aplicación]],14,2)</f>
        <v>21</v>
      </c>
      <c r="X2463" s="35" t="str">
        <f>MID(Tabla1[[#This Row],[Aplicación]],14,6)</f>
        <v>214</v>
      </c>
    </row>
    <row r="2464" spans="1:24" x14ac:dyDescent="0.25">
      <c r="A2464" s="45">
        <v>220210031502</v>
      </c>
      <c r="B2464" s="46" t="s">
        <v>9</v>
      </c>
      <c r="C2464" s="47">
        <v>44369</v>
      </c>
      <c r="D2464" s="45">
        <v>22021005011</v>
      </c>
      <c r="E2464" s="46" t="s">
        <v>1187</v>
      </c>
      <c r="F2464" s="48">
        <v>1197.9000000000001</v>
      </c>
      <c r="G2464" s="54" t="s">
        <v>3662</v>
      </c>
      <c r="H2464" s="54" t="s">
        <v>3967</v>
      </c>
      <c r="I2464" s="53" t="s">
        <v>125</v>
      </c>
      <c r="J2464" s="54" t="s">
        <v>127</v>
      </c>
      <c r="K2464" s="54" t="s">
        <v>127</v>
      </c>
      <c r="L2464" s="54" t="s">
        <v>15</v>
      </c>
      <c r="M2464" s="54" t="s">
        <v>10</v>
      </c>
      <c r="N2464" s="54" t="s">
        <v>11</v>
      </c>
      <c r="O2464" s="49" t="s">
        <v>815</v>
      </c>
      <c r="P2464" s="54" t="s">
        <v>3392</v>
      </c>
      <c r="Q2464" s="35" t="str">
        <f>MID(Tabla1[[#This Row],[Aplicación]],14,1)</f>
        <v>2</v>
      </c>
      <c r="R2464" s="35" t="s">
        <v>495</v>
      </c>
      <c r="S2464" s="35" t="str">
        <f>MID(Tabla1[[#This Row],[Aplicación]],6,2)</f>
        <v>06</v>
      </c>
      <c r="T2464" s="35" t="str">
        <f>VLOOKUP(Tabla1[[#This Row],[AREA]],Hoja1!A:B,2,FALSE)</f>
        <v>06. Educación, infancia, juventud e igualdad</v>
      </c>
      <c r="U2464" s="35" t="str">
        <f>MID(Tabla1[[#This Row],[Aplicación]],9,4)</f>
        <v>2315</v>
      </c>
      <c r="V2464" s="35" t="str">
        <f>VLOOKUP(Tabla1[[#This Row],[PROGRAMA]],Hoja1!A:B,2,FALSE)</f>
        <v>2315. Políticas de Igualdad e infancia</v>
      </c>
      <c r="W2464" s="35" t="str">
        <f>MID(Tabla1[[#This Row],[Aplicación]],14,2)</f>
        <v>22</v>
      </c>
      <c r="X2464" s="35" t="str">
        <f>MID(Tabla1[[#This Row],[Aplicación]],14,6)</f>
        <v>22611</v>
      </c>
    </row>
    <row r="2465" spans="1:24" x14ac:dyDescent="0.25">
      <c r="A2465" s="45">
        <v>220210016655</v>
      </c>
      <c r="B2465" s="46" t="s">
        <v>9</v>
      </c>
      <c r="C2465" s="47">
        <v>44307</v>
      </c>
      <c r="D2465" s="45">
        <v>22021003883</v>
      </c>
      <c r="E2465" s="46" t="s">
        <v>3364</v>
      </c>
      <c r="F2465" s="48">
        <v>1197.9000000000001</v>
      </c>
      <c r="G2465" s="54" t="s">
        <v>251</v>
      </c>
      <c r="H2465" s="54" t="s">
        <v>3968</v>
      </c>
      <c r="I2465" s="53" t="s">
        <v>125</v>
      </c>
      <c r="J2465" s="54" t="s">
        <v>127</v>
      </c>
      <c r="K2465" s="54" t="s">
        <v>127</v>
      </c>
      <c r="L2465" s="54" t="s">
        <v>15</v>
      </c>
      <c r="M2465" s="54" t="s">
        <v>10</v>
      </c>
      <c r="N2465" s="54" t="s">
        <v>11</v>
      </c>
      <c r="O2465" s="49" t="s">
        <v>815</v>
      </c>
      <c r="P2465" s="54" t="s">
        <v>3392</v>
      </c>
      <c r="Q2465" s="35" t="str">
        <f>MID(Tabla1[[#This Row],[Aplicación]],14,1)</f>
        <v>2</v>
      </c>
      <c r="R2465" s="35" t="s">
        <v>495</v>
      </c>
      <c r="S2465" s="35" t="str">
        <f>MID(Tabla1[[#This Row],[Aplicación]],6,2)</f>
        <v>01</v>
      </c>
      <c r="T2465" s="35" t="str">
        <f>VLOOKUP(Tabla1[[#This Row],[AREA]],Hoja1!A:B,2,FALSE)</f>
        <v>01. Alcaldía</v>
      </c>
      <c r="U2465" s="35" t="str">
        <f>MID(Tabla1[[#This Row],[Aplicación]],9,4)</f>
        <v>9203</v>
      </c>
      <c r="V2465" s="35" t="str">
        <f>VLOOKUP(Tabla1[[#This Row],[PROGRAMA]],Hoja1!A:B,2,FALSE)</f>
        <v>9203. Unidad de régimen interior</v>
      </c>
      <c r="W2465" s="35" t="str">
        <f>MID(Tabla1[[#This Row],[Aplicación]],14,2)</f>
        <v>22</v>
      </c>
      <c r="X2465" s="35" t="str">
        <f>MID(Tabla1[[#This Row],[Aplicación]],14,6)</f>
        <v>22602</v>
      </c>
    </row>
    <row r="2466" spans="1:24" x14ac:dyDescent="0.25">
      <c r="A2466" s="45">
        <v>220210016803</v>
      </c>
      <c r="B2466" s="46" t="s">
        <v>32</v>
      </c>
      <c r="C2466" s="47">
        <v>44308</v>
      </c>
      <c r="D2466" s="45">
        <v>22021003990</v>
      </c>
      <c r="E2466" s="46" t="s">
        <v>1457</v>
      </c>
      <c r="F2466" s="48">
        <v>1195.08</v>
      </c>
      <c r="G2466" s="54" t="s">
        <v>3969</v>
      </c>
      <c r="H2466" s="54" t="s">
        <v>3970</v>
      </c>
      <c r="I2466" s="53" t="s">
        <v>234</v>
      </c>
      <c r="J2466" s="54" t="s">
        <v>126</v>
      </c>
      <c r="K2466" s="54" t="s">
        <v>126</v>
      </c>
      <c r="L2466" s="54" t="s">
        <v>12</v>
      </c>
      <c r="M2466" s="54" t="s">
        <v>10</v>
      </c>
      <c r="N2466" s="54" t="s">
        <v>11</v>
      </c>
      <c r="O2466" s="49" t="s">
        <v>815</v>
      </c>
      <c r="P2466" s="54" t="s">
        <v>3392</v>
      </c>
      <c r="Q2466" s="35" t="str">
        <f>MID(Tabla1[[#This Row],[Aplicación]],14,1)</f>
        <v>2</v>
      </c>
      <c r="R2466" s="35" t="s">
        <v>495</v>
      </c>
      <c r="S2466" s="35" t="str">
        <f>MID(Tabla1[[#This Row],[Aplicación]],6,2)</f>
        <v>04</v>
      </c>
      <c r="T2466" s="35" t="str">
        <f>VLOOKUP(Tabla1[[#This Row],[AREA]],Hoja1!A:B,2,FALSE)</f>
        <v>04. Planificación y recursos</v>
      </c>
      <c r="U2466" s="35" t="str">
        <f>MID(Tabla1[[#This Row],[Aplicación]],9,4)</f>
        <v>9321</v>
      </c>
      <c r="V2466" s="35" t="str">
        <f>VLOOKUP(Tabla1[[#This Row],[PROGRAMA]],Hoja1!A:B,2,FALSE)</f>
        <v>9321. Gestión de ingresos e inspección</v>
      </c>
      <c r="W2466" s="35" t="str">
        <f>MID(Tabla1[[#This Row],[Aplicación]],14,2)</f>
        <v>22</v>
      </c>
      <c r="X2466" s="35" t="str">
        <f>MID(Tabla1[[#This Row],[Aplicación]],14,6)</f>
        <v>22799</v>
      </c>
    </row>
    <row r="2467" spans="1:24" x14ac:dyDescent="0.25">
      <c r="A2467" s="45">
        <v>220210025899</v>
      </c>
      <c r="B2467" s="46" t="s">
        <v>9</v>
      </c>
      <c r="C2467" s="47">
        <v>44344</v>
      </c>
      <c r="D2467" s="45">
        <v>22021004615</v>
      </c>
      <c r="E2467" s="46" t="s">
        <v>1304</v>
      </c>
      <c r="F2467" s="48">
        <v>1190.42</v>
      </c>
      <c r="G2467" s="54" t="s">
        <v>230</v>
      </c>
      <c r="H2467" s="54" t="s">
        <v>3971</v>
      </c>
      <c r="I2467" s="53" t="s">
        <v>125</v>
      </c>
      <c r="J2467" s="54" t="s">
        <v>127</v>
      </c>
      <c r="K2467" s="54" t="s">
        <v>127</v>
      </c>
      <c r="L2467" s="54" t="s">
        <v>12</v>
      </c>
      <c r="M2467" s="54" t="s">
        <v>10</v>
      </c>
      <c r="N2467" s="54" t="s">
        <v>14</v>
      </c>
      <c r="O2467" s="49" t="s">
        <v>815</v>
      </c>
      <c r="P2467" s="54" t="s">
        <v>3392</v>
      </c>
      <c r="Q2467" s="35" t="str">
        <f>MID(Tabla1[[#This Row],[Aplicación]],14,1)</f>
        <v>2</v>
      </c>
      <c r="R2467" s="35" t="s">
        <v>495</v>
      </c>
      <c r="S2467" s="35" t="str">
        <f>MID(Tabla1[[#This Row],[Aplicación]],6,2)</f>
        <v>07</v>
      </c>
      <c r="T2467" s="35" t="str">
        <f>VLOOKUP(Tabla1[[#This Row],[AREA]],Hoja1!A:B,2,FALSE)</f>
        <v>07. Medio ambiente y desarrollo sostenible</v>
      </c>
      <c r="U2467" s="35" t="str">
        <f>MID(Tabla1[[#This Row],[Aplicación]],9,4)</f>
        <v>1721</v>
      </c>
      <c r="V2467" s="35" t="str">
        <f>VLOOKUP(Tabla1[[#This Row],[PROGRAMA]],Hoja1!A:B,2,FALSE)</f>
        <v>1721. Protección del medio ambiente</v>
      </c>
      <c r="W2467" s="35" t="str">
        <f>MID(Tabla1[[#This Row],[Aplicación]],14,2)</f>
        <v>22</v>
      </c>
      <c r="X2467" s="35" t="str">
        <f>MID(Tabla1[[#This Row],[Aplicación]],14,6)</f>
        <v>22799</v>
      </c>
    </row>
    <row r="2468" spans="1:24" x14ac:dyDescent="0.25">
      <c r="A2468" s="45">
        <v>220210025661</v>
      </c>
      <c r="B2468" s="46" t="s">
        <v>204</v>
      </c>
      <c r="C2468" s="47">
        <v>44343</v>
      </c>
      <c r="D2468" s="45">
        <v>22021003381</v>
      </c>
      <c r="E2468" s="46" t="s">
        <v>1183</v>
      </c>
      <c r="F2468" s="48">
        <v>458.58</v>
      </c>
      <c r="G2468" s="54" t="s">
        <v>223</v>
      </c>
      <c r="H2468" s="54" t="s">
        <v>3972</v>
      </c>
      <c r="I2468" s="53" t="s">
        <v>205</v>
      </c>
      <c r="J2468" s="54" t="s">
        <v>127</v>
      </c>
      <c r="K2468" s="54" t="s">
        <v>127</v>
      </c>
      <c r="L2468" s="54" t="s">
        <v>15</v>
      </c>
      <c r="M2468" s="54" t="s">
        <v>13</v>
      </c>
      <c r="N2468" s="54" t="s">
        <v>14</v>
      </c>
      <c r="O2468" s="49" t="s">
        <v>814</v>
      </c>
      <c r="P2468" s="54" t="s">
        <v>3392</v>
      </c>
      <c r="Q2468" s="35" t="str">
        <f>MID(Tabla1[[#This Row],[Aplicación]],14,1)</f>
        <v>2</v>
      </c>
      <c r="R2468" s="35" t="s">
        <v>495</v>
      </c>
      <c r="S2468" s="35" t="str">
        <f>MID(Tabla1[[#This Row],[Aplicación]],6,2)</f>
        <v>11</v>
      </c>
      <c r="T2468" s="35" t="str">
        <f>VLOOKUP(Tabla1[[#This Row],[AREA]],Hoja1!A:B,2,FALSE)</f>
        <v>11. Salud pública y seguridad ciudadana</v>
      </c>
      <c r="U2468" s="35" t="str">
        <f>MID(Tabla1[[#This Row],[Aplicación]],9,4)</f>
        <v>1361</v>
      </c>
      <c r="V2468" s="35" t="str">
        <f>VLOOKUP(Tabla1[[#This Row],[PROGRAMA]],Hoja1!A:B,2,FALSE)</f>
        <v>1361. Prevención y extinción de incencios</v>
      </c>
      <c r="W2468" s="35" t="str">
        <f>MID(Tabla1[[#This Row],[Aplicación]],14,2)</f>
        <v>22</v>
      </c>
      <c r="X2468" s="35" t="str">
        <f>MID(Tabla1[[#This Row],[Aplicación]],14,6)</f>
        <v>22199</v>
      </c>
    </row>
    <row r="2469" spans="1:24" x14ac:dyDescent="0.25">
      <c r="A2469" s="45">
        <v>220210031224</v>
      </c>
      <c r="B2469" s="46" t="s">
        <v>9</v>
      </c>
      <c r="C2469" s="47">
        <v>44362</v>
      </c>
      <c r="D2469" s="45">
        <v>22021004902</v>
      </c>
      <c r="E2469" s="46" t="s">
        <v>2155</v>
      </c>
      <c r="F2469" s="48">
        <v>1177.04</v>
      </c>
      <c r="G2469" s="54" t="s">
        <v>3973</v>
      </c>
      <c r="H2469" s="54" t="s">
        <v>3974</v>
      </c>
      <c r="I2469" s="53" t="s">
        <v>125</v>
      </c>
      <c r="J2469" s="54" t="s">
        <v>127</v>
      </c>
      <c r="K2469" s="54" t="s">
        <v>127</v>
      </c>
      <c r="L2469" s="54" t="s">
        <v>12</v>
      </c>
      <c r="M2469" s="54" t="s">
        <v>10</v>
      </c>
      <c r="N2469" s="54" t="s">
        <v>11</v>
      </c>
      <c r="O2469" s="49" t="s">
        <v>815</v>
      </c>
      <c r="P2469" s="54" t="s">
        <v>3392</v>
      </c>
      <c r="Q2469" s="35" t="str">
        <f>MID(Tabla1[[#This Row],[Aplicación]],14,1)</f>
        <v>2</v>
      </c>
      <c r="R2469" s="35" t="s">
        <v>495</v>
      </c>
      <c r="S2469" s="35" t="str">
        <f>MID(Tabla1[[#This Row],[Aplicación]],6,2)</f>
        <v>11</v>
      </c>
      <c r="T2469" s="35" t="str">
        <f>VLOOKUP(Tabla1[[#This Row],[AREA]],Hoja1!A:B,2,FALSE)</f>
        <v>11. Salud pública y seguridad ciudadana</v>
      </c>
      <c r="U2469" s="35" t="str">
        <f>MID(Tabla1[[#This Row],[Aplicación]],9,4)</f>
        <v>1621</v>
      </c>
      <c r="V2469" s="35" t="str">
        <f>VLOOKUP(Tabla1[[#This Row],[PROGRAMA]],Hoja1!A:B,2,FALSE)</f>
        <v>1621. Servicio de limpieza</v>
      </c>
      <c r="W2469" s="35" t="str">
        <f>MID(Tabla1[[#This Row],[Aplicación]],14,2)</f>
        <v>21</v>
      </c>
      <c r="X2469" s="35" t="str">
        <f>MID(Tabla1[[#This Row],[Aplicación]],14,6)</f>
        <v>212</v>
      </c>
    </row>
    <row r="2470" spans="1:24" x14ac:dyDescent="0.25">
      <c r="A2470" s="45">
        <v>220210031216</v>
      </c>
      <c r="B2470" s="46" t="s">
        <v>9</v>
      </c>
      <c r="C2470" s="47">
        <v>44362</v>
      </c>
      <c r="D2470" s="45">
        <v>22021004783</v>
      </c>
      <c r="E2470" s="46" t="s">
        <v>2643</v>
      </c>
      <c r="F2470" s="48">
        <v>1175.44</v>
      </c>
      <c r="G2470" s="54" t="s">
        <v>3975</v>
      </c>
      <c r="H2470" s="54" t="s">
        <v>3976</v>
      </c>
      <c r="I2470" s="53" t="s">
        <v>125</v>
      </c>
      <c r="J2470" s="54" t="s">
        <v>3977</v>
      </c>
      <c r="K2470" s="54" t="s">
        <v>197</v>
      </c>
      <c r="L2470" s="54" t="s">
        <v>15</v>
      </c>
      <c r="M2470" s="54" t="s">
        <v>10</v>
      </c>
      <c r="N2470" s="54" t="s">
        <v>11</v>
      </c>
      <c r="O2470" s="49" t="s">
        <v>815</v>
      </c>
      <c r="P2470" s="54" t="s">
        <v>3392</v>
      </c>
      <c r="Q2470" s="35" t="str">
        <f>MID(Tabla1[[#This Row],[Aplicación]],14,1)</f>
        <v>2</v>
      </c>
      <c r="R2470" s="35" t="s">
        <v>495</v>
      </c>
      <c r="S2470" s="35" t="str">
        <f>MID(Tabla1[[#This Row],[Aplicación]],6,2)</f>
        <v>01</v>
      </c>
      <c r="T2470" s="35" t="str">
        <f>VLOOKUP(Tabla1[[#This Row],[AREA]],Hoja1!A:B,2,FALSE)</f>
        <v>01. Alcaldía</v>
      </c>
      <c r="U2470" s="35" t="str">
        <f>MID(Tabla1[[#This Row],[Aplicación]],9,4)</f>
        <v>9203</v>
      </c>
      <c r="V2470" s="35" t="str">
        <f>VLOOKUP(Tabla1[[#This Row],[PROGRAMA]],Hoja1!A:B,2,FALSE)</f>
        <v>9203. Unidad de régimen interior</v>
      </c>
      <c r="W2470" s="35" t="str">
        <f>MID(Tabla1[[#This Row],[Aplicación]],14,2)</f>
        <v>22</v>
      </c>
      <c r="X2470" s="35" t="str">
        <f>MID(Tabla1[[#This Row],[Aplicación]],14,6)</f>
        <v>22699</v>
      </c>
    </row>
    <row r="2471" spans="1:24" x14ac:dyDescent="0.25">
      <c r="A2471" s="45">
        <v>220210031163</v>
      </c>
      <c r="B2471" s="46" t="s">
        <v>204</v>
      </c>
      <c r="C2471" s="47">
        <v>44361</v>
      </c>
      <c r="D2471" s="45">
        <v>22021002059</v>
      </c>
      <c r="E2471" s="46" t="s">
        <v>1183</v>
      </c>
      <c r="F2471" s="48">
        <v>4.2</v>
      </c>
      <c r="G2471" s="54" t="s">
        <v>223</v>
      </c>
      <c r="H2471" s="54" t="s">
        <v>3978</v>
      </c>
      <c r="I2471" s="53" t="s">
        <v>205</v>
      </c>
      <c r="J2471" s="54" t="s">
        <v>127</v>
      </c>
      <c r="K2471" s="54" t="s">
        <v>127</v>
      </c>
      <c r="L2471" s="54" t="s">
        <v>15</v>
      </c>
      <c r="M2471" s="54" t="s">
        <v>13</v>
      </c>
      <c r="N2471" s="54" t="s">
        <v>14</v>
      </c>
      <c r="O2471" s="49" t="s">
        <v>814</v>
      </c>
      <c r="P2471" s="54" t="s">
        <v>3392</v>
      </c>
      <c r="Q2471" s="35" t="str">
        <f>MID(Tabla1[[#This Row],[Aplicación]],14,1)</f>
        <v>2</v>
      </c>
      <c r="R2471" s="35" t="s">
        <v>495</v>
      </c>
      <c r="S2471" s="35" t="str">
        <f>MID(Tabla1[[#This Row],[Aplicación]],6,2)</f>
        <v>11</v>
      </c>
      <c r="T2471" s="35" t="str">
        <f>VLOOKUP(Tabla1[[#This Row],[AREA]],Hoja1!A:B,2,FALSE)</f>
        <v>11. Salud pública y seguridad ciudadana</v>
      </c>
      <c r="U2471" s="35" t="str">
        <f>MID(Tabla1[[#This Row],[Aplicación]],9,4)</f>
        <v>1361</v>
      </c>
      <c r="V2471" s="35" t="str">
        <f>VLOOKUP(Tabla1[[#This Row],[PROGRAMA]],Hoja1!A:B,2,FALSE)</f>
        <v>1361. Prevención y extinción de incencios</v>
      </c>
      <c r="W2471" s="35" t="str">
        <f>MID(Tabla1[[#This Row],[Aplicación]],14,2)</f>
        <v>22</v>
      </c>
      <c r="X2471" s="35" t="str">
        <f>MID(Tabla1[[#This Row],[Aplicación]],14,6)</f>
        <v>22199</v>
      </c>
    </row>
    <row r="2472" spans="1:24" x14ac:dyDescent="0.25">
      <c r="A2472" s="45">
        <v>220210033113</v>
      </c>
      <c r="B2472" s="46" t="s">
        <v>9</v>
      </c>
      <c r="C2472" s="47">
        <v>44376</v>
      </c>
      <c r="D2472" s="45">
        <v>22021005155</v>
      </c>
      <c r="E2472" s="46" t="s">
        <v>1400</v>
      </c>
      <c r="F2472" s="48">
        <v>1169.3399999999999</v>
      </c>
      <c r="G2472" s="54" t="s">
        <v>3979</v>
      </c>
      <c r="H2472" s="54" t="s">
        <v>3980</v>
      </c>
      <c r="I2472" s="53" t="s">
        <v>125</v>
      </c>
      <c r="J2472" s="54" t="s">
        <v>127</v>
      </c>
      <c r="K2472" s="54" t="s">
        <v>127</v>
      </c>
      <c r="L2472" s="54" t="s">
        <v>15</v>
      </c>
      <c r="M2472" s="54" t="s">
        <v>10</v>
      </c>
      <c r="N2472" s="54" t="s">
        <v>14</v>
      </c>
      <c r="O2472" s="49" t="s">
        <v>815</v>
      </c>
      <c r="P2472" s="54" t="s">
        <v>3392</v>
      </c>
      <c r="Q2472" s="35" t="str">
        <f>MID(Tabla1[[#This Row],[Aplicación]],14,1)</f>
        <v>2</v>
      </c>
      <c r="R2472" s="35" t="s">
        <v>495</v>
      </c>
      <c r="S2472" s="35" t="str">
        <f>MID(Tabla1[[#This Row],[Aplicación]],6,2)</f>
        <v>10</v>
      </c>
      <c r="T2472" s="35" t="str">
        <f>VLOOKUP(Tabla1[[#This Row],[AREA]],Hoja1!A:B,2,FALSE)</f>
        <v>10. Servicios sociales y mediación comunitaria</v>
      </c>
      <c r="U2472" s="35" t="str">
        <f>MID(Tabla1[[#This Row],[Aplicación]],9,4)</f>
        <v>2311</v>
      </c>
      <c r="V2472" s="35" t="str">
        <f>VLOOKUP(Tabla1[[#This Row],[PROGRAMA]],Hoja1!A:B,2,FALSE)</f>
        <v>2311. Intervención social</v>
      </c>
      <c r="W2472" s="35" t="str">
        <f>MID(Tabla1[[#This Row],[Aplicación]],14,2)</f>
        <v>22</v>
      </c>
      <c r="X2472" s="35" t="str">
        <f>MID(Tabla1[[#This Row],[Aplicación]],14,6)</f>
        <v>22699</v>
      </c>
    </row>
    <row r="2473" spans="1:24" x14ac:dyDescent="0.25">
      <c r="A2473" s="45">
        <v>220210031163</v>
      </c>
      <c r="B2473" s="46" t="s">
        <v>204</v>
      </c>
      <c r="C2473" s="47">
        <v>44361</v>
      </c>
      <c r="D2473" s="45">
        <v>22021003381</v>
      </c>
      <c r="E2473" s="46" t="s">
        <v>1183</v>
      </c>
      <c r="F2473" s="48">
        <v>5.7</v>
      </c>
      <c r="G2473" s="54" t="s">
        <v>223</v>
      </c>
      <c r="H2473" s="54" t="s">
        <v>3978</v>
      </c>
      <c r="I2473" s="53" t="s">
        <v>205</v>
      </c>
      <c r="J2473" s="54" t="s">
        <v>127</v>
      </c>
      <c r="K2473" s="54" t="s">
        <v>127</v>
      </c>
      <c r="L2473" s="54" t="s">
        <v>15</v>
      </c>
      <c r="M2473" s="54" t="s">
        <v>13</v>
      </c>
      <c r="N2473" s="54" t="s">
        <v>14</v>
      </c>
      <c r="O2473" s="49" t="s">
        <v>814</v>
      </c>
      <c r="P2473" s="54" t="s">
        <v>3392</v>
      </c>
      <c r="Q2473" s="35" t="str">
        <f>MID(Tabla1[[#This Row],[Aplicación]],14,1)</f>
        <v>2</v>
      </c>
      <c r="R2473" s="35" t="s">
        <v>495</v>
      </c>
      <c r="S2473" s="35" t="str">
        <f>MID(Tabla1[[#This Row],[Aplicación]],6,2)</f>
        <v>11</v>
      </c>
      <c r="T2473" s="35" t="str">
        <f>VLOOKUP(Tabla1[[#This Row],[AREA]],Hoja1!A:B,2,FALSE)</f>
        <v>11. Salud pública y seguridad ciudadana</v>
      </c>
      <c r="U2473" s="35" t="str">
        <f>MID(Tabla1[[#This Row],[Aplicación]],9,4)</f>
        <v>1361</v>
      </c>
      <c r="V2473" s="35" t="str">
        <f>VLOOKUP(Tabla1[[#This Row],[PROGRAMA]],Hoja1!A:B,2,FALSE)</f>
        <v>1361. Prevención y extinción de incencios</v>
      </c>
      <c r="W2473" s="35" t="str">
        <f>MID(Tabla1[[#This Row],[Aplicación]],14,2)</f>
        <v>22</v>
      </c>
      <c r="X2473" s="35" t="str">
        <f>MID(Tabla1[[#This Row],[Aplicación]],14,6)</f>
        <v>22199</v>
      </c>
    </row>
    <row r="2474" spans="1:24" x14ac:dyDescent="0.25">
      <c r="A2474" s="45">
        <v>220210022511</v>
      </c>
      <c r="B2474" s="46" t="s">
        <v>204</v>
      </c>
      <c r="C2474" s="47">
        <v>44330</v>
      </c>
      <c r="D2474" s="45">
        <v>22021001966</v>
      </c>
      <c r="E2474" s="46" t="s">
        <v>950</v>
      </c>
      <c r="F2474" s="48">
        <v>19.95</v>
      </c>
      <c r="G2474" s="54" t="s">
        <v>102</v>
      </c>
      <c r="H2474" s="54" t="s">
        <v>3981</v>
      </c>
      <c r="I2474" s="53" t="s">
        <v>205</v>
      </c>
      <c r="J2474" s="54" t="s">
        <v>127</v>
      </c>
      <c r="K2474" s="54" t="s">
        <v>127</v>
      </c>
      <c r="L2474" s="54" t="s">
        <v>15</v>
      </c>
      <c r="M2474" s="54" t="s">
        <v>13</v>
      </c>
      <c r="N2474" s="54" t="s">
        <v>14</v>
      </c>
      <c r="O2474" s="49" t="s">
        <v>814</v>
      </c>
      <c r="P2474" s="54" t="s">
        <v>3392</v>
      </c>
      <c r="Q2474" s="35" t="str">
        <f>MID(Tabla1[[#This Row],[Aplicación]],14,1)</f>
        <v>2</v>
      </c>
      <c r="R2474" s="35" t="s">
        <v>495</v>
      </c>
      <c r="S2474" s="35" t="str">
        <f>MID(Tabla1[[#This Row],[Aplicación]],6,2)</f>
        <v>11</v>
      </c>
      <c r="T2474" s="35" t="str">
        <f>VLOOKUP(Tabla1[[#This Row],[AREA]],Hoja1!A:B,2,FALSE)</f>
        <v>11. Salud pública y seguridad ciudadana</v>
      </c>
      <c r="U2474" s="35" t="str">
        <f>MID(Tabla1[[#This Row],[Aplicación]],9,4)</f>
        <v>1321</v>
      </c>
      <c r="V2474" s="35" t="str">
        <f>VLOOKUP(Tabla1[[#This Row],[PROGRAMA]],Hoja1!A:B,2,FALSE)</f>
        <v>1321. Policía municipal</v>
      </c>
      <c r="W2474" s="35" t="str">
        <f>MID(Tabla1[[#This Row],[Aplicación]],14,2)</f>
        <v>21</v>
      </c>
      <c r="X2474" s="35" t="str">
        <f>MID(Tabla1[[#This Row],[Aplicación]],14,6)</f>
        <v>213</v>
      </c>
    </row>
    <row r="2475" spans="1:24" x14ac:dyDescent="0.25">
      <c r="A2475" s="45">
        <v>220210014202</v>
      </c>
      <c r="B2475" s="46" t="s">
        <v>204</v>
      </c>
      <c r="C2475" s="47">
        <v>44293</v>
      </c>
      <c r="D2475" s="45">
        <v>22021001275</v>
      </c>
      <c r="E2475" s="46" t="s">
        <v>1334</v>
      </c>
      <c r="F2475" s="48">
        <v>244.14</v>
      </c>
      <c r="G2475" s="54" t="s">
        <v>238</v>
      </c>
      <c r="H2475" s="54" t="s">
        <v>3982</v>
      </c>
      <c r="I2475" s="53" t="s">
        <v>205</v>
      </c>
      <c r="J2475" s="54" t="s">
        <v>127</v>
      </c>
      <c r="K2475" s="54" t="s">
        <v>127</v>
      </c>
      <c r="L2475" s="54" t="s">
        <v>15</v>
      </c>
      <c r="M2475" s="54" t="s">
        <v>13</v>
      </c>
      <c r="N2475" s="54" t="s">
        <v>14</v>
      </c>
      <c r="O2475" s="49" t="s">
        <v>814</v>
      </c>
      <c r="P2475" s="54" t="s">
        <v>3392</v>
      </c>
      <c r="Q2475" s="35" t="str">
        <f>MID(Tabla1[[#This Row],[Aplicación]],14,1)</f>
        <v>2</v>
      </c>
      <c r="R2475" s="35" t="s">
        <v>495</v>
      </c>
      <c r="S2475" s="35" t="str">
        <f>MID(Tabla1[[#This Row],[Aplicación]],6,2)</f>
        <v>07</v>
      </c>
      <c r="T2475" s="35" t="str">
        <f>VLOOKUP(Tabla1[[#This Row],[AREA]],Hoja1!A:B,2,FALSE)</f>
        <v>07. Medio ambiente y desarrollo sostenible</v>
      </c>
      <c r="U2475" s="35" t="str">
        <f>MID(Tabla1[[#This Row],[Aplicación]],9,4)</f>
        <v>1711</v>
      </c>
      <c r="V2475" s="35" t="str">
        <f>VLOOKUP(Tabla1[[#This Row],[PROGRAMA]],Hoja1!A:B,2,FALSE)</f>
        <v>1711. Parques y jardines</v>
      </c>
      <c r="W2475" s="35" t="str">
        <f>MID(Tabla1[[#This Row],[Aplicación]],14,2)</f>
        <v>22</v>
      </c>
      <c r="X2475" s="35" t="str">
        <f>MID(Tabla1[[#This Row],[Aplicación]],14,6)</f>
        <v>22199</v>
      </c>
    </row>
    <row r="2476" spans="1:24" x14ac:dyDescent="0.25">
      <c r="A2476" s="45">
        <v>220210028826</v>
      </c>
      <c r="B2476" s="46" t="s">
        <v>9</v>
      </c>
      <c r="C2476" s="47">
        <v>44351</v>
      </c>
      <c r="D2476" s="45">
        <v>22021004729</v>
      </c>
      <c r="E2476" s="46" t="s">
        <v>3365</v>
      </c>
      <c r="F2476" s="48">
        <v>1134.8</v>
      </c>
      <c r="G2476" s="54" t="s">
        <v>48</v>
      </c>
      <c r="H2476" s="54" t="s">
        <v>3983</v>
      </c>
      <c r="I2476" s="53" t="s">
        <v>125</v>
      </c>
      <c r="J2476" s="54" t="s">
        <v>127</v>
      </c>
      <c r="K2476" s="54" t="s">
        <v>127</v>
      </c>
      <c r="L2476" s="54" t="s">
        <v>15</v>
      </c>
      <c r="M2476" s="54" t="s">
        <v>10</v>
      </c>
      <c r="N2476" s="54" t="s">
        <v>11</v>
      </c>
      <c r="O2476" s="49" t="s">
        <v>815</v>
      </c>
      <c r="P2476" s="54" t="s">
        <v>3392</v>
      </c>
      <c r="Q2476" s="35" t="str">
        <f>MID(Tabla1[[#This Row],[Aplicación]],14,1)</f>
        <v>2</v>
      </c>
      <c r="R2476" s="35" t="s">
        <v>495</v>
      </c>
      <c r="S2476" s="35" t="str">
        <f>MID(Tabla1[[#This Row],[Aplicación]],6,2)</f>
        <v>01</v>
      </c>
      <c r="T2476" s="35" t="str">
        <f>VLOOKUP(Tabla1[[#This Row],[AREA]],Hoja1!A:B,2,FALSE)</f>
        <v>01. Alcaldía</v>
      </c>
      <c r="U2476" s="35" t="str">
        <f>MID(Tabla1[[#This Row],[Aplicación]],9,4)</f>
        <v>9205</v>
      </c>
      <c r="V2476" s="35" t="str">
        <f>VLOOKUP(Tabla1[[#This Row],[PROGRAMA]],Hoja1!A:B,2,FALSE)</f>
        <v>9205. Imprenta municipal</v>
      </c>
      <c r="W2476" s="35" t="str">
        <f>MID(Tabla1[[#This Row],[Aplicación]],14,2)</f>
        <v>22</v>
      </c>
      <c r="X2476" s="35" t="str">
        <f>MID(Tabla1[[#This Row],[Aplicación]],14,6)</f>
        <v>22104</v>
      </c>
    </row>
    <row r="2477" spans="1:24" x14ac:dyDescent="0.25">
      <c r="A2477" s="45">
        <v>220210014473</v>
      </c>
      <c r="B2477" s="46" t="s">
        <v>204</v>
      </c>
      <c r="C2477" s="47">
        <v>44295</v>
      </c>
      <c r="D2477" s="45">
        <v>22021002059</v>
      </c>
      <c r="E2477" s="46" t="s">
        <v>1183</v>
      </c>
      <c r="F2477" s="48">
        <v>23.8</v>
      </c>
      <c r="G2477" s="54" t="s">
        <v>238</v>
      </c>
      <c r="H2477" s="54" t="s">
        <v>3984</v>
      </c>
      <c r="I2477" s="53" t="s">
        <v>205</v>
      </c>
      <c r="J2477" s="54" t="s">
        <v>127</v>
      </c>
      <c r="K2477" s="54" t="s">
        <v>127</v>
      </c>
      <c r="L2477" s="54" t="s">
        <v>15</v>
      </c>
      <c r="M2477" s="54" t="s">
        <v>13</v>
      </c>
      <c r="N2477" s="54" t="s">
        <v>14</v>
      </c>
      <c r="O2477" s="49" t="s">
        <v>814</v>
      </c>
      <c r="P2477" s="54" t="s">
        <v>3392</v>
      </c>
      <c r="Q2477" s="35" t="str">
        <f>MID(Tabla1[[#This Row],[Aplicación]],14,1)</f>
        <v>2</v>
      </c>
      <c r="R2477" s="35" t="s">
        <v>495</v>
      </c>
      <c r="S2477" s="35" t="str">
        <f>MID(Tabla1[[#This Row],[Aplicación]],6,2)</f>
        <v>11</v>
      </c>
      <c r="T2477" s="35" t="str">
        <f>VLOOKUP(Tabla1[[#This Row],[AREA]],Hoja1!A:B,2,FALSE)</f>
        <v>11. Salud pública y seguridad ciudadana</v>
      </c>
      <c r="U2477" s="35" t="str">
        <f>MID(Tabla1[[#This Row],[Aplicación]],9,4)</f>
        <v>1361</v>
      </c>
      <c r="V2477" s="35" t="str">
        <f>VLOOKUP(Tabla1[[#This Row],[PROGRAMA]],Hoja1!A:B,2,FALSE)</f>
        <v>1361. Prevención y extinción de incencios</v>
      </c>
      <c r="W2477" s="35" t="str">
        <f>MID(Tabla1[[#This Row],[Aplicación]],14,2)</f>
        <v>22</v>
      </c>
      <c r="X2477" s="35" t="str">
        <f>MID(Tabla1[[#This Row],[Aplicación]],14,6)</f>
        <v>22199</v>
      </c>
    </row>
    <row r="2478" spans="1:24" x14ac:dyDescent="0.25">
      <c r="A2478" s="45">
        <v>220210031189</v>
      </c>
      <c r="B2478" s="46" t="s">
        <v>32</v>
      </c>
      <c r="C2478" s="47">
        <v>44361</v>
      </c>
      <c r="D2478" s="45">
        <v>22021004879</v>
      </c>
      <c r="E2478" s="46" t="s">
        <v>1660</v>
      </c>
      <c r="F2478" s="48">
        <v>1128.5</v>
      </c>
      <c r="G2478" s="54" t="s">
        <v>2330</v>
      </c>
      <c r="H2478" s="54" t="s">
        <v>3985</v>
      </c>
      <c r="I2478" s="53" t="s">
        <v>234</v>
      </c>
      <c r="J2478" s="54" t="s">
        <v>127</v>
      </c>
      <c r="K2478" s="54" t="s">
        <v>127</v>
      </c>
      <c r="L2478" s="54" t="s">
        <v>12</v>
      </c>
      <c r="M2478" s="54" t="s">
        <v>10</v>
      </c>
      <c r="N2478" s="54" t="s">
        <v>11</v>
      </c>
      <c r="O2478" s="49" t="s">
        <v>815</v>
      </c>
      <c r="P2478" s="54" t="s">
        <v>3392</v>
      </c>
      <c r="Q2478" s="35" t="str">
        <f>MID(Tabla1[[#This Row],[Aplicación]],14,1)</f>
        <v>2</v>
      </c>
      <c r="R2478" s="35" t="s">
        <v>495</v>
      </c>
      <c r="S2478" s="35" t="str">
        <f>MID(Tabla1[[#This Row],[Aplicación]],6,2)</f>
        <v>04</v>
      </c>
      <c r="T2478" s="35" t="str">
        <f>VLOOKUP(Tabla1[[#This Row],[AREA]],Hoja1!A:B,2,FALSE)</f>
        <v>04. Planificación y recursos</v>
      </c>
      <c r="U2478" s="35" t="str">
        <f>MID(Tabla1[[#This Row],[Aplicación]],9,4)</f>
        <v>9202</v>
      </c>
      <c r="V2478" s="35" t="str">
        <f>VLOOKUP(Tabla1[[#This Row],[PROGRAMA]],Hoja1!A:B,2,FALSE)</f>
        <v>9202. Gestión de recursos humanos</v>
      </c>
      <c r="W2478" s="35" t="str">
        <f>MID(Tabla1[[#This Row],[Aplicación]],14,2)</f>
        <v>22</v>
      </c>
      <c r="X2478" s="35" t="str">
        <f>MID(Tabla1[[#This Row],[Aplicación]],14,6)</f>
        <v>22607</v>
      </c>
    </row>
    <row r="2479" spans="1:24" x14ac:dyDescent="0.25">
      <c r="A2479" s="45">
        <v>220210015734</v>
      </c>
      <c r="B2479" s="46" t="s">
        <v>204</v>
      </c>
      <c r="C2479" s="47">
        <v>44302</v>
      </c>
      <c r="D2479" s="45">
        <v>22021002048</v>
      </c>
      <c r="E2479" s="46" t="s">
        <v>890</v>
      </c>
      <c r="F2479" s="48">
        <v>2822.57</v>
      </c>
      <c r="G2479" s="54" t="s">
        <v>269</v>
      </c>
      <c r="H2479" s="54" t="s">
        <v>3986</v>
      </c>
      <c r="I2479" s="53" t="s">
        <v>205</v>
      </c>
      <c r="J2479" s="54" t="s">
        <v>127</v>
      </c>
      <c r="K2479" s="54" t="s">
        <v>127</v>
      </c>
      <c r="L2479" s="54" t="s">
        <v>15</v>
      </c>
      <c r="M2479" s="54" t="s">
        <v>13</v>
      </c>
      <c r="N2479" s="54" t="s">
        <v>14</v>
      </c>
      <c r="O2479" s="49" t="s">
        <v>814</v>
      </c>
      <c r="P2479" s="54" t="s">
        <v>3392</v>
      </c>
      <c r="Q2479" s="35" t="str">
        <f>MID(Tabla1[[#This Row],[Aplicación]],14,1)</f>
        <v>2</v>
      </c>
      <c r="R2479" s="35" t="s">
        <v>495</v>
      </c>
      <c r="S2479" s="35" t="str">
        <f>MID(Tabla1[[#This Row],[Aplicación]],6,2)</f>
        <v>11</v>
      </c>
      <c r="T2479" s="35" t="str">
        <f>VLOOKUP(Tabla1[[#This Row],[AREA]],Hoja1!A:B,2,FALSE)</f>
        <v>11. Salud pública y seguridad ciudadana</v>
      </c>
      <c r="U2479" s="35" t="str">
        <f>MID(Tabla1[[#This Row],[Aplicación]],9,4)</f>
        <v>1621</v>
      </c>
      <c r="V2479" s="35" t="str">
        <f>VLOOKUP(Tabla1[[#This Row],[PROGRAMA]],Hoja1!A:B,2,FALSE)</f>
        <v>1621. Servicio de limpieza</v>
      </c>
      <c r="W2479" s="35" t="str">
        <f>MID(Tabla1[[#This Row],[Aplicación]],14,2)</f>
        <v>21</v>
      </c>
      <c r="X2479" s="35" t="str">
        <f>MID(Tabla1[[#This Row],[Aplicación]],14,6)</f>
        <v>214</v>
      </c>
    </row>
    <row r="2480" spans="1:24" x14ac:dyDescent="0.25">
      <c r="A2480" s="45">
        <v>220210014571</v>
      </c>
      <c r="B2480" s="46" t="s">
        <v>9</v>
      </c>
      <c r="C2480" s="47">
        <v>44298</v>
      </c>
      <c r="D2480" s="45">
        <v>22021003789</v>
      </c>
      <c r="E2480" s="46" t="s">
        <v>1336</v>
      </c>
      <c r="F2480" s="48">
        <v>1113.2</v>
      </c>
      <c r="G2480" s="54" t="s">
        <v>3232</v>
      </c>
      <c r="H2480" s="54" t="s">
        <v>3987</v>
      </c>
      <c r="I2480" s="53" t="s">
        <v>125</v>
      </c>
      <c r="J2480" s="54" t="s">
        <v>127</v>
      </c>
      <c r="K2480" s="54" t="s">
        <v>127</v>
      </c>
      <c r="L2480" s="54" t="s">
        <v>12</v>
      </c>
      <c r="M2480" s="54" t="s">
        <v>10</v>
      </c>
      <c r="N2480" s="54" t="s">
        <v>11</v>
      </c>
      <c r="O2480" s="49" t="s">
        <v>815</v>
      </c>
      <c r="P2480" s="54" t="s">
        <v>3392</v>
      </c>
      <c r="Q2480" s="35" t="str">
        <f>MID(Tabla1[[#This Row],[Aplicación]],14,1)</f>
        <v>2</v>
      </c>
      <c r="R2480" s="35" t="s">
        <v>495</v>
      </c>
      <c r="S2480" s="35" t="str">
        <f>MID(Tabla1[[#This Row],[Aplicación]],6,2)</f>
        <v>02</v>
      </c>
      <c r="T2480" s="35" t="str">
        <f>VLOOKUP(Tabla1[[#This Row],[AREA]],Hoja1!A:B,2,FALSE)</f>
        <v>02. Planeamiento urbanístico y vivienda</v>
      </c>
      <c r="U2480" s="35" t="str">
        <f>MID(Tabla1[[#This Row],[Aplicación]],9,4)</f>
        <v>9332</v>
      </c>
      <c r="V2480" s="35" t="str">
        <f>VLOOKUP(Tabla1[[#This Row],[PROGRAMA]],Hoja1!A:B,2,FALSE)</f>
        <v>9332. Mantenimiento de edificios e instalaciones municipales</v>
      </c>
      <c r="W2480" s="35" t="str">
        <f>MID(Tabla1[[#This Row],[Aplicación]],14,2)</f>
        <v>21</v>
      </c>
      <c r="X2480" s="35" t="str">
        <f>MID(Tabla1[[#This Row],[Aplicación]],14,6)</f>
        <v>212</v>
      </c>
    </row>
    <row r="2481" spans="1:24" x14ac:dyDescent="0.25">
      <c r="A2481" s="45">
        <v>220210020612</v>
      </c>
      <c r="B2481" s="46" t="s">
        <v>9</v>
      </c>
      <c r="C2481" s="47">
        <v>44322</v>
      </c>
      <c r="D2481" s="45">
        <v>22021004045</v>
      </c>
      <c r="E2481" s="46" t="s">
        <v>3333</v>
      </c>
      <c r="F2481" s="48">
        <v>1112</v>
      </c>
      <c r="G2481" s="54" t="s">
        <v>3988</v>
      </c>
      <c r="H2481" s="54" t="s">
        <v>3989</v>
      </c>
      <c r="I2481" s="53" t="s">
        <v>125</v>
      </c>
      <c r="J2481" s="54" t="s">
        <v>127</v>
      </c>
      <c r="K2481" s="54" t="s">
        <v>127</v>
      </c>
      <c r="L2481" s="54" t="s">
        <v>12</v>
      </c>
      <c r="M2481" s="54" t="s">
        <v>10</v>
      </c>
      <c r="N2481" s="54" t="s">
        <v>11</v>
      </c>
      <c r="O2481" s="49" t="s">
        <v>815</v>
      </c>
      <c r="P2481" s="54" t="s">
        <v>3392</v>
      </c>
      <c r="Q2481" s="35" t="str">
        <f>MID(Tabla1[[#This Row],[Aplicación]],14,1)</f>
        <v>2</v>
      </c>
      <c r="R2481" s="35" t="s">
        <v>495</v>
      </c>
      <c r="S2481" s="35" t="str">
        <f>MID(Tabla1[[#This Row],[Aplicación]],6,2)</f>
        <v>10</v>
      </c>
      <c r="T2481" s="35" t="str">
        <f>VLOOKUP(Tabla1[[#This Row],[AREA]],Hoja1!A:B,2,FALSE)</f>
        <v>10. Servicios sociales y mediación comunitaria</v>
      </c>
      <c r="U2481" s="35" t="str">
        <f>MID(Tabla1[[#This Row],[Aplicación]],9,4)</f>
        <v>2316</v>
      </c>
      <c r="V2481" s="35" t="str">
        <f>VLOOKUP(Tabla1[[#This Row],[PROGRAMA]],Hoja1!A:B,2,FALSE)</f>
        <v>2316. Mediación comunitaria</v>
      </c>
      <c r="W2481" s="35" t="str">
        <f>MID(Tabla1[[#This Row],[Aplicación]],14,2)</f>
        <v>22</v>
      </c>
      <c r="X2481" s="35" t="str">
        <f>MID(Tabla1[[#This Row],[Aplicación]],14,6)</f>
        <v>22616</v>
      </c>
    </row>
    <row r="2482" spans="1:24" x14ac:dyDescent="0.25">
      <c r="A2482" s="45">
        <v>220210023401</v>
      </c>
      <c r="B2482" s="46" t="s">
        <v>204</v>
      </c>
      <c r="C2482" s="47">
        <v>44335</v>
      </c>
      <c r="D2482" s="45">
        <v>22021002601</v>
      </c>
      <c r="E2482" s="46" t="s">
        <v>3362</v>
      </c>
      <c r="F2482" s="48">
        <v>2767.22</v>
      </c>
      <c r="G2482" s="54" t="s">
        <v>3990</v>
      </c>
      <c r="H2482" s="54" t="s">
        <v>3991</v>
      </c>
      <c r="I2482" s="53" t="s">
        <v>205</v>
      </c>
      <c r="J2482" s="54" t="s">
        <v>127</v>
      </c>
      <c r="K2482" s="54" t="s">
        <v>127</v>
      </c>
      <c r="L2482" s="54" t="s">
        <v>15</v>
      </c>
      <c r="M2482" s="54" t="s">
        <v>13</v>
      </c>
      <c r="N2482" s="54" t="s">
        <v>14</v>
      </c>
      <c r="O2482" s="49" t="s">
        <v>814</v>
      </c>
      <c r="P2482" s="54" t="s">
        <v>3392</v>
      </c>
      <c r="Q2482" s="35" t="str">
        <f>MID(Tabla1[[#This Row],[Aplicación]],14,1)</f>
        <v>6</v>
      </c>
      <c r="R2482" s="35" t="s">
        <v>496</v>
      </c>
      <c r="S2482" s="35" t="str">
        <f>MID(Tabla1[[#This Row],[Aplicación]],6,2)</f>
        <v>06</v>
      </c>
      <c r="T2482" s="35" t="str">
        <f>VLOOKUP(Tabla1[[#This Row],[AREA]],Hoja1!A:B,2,FALSE)</f>
        <v>06. Educación, infancia, juventud e igualdad</v>
      </c>
      <c r="U2482" s="35" t="str">
        <f>MID(Tabla1[[#This Row],[Aplicación]],9,4)</f>
        <v>3321</v>
      </c>
      <c r="V2482" s="35" t="str">
        <f>VLOOKUP(Tabla1[[#This Row],[PROGRAMA]],Hoja1!A:B,2,FALSE)</f>
        <v>3321. Bibliotecas públicas</v>
      </c>
      <c r="W2482" s="35" t="str">
        <f>MID(Tabla1[[#This Row],[Aplicación]],14,2)</f>
        <v>62</v>
      </c>
      <c r="X2482" s="35" t="str">
        <f>MID(Tabla1[[#This Row],[Aplicación]],14,6)</f>
        <v>629</v>
      </c>
    </row>
    <row r="2483" spans="1:24" x14ac:dyDescent="0.25">
      <c r="A2483" s="45">
        <v>220210032721</v>
      </c>
      <c r="B2483" s="46" t="s">
        <v>204</v>
      </c>
      <c r="C2483" s="47">
        <v>44371</v>
      </c>
      <c r="D2483" s="45">
        <v>22021002048</v>
      </c>
      <c r="E2483" s="46" t="s">
        <v>890</v>
      </c>
      <c r="F2483" s="48">
        <v>2737.58</v>
      </c>
      <c r="G2483" s="54" t="s">
        <v>269</v>
      </c>
      <c r="H2483" s="54" t="s">
        <v>3992</v>
      </c>
      <c r="I2483" s="53" t="s">
        <v>205</v>
      </c>
      <c r="J2483" s="54" t="s">
        <v>127</v>
      </c>
      <c r="K2483" s="54" t="s">
        <v>127</v>
      </c>
      <c r="L2483" s="54" t="s">
        <v>15</v>
      </c>
      <c r="M2483" s="54" t="s">
        <v>13</v>
      </c>
      <c r="N2483" s="54" t="s">
        <v>14</v>
      </c>
      <c r="O2483" s="49" t="s">
        <v>814</v>
      </c>
      <c r="P2483" s="54" t="s">
        <v>3392</v>
      </c>
      <c r="Q2483" s="35" t="str">
        <f>MID(Tabla1[[#This Row],[Aplicación]],14,1)</f>
        <v>2</v>
      </c>
      <c r="R2483" s="35" t="s">
        <v>495</v>
      </c>
      <c r="S2483" s="35" t="str">
        <f>MID(Tabla1[[#This Row],[Aplicación]],6,2)</f>
        <v>11</v>
      </c>
      <c r="T2483" s="35" t="str">
        <f>VLOOKUP(Tabla1[[#This Row],[AREA]],Hoja1!A:B,2,FALSE)</f>
        <v>11. Salud pública y seguridad ciudadana</v>
      </c>
      <c r="U2483" s="35" t="str">
        <f>MID(Tabla1[[#This Row],[Aplicación]],9,4)</f>
        <v>1621</v>
      </c>
      <c r="V2483" s="35" t="str">
        <f>VLOOKUP(Tabla1[[#This Row],[PROGRAMA]],Hoja1!A:B,2,FALSE)</f>
        <v>1621. Servicio de limpieza</v>
      </c>
      <c r="W2483" s="35" t="str">
        <f>MID(Tabla1[[#This Row],[Aplicación]],14,2)</f>
        <v>21</v>
      </c>
      <c r="X2483" s="35" t="str">
        <f>MID(Tabla1[[#This Row],[Aplicación]],14,6)</f>
        <v>214</v>
      </c>
    </row>
    <row r="2484" spans="1:24" x14ac:dyDescent="0.25">
      <c r="A2484" s="45">
        <v>220210026046</v>
      </c>
      <c r="B2484" s="46" t="s">
        <v>9</v>
      </c>
      <c r="C2484" s="47">
        <v>44344</v>
      </c>
      <c r="D2484" s="45">
        <v>22021004472</v>
      </c>
      <c r="E2484" s="46" t="s">
        <v>1617</v>
      </c>
      <c r="F2484" s="48">
        <v>2541</v>
      </c>
      <c r="G2484" s="54" t="s">
        <v>2724</v>
      </c>
      <c r="H2484" s="54" t="s">
        <v>3993</v>
      </c>
      <c r="I2484" s="53" t="s">
        <v>125</v>
      </c>
      <c r="J2484" s="54" t="s">
        <v>162</v>
      </c>
      <c r="K2484" s="54" t="s">
        <v>162</v>
      </c>
      <c r="L2484" s="54" t="s">
        <v>12</v>
      </c>
      <c r="M2484" s="54" t="s">
        <v>13</v>
      </c>
      <c r="N2484" s="54" t="s">
        <v>14</v>
      </c>
      <c r="O2484" s="49" t="s">
        <v>814</v>
      </c>
      <c r="P2484" s="54" t="s">
        <v>3392</v>
      </c>
      <c r="Q2484" s="35" t="str">
        <f>MID(Tabla1[[#This Row],[Aplicación]],14,1)</f>
        <v>2</v>
      </c>
      <c r="R2484" s="35" t="s">
        <v>495</v>
      </c>
      <c r="S2484" s="35" t="str">
        <f>MID(Tabla1[[#This Row],[Aplicación]],6,2)</f>
        <v>05</v>
      </c>
      <c r="T2484" s="35" t="str">
        <f>VLOOKUP(Tabla1[[#This Row],[AREA]],Hoja1!A:B,2,FALSE)</f>
        <v>05. Innovación, desarrollo económico, empleo y comercio</v>
      </c>
      <c r="U2484" s="35" t="str">
        <f>MID(Tabla1[[#This Row],[Aplicación]],9,4)</f>
        <v>4331</v>
      </c>
      <c r="V2484" s="35" t="str">
        <f>VLOOKUP(Tabla1[[#This Row],[PROGRAMA]],Hoja1!A:B,2,FALSE)</f>
        <v>4331. Desarrollo empresarial</v>
      </c>
      <c r="W2484" s="35" t="str">
        <f>MID(Tabla1[[#This Row],[Aplicación]],14,2)</f>
        <v>22</v>
      </c>
      <c r="X2484" s="35" t="str">
        <f>MID(Tabla1[[#This Row],[Aplicación]],14,6)</f>
        <v>22602</v>
      </c>
    </row>
    <row r="2485" spans="1:24" x14ac:dyDescent="0.25">
      <c r="A2485" s="45">
        <v>220210018880</v>
      </c>
      <c r="B2485" s="46" t="s">
        <v>204</v>
      </c>
      <c r="C2485" s="47">
        <v>44314</v>
      </c>
      <c r="D2485" s="45">
        <v>22021001966</v>
      </c>
      <c r="E2485" s="46" t="s">
        <v>950</v>
      </c>
      <c r="F2485" s="48">
        <v>2433.2399999999998</v>
      </c>
      <c r="G2485" s="54" t="s">
        <v>102</v>
      </c>
      <c r="H2485" s="54" t="s">
        <v>3994</v>
      </c>
      <c r="I2485" s="53" t="s">
        <v>205</v>
      </c>
      <c r="J2485" s="54" t="s">
        <v>127</v>
      </c>
      <c r="K2485" s="54" t="s">
        <v>127</v>
      </c>
      <c r="L2485" s="54" t="s">
        <v>15</v>
      </c>
      <c r="M2485" s="54" t="s">
        <v>13</v>
      </c>
      <c r="N2485" s="54" t="s">
        <v>14</v>
      </c>
      <c r="O2485" s="49" t="s">
        <v>814</v>
      </c>
      <c r="P2485" s="54" t="s">
        <v>3392</v>
      </c>
      <c r="Q2485" s="35" t="str">
        <f>MID(Tabla1[[#This Row],[Aplicación]],14,1)</f>
        <v>2</v>
      </c>
      <c r="R2485" s="35" t="s">
        <v>495</v>
      </c>
      <c r="S2485" s="35" t="str">
        <f>MID(Tabla1[[#This Row],[Aplicación]],6,2)</f>
        <v>11</v>
      </c>
      <c r="T2485" s="35" t="str">
        <f>VLOOKUP(Tabla1[[#This Row],[AREA]],Hoja1!A:B,2,FALSE)</f>
        <v>11. Salud pública y seguridad ciudadana</v>
      </c>
      <c r="U2485" s="35" t="str">
        <f>MID(Tabla1[[#This Row],[Aplicación]],9,4)</f>
        <v>1321</v>
      </c>
      <c r="V2485" s="35" t="str">
        <f>VLOOKUP(Tabla1[[#This Row],[PROGRAMA]],Hoja1!A:B,2,FALSE)</f>
        <v>1321. Policía municipal</v>
      </c>
      <c r="W2485" s="35" t="str">
        <f>MID(Tabla1[[#This Row],[Aplicación]],14,2)</f>
        <v>21</v>
      </c>
      <c r="X2485" s="35" t="str">
        <f>MID(Tabla1[[#This Row],[Aplicación]],14,6)</f>
        <v>213</v>
      </c>
    </row>
    <row r="2486" spans="1:24" x14ac:dyDescent="0.25">
      <c r="A2486" s="45">
        <v>220210016482</v>
      </c>
      <c r="B2486" s="46" t="s">
        <v>9</v>
      </c>
      <c r="C2486" s="47">
        <v>44306</v>
      </c>
      <c r="D2486" s="45">
        <v>22021003904</v>
      </c>
      <c r="E2486" s="46" t="s">
        <v>1617</v>
      </c>
      <c r="F2486" s="48">
        <v>2418.79</v>
      </c>
      <c r="G2486" s="54" t="s">
        <v>720</v>
      </c>
      <c r="H2486" s="54" t="s">
        <v>3995</v>
      </c>
      <c r="I2486" s="53" t="s">
        <v>125</v>
      </c>
      <c r="J2486" s="54" t="s">
        <v>127</v>
      </c>
      <c r="K2486" s="54" t="s">
        <v>127</v>
      </c>
      <c r="L2486" s="54" t="s">
        <v>12</v>
      </c>
      <c r="M2486" s="54" t="s">
        <v>13</v>
      </c>
      <c r="N2486" s="54" t="s">
        <v>14</v>
      </c>
      <c r="O2486" s="49" t="s">
        <v>814</v>
      </c>
      <c r="P2486" s="54" t="s">
        <v>3392</v>
      </c>
      <c r="Q2486" s="35" t="str">
        <f>MID(Tabla1[[#This Row],[Aplicación]],14,1)</f>
        <v>2</v>
      </c>
      <c r="R2486" s="35" t="s">
        <v>495</v>
      </c>
      <c r="S2486" s="35" t="str">
        <f>MID(Tabla1[[#This Row],[Aplicación]],6,2)</f>
        <v>05</v>
      </c>
      <c r="T2486" s="35" t="str">
        <f>VLOOKUP(Tabla1[[#This Row],[AREA]],Hoja1!A:B,2,FALSE)</f>
        <v>05. Innovación, desarrollo económico, empleo y comercio</v>
      </c>
      <c r="U2486" s="35" t="str">
        <f>MID(Tabla1[[#This Row],[Aplicación]],9,4)</f>
        <v>4331</v>
      </c>
      <c r="V2486" s="35" t="str">
        <f>VLOOKUP(Tabla1[[#This Row],[PROGRAMA]],Hoja1!A:B,2,FALSE)</f>
        <v>4331. Desarrollo empresarial</v>
      </c>
      <c r="W2486" s="35" t="str">
        <f>MID(Tabla1[[#This Row],[Aplicación]],14,2)</f>
        <v>22</v>
      </c>
      <c r="X2486" s="35" t="str">
        <f>MID(Tabla1[[#This Row],[Aplicación]],14,6)</f>
        <v>22602</v>
      </c>
    </row>
    <row r="2487" spans="1:24" x14ac:dyDescent="0.25">
      <c r="A2487" s="45">
        <v>220210020636</v>
      </c>
      <c r="B2487" s="46" t="s">
        <v>204</v>
      </c>
      <c r="C2487" s="47">
        <v>44323</v>
      </c>
      <c r="D2487" s="45">
        <v>22021002049</v>
      </c>
      <c r="E2487" s="46" t="s">
        <v>1671</v>
      </c>
      <c r="F2487" s="48">
        <v>2369.16</v>
      </c>
      <c r="G2487" s="54" t="s">
        <v>265</v>
      </c>
      <c r="H2487" s="54" t="s">
        <v>3996</v>
      </c>
      <c r="I2487" s="53" t="s">
        <v>205</v>
      </c>
      <c r="J2487" s="54" t="s">
        <v>157</v>
      </c>
      <c r="K2487" s="54" t="s">
        <v>157</v>
      </c>
      <c r="L2487" s="54" t="s">
        <v>15</v>
      </c>
      <c r="M2487" s="54" t="s">
        <v>13</v>
      </c>
      <c r="N2487" s="54" t="s">
        <v>14</v>
      </c>
      <c r="O2487" s="49" t="s">
        <v>814</v>
      </c>
      <c r="P2487" s="54" t="s">
        <v>3392</v>
      </c>
      <c r="Q2487" s="35" t="str">
        <f>MID(Tabla1[[#This Row],[Aplicación]],14,1)</f>
        <v>2</v>
      </c>
      <c r="R2487" s="35" t="s">
        <v>495</v>
      </c>
      <c r="S2487" s="35" t="str">
        <f>MID(Tabla1[[#This Row],[Aplicación]],6,2)</f>
        <v>11</v>
      </c>
      <c r="T2487" s="35" t="str">
        <f>VLOOKUP(Tabla1[[#This Row],[AREA]],Hoja1!A:B,2,FALSE)</f>
        <v>11. Salud pública y seguridad ciudadana</v>
      </c>
      <c r="U2487" s="35" t="str">
        <f>MID(Tabla1[[#This Row],[Aplicación]],9,4)</f>
        <v>1621</v>
      </c>
      <c r="V2487" s="35" t="str">
        <f>VLOOKUP(Tabla1[[#This Row],[PROGRAMA]],Hoja1!A:B,2,FALSE)</f>
        <v>1621. Servicio de limpieza</v>
      </c>
      <c r="W2487" s="35" t="str">
        <f>MID(Tabla1[[#This Row],[Aplicación]],14,2)</f>
        <v>22</v>
      </c>
      <c r="X2487" s="35" t="str">
        <f>MID(Tabla1[[#This Row],[Aplicación]],14,6)</f>
        <v>22103</v>
      </c>
    </row>
    <row r="2488" spans="1:24" x14ac:dyDescent="0.25">
      <c r="A2488" s="45">
        <v>220210015814</v>
      </c>
      <c r="B2488" s="46" t="s">
        <v>32</v>
      </c>
      <c r="C2488" s="47">
        <v>44302</v>
      </c>
      <c r="D2488" s="45">
        <v>22021003834</v>
      </c>
      <c r="E2488" s="46" t="s">
        <v>827</v>
      </c>
      <c r="F2488" s="48">
        <v>1087.79</v>
      </c>
      <c r="G2488" s="54" t="s">
        <v>198</v>
      </c>
      <c r="H2488" s="54" t="s">
        <v>3997</v>
      </c>
      <c r="I2488" s="53" t="s">
        <v>234</v>
      </c>
      <c r="J2488" s="54" t="s">
        <v>127</v>
      </c>
      <c r="K2488" s="54" t="s">
        <v>127</v>
      </c>
      <c r="L2488" s="54" t="s">
        <v>15</v>
      </c>
      <c r="M2488" s="54" t="s">
        <v>10</v>
      </c>
      <c r="N2488" s="54" t="s">
        <v>11</v>
      </c>
      <c r="O2488" s="49" t="s">
        <v>815</v>
      </c>
      <c r="P2488" s="54" t="s">
        <v>3392</v>
      </c>
      <c r="Q2488" s="35" t="str">
        <f>MID(Tabla1[[#This Row],[Aplicación]],14,1)</f>
        <v>2</v>
      </c>
      <c r="R2488" s="35" t="s">
        <v>495</v>
      </c>
      <c r="S2488" s="35" t="str">
        <f>MID(Tabla1[[#This Row],[Aplicación]],6,2)</f>
        <v>04</v>
      </c>
      <c r="T2488" s="35" t="str">
        <f>VLOOKUP(Tabla1[[#This Row],[AREA]],Hoja1!A:B,2,FALSE)</f>
        <v>04. Planificación y recursos</v>
      </c>
      <c r="U2488" s="35" t="str">
        <f>MID(Tabla1[[#This Row],[Aplicación]],9,4)</f>
        <v>9204</v>
      </c>
      <c r="V2488" s="35" t="str">
        <f>VLOOKUP(Tabla1[[#This Row],[PROGRAMA]],Hoja1!A:B,2,FALSE)</f>
        <v>9204. Tecnologías de la información y comunicación</v>
      </c>
      <c r="W2488" s="35" t="str">
        <f>MID(Tabla1[[#This Row],[Aplicación]],14,2)</f>
        <v>21</v>
      </c>
      <c r="X2488" s="35" t="str">
        <f>MID(Tabla1[[#This Row],[Aplicación]],14,6)</f>
        <v>216</v>
      </c>
    </row>
    <row r="2489" spans="1:24" x14ac:dyDescent="0.25">
      <c r="A2489" s="45">
        <v>220210032795</v>
      </c>
      <c r="B2489" s="46" t="s">
        <v>204</v>
      </c>
      <c r="C2489" s="47">
        <v>44371</v>
      </c>
      <c r="D2489" s="45">
        <v>22021002057</v>
      </c>
      <c r="E2489" s="46" t="s">
        <v>1715</v>
      </c>
      <c r="F2489" s="48">
        <v>2343.77</v>
      </c>
      <c r="G2489" s="54" t="s">
        <v>272</v>
      </c>
      <c r="H2489" s="54" t="s">
        <v>3998</v>
      </c>
      <c r="I2489" s="53" t="s">
        <v>205</v>
      </c>
      <c r="J2489" s="54" t="s">
        <v>127</v>
      </c>
      <c r="K2489" s="54" t="s">
        <v>127</v>
      </c>
      <c r="L2489" s="54" t="s">
        <v>15</v>
      </c>
      <c r="M2489" s="54" t="s">
        <v>13</v>
      </c>
      <c r="N2489" s="54" t="s">
        <v>14</v>
      </c>
      <c r="O2489" s="49" t="s">
        <v>814</v>
      </c>
      <c r="P2489" s="54" t="s">
        <v>3392</v>
      </c>
      <c r="Q2489" s="35" t="str">
        <f>MID(Tabla1[[#This Row],[Aplicación]],14,1)</f>
        <v>2</v>
      </c>
      <c r="R2489" s="35" t="s">
        <v>495</v>
      </c>
      <c r="S2489" s="35" t="str">
        <f>MID(Tabla1[[#This Row],[Aplicación]],6,2)</f>
        <v>11</v>
      </c>
      <c r="T2489" s="35" t="str">
        <f>VLOOKUP(Tabla1[[#This Row],[AREA]],Hoja1!A:B,2,FALSE)</f>
        <v>11. Salud pública y seguridad ciudadana</v>
      </c>
      <c r="U2489" s="35" t="str">
        <f>MID(Tabla1[[#This Row],[Aplicación]],9,4)</f>
        <v>1631</v>
      </c>
      <c r="V2489" s="35" t="str">
        <f>VLOOKUP(Tabla1[[#This Row],[PROGRAMA]],Hoja1!A:B,2,FALSE)</f>
        <v>1631. Limpieza viaria</v>
      </c>
      <c r="W2489" s="35" t="str">
        <f>MID(Tabla1[[#This Row],[Aplicación]],14,2)</f>
        <v>22</v>
      </c>
      <c r="X2489" s="35" t="str">
        <f>MID(Tabla1[[#This Row],[Aplicación]],14,6)</f>
        <v>22199</v>
      </c>
    </row>
    <row r="2490" spans="1:24" x14ac:dyDescent="0.25">
      <c r="A2490" s="45">
        <v>220210026056</v>
      </c>
      <c r="B2490" s="46" t="s">
        <v>9</v>
      </c>
      <c r="C2490" s="47">
        <v>44347</v>
      </c>
      <c r="D2490" s="45">
        <v>22021004576</v>
      </c>
      <c r="E2490" s="46" t="s">
        <v>3366</v>
      </c>
      <c r="F2490" s="48">
        <v>1066.01</v>
      </c>
      <c r="G2490" s="54" t="s">
        <v>214</v>
      </c>
      <c r="H2490" s="54" t="s">
        <v>3999</v>
      </c>
      <c r="I2490" s="53" t="s">
        <v>125</v>
      </c>
      <c r="J2490" s="54" t="s">
        <v>127</v>
      </c>
      <c r="K2490" s="54" t="s">
        <v>127</v>
      </c>
      <c r="L2490" s="54" t="s">
        <v>15</v>
      </c>
      <c r="M2490" s="54" t="s">
        <v>10</v>
      </c>
      <c r="N2490" s="54" t="s">
        <v>11</v>
      </c>
      <c r="O2490" s="49" t="s">
        <v>815</v>
      </c>
      <c r="P2490" s="54" t="s">
        <v>3392</v>
      </c>
      <c r="Q2490" s="35" t="str">
        <f>MID(Tabla1[[#This Row],[Aplicación]],14,1)</f>
        <v>2</v>
      </c>
      <c r="R2490" s="35" t="s">
        <v>495</v>
      </c>
      <c r="S2490" s="35" t="str">
        <f>MID(Tabla1[[#This Row],[Aplicación]],6,2)</f>
        <v>04</v>
      </c>
      <c r="T2490" s="35" t="str">
        <f>VLOOKUP(Tabla1[[#This Row],[AREA]],Hoja1!A:B,2,FALSE)</f>
        <v>04. Planificación y recursos</v>
      </c>
      <c r="U2490" s="35" t="str">
        <f>MID(Tabla1[[#This Row],[Aplicación]],9,4)</f>
        <v>3121</v>
      </c>
      <c r="V2490" s="35" t="str">
        <f>VLOOKUP(Tabla1[[#This Row],[PROGRAMA]],Hoja1!A:B,2,FALSE)</f>
        <v>3121. Prevención y salud laboral</v>
      </c>
      <c r="W2490" s="35" t="str">
        <f>MID(Tabla1[[#This Row],[Aplicación]],14,2)</f>
        <v>22</v>
      </c>
      <c r="X2490" s="35" t="str">
        <f>MID(Tabla1[[#This Row],[Aplicación]],14,6)</f>
        <v>22000</v>
      </c>
    </row>
    <row r="2491" spans="1:24" x14ac:dyDescent="0.25">
      <c r="A2491" s="45">
        <v>220210029812</v>
      </c>
      <c r="B2491" s="46" t="s">
        <v>9</v>
      </c>
      <c r="C2491" s="47">
        <v>44356</v>
      </c>
      <c r="D2491" s="45">
        <v>22021004719</v>
      </c>
      <c r="E2491" s="46" t="s">
        <v>1187</v>
      </c>
      <c r="F2491" s="48">
        <v>1064.8</v>
      </c>
      <c r="G2491" s="54" t="s">
        <v>4000</v>
      </c>
      <c r="H2491" s="54" t="s">
        <v>4001</v>
      </c>
      <c r="I2491" s="53" t="s">
        <v>125</v>
      </c>
      <c r="J2491" s="54" t="s">
        <v>4002</v>
      </c>
      <c r="K2491" s="54" t="s">
        <v>127</v>
      </c>
      <c r="L2491" s="54" t="s">
        <v>12</v>
      </c>
      <c r="M2491" s="54" t="s">
        <v>10</v>
      </c>
      <c r="N2491" s="54" t="s">
        <v>11</v>
      </c>
      <c r="O2491" s="49" t="s">
        <v>815</v>
      </c>
      <c r="P2491" s="54" t="s">
        <v>3392</v>
      </c>
      <c r="Q2491" s="35" t="str">
        <f>MID(Tabla1[[#This Row],[Aplicación]],14,1)</f>
        <v>2</v>
      </c>
      <c r="R2491" s="35" t="s">
        <v>495</v>
      </c>
      <c r="S2491" s="35" t="str">
        <f>MID(Tabla1[[#This Row],[Aplicación]],6,2)</f>
        <v>06</v>
      </c>
      <c r="T2491" s="35" t="str">
        <f>VLOOKUP(Tabla1[[#This Row],[AREA]],Hoja1!A:B,2,FALSE)</f>
        <v>06. Educación, infancia, juventud e igualdad</v>
      </c>
      <c r="U2491" s="35" t="str">
        <f>MID(Tabla1[[#This Row],[Aplicación]],9,4)</f>
        <v>2315</v>
      </c>
      <c r="V2491" s="35" t="str">
        <f>VLOOKUP(Tabla1[[#This Row],[PROGRAMA]],Hoja1!A:B,2,FALSE)</f>
        <v>2315. Políticas de Igualdad e infancia</v>
      </c>
      <c r="W2491" s="35" t="str">
        <f>MID(Tabla1[[#This Row],[Aplicación]],14,2)</f>
        <v>22</v>
      </c>
      <c r="X2491" s="35" t="str">
        <f>MID(Tabla1[[#This Row],[Aplicación]],14,6)</f>
        <v>22611</v>
      </c>
    </row>
    <row r="2492" spans="1:24" x14ac:dyDescent="0.25">
      <c r="A2492" s="45">
        <v>220210029811</v>
      </c>
      <c r="B2492" s="46" t="s">
        <v>9</v>
      </c>
      <c r="C2492" s="47">
        <v>44356</v>
      </c>
      <c r="D2492" s="45">
        <v>22021004666</v>
      </c>
      <c r="E2492" s="46" t="s">
        <v>1187</v>
      </c>
      <c r="F2492" s="48">
        <v>1064.8</v>
      </c>
      <c r="G2492" s="54" t="s">
        <v>4003</v>
      </c>
      <c r="H2492" s="54" t="s">
        <v>4004</v>
      </c>
      <c r="I2492" s="53" t="s">
        <v>125</v>
      </c>
      <c r="J2492" s="54" t="s">
        <v>127</v>
      </c>
      <c r="K2492" s="54" t="s">
        <v>127</v>
      </c>
      <c r="L2492" s="54" t="s">
        <v>12</v>
      </c>
      <c r="M2492" s="54" t="s">
        <v>10</v>
      </c>
      <c r="N2492" s="54" t="s">
        <v>11</v>
      </c>
      <c r="O2492" s="49" t="s">
        <v>815</v>
      </c>
      <c r="P2492" s="54" t="s">
        <v>3392</v>
      </c>
      <c r="Q2492" s="35" t="str">
        <f>MID(Tabla1[[#This Row],[Aplicación]],14,1)</f>
        <v>2</v>
      </c>
      <c r="R2492" s="35" t="s">
        <v>495</v>
      </c>
      <c r="S2492" s="35" t="str">
        <f>MID(Tabla1[[#This Row],[Aplicación]],6,2)</f>
        <v>06</v>
      </c>
      <c r="T2492" s="35" t="str">
        <f>VLOOKUP(Tabla1[[#This Row],[AREA]],Hoja1!A:B,2,FALSE)</f>
        <v>06. Educación, infancia, juventud e igualdad</v>
      </c>
      <c r="U2492" s="35" t="str">
        <f>MID(Tabla1[[#This Row],[Aplicación]],9,4)</f>
        <v>2315</v>
      </c>
      <c r="V2492" s="35" t="str">
        <f>VLOOKUP(Tabla1[[#This Row],[PROGRAMA]],Hoja1!A:B,2,FALSE)</f>
        <v>2315. Políticas de Igualdad e infancia</v>
      </c>
      <c r="W2492" s="35" t="str">
        <f>MID(Tabla1[[#This Row],[Aplicación]],14,2)</f>
        <v>22</v>
      </c>
      <c r="X2492" s="35" t="str">
        <f>MID(Tabla1[[#This Row],[Aplicación]],14,6)</f>
        <v>22611</v>
      </c>
    </row>
    <row r="2493" spans="1:24" x14ac:dyDescent="0.25">
      <c r="A2493" s="45">
        <v>220210025564</v>
      </c>
      <c r="B2493" s="46" t="s">
        <v>9</v>
      </c>
      <c r="C2493" s="47">
        <v>44342</v>
      </c>
      <c r="D2493" s="45">
        <v>22021004590</v>
      </c>
      <c r="E2493" s="46" t="s">
        <v>980</v>
      </c>
      <c r="F2493" s="48">
        <v>1060.44</v>
      </c>
      <c r="G2493" s="54" t="s">
        <v>4005</v>
      </c>
      <c r="H2493" s="54" t="s">
        <v>4006</v>
      </c>
      <c r="I2493" s="53" t="s">
        <v>125</v>
      </c>
      <c r="J2493" s="54" t="s">
        <v>3643</v>
      </c>
      <c r="K2493" s="54" t="s">
        <v>126</v>
      </c>
      <c r="L2493" s="54" t="s">
        <v>12</v>
      </c>
      <c r="M2493" s="54" t="s">
        <v>10</v>
      </c>
      <c r="N2493" s="54" t="s">
        <v>11</v>
      </c>
      <c r="O2493" s="49" t="s">
        <v>815</v>
      </c>
      <c r="P2493" s="54" t="s">
        <v>3392</v>
      </c>
      <c r="Q2493" s="35" t="str">
        <f>MID(Tabla1[[#This Row],[Aplicación]],14,1)</f>
        <v>2</v>
      </c>
      <c r="R2493" s="35" t="s">
        <v>495</v>
      </c>
      <c r="S2493" s="35" t="str">
        <f>MID(Tabla1[[#This Row],[Aplicación]],6,2)</f>
        <v>11</v>
      </c>
      <c r="T2493" s="35" t="str">
        <f>VLOOKUP(Tabla1[[#This Row],[AREA]],Hoja1!A:B,2,FALSE)</f>
        <v>11. Salud pública y seguridad ciudadana</v>
      </c>
      <c r="U2493" s="35" t="str">
        <f>MID(Tabla1[[#This Row],[Aplicación]],9,4)</f>
        <v>1361</v>
      </c>
      <c r="V2493" s="35" t="str">
        <f>VLOOKUP(Tabla1[[#This Row],[PROGRAMA]],Hoja1!A:B,2,FALSE)</f>
        <v>1361. Prevención y extinción de incencios</v>
      </c>
      <c r="W2493" s="35" t="str">
        <f>MID(Tabla1[[#This Row],[Aplicación]],14,2)</f>
        <v>21</v>
      </c>
      <c r="X2493" s="35" t="str">
        <f>MID(Tabla1[[#This Row],[Aplicación]],14,6)</f>
        <v>213</v>
      </c>
    </row>
    <row r="2494" spans="1:24" x14ac:dyDescent="0.25">
      <c r="A2494" s="45">
        <v>220210028162</v>
      </c>
      <c r="B2494" s="46" t="s">
        <v>9</v>
      </c>
      <c r="C2494" s="47">
        <v>44349</v>
      </c>
      <c r="D2494" s="45">
        <v>22021004591</v>
      </c>
      <c r="E2494" s="46" t="s">
        <v>3367</v>
      </c>
      <c r="F2494" s="48">
        <v>1056.33</v>
      </c>
      <c r="G2494" s="54" t="s">
        <v>4007</v>
      </c>
      <c r="H2494" s="54" t="s">
        <v>4008</v>
      </c>
      <c r="I2494" s="53" t="s">
        <v>125</v>
      </c>
      <c r="J2494" s="54" t="s">
        <v>162</v>
      </c>
      <c r="K2494" s="54" t="s">
        <v>162</v>
      </c>
      <c r="L2494" s="54" t="s">
        <v>12</v>
      </c>
      <c r="M2494" s="54" t="s">
        <v>10</v>
      </c>
      <c r="N2494" s="54" t="s">
        <v>14</v>
      </c>
      <c r="O2494" s="49" t="s">
        <v>815</v>
      </c>
      <c r="P2494" s="54" t="s">
        <v>3392</v>
      </c>
      <c r="Q2494" s="35" t="str">
        <f>MID(Tabla1[[#This Row],[Aplicación]],14,1)</f>
        <v>2</v>
      </c>
      <c r="R2494" s="35" t="s">
        <v>495</v>
      </c>
      <c r="S2494" s="35" t="str">
        <f>MID(Tabla1[[#This Row],[Aplicación]],6,2)</f>
        <v>10</v>
      </c>
      <c r="T2494" s="35" t="str">
        <f>VLOOKUP(Tabla1[[#This Row],[AREA]],Hoja1!A:B,2,FALSE)</f>
        <v>10. Servicios sociales y mediación comunitaria</v>
      </c>
      <c r="U2494" s="35" t="str">
        <f>MID(Tabla1[[#This Row],[Aplicación]],9,4)</f>
        <v>2412</v>
      </c>
      <c r="V2494" s="35" t="str">
        <f>VLOOKUP(Tabla1[[#This Row],[PROGRAMA]],Hoja1!A:B,2,FALSE)</f>
        <v>2412. Formación para el empleo</v>
      </c>
      <c r="W2494" s="35" t="str">
        <f>MID(Tabla1[[#This Row],[Aplicación]],14,2)</f>
        <v>22</v>
      </c>
      <c r="X2494" s="35" t="str">
        <f>MID(Tabla1[[#This Row],[Aplicación]],14,6)</f>
        <v>22706</v>
      </c>
    </row>
    <row r="2495" spans="1:24" x14ac:dyDescent="0.25">
      <c r="A2495" s="45">
        <v>220210029626</v>
      </c>
      <c r="B2495" s="46" t="s">
        <v>204</v>
      </c>
      <c r="C2495" s="47">
        <v>44355</v>
      </c>
      <c r="D2495" s="45">
        <v>22021002601</v>
      </c>
      <c r="E2495" s="46" t="s">
        <v>3362</v>
      </c>
      <c r="F2495" s="48">
        <v>2329.91</v>
      </c>
      <c r="G2495" s="54" t="s">
        <v>4009</v>
      </c>
      <c r="H2495" s="54" t="s">
        <v>4010</v>
      </c>
      <c r="I2495" s="53" t="s">
        <v>205</v>
      </c>
      <c r="J2495" s="54" t="s">
        <v>127</v>
      </c>
      <c r="K2495" s="54" t="s">
        <v>127</v>
      </c>
      <c r="L2495" s="54" t="s">
        <v>15</v>
      </c>
      <c r="M2495" s="54" t="s">
        <v>13</v>
      </c>
      <c r="N2495" s="54" t="s">
        <v>14</v>
      </c>
      <c r="O2495" s="49" t="s">
        <v>814</v>
      </c>
      <c r="P2495" s="54" t="s">
        <v>3392</v>
      </c>
      <c r="Q2495" s="35" t="str">
        <f>MID(Tabla1[[#This Row],[Aplicación]],14,1)</f>
        <v>6</v>
      </c>
      <c r="R2495" s="35" t="s">
        <v>496</v>
      </c>
      <c r="S2495" s="35" t="str">
        <f>MID(Tabla1[[#This Row],[Aplicación]],6,2)</f>
        <v>06</v>
      </c>
      <c r="T2495" s="35" t="str">
        <f>VLOOKUP(Tabla1[[#This Row],[AREA]],Hoja1!A:B,2,FALSE)</f>
        <v>06. Educación, infancia, juventud e igualdad</v>
      </c>
      <c r="U2495" s="35" t="str">
        <f>MID(Tabla1[[#This Row],[Aplicación]],9,4)</f>
        <v>3321</v>
      </c>
      <c r="V2495" s="35" t="str">
        <f>VLOOKUP(Tabla1[[#This Row],[PROGRAMA]],Hoja1!A:B,2,FALSE)</f>
        <v>3321. Bibliotecas públicas</v>
      </c>
      <c r="W2495" s="35" t="str">
        <f>MID(Tabla1[[#This Row],[Aplicación]],14,2)</f>
        <v>62</v>
      </c>
      <c r="X2495" s="35" t="str">
        <f>MID(Tabla1[[#This Row],[Aplicación]],14,6)</f>
        <v>629</v>
      </c>
    </row>
    <row r="2496" spans="1:24" x14ac:dyDescent="0.25">
      <c r="A2496" s="45">
        <v>220210014210</v>
      </c>
      <c r="B2496" s="46" t="s">
        <v>204</v>
      </c>
      <c r="C2496" s="47">
        <v>44293</v>
      </c>
      <c r="D2496" s="45">
        <v>22021002048</v>
      </c>
      <c r="E2496" s="46" t="s">
        <v>890</v>
      </c>
      <c r="F2496" s="48">
        <v>2327.56</v>
      </c>
      <c r="G2496" s="54" t="s">
        <v>269</v>
      </c>
      <c r="H2496" s="54" t="s">
        <v>894</v>
      </c>
      <c r="I2496" s="53" t="s">
        <v>205</v>
      </c>
      <c r="J2496" s="54" t="s">
        <v>127</v>
      </c>
      <c r="K2496" s="54" t="s">
        <v>127</v>
      </c>
      <c r="L2496" s="54" t="s">
        <v>15</v>
      </c>
      <c r="M2496" s="54" t="s">
        <v>13</v>
      </c>
      <c r="N2496" s="54" t="s">
        <v>14</v>
      </c>
      <c r="O2496" s="49" t="s">
        <v>814</v>
      </c>
      <c r="P2496" s="54" t="s">
        <v>3392</v>
      </c>
      <c r="Q2496" s="35" t="str">
        <f>MID(Tabla1[[#This Row],[Aplicación]],14,1)</f>
        <v>2</v>
      </c>
      <c r="R2496" s="35" t="s">
        <v>495</v>
      </c>
      <c r="S2496" s="35" t="str">
        <f>MID(Tabla1[[#This Row],[Aplicación]],6,2)</f>
        <v>11</v>
      </c>
      <c r="T2496" s="35" t="str">
        <f>VLOOKUP(Tabla1[[#This Row],[AREA]],Hoja1!A:B,2,FALSE)</f>
        <v>11. Salud pública y seguridad ciudadana</v>
      </c>
      <c r="U2496" s="35" t="str">
        <f>MID(Tabla1[[#This Row],[Aplicación]],9,4)</f>
        <v>1621</v>
      </c>
      <c r="V2496" s="35" t="str">
        <f>VLOOKUP(Tabla1[[#This Row],[PROGRAMA]],Hoja1!A:B,2,FALSE)</f>
        <v>1621. Servicio de limpieza</v>
      </c>
      <c r="W2496" s="35" t="str">
        <f>MID(Tabla1[[#This Row],[Aplicación]],14,2)</f>
        <v>21</v>
      </c>
      <c r="X2496" s="35" t="str">
        <f>MID(Tabla1[[#This Row],[Aplicación]],14,6)</f>
        <v>214</v>
      </c>
    </row>
    <row r="2497" spans="1:24" x14ac:dyDescent="0.25">
      <c r="A2497" s="45">
        <v>220210028160</v>
      </c>
      <c r="B2497" s="46" t="s">
        <v>9</v>
      </c>
      <c r="C2497" s="47">
        <v>44349</v>
      </c>
      <c r="D2497" s="45">
        <v>22021004618</v>
      </c>
      <c r="E2497" s="46" t="s">
        <v>1700</v>
      </c>
      <c r="F2497" s="48">
        <v>1049.99</v>
      </c>
      <c r="G2497" s="54" t="s">
        <v>4011</v>
      </c>
      <c r="H2497" s="54" t="s">
        <v>4012</v>
      </c>
      <c r="I2497" s="53" t="s">
        <v>125</v>
      </c>
      <c r="J2497" s="54" t="s">
        <v>127</v>
      </c>
      <c r="K2497" s="54" t="s">
        <v>127</v>
      </c>
      <c r="L2497" s="54" t="s">
        <v>15</v>
      </c>
      <c r="M2497" s="54" t="s">
        <v>10</v>
      </c>
      <c r="N2497" s="54" t="s">
        <v>11</v>
      </c>
      <c r="O2497" s="49" t="s">
        <v>815</v>
      </c>
      <c r="P2497" s="54" t="s">
        <v>3392</v>
      </c>
      <c r="Q2497" s="35" t="str">
        <f>MID(Tabla1[[#This Row],[Aplicación]],14,1)</f>
        <v>2</v>
      </c>
      <c r="R2497" s="35" t="s">
        <v>495</v>
      </c>
      <c r="S2497" s="35" t="str">
        <f>MID(Tabla1[[#This Row],[Aplicación]],6,2)</f>
        <v>07</v>
      </c>
      <c r="T2497" s="35" t="str">
        <f>VLOOKUP(Tabla1[[#This Row],[AREA]],Hoja1!A:B,2,FALSE)</f>
        <v>07. Medio ambiente y desarrollo sostenible</v>
      </c>
      <c r="U2497" s="35" t="str">
        <f>MID(Tabla1[[#This Row],[Aplicación]],9,4)</f>
        <v>1721</v>
      </c>
      <c r="V2497" s="35" t="str">
        <f>VLOOKUP(Tabla1[[#This Row],[PROGRAMA]],Hoja1!A:B,2,FALSE)</f>
        <v>1721. Protección del medio ambiente</v>
      </c>
      <c r="W2497" s="35" t="str">
        <f>MID(Tabla1[[#This Row],[Aplicación]],14,2)</f>
        <v>22</v>
      </c>
      <c r="X2497" s="35" t="str">
        <f>MID(Tabla1[[#This Row],[Aplicación]],14,6)</f>
        <v>22112</v>
      </c>
    </row>
    <row r="2498" spans="1:24" x14ac:dyDescent="0.25">
      <c r="A2498" s="45">
        <v>220210014376</v>
      </c>
      <c r="B2498" s="46" t="s">
        <v>9</v>
      </c>
      <c r="C2498" s="47">
        <v>44295</v>
      </c>
      <c r="D2498" s="45">
        <v>22021003712</v>
      </c>
      <c r="E2498" s="46" t="s">
        <v>2103</v>
      </c>
      <c r="F2498" s="48">
        <v>1045.44</v>
      </c>
      <c r="G2498" s="54" t="s">
        <v>58</v>
      </c>
      <c r="H2498" s="54" t="s">
        <v>4013</v>
      </c>
      <c r="I2498" s="53" t="s">
        <v>125</v>
      </c>
      <c r="J2498" s="54" t="s">
        <v>127</v>
      </c>
      <c r="K2498" s="54" t="s">
        <v>127</v>
      </c>
      <c r="L2498" s="54" t="s">
        <v>12</v>
      </c>
      <c r="M2498" s="54" t="s">
        <v>10</v>
      </c>
      <c r="N2498" s="54" t="s">
        <v>11</v>
      </c>
      <c r="O2498" s="49" t="s">
        <v>815</v>
      </c>
      <c r="P2498" s="54" t="s">
        <v>3392</v>
      </c>
      <c r="Q2498" s="35" t="str">
        <f>MID(Tabla1[[#This Row],[Aplicación]],14,1)</f>
        <v>2</v>
      </c>
      <c r="R2498" s="35" t="s">
        <v>495</v>
      </c>
      <c r="S2498" s="35" t="str">
        <f>MID(Tabla1[[#This Row],[Aplicación]],6,2)</f>
        <v>07</v>
      </c>
      <c r="T2498" s="35" t="str">
        <f>VLOOKUP(Tabla1[[#This Row],[AREA]],Hoja1!A:B,2,FALSE)</f>
        <v>07. Medio ambiente y desarrollo sostenible</v>
      </c>
      <c r="U2498" s="35" t="str">
        <f>MID(Tabla1[[#This Row],[Aplicación]],9,4)</f>
        <v>1711</v>
      </c>
      <c r="V2498" s="35" t="str">
        <f>VLOOKUP(Tabla1[[#This Row],[PROGRAMA]],Hoja1!A:B,2,FALSE)</f>
        <v>1711. Parques y jardines</v>
      </c>
      <c r="W2498" s="35" t="str">
        <f>MID(Tabla1[[#This Row],[Aplicación]],14,2)</f>
        <v>22</v>
      </c>
      <c r="X2498" s="35" t="str">
        <f>MID(Tabla1[[#This Row],[Aplicación]],14,6)</f>
        <v>22700</v>
      </c>
    </row>
    <row r="2499" spans="1:24" x14ac:dyDescent="0.25">
      <c r="A2499" s="45">
        <v>220210015508</v>
      </c>
      <c r="B2499" s="46" t="s">
        <v>9</v>
      </c>
      <c r="C2499" s="47">
        <v>44300</v>
      </c>
      <c r="D2499" s="45">
        <v>22021003859</v>
      </c>
      <c r="E2499" s="46" t="s">
        <v>3368</v>
      </c>
      <c r="F2499" s="48">
        <v>1040.5999999999999</v>
      </c>
      <c r="G2499" s="54" t="s">
        <v>553</v>
      </c>
      <c r="H2499" s="54" t="s">
        <v>4014</v>
      </c>
      <c r="I2499" s="53" t="s">
        <v>125</v>
      </c>
      <c r="J2499" s="54" t="s">
        <v>127</v>
      </c>
      <c r="K2499" s="54" t="s">
        <v>127</v>
      </c>
      <c r="L2499" s="54" t="s">
        <v>12</v>
      </c>
      <c r="M2499" s="54" t="s">
        <v>10</v>
      </c>
      <c r="N2499" s="54" t="s">
        <v>11</v>
      </c>
      <c r="O2499" s="49" t="s">
        <v>815</v>
      </c>
      <c r="P2499" s="54" t="s">
        <v>3392</v>
      </c>
      <c r="Q2499" s="35" t="str">
        <f>MID(Tabla1[[#This Row],[Aplicación]],14,1)</f>
        <v>2</v>
      </c>
      <c r="R2499" s="35" t="s">
        <v>495</v>
      </c>
      <c r="S2499" s="35" t="str">
        <f>MID(Tabla1[[#This Row],[Aplicación]],6,2)</f>
        <v>01</v>
      </c>
      <c r="T2499" s="35" t="str">
        <f>VLOOKUP(Tabla1[[#This Row],[AREA]],Hoja1!A:B,2,FALSE)</f>
        <v>01. Alcaldía</v>
      </c>
      <c r="U2499" s="35" t="str">
        <f>MID(Tabla1[[#This Row],[Aplicación]],9,4)</f>
        <v>9207</v>
      </c>
      <c r="V2499" s="35" t="str">
        <f>VLOOKUP(Tabla1[[#This Row],[PROGRAMA]],Hoja1!A:B,2,FALSE)</f>
        <v>9207. Gobierno y relaciones</v>
      </c>
      <c r="W2499" s="35" t="str">
        <f>MID(Tabla1[[#This Row],[Aplicación]],14,2)</f>
        <v>22</v>
      </c>
      <c r="X2499" s="35" t="str">
        <f>MID(Tabla1[[#This Row],[Aplicación]],14,6)</f>
        <v>22699</v>
      </c>
    </row>
    <row r="2500" spans="1:24" x14ac:dyDescent="0.25">
      <c r="A2500" s="45">
        <v>220210031229</v>
      </c>
      <c r="B2500" s="46" t="s">
        <v>9</v>
      </c>
      <c r="C2500" s="47">
        <v>44363</v>
      </c>
      <c r="D2500" s="45">
        <v>22021004923</v>
      </c>
      <c r="E2500" s="46" t="s">
        <v>1491</v>
      </c>
      <c r="F2500" s="48">
        <v>1037.3</v>
      </c>
      <c r="G2500" s="54" t="s">
        <v>569</v>
      </c>
      <c r="H2500" s="54" t="s">
        <v>4015</v>
      </c>
      <c r="I2500" s="53" t="s">
        <v>125</v>
      </c>
      <c r="J2500" s="54" t="s">
        <v>681</v>
      </c>
      <c r="K2500" s="54" t="s">
        <v>145</v>
      </c>
      <c r="L2500" s="54" t="s">
        <v>15</v>
      </c>
      <c r="M2500" s="54" t="s">
        <v>10</v>
      </c>
      <c r="N2500" s="54" t="s">
        <v>11</v>
      </c>
      <c r="O2500" s="49" t="s">
        <v>815</v>
      </c>
      <c r="P2500" s="54" t="s">
        <v>3392</v>
      </c>
      <c r="Q2500" s="35" t="str">
        <f>MID(Tabla1[[#This Row],[Aplicación]],14,1)</f>
        <v>2</v>
      </c>
      <c r="R2500" s="35" t="s">
        <v>495</v>
      </c>
      <c r="S2500" s="35" t="str">
        <f>MID(Tabla1[[#This Row],[Aplicación]],6,2)</f>
        <v>11</v>
      </c>
      <c r="T2500" s="35" t="str">
        <f>VLOOKUP(Tabla1[[#This Row],[AREA]],Hoja1!A:B,2,FALSE)</f>
        <v>11. Salud pública y seguridad ciudadana</v>
      </c>
      <c r="U2500" s="35" t="str">
        <f>MID(Tabla1[[#This Row],[Aplicación]],9,4)</f>
        <v>1621</v>
      </c>
      <c r="V2500" s="35" t="str">
        <f>VLOOKUP(Tabla1[[#This Row],[PROGRAMA]],Hoja1!A:B,2,FALSE)</f>
        <v>1621. Servicio de limpieza</v>
      </c>
      <c r="W2500" s="35" t="str">
        <f>MID(Tabla1[[#This Row],[Aplicación]],14,2)</f>
        <v>21</v>
      </c>
      <c r="X2500" s="35" t="str">
        <f>MID(Tabla1[[#This Row],[Aplicación]],14,6)</f>
        <v>219</v>
      </c>
    </row>
    <row r="2501" spans="1:24" x14ac:dyDescent="0.25">
      <c r="A2501" s="45">
        <v>220210027677</v>
      </c>
      <c r="B2501" s="46" t="s">
        <v>204</v>
      </c>
      <c r="C2501" s="47">
        <v>44348</v>
      </c>
      <c r="D2501" s="45">
        <v>22021002048</v>
      </c>
      <c r="E2501" s="46" t="s">
        <v>890</v>
      </c>
      <c r="F2501" s="48">
        <v>2217.02</v>
      </c>
      <c r="G2501" s="54" t="s">
        <v>271</v>
      </c>
      <c r="H2501" s="54" t="s">
        <v>4016</v>
      </c>
      <c r="I2501" s="53" t="s">
        <v>205</v>
      </c>
      <c r="J2501" s="54" t="s">
        <v>127</v>
      </c>
      <c r="K2501" s="54" t="s">
        <v>127</v>
      </c>
      <c r="L2501" s="54" t="s">
        <v>15</v>
      </c>
      <c r="M2501" s="54" t="s">
        <v>13</v>
      </c>
      <c r="N2501" s="54" t="s">
        <v>14</v>
      </c>
      <c r="O2501" s="49" t="s">
        <v>814</v>
      </c>
      <c r="P2501" s="54" t="s">
        <v>3392</v>
      </c>
      <c r="Q2501" s="35" t="str">
        <f>MID(Tabla1[[#This Row],[Aplicación]],14,1)</f>
        <v>2</v>
      </c>
      <c r="R2501" s="35" t="s">
        <v>495</v>
      </c>
      <c r="S2501" s="35" t="str">
        <f>MID(Tabla1[[#This Row],[Aplicación]],6,2)</f>
        <v>11</v>
      </c>
      <c r="T2501" s="35" t="str">
        <f>VLOOKUP(Tabla1[[#This Row],[AREA]],Hoja1!A:B,2,FALSE)</f>
        <v>11. Salud pública y seguridad ciudadana</v>
      </c>
      <c r="U2501" s="35" t="str">
        <f>MID(Tabla1[[#This Row],[Aplicación]],9,4)</f>
        <v>1621</v>
      </c>
      <c r="V2501" s="35" t="str">
        <f>VLOOKUP(Tabla1[[#This Row],[PROGRAMA]],Hoja1!A:B,2,FALSE)</f>
        <v>1621. Servicio de limpieza</v>
      </c>
      <c r="W2501" s="35" t="str">
        <f>MID(Tabla1[[#This Row],[Aplicación]],14,2)</f>
        <v>21</v>
      </c>
      <c r="X2501" s="35" t="str">
        <f>MID(Tabla1[[#This Row],[Aplicación]],14,6)</f>
        <v>214</v>
      </c>
    </row>
    <row r="2502" spans="1:24" x14ac:dyDescent="0.25">
      <c r="A2502" s="45">
        <v>220210028413</v>
      </c>
      <c r="B2502" s="46" t="s">
        <v>204</v>
      </c>
      <c r="C2502" s="47">
        <v>44350</v>
      </c>
      <c r="D2502" s="45">
        <v>22021002048</v>
      </c>
      <c r="E2502" s="46" t="s">
        <v>890</v>
      </c>
      <c r="F2502" s="48">
        <v>2138.7399999999998</v>
      </c>
      <c r="G2502" s="54" t="s">
        <v>269</v>
      </c>
      <c r="H2502" s="54" t="s">
        <v>4017</v>
      </c>
      <c r="I2502" s="53" t="s">
        <v>205</v>
      </c>
      <c r="J2502" s="54" t="s">
        <v>127</v>
      </c>
      <c r="K2502" s="54" t="s">
        <v>127</v>
      </c>
      <c r="L2502" s="54" t="s">
        <v>15</v>
      </c>
      <c r="M2502" s="54" t="s">
        <v>13</v>
      </c>
      <c r="N2502" s="54" t="s">
        <v>14</v>
      </c>
      <c r="O2502" s="49" t="s">
        <v>814</v>
      </c>
      <c r="P2502" s="54" t="s">
        <v>3392</v>
      </c>
      <c r="Q2502" s="35" t="str">
        <f>MID(Tabla1[[#This Row],[Aplicación]],14,1)</f>
        <v>2</v>
      </c>
      <c r="R2502" s="35" t="s">
        <v>495</v>
      </c>
      <c r="S2502" s="35" t="str">
        <f>MID(Tabla1[[#This Row],[Aplicación]],6,2)</f>
        <v>11</v>
      </c>
      <c r="T2502" s="35" t="str">
        <f>VLOOKUP(Tabla1[[#This Row],[AREA]],Hoja1!A:B,2,FALSE)</f>
        <v>11. Salud pública y seguridad ciudadana</v>
      </c>
      <c r="U2502" s="35" t="str">
        <f>MID(Tabla1[[#This Row],[Aplicación]],9,4)</f>
        <v>1621</v>
      </c>
      <c r="V2502" s="35" t="str">
        <f>VLOOKUP(Tabla1[[#This Row],[PROGRAMA]],Hoja1!A:B,2,FALSE)</f>
        <v>1621. Servicio de limpieza</v>
      </c>
      <c r="W2502" s="35" t="str">
        <f>MID(Tabla1[[#This Row],[Aplicación]],14,2)</f>
        <v>21</v>
      </c>
      <c r="X2502" s="35" t="str">
        <f>MID(Tabla1[[#This Row],[Aplicación]],14,6)</f>
        <v>214</v>
      </c>
    </row>
    <row r="2503" spans="1:24" x14ac:dyDescent="0.25">
      <c r="A2503" s="45">
        <v>220210016530</v>
      </c>
      <c r="B2503" s="46" t="s">
        <v>204</v>
      </c>
      <c r="C2503" s="47">
        <v>44306</v>
      </c>
      <c r="D2503" s="45">
        <v>22021002059</v>
      </c>
      <c r="E2503" s="46" t="s">
        <v>1183</v>
      </c>
      <c r="F2503" s="48">
        <v>6.49</v>
      </c>
      <c r="G2503" s="54" t="s">
        <v>238</v>
      </c>
      <c r="H2503" s="54" t="s">
        <v>4018</v>
      </c>
      <c r="I2503" s="53" t="s">
        <v>205</v>
      </c>
      <c r="J2503" s="54" t="s">
        <v>127</v>
      </c>
      <c r="K2503" s="54" t="s">
        <v>127</v>
      </c>
      <c r="L2503" s="54" t="s">
        <v>15</v>
      </c>
      <c r="M2503" s="54" t="s">
        <v>13</v>
      </c>
      <c r="N2503" s="54" t="s">
        <v>14</v>
      </c>
      <c r="O2503" s="49" t="s">
        <v>814</v>
      </c>
      <c r="P2503" s="54" t="s">
        <v>3392</v>
      </c>
      <c r="Q2503" s="35" t="str">
        <f>MID(Tabla1[[#This Row],[Aplicación]],14,1)</f>
        <v>2</v>
      </c>
      <c r="R2503" s="35" t="s">
        <v>495</v>
      </c>
      <c r="S2503" s="35" t="str">
        <f>MID(Tabla1[[#This Row],[Aplicación]],6,2)</f>
        <v>11</v>
      </c>
      <c r="T2503" s="35" t="str">
        <f>VLOOKUP(Tabla1[[#This Row],[AREA]],Hoja1!A:B,2,FALSE)</f>
        <v>11. Salud pública y seguridad ciudadana</v>
      </c>
      <c r="U2503" s="35" t="str">
        <f>MID(Tabla1[[#This Row],[Aplicación]],9,4)</f>
        <v>1361</v>
      </c>
      <c r="V2503" s="35" t="str">
        <f>VLOOKUP(Tabla1[[#This Row],[PROGRAMA]],Hoja1!A:B,2,FALSE)</f>
        <v>1361. Prevención y extinción de incencios</v>
      </c>
      <c r="W2503" s="35" t="str">
        <f>MID(Tabla1[[#This Row],[Aplicación]],14,2)</f>
        <v>22</v>
      </c>
      <c r="X2503" s="35" t="str">
        <f>MID(Tabla1[[#This Row],[Aplicación]],14,6)</f>
        <v>22199</v>
      </c>
    </row>
    <row r="2504" spans="1:24" x14ac:dyDescent="0.25">
      <c r="A2504" s="45">
        <v>220210026152</v>
      </c>
      <c r="B2504" s="46" t="s">
        <v>9</v>
      </c>
      <c r="C2504" s="47">
        <v>44347</v>
      </c>
      <c r="D2504" s="45">
        <v>22021004580</v>
      </c>
      <c r="E2504" s="46" t="s">
        <v>2543</v>
      </c>
      <c r="F2504" s="48">
        <v>1013.04</v>
      </c>
      <c r="G2504" s="54" t="s">
        <v>268</v>
      </c>
      <c r="H2504" s="54" t="s">
        <v>4019</v>
      </c>
      <c r="I2504" s="53" t="s">
        <v>125</v>
      </c>
      <c r="J2504" s="54" t="s">
        <v>127</v>
      </c>
      <c r="K2504" s="54" t="s">
        <v>127</v>
      </c>
      <c r="L2504" s="54" t="s">
        <v>15</v>
      </c>
      <c r="M2504" s="54" t="s">
        <v>10</v>
      </c>
      <c r="N2504" s="54" t="s">
        <v>11</v>
      </c>
      <c r="O2504" s="49" t="s">
        <v>815</v>
      </c>
      <c r="P2504" s="54" t="s">
        <v>3392</v>
      </c>
      <c r="Q2504" s="35" t="str">
        <f>MID(Tabla1[[#This Row],[Aplicación]],14,1)</f>
        <v>2</v>
      </c>
      <c r="R2504" s="35" t="s">
        <v>495</v>
      </c>
      <c r="S2504" s="35" t="str">
        <f>MID(Tabla1[[#This Row],[Aplicación]],6,2)</f>
        <v>03</v>
      </c>
      <c r="T2504" s="35" t="str">
        <f>VLOOKUP(Tabla1[[#This Row],[AREA]],Hoja1!A:B,2,FALSE)</f>
        <v>03. Participación ciudadana y deportes</v>
      </c>
      <c r="U2504" s="35" t="str">
        <f>MID(Tabla1[[#This Row],[Aplicación]],9,4)</f>
        <v>9241</v>
      </c>
      <c r="V2504" s="35" t="str">
        <f>VLOOKUP(Tabla1[[#This Row],[PROGRAMA]],Hoja1!A:B,2,FALSE)</f>
        <v>9241. Participación ciudadana</v>
      </c>
      <c r="W2504" s="35" t="str">
        <f>MID(Tabla1[[#This Row],[Aplicación]],14,2)</f>
        <v>22</v>
      </c>
      <c r="X2504" s="35" t="str">
        <f>MID(Tabla1[[#This Row],[Aplicación]],14,6)</f>
        <v>22110</v>
      </c>
    </row>
    <row r="2505" spans="1:24" x14ac:dyDescent="0.25">
      <c r="A2505" s="45">
        <v>220210015652</v>
      </c>
      <c r="B2505" s="46" t="s">
        <v>204</v>
      </c>
      <c r="C2505" s="47">
        <v>44302</v>
      </c>
      <c r="D2505" s="45">
        <v>22021002228</v>
      </c>
      <c r="E2505" s="46" t="s">
        <v>1471</v>
      </c>
      <c r="F2505" s="48">
        <v>2079.39</v>
      </c>
      <c r="G2505" s="54" t="s">
        <v>235</v>
      </c>
      <c r="H2505" s="54" t="s">
        <v>2392</v>
      </c>
      <c r="I2505" s="53" t="s">
        <v>205</v>
      </c>
      <c r="J2505" s="54" t="s">
        <v>742</v>
      </c>
      <c r="K2505" s="54" t="s">
        <v>165</v>
      </c>
      <c r="L2505" s="54" t="s">
        <v>15</v>
      </c>
      <c r="M2505" s="54" t="s">
        <v>13</v>
      </c>
      <c r="N2505" s="54" t="s">
        <v>14</v>
      </c>
      <c r="O2505" s="49" t="s">
        <v>814</v>
      </c>
      <c r="P2505" s="54" t="s">
        <v>3392</v>
      </c>
      <c r="Q2505" s="35" t="str">
        <f>MID(Tabla1[[#This Row],[Aplicación]],14,1)</f>
        <v>2</v>
      </c>
      <c r="R2505" s="35" t="s">
        <v>495</v>
      </c>
      <c r="S2505" s="35" t="str">
        <f>MID(Tabla1[[#This Row],[Aplicación]],6,2)</f>
        <v>06</v>
      </c>
      <c r="T2505" s="35" t="str">
        <f>VLOOKUP(Tabla1[[#This Row],[AREA]],Hoja1!A:B,2,FALSE)</f>
        <v>06. Educación, infancia, juventud e igualdad</v>
      </c>
      <c r="U2505" s="35" t="str">
        <f>MID(Tabla1[[#This Row],[Aplicación]],9,4)</f>
        <v>3232</v>
      </c>
      <c r="V2505" s="35" t="str">
        <f>VLOOKUP(Tabla1[[#This Row],[PROGRAMA]],Hoja1!A:B,2,FALSE)</f>
        <v>3232. Conservación y mantenimiento centros educación infantil y primaria</v>
      </c>
      <c r="W2505" s="35" t="str">
        <f>MID(Tabla1[[#This Row],[Aplicación]],14,2)</f>
        <v>21</v>
      </c>
      <c r="X2505" s="35" t="str">
        <f>MID(Tabla1[[#This Row],[Aplicación]],14,6)</f>
        <v>212</v>
      </c>
    </row>
    <row r="2506" spans="1:24" x14ac:dyDescent="0.25">
      <c r="A2506" s="45">
        <v>220210028821</v>
      </c>
      <c r="B2506" s="46" t="s">
        <v>9</v>
      </c>
      <c r="C2506" s="47">
        <v>44351</v>
      </c>
      <c r="D2506" s="45">
        <v>22021004738</v>
      </c>
      <c r="E2506" s="46" t="s">
        <v>1483</v>
      </c>
      <c r="F2506" s="48">
        <v>5336.1</v>
      </c>
      <c r="G2506" s="54" t="s">
        <v>121</v>
      </c>
      <c r="H2506" s="54" t="s">
        <v>4020</v>
      </c>
      <c r="I2506" s="53" t="s">
        <v>125</v>
      </c>
      <c r="J2506" s="54" t="s">
        <v>664</v>
      </c>
      <c r="K2506" s="54" t="s">
        <v>127</v>
      </c>
      <c r="L2506" s="54" t="s">
        <v>12</v>
      </c>
      <c r="M2506" s="54" t="s">
        <v>10</v>
      </c>
      <c r="N2506" s="54" t="s">
        <v>11</v>
      </c>
      <c r="O2506" s="49" t="s">
        <v>815</v>
      </c>
      <c r="P2506" s="54" t="s">
        <v>3392</v>
      </c>
      <c r="Q2506" s="35" t="str">
        <f>MID(Tabla1[[#This Row],[Aplicación]],14,1)</f>
        <v>6</v>
      </c>
      <c r="R2506" s="35" t="s">
        <v>496</v>
      </c>
      <c r="S2506" s="35" t="str">
        <f>MID(Tabla1[[#This Row],[Aplicación]],6,2)</f>
        <v>03</v>
      </c>
      <c r="T2506" s="35" t="str">
        <f>VLOOKUP(Tabla1[[#This Row],[AREA]],Hoja1!A:B,2,FALSE)</f>
        <v>03. Participación ciudadana y deportes</v>
      </c>
      <c r="U2506" s="35" t="str">
        <f>MID(Tabla1[[#This Row],[Aplicación]],9,4)</f>
        <v>9241</v>
      </c>
      <c r="V2506" s="35" t="str">
        <f>VLOOKUP(Tabla1[[#This Row],[PROGRAMA]],Hoja1!A:B,2,FALSE)</f>
        <v>9241. Participación ciudadana</v>
      </c>
      <c r="W2506" s="35" t="str">
        <f>MID(Tabla1[[#This Row],[Aplicación]],14,2)</f>
        <v>63</v>
      </c>
      <c r="X2506" s="35" t="str">
        <f>MID(Tabla1[[#This Row],[Aplicación]],14,6)</f>
        <v>632</v>
      </c>
    </row>
    <row r="2507" spans="1:24" x14ac:dyDescent="0.25">
      <c r="A2507" s="45">
        <v>220210021828</v>
      </c>
      <c r="B2507" s="46" t="s">
        <v>9</v>
      </c>
      <c r="C2507" s="47">
        <v>44327</v>
      </c>
      <c r="D2507" s="45">
        <v>22021004325</v>
      </c>
      <c r="E2507" s="46" t="s">
        <v>1401</v>
      </c>
      <c r="F2507" s="48">
        <v>1006.73</v>
      </c>
      <c r="G2507" s="54" t="s">
        <v>254</v>
      </c>
      <c r="H2507" s="54" t="s">
        <v>4021</v>
      </c>
      <c r="I2507" s="53" t="s">
        <v>125</v>
      </c>
      <c r="J2507" s="54" t="s">
        <v>127</v>
      </c>
      <c r="K2507" s="54" t="s">
        <v>127</v>
      </c>
      <c r="L2507" s="54" t="s">
        <v>15</v>
      </c>
      <c r="M2507" s="54" t="s">
        <v>10</v>
      </c>
      <c r="N2507" s="54" t="s">
        <v>11</v>
      </c>
      <c r="O2507" s="49" t="s">
        <v>815</v>
      </c>
      <c r="P2507" s="54" t="s">
        <v>3392</v>
      </c>
      <c r="Q2507" s="35" t="str">
        <f>MID(Tabla1[[#This Row],[Aplicación]],14,1)</f>
        <v>2</v>
      </c>
      <c r="R2507" s="35" t="s">
        <v>495</v>
      </c>
      <c r="S2507" s="35" t="str">
        <f>MID(Tabla1[[#This Row],[Aplicación]],6,2)</f>
        <v>10</v>
      </c>
      <c r="T2507" s="35" t="str">
        <f>VLOOKUP(Tabla1[[#This Row],[AREA]],Hoja1!A:B,2,FALSE)</f>
        <v>10. Servicios sociales y mediación comunitaria</v>
      </c>
      <c r="U2507" s="35" t="str">
        <f>MID(Tabla1[[#This Row],[Aplicación]],9,4)</f>
        <v>2312</v>
      </c>
      <c r="V2507" s="35" t="str">
        <f>VLOOKUP(Tabla1[[#This Row],[PROGRAMA]],Hoja1!A:B,2,FALSE)</f>
        <v>2312. Iniciativas sociales</v>
      </c>
      <c r="W2507" s="35" t="str">
        <f>MID(Tabla1[[#This Row],[Aplicación]],14,2)</f>
        <v>22</v>
      </c>
      <c r="X2507" s="35" t="str">
        <f>MID(Tabla1[[#This Row],[Aplicación]],14,6)</f>
        <v>22699</v>
      </c>
    </row>
    <row r="2508" spans="1:24" x14ac:dyDescent="0.25">
      <c r="A2508" s="45">
        <v>220210021828</v>
      </c>
      <c r="B2508" s="46" t="s">
        <v>9</v>
      </c>
      <c r="C2508" s="47">
        <v>44327</v>
      </c>
      <c r="D2508" s="45">
        <v>22021004326</v>
      </c>
      <c r="E2508" s="46" t="s">
        <v>1401</v>
      </c>
      <c r="F2508" s="48">
        <v>1006.72</v>
      </c>
      <c r="G2508" s="54" t="s">
        <v>254</v>
      </c>
      <c r="H2508" s="54" t="s">
        <v>4021</v>
      </c>
      <c r="I2508" s="53" t="s">
        <v>125</v>
      </c>
      <c r="J2508" s="54" t="s">
        <v>127</v>
      </c>
      <c r="K2508" s="54" t="s">
        <v>127</v>
      </c>
      <c r="L2508" s="54" t="s">
        <v>15</v>
      </c>
      <c r="M2508" s="54" t="s">
        <v>10</v>
      </c>
      <c r="N2508" s="54" t="s">
        <v>11</v>
      </c>
      <c r="O2508" s="49" t="s">
        <v>815</v>
      </c>
      <c r="P2508" s="54" t="s">
        <v>3392</v>
      </c>
      <c r="Q2508" s="35" t="str">
        <f>MID(Tabla1[[#This Row],[Aplicación]],14,1)</f>
        <v>2</v>
      </c>
      <c r="R2508" s="35" t="s">
        <v>495</v>
      </c>
      <c r="S2508" s="35" t="str">
        <f>MID(Tabla1[[#This Row],[Aplicación]],6,2)</f>
        <v>10</v>
      </c>
      <c r="T2508" s="35" t="str">
        <f>VLOOKUP(Tabla1[[#This Row],[AREA]],Hoja1!A:B,2,FALSE)</f>
        <v>10. Servicios sociales y mediación comunitaria</v>
      </c>
      <c r="U2508" s="35" t="str">
        <f>MID(Tabla1[[#This Row],[Aplicación]],9,4)</f>
        <v>2312</v>
      </c>
      <c r="V2508" s="35" t="str">
        <f>VLOOKUP(Tabla1[[#This Row],[PROGRAMA]],Hoja1!A:B,2,FALSE)</f>
        <v>2312. Iniciativas sociales</v>
      </c>
      <c r="W2508" s="35" t="str">
        <f>MID(Tabla1[[#This Row],[Aplicación]],14,2)</f>
        <v>22</v>
      </c>
      <c r="X2508" s="35" t="str">
        <f>MID(Tabla1[[#This Row],[Aplicación]],14,6)</f>
        <v>22699</v>
      </c>
    </row>
    <row r="2509" spans="1:24" x14ac:dyDescent="0.25">
      <c r="A2509" s="45">
        <v>220210025663</v>
      </c>
      <c r="B2509" s="46" t="s">
        <v>204</v>
      </c>
      <c r="C2509" s="47">
        <v>44343</v>
      </c>
      <c r="D2509" s="45">
        <v>22021003381</v>
      </c>
      <c r="E2509" s="46" t="s">
        <v>1183</v>
      </c>
      <c r="F2509" s="48">
        <v>287.20999999999998</v>
      </c>
      <c r="G2509" s="54" t="s">
        <v>238</v>
      </c>
      <c r="H2509" s="54" t="s">
        <v>4022</v>
      </c>
      <c r="I2509" s="53" t="s">
        <v>205</v>
      </c>
      <c r="J2509" s="54" t="s">
        <v>127</v>
      </c>
      <c r="K2509" s="54" t="s">
        <v>127</v>
      </c>
      <c r="L2509" s="54" t="s">
        <v>15</v>
      </c>
      <c r="M2509" s="54" t="s">
        <v>13</v>
      </c>
      <c r="N2509" s="54" t="s">
        <v>14</v>
      </c>
      <c r="O2509" s="49" t="s">
        <v>814</v>
      </c>
      <c r="P2509" s="54" t="s">
        <v>3392</v>
      </c>
      <c r="Q2509" s="35" t="str">
        <f>MID(Tabla1[[#This Row],[Aplicación]],14,1)</f>
        <v>2</v>
      </c>
      <c r="R2509" s="35" t="s">
        <v>495</v>
      </c>
      <c r="S2509" s="35" t="str">
        <f>MID(Tabla1[[#This Row],[Aplicación]],6,2)</f>
        <v>11</v>
      </c>
      <c r="T2509" s="35" t="str">
        <f>VLOOKUP(Tabla1[[#This Row],[AREA]],Hoja1!A:B,2,FALSE)</f>
        <v>11. Salud pública y seguridad ciudadana</v>
      </c>
      <c r="U2509" s="35" t="str">
        <f>MID(Tabla1[[#This Row],[Aplicación]],9,4)</f>
        <v>1361</v>
      </c>
      <c r="V2509" s="35" t="str">
        <f>VLOOKUP(Tabla1[[#This Row],[PROGRAMA]],Hoja1!A:B,2,FALSE)</f>
        <v>1361. Prevención y extinción de incencios</v>
      </c>
      <c r="W2509" s="35" t="str">
        <f>MID(Tabla1[[#This Row],[Aplicación]],14,2)</f>
        <v>22</v>
      </c>
      <c r="X2509" s="35" t="str">
        <f>MID(Tabla1[[#This Row],[Aplicación]],14,6)</f>
        <v>22199</v>
      </c>
    </row>
    <row r="2510" spans="1:24" x14ac:dyDescent="0.25">
      <c r="A2510" s="45">
        <v>220210022756</v>
      </c>
      <c r="B2510" s="46" t="s">
        <v>204</v>
      </c>
      <c r="C2510" s="47">
        <v>44333</v>
      </c>
      <c r="D2510" s="45">
        <v>22021002048</v>
      </c>
      <c r="E2510" s="46" t="s">
        <v>890</v>
      </c>
      <c r="F2510" s="48">
        <v>2028.88</v>
      </c>
      <c r="G2510" s="54" t="s">
        <v>269</v>
      </c>
      <c r="H2510" s="54" t="s">
        <v>4023</v>
      </c>
      <c r="I2510" s="53" t="s">
        <v>205</v>
      </c>
      <c r="J2510" s="54" t="s">
        <v>127</v>
      </c>
      <c r="K2510" s="54" t="s">
        <v>127</v>
      </c>
      <c r="L2510" s="54" t="s">
        <v>15</v>
      </c>
      <c r="M2510" s="54" t="s">
        <v>13</v>
      </c>
      <c r="N2510" s="54" t="s">
        <v>14</v>
      </c>
      <c r="O2510" s="49" t="s">
        <v>814</v>
      </c>
      <c r="P2510" s="54" t="s">
        <v>3392</v>
      </c>
      <c r="Q2510" s="35" t="str">
        <f>MID(Tabla1[[#This Row],[Aplicación]],14,1)</f>
        <v>2</v>
      </c>
      <c r="R2510" s="35" t="s">
        <v>495</v>
      </c>
      <c r="S2510" s="35" t="str">
        <f>MID(Tabla1[[#This Row],[Aplicación]],6,2)</f>
        <v>11</v>
      </c>
      <c r="T2510" s="35" t="str">
        <f>VLOOKUP(Tabla1[[#This Row],[AREA]],Hoja1!A:B,2,FALSE)</f>
        <v>11. Salud pública y seguridad ciudadana</v>
      </c>
      <c r="U2510" s="35" t="str">
        <f>MID(Tabla1[[#This Row],[Aplicación]],9,4)</f>
        <v>1621</v>
      </c>
      <c r="V2510" s="35" t="str">
        <f>VLOOKUP(Tabla1[[#This Row],[PROGRAMA]],Hoja1!A:B,2,FALSE)</f>
        <v>1621. Servicio de limpieza</v>
      </c>
      <c r="W2510" s="35" t="str">
        <f>MID(Tabla1[[#This Row],[Aplicación]],14,2)</f>
        <v>21</v>
      </c>
      <c r="X2510" s="35" t="str">
        <f>MID(Tabla1[[#This Row],[Aplicación]],14,6)</f>
        <v>214</v>
      </c>
    </row>
    <row r="2511" spans="1:24" x14ac:dyDescent="0.25">
      <c r="A2511" s="45">
        <v>220210022723</v>
      </c>
      <c r="B2511" s="46" t="s">
        <v>204</v>
      </c>
      <c r="C2511" s="47">
        <v>44333</v>
      </c>
      <c r="D2511" s="45">
        <v>22021002054</v>
      </c>
      <c r="E2511" s="46" t="s">
        <v>1382</v>
      </c>
      <c r="F2511" s="48">
        <v>1876.27</v>
      </c>
      <c r="G2511" s="54" t="s">
        <v>269</v>
      </c>
      <c r="H2511" s="54" t="s">
        <v>4024</v>
      </c>
      <c r="I2511" s="53" t="s">
        <v>205</v>
      </c>
      <c r="J2511" s="54" t="s">
        <v>127</v>
      </c>
      <c r="K2511" s="54" t="s">
        <v>127</v>
      </c>
      <c r="L2511" s="54" t="s">
        <v>15</v>
      </c>
      <c r="M2511" s="54" t="s">
        <v>13</v>
      </c>
      <c r="N2511" s="54" t="s">
        <v>14</v>
      </c>
      <c r="O2511" s="49" t="s">
        <v>814</v>
      </c>
      <c r="P2511" s="54" t="s">
        <v>3392</v>
      </c>
      <c r="Q2511" s="35" t="str">
        <f>MID(Tabla1[[#This Row],[Aplicación]],14,1)</f>
        <v>2</v>
      </c>
      <c r="R2511" s="35" t="s">
        <v>495</v>
      </c>
      <c r="S2511" s="35" t="str">
        <f>MID(Tabla1[[#This Row],[Aplicación]],6,2)</f>
        <v>11</v>
      </c>
      <c r="T2511" s="35" t="str">
        <f>VLOOKUP(Tabla1[[#This Row],[AREA]],Hoja1!A:B,2,FALSE)</f>
        <v>11. Salud pública y seguridad ciudadana</v>
      </c>
      <c r="U2511" s="35" t="str">
        <f>MID(Tabla1[[#This Row],[Aplicación]],9,4)</f>
        <v>1631</v>
      </c>
      <c r="V2511" s="35" t="str">
        <f>VLOOKUP(Tabla1[[#This Row],[PROGRAMA]],Hoja1!A:B,2,FALSE)</f>
        <v>1631. Limpieza viaria</v>
      </c>
      <c r="W2511" s="35" t="str">
        <f>MID(Tabla1[[#This Row],[Aplicación]],14,2)</f>
        <v>21</v>
      </c>
      <c r="X2511" s="35" t="str">
        <f>MID(Tabla1[[#This Row],[Aplicación]],14,6)</f>
        <v>214</v>
      </c>
    </row>
    <row r="2512" spans="1:24" x14ac:dyDescent="0.25">
      <c r="A2512" s="45">
        <v>220210023531</v>
      </c>
      <c r="B2512" s="46" t="s">
        <v>9</v>
      </c>
      <c r="C2512" s="47">
        <v>44336</v>
      </c>
      <c r="D2512" s="45">
        <v>22021004437</v>
      </c>
      <c r="E2512" s="46" t="s">
        <v>950</v>
      </c>
      <c r="F2512" s="48">
        <v>1000</v>
      </c>
      <c r="G2512" s="54" t="s">
        <v>4025</v>
      </c>
      <c r="H2512" s="54" t="s">
        <v>4026</v>
      </c>
      <c r="I2512" s="53" t="s">
        <v>125</v>
      </c>
      <c r="J2512" s="54" t="s">
        <v>613</v>
      </c>
      <c r="K2512" s="54" t="s">
        <v>127</v>
      </c>
      <c r="L2512" s="54" t="s">
        <v>12</v>
      </c>
      <c r="M2512" s="54" t="s">
        <v>10</v>
      </c>
      <c r="N2512" s="54" t="s">
        <v>11</v>
      </c>
      <c r="O2512" s="49" t="s">
        <v>815</v>
      </c>
      <c r="P2512" s="54" t="s">
        <v>3392</v>
      </c>
      <c r="Q2512" s="35" t="str">
        <f>MID(Tabla1[[#This Row],[Aplicación]],14,1)</f>
        <v>2</v>
      </c>
      <c r="R2512" s="35" t="s">
        <v>495</v>
      </c>
      <c r="S2512" s="35" t="str">
        <f>MID(Tabla1[[#This Row],[Aplicación]],6,2)</f>
        <v>11</v>
      </c>
      <c r="T2512" s="35" t="str">
        <f>VLOOKUP(Tabla1[[#This Row],[AREA]],Hoja1!A:B,2,FALSE)</f>
        <v>11. Salud pública y seguridad ciudadana</v>
      </c>
      <c r="U2512" s="35" t="str">
        <f>MID(Tabla1[[#This Row],[Aplicación]],9,4)</f>
        <v>1321</v>
      </c>
      <c r="V2512" s="35" t="str">
        <f>VLOOKUP(Tabla1[[#This Row],[PROGRAMA]],Hoja1!A:B,2,FALSE)</f>
        <v>1321. Policía municipal</v>
      </c>
      <c r="W2512" s="35" t="str">
        <f>MID(Tabla1[[#This Row],[Aplicación]],14,2)</f>
        <v>21</v>
      </c>
      <c r="X2512" s="35" t="str">
        <f>MID(Tabla1[[#This Row],[Aplicación]],14,6)</f>
        <v>213</v>
      </c>
    </row>
    <row r="2513" spans="1:24" x14ac:dyDescent="0.25">
      <c r="A2513" s="45">
        <v>220210025681</v>
      </c>
      <c r="B2513" s="46" t="s">
        <v>204</v>
      </c>
      <c r="C2513" s="47">
        <v>44343</v>
      </c>
      <c r="D2513" s="45">
        <v>22021003381</v>
      </c>
      <c r="E2513" s="46" t="s">
        <v>1183</v>
      </c>
      <c r="F2513" s="48">
        <v>15.49</v>
      </c>
      <c r="G2513" s="54" t="s">
        <v>238</v>
      </c>
      <c r="H2513" s="54" t="s">
        <v>4027</v>
      </c>
      <c r="I2513" s="53" t="s">
        <v>205</v>
      </c>
      <c r="J2513" s="54" t="s">
        <v>127</v>
      </c>
      <c r="K2513" s="54" t="s">
        <v>127</v>
      </c>
      <c r="L2513" s="54" t="s">
        <v>15</v>
      </c>
      <c r="M2513" s="54" t="s">
        <v>13</v>
      </c>
      <c r="N2513" s="54" t="s">
        <v>14</v>
      </c>
      <c r="O2513" s="49" t="s">
        <v>814</v>
      </c>
      <c r="P2513" s="54" t="s">
        <v>3392</v>
      </c>
      <c r="Q2513" s="35" t="str">
        <f>MID(Tabla1[[#This Row],[Aplicación]],14,1)</f>
        <v>2</v>
      </c>
      <c r="R2513" s="35" t="s">
        <v>495</v>
      </c>
      <c r="S2513" s="35" t="str">
        <f>MID(Tabla1[[#This Row],[Aplicación]],6,2)</f>
        <v>11</v>
      </c>
      <c r="T2513" s="35" t="str">
        <f>VLOOKUP(Tabla1[[#This Row],[AREA]],Hoja1!A:B,2,FALSE)</f>
        <v>11. Salud pública y seguridad ciudadana</v>
      </c>
      <c r="U2513" s="35" t="str">
        <f>MID(Tabla1[[#This Row],[Aplicación]],9,4)</f>
        <v>1361</v>
      </c>
      <c r="V2513" s="35" t="str">
        <f>VLOOKUP(Tabla1[[#This Row],[PROGRAMA]],Hoja1!A:B,2,FALSE)</f>
        <v>1361. Prevención y extinción de incencios</v>
      </c>
      <c r="W2513" s="35" t="str">
        <f>MID(Tabla1[[#This Row],[Aplicación]],14,2)</f>
        <v>22</v>
      </c>
      <c r="X2513" s="35" t="str">
        <f>MID(Tabla1[[#This Row],[Aplicación]],14,6)</f>
        <v>22199</v>
      </c>
    </row>
    <row r="2514" spans="1:24" x14ac:dyDescent="0.25">
      <c r="A2514" s="45">
        <v>220210016443</v>
      </c>
      <c r="B2514" s="46" t="s">
        <v>9</v>
      </c>
      <c r="C2514" s="47">
        <v>44306</v>
      </c>
      <c r="D2514" s="45">
        <v>22021003996</v>
      </c>
      <c r="E2514" s="46" t="s">
        <v>2704</v>
      </c>
      <c r="F2514" s="48">
        <v>1000</v>
      </c>
      <c r="G2514" s="54" t="s">
        <v>4028</v>
      </c>
      <c r="H2514" s="54" t="s">
        <v>4029</v>
      </c>
      <c r="I2514" s="53" t="s">
        <v>125</v>
      </c>
      <c r="J2514" s="54" t="s">
        <v>127</v>
      </c>
      <c r="K2514" s="54" t="s">
        <v>127</v>
      </c>
      <c r="L2514" s="54" t="s">
        <v>12</v>
      </c>
      <c r="M2514" s="54" t="s">
        <v>10</v>
      </c>
      <c r="N2514" s="54" t="s">
        <v>11</v>
      </c>
      <c r="O2514" s="49" t="s">
        <v>815</v>
      </c>
      <c r="P2514" s="54" t="s">
        <v>3392</v>
      </c>
      <c r="Q2514" s="35" t="str">
        <f>MID(Tabla1[[#This Row],[Aplicación]],14,1)</f>
        <v>2</v>
      </c>
      <c r="R2514" s="35" t="s">
        <v>495</v>
      </c>
      <c r="S2514" s="35" t="str">
        <f>MID(Tabla1[[#This Row],[Aplicación]],6,2)</f>
        <v>04</v>
      </c>
      <c r="T2514" s="35" t="str">
        <f>VLOOKUP(Tabla1[[#This Row],[AREA]],Hoja1!A:B,2,FALSE)</f>
        <v>04. Planificación y recursos</v>
      </c>
      <c r="U2514" s="35" t="str">
        <f>MID(Tabla1[[#This Row],[Aplicación]],9,4)</f>
        <v>3121</v>
      </c>
      <c r="V2514" s="35" t="str">
        <f>VLOOKUP(Tabla1[[#This Row],[PROGRAMA]],Hoja1!A:B,2,FALSE)</f>
        <v>3121. Prevención y salud laboral</v>
      </c>
      <c r="W2514" s="35" t="str">
        <f>MID(Tabla1[[#This Row],[Aplicación]],14,2)</f>
        <v>22</v>
      </c>
      <c r="X2514" s="35" t="str">
        <f>MID(Tabla1[[#This Row],[Aplicación]],14,6)</f>
        <v>22799</v>
      </c>
    </row>
    <row r="2515" spans="1:24" x14ac:dyDescent="0.25">
      <c r="A2515" s="45">
        <v>220210030273</v>
      </c>
      <c r="B2515" s="46" t="s">
        <v>9</v>
      </c>
      <c r="C2515" s="47">
        <v>44357</v>
      </c>
      <c r="D2515" s="45">
        <v>22021004724</v>
      </c>
      <c r="E2515" s="46" t="s">
        <v>2803</v>
      </c>
      <c r="F2515" s="48">
        <v>1000</v>
      </c>
      <c r="G2515" s="54" t="s">
        <v>249</v>
      </c>
      <c r="H2515" s="54" t="s">
        <v>4030</v>
      </c>
      <c r="I2515" s="53" t="s">
        <v>125</v>
      </c>
      <c r="J2515" s="54" t="s">
        <v>127</v>
      </c>
      <c r="K2515" s="54" t="s">
        <v>127</v>
      </c>
      <c r="L2515" s="54" t="s">
        <v>12</v>
      </c>
      <c r="M2515" s="54" t="s">
        <v>10</v>
      </c>
      <c r="N2515" s="54" t="s">
        <v>11</v>
      </c>
      <c r="O2515" s="49" t="s">
        <v>815</v>
      </c>
      <c r="P2515" s="54" t="s">
        <v>3392</v>
      </c>
      <c r="Q2515" s="35" t="str">
        <f>MID(Tabla1[[#This Row],[Aplicación]],14,1)</f>
        <v>2</v>
      </c>
      <c r="R2515" s="35" t="s">
        <v>495</v>
      </c>
      <c r="S2515" s="35" t="str">
        <f>MID(Tabla1[[#This Row],[Aplicación]],6,2)</f>
        <v>06</v>
      </c>
      <c r="T2515" s="35" t="str">
        <f>VLOOKUP(Tabla1[[#This Row],[AREA]],Hoja1!A:B,2,FALSE)</f>
        <v>06. Educación, infancia, juventud e igualdad</v>
      </c>
      <c r="U2515" s="35" t="str">
        <f>MID(Tabla1[[#This Row],[Aplicación]],9,4)</f>
        <v>2314</v>
      </c>
      <c r="V2515" s="35" t="str">
        <f>VLOOKUP(Tabla1[[#This Row],[PROGRAMA]],Hoja1!A:B,2,FALSE)</f>
        <v>2314. Centro de programas juveniles</v>
      </c>
      <c r="W2515" s="35" t="str">
        <f>MID(Tabla1[[#This Row],[Aplicación]],14,2)</f>
        <v>22</v>
      </c>
      <c r="X2515" s="35" t="str">
        <f>MID(Tabla1[[#This Row],[Aplicación]],14,6)</f>
        <v>22602</v>
      </c>
    </row>
    <row r="2516" spans="1:24" x14ac:dyDescent="0.25">
      <c r="A2516" s="45">
        <v>220210022455</v>
      </c>
      <c r="B2516" s="46" t="s">
        <v>204</v>
      </c>
      <c r="C2516" s="47">
        <v>44330</v>
      </c>
      <c r="D2516" s="45">
        <v>22021002054</v>
      </c>
      <c r="E2516" s="46" t="s">
        <v>1382</v>
      </c>
      <c r="F2516" s="48">
        <v>1838.91</v>
      </c>
      <c r="G2516" s="54" t="s">
        <v>272</v>
      </c>
      <c r="H2516" s="54" t="s">
        <v>4031</v>
      </c>
      <c r="I2516" s="53" t="s">
        <v>205</v>
      </c>
      <c r="J2516" s="54" t="s">
        <v>127</v>
      </c>
      <c r="K2516" s="54" t="s">
        <v>127</v>
      </c>
      <c r="L2516" s="54" t="s">
        <v>15</v>
      </c>
      <c r="M2516" s="54" t="s">
        <v>13</v>
      </c>
      <c r="N2516" s="54" t="s">
        <v>14</v>
      </c>
      <c r="O2516" s="49" t="s">
        <v>814</v>
      </c>
      <c r="P2516" s="54" t="s">
        <v>3392</v>
      </c>
      <c r="Q2516" s="35" t="str">
        <f>MID(Tabla1[[#This Row],[Aplicación]],14,1)</f>
        <v>2</v>
      </c>
      <c r="R2516" s="35" t="s">
        <v>495</v>
      </c>
      <c r="S2516" s="35" t="str">
        <f>MID(Tabla1[[#This Row],[Aplicación]],6,2)</f>
        <v>11</v>
      </c>
      <c r="T2516" s="35" t="str">
        <f>VLOOKUP(Tabla1[[#This Row],[AREA]],Hoja1!A:B,2,FALSE)</f>
        <v>11. Salud pública y seguridad ciudadana</v>
      </c>
      <c r="U2516" s="35" t="str">
        <f>MID(Tabla1[[#This Row],[Aplicación]],9,4)</f>
        <v>1631</v>
      </c>
      <c r="V2516" s="35" t="str">
        <f>VLOOKUP(Tabla1[[#This Row],[PROGRAMA]],Hoja1!A:B,2,FALSE)</f>
        <v>1631. Limpieza viaria</v>
      </c>
      <c r="W2516" s="35" t="str">
        <f>MID(Tabla1[[#This Row],[Aplicación]],14,2)</f>
        <v>21</v>
      </c>
      <c r="X2516" s="35" t="str">
        <f>MID(Tabla1[[#This Row],[Aplicación]],14,6)</f>
        <v>214</v>
      </c>
    </row>
    <row r="2517" spans="1:24" x14ac:dyDescent="0.25">
      <c r="A2517" s="45">
        <v>220210030060</v>
      </c>
      <c r="B2517" s="46" t="s">
        <v>204</v>
      </c>
      <c r="C2517" s="47">
        <v>44356</v>
      </c>
      <c r="D2517" s="45">
        <v>22021002056</v>
      </c>
      <c r="E2517" s="46" t="s">
        <v>876</v>
      </c>
      <c r="F2517" s="48">
        <v>1804.07</v>
      </c>
      <c r="G2517" s="54" t="s">
        <v>272</v>
      </c>
      <c r="H2517" s="54" t="s">
        <v>4032</v>
      </c>
      <c r="I2517" s="53" t="s">
        <v>205</v>
      </c>
      <c r="J2517" s="54" t="s">
        <v>127</v>
      </c>
      <c r="K2517" s="54" t="s">
        <v>127</v>
      </c>
      <c r="L2517" s="54" t="s">
        <v>15</v>
      </c>
      <c r="M2517" s="54" t="s">
        <v>13</v>
      </c>
      <c r="N2517" s="54" t="s">
        <v>14</v>
      </c>
      <c r="O2517" s="49" t="s">
        <v>814</v>
      </c>
      <c r="P2517" s="54" t="s">
        <v>3392</v>
      </c>
      <c r="Q2517" s="35" t="str">
        <f>MID(Tabla1[[#This Row],[Aplicación]],14,1)</f>
        <v>2</v>
      </c>
      <c r="R2517" s="35" t="s">
        <v>495</v>
      </c>
      <c r="S2517" s="35" t="str">
        <f>MID(Tabla1[[#This Row],[Aplicación]],6,2)</f>
        <v>11</v>
      </c>
      <c r="T2517" s="35" t="str">
        <f>VLOOKUP(Tabla1[[#This Row],[AREA]],Hoja1!A:B,2,FALSE)</f>
        <v>11. Salud pública y seguridad ciudadana</v>
      </c>
      <c r="U2517" s="35" t="str">
        <f>MID(Tabla1[[#This Row],[Aplicación]],9,4)</f>
        <v>1631</v>
      </c>
      <c r="V2517" s="35" t="str">
        <f>VLOOKUP(Tabla1[[#This Row],[PROGRAMA]],Hoja1!A:B,2,FALSE)</f>
        <v>1631. Limpieza viaria</v>
      </c>
      <c r="W2517" s="35" t="str">
        <f>MID(Tabla1[[#This Row],[Aplicación]],14,2)</f>
        <v>22</v>
      </c>
      <c r="X2517" s="35" t="str">
        <f>MID(Tabla1[[#This Row],[Aplicación]],14,6)</f>
        <v>22110</v>
      </c>
    </row>
    <row r="2518" spans="1:24" x14ac:dyDescent="0.25">
      <c r="A2518" s="45">
        <v>220210023160</v>
      </c>
      <c r="B2518" s="46" t="s">
        <v>9</v>
      </c>
      <c r="C2518" s="47">
        <v>44335</v>
      </c>
      <c r="D2518" s="45">
        <v>22021004440</v>
      </c>
      <c r="E2518" s="46" t="s">
        <v>3369</v>
      </c>
      <c r="F2518" s="48">
        <v>1000</v>
      </c>
      <c r="G2518" s="54" t="s">
        <v>4033</v>
      </c>
      <c r="H2518" s="54" t="s">
        <v>4034</v>
      </c>
      <c r="I2518" s="53" t="s">
        <v>125</v>
      </c>
      <c r="J2518" s="54" t="s">
        <v>127</v>
      </c>
      <c r="K2518" s="54" t="s">
        <v>127</v>
      </c>
      <c r="L2518" s="54" t="s">
        <v>15</v>
      </c>
      <c r="M2518" s="54" t="s">
        <v>10</v>
      </c>
      <c r="N2518" s="54" t="s">
        <v>16</v>
      </c>
      <c r="O2518" s="49" t="s">
        <v>815</v>
      </c>
      <c r="P2518" s="54" t="s">
        <v>3392</v>
      </c>
      <c r="Q2518" s="35" t="str">
        <f>MID(Tabla1[[#This Row],[Aplicación]],14,1)</f>
        <v>2</v>
      </c>
      <c r="R2518" s="35" t="s">
        <v>495</v>
      </c>
      <c r="S2518" s="35" t="str">
        <f>MID(Tabla1[[#This Row],[Aplicación]],6,2)</f>
        <v>06</v>
      </c>
      <c r="T2518" s="35" t="str">
        <f>VLOOKUP(Tabla1[[#This Row],[AREA]],Hoja1!A:B,2,FALSE)</f>
        <v>06. Educación, infancia, juventud e igualdad</v>
      </c>
      <c r="U2518" s="35" t="str">
        <f>MID(Tabla1[[#This Row],[Aplicación]],9,4)</f>
        <v>3321</v>
      </c>
      <c r="V2518" s="35" t="str">
        <f>VLOOKUP(Tabla1[[#This Row],[PROGRAMA]],Hoja1!A:B,2,FALSE)</f>
        <v>3321. Bibliotecas públicas</v>
      </c>
      <c r="W2518" s="35" t="str">
        <f>MID(Tabla1[[#This Row],[Aplicación]],14,2)</f>
        <v>22</v>
      </c>
      <c r="X2518" s="35" t="str">
        <f>MID(Tabla1[[#This Row],[Aplicación]],14,6)</f>
        <v>22699</v>
      </c>
    </row>
    <row r="2519" spans="1:24" x14ac:dyDescent="0.25">
      <c r="A2519" s="45">
        <v>220210028170</v>
      </c>
      <c r="B2519" s="46" t="s">
        <v>9</v>
      </c>
      <c r="C2519" s="47">
        <v>44349</v>
      </c>
      <c r="D2519" s="45">
        <v>22021004648</v>
      </c>
      <c r="E2519" s="46" t="s">
        <v>1197</v>
      </c>
      <c r="F2519" s="48">
        <v>1000</v>
      </c>
      <c r="G2519" s="54" t="s">
        <v>101</v>
      </c>
      <c r="H2519" s="54" t="s">
        <v>4035</v>
      </c>
      <c r="I2519" s="53" t="s">
        <v>125</v>
      </c>
      <c r="J2519" s="54" t="s">
        <v>127</v>
      </c>
      <c r="K2519" s="54" t="s">
        <v>127</v>
      </c>
      <c r="L2519" s="54" t="s">
        <v>12</v>
      </c>
      <c r="M2519" s="54" t="s">
        <v>10</v>
      </c>
      <c r="N2519" s="54" t="s">
        <v>11</v>
      </c>
      <c r="O2519" s="49" t="s">
        <v>815</v>
      </c>
      <c r="P2519" s="54" t="s">
        <v>3392</v>
      </c>
      <c r="Q2519" s="35" t="str">
        <f>MID(Tabla1[[#This Row],[Aplicación]],14,1)</f>
        <v>2</v>
      </c>
      <c r="R2519" s="35" t="s">
        <v>495</v>
      </c>
      <c r="S2519" s="35" t="str">
        <f>MID(Tabla1[[#This Row],[Aplicación]],6,2)</f>
        <v>06</v>
      </c>
      <c r="T2519" s="35" t="str">
        <f>VLOOKUP(Tabla1[[#This Row],[AREA]],Hoja1!A:B,2,FALSE)</f>
        <v>06. Educación, infancia, juventud e igualdad</v>
      </c>
      <c r="U2519" s="35" t="str">
        <f>MID(Tabla1[[#This Row],[Aplicación]],9,4)</f>
        <v>3231</v>
      </c>
      <c r="V2519" s="35" t="str">
        <f>VLOOKUP(Tabla1[[#This Row],[PROGRAMA]],Hoja1!A:B,2,FALSE)</f>
        <v>3231. Escuelas infantiles</v>
      </c>
      <c r="W2519" s="35" t="str">
        <f>MID(Tabla1[[#This Row],[Aplicación]],14,2)</f>
        <v>22</v>
      </c>
      <c r="X2519" s="35" t="str">
        <f>MID(Tabla1[[#This Row],[Aplicación]],14,6)</f>
        <v>22799</v>
      </c>
    </row>
    <row r="2520" spans="1:24" x14ac:dyDescent="0.25">
      <c r="A2520" s="45">
        <v>220210022846</v>
      </c>
      <c r="B2520" s="46" t="s">
        <v>9</v>
      </c>
      <c r="C2520" s="47">
        <v>44334</v>
      </c>
      <c r="D2520" s="45">
        <v>22021004378</v>
      </c>
      <c r="E2520" s="46" t="s">
        <v>1293</v>
      </c>
      <c r="F2520" s="48">
        <v>1000</v>
      </c>
      <c r="G2520" s="54" t="s">
        <v>81</v>
      </c>
      <c r="H2520" s="54" t="s">
        <v>4036</v>
      </c>
      <c r="I2520" s="53" t="s">
        <v>125</v>
      </c>
      <c r="J2520" s="54" t="s">
        <v>127</v>
      </c>
      <c r="K2520" s="54" t="s">
        <v>127</v>
      </c>
      <c r="L2520" s="54" t="s">
        <v>12</v>
      </c>
      <c r="M2520" s="54" t="s">
        <v>10</v>
      </c>
      <c r="N2520" s="54" t="s">
        <v>11</v>
      </c>
      <c r="O2520" s="49" t="s">
        <v>815</v>
      </c>
      <c r="P2520" s="54" t="s">
        <v>3392</v>
      </c>
      <c r="Q2520" s="35" t="str">
        <f>MID(Tabla1[[#This Row],[Aplicación]],14,1)</f>
        <v>2</v>
      </c>
      <c r="R2520" s="35" t="s">
        <v>495</v>
      </c>
      <c r="S2520" s="35" t="str">
        <f>MID(Tabla1[[#This Row],[Aplicación]],6,2)</f>
        <v>06</v>
      </c>
      <c r="T2520" s="35" t="str">
        <f>VLOOKUP(Tabla1[[#This Row],[AREA]],Hoja1!A:B,2,FALSE)</f>
        <v>06. Educación, infancia, juventud e igualdad</v>
      </c>
      <c r="U2520" s="35" t="str">
        <f>MID(Tabla1[[#This Row],[Aplicación]],9,4)</f>
        <v>2314</v>
      </c>
      <c r="V2520" s="35" t="str">
        <f>VLOOKUP(Tabla1[[#This Row],[PROGRAMA]],Hoja1!A:B,2,FALSE)</f>
        <v>2314. Centro de programas juveniles</v>
      </c>
      <c r="W2520" s="35" t="str">
        <f>MID(Tabla1[[#This Row],[Aplicación]],14,2)</f>
        <v>22</v>
      </c>
      <c r="X2520" s="35" t="str">
        <f>MID(Tabla1[[#This Row],[Aplicación]],14,6)</f>
        <v>22699</v>
      </c>
    </row>
    <row r="2521" spans="1:24" x14ac:dyDescent="0.25">
      <c r="A2521" s="45">
        <v>220210025900</v>
      </c>
      <c r="B2521" s="46" t="s">
        <v>9</v>
      </c>
      <c r="C2521" s="47">
        <v>44344</v>
      </c>
      <c r="D2521" s="45">
        <v>22021004610</v>
      </c>
      <c r="E2521" s="46" t="s">
        <v>1388</v>
      </c>
      <c r="F2521" s="48">
        <v>1000</v>
      </c>
      <c r="G2521" s="54" t="s">
        <v>3979</v>
      </c>
      <c r="H2521" s="54" t="s">
        <v>4037</v>
      </c>
      <c r="I2521" s="53" t="s">
        <v>125</v>
      </c>
      <c r="J2521" s="54" t="s">
        <v>127</v>
      </c>
      <c r="K2521" s="54" t="s">
        <v>127</v>
      </c>
      <c r="L2521" s="54" t="s">
        <v>15</v>
      </c>
      <c r="M2521" s="54" t="s">
        <v>10</v>
      </c>
      <c r="N2521" s="54" t="s">
        <v>11</v>
      </c>
      <c r="O2521" s="49" t="s">
        <v>815</v>
      </c>
      <c r="P2521" s="54" t="s">
        <v>3392</v>
      </c>
      <c r="Q2521" s="35" t="str">
        <f>MID(Tabla1[[#This Row],[Aplicación]],14,1)</f>
        <v>2</v>
      </c>
      <c r="R2521" s="35" t="s">
        <v>495</v>
      </c>
      <c r="S2521" s="35" t="str">
        <f>MID(Tabla1[[#This Row],[Aplicación]],6,2)</f>
        <v>11</v>
      </c>
      <c r="T2521" s="35" t="str">
        <f>VLOOKUP(Tabla1[[#This Row],[AREA]],Hoja1!A:B,2,FALSE)</f>
        <v>11. Salud pública y seguridad ciudadana</v>
      </c>
      <c r="U2521" s="35" t="str">
        <f>MID(Tabla1[[#This Row],[Aplicación]],9,4)</f>
        <v>1321</v>
      </c>
      <c r="V2521" s="35" t="str">
        <f>VLOOKUP(Tabla1[[#This Row],[PROGRAMA]],Hoja1!A:B,2,FALSE)</f>
        <v>1321. Policía municipal</v>
      </c>
      <c r="W2521" s="35" t="str">
        <f>MID(Tabla1[[#This Row],[Aplicación]],14,2)</f>
        <v>22</v>
      </c>
      <c r="X2521" s="35" t="str">
        <f>MID(Tabla1[[#This Row],[Aplicación]],14,6)</f>
        <v>22199</v>
      </c>
    </row>
    <row r="2522" spans="1:24" x14ac:dyDescent="0.25">
      <c r="A2522" s="45">
        <v>220210025562</v>
      </c>
      <c r="B2522" s="46" t="s">
        <v>9</v>
      </c>
      <c r="C2522" s="47">
        <v>44342</v>
      </c>
      <c r="D2522" s="45">
        <v>22021004573</v>
      </c>
      <c r="E2522" s="46" t="s">
        <v>1596</v>
      </c>
      <c r="F2522" s="48">
        <v>1000</v>
      </c>
      <c r="G2522" s="54" t="s">
        <v>261</v>
      </c>
      <c r="H2522" s="54" t="s">
        <v>4038</v>
      </c>
      <c r="I2522" s="53" t="s">
        <v>125</v>
      </c>
      <c r="J2522" s="54" t="s">
        <v>127</v>
      </c>
      <c r="K2522" s="54" t="s">
        <v>127</v>
      </c>
      <c r="L2522" s="54" t="s">
        <v>15</v>
      </c>
      <c r="M2522" s="54" t="s">
        <v>10</v>
      </c>
      <c r="N2522" s="54" t="s">
        <v>11</v>
      </c>
      <c r="O2522" s="49" t="s">
        <v>815</v>
      </c>
      <c r="P2522" s="54" t="s">
        <v>3392</v>
      </c>
      <c r="Q2522" s="35" t="str">
        <f>MID(Tabla1[[#This Row],[Aplicación]],14,1)</f>
        <v>2</v>
      </c>
      <c r="R2522" s="35" t="s">
        <v>495</v>
      </c>
      <c r="S2522" s="35" t="str">
        <f>MID(Tabla1[[#This Row],[Aplicación]],6,2)</f>
        <v>11</v>
      </c>
      <c r="T2522" s="35" t="str">
        <f>VLOOKUP(Tabla1[[#This Row],[AREA]],Hoja1!A:B,2,FALSE)</f>
        <v>11. Salud pública y seguridad ciudadana</v>
      </c>
      <c r="U2522" s="35" t="str">
        <f>MID(Tabla1[[#This Row],[Aplicación]],9,4)</f>
        <v>1321</v>
      </c>
      <c r="V2522" s="35" t="str">
        <f>VLOOKUP(Tabla1[[#This Row],[PROGRAMA]],Hoja1!A:B,2,FALSE)</f>
        <v>1321. Policía municipal</v>
      </c>
      <c r="W2522" s="35" t="str">
        <f>MID(Tabla1[[#This Row],[Aplicación]],14,2)</f>
        <v>22</v>
      </c>
      <c r="X2522" s="35" t="str">
        <f>MID(Tabla1[[#This Row],[Aplicación]],14,6)</f>
        <v>22699</v>
      </c>
    </row>
    <row r="2523" spans="1:24" x14ac:dyDescent="0.25">
      <c r="A2523" s="45">
        <v>220210024845</v>
      </c>
      <c r="B2523" s="46" t="s">
        <v>9</v>
      </c>
      <c r="C2523" s="47">
        <v>44341</v>
      </c>
      <c r="D2523" s="45">
        <v>22021004539</v>
      </c>
      <c r="E2523" s="46" t="s">
        <v>1220</v>
      </c>
      <c r="F2523" s="48">
        <v>992.6</v>
      </c>
      <c r="G2523" s="54" t="s">
        <v>163</v>
      </c>
      <c r="H2523" s="54" t="s">
        <v>4039</v>
      </c>
      <c r="I2523" s="53" t="s">
        <v>125</v>
      </c>
      <c r="J2523" s="54" t="s">
        <v>127</v>
      </c>
      <c r="K2523" s="54" t="s">
        <v>126</v>
      </c>
      <c r="L2523" s="54" t="s">
        <v>15</v>
      </c>
      <c r="M2523" s="54" t="s">
        <v>10</v>
      </c>
      <c r="N2523" s="54" t="s">
        <v>11</v>
      </c>
      <c r="O2523" s="49" t="s">
        <v>815</v>
      </c>
      <c r="P2523" s="54" t="s">
        <v>3392</v>
      </c>
      <c r="Q2523" s="35" t="str">
        <f>MID(Tabla1[[#This Row],[Aplicación]],14,1)</f>
        <v>2</v>
      </c>
      <c r="R2523" s="35" t="s">
        <v>495</v>
      </c>
      <c r="S2523" s="35" t="str">
        <f>MID(Tabla1[[#This Row],[Aplicación]],6,2)</f>
        <v>03</v>
      </c>
      <c r="T2523" s="35" t="str">
        <f>VLOOKUP(Tabla1[[#This Row],[AREA]],Hoja1!A:B,2,FALSE)</f>
        <v>03. Participación ciudadana y deportes</v>
      </c>
      <c r="U2523" s="35" t="str">
        <f>MID(Tabla1[[#This Row],[Aplicación]],9,4)</f>
        <v>9241</v>
      </c>
      <c r="V2523" s="35" t="str">
        <f>VLOOKUP(Tabla1[[#This Row],[PROGRAMA]],Hoja1!A:B,2,FALSE)</f>
        <v>9241. Participación ciudadana</v>
      </c>
      <c r="W2523" s="35" t="str">
        <f>MID(Tabla1[[#This Row],[Aplicación]],14,2)</f>
        <v>21</v>
      </c>
      <c r="X2523" s="35" t="str">
        <f>MID(Tabla1[[#This Row],[Aplicación]],14,6)</f>
        <v>213</v>
      </c>
    </row>
    <row r="2524" spans="1:24" x14ac:dyDescent="0.25">
      <c r="A2524" s="45">
        <v>220210031165</v>
      </c>
      <c r="B2524" s="46" t="s">
        <v>204</v>
      </c>
      <c r="C2524" s="47">
        <v>44361</v>
      </c>
      <c r="D2524" s="45">
        <v>22021003381</v>
      </c>
      <c r="E2524" s="46" t="s">
        <v>1183</v>
      </c>
      <c r="F2524" s="48">
        <v>43.38</v>
      </c>
      <c r="G2524" s="54" t="s">
        <v>238</v>
      </c>
      <c r="H2524" s="54" t="s">
        <v>4040</v>
      </c>
      <c r="I2524" s="53" t="s">
        <v>205</v>
      </c>
      <c r="J2524" s="54" t="s">
        <v>127</v>
      </c>
      <c r="K2524" s="54" t="s">
        <v>127</v>
      </c>
      <c r="L2524" s="54" t="s">
        <v>15</v>
      </c>
      <c r="M2524" s="54" t="s">
        <v>13</v>
      </c>
      <c r="N2524" s="54" t="s">
        <v>14</v>
      </c>
      <c r="O2524" s="49" t="s">
        <v>814</v>
      </c>
      <c r="P2524" s="54" t="s">
        <v>3392</v>
      </c>
      <c r="Q2524" s="35" t="str">
        <f>MID(Tabla1[[#This Row],[Aplicación]],14,1)</f>
        <v>2</v>
      </c>
      <c r="R2524" s="35" t="s">
        <v>495</v>
      </c>
      <c r="S2524" s="35" t="str">
        <f>MID(Tabla1[[#This Row],[Aplicación]],6,2)</f>
        <v>11</v>
      </c>
      <c r="T2524" s="35" t="str">
        <f>VLOOKUP(Tabla1[[#This Row],[AREA]],Hoja1!A:B,2,FALSE)</f>
        <v>11. Salud pública y seguridad ciudadana</v>
      </c>
      <c r="U2524" s="35" t="str">
        <f>MID(Tabla1[[#This Row],[Aplicación]],9,4)</f>
        <v>1361</v>
      </c>
      <c r="V2524" s="35" t="str">
        <f>VLOOKUP(Tabla1[[#This Row],[PROGRAMA]],Hoja1!A:B,2,FALSE)</f>
        <v>1361. Prevención y extinción de incencios</v>
      </c>
      <c r="W2524" s="35" t="str">
        <f>MID(Tabla1[[#This Row],[Aplicación]],14,2)</f>
        <v>22</v>
      </c>
      <c r="X2524" s="35" t="str">
        <f>MID(Tabla1[[#This Row],[Aplicación]],14,6)</f>
        <v>22199</v>
      </c>
    </row>
    <row r="2525" spans="1:24" x14ac:dyDescent="0.25">
      <c r="A2525" s="45">
        <v>220210014471</v>
      </c>
      <c r="B2525" s="46" t="s">
        <v>204</v>
      </c>
      <c r="C2525" s="47">
        <v>44295</v>
      </c>
      <c r="D2525" s="45">
        <v>22021001968</v>
      </c>
      <c r="E2525" s="46" t="s">
        <v>1388</v>
      </c>
      <c r="F2525" s="48">
        <v>171.29</v>
      </c>
      <c r="G2525" s="54" t="s">
        <v>266</v>
      </c>
      <c r="H2525" s="54" t="s">
        <v>4041</v>
      </c>
      <c r="I2525" s="53" t="s">
        <v>205</v>
      </c>
      <c r="J2525" s="54" t="s">
        <v>127</v>
      </c>
      <c r="K2525" s="54" t="s">
        <v>127</v>
      </c>
      <c r="L2525" s="54" t="s">
        <v>15</v>
      </c>
      <c r="M2525" s="54" t="s">
        <v>13</v>
      </c>
      <c r="N2525" s="54" t="s">
        <v>14</v>
      </c>
      <c r="O2525" s="49" t="s">
        <v>814</v>
      </c>
      <c r="P2525" s="54" t="s">
        <v>3392</v>
      </c>
      <c r="Q2525" s="35" t="str">
        <f>MID(Tabla1[[#This Row],[Aplicación]],14,1)</f>
        <v>2</v>
      </c>
      <c r="R2525" s="35" t="s">
        <v>495</v>
      </c>
      <c r="S2525" s="35" t="str">
        <f>MID(Tabla1[[#This Row],[Aplicación]],6,2)</f>
        <v>11</v>
      </c>
      <c r="T2525" s="35" t="str">
        <f>VLOOKUP(Tabla1[[#This Row],[AREA]],Hoja1!A:B,2,FALSE)</f>
        <v>11. Salud pública y seguridad ciudadana</v>
      </c>
      <c r="U2525" s="35" t="str">
        <f>MID(Tabla1[[#This Row],[Aplicación]],9,4)</f>
        <v>1321</v>
      </c>
      <c r="V2525" s="35" t="str">
        <f>VLOOKUP(Tabla1[[#This Row],[PROGRAMA]],Hoja1!A:B,2,FALSE)</f>
        <v>1321. Policía municipal</v>
      </c>
      <c r="W2525" s="35" t="str">
        <f>MID(Tabla1[[#This Row],[Aplicación]],14,2)</f>
        <v>22</v>
      </c>
      <c r="X2525" s="35" t="str">
        <f>MID(Tabla1[[#This Row],[Aplicación]],14,6)</f>
        <v>22199</v>
      </c>
    </row>
    <row r="2526" spans="1:24" x14ac:dyDescent="0.25">
      <c r="A2526" s="45">
        <v>220210015742</v>
      </c>
      <c r="B2526" s="46" t="s">
        <v>204</v>
      </c>
      <c r="C2526" s="47">
        <v>44302</v>
      </c>
      <c r="D2526" s="45">
        <v>22021002048</v>
      </c>
      <c r="E2526" s="46" t="s">
        <v>890</v>
      </c>
      <c r="F2526" s="48">
        <v>1706.98</v>
      </c>
      <c r="G2526" s="54" t="s">
        <v>271</v>
      </c>
      <c r="H2526" s="54" t="s">
        <v>4042</v>
      </c>
      <c r="I2526" s="53" t="s">
        <v>205</v>
      </c>
      <c r="J2526" s="54" t="s">
        <v>127</v>
      </c>
      <c r="K2526" s="54" t="s">
        <v>127</v>
      </c>
      <c r="L2526" s="54" t="s">
        <v>15</v>
      </c>
      <c r="M2526" s="54" t="s">
        <v>13</v>
      </c>
      <c r="N2526" s="54" t="s">
        <v>14</v>
      </c>
      <c r="O2526" s="49" t="s">
        <v>814</v>
      </c>
      <c r="P2526" s="54" t="s">
        <v>3392</v>
      </c>
      <c r="Q2526" s="35" t="str">
        <f>MID(Tabla1[[#This Row],[Aplicación]],14,1)</f>
        <v>2</v>
      </c>
      <c r="R2526" s="35" t="s">
        <v>495</v>
      </c>
      <c r="S2526" s="35" t="str">
        <f>MID(Tabla1[[#This Row],[Aplicación]],6,2)</f>
        <v>11</v>
      </c>
      <c r="T2526" s="35" t="str">
        <f>VLOOKUP(Tabla1[[#This Row],[AREA]],Hoja1!A:B,2,FALSE)</f>
        <v>11. Salud pública y seguridad ciudadana</v>
      </c>
      <c r="U2526" s="35" t="str">
        <f>MID(Tabla1[[#This Row],[Aplicación]],9,4)</f>
        <v>1621</v>
      </c>
      <c r="V2526" s="35" t="str">
        <f>VLOOKUP(Tabla1[[#This Row],[PROGRAMA]],Hoja1!A:B,2,FALSE)</f>
        <v>1621. Servicio de limpieza</v>
      </c>
      <c r="W2526" s="35" t="str">
        <f>MID(Tabla1[[#This Row],[Aplicación]],14,2)</f>
        <v>21</v>
      </c>
      <c r="X2526" s="35" t="str">
        <f>MID(Tabla1[[#This Row],[Aplicación]],14,6)</f>
        <v>214</v>
      </c>
    </row>
    <row r="2527" spans="1:24" x14ac:dyDescent="0.25">
      <c r="A2527" s="45">
        <v>220210016444</v>
      </c>
      <c r="B2527" s="46" t="s">
        <v>9</v>
      </c>
      <c r="C2527" s="47">
        <v>44306</v>
      </c>
      <c r="D2527" s="45">
        <v>22021004020</v>
      </c>
      <c r="E2527" s="46" t="s">
        <v>818</v>
      </c>
      <c r="F2527" s="48">
        <v>968</v>
      </c>
      <c r="G2527" s="54" t="s">
        <v>4043</v>
      </c>
      <c r="H2527" s="54" t="s">
        <v>4044</v>
      </c>
      <c r="I2527" s="53" t="s">
        <v>125</v>
      </c>
      <c r="J2527" s="54" t="s">
        <v>126</v>
      </c>
      <c r="K2527" s="54" t="s">
        <v>126</v>
      </c>
      <c r="L2527" s="54" t="s">
        <v>12</v>
      </c>
      <c r="M2527" s="54" t="s">
        <v>10</v>
      </c>
      <c r="N2527" s="54" t="s">
        <v>11</v>
      </c>
      <c r="O2527" s="49" t="s">
        <v>815</v>
      </c>
      <c r="P2527" s="54" t="s">
        <v>3392</v>
      </c>
      <c r="Q2527" s="35" t="str">
        <f>MID(Tabla1[[#This Row],[Aplicación]],14,1)</f>
        <v>2</v>
      </c>
      <c r="R2527" s="35" t="s">
        <v>495</v>
      </c>
      <c r="S2527" s="35" t="str">
        <f>MID(Tabla1[[#This Row],[Aplicación]],6,2)</f>
        <v>09</v>
      </c>
      <c r="T2527" s="35" t="str">
        <f>VLOOKUP(Tabla1[[#This Row],[AREA]],Hoja1!A:B,2,FALSE)</f>
        <v>09. Cultura y turismo</v>
      </c>
      <c r="U2527" s="35" t="str">
        <f>MID(Tabla1[[#This Row],[Aplicación]],9,4)</f>
        <v>3341</v>
      </c>
      <c r="V2527" s="35" t="str">
        <f>VLOOKUP(Tabla1[[#This Row],[PROGRAMA]],Hoja1!A:B,2,FALSE)</f>
        <v>3341. Coordinación de políticas culturales</v>
      </c>
      <c r="W2527" s="35" t="str">
        <f>MID(Tabla1[[#This Row],[Aplicación]],14,2)</f>
        <v>22</v>
      </c>
      <c r="X2527" s="35" t="str">
        <f>MID(Tabla1[[#This Row],[Aplicación]],14,6)</f>
        <v>22609</v>
      </c>
    </row>
    <row r="2528" spans="1:24" x14ac:dyDescent="0.25">
      <c r="A2528" s="45">
        <v>220210027663</v>
      </c>
      <c r="B2528" s="46" t="s">
        <v>204</v>
      </c>
      <c r="C2528" s="47">
        <v>44348</v>
      </c>
      <c r="D2528" s="45">
        <v>22021002048</v>
      </c>
      <c r="E2528" s="46" t="s">
        <v>890</v>
      </c>
      <c r="F2528" s="48">
        <v>1600.19</v>
      </c>
      <c r="G2528" s="54" t="s">
        <v>269</v>
      </c>
      <c r="H2528" s="54" t="s">
        <v>4045</v>
      </c>
      <c r="I2528" s="53" t="s">
        <v>205</v>
      </c>
      <c r="J2528" s="54" t="s">
        <v>127</v>
      </c>
      <c r="K2528" s="54" t="s">
        <v>127</v>
      </c>
      <c r="L2528" s="54" t="s">
        <v>15</v>
      </c>
      <c r="M2528" s="54" t="s">
        <v>13</v>
      </c>
      <c r="N2528" s="54" t="s">
        <v>14</v>
      </c>
      <c r="O2528" s="49" t="s">
        <v>814</v>
      </c>
      <c r="P2528" s="54" t="s">
        <v>3392</v>
      </c>
      <c r="Q2528" s="35" t="str">
        <f>MID(Tabla1[[#This Row],[Aplicación]],14,1)</f>
        <v>2</v>
      </c>
      <c r="R2528" s="35" t="s">
        <v>495</v>
      </c>
      <c r="S2528" s="35" t="str">
        <f>MID(Tabla1[[#This Row],[Aplicación]],6,2)</f>
        <v>11</v>
      </c>
      <c r="T2528" s="35" t="str">
        <f>VLOOKUP(Tabla1[[#This Row],[AREA]],Hoja1!A:B,2,FALSE)</f>
        <v>11. Salud pública y seguridad ciudadana</v>
      </c>
      <c r="U2528" s="35" t="str">
        <f>MID(Tabla1[[#This Row],[Aplicación]],9,4)</f>
        <v>1621</v>
      </c>
      <c r="V2528" s="35" t="str">
        <f>VLOOKUP(Tabla1[[#This Row],[PROGRAMA]],Hoja1!A:B,2,FALSE)</f>
        <v>1621. Servicio de limpieza</v>
      </c>
      <c r="W2528" s="35" t="str">
        <f>MID(Tabla1[[#This Row],[Aplicación]],14,2)</f>
        <v>21</v>
      </c>
      <c r="X2528" s="35" t="str">
        <f>MID(Tabla1[[#This Row],[Aplicación]],14,6)</f>
        <v>214</v>
      </c>
    </row>
    <row r="2529" spans="1:24" x14ac:dyDescent="0.25">
      <c r="A2529" s="45">
        <v>220210024729</v>
      </c>
      <c r="B2529" s="46" t="s">
        <v>204</v>
      </c>
      <c r="C2529" s="47">
        <v>44340</v>
      </c>
      <c r="D2529" s="45">
        <v>22021001275</v>
      </c>
      <c r="E2529" s="46" t="s">
        <v>1334</v>
      </c>
      <c r="F2529" s="48">
        <v>1530.65</v>
      </c>
      <c r="G2529" s="54" t="s">
        <v>102</v>
      </c>
      <c r="H2529" s="54" t="s">
        <v>4046</v>
      </c>
      <c r="I2529" s="53" t="s">
        <v>205</v>
      </c>
      <c r="J2529" s="54" t="s">
        <v>127</v>
      </c>
      <c r="K2529" s="54" t="s">
        <v>127</v>
      </c>
      <c r="L2529" s="54" t="s">
        <v>15</v>
      </c>
      <c r="M2529" s="54" t="s">
        <v>13</v>
      </c>
      <c r="N2529" s="54" t="s">
        <v>14</v>
      </c>
      <c r="O2529" s="49" t="s">
        <v>814</v>
      </c>
      <c r="P2529" s="54" t="s">
        <v>3392</v>
      </c>
      <c r="Q2529" s="35" t="str">
        <f>MID(Tabla1[[#This Row],[Aplicación]],14,1)</f>
        <v>2</v>
      </c>
      <c r="R2529" s="35" t="s">
        <v>495</v>
      </c>
      <c r="S2529" s="35" t="str">
        <f>MID(Tabla1[[#This Row],[Aplicación]],6,2)</f>
        <v>07</v>
      </c>
      <c r="T2529" s="35" t="str">
        <f>VLOOKUP(Tabla1[[#This Row],[AREA]],Hoja1!A:B,2,FALSE)</f>
        <v>07. Medio ambiente y desarrollo sostenible</v>
      </c>
      <c r="U2529" s="35" t="str">
        <f>MID(Tabla1[[#This Row],[Aplicación]],9,4)</f>
        <v>1711</v>
      </c>
      <c r="V2529" s="35" t="str">
        <f>VLOOKUP(Tabla1[[#This Row],[PROGRAMA]],Hoja1!A:B,2,FALSE)</f>
        <v>1711. Parques y jardines</v>
      </c>
      <c r="W2529" s="35" t="str">
        <f>MID(Tabla1[[#This Row],[Aplicación]],14,2)</f>
        <v>22</v>
      </c>
      <c r="X2529" s="35" t="str">
        <f>MID(Tabla1[[#This Row],[Aplicación]],14,6)</f>
        <v>22199</v>
      </c>
    </row>
    <row r="2530" spans="1:24" x14ac:dyDescent="0.25">
      <c r="A2530" s="45">
        <v>220210019080</v>
      </c>
      <c r="B2530" s="46" t="s">
        <v>204</v>
      </c>
      <c r="C2530" s="47">
        <v>44319</v>
      </c>
      <c r="D2530" s="45">
        <v>22021002132</v>
      </c>
      <c r="E2530" s="46" t="s">
        <v>1180</v>
      </c>
      <c r="F2530" s="48">
        <v>1522.35</v>
      </c>
      <c r="G2530" s="54" t="s">
        <v>257</v>
      </c>
      <c r="H2530" s="54" t="s">
        <v>4047</v>
      </c>
      <c r="I2530" s="53" t="s">
        <v>205</v>
      </c>
      <c r="J2530" s="54" t="s">
        <v>127</v>
      </c>
      <c r="K2530" s="54" t="s">
        <v>127</v>
      </c>
      <c r="L2530" s="54" t="s">
        <v>15</v>
      </c>
      <c r="M2530" s="54" t="s">
        <v>13</v>
      </c>
      <c r="N2530" s="54" t="s">
        <v>14</v>
      </c>
      <c r="O2530" s="49" t="s">
        <v>814</v>
      </c>
      <c r="P2530" s="54" t="s">
        <v>3392</v>
      </c>
      <c r="Q2530" s="35" t="str">
        <f>MID(Tabla1[[#This Row],[Aplicación]],14,1)</f>
        <v>2</v>
      </c>
      <c r="R2530" s="35" t="s">
        <v>495</v>
      </c>
      <c r="S2530" s="35" t="str">
        <f>MID(Tabla1[[#This Row],[Aplicación]],6,2)</f>
        <v>08</v>
      </c>
      <c r="T2530" s="35" t="str">
        <f>VLOOKUP(Tabla1[[#This Row],[AREA]],Hoja1!A:B,2,FALSE)</f>
        <v>08. Movilidad y espacio urbano</v>
      </c>
      <c r="U2530" s="35" t="str">
        <f>MID(Tabla1[[#This Row],[Aplicación]],9,4)</f>
        <v>1532</v>
      </c>
      <c r="V2530" s="35" t="str">
        <f>VLOOKUP(Tabla1[[#This Row],[PROGRAMA]],Hoja1!A:B,2,FALSE)</f>
        <v>1532. Pavimentación vias públicas y otros servicios urbanísticos</v>
      </c>
      <c r="W2530" s="35" t="str">
        <f>MID(Tabla1[[#This Row],[Aplicación]],14,2)</f>
        <v>21</v>
      </c>
      <c r="X2530" s="35" t="str">
        <f>MID(Tabla1[[#This Row],[Aplicación]],14,6)</f>
        <v>210</v>
      </c>
    </row>
    <row r="2531" spans="1:24" x14ac:dyDescent="0.25">
      <c r="A2531" s="45">
        <v>220210029624</v>
      </c>
      <c r="B2531" s="46" t="s">
        <v>204</v>
      </c>
      <c r="C2531" s="47">
        <v>44355</v>
      </c>
      <c r="D2531" s="45">
        <v>22021002601</v>
      </c>
      <c r="E2531" s="46" t="s">
        <v>3362</v>
      </c>
      <c r="F2531" s="48">
        <v>1502.9</v>
      </c>
      <c r="G2531" s="54" t="s">
        <v>4009</v>
      </c>
      <c r="H2531" s="54" t="s">
        <v>4048</v>
      </c>
      <c r="I2531" s="53" t="s">
        <v>205</v>
      </c>
      <c r="J2531" s="54" t="s">
        <v>127</v>
      </c>
      <c r="K2531" s="54" t="s">
        <v>127</v>
      </c>
      <c r="L2531" s="54" t="s">
        <v>15</v>
      </c>
      <c r="M2531" s="54" t="s">
        <v>13</v>
      </c>
      <c r="N2531" s="54" t="s">
        <v>14</v>
      </c>
      <c r="O2531" s="49" t="s">
        <v>814</v>
      </c>
      <c r="P2531" s="54" t="s">
        <v>3392</v>
      </c>
      <c r="Q2531" s="35" t="str">
        <f>MID(Tabla1[[#This Row],[Aplicación]],14,1)</f>
        <v>6</v>
      </c>
      <c r="R2531" s="35" t="s">
        <v>496</v>
      </c>
      <c r="S2531" s="35" t="str">
        <f>MID(Tabla1[[#This Row],[Aplicación]],6,2)</f>
        <v>06</v>
      </c>
      <c r="T2531" s="35" t="str">
        <f>VLOOKUP(Tabla1[[#This Row],[AREA]],Hoja1!A:B,2,FALSE)</f>
        <v>06. Educación, infancia, juventud e igualdad</v>
      </c>
      <c r="U2531" s="35" t="str">
        <f>MID(Tabla1[[#This Row],[Aplicación]],9,4)</f>
        <v>3321</v>
      </c>
      <c r="V2531" s="35" t="str">
        <f>VLOOKUP(Tabla1[[#This Row],[PROGRAMA]],Hoja1!A:B,2,FALSE)</f>
        <v>3321. Bibliotecas públicas</v>
      </c>
      <c r="W2531" s="35" t="str">
        <f>MID(Tabla1[[#This Row],[Aplicación]],14,2)</f>
        <v>62</v>
      </c>
      <c r="X2531" s="35" t="str">
        <f>MID(Tabla1[[#This Row],[Aplicación]],14,6)</f>
        <v>629</v>
      </c>
    </row>
    <row r="2532" spans="1:24" x14ac:dyDescent="0.25">
      <c r="A2532" s="45">
        <v>220210014319</v>
      </c>
      <c r="B2532" s="46" t="s">
        <v>9</v>
      </c>
      <c r="C2532" s="47">
        <v>44295</v>
      </c>
      <c r="D2532" s="45">
        <v>22021003705</v>
      </c>
      <c r="E2532" s="46" t="s">
        <v>1380</v>
      </c>
      <c r="F2532" s="48">
        <v>933.51</v>
      </c>
      <c r="G2532" s="54" t="s">
        <v>3824</v>
      </c>
      <c r="H2532" s="54" t="s">
        <v>4049</v>
      </c>
      <c r="I2532" s="53" t="s">
        <v>125</v>
      </c>
      <c r="J2532" s="54" t="s">
        <v>127</v>
      </c>
      <c r="K2532" s="54" t="s">
        <v>127</v>
      </c>
      <c r="L2532" s="54" t="s">
        <v>15</v>
      </c>
      <c r="M2532" s="54" t="s">
        <v>10</v>
      </c>
      <c r="N2532" s="54" t="s">
        <v>11</v>
      </c>
      <c r="O2532" s="49" t="s">
        <v>815</v>
      </c>
      <c r="P2532" s="54" t="s">
        <v>3392</v>
      </c>
      <c r="Q2532" s="35" t="str">
        <f>MID(Tabla1[[#This Row],[Aplicación]],14,1)</f>
        <v>2</v>
      </c>
      <c r="R2532" s="35" t="s">
        <v>495</v>
      </c>
      <c r="S2532" s="35" t="str">
        <f>MID(Tabla1[[#This Row],[Aplicación]],6,2)</f>
        <v>03</v>
      </c>
      <c r="T2532" s="35" t="str">
        <f>VLOOKUP(Tabla1[[#This Row],[AREA]],Hoja1!A:B,2,FALSE)</f>
        <v>03. Participación ciudadana y deportes</v>
      </c>
      <c r="U2532" s="35" t="str">
        <f>MID(Tabla1[[#This Row],[Aplicación]],9,4)</f>
        <v>9241</v>
      </c>
      <c r="V2532" s="35" t="str">
        <f>VLOOKUP(Tabla1[[#This Row],[PROGRAMA]],Hoja1!A:B,2,FALSE)</f>
        <v>9241. Participación ciudadana</v>
      </c>
      <c r="W2532" s="35" t="str">
        <f>MID(Tabla1[[#This Row],[Aplicación]],14,2)</f>
        <v>22</v>
      </c>
      <c r="X2532" s="35" t="str">
        <f>MID(Tabla1[[#This Row],[Aplicación]],14,6)</f>
        <v>22699</v>
      </c>
    </row>
    <row r="2533" spans="1:24" x14ac:dyDescent="0.25">
      <c r="A2533" s="45">
        <v>220210033095</v>
      </c>
      <c r="B2533" s="46" t="s">
        <v>9</v>
      </c>
      <c r="C2533" s="47">
        <v>44376</v>
      </c>
      <c r="D2533" s="45">
        <v>22021005118</v>
      </c>
      <c r="E2533" s="46" t="s">
        <v>890</v>
      </c>
      <c r="F2533" s="48">
        <v>1500</v>
      </c>
      <c r="G2533" s="54" t="s">
        <v>232</v>
      </c>
      <c r="H2533" s="54" t="s">
        <v>4050</v>
      </c>
      <c r="I2533" s="53" t="s">
        <v>125</v>
      </c>
      <c r="J2533" s="54" t="s">
        <v>127</v>
      </c>
      <c r="K2533" s="54" t="s">
        <v>127</v>
      </c>
      <c r="L2533" s="54" t="s">
        <v>15</v>
      </c>
      <c r="M2533" s="54" t="s">
        <v>13</v>
      </c>
      <c r="N2533" s="54" t="s">
        <v>14</v>
      </c>
      <c r="O2533" s="49" t="s">
        <v>814</v>
      </c>
      <c r="P2533" s="54" t="s">
        <v>3392</v>
      </c>
      <c r="Q2533" s="35" t="str">
        <f>MID(Tabla1[[#This Row],[Aplicación]],14,1)</f>
        <v>2</v>
      </c>
      <c r="R2533" s="35" t="s">
        <v>495</v>
      </c>
      <c r="S2533" s="35" t="str">
        <f>MID(Tabla1[[#This Row],[Aplicación]],6,2)</f>
        <v>11</v>
      </c>
      <c r="T2533" s="35" t="str">
        <f>VLOOKUP(Tabla1[[#This Row],[AREA]],Hoja1!A:B,2,FALSE)</f>
        <v>11. Salud pública y seguridad ciudadana</v>
      </c>
      <c r="U2533" s="35" t="str">
        <f>MID(Tabla1[[#This Row],[Aplicación]],9,4)</f>
        <v>1621</v>
      </c>
      <c r="V2533" s="35" t="str">
        <f>VLOOKUP(Tabla1[[#This Row],[PROGRAMA]],Hoja1!A:B,2,FALSE)</f>
        <v>1621. Servicio de limpieza</v>
      </c>
      <c r="W2533" s="35" t="str">
        <f>MID(Tabla1[[#This Row],[Aplicación]],14,2)</f>
        <v>21</v>
      </c>
      <c r="X2533" s="35" t="str">
        <f>MID(Tabla1[[#This Row],[Aplicación]],14,6)</f>
        <v>214</v>
      </c>
    </row>
    <row r="2534" spans="1:24" x14ac:dyDescent="0.25">
      <c r="A2534" s="45">
        <v>220210014536</v>
      </c>
      <c r="B2534" s="46" t="s">
        <v>204</v>
      </c>
      <c r="C2534" s="47">
        <v>44295</v>
      </c>
      <c r="D2534" s="45">
        <v>22021002059</v>
      </c>
      <c r="E2534" s="46" t="s">
        <v>1183</v>
      </c>
      <c r="F2534" s="48">
        <v>6.93</v>
      </c>
      <c r="G2534" s="54" t="s">
        <v>266</v>
      </c>
      <c r="H2534" s="54" t="s">
        <v>4051</v>
      </c>
      <c r="I2534" s="53" t="s">
        <v>205</v>
      </c>
      <c r="J2534" s="54" t="s">
        <v>127</v>
      </c>
      <c r="K2534" s="54" t="s">
        <v>127</v>
      </c>
      <c r="L2534" s="54" t="s">
        <v>15</v>
      </c>
      <c r="M2534" s="54" t="s">
        <v>13</v>
      </c>
      <c r="N2534" s="54" t="s">
        <v>14</v>
      </c>
      <c r="O2534" s="49" t="s">
        <v>814</v>
      </c>
      <c r="P2534" s="54" t="s">
        <v>3392</v>
      </c>
      <c r="Q2534" s="35" t="str">
        <f>MID(Tabla1[[#This Row],[Aplicación]],14,1)</f>
        <v>2</v>
      </c>
      <c r="R2534" s="35" t="s">
        <v>495</v>
      </c>
      <c r="S2534" s="35" t="str">
        <f>MID(Tabla1[[#This Row],[Aplicación]],6,2)</f>
        <v>11</v>
      </c>
      <c r="T2534" s="35" t="str">
        <f>VLOOKUP(Tabla1[[#This Row],[AREA]],Hoja1!A:B,2,FALSE)</f>
        <v>11. Salud pública y seguridad ciudadana</v>
      </c>
      <c r="U2534" s="35" t="str">
        <f>MID(Tabla1[[#This Row],[Aplicación]],9,4)</f>
        <v>1361</v>
      </c>
      <c r="V2534" s="35" t="str">
        <f>VLOOKUP(Tabla1[[#This Row],[PROGRAMA]],Hoja1!A:B,2,FALSE)</f>
        <v>1361. Prevención y extinción de incencios</v>
      </c>
      <c r="W2534" s="35" t="str">
        <f>MID(Tabla1[[#This Row],[Aplicación]],14,2)</f>
        <v>22</v>
      </c>
      <c r="X2534" s="35" t="str">
        <f>MID(Tabla1[[#This Row],[Aplicación]],14,6)</f>
        <v>22199</v>
      </c>
    </row>
    <row r="2535" spans="1:24" x14ac:dyDescent="0.25">
      <c r="A2535" s="45">
        <v>220210019207</v>
      </c>
      <c r="B2535" s="46" t="s">
        <v>204</v>
      </c>
      <c r="C2535" s="47">
        <v>44319</v>
      </c>
      <c r="D2535" s="45">
        <v>22021001275</v>
      </c>
      <c r="E2535" s="46" t="s">
        <v>1334</v>
      </c>
      <c r="F2535" s="48">
        <v>41.16</v>
      </c>
      <c r="G2535" s="54" t="s">
        <v>266</v>
      </c>
      <c r="H2535" s="54" t="s">
        <v>3982</v>
      </c>
      <c r="I2535" s="53" t="s">
        <v>205</v>
      </c>
      <c r="J2535" s="54" t="s">
        <v>127</v>
      </c>
      <c r="K2535" s="54" t="s">
        <v>127</v>
      </c>
      <c r="L2535" s="54" t="s">
        <v>15</v>
      </c>
      <c r="M2535" s="54" t="s">
        <v>13</v>
      </c>
      <c r="N2535" s="54" t="s">
        <v>14</v>
      </c>
      <c r="O2535" s="49" t="s">
        <v>814</v>
      </c>
      <c r="P2535" s="54" t="s">
        <v>3392</v>
      </c>
      <c r="Q2535" s="35" t="str">
        <f>MID(Tabla1[[#This Row],[Aplicación]],14,1)</f>
        <v>2</v>
      </c>
      <c r="R2535" s="35" t="s">
        <v>495</v>
      </c>
      <c r="S2535" s="35" t="str">
        <f>MID(Tabla1[[#This Row],[Aplicación]],6,2)</f>
        <v>07</v>
      </c>
      <c r="T2535" s="35" t="str">
        <f>VLOOKUP(Tabla1[[#This Row],[AREA]],Hoja1!A:B,2,FALSE)</f>
        <v>07. Medio ambiente y desarrollo sostenible</v>
      </c>
      <c r="U2535" s="35" t="str">
        <f>MID(Tabla1[[#This Row],[Aplicación]],9,4)</f>
        <v>1711</v>
      </c>
      <c r="V2535" s="35" t="str">
        <f>VLOOKUP(Tabla1[[#This Row],[PROGRAMA]],Hoja1!A:B,2,FALSE)</f>
        <v>1711. Parques y jardines</v>
      </c>
      <c r="W2535" s="35" t="str">
        <f>MID(Tabla1[[#This Row],[Aplicación]],14,2)</f>
        <v>22</v>
      </c>
      <c r="X2535" s="35" t="str">
        <f>MID(Tabla1[[#This Row],[Aplicación]],14,6)</f>
        <v>22199</v>
      </c>
    </row>
    <row r="2536" spans="1:24" x14ac:dyDescent="0.25">
      <c r="A2536" s="45">
        <v>220210023529</v>
      </c>
      <c r="B2536" s="46" t="s">
        <v>9</v>
      </c>
      <c r="C2536" s="47">
        <v>44336</v>
      </c>
      <c r="D2536" s="45">
        <v>22021004442</v>
      </c>
      <c r="E2536" s="46" t="s">
        <v>2266</v>
      </c>
      <c r="F2536" s="48">
        <v>924</v>
      </c>
      <c r="G2536" s="54" t="s">
        <v>2791</v>
      </c>
      <c r="H2536" s="54" t="s">
        <v>4052</v>
      </c>
      <c r="I2536" s="53" t="s">
        <v>125</v>
      </c>
      <c r="J2536" s="54" t="s">
        <v>127</v>
      </c>
      <c r="K2536" s="54" t="s">
        <v>127</v>
      </c>
      <c r="L2536" s="54" t="s">
        <v>12</v>
      </c>
      <c r="M2536" s="54" t="s">
        <v>10</v>
      </c>
      <c r="N2536" s="54" t="s">
        <v>11</v>
      </c>
      <c r="O2536" s="49" t="s">
        <v>815</v>
      </c>
      <c r="P2536" s="54" t="s">
        <v>3392</v>
      </c>
      <c r="Q2536" s="35" t="str">
        <f>MID(Tabla1[[#This Row],[Aplicación]],14,1)</f>
        <v>2</v>
      </c>
      <c r="R2536" s="35" t="s">
        <v>495</v>
      </c>
      <c r="S2536" s="35" t="str">
        <f>MID(Tabla1[[#This Row],[Aplicación]],6,2)</f>
        <v>11</v>
      </c>
      <c r="T2536" s="35" t="str">
        <f>VLOOKUP(Tabla1[[#This Row],[AREA]],Hoja1!A:B,2,FALSE)</f>
        <v>11. Salud pública y seguridad ciudadana</v>
      </c>
      <c r="U2536" s="35" t="str">
        <f>MID(Tabla1[[#This Row],[Aplicación]],9,4)</f>
        <v>3111</v>
      </c>
      <c r="V2536" s="35" t="str">
        <f>VLOOKUP(Tabla1[[#This Row],[PROGRAMA]],Hoja1!A:B,2,FALSE)</f>
        <v>3111. Protección de la salubridad pública</v>
      </c>
      <c r="W2536" s="35" t="str">
        <f>MID(Tabla1[[#This Row],[Aplicación]],14,2)</f>
        <v>22</v>
      </c>
      <c r="X2536" s="35" t="str">
        <f>MID(Tabla1[[#This Row],[Aplicación]],14,6)</f>
        <v>22799</v>
      </c>
    </row>
    <row r="2537" spans="1:24" x14ac:dyDescent="0.25">
      <c r="A2537" s="45">
        <v>220210032725</v>
      </c>
      <c r="B2537" s="46" t="s">
        <v>204</v>
      </c>
      <c r="C2537" s="47">
        <v>44371</v>
      </c>
      <c r="D2537" s="45">
        <v>22021002048</v>
      </c>
      <c r="E2537" s="46" t="s">
        <v>890</v>
      </c>
      <c r="F2537" s="48">
        <v>1424.04</v>
      </c>
      <c r="G2537" s="54" t="s">
        <v>271</v>
      </c>
      <c r="H2537" s="54" t="s">
        <v>4053</v>
      </c>
      <c r="I2537" s="53" t="s">
        <v>205</v>
      </c>
      <c r="J2537" s="54" t="s">
        <v>127</v>
      </c>
      <c r="K2537" s="54" t="s">
        <v>127</v>
      </c>
      <c r="L2537" s="54" t="s">
        <v>15</v>
      </c>
      <c r="M2537" s="54" t="s">
        <v>13</v>
      </c>
      <c r="N2537" s="54" t="s">
        <v>14</v>
      </c>
      <c r="O2537" s="49" t="s">
        <v>814</v>
      </c>
      <c r="P2537" s="54" t="s">
        <v>3392</v>
      </c>
      <c r="Q2537" s="35" t="str">
        <f>MID(Tabla1[[#This Row],[Aplicación]],14,1)</f>
        <v>2</v>
      </c>
      <c r="R2537" s="35" t="s">
        <v>495</v>
      </c>
      <c r="S2537" s="35" t="str">
        <f>MID(Tabla1[[#This Row],[Aplicación]],6,2)</f>
        <v>11</v>
      </c>
      <c r="T2537" s="35" t="str">
        <f>VLOOKUP(Tabla1[[#This Row],[AREA]],Hoja1!A:B,2,FALSE)</f>
        <v>11. Salud pública y seguridad ciudadana</v>
      </c>
      <c r="U2537" s="35" t="str">
        <f>MID(Tabla1[[#This Row],[Aplicación]],9,4)</f>
        <v>1621</v>
      </c>
      <c r="V2537" s="35" t="str">
        <f>VLOOKUP(Tabla1[[#This Row],[PROGRAMA]],Hoja1!A:B,2,FALSE)</f>
        <v>1621. Servicio de limpieza</v>
      </c>
      <c r="W2537" s="35" t="str">
        <f>MID(Tabla1[[#This Row],[Aplicación]],14,2)</f>
        <v>21</v>
      </c>
      <c r="X2537" s="35" t="str">
        <f>MID(Tabla1[[#This Row],[Aplicación]],14,6)</f>
        <v>214</v>
      </c>
    </row>
    <row r="2538" spans="1:24" x14ac:dyDescent="0.25">
      <c r="A2538" s="45">
        <v>220210025659</v>
      </c>
      <c r="B2538" s="46" t="s">
        <v>204</v>
      </c>
      <c r="C2538" s="47">
        <v>44343</v>
      </c>
      <c r="D2538" s="45">
        <v>22021003381</v>
      </c>
      <c r="E2538" s="46" t="s">
        <v>1183</v>
      </c>
      <c r="F2538" s="48">
        <v>76.739999999999995</v>
      </c>
      <c r="G2538" s="54" t="s">
        <v>266</v>
      </c>
      <c r="H2538" s="54" t="s">
        <v>4054</v>
      </c>
      <c r="I2538" s="53" t="s">
        <v>205</v>
      </c>
      <c r="J2538" s="54" t="s">
        <v>127</v>
      </c>
      <c r="K2538" s="54" t="s">
        <v>127</v>
      </c>
      <c r="L2538" s="54" t="s">
        <v>15</v>
      </c>
      <c r="M2538" s="54" t="s">
        <v>13</v>
      </c>
      <c r="N2538" s="54" t="s">
        <v>14</v>
      </c>
      <c r="O2538" s="49" t="s">
        <v>814</v>
      </c>
      <c r="P2538" s="54" t="s">
        <v>3392</v>
      </c>
      <c r="Q2538" s="35" t="str">
        <f>MID(Tabla1[[#This Row],[Aplicación]],14,1)</f>
        <v>2</v>
      </c>
      <c r="R2538" s="35" t="s">
        <v>495</v>
      </c>
      <c r="S2538" s="35" t="str">
        <f>MID(Tabla1[[#This Row],[Aplicación]],6,2)</f>
        <v>11</v>
      </c>
      <c r="T2538" s="35" t="str">
        <f>VLOOKUP(Tabla1[[#This Row],[AREA]],Hoja1!A:B,2,FALSE)</f>
        <v>11. Salud pública y seguridad ciudadana</v>
      </c>
      <c r="U2538" s="35" t="str">
        <f>MID(Tabla1[[#This Row],[Aplicación]],9,4)</f>
        <v>1361</v>
      </c>
      <c r="V2538" s="35" t="str">
        <f>VLOOKUP(Tabla1[[#This Row],[PROGRAMA]],Hoja1!A:B,2,FALSE)</f>
        <v>1361. Prevención y extinción de incencios</v>
      </c>
      <c r="W2538" s="35" t="str">
        <f>MID(Tabla1[[#This Row],[Aplicación]],14,2)</f>
        <v>22</v>
      </c>
      <c r="X2538" s="35" t="str">
        <f>MID(Tabla1[[#This Row],[Aplicación]],14,6)</f>
        <v>22199</v>
      </c>
    </row>
    <row r="2539" spans="1:24" x14ac:dyDescent="0.25">
      <c r="A2539" s="45">
        <v>220210033117</v>
      </c>
      <c r="B2539" s="46" t="s">
        <v>9</v>
      </c>
      <c r="C2539" s="47">
        <v>44377</v>
      </c>
      <c r="D2539" s="45">
        <v>22021005102</v>
      </c>
      <c r="E2539" s="46" t="s">
        <v>1478</v>
      </c>
      <c r="F2539" s="48">
        <v>918.7</v>
      </c>
      <c r="G2539" s="54" t="s">
        <v>4055</v>
      </c>
      <c r="H2539" s="54" t="s">
        <v>4056</v>
      </c>
      <c r="I2539" s="53" t="s">
        <v>125</v>
      </c>
      <c r="J2539" s="54" t="s">
        <v>613</v>
      </c>
      <c r="K2539" s="54" t="s">
        <v>127</v>
      </c>
      <c r="L2539" s="54" t="s">
        <v>15</v>
      </c>
      <c r="M2539" s="54" t="s">
        <v>10</v>
      </c>
      <c r="N2539" s="54" t="s">
        <v>11</v>
      </c>
      <c r="O2539" s="49" t="s">
        <v>815</v>
      </c>
      <c r="P2539" s="54" t="s">
        <v>3392</v>
      </c>
      <c r="Q2539" s="35" t="str">
        <f>MID(Tabla1[[#This Row],[Aplicación]],14,1)</f>
        <v>2</v>
      </c>
      <c r="R2539" s="35" t="s">
        <v>495</v>
      </c>
      <c r="S2539" s="35" t="str">
        <f>MID(Tabla1[[#This Row],[Aplicación]],6,2)</f>
        <v>03</v>
      </c>
      <c r="T2539" s="35" t="str">
        <f>VLOOKUP(Tabla1[[#This Row],[AREA]],Hoja1!A:B,2,FALSE)</f>
        <v>03. Participación ciudadana y deportes</v>
      </c>
      <c r="U2539" s="35" t="str">
        <f>MID(Tabla1[[#This Row],[Aplicación]],9,4)</f>
        <v>9241</v>
      </c>
      <c r="V2539" s="35" t="str">
        <f>VLOOKUP(Tabla1[[#This Row],[PROGRAMA]],Hoja1!A:B,2,FALSE)</f>
        <v>9241. Participación ciudadana</v>
      </c>
      <c r="W2539" s="35" t="str">
        <f>MID(Tabla1[[#This Row],[Aplicación]],14,2)</f>
        <v>21</v>
      </c>
      <c r="X2539" s="35" t="str">
        <f>MID(Tabla1[[#This Row],[Aplicación]],14,6)</f>
        <v>212</v>
      </c>
    </row>
    <row r="2540" spans="1:24" x14ac:dyDescent="0.25">
      <c r="A2540" s="45">
        <v>220210028467</v>
      </c>
      <c r="B2540" s="46" t="s">
        <v>204</v>
      </c>
      <c r="C2540" s="47">
        <v>44350</v>
      </c>
      <c r="D2540" s="45">
        <v>22021001968</v>
      </c>
      <c r="E2540" s="46" t="s">
        <v>1388</v>
      </c>
      <c r="F2540" s="48">
        <v>94.91</v>
      </c>
      <c r="G2540" s="54" t="s">
        <v>266</v>
      </c>
      <c r="H2540" s="54" t="s">
        <v>4057</v>
      </c>
      <c r="I2540" s="53" t="s">
        <v>205</v>
      </c>
      <c r="J2540" s="54" t="s">
        <v>127</v>
      </c>
      <c r="K2540" s="54" t="s">
        <v>127</v>
      </c>
      <c r="L2540" s="54" t="s">
        <v>15</v>
      </c>
      <c r="M2540" s="54" t="s">
        <v>13</v>
      </c>
      <c r="N2540" s="54" t="s">
        <v>14</v>
      </c>
      <c r="O2540" s="49" t="s">
        <v>814</v>
      </c>
      <c r="P2540" s="54" t="s">
        <v>3392</v>
      </c>
      <c r="Q2540" s="35" t="str">
        <f>MID(Tabla1[[#This Row],[Aplicación]],14,1)</f>
        <v>2</v>
      </c>
      <c r="R2540" s="35" t="s">
        <v>495</v>
      </c>
      <c r="S2540" s="35" t="str">
        <f>MID(Tabla1[[#This Row],[Aplicación]],6,2)</f>
        <v>11</v>
      </c>
      <c r="T2540" s="35" t="str">
        <f>VLOOKUP(Tabla1[[#This Row],[AREA]],Hoja1!A:B,2,FALSE)</f>
        <v>11. Salud pública y seguridad ciudadana</v>
      </c>
      <c r="U2540" s="35" t="str">
        <f>MID(Tabla1[[#This Row],[Aplicación]],9,4)</f>
        <v>1321</v>
      </c>
      <c r="V2540" s="35" t="str">
        <f>VLOOKUP(Tabla1[[#This Row],[PROGRAMA]],Hoja1!A:B,2,FALSE)</f>
        <v>1321. Policía municipal</v>
      </c>
      <c r="W2540" s="35" t="str">
        <f>MID(Tabla1[[#This Row],[Aplicación]],14,2)</f>
        <v>22</v>
      </c>
      <c r="X2540" s="35" t="str">
        <f>MID(Tabla1[[#This Row],[Aplicación]],14,6)</f>
        <v>22199</v>
      </c>
    </row>
    <row r="2541" spans="1:24" x14ac:dyDescent="0.25">
      <c r="A2541" s="45">
        <v>220210028698</v>
      </c>
      <c r="B2541" s="46" t="s">
        <v>9</v>
      </c>
      <c r="C2541" s="47">
        <v>44351</v>
      </c>
      <c r="D2541" s="45">
        <v>22021004630</v>
      </c>
      <c r="E2541" s="46" t="s">
        <v>3368</v>
      </c>
      <c r="F2541" s="48">
        <v>907.5</v>
      </c>
      <c r="G2541" s="54" t="s">
        <v>3775</v>
      </c>
      <c r="H2541" s="54" t="s">
        <v>4058</v>
      </c>
      <c r="I2541" s="53" t="s">
        <v>125</v>
      </c>
      <c r="J2541" s="54" t="s">
        <v>127</v>
      </c>
      <c r="K2541" s="54" t="s">
        <v>127</v>
      </c>
      <c r="L2541" s="54" t="s">
        <v>12</v>
      </c>
      <c r="M2541" s="54" t="s">
        <v>10</v>
      </c>
      <c r="N2541" s="54" t="s">
        <v>11</v>
      </c>
      <c r="O2541" s="49" t="s">
        <v>815</v>
      </c>
      <c r="P2541" s="54" t="s">
        <v>3392</v>
      </c>
      <c r="Q2541" s="35" t="str">
        <f>MID(Tabla1[[#This Row],[Aplicación]],14,1)</f>
        <v>2</v>
      </c>
      <c r="R2541" s="35" t="s">
        <v>495</v>
      </c>
      <c r="S2541" s="35" t="str">
        <f>MID(Tabla1[[#This Row],[Aplicación]],6,2)</f>
        <v>01</v>
      </c>
      <c r="T2541" s="35" t="str">
        <f>VLOOKUP(Tabla1[[#This Row],[AREA]],Hoja1!A:B,2,FALSE)</f>
        <v>01. Alcaldía</v>
      </c>
      <c r="U2541" s="35" t="str">
        <f>MID(Tabla1[[#This Row],[Aplicación]],9,4)</f>
        <v>9207</v>
      </c>
      <c r="V2541" s="35" t="str">
        <f>VLOOKUP(Tabla1[[#This Row],[PROGRAMA]],Hoja1!A:B,2,FALSE)</f>
        <v>9207. Gobierno y relaciones</v>
      </c>
      <c r="W2541" s="35" t="str">
        <f>MID(Tabla1[[#This Row],[Aplicación]],14,2)</f>
        <v>22</v>
      </c>
      <c r="X2541" s="35" t="str">
        <f>MID(Tabla1[[#This Row],[Aplicación]],14,6)</f>
        <v>22699</v>
      </c>
    </row>
    <row r="2542" spans="1:24" x14ac:dyDescent="0.25">
      <c r="A2542" s="45">
        <v>220210031325</v>
      </c>
      <c r="B2542" s="46" t="s">
        <v>9</v>
      </c>
      <c r="C2542" s="47">
        <v>44364</v>
      </c>
      <c r="D2542" s="45">
        <v>22021004937</v>
      </c>
      <c r="E2542" s="46" t="s">
        <v>1167</v>
      </c>
      <c r="F2542" s="48">
        <v>887</v>
      </c>
      <c r="G2542" s="54" t="s">
        <v>2852</v>
      </c>
      <c r="H2542" s="54" t="s">
        <v>4059</v>
      </c>
      <c r="I2542" s="53" t="s">
        <v>125</v>
      </c>
      <c r="J2542" s="54" t="s">
        <v>127</v>
      </c>
      <c r="K2542" s="54" t="s">
        <v>127</v>
      </c>
      <c r="L2542" s="54" t="s">
        <v>12</v>
      </c>
      <c r="M2542" s="54" t="s">
        <v>10</v>
      </c>
      <c r="N2542" s="54" t="s">
        <v>14</v>
      </c>
      <c r="O2542" s="49" t="s">
        <v>815</v>
      </c>
      <c r="P2542" s="54" t="s">
        <v>3392</v>
      </c>
      <c r="Q2542" s="35" t="str">
        <f>MID(Tabla1[[#This Row],[Aplicación]],14,1)</f>
        <v>2</v>
      </c>
      <c r="R2542" s="35" t="s">
        <v>495</v>
      </c>
      <c r="S2542" s="35" t="str">
        <f>MID(Tabla1[[#This Row],[Aplicación]],6,2)</f>
        <v>11</v>
      </c>
      <c r="T2542" s="35" t="str">
        <f>VLOOKUP(Tabla1[[#This Row],[AREA]],Hoja1!A:B,2,FALSE)</f>
        <v>11. Salud pública y seguridad ciudadana</v>
      </c>
      <c r="U2542" s="35" t="str">
        <f>MID(Tabla1[[#This Row],[Aplicación]],9,4)</f>
        <v>1321</v>
      </c>
      <c r="V2542" s="35" t="str">
        <f>VLOOKUP(Tabla1[[#This Row],[PROGRAMA]],Hoja1!A:B,2,FALSE)</f>
        <v>1321. Policía municipal</v>
      </c>
      <c r="W2542" s="35" t="str">
        <f>MID(Tabla1[[#This Row],[Aplicación]],14,2)</f>
        <v>21</v>
      </c>
      <c r="X2542" s="35" t="str">
        <f>MID(Tabla1[[#This Row],[Aplicación]],14,6)</f>
        <v>214</v>
      </c>
    </row>
    <row r="2543" spans="1:24" x14ac:dyDescent="0.25">
      <c r="A2543" s="45">
        <v>220210031364</v>
      </c>
      <c r="B2543" s="46" t="s">
        <v>9</v>
      </c>
      <c r="C2543" s="47">
        <v>44365</v>
      </c>
      <c r="D2543" s="45">
        <v>22021004958</v>
      </c>
      <c r="E2543" s="46" t="s">
        <v>1336</v>
      </c>
      <c r="F2543" s="48">
        <v>886.23</v>
      </c>
      <c r="G2543" s="54" t="s">
        <v>87</v>
      </c>
      <c r="H2543" s="54" t="s">
        <v>4060</v>
      </c>
      <c r="I2543" s="53" t="s">
        <v>125</v>
      </c>
      <c r="J2543" s="54" t="s">
        <v>127</v>
      </c>
      <c r="K2543" s="54" t="s">
        <v>127</v>
      </c>
      <c r="L2543" s="54" t="s">
        <v>15</v>
      </c>
      <c r="M2543" s="54" t="s">
        <v>10</v>
      </c>
      <c r="N2543" s="54" t="s">
        <v>11</v>
      </c>
      <c r="O2543" s="49" t="s">
        <v>815</v>
      </c>
      <c r="P2543" s="54" t="s">
        <v>3392</v>
      </c>
      <c r="Q2543" s="35" t="str">
        <f>MID(Tabla1[[#This Row],[Aplicación]],14,1)</f>
        <v>2</v>
      </c>
      <c r="R2543" s="35" t="s">
        <v>495</v>
      </c>
      <c r="S2543" s="35" t="str">
        <f>MID(Tabla1[[#This Row],[Aplicación]],6,2)</f>
        <v>02</v>
      </c>
      <c r="T2543" s="35" t="str">
        <f>VLOOKUP(Tabla1[[#This Row],[AREA]],Hoja1!A:B,2,FALSE)</f>
        <v>02. Planeamiento urbanístico y vivienda</v>
      </c>
      <c r="U2543" s="35" t="str">
        <f>MID(Tabla1[[#This Row],[Aplicación]],9,4)</f>
        <v>9332</v>
      </c>
      <c r="V2543" s="35" t="str">
        <f>VLOOKUP(Tabla1[[#This Row],[PROGRAMA]],Hoja1!A:B,2,FALSE)</f>
        <v>9332. Mantenimiento de edificios e instalaciones municipales</v>
      </c>
      <c r="W2543" s="35" t="str">
        <f>MID(Tabla1[[#This Row],[Aplicación]],14,2)</f>
        <v>21</v>
      </c>
      <c r="X2543" s="35" t="str">
        <f>MID(Tabla1[[#This Row],[Aplicación]],14,6)</f>
        <v>212</v>
      </c>
    </row>
    <row r="2544" spans="1:24" x14ac:dyDescent="0.25">
      <c r="A2544" s="45">
        <v>220210016028</v>
      </c>
      <c r="B2544" s="46" t="s">
        <v>204</v>
      </c>
      <c r="C2544" s="47">
        <v>44305</v>
      </c>
      <c r="D2544" s="45">
        <v>22021002227</v>
      </c>
      <c r="E2544" s="46" t="s">
        <v>1324</v>
      </c>
      <c r="F2544" s="48">
        <v>1388.98</v>
      </c>
      <c r="G2544" s="54" t="s">
        <v>266</v>
      </c>
      <c r="H2544" s="54" t="s">
        <v>4061</v>
      </c>
      <c r="I2544" s="53" t="s">
        <v>205</v>
      </c>
      <c r="J2544" s="54" t="s">
        <v>127</v>
      </c>
      <c r="K2544" s="54" t="s">
        <v>127</v>
      </c>
      <c r="L2544" s="54" t="s">
        <v>15</v>
      </c>
      <c r="M2544" s="54" t="s">
        <v>13</v>
      </c>
      <c r="N2544" s="54" t="s">
        <v>14</v>
      </c>
      <c r="O2544" s="49" t="s">
        <v>814</v>
      </c>
      <c r="P2544" s="54" t="s">
        <v>3392</v>
      </c>
      <c r="Q2544" s="35" t="str">
        <f>MID(Tabla1[[#This Row],[Aplicación]],14,1)</f>
        <v>2</v>
      </c>
      <c r="R2544" s="35" t="s">
        <v>495</v>
      </c>
      <c r="S2544" s="35" t="str">
        <f>MID(Tabla1[[#This Row],[Aplicación]],6,2)</f>
        <v>06</v>
      </c>
      <c r="T2544" s="35" t="str">
        <f>VLOOKUP(Tabla1[[#This Row],[AREA]],Hoja1!A:B,2,FALSE)</f>
        <v>06. Educación, infancia, juventud e igualdad</v>
      </c>
      <c r="U2544" s="35" t="str">
        <f>MID(Tabla1[[#This Row],[Aplicación]],9,4)</f>
        <v>3321</v>
      </c>
      <c r="V2544" s="35" t="str">
        <f>VLOOKUP(Tabla1[[#This Row],[PROGRAMA]],Hoja1!A:B,2,FALSE)</f>
        <v>3321. Bibliotecas públicas</v>
      </c>
      <c r="W2544" s="35" t="str">
        <f>MID(Tabla1[[#This Row],[Aplicación]],14,2)</f>
        <v>21</v>
      </c>
      <c r="X2544" s="35" t="str">
        <f>MID(Tabla1[[#This Row],[Aplicación]],14,6)</f>
        <v>212</v>
      </c>
    </row>
    <row r="2545" spans="1:24" x14ac:dyDescent="0.25">
      <c r="A2545" s="45">
        <v>220210030076</v>
      </c>
      <c r="B2545" s="46" t="s">
        <v>204</v>
      </c>
      <c r="C2545" s="47">
        <v>44356</v>
      </c>
      <c r="D2545" s="45">
        <v>22021001275</v>
      </c>
      <c r="E2545" s="46" t="s">
        <v>1334</v>
      </c>
      <c r="F2545" s="48">
        <v>399.18</v>
      </c>
      <c r="G2545" s="54" t="s">
        <v>266</v>
      </c>
      <c r="H2545" s="54" t="s">
        <v>1713</v>
      </c>
      <c r="I2545" s="53" t="s">
        <v>205</v>
      </c>
      <c r="J2545" s="54" t="s">
        <v>127</v>
      </c>
      <c r="K2545" s="54" t="s">
        <v>127</v>
      </c>
      <c r="L2545" s="54" t="s">
        <v>15</v>
      </c>
      <c r="M2545" s="54" t="s">
        <v>13</v>
      </c>
      <c r="N2545" s="54" t="s">
        <v>14</v>
      </c>
      <c r="O2545" s="49" t="s">
        <v>814</v>
      </c>
      <c r="P2545" s="54" t="s">
        <v>3392</v>
      </c>
      <c r="Q2545" s="35" t="str">
        <f>MID(Tabla1[[#This Row],[Aplicación]],14,1)</f>
        <v>2</v>
      </c>
      <c r="R2545" s="35" t="s">
        <v>495</v>
      </c>
      <c r="S2545" s="35" t="str">
        <f>MID(Tabla1[[#This Row],[Aplicación]],6,2)</f>
        <v>07</v>
      </c>
      <c r="T2545" s="35" t="str">
        <f>VLOOKUP(Tabla1[[#This Row],[AREA]],Hoja1!A:B,2,FALSE)</f>
        <v>07. Medio ambiente y desarrollo sostenible</v>
      </c>
      <c r="U2545" s="35" t="str">
        <f>MID(Tabla1[[#This Row],[Aplicación]],9,4)</f>
        <v>1711</v>
      </c>
      <c r="V2545" s="35" t="str">
        <f>VLOOKUP(Tabla1[[#This Row],[PROGRAMA]],Hoja1!A:B,2,FALSE)</f>
        <v>1711. Parques y jardines</v>
      </c>
      <c r="W2545" s="35" t="str">
        <f>MID(Tabla1[[#This Row],[Aplicación]],14,2)</f>
        <v>22</v>
      </c>
      <c r="X2545" s="35" t="str">
        <f>MID(Tabla1[[#This Row],[Aplicación]],14,6)</f>
        <v>22199</v>
      </c>
    </row>
    <row r="2546" spans="1:24" x14ac:dyDescent="0.25">
      <c r="A2546" s="45">
        <v>220210030403</v>
      </c>
      <c r="B2546" s="46" t="s">
        <v>204</v>
      </c>
      <c r="C2546" s="47">
        <v>44358</v>
      </c>
      <c r="D2546" s="45">
        <v>22021003381</v>
      </c>
      <c r="E2546" s="46" t="s">
        <v>1183</v>
      </c>
      <c r="F2546" s="48">
        <v>35.85</v>
      </c>
      <c r="G2546" s="54" t="s">
        <v>266</v>
      </c>
      <c r="H2546" s="54" t="s">
        <v>4062</v>
      </c>
      <c r="I2546" s="53" t="s">
        <v>205</v>
      </c>
      <c r="J2546" s="54" t="s">
        <v>127</v>
      </c>
      <c r="K2546" s="54" t="s">
        <v>127</v>
      </c>
      <c r="L2546" s="54" t="s">
        <v>15</v>
      </c>
      <c r="M2546" s="54" t="s">
        <v>13</v>
      </c>
      <c r="N2546" s="54" t="s">
        <v>14</v>
      </c>
      <c r="O2546" s="49" t="s">
        <v>814</v>
      </c>
      <c r="P2546" s="54" t="s">
        <v>3392</v>
      </c>
      <c r="Q2546" s="35" t="str">
        <f>MID(Tabla1[[#This Row],[Aplicación]],14,1)</f>
        <v>2</v>
      </c>
      <c r="R2546" s="35" t="s">
        <v>495</v>
      </c>
      <c r="S2546" s="35" t="str">
        <f>MID(Tabla1[[#This Row],[Aplicación]],6,2)</f>
        <v>11</v>
      </c>
      <c r="T2546" s="35" t="str">
        <f>VLOOKUP(Tabla1[[#This Row],[AREA]],Hoja1!A:B,2,FALSE)</f>
        <v>11. Salud pública y seguridad ciudadana</v>
      </c>
      <c r="U2546" s="35" t="str">
        <f>MID(Tabla1[[#This Row],[Aplicación]],9,4)</f>
        <v>1361</v>
      </c>
      <c r="V2546" s="35" t="str">
        <f>VLOOKUP(Tabla1[[#This Row],[PROGRAMA]],Hoja1!A:B,2,FALSE)</f>
        <v>1361. Prevención y extinción de incencios</v>
      </c>
      <c r="W2546" s="35" t="str">
        <f>MID(Tabla1[[#This Row],[Aplicación]],14,2)</f>
        <v>22</v>
      </c>
      <c r="X2546" s="35" t="str">
        <f>MID(Tabla1[[#This Row],[Aplicación]],14,6)</f>
        <v>22199</v>
      </c>
    </row>
    <row r="2547" spans="1:24" x14ac:dyDescent="0.25">
      <c r="A2547" s="45">
        <v>220210018992</v>
      </c>
      <c r="B2547" s="46" t="s">
        <v>9</v>
      </c>
      <c r="C2547" s="47">
        <v>44316</v>
      </c>
      <c r="D2547" s="45">
        <v>22021004219</v>
      </c>
      <c r="E2547" s="46" t="s">
        <v>823</v>
      </c>
      <c r="F2547" s="48">
        <v>880</v>
      </c>
      <c r="G2547" s="54" t="s">
        <v>4063</v>
      </c>
      <c r="H2547" s="54" t="s">
        <v>4064</v>
      </c>
      <c r="I2547" s="53" t="s">
        <v>125</v>
      </c>
      <c r="J2547" s="54" t="s">
        <v>4065</v>
      </c>
      <c r="K2547" s="54" t="s">
        <v>127</v>
      </c>
      <c r="L2547" s="54" t="s">
        <v>12</v>
      </c>
      <c r="M2547" s="54" t="s">
        <v>10</v>
      </c>
      <c r="N2547" s="54" t="s">
        <v>11</v>
      </c>
      <c r="O2547" s="49" t="s">
        <v>815</v>
      </c>
      <c r="P2547" s="54" t="s">
        <v>3392</v>
      </c>
      <c r="Q2547" s="35" t="str">
        <f>MID(Tabla1[[#This Row],[Aplicación]],14,1)</f>
        <v>2</v>
      </c>
      <c r="R2547" s="35" t="s">
        <v>495</v>
      </c>
      <c r="S2547" s="35" t="str">
        <f>MID(Tabla1[[#This Row],[Aplicación]],6,2)</f>
        <v>03</v>
      </c>
      <c r="T2547" s="35" t="str">
        <f>VLOOKUP(Tabla1[[#This Row],[AREA]],Hoja1!A:B,2,FALSE)</f>
        <v>03. Participación ciudadana y deportes</v>
      </c>
      <c r="U2547" s="35" t="str">
        <f>MID(Tabla1[[#This Row],[Aplicación]],9,4)</f>
        <v>9241</v>
      </c>
      <c r="V2547" s="35" t="str">
        <f>VLOOKUP(Tabla1[[#This Row],[PROGRAMA]],Hoja1!A:B,2,FALSE)</f>
        <v>9241. Participación ciudadana</v>
      </c>
      <c r="W2547" s="35" t="str">
        <f>MID(Tabla1[[#This Row],[Aplicación]],14,2)</f>
        <v>22</v>
      </c>
      <c r="X2547" s="35" t="str">
        <f>MID(Tabla1[[#This Row],[Aplicación]],14,6)</f>
        <v>22609</v>
      </c>
    </row>
    <row r="2548" spans="1:24" x14ac:dyDescent="0.25">
      <c r="A2548" s="45">
        <v>220210033118</v>
      </c>
      <c r="B2548" s="46" t="s">
        <v>9</v>
      </c>
      <c r="C2548" s="47">
        <v>44377</v>
      </c>
      <c r="D2548" s="45">
        <v>22021004977</v>
      </c>
      <c r="E2548" s="46" t="s">
        <v>1380</v>
      </c>
      <c r="F2548" s="48">
        <v>876.95</v>
      </c>
      <c r="G2548" s="54" t="s">
        <v>60</v>
      </c>
      <c r="H2548" s="54" t="s">
        <v>4066</v>
      </c>
      <c r="I2548" s="53" t="s">
        <v>125</v>
      </c>
      <c r="J2548" s="54" t="s">
        <v>127</v>
      </c>
      <c r="K2548" s="54" t="s">
        <v>127</v>
      </c>
      <c r="L2548" s="54" t="s">
        <v>12</v>
      </c>
      <c r="M2548" s="54" t="s">
        <v>10</v>
      </c>
      <c r="N2548" s="54" t="s">
        <v>11</v>
      </c>
      <c r="O2548" s="49" t="s">
        <v>815</v>
      </c>
      <c r="P2548" s="54" t="s">
        <v>3392</v>
      </c>
      <c r="Q2548" s="35" t="str">
        <f>MID(Tabla1[[#This Row],[Aplicación]],14,1)</f>
        <v>2</v>
      </c>
      <c r="R2548" s="35" t="s">
        <v>495</v>
      </c>
      <c r="S2548" s="35" t="str">
        <f>MID(Tabla1[[#This Row],[Aplicación]],6,2)</f>
        <v>03</v>
      </c>
      <c r="T2548" s="35" t="str">
        <f>VLOOKUP(Tabla1[[#This Row],[AREA]],Hoja1!A:B,2,FALSE)</f>
        <v>03. Participación ciudadana y deportes</v>
      </c>
      <c r="U2548" s="35" t="str">
        <f>MID(Tabla1[[#This Row],[Aplicación]],9,4)</f>
        <v>9241</v>
      </c>
      <c r="V2548" s="35" t="str">
        <f>VLOOKUP(Tabla1[[#This Row],[PROGRAMA]],Hoja1!A:B,2,FALSE)</f>
        <v>9241. Participación ciudadana</v>
      </c>
      <c r="W2548" s="35" t="str">
        <f>MID(Tabla1[[#This Row],[Aplicación]],14,2)</f>
        <v>22</v>
      </c>
      <c r="X2548" s="35" t="str">
        <f>MID(Tabla1[[#This Row],[Aplicación]],14,6)</f>
        <v>22699</v>
      </c>
    </row>
    <row r="2549" spans="1:24" x14ac:dyDescent="0.25">
      <c r="A2549" s="45">
        <v>220210028162</v>
      </c>
      <c r="B2549" s="46" t="s">
        <v>9</v>
      </c>
      <c r="C2549" s="47">
        <v>44349</v>
      </c>
      <c r="D2549" s="45">
        <v>22021004592</v>
      </c>
      <c r="E2549" s="46" t="s">
        <v>3367</v>
      </c>
      <c r="F2549" s="48">
        <v>874.83</v>
      </c>
      <c r="G2549" s="54" t="s">
        <v>4007</v>
      </c>
      <c r="H2549" s="54" t="s">
        <v>4008</v>
      </c>
      <c r="I2549" s="53" t="s">
        <v>125</v>
      </c>
      <c r="J2549" s="54" t="s">
        <v>162</v>
      </c>
      <c r="K2549" s="54" t="s">
        <v>162</v>
      </c>
      <c r="L2549" s="54" t="s">
        <v>15</v>
      </c>
      <c r="M2549" s="54" t="s">
        <v>10</v>
      </c>
      <c r="N2549" s="54" t="s">
        <v>11</v>
      </c>
      <c r="O2549" s="49" t="s">
        <v>815</v>
      </c>
      <c r="P2549" s="54" t="s">
        <v>3392</v>
      </c>
      <c r="Q2549" s="35" t="str">
        <f>MID(Tabla1[[#This Row],[Aplicación]],14,1)</f>
        <v>2</v>
      </c>
      <c r="R2549" s="35" t="s">
        <v>495</v>
      </c>
      <c r="S2549" s="35" t="str">
        <f>MID(Tabla1[[#This Row],[Aplicación]],6,2)</f>
        <v>10</v>
      </c>
      <c r="T2549" s="35" t="str">
        <f>VLOOKUP(Tabla1[[#This Row],[AREA]],Hoja1!A:B,2,FALSE)</f>
        <v>10. Servicios sociales y mediación comunitaria</v>
      </c>
      <c r="U2549" s="35" t="str">
        <f>MID(Tabla1[[#This Row],[Aplicación]],9,4)</f>
        <v>2412</v>
      </c>
      <c r="V2549" s="35" t="str">
        <f>VLOOKUP(Tabla1[[#This Row],[PROGRAMA]],Hoja1!A:B,2,FALSE)</f>
        <v>2412. Formación para el empleo</v>
      </c>
      <c r="W2549" s="35" t="str">
        <f>MID(Tabla1[[#This Row],[Aplicación]],14,2)</f>
        <v>22</v>
      </c>
      <c r="X2549" s="35" t="str">
        <f>MID(Tabla1[[#This Row],[Aplicación]],14,6)</f>
        <v>22706</v>
      </c>
    </row>
    <row r="2550" spans="1:24" x14ac:dyDescent="0.25">
      <c r="A2550" s="45">
        <v>220210024849</v>
      </c>
      <c r="B2550" s="46" t="s">
        <v>9</v>
      </c>
      <c r="C2550" s="47">
        <v>44341</v>
      </c>
      <c r="D2550" s="45">
        <v>22021004545</v>
      </c>
      <c r="E2550" s="46" t="s">
        <v>3286</v>
      </c>
      <c r="F2550" s="48">
        <v>871.2</v>
      </c>
      <c r="G2550" s="54" t="s">
        <v>3196</v>
      </c>
      <c r="H2550" s="54" t="s">
        <v>4067</v>
      </c>
      <c r="I2550" s="53" t="s">
        <v>125</v>
      </c>
      <c r="J2550" s="54" t="s">
        <v>127</v>
      </c>
      <c r="K2550" s="54" t="s">
        <v>127</v>
      </c>
      <c r="L2550" s="54" t="s">
        <v>12</v>
      </c>
      <c r="M2550" s="54" t="s">
        <v>10</v>
      </c>
      <c r="N2550" s="54" t="s">
        <v>11</v>
      </c>
      <c r="O2550" s="49" t="s">
        <v>815</v>
      </c>
      <c r="P2550" s="54" t="s">
        <v>3392</v>
      </c>
      <c r="Q2550" s="35" t="str">
        <f>MID(Tabla1[[#This Row],[Aplicación]],14,1)</f>
        <v>2</v>
      </c>
      <c r="R2550" s="35" t="s">
        <v>495</v>
      </c>
      <c r="S2550" s="35" t="str">
        <f>MID(Tabla1[[#This Row],[Aplicación]],6,2)</f>
        <v>09</v>
      </c>
      <c r="T2550" s="35" t="str">
        <f>VLOOKUP(Tabla1[[#This Row],[AREA]],Hoja1!A:B,2,FALSE)</f>
        <v>09. Cultura y turismo</v>
      </c>
      <c r="U2550" s="35" t="str">
        <f>MID(Tabla1[[#This Row],[Aplicación]],9,4)</f>
        <v>3341</v>
      </c>
      <c r="V2550" s="35" t="str">
        <f>VLOOKUP(Tabla1[[#This Row],[PROGRAMA]],Hoja1!A:B,2,FALSE)</f>
        <v>3341. Coordinación de políticas culturales</v>
      </c>
      <c r="W2550" s="35" t="str">
        <f>MID(Tabla1[[#This Row],[Aplicación]],14,2)</f>
        <v>22</v>
      </c>
      <c r="X2550" s="35" t="str">
        <f>MID(Tabla1[[#This Row],[Aplicación]],14,6)</f>
        <v>22602</v>
      </c>
    </row>
    <row r="2551" spans="1:24" x14ac:dyDescent="0.25">
      <c r="A2551" s="45">
        <v>220210016747</v>
      </c>
      <c r="B2551" s="46" t="s">
        <v>9</v>
      </c>
      <c r="C2551" s="47">
        <v>44308</v>
      </c>
      <c r="D2551" s="45">
        <v>22021002235</v>
      </c>
      <c r="E2551" s="46" t="s">
        <v>1491</v>
      </c>
      <c r="F2551" s="48">
        <v>871.2</v>
      </c>
      <c r="G2551" s="54" t="s">
        <v>110</v>
      </c>
      <c r="H2551" s="54" t="s">
        <v>4068</v>
      </c>
      <c r="I2551" s="53" t="s">
        <v>125</v>
      </c>
      <c r="J2551" s="54" t="s">
        <v>729</v>
      </c>
      <c r="K2551" s="54" t="s">
        <v>126</v>
      </c>
      <c r="L2551" s="54" t="s">
        <v>15</v>
      </c>
      <c r="M2551" s="54" t="s">
        <v>10</v>
      </c>
      <c r="N2551" s="54" t="s">
        <v>11</v>
      </c>
      <c r="O2551" s="49" t="s">
        <v>815</v>
      </c>
      <c r="P2551" s="54" t="s">
        <v>3392</v>
      </c>
      <c r="Q2551" s="35" t="str">
        <f>MID(Tabla1[[#This Row],[Aplicación]],14,1)</f>
        <v>2</v>
      </c>
      <c r="R2551" s="35" t="s">
        <v>495</v>
      </c>
      <c r="S2551" s="35" t="str">
        <f>MID(Tabla1[[#This Row],[Aplicación]],6,2)</f>
        <v>11</v>
      </c>
      <c r="T2551" s="35" t="str">
        <f>VLOOKUP(Tabla1[[#This Row],[AREA]],Hoja1!A:B,2,FALSE)</f>
        <v>11. Salud pública y seguridad ciudadana</v>
      </c>
      <c r="U2551" s="35" t="str">
        <f>MID(Tabla1[[#This Row],[Aplicación]],9,4)</f>
        <v>1621</v>
      </c>
      <c r="V2551" s="35" t="str">
        <f>VLOOKUP(Tabla1[[#This Row],[PROGRAMA]],Hoja1!A:B,2,FALSE)</f>
        <v>1621. Servicio de limpieza</v>
      </c>
      <c r="W2551" s="35" t="str">
        <f>MID(Tabla1[[#This Row],[Aplicación]],14,2)</f>
        <v>21</v>
      </c>
      <c r="X2551" s="35" t="str">
        <f>MID(Tabla1[[#This Row],[Aplicación]],14,6)</f>
        <v>219</v>
      </c>
    </row>
    <row r="2552" spans="1:24" x14ac:dyDescent="0.25">
      <c r="A2552" s="45">
        <v>220210032974</v>
      </c>
      <c r="B2552" s="46" t="s">
        <v>204</v>
      </c>
      <c r="C2552" s="47">
        <v>44375</v>
      </c>
      <c r="D2552" s="45">
        <v>22021001275</v>
      </c>
      <c r="E2552" s="46" t="s">
        <v>1334</v>
      </c>
      <c r="F2552" s="48">
        <v>103.46</v>
      </c>
      <c r="G2552" s="54" t="s">
        <v>266</v>
      </c>
      <c r="H2552" s="54" t="s">
        <v>1713</v>
      </c>
      <c r="I2552" s="53" t="s">
        <v>205</v>
      </c>
      <c r="J2552" s="54" t="s">
        <v>127</v>
      </c>
      <c r="K2552" s="54" t="s">
        <v>127</v>
      </c>
      <c r="L2552" s="54" t="s">
        <v>15</v>
      </c>
      <c r="M2552" s="54" t="s">
        <v>13</v>
      </c>
      <c r="N2552" s="54" t="s">
        <v>14</v>
      </c>
      <c r="O2552" s="49" t="s">
        <v>814</v>
      </c>
      <c r="P2552" s="54" t="s">
        <v>3392</v>
      </c>
      <c r="Q2552" s="35" t="str">
        <f>MID(Tabla1[[#This Row],[Aplicación]],14,1)</f>
        <v>2</v>
      </c>
      <c r="R2552" s="35" t="s">
        <v>495</v>
      </c>
      <c r="S2552" s="35" t="str">
        <f>MID(Tabla1[[#This Row],[Aplicación]],6,2)</f>
        <v>07</v>
      </c>
      <c r="T2552" s="35" t="str">
        <f>VLOOKUP(Tabla1[[#This Row],[AREA]],Hoja1!A:B,2,FALSE)</f>
        <v>07. Medio ambiente y desarrollo sostenible</v>
      </c>
      <c r="U2552" s="35" t="str">
        <f>MID(Tabla1[[#This Row],[Aplicación]],9,4)</f>
        <v>1711</v>
      </c>
      <c r="V2552" s="35" t="str">
        <f>VLOOKUP(Tabla1[[#This Row],[PROGRAMA]],Hoja1!A:B,2,FALSE)</f>
        <v>1711. Parques y jardines</v>
      </c>
      <c r="W2552" s="35" t="str">
        <f>MID(Tabla1[[#This Row],[Aplicación]],14,2)</f>
        <v>22</v>
      </c>
      <c r="X2552" s="35" t="str">
        <f>MID(Tabla1[[#This Row],[Aplicación]],14,6)</f>
        <v>22199</v>
      </c>
    </row>
    <row r="2553" spans="1:24" x14ac:dyDescent="0.25">
      <c r="A2553" s="45">
        <v>220210032719</v>
      </c>
      <c r="B2553" s="46" t="s">
        <v>204</v>
      </c>
      <c r="C2553" s="47">
        <v>44371</v>
      </c>
      <c r="D2553" s="45">
        <v>22021002048</v>
      </c>
      <c r="E2553" s="46" t="s">
        <v>890</v>
      </c>
      <c r="F2553" s="48">
        <v>1346.68</v>
      </c>
      <c r="G2553" s="54" t="s">
        <v>271</v>
      </c>
      <c r="H2553" s="54" t="s">
        <v>4069</v>
      </c>
      <c r="I2553" s="53" t="s">
        <v>205</v>
      </c>
      <c r="J2553" s="54" t="s">
        <v>127</v>
      </c>
      <c r="K2553" s="54" t="s">
        <v>127</v>
      </c>
      <c r="L2553" s="54" t="s">
        <v>15</v>
      </c>
      <c r="M2553" s="54" t="s">
        <v>13</v>
      </c>
      <c r="N2553" s="54" t="s">
        <v>14</v>
      </c>
      <c r="O2553" s="49" t="s">
        <v>814</v>
      </c>
      <c r="P2553" s="54" t="s">
        <v>3392</v>
      </c>
      <c r="Q2553" s="35" t="str">
        <f>MID(Tabla1[[#This Row],[Aplicación]],14,1)</f>
        <v>2</v>
      </c>
      <c r="R2553" s="35" t="s">
        <v>495</v>
      </c>
      <c r="S2553" s="35" t="str">
        <f>MID(Tabla1[[#This Row],[Aplicación]],6,2)</f>
        <v>11</v>
      </c>
      <c r="T2553" s="35" t="str">
        <f>VLOOKUP(Tabla1[[#This Row],[AREA]],Hoja1!A:B,2,FALSE)</f>
        <v>11. Salud pública y seguridad ciudadana</v>
      </c>
      <c r="U2553" s="35" t="str">
        <f>MID(Tabla1[[#This Row],[Aplicación]],9,4)</f>
        <v>1621</v>
      </c>
      <c r="V2553" s="35" t="str">
        <f>VLOOKUP(Tabla1[[#This Row],[PROGRAMA]],Hoja1!A:B,2,FALSE)</f>
        <v>1621. Servicio de limpieza</v>
      </c>
      <c r="W2553" s="35" t="str">
        <f>MID(Tabla1[[#This Row],[Aplicación]],14,2)</f>
        <v>21</v>
      </c>
      <c r="X2553" s="35" t="str">
        <f>MID(Tabla1[[#This Row],[Aplicación]],14,6)</f>
        <v>214</v>
      </c>
    </row>
    <row r="2554" spans="1:24" x14ac:dyDescent="0.25">
      <c r="A2554" s="45">
        <v>220210015607</v>
      </c>
      <c r="B2554" s="46" t="s">
        <v>204</v>
      </c>
      <c r="C2554" s="47">
        <v>44302</v>
      </c>
      <c r="D2554" s="45">
        <v>22021002049</v>
      </c>
      <c r="E2554" s="46" t="s">
        <v>1671</v>
      </c>
      <c r="F2554" s="48">
        <v>1334.87</v>
      </c>
      <c r="G2554" s="54" t="s">
        <v>265</v>
      </c>
      <c r="H2554" s="54" t="s">
        <v>4070</v>
      </c>
      <c r="I2554" s="53" t="s">
        <v>205</v>
      </c>
      <c r="J2554" s="54" t="s">
        <v>157</v>
      </c>
      <c r="K2554" s="54" t="s">
        <v>157</v>
      </c>
      <c r="L2554" s="54" t="s">
        <v>15</v>
      </c>
      <c r="M2554" s="54" t="s">
        <v>13</v>
      </c>
      <c r="N2554" s="54" t="s">
        <v>14</v>
      </c>
      <c r="O2554" s="49" t="s">
        <v>814</v>
      </c>
      <c r="P2554" s="54" t="s">
        <v>3392</v>
      </c>
      <c r="Q2554" s="35" t="str">
        <f>MID(Tabla1[[#This Row],[Aplicación]],14,1)</f>
        <v>2</v>
      </c>
      <c r="R2554" s="35" t="s">
        <v>495</v>
      </c>
      <c r="S2554" s="35" t="str">
        <f>MID(Tabla1[[#This Row],[Aplicación]],6,2)</f>
        <v>11</v>
      </c>
      <c r="T2554" s="35" t="str">
        <f>VLOOKUP(Tabla1[[#This Row],[AREA]],Hoja1!A:B,2,FALSE)</f>
        <v>11. Salud pública y seguridad ciudadana</v>
      </c>
      <c r="U2554" s="35" t="str">
        <f>MID(Tabla1[[#This Row],[Aplicación]],9,4)</f>
        <v>1621</v>
      </c>
      <c r="V2554" s="35" t="str">
        <f>VLOOKUP(Tabla1[[#This Row],[PROGRAMA]],Hoja1!A:B,2,FALSE)</f>
        <v>1621. Servicio de limpieza</v>
      </c>
      <c r="W2554" s="35" t="str">
        <f>MID(Tabla1[[#This Row],[Aplicación]],14,2)</f>
        <v>22</v>
      </c>
      <c r="X2554" s="35" t="str">
        <f>MID(Tabla1[[#This Row],[Aplicación]],14,6)</f>
        <v>22103</v>
      </c>
    </row>
    <row r="2555" spans="1:24" x14ac:dyDescent="0.25">
      <c r="A2555" s="45">
        <v>220210027667</v>
      </c>
      <c r="B2555" s="46" t="s">
        <v>204</v>
      </c>
      <c r="C2555" s="47">
        <v>44348</v>
      </c>
      <c r="D2555" s="45">
        <v>22021002049</v>
      </c>
      <c r="E2555" s="46" t="s">
        <v>1671</v>
      </c>
      <c r="F2555" s="48">
        <v>1334.87</v>
      </c>
      <c r="G2555" s="54" t="s">
        <v>265</v>
      </c>
      <c r="H2555" s="54" t="s">
        <v>4071</v>
      </c>
      <c r="I2555" s="53" t="s">
        <v>205</v>
      </c>
      <c r="J2555" s="54" t="s">
        <v>157</v>
      </c>
      <c r="K2555" s="54" t="s">
        <v>157</v>
      </c>
      <c r="L2555" s="54" t="s">
        <v>15</v>
      </c>
      <c r="M2555" s="54" t="s">
        <v>13</v>
      </c>
      <c r="N2555" s="54" t="s">
        <v>14</v>
      </c>
      <c r="O2555" s="49" t="s">
        <v>814</v>
      </c>
      <c r="P2555" s="54" t="s">
        <v>3392</v>
      </c>
      <c r="Q2555" s="35" t="str">
        <f>MID(Tabla1[[#This Row],[Aplicación]],14,1)</f>
        <v>2</v>
      </c>
      <c r="R2555" s="35" t="s">
        <v>495</v>
      </c>
      <c r="S2555" s="35" t="str">
        <f>MID(Tabla1[[#This Row],[Aplicación]],6,2)</f>
        <v>11</v>
      </c>
      <c r="T2555" s="35" t="str">
        <f>VLOOKUP(Tabla1[[#This Row],[AREA]],Hoja1!A:B,2,FALSE)</f>
        <v>11. Salud pública y seguridad ciudadana</v>
      </c>
      <c r="U2555" s="35" t="str">
        <f>MID(Tabla1[[#This Row],[Aplicación]],9,4)</f>
        <v>1621</v>
      </c>
      <c r="V2555" s="35" t="str">
        <f>VLOOKUP(Tabla1[[#This Row],[PROGRAMA]],Hoja1!A:B,2,FALSE)</f>
        <v>1621. Servicio de limpieza</v>
      </c>
      <c r="W2555" s="35" t="str">
        <f>MID(Tabla1[[#This Row],[Aplicación]],14,2)</f>
        <v>22</v>
      </c>
      <c r="X2555" s="35" t="str">
        <f>MID(Tabla1[[#This Row],[Aplicación]],14,6)</f>
        <v>22103</v>
      </c>
    </row>
    <row r="2556" spans="1:24" x14ac:dyDescent="0.25">
      <c r="A2556" s="45">
        <v>220210017121</v>
      </c>
      <c r="B2556" s="46" t="s">
        <v>9</v>
      </c>
      <c r="C2556" s="47">
        <v>44312</v>
      </c>
      <c r="D2556" s="45">
        <v>22021004058</v>
      </c>
      <c r="E2556" s="46" t="s">
        <v>1183</v>
      </c>
      <c r="F2556" s="48">
        <v>862.26</v>
      </c>
      <c r="G2556" s="54" t="s">
        <v>1184</v>
      </c>
      <c r="H2556" s="54" t="s">
        <v>4072</v>
      </c>
      <c r="I2556" s="53" t="s">
        <v>125</v>
      </c>
      <c r="J2556" s="54" t="s">
        <v>127</v>
      </c>
      <c r="K2556" s="54" t="s">
        <v>127</v>
      </c>
      <c r="L2556" s="54" t="s">
        <v>15</v>
      </c>
      <c r="M2556" s="54" t="s">
        <v>10</v>
      </c>
      <c r="N2556" s="54" t="s">
        <v>11</v>
      </c>
      <c r="O2556" s="49" t="s">
        <v>815</v>
      </c>
      <c r="P2556" s="54" t="s">
        <v>3392</v>
      </c>
      <c r="Q2556" s="35" t="str">
        <f>MID(Tabla1[[#This Row],[Aplicación]],14,1)</f>
        <v>2</v>
      </c>
      <c r="R2556" s="35" t="s">
        <v>495</v>
      </c>
      <c r="S2556" s="35" t="str">
        <f>MID(Tabla1[[#This Row],[Aplicación]],6,2)</f>
        <v>11</v>
      </c>
      <c r="T2556" s="35" t="str">
        <f>VLOOKUP(Tabla1[[#This Row],[AREA]],Hoja1!A:B,2,FALSE)</f>
        <v>11. Salud pública y seguridad ciudadana</v>
      </c>
      <c r="U2556" s="35" t="str">
        <f>MID(Tabla1[[#This Row],[Aplicación]],9,4)</f>
        <v>1361</v>
      </c>
      <c r="V2556" s="35" t="str">
        <f>VLOOKUP(Tabla1[[#This Row],[PROGRAMA]],Hoja1!A:B,2,FALSE)</f>
        <v>1361. Prevención y extinción de incencios</v>
      </c>
      <c r="W2556" s="35" t="str">
        <f>MID(Tabla1[[#This Row],[Aplicación]],14,2)</f>
        <v>22</v>
      </c>
      <c r="X2556" s="35" t="str">
        <f>MID(Tabla1[[#This Row],[Aplicación]],14,6)</f>
        <v>22199</v>
      </c>
    </row>
    <row r="2557" spans="1:24" x14ac:dyDescent="0.25">
      <c r="A2557" s="45">
        <v>220210020627</v>
      </c>
      <c r="B2557" s="46" t="s">
        <v>204</v>
      </c>
      <c r="C2557" s="47">
        <v>44323</v>
      </c>
      <c r="D2557" s="45">
        <v>22021002048</v>
      </c>
      <c r="E2557" s="46" t="s">
        <v>890</v>
      </c>
      <c r="F2557" s="48">
        <v>1331.3</v>
      </c>
      <c r="G2557" s="54" t="s">
        <v>271</v>
      </c>
      <c r="H2557" s="54" t="s">
        <v>1447</v>
      </c>
      <c r="I2557" s="53" t="s">
        <v>205</v>
      </c>
      <c r="J2557" s="54" t="s">
        <v>127</v>
      </c>
      <c r="K2557" s="54" t="s">
        <v>127</v>
      </c>
      <c r="L2557" s="54" t="s">
        <v>15</v>
      </c>
      <c r="M2557" s="54" t="s">
        <v>13</v>
      </c>
      <c r="N2557" s="54" t="s">
        <v>14</v>
      </c>
      <c r="O2557" s="49" t="s">
        <v>814</v>
      </c>
      <c r="P2557" s="54" t="s">
        <v>3392</v>
      </c>
      <c r="Q2557" s="35" t="str">
        <f>MID(Tabla1[[#This Row],[Aplicación]],14,1)</f>
        <v>2</v>
      </c>
      <c r="R2557" s="35" t="s">
        <v>495</v>
      </c>
      <c r="S2557" s="35" t="str">
        <f>MID(Tabla1[[#This Row],[Aplicación]],6,2)</f>
        <v>11</v>
      </c>
      <c r="T2557" s="35" t="str">
        <f>VLOOKUP(Tabla1[[#This Row],[AREA]],Hoja1!A:B,2,FALSE)</f>
        <v>11. Salud pública y seguridad ciudadana</v>
      </c>
      <c r="U2557" s="35" t="str">
        <f>MID(Tabla1[[#This Row],[Aplicación]],9,4)</f>
        <v>1621</v>
      </c>
      <c r="V2557" s="35" t="str">
        <f>VLOOKUP(Tabla1[[#This Row],[PROGRAMA]],Hoja1!A:B,2,FALSE)</f>
        <v>1621. Servicio de limpieza</v>
      </c>
      <c r="W2557" s="35" t="str">
        <f>MID(Tabla1[[#This Row],[Aplicación]],14,2)</f>
        <v>21</v>
      </c>
      <c r="X2557" s="35" t="str">
        <f>MID(Tabla1[[#This Row],[Aplicación]],14,6)</f>
        <v>214</v>
      </c>
    </row>
    <row r="2558" spans="1:24" x14ac:dyDescent="0.25">
      <c r="A2558" s="45">
        <v>220210015613</v>
      </c>
      <c r="B2558" s="46" t="s">
        <v>204</v>
      </c>
      <c r="C2558" s="47">
        <v>44302</v>
      </c>
      <c r="D2558" s="45">
        <v>22021002052</v>
      </c>
      <c r="E2558" s="46" t="s">
        <v>1340</v>
      </c>
      <c r="F2558" s="48">
        <v>1328.5</v>
      </c>
      <c r="G2558" s="54" t="s">
        <v>274</v>
      </c>
      <c r="H2558" s="54" t="s">
        <v>4073</v>
      </c>
      <c r="I2558" s="53" t="s">
        <v>205</v>
      </c>
      <c r="J2558" s="54" t="s">
        <v>127</v>
      </c>
      <c r="K2558" s="54" t="s">
        <v>127</v>
      </c>
      <c r="L2558" s="54" t="s">
        <v>15</v>
      </c>
      <c r="M2558" s="54" t="s">
        <v>13</v>
      </c>
      <c r="N2558" s="54" t="s">
        <v>14</v>
      </c>
      <c r="O2558" s="49" t="s">
        <v>814</v>
      </c>
      <c r="P2558" s="54" t="s">
        <v>3392</v>
      </c>
      <c r="Q2558" s="35" t="str">
        <f>MID(Tabla1[[#This Row],[Aplicación]],14,1)</f>
        <v>2</v>
      </c>
      <c r="R2558" s="35" t="s">
        <v>495</v>
      </c>
      <c r="S2558" s="35" t="str">
        <f>MID(Tabla1[[#This Row],[Aplicación]],6,2)</f>
        <v>11</v>
      </c>
      <c r="T2558" s="35" t="str">
        <f>VLOOKUP(Tabla1[[#This Row],[AREA]],Hoja1!A:B,2,FALSE)</f>
        <v>11. Salud pública y seguridad ciudadana</v>
      </c>
      <c r="U2558" s="35" t="str">
        <f>MID(Tabla1[[#This Row],[Aplicación]],9,4)</f>
        <v>1621</v>
      </c>
      <c r="V2558" s="35" t="str">
        <f>VLOOKUP(Tabla1[[#This Row],[PROGRAMA]],Hoja1!A:B,2,FALSE)</f>
        <v>1621. Servicio de limpieza</v>
      </c>
      <c r="W2558" s="35" t="str">
        <f>MID(Tabla1[[#This Row],[Aplicación]],14,2)</f>
        <v>22</v>
      </c>
      <c r="X2558" s="35" t="str">
        <f>MID(Tabla1[[#This Row],[Aplicación]],14,6)</f>
        <v>22199</v>
      </c>
    </row>
    <row r="2559" spans="1:24" x14ac:dyDescent="0.25">
      <c r="A2559" s="45">
        <v>220210020706</v>
      </c>
      <c r="B2559" s="46" t="s">
        <v>204</v>
      </c>
      <c r="C2559" s="47">
        <v>44323</v>
      </c>
      <c r="D2559" s="45">
        <v>22021002048</v>
      </c>
      <c r="E2559" s="46" t="s">
        <v>890</v>
      </c>
      <c r="F2559" s="48">
        <v>1301.73</v>
      </c>
      <c r="G2559" s="54" t="s">
        <v>269</v>
      </c>
      <c r="H2559" s="54" t="s">
        <v>4074</v>
      </c>
      <c r="I2559" s="53" t="s">
        <v>205</v>
      </c>
      <c r="J2559" s="54" t="s">
        <v>127</v>
      </c>
      <c r="K2559" s="54" t="s">
        <v>127</v>
      </c>
      <c r="L2559" s="54" t="s">
        <v>15</v>
      </c>
      <c r="M2559" s="54" t="s">
        <v>13</v>
      </c>
      <c r="N2559" s="54" t="s">
        <v>14</v>
      </c>
      <c r="O2559" s="49" t="s">
        <v>814</v>
      </c>
      <c r="P2559" s="54" t="s">
        <v>3392</v>
      </c>
      <c r="Q2559" s="35" t="str">
        <f>MID(Tabla1[[#This Row],[Aplicación]],14,1)</f>
        <v>2</v>
      </c>
      <c r="R2559" s="35" t="s">
        <v>495</v>
      </c>
      <c r="S2559" s="35" t="str">
        <f>MID(Tabla1[[#This Row],[Aplicación]],6,2)</f>
        <v>11</v>
      </c>
      <c r="T2559" s="35" t="str">
        <f>VLOOKUP(Tabla1[[#This Row],[AREA]],Hoja1!A:B,2,FALSE)</f>
        <v>11. Salud pública y seguridad ciudadana</v>
      </c>
      <c r="U2559" s="35" t="str">
        <f>MID(Tabla1[[#This Row],[Aplicación]],9,4)</f>
        <v>1621</v>
      </c>
      <c r="V2559" s="35" t="str">
        <f>VLOOKUP(Tabla1[[#This Row],[PROGRAMA]],Hoja1!A:B,2,FALSE)</f>
        <v>1621. Servicio de limpieza</v>
      </c>
      <c r="W2559" s="35" t="str">
        <f>MID(Tabla1[[#This Row],[Aplicación]],14,2)</f>
        <v>21</v>
      </c>
      <c r="X2559" s="35" t="str">
        <f>MID(Tabla1[[#This Row],[Aplicación]],14,6)</f>
        <v>214</v>
      </c>
    </row>
    <row r="2560" spans="1:24" x14ac:dyDescent="0.25">
      <c r="A2560" s="45">
        <v>220210015609</v>
      </c>
      <c r="B2560" s="46" t="s">
        <v>204</v>
      </c>
      <c r="C2560" s="47">
        <v>44302</v>
      </c>
      <c r="D2560" s="45">
        <v>22021002049</v>
      </c>
      <c r="E2560" s="46" t="s">
        <v>1671</v>
      </c>
      <c r="F2560" s="48">
        <v>1298.4100000000001</v>
      </c>
      <c r="G2560" s="54" t="s">
        <v>265</v>
      </c>
      <c r="H2560" s="54" t="s">
        <v>4075</v>
      </c>
      <c r="I2560" s="53" t="s">
        <v>205</v>
      </c>
      <c r="J2560" s="54" t="s">
        <v>157</v>
      </c>
      <c r="K2560" s="54" t="s">
        <v>157</v>
      </c>
      <c r="L2560" s="54" t="s">
        <v>15</v>
      </c>
      <c r="M2560" s="54" t="s">
        <v>13</v>
      </c>
      <c r="N2560" s="54" t="s">
        <v>14</v>
      </c>
      <c r="O2560" s="49" t="s">
        <v>814</v>
      </c>
      <c r="P2560" s="54" t="s">
        <v>3392</v>
      </c>
      <c r="Q2560" s="35" t="str">
        <f>MID(Tabla1[[#This Row],[Aplicación]],14,1)</f>
        <v>2</v>
      </c>
      <c r="R2560" s="35" t="s">
        <v>495</v>
      </c>
      <c r="S2560" s="35" t="str">
        <f>MID(Tabla1[[#This Row],[Aplicación]],6,2)</f>
        <v>11</v>
      </c>
      <c r="T2560" s="35" t="str">
        <f>VLOOKUP(Tabla1[[#This Row],[AREA]],Hoja1!A:B,2,FALSE)</f>
        <v>11. Salud pública y seguridad ciudadana</v>
      </c>
      <c r="U2560" s="35" t="str">
        <f>MID(Tabla1[[#This Row],[Aplicación]],9,4)</f>
        <v>1621</v>
      </c>
      <c r="V2560" s="35" t="str">
        <f>VLOOKUP(Tabla1[[#This Row],[PROGRAMA]],Hoja1!A:B,2,FALSE)</f>
        <v>1621. Servicio de limpieza</v>
      </c>
      <c r="W2560" s="35" t="str">
        <f>MID(Tabla1[[#This Row],[Aplicación]],14,2)</f>
        <v>22</v>
      </c>
      <c r="X2560" s="35" t="str">
        <f>MID(Tabla1[[#This Row],[Aplicación]],14,6)</f>
        <v>22103</v>
      </c>
    </row>
    <row r="2561" spans="1:24" x14ac:dyDescent="0.25">
      <c r="A2561" s="45">
        <v>220210031462</v>
      </c>
      <c r="B2561" s="46" t="s">
        <v>9</v>
      </c>
      <c r="C2561" s="47">
        <v>44368</v>
      </c>
      <c r="D2561" s="45">
        <v>22021005012</v>
      </c>
      <c r="E2561" s="46" t="s">
        <v>3370</v>
      </c>
      <c r="F2561" s="48">
        <v>1294.7</v>
      </c>
      <c r="G2561" s="54" t="s">
        <v>235</v>
      </c>
      <c r="H2561" s="54" t="s">
        <v>4076</v>
      </c>
      <c r="I2561" s="53" t="s">
        <v>125</v>
      </c>
      <c r="J2561" s="54" t="s">
        <v>742</v>
      </c>
      <c r="K2561" s="54" t="s">
        <v>165</v>
      </c>
      <c r="L2561" s="54" t="s">
        <v>15</v>
      </c>
      <c r="M2561" s="54" t="s">
        <v>13</v>
      </c>
      <c r="N2561" s="54" t="s">
        <v>14</v>
      </c>
      <c r="O2561" s="49" t="s">
        <v>814</v>
      </c>
      <c r="P2561" s="54" t="s">
        <v>3392</v>
      </c>
      <c r="Q2561" s="35" t="str">
        <f>MID(Tabla1[[#This Row],[Aplicación]],14,1)</f>
        <v>6</v>
      </c>
      <c r="R2561" s="35" t="s">
        <v>496</v>
      </c>
      <c r="S2561" s="35" t="str">
        <f>MID(Tabla1[[#This Row],[Aplicación]],6,2)</f>
        <v>02</v>
      </c>
      <c r="T2561" s="35" t="str">
        <f>VLOOKUP(Tabla1[[#This Row],[AREA]],Hoja1!A:B,2,FALSE)</f>
        <v>02. Planeamiento urbanístico y vivienda</v>
      </c>
      <c r="U2561" s="35" t="str">
        <f>MID(Tabla1[[#This Row],[Aplicación]],9,4)</f>
        <v>9332</v>
      </c>
      <c r="V2561" s="35" t="str">
        <f>VLOOKUP(Tabla1[[#This Row],[PROGRAMA]],Hoja1!A:B,2,FALSE)</f>
        <v>9332. Mantenimiento de edificios e instalaciones municipales</v>
      </c>
      <c r="W2561" s="35" t="str">
        <f>MID(Tabla1[[#This Row],[Aplicación]],14,2)</f>
        <v>62</v>
      </c>
      <c r="X2561" s="35" t="str">
        <f>MID(Tabla1[[#This Row],[Aplicación]],14,6)</f>
        <v>623</v>
      </c>
    </row>
    <row r="2562" spans="1:24" x14ac:dyDescent="0.25">
      <c r="A2562" s="45">
        <v>220210014212</v>
      </c>
      <c r="B2562" s="46" t="s">
        <v>204</v>
      </c>
      <c r="C2562" s="47">
        <v>44293</v>
      </c>
      <c r="D2562" s="45">
        <v>22021002048</v>
      </c>
      <c r="E2562" s="46" t="s">
        <v>890</v>
      </c>
      <c r="F2562" s="48">
        <v>1290.22</v>
      </c>
      <c r="G2562" s="54" t="s">
        <v>271</v>
      </c>
      <c r="H2562" s="54" t="s">
        <v>4077</v>
      </c>
      <c r="I2562" s="53" t="s">
        <v>205</v>
      </c>
      <c r="J2562" s="54" t="s">
        <v>127</v>
      </c>
      <c r="K2562" s="54" t="s">
        <v>127</v>
      </c>
      <c r="L2562" s="54" t="s">
        <v>15</v>
      </c>
      <c r="M2562" s="54" t="s">
        <v>13</v>
      </c>
      <c r="N2562" s="54" t="s">
        <v>14</v>
      </c>
      <c r="O2562" s="49" t="s">
        <v>814</v>
      </c>
      <c r="P2562" s="54" t="s">
        <v>3392</v>
      </c>
      <c r="Q2562" s="35" t="str">
        <f>MID(Tabla1[[#This Row],[Aplicación]],14,1)</f>
        <v>2</v>
      </c>
      <c r="R2562" s="35" t="s">
        <v>495</v>
      </c>
      <c r="S2562" s="35" t="str">
        <f>MID(Tabla1[[#This Row],[Aplicación]],6,2)</f>
        <v>11</v>
      </c>
      <c r="T2562" s="35" t="str">
        <f>VLOOKUP(Tabla1[[#This Row],[AREA]],Hoja1!A:B,2,FALSE)</f>
        <v>11. Salud pública y seguridad ciudadana</v>
      </c>
      <c r="U2562" s="35" t="str">
        <f>MID(Tabla1[[#This Row],[Aplicación]],9,4)</f>
        <v>1621</v>
      </c>
      <c r="V2562" s="35" t="str">
        <f>VLOOKUP(Tabla1[[#This Row],[PROGRAMA]],Hoja1!A:B,2,FALSE)</f>
        <v>1621. Servicio de limpieza</v>
      </c>
      <c r="W2562" s="35" t="str">
        <f>MID(Tabla1[[#This Row],[Aplicación]],14,2)</f>
        <v>21</v>
      </c>
      <c r="X2562" s="35" t="str">
        <f>MID(Tabla1[[#This Row],[Aplicación]],14,6)</f>
        <v>214</v>
      </c>
    </row>
    <row r="2563" spans="1:24" x14ac:dyDescent="0.25">
      <c r="A2563" s="45">
        <v>220210026057</v>
      </c>
      <c r="B2563" s="46" t="s">
        <v>9</v>
      </c>
      <c r="C2563" s="47">
        <v>44347</v>
      </c>
      <c r="D2563" s="45">
        <v>22021004637</v>
      </c>
      <c r="E2563" s="46" t="s">
        <v>890</v>
      </c>
      <c r="F2563" s="48">
        <v>847</v>
      </c>
      <c r="G2563" s="54" t="s">
        <v>2818</v>
      </c>
      <c r="H2563" s="54" t="s">
        <v>4078</v>
      </c>
      <c r="I2563" s="53" t="s">
        <v>125</v>
      </c>
      <c r="J2563" s="54" t="s">
        <v>778</v>
      </c>
      <c r="K2563" s="54" t="s">
        <v>126</v>
      </c>
      <c r="L2563" s="54" t="s">
        <v>15</v>
      </c>
      <c r="M2563" s="54" t="s">
        <v>10</v>
      </c>
      <c r="N2563" s="54" t="s">
        <v>11</v>
      </c>
      <c r="O2563" s="49" t="s">
        <v>815</v>
      </c>
      <c r="P2563" s="54" t="s">
        <v>3392</v>
      </c>
      <c r="Q2563" s="35" t="str">
        <f>MID(Tabla1[[#This Row],[Aplicación]],14,1)</f>
        <v>2</v>
      </c>
      <c r="R2563" s="35" t="s">
        <v>495</v>
      </c>
      <c r="S2563" s="35" t="str">
        <f>MID(Tabla1[[#This Row],[Aplicación]],6,2)</f>
        <v>11</v>
      </c>
      <c r="T2563" s="35" t="str">
        <f>VLOOKUP(Tabla1[[#This Row],[AREA]],Hoja1!A:B,2,FALSE)</f>
        <v>11. Salud pública y seguridad ciudadana</v>
      </c>
      <c r="U2563" s="35" t="str">
        <f>MID(Tabla1[[#This Row],[Aplicación]],9,4)</f>
        <v>1621</v>
      </c>
      <c r="V2563" s="35" t="str">
        <f>VLOOKUP(Tabla1[[#This Row],[PROGRAMA]],Hoja1!A:B,2,FALSE)</f>
        <v>1621. Servicio de limpieza</v>
      </c>
      <c r="W2563" s="35" t="str">
        <f>MID(Tabla1[[#This Row],[Aplicación]],14,2)</f>
        <v>21</v>
      </c>
      <c r="X2563" s="35" t="str">
        <f>MID(Tabla1[[#This Row],[Aplicación]],14,6)</f>
        <v>214</v>
      </c>
    </row>
    <row r="2564" spans="1:24" x14ac:dyDescent="0.25">
      <c r="A2564" s="45">
        <v>220210031363</v>
      </c>
      <c r="B2564" s="46" t="s">
        <v>9</v>
      </c>
      <c r="C2564" s="47">
        <v>44365</v>
      </c>
      <c r="D2564" s="45">
        <v>22021004942</v>
      </c>
      <c r="E2564" s="46" t="s">
        <v>1336</v>
      </c>
      <c r="F2564" s="48">
        <v>847</v>
      </c>
      <c r="G2564" s="54" t="s">
        <v>3960</v>
      </c>
      <c r="H2564" s="54" t="s">
        <v>4079</v>
      </c>
      <c r="I2564" s="53" t="s">
        <v>125</v>
      </c>
      <c r="J2564" s="54" t="s">
        <v>127</v>
      </c>
      <c r="K2564" s="54" t="s">
        <v>127</v>
      </c>
      <c r="L2564" s="54" t="s">
        <v>15</v>
      </c>
      <c r="M2564" s="54" t="s">
        <v>10</v>
      </c>
      <c r="N2564" s="54" t="s">
        <v>11</v>
      </c>
      <c r="O2564" s="49" t="s">
        <v>815</v>
      </c>
      <c r="P2564" s="54" t="s">
        <v>3392</v>
      </c>
      <c r="Q2564" s="35" t="str">
        <f>MID(Tabla1[[#This Row],[Aplicación]],14,1)</f>
        <v>2</v>
      </c>
      <c r="R2564" s="35" t="s">
        <v>495</v>
      </c>
      <c r="S2564" s="35" t="str">
        <f>MID(Tabla1[[#This Row],[Aplicación]],6,2)</f>
        <v>02</v>
      </c>
      <c r="T2564" s="35" t="str">
        <f>VLOOKUP(Tabla1[[#This Row],[AREA]],Hoja1!A:B,2,FALSE)</f>
        <v>02. Planeamiento urbanístico y vivienda</v>
      </c>
      <c r="U2564" s="35" t="str">
        <f>MID(Tabla1[[#This Row],[Aplicación]],9,4)</f>
        <v>9332</v>
      </c>
      <c r="V2564" s="35" t="str">
        <f>VLOOKUP(Tabla1[[#This Row],[PROGRAMA]],Hoja1!A:B,2,FALSE)</f>
        <v>9332. Mantenimiento de edificios e instalaciones municipales</v>
      </c>
      <c r="W2564" s="35" t="str">
        <f>MID(Tabla1[[#This Row],[Aplicación]],14,2)</f>
        <v>21</v>
      </c>
      <c r="X2564" s="35" t="str">
        <f>MID(Tabla1[[#This Row],[Aplicación]],14,6)</f>
        <v>212</v>
      </c>
    </row>
    <row r="2565" spans="1:24" x14ac:dyDescent="0.25">
      <c r="A2565" s="45">
        <v>220210030056</v>
      </c>
      <c r="B2565" s="46" t="s">
        <v>204</v>
      </c>
      <c r="C2565" s="47">
        <v>44356</v>
      </c>
      <c r="D2565" s="45">
        <v>22021002057</v>
      </c>
      <c r="E2565" s="46" t="s">
        <v>1715</v>
      </c>
      <c r="F2565" s="48">
        <v>1286.7</v>
      </c>
      <c r="G2565" s="54" t="s">
        <v>270</v>
      </c>
      <c r="H2565" s="54" t="s">
        <v>4080</v>
      </c>
      <c r="I2565" s="53" t="s">
        <v>205</v>
      </c>
      <c r="J2565" s="54" t="s">
        <v>127</v>
      </c>
      <c r="K2565" s="54" t="s">
        <v>127</v>
      </c>
      <c r="L2565" s="54" t="s">
        <v>15</v>
      </c>
      <c r="M2565" s="54" t="s">
        <v>13</v>
      </c>
      <c r="N2565" s="54" t="s">
        <v>14</v>
      </c>
      <c r="O2565" s="49" t="s">
        <v>814</v>
      </c>
      <c r="P2565" s="54" t="s">
        <v>3392</v>
      </c>
      <c r="Q2565" s="35" t="str">
        <f>MID(Tabla1[[#This Row],[Aplicación]],14,1)</f>
        <v>2</v>
      </c>
      <c r="R2565" s="35" t="s">
        <v>495</v>
      </c>
      <c r="S2565" s="35" t="str">
        <f>MID(Tabla1[[#This Row],[Aplicación]],6,2)</f>
        <v>11</v>
      </c>
      <c r="T2565" s="35" t="str">
        <f>VLOOKUP(Tabla1[[#This Row],[AREA]],Hoja1!A:B,2,FALSE)</f>
        <v>11. Salud pública y seguridad ciudadana</v>
      </c>
      <c r="U2565" s="35" t="str">
        <f>MID(Tabla1[[#This Row],[Aplicación]],9,4)</f>
        <v>1631</v>
      </c>
      <c r="V2565" s="35" t="str">
        <f>VLOOKUP(Tabla1[[#This Row],[PROGRAMA]],Hoja1!A:B,2,FALSE)</f>
        <v>1631. Limpieza viaria</v>
      </c>
      <c r="W2565" s="35" t="str">
        <f>MID(Tabla1[[#This Row],[Aplicación]],14,2)</f>
        <v>22</v>
      </c>
      <c r="X2565" s="35" t="str">
        <f>MID(Tabla1[[#This Row],[Aplicación]],14,6)</f>
        <v>22199</v>
      </c>
    </row>
    <row r="2566" spans="1:24" x14ac:dyDescent="0.25">
      <c r="A2566" s="45">
        <v>220210022405</v>
      </c>
      <c r="B2566" s="46" t="s">
        <v>9</v>
      </c>
      <c r="C2566" s="47">
        <v>44330</v>
      </c>
      <c r="D2566" s="45">
        <v>22021004371</v>
      </c>
      <c r="E2566" s="46" t="s">
        <v>1189</v>
      </c>
      <c r="F2566" s="48">
        <v>832.48</v>
      </c>
      <c r="G2566" s="54" t="s">
        <v>4081</v>
      </c>
      <c r="H2566" s="54" t="s">
        <v>4082</v>
      </c>
      <c r="I2566" s="53" t="s">
        <v>125</v>
      </c>
      <c r="J2566" s="54" t="s">
        <v>613</v>
      </c>
      <c r="K2566" s="54" t="s">
        <v>127</v>
      </c>
      <c r="L2566" s="54" t="s">
        <v>12</v>
      </c>
      <c r="M2566" s="54" t="s">
        <v>10</v>
      </c>
      <c r="N2566" s="54" t="s">
        <v>11</v>
      </c>
      <c r="O2566" s="49" t="s">
        <v>815</v>
      </c>
      <c r="P2566" s="54" t="s">
        <v>3392</v>
      </c>
      <c r="Q2566" s="35" t="str">
        <f>MID(Tabla1[[#This Row],[Aplicación]],14,1)</f>
        <v>2</v>
      </c>
      <c r="R2566" s="35" t="s">
        <v>495</v>
      </c>
      <c r="S2566" s="35" t="str">
        <f>MID(Tabla1[[#This Row],[Aplicación]],6,2)</f>
        <v>10</v>
      </c>
      <c r="T2566" s="35" t="str">
        <f>VLOOKUP(Tabla1[[#This Row],[AREA]],Hoja1!A:B,2,FALSE)</f>
        <v>10. Servicios sociales y mediación comunitaria</v>
      </c>
      <c r="U2566" s="35" t="str">
        <f>MID(Tabla1[[#This Row],[Aplicación]],9,4)</f>
        <v>2311</v>
      </c>
      <c r="V2566" s="35" t="str">
        <f>VLOOKUP(Tabla1[[#This Row],[PROGRAMA]],Hoja1!A:B,2,FALSE)</f>
        <v>2311. Intervención social</v>
      </c>
      <c r="W2566" s="35" t="str">
        <f>MID(Tabla1[[#This Row],[Aplicación]],14,2)</f>
        <v>22</v>
      </c>
      <c r="X2566" s="35" t="str">
        <f>MID(Tabla1[[#This Row],[Aplicación]],14,6)</f>
        <v>22700</v>
      </c>
    </row>
    <row r="2567" spans="1:24" x14ac:dyDescent="0.25">
      <c r="A2567" s="45">
        <v>220210027675</v>
      </c>
      <c r="B2567" s="46" t="s">
        <v>204</v>
      </c>
      <c r="C2567" s="47">
        <v>44348</v>
      </c>
      <c r="D2567" s="45">
        <v>22021002052</v>
      </c>
      <c r="E2567" s="46" t="s">
        <v>1340</v>
      </c>
      <c r="F2567" s="48">
        <v>1280.52</v>
      </c>
      <c r="G2567" s="54" t="s">
        <v>272</v>
      </c>
      <c r="H2567" s="54" t="s">
        <v>4083</v>
      </c>
      <c r="I2567" s="53" t="s">
        <v>205</v>
      </c>
      <c r="J2567" s="54" t="s">
        <v>127</v>
      </c>
      <c r="K2567" s="54" t="s">
        <v>127</v>
      </c>
      <c r="L2567" s="54" t="s">
        <v>15</v>
      </c>
      <c r="M2567" s="54" t="s">
        <v>13</v>
      </c>
      <c r="N2567" s="54" t="s">
        <v>14</v>
      </c>
      <c r="O2567" s="49" t="s">
        <v>814</v>
      </c>
      <c r="P2567" s="54" t="s">
        <v>3392</v>
      </c>
      <c r="Q2567" s="35" t="str">
        <f>MID(Tabla1[[#This Row],[Aplicación]],14,1)</f>
        <v>2</v>
      </c>
      <c r="R2567" s="35" t="s">
        <v>495</v>
      </c>
      <c r="S2567" s="35" t="str">
        <f>MID(Tabla1[[#This Row],[Aplicación]],6,2)</f>
        <v>11</v>
      </c>
      <c r="T2567" s="35" t="str">
        <f>VLOOKUP(Tabla1[[#This Row],[AREA]],Hoja1!A:B,2,FALSE)</f>
        <v>11. Salud pública y seguridad ciudadana</v>
      </c>
      <c r="U2567" s="35" t="str">
        <f>MID(Tabla1[[#This Row],[Aplicación]],9,4)</f>
        <v>1621</v>
      </c>
      <c r="V2567" s="35" t="str">
        <f>VLOOKUP(Tabla1[[#This Row],[PROGRAMA]],Hoja1!A:B,2,FALSE)</f>
        <v>1621. Servicio de limpieza</v>
      </c>
      <c r="W2567" s="35" t="str">
        <f>MID(Tabla1[[#This Row],[Aplicación]],14,2)</f>
        <v>22</v>
      </c>
      <c r="X2567" s="35" t="str">
        <f>MID(Tabla1[[#This Row],[Aplicación]],14,6)</f>
        <v>22199</v>
      </c>
    </row>
    <row r="2568" spans="1:24" x14ac:dyDescent="0.25">
      <c r="A2568" s="45">
        <v>220210020929</v>
      </c>
      <c r="B2568" s="46" t="s">
        <v>204</v>
      </c>
      <c r="C2568" s="47">
        <v>44323</v>
      </c>
      <c r="D2568" s="45">
        <v>22021002132</v>
      </c>
      <c r="E2568" s="46" t="s">
        <v>1180</v>
      </c>
      <c r="F2568" s="48">
        <v>1223.55</v>
      </c>
      <c r="G2568" s="54" t="s">
        <v>4084</v>
      </c>
      <c r="H2568" s="54" t="s">
        <v>4085</v>
      </c>
      <c r="I2568" s="53" t="s">
        <v>205</v>
      </c>
      <c r="J2568" s="54" t="s">
        <v>4086</v>
      </c>
      <c r="K2568" s="54" t="s">
        <v>519</v>
      </c>
      <c r="L2568" s="54" t="s">
        <v>15</v>
      </c>
      <c r="M2568" s="54" t="s">
        <v>13</v>
      </c>
      <c r="N2568" s="54" t="s">
        <v>14</v>
      </c>
      <c r="O2568" s="49" t="s">
        <v>814</v>
      </c>
      <c r="P2568" s="54" t="s">
        <v>3392</v>
      </c>
      <c r="Q2568" s="35" t="str">
        <f>MID(Tabla1[[#This Row],[Aplicación]],14,1)</f>
        <v>2</v>
      </c>
      <c r="R2568" s="35" t="s">
        <v>495</v>
      </c>
      <c r="S2568" s="35" t="str">
        <f>MID(Tabla1[[#This Row],[Aplicación]],6,2)</f>
        <v>08</v>
      </c>
      <c r="T2568" s="35" t="str">
        <f>VLOOKUP(Tabla1[[#This Row],[AREA]],Hoja1!A:B,2,FALSE)</f>
        <v>08. Movilidad y espacio urbano</v>
      </c>
      <c r="U2568" s="35" t="str">
        <f>MID(Tabla1[[#This Row],[Aplicación]],9,4)</f>
        <v>1532</v>
      </c>
      <c r="V2568" s="35" t="str">
        <f>VLOOKUP(Tabla1[[#This Row],[PROGRAMA]],Hoja1!A:B,2,FALSE)</f>
        <v>1532. Pavimentación vias públicas y otros servicios urbanísticos</v>
      </c>
      <c r="W2568" s="35" t="str">
        <f>MID(Tabla1[[#This Row],[Aplicación]],14,2)</f>
        <v>21</v>
      </c>
      <c r="X2568" s="35" t="str">
        <f>MID(Tabla1[[#This Row],[Aplicación]],14,6)</f>
        <v>210</v>
      </c>
    </row>
    <row r="2569" spans="1:24" x14ac:dyDescent="0.25">
      <c r="A2569" s="45">
        <v>220210028278</v>
      </c>
      <c r="B2569" s="46" t="s">
        <v>9</v>
      </c>
      <c r="C2569" s="47">
        <v>44350</v>
      </c>
      <c r="D2569" s="45">
        <v>22021004652</v>
      </c>
      <c r="E2569" s="46" t="s">
        <v>1397</v>
      </c>
      <c r="F2569" s="48">
        <v>1204.8</v>
      </c>
      <c r="G2569" s="54" t="s">
        <v>239</v>
      </c>
      <c r="H2569" s="54" t="s">
        <v>4087</v>
      </c>
      <c r="I2569" s="53" t="s">
        <v>125</v>
      </c>
      <c r="J2569" s="54" t="s">
        <v>127</v>
      </c>
      <c r="K2569" s="54" t="s">
        <v>127</v>
      </c>
      <c r="L2569" s="54" t="s">
        <v>12</v>
      </c>
      <c r="M2569" s="54" t="s">
        <v>13</v>
      </c>
      <c r="N2569" s="54" t="s">
        <v>14</v>
      </c>
      <c r="O2569" s="49" t="s">
        <v>814</v>
      </c>
      <c r="P2569" s="54" t="s">
        <v>3392</v>
      </c>
      <c r="Q2569" s="35" t="str">
        <f>MID(Tabla1[[#This Row],[Aplicación]],14,1)</f>
        <v>2</v>
      </c>
      <c r="R2569" s="35" t="s">
        <v>495</v>
      </c>
      <c r="S2569" s="35" t="str">
        <f>MID(Tabla1[[#This Row],[Aplicación]],6,2)</f>
        <v>11</v>
      </c>
      <c r="T2569" s="35" t="str">
        <f>VLOOKUP(Tabla1[[#This Row],[AREA]],Hoja1!A:B,2,FALSE)</f>
        <v>11. Salud pública y seguridad ciudadana</v>
      </c>
      <c r="U2569" s="35" t="str">
        <f>MID(Tabla1[[#This Row],[Aplicación]],9,4)</f>
        <v>1361</v>
      </c>
      <c r="V2569" s="35" t="str">
        <f>VLOOKUP(Tabla1[[#This Row],[PROGRAMA]],Hoja1!A:B,2,FALSE)</f>
        <v>1361. Prevención y extinción de incencios</v>
      </c>
      <c r="W2569" s="35" t="str">
        <f>MID(Tabla1[[#This Row],[Aplicación]],14,2)</f>
        <v>21</v>
      </c>
      <c r="X2569" s="35" t="str">
        <f>MID(Tabla1[[#This Row],[Aplicación]],14,6)</f>
        <v>214</v>
      </c>
    </row>
    <row r="2570" spans="1:24" x14ac:dyDescent="0.25">
      <c r="A2570" s="45">
        <v>220210015514</v>
      </c>
      <c r="B2570" s="46" t="s">
        <v>9</v>
      </c>
      <c r="C2570" s="47">
        <v>44301</v>
      </c>
      <c r="D2570" s="45">
        <v>22021003829</v>
      </c>
      <c r="E2570" s="46" t="s">
        <v>1167</v>
      </c>
      <c r="F2570" s="48">
        <v>828.73</v>
      </c>
      <c r="G2570" s="54" t="s">
        <v>4088</v>
      </c>
      <c r="H2570" s="54" t="s">
        <v>4089</v>
      </c>
      <c r="I2570" s="53" t="s">
        <v>125</v>
      </c>
      <c r="J2570" s="54" t="s">
        <v>127</v>
      </c>
      <c r="K2570" s="54" t="s">
        <v>127</v>
      </c>
      <c r="L2570" s="54" t="s">
        <v>12</v>
      </c>
      <c r="M2570" s="54" t="s">
        <v>10</v>
      </c>
      <c r="N2570" s="54" t="s">
        <v>11</v>
      </c>
      <c r="O2570" s="49" t="s">
        <v>815</v>
      </c>
      <c r="P2570" s="54" t="s">
        <v>3392</v>
      </c>
      <c r="Q2570" s="35" t="str">
        <f>MID(Tabla1[[#This Row],[Aplicación]],14,1)</f>
        <v>2</v>
      </c>
      <c r="R2570" s="35" t="s">
        <v>495</v>
      </c>
      <c r="S2570" s="35" t="str">
        <f>MID(Tabla1[[#This Row],[Aplicación]],6,2)</f>
        <v>11</v>
      </c>
      <c r="T2570" s="35" t="str">
        <f>VLOOKUP(Tabla1[[#This Row],[AREA]],Hoja1!A:B,2,FALSE)</f>
        <v>11. Salud pública y seguridad ciudadana</v>
      </c>
      <c r="U2570" s="35" t="str">
        <f>MID(Tabla1[[#This Row],[Aplicación]],9,4)</f>
        <v>1321</v>
      </c>
      <c r="V2570" s="35" t="str">
        <f>VLOOKUP(Tabla1[[#This Row],[PROGRAMA]],Hoja1!A:B,2,FALSE)</f>
        <v>1321. Policía municipal</v>
      </c>
      <c r="W2570" s="35" t="str">
        <f>MID(Tabla1[[#This Row],[Aplicación]],14,2)</f>
        <v>21</v>
      </c>
      <c r="X2570" s="35" t="str">
        <f>MID(Tabla1[[#This Row],[Aplicación]],14,6)</f>
        <v>214</v>
      </c>
    </row>
    <row r="2571" spans="1:24" x14ac:dyDescent="0.25">
      <c r="A2571" s="45">
        <v>220210015851</v>
      </c>
      <c r="B2571" s="46" t="s">
        <v>204</v>
      </c>
      <c r="C2571" s="47">
        <v>44302</v>
      </c>
      <c r="D2571" s="45">
        <v>22021001275</v>
      </c>
      <c r="E2571" s="46" t="s">
        <v>1334</v>
      </c>
      <c r="F2571" s="48">
        <v>9.09</v>
      </c>
      <c r="G2571" s="54" t="s">
        <v>236</v>
      </c>
      <c r="H2571" s="54" t="s">
        <v>3145</v>
      </c>
      <c r="I2571" s="53" t="s">
        <v>205</v>
      </c>
      <c r="J2571" s="54" t="s">
        <v>127</v>
      </c>
      <c r="K2571" s="54" t="s">
        <v>127</v>
      </c>
      <c r="L2571" s="54" t="s">
        <v>15</v>
      </c>
      <c r="M2571" s="54" t="s">
        <v>13</v>
      </c>
      <c r="N2571" s="54" t="s">
        <v>14</v>
      </c>
      <c r="O2571" s="49" t="s">
        <v>814</v>
      </c>
      <c r="P2571" s="54" t="s">
        <v>3392</v>
      </c>
      <c r="Q2571" s="35" t="str">
        <f>MID(Tabla1[[#This Row],[Aplicación]],14,1)</f>
        <v>2</v>
      </c>
      <c r="R2571" s="35" t="s">
        <v>495</v>
      </c>
      <c r="S2571" s="35" t="str">
        <f>MID(Tabla1[[#This Row],[Aplicación]],6,2)</f>
        <v>07</v>
      </c>
      <c r="T2571" s="35" t="str">
        <f>VLOOKUP(Tabla1[[#This Row],[AREA]],Hoja1!A:B,2,FALSE)</f>
        <v>07. Medio ambiente y desarrollo sostenible</v>
      </c>
      <c r="U2571" s="35" t="str">
        <f>MID(Tabla1[[#This Row],[Aplicación]],9,4)</f>
        <v>1711</v>
      </c>
      <c r="V2571" s="35" t="str">
        <f>VLOOKUP(Tabla1[[#This Row],[PROGRAMA]],Hoja1!A:B,2,FALSE)</f>
        <v>1711. Parques y jardines</v>
      </c>
      <c r="W2571" s="35" t="str">
        <f>MID(Tabla1[[#This Row],[Aplicación]],14,2)</f>
        <v>22</v>
      </c>
      <c r="X2571" s="35" t="str">
        <f>MID(Tabla1[[#This Row],[Aplicación]],14,6)</f>
        <v>22199</v>
      </c>
    </row>
    <row r="2572" spans="1:24" x14ac:dyDescent="0.25">
      <c r="A2572" s="45">
        <v>220210020357</v>
      </c>
      <c r="B2572" s="46" t="s">
        <v>9</v>
      </c>
      <c r="C2572" s="47">
        <v>44321</v>
      </c>
      <c r="D2572" s="45">
        <v>22021004190</v>
      </c>
      <c r="E2572" s="46" t="s">
        <v>3371</v>
      </c>
      <c r="F2572" s="48">
        <v>822.8</v>
      </c>
      <c r="G2572" s="54" t="s">
        <v>4090</v>
      </c>
      <c r="H2572" s="54" t="s">
        <v>4091</v>
      </c>
      <c r="I2572" s="53" t="s">
        <v>125</v>
      </c>
      <c r="J2572" s="54" t="s">
        <v>127</v>
      </c>
      <c r="K2572" s="54" t="s">
        <v>127</v>
      </c>
      <c r="L2572" s="54" t="s">
        <v>12</v>
      </c>
      <c r="M2572" s="54" t="s">
        <v>10</v>
      </c>
      <c r="N2572" s="54" t="s">
        <v>11</v>
      </c>
      <c r="O2572" s="49" t="s">
        <v>815</v>
      </c>
      <c r="P2572" s="54" t="s">
        <v>3392</v>
      </c>
      <c r="Q2572" s="35" t="str">
        <f>MID(Tabla1[[#This Row],[Aplicación]],14,1)</f>
        <v>2</v>
      </c>
      <c r="R2572" s="35" t="s">
        <v>495</v>
      </c>
      <c r="S2572" s="35" t="str">
        <f>MID(Tabla1[[#This Row],[Aplicación]],6,2)</f>
        <v>10</v>
      </c>
      <c r="T2572" s="35" t="str">
        <f>VLOOKUP(Tabla1[[#This Row],[AREA]],Hoja1!A:B,2,FALSE)</f>
        <v>10. Servicios sociales y mediación comunitaria</v>
      </c>
      <c r="U2572" s="35" t="str">
        <f>MID(Tabla1[[#This Row],[Aplicación]],9,4)</f>
        <v>2313</v>
      </c>
      <c r="V2572" s="35" t="str">
        <f>VLOOKUP(Tabla1[[#This Row],[PROGRAMA]],Hoja1!A:B,2,FALSE)</f>
        <v>2313. Dirección del área de servicios sociales</v>
      </c>
      <c r="W2572" s="35" t="str">
        <f>MID(Tabla1[[#This Row],[Aplicación]],14,2)</f>
        <v>22</v>
      </c>
      <c r="X2572" s="35" t="str">
        <f>MID(Tabla1[[#This Row],[Aplicación]],14,6)</f>
        <v>22699</v>
      </c>
    </row>
    <row r="2573" spans="1:24" x14ac:dyDescent="0.25">
      <c r="A2573" s="45">
        <v>220210016528</v>
      </c>
      <c r="B2573" s="46" t="s">
        <v>204</v>
      </c>
      <c r="C2573" s="47">
        <v>44306</v>
      </c>
      <c r="D2573" s="45">
        <v>22021003381</v>
      </c>
      <c r="E2573" s="46" t="s">
        <v>1183</v>
      </c>
      <c r="F2573" s="48">
        <v>646.84</v>
      </c>
      <c r="G2573" s="54" t="s">
        <v>236</v>
      </c>
      <c r="H2573" s="54" t="s">
        <v>4092</v>
      </c>
      <c r="I2573" s="53" t="s">
        <v>205</v>
      </c>
      <c r="J2573" s="54" t="s">
        <v>127</v>
      </c>
      <c r="K2573" s="54" t="s">
        <v>127</v>
      </c>
      <c r="L2573" s="54" t="s">
        <v>15</v>
      </c>
      <c r="M2573" s="54" t="s">
        <v>13</v>
      </c>
      <c r="N2573" s="54" t="s">
        <v>14</v>
      </c>
      <c r="O2573" s="49" t="s">
        <v>814</v>
      </c>
      <c r="P2573" s="54" t="s">
        <v>3392</v>
      </c>
      <c r="Q2573" s="35" t="str">
        <f>MID(Tabla1[[#This Row],[Aplicación]],14,1)</f>
        <v>2</v>
      </c>
      <c r="R2573" s="35" t="s">
        <v>495</v>
      </c>
      <c r="S2573" s="35" t="str">
        <f>MID(Tabla1[[#This Row],[Aplicación]],6,2)</f>
        <v>11</v>
      </c>
      <c r="T2573" s="35" t="str">
        <f>VLOOKUP(Tabla1[[#This Row],[AREA]],Hoja1!A:B,2,FALSE)</f>
        <v>11. Salud pública y seguridad ciudadana</v>
      </c>
      <c r="U2573" s="35" t="str">
        <f>MID(Tabla1[[#This Row],[Aplicación]],9,4)</f>
        <v>1361</v>
      </c>
      <c r="V2573" s="35" t="str">
        <f>VLOOKUP(Tabla1[[#This Row],[PROGRAMA]],Hoja1!A:B,2,FALSE)</f>
        <v>1361. Prevención y extinción de incencios</v>
      </c>
      <c r="W2573" s="35" t="str">
        <f>MID(Tabla1[[#This Row],[Aplicación]],14,2)</f>
        <v>22</v>
      </c>
      <c r="X2573" s="35" t="str">
        <f>MID(Tabla1[[#This Row],[Aplicación]],14,6)</f>
        <v>22199</v>
      </c>
    </row>
    <row r="2574" spans="1:24" x14ac:dyDescent="0.25">
      <c r="A2574" s="45">
        <v>220210027617</v>
      </c>
      <c r="B2574" s="46" t="s">
        <v>204</v>
      </c>
      <c r="C2574" s="47">
        <v>44348</v>
      </c>
      <c r="D2574" s="45">
        <v>22021002089</v>
      </c>
      <c r="E2574" s="46" t="s">
        <v>1220</v>
      </c>
      <c r="F2574" s="48">
        <v>1199.76</v>
      </c>
      <c r="G2574" s="54" t="s">
        <v>102</v>
      </c>
      <c r="H2574" s="54" t="s">
        <v>4093</v>
      </c>
      <c r="I2574" s="53" t="s">
        <v>205</v>
      </c>
      <c r="J2574" s="54" t="s">
        <v>127</v>
      </c>
      <c r="K2574" s="54" t="s">
        <v>127</v>
      </c>
      <c r="L2574" s="54" t="s">
        <v>15</v>
      </c>
      <c r="M2574" s="54" t="s">
        <v>13</v>
      </c>
      <c r="N2574" s="54" t="s">
        <v>16</v>
      </c>
      <c r="O2574" s="49" t="s">
        <v>814</v>
      </c>
      <c r="P2574" s="54" t="s">
        <v>3392</v>
      </c>
      <c r="Q2574" s="35" t="str">
        <f>MID(Tabla1[[#This Row],[Aplicación]],14,1)</f>
        <v>2</v>
      </c>
      <c r="R2574" s="35" t="s">
        <v>495</v>
      </c>
      <c r="S2574" s="35" t="str">
        <f>MID(Tabla1[[#This Row],[Aplicación]],6,2)</f>
        <v>03</v>
      </c>
      <c r="T2574" s="35" t="str">
        <f>VLOOKUP(Tabla1[[#This Row],[AREA]],Hoja1!A:B,2,FALSE)</f>
        <v>03. Participación ciudadana y deportes</v>
      </c>
      <c r="U2574" s="35" t="str">
        <f>MID(Tabla1[[#This Row],[Aplicación]],9,4)</f>
        <v>9241</v>
      </c>
      <c r="V2574" s="35" t="str">
        <f>VLOOKUP(Tabla1[[#This Row],[PROGRAMA]],Hoja1!A:B,2,FALSE)</f>
        <v>9241. Participación ciudadana</v>
      </c>
      <c r="W2574" s="35" t="str">
        <f>MID(Tabla1[[#This Row],[Aplicación]],14,2)</f>
        <v>21</v>
      </c>
      <c r="X2574" s="35" t="str">
        <f>MID(Tabla1[[#This Row],[Aplicación]],14,6)</f>
        <v>213</v>
      </c>
    </row>
    <row r="2575" spans="1:24" x14ac:dyDescent="0.25">
      <c r="A2575" s="45">
        <v>220210025665</v>
      </c>
      <c r="B2575" s="46" t="s">
        <v>204</v>
      </c>
      <c r="C2575" s="47">
        <v>44343</v>
      </c>
      <c r="D2575" s="45">
        <v>22021003381</v>
      </c>
      <c r="E2575" s="46" t="s">
        <v>1183</v>
      </c>
      <c r="F2575" s="48">
        <v>21.78</v>
      </c>
      <c r="G2575" s="54" t="s">
        <v>236</v>
      </c>
      <c r="H2575" s="54" t="s">
        <v>4094</v>
      </c>
      <c r="I2575" s="53" t="s">
        <v>205</v>
      </c>
      <c r="J2575" s="54" t="s">
        <v>127</v>
      </c>
      <c r="K2575" s="54" t="s">
        <v>127</v>
      </c>
      <c r="L2575" s="54" t="s">
        <v>15</v>
      </c>
      <c r="M2575" s="54" t="s">
        <v>13</v>
      </c>
      <c r="N2575" s="54" t="s">
        <v>14</v>
      </c>
      <c r="O2575" s="49" t="s">
        <v>814</v>
      </c>
      <c r="P2575" s="54" t="s">
        <v>3392</v>
      </c>
      <c r="Q2575" s="35" t="str">
        <f>MID(Tabla1[[#This Row],[Aplicación]],14,1)</f>
        <v>2</v>
      </c>
      <c r="R2575" s="35" t="s">
        <v>495</v>
      </c>
      <c r="S2575" s="35" t="str">
        <f>MID(Tabla1[[#This Row],[Aplicación]],6,2)</f>
        <v>11</v>
      </c>
      <c r="T2575" s="35" t="str">
        <f>VLOOKUP(Tabla1[[#This Row],[AREA]],Hoja1!A:B,2,FALSE)</f>
        <v>11. Salud pública y seguridad ciudadana</v>
      </c>
      <c r="U2575" s="35" t="str">
        <f>MID(Tabla1[[#This Row],[Aplicación]],9,4)</f>
        <v>1361</v>
      </c>
      <c r="V2575" s="35" t="str">
        <f>VLOOKUP(Tabla1[[#This Row],[PROGRAMA]],Hoja1!A:B,2,FALSE)</f>
        <v>1361. Prevención y extinción de incencios</v>
      </c>
      <c r="W2575" s="35" t="str">
        <f>MID(Tabla1[[#This Row],[Aplicación]],14,2)</f>
        <v>22</v>
      </c>
      <c r="X2575" s="35" t="str">
        <f>MID(Tabla1[[#This Row],[Aplicación]],14,6)</f>
        <v>22199</v>
      </c>
    </row>
    <row r="2576" spans="1:24" x14ac:dyDescent="0.25">
      <c r="A2576" s="45">
        <v>220210032797</v>
      </c>
      <c r="B2576" s="46" t="s">
        <v>204</v>
      </c>
      <c r="C2576" s="47">
        <v>44371</v>
      </c>
      <c r="D2576" s="45">
        <v>22021002054</v>
      </c>
      <c r="E2576" s="46" t="s">
        <v>1382</v>
      </c>
      <c r="F2576" s="48">
        <v>1174.24</v>
      </c>
      <c r="G2576" s="54" t="s">
        <v>272</v>
      </c>
      <c r="H2576" s="54" t="s">
        <v>4095</v>
      </c>
      <c r="I2576" s="53" t="s">
        <v>205</v>
      </c>
      <c r="J2576" s="54" t="s">
        <v>127</v>
      </c>
      <c r="K2576" s="54" t="s">
        <v>127</v>
      </c>
      <c r="L2576" s="54" t="s">
        <v>15</v>
      </c>
      <c r="M2576" s="54" t="s">
        <v>13</v>
      </c>
      <c r="N2576" s="54" t="s">
        <v>14</v>
      </c>
      <c r="O2576" s="49" t="s">
        <v>814</v>
      </c>
      <c r="P2576" s="54" t="s">
        <v>3392</v>
      </c>
      <c r="Q2576" s="35" t="str">
        <f>MID(Tabla1[[#This Row],[Aplicación]],14,1)</f>
        <v>2</v>
      </c>
      <c r="R2576" s="35" t="s">
        <v>495</v>
      </c>
      <c r="S2576" s="35" t="str">
        <f>MID(Tabla1[[#This Row],[Aplicación]],6,2)</f>
        <v>11</v>
      </c>
      <c r="T2576" s="35" t="str">
        <f>VLOOKUP(Tabla1[[#This Row],[AREA]],Hoja1!A:B,2,FALSE)</f>
        <v>11. Salud pública y seguridad ciudadana</v>
      </c>
      <c r="U2576" s="35" t="str">
        <f>MID(Tabla1[[#This Row],[Aplicación]],9,4)</f>
        <v>1631</v>
      </c>
      <c r="V2576" s="35" t="str">
        <f>VLOOKUP(Tabla1[[#This Row],[PROGRAMA]],Hoja1!A:B,2,FALSE)</f>
        <v>1631. Limpieza viaria</v>
      </c>
      <c r="W2576" s="35" t="str">
        <f>MID(Tabla1[[#This Row],[Aplicación]],14,2)</f>
        <v>21</v>
      </c>
      <c r="X2576" s="35" t="str">
        <f>MID(Tabla1[[#This Row],[Aplicación]],14,6)</f>
        <v>214</v>
      </c>
    </row>
    <row r="2577" spans="1:24" x14ac:dyDescent="0.25">
      <c r="A2577" s="45">
        <v>220210031682</v>
      </c>
      <c r="B2577" s="46" t="s">
        <v>204</v>
      </c>
      <c r="C2577" s="47">
        <v>44369</v>
      </c>
      <c r="D2577" s="45">
        <v>22021002601</v>
      </c>
      <c r="E2577" s="46" t="s">
        <v>3362</v>
      </c>
      <c r="F2577" s="48">
        <v>1163.94</v>
      </c>
      <c r="G2577" s="54" t="s">
        <v>3990</v>
      </c>
      <c r="H2577" s="54" t="s">
        <v>4096</v>
      </c>
      <c r="I2577" s="53" t="s">
        <v>205</v>
      </c>
      <c r="J2577" s="54" t="s">
        <v>127</v>
      </c>
      <c r="K2577" s="54" t="s">
        <v>127</v>
      </c>
      <c r="L2577" s="54" t="s">
        <v>15</v>
      </c>
      <c r="M2577" s="54" t="s">
        <v>13</v>
      </c>
      <c r="N2577" s="54" t="s">
        <v>14</v>
      </c>
      <c r="O2577" s="49" t="s">
        <v>814</v>
      </c>
      <c r="P2577" s="54" t="s">
        <v>3392</v>
      </c>
      <c r="Q2577" s="35" t="str">
        <f>MID(Tabla1[[#This Row],[Aplicación]],14,1)</f>
        <v>6</v>
      </c>
      <c r="R2577" s="35" t="s">
        <v>496</v>
      </c>
      <c r="S2577" s="35" t="str">
        <f>MID(Tabla1[[#This Row],[Aplicación]],6,2)</f>
        <v>06</v>
      </c>
      <c r="T2577" s="35" t="str">
        <f>VLOOKUP(Tabla1[[#This Row],[AREA]],Hoja1!A:B,2,FALSE)</f>
        <v>06. Educación, infancia, juventud e igualdad</v>
      </c>
      <c r="U2577" s="35" t="str">
        <f>MID(Tabla1[[#This Row],[Aplicación]],9,4)</f>
        <v>3321</v>
      </c>
      <c r="V2577" s="35" t="str">
        <f>VLOOKUP(Tabla1[[#This Row],[PROGRAMA]],Hoja1!A:B,2,FALSE)</f>
        <v>3321. Bibliotecas públicas</v>
      </c>
      <c r="W2577" s="35" t="str">
        <f>MID(Tabla1[[#This Row],[Aplicación]],14,2)</f>
        <v>62</v>
      </c>
      <c r="X2577" s="35" t="str">
        <f>MID(Tabla1[[#This Row],[Aplicación]],14,6)</f>
        <v>629</v>
      </c>
    </row>
    <row r="2578" spans="1:24" x14ac:dyDescent="0.25">
      <c r="A2578" s="45">
        <v>220210022108</v>
      </c>
      <c r="B2578" s="46" t="s">
        <v>9</v>
      </c>
      <c r="C2578" s="47">
        <v>44328</v>
      </c>
      <c r="D2578" s="45">
        <v>22021004331</v>
      </c>
      <c r="E2578" s="46" t="s">
        <v>1263</v>
      </c>
      <c r="F2578" s="48">
        <v>809.49</v>
      </c>
      <c r="G2578" s="54" t="s">
        <v>4097</v>
      </c>
      <c r="H2578" s="54" t="s">
        <v>4098</v>
      </c>
      <c r="I2578" s="53" t="s">
        <v>125</v>
      </c>
      <c r="J2578" s="54" t="s">
        <v>127</v>
      </c>
      <c r="K2578" s="54" t="s">
        <v>127</v>
      </c>
      <c r="L2578" s="54" t="s">
        <v>12</v>
      </c>
      <c r="M2578" s="54" t="s">
        <v>10</v>
      </c>
      <c r="N2578" s="54" t="s">
        <v>11</v>
      </c>
      <c r="O2578" s="49" t="s">
        <v>815</v>
      </c>
      <c r="P2578" s="54" t="s">
        <v>3392</v>
      </c>
      <c r="Q2578" s="35" t="str">
        <f>MID(Tabla1[[#This Row],[Aplicación]],14,1)</f>
        <v>2</v>
      </c>
      <c r="R2578" s="35" t="s">
        <v>495</v>
      </c>
      <c r="S2578" s="35" t="str">
        <f>MID(Tabla1[[#This Row],[Aplicación]],6,2)</f>
        <v>02</v>
      </c>
      <c r="T2578" s="35" t="str">
        <f>VLOOKUP(Tabla1[[#This Row],[AREA]],Hoja1!A:B,2,FALSE)</f>
        <v>02. Planeamiento urbanístico y vivienda</v>
      </c>
      <c r="U2578" s="35" t="str">
        <f>MID(Tabla1[[#This Row],[Aplicación]],9,4)</f>
        <v>9332</v>
      </c>
      <c r="V2578" s="35" t="str">
        <f>VLOOKUP(Tabla1[[#This Row],[PROGRAMA]],Hoja1!A:B,2,FALSE)</f>
        <v>9332. Mantenimiento de edificios e instalaciones municipales</v>
      </c>
      <c r="W2578" s="35" t="str">
        <f>MID(Tabla1[[#This Row],[Aplicación]],14,2)</f>
        <v>21</v>
      </c>
      <c r="X2578" s="35" t="str">
        <f>MID(Tabla1[[#This Row],[Aplicación]],14,6)</f>
        <v>213</v>
      </c>
    </row>
    <row r="2579" spans="1:24" x14ac:dyDescent="0.25">
      <c r="A2579" s="45">
        <v>220210032740</v>
      </c>
      <c r="B2579" s="46" t="s">
        <v>204</v>
      </c>
      <c r="C2579" s="47">
        <v>44371</v>
      </c>
      <c r="D2579" s="45">
        <v>22021002132</v>
      </c>
      <c r="E2579" s="46" t="s">
        <v>1180</v>
      </c>
      <c r="F2579" s="48">
        <v>1152.71</v>
      </c>
      <c r="G2579" s="54" t="s">
        <v>257</v>
      </c>
      <c r="H2579" s="54" t="s">
        <v>4099</v>
      </c>
      <c r="I2579" s="53" t="s">
        <v>205</v>
      </c>
      <c r="J2579" s="54" t="s">
        <v>127</v>
      </c>
      <c r="K2579" s="54" t="s">
        <v>127</v>
      </c>
      <c r="L2579" s="54" t="s">
        <v>15</v>
      </c>
      <c r="M2579" s="54" t="s">
        <v>13</v>
      </c>
      <c r="N2579" s="54" t="s">
        <v>14</v>
      </c>
      <c r="O2579" s="49" t="s">
        <v>814</v>
      </c>
      <c r="P2579" s="54" t="s">
        <v>3392</v>
      </c>
      <c r="Q2579" s="35" t="str">
        <f>MID(Tabla1[[#This Row],[Aplicación]],14,1)</f>
        <v>2</v>
      </c>
      <c r="R2579" s="35" t="s">
        <v>495</v>
      </c>
      <c r="S2579" s="35" t="str">
        <f>MID(Tabla1[[#This Row],[Aplicación]],6,2)</f>
        <v>08</v>
      </c>
      <c r="T2579" s="35" t="str">
        <f>VLOOKUP(Tabla1[[#This Row],[AREA]],Hoja1!A:B,2,FALSE)</f>
        <v>08. Movilidad y espacio urbano</v>
      </c>
      <c r="U2579" s="35" t="str">
        <f>MID(Tabla1[[#This Row],[Aplicación]],9,4)</f>
        <v>1532</v>
      </c>
      <c r="V2579" s="35" t="str">
        <f>VLOOKUP(Tabla1[[#This Row],[PROGRAMA]],Hoja1!A:B,2,FALSE)</f>
        <v>1532. Pavimentación vias públicas y otros servicios urbanísticos</v>
      </c>
      <c r="W2579" s="35" t="str">
        <f>MID(Tabla1[[#This Row],[Aplicación]],14,2)</f>
        <v>21</v>
      </c>
      <c r="X2579" s="35" t="str">
        <f>MID(Tabla1[[#This Row],[Aplicación]],14,6)</f>
        <v>210</v>
      </c>
    </row>
    <row r="2580" spans="1:24" x14ac:dyDescent="0.25">
      <c r="A2580" s="45">
        <v>220210020834</v>
      </c>
      <c r="B2580" s="46" t="s">
        <v>9</v>
      </c>
      <c r="C2580" s="47">
        <v>44323</v>
      </c>
      <c r="D2580" s="45">
        <v>22021004302</v>
      </c>
      <c r="E2580" s="46" t="s">
        <v>3372</v>
      </c>
      <c r="F2580" s="48">
        <v>796.79</v>
      </c>
      <c r="G2580" s="54" t="s">
        <v>4100</v>
      </c>
      <c r="H2580" s="54" t="s">
        <v>4101</v>
      </c>
      <c r="I2580" s="53" t="s">
        <v>125</v>
      </c>
      <c r="J2580" s="54" t="s">
        <v>127</v>
      </c>
      <c r="K2580" s="54" t="s">
        <v>127</v>
      </c>
      <c r="L2580" s="54" t="s">
        <v>15</v>
      </c>
      <c r="M2580" s="54" t="s">
        <v>10</v>
      </c>
      <c r="N2580" s="54" t="s">
        <v>11</v>
      </c>
      <c r="O2580" s="49" t="s">
        <v>815</v>
      </c>
      <c r="P2580" s="54" t="s">
        <v>3392</v>
      </c>
      <c r="Q2580" s="35" t="str">
        <f>MID(Tabla1[[#This Row],[Aplicación]],14,1)</f>
        <v>2</v>
      </c>
      <c r="R2580" s="35" t="s">
        <v>495</v>
      </c>
      <c r="S2580" s="35" t="str">
        <f>MID(Tabla1[[#This Row],[Aplicación]],6,2)</f>
        <v>04</v>
      </c>
      <c r="T2580" s="35" t="str">
        <f>VLOOKUP(Tabla1[[#This Row],[AREA]],Hoja1!A:B,2,FALSE)</f>
        <v>04. Planificación y recursos</v>
      </c>
      <c r="U2580" s="35" t="str">
        <f>MID(Tabla1[[#This Row],[Aplicación]],9,4)</f>
        <v>3121</v>
      </c>
      <c r="V2580" s="35" t="str">
        <f>VLOOKUP(Tabla1[[#This Row],[PROGRAMA]],Hoja1!A:B,2,FALSE)</f>
        <v>3121. Prevención y salud laboral</v>
      </c>
      <c r="W2580" s="35" t="str">
        <f>MID(Tabla1[[#This Row],[Aplicación]],14,2)</f>
        <v>22</v>
      </c>
      <c r="X2580" s="35" t="str">
        <f>MID(Tabla1[[#This Row],[Aplicación]],14,6)</f>
        <v>22104</v>
      </c>
    </row>
    <row r="2581" spans="1:24" x14ac:dyDescent="0.25">
      <c r="A2581" s="45">
        <v>220210027727</v>
      </c>
      <c r="B2581" s="46" t="s">
        <v>204</v>
      </c>
      <c r="C2581" s="47">
        <v>44348</v>
      </c>
      <c r="D2581" s="45">
        <v>22021002132</v>
      </c>
      <c r="E2581" s="46" t="s">
        <v>1180</v>
      </c>
      <c r="F2581" s="48">
        <v>1149.51</v>
      </c>
      <c r="G2581" s="54" t="s">
        <v>236</v>
      </c>
      <c r="H2581" s="54" t="s">
        <v>4102</v>
      </c>
      <c r="I2581" s="53" t="s">
        <v>205</v>
      </c>
      <c r="J2581" s="54" t="s">
        <v>127</v>
      </c>
      <c r="K2581" s="54" t="s">
        <v>127</v>
      </c>
      <c r="L2581" s="54" t="s">
        <v>15</v>
      </c>
      <c r="M2581" s="54" t="s">
        <v>13</v>
      </c>
      <c r="N2581" s="54" t="s">
        <v>14</v>
      </c>
      <c r="O2581" s="49" t="s">
        <v>814</v>
      </c>
      <c r="P2581" s="54" t="s">
        <v>3392</v>
      </c>
      <c r="Q2581" s="35" t="str">
        <f>MID(Tabla1[[#This Row],[Aplicación]],14,1)</f>
        <v>2</v>
      </c>
      <c r="R2581" s="35" t="s">
        <v>495</v>
      </c>
      <c r="S2581" s="35" t="str">
        <f>MID(Tabla1[[#This Row],[Aplicación]],6,2)</f>
        <v>08</v>
      </c>
      <c r="T2581" s="35" t="str">
        <f>VLOOKUP(Tabla1[[#This Row],[AREA]],Hoja1!A:B,2,FALSE)</f>
        <v>08. Movilidad y espacio urbano</v>
      </c>
      <c r="U2581" s="35" t="str">
        <f>MID(Tabla1[[#This Row],[Aplicación]],9,4)</f>
        <v>1532</v>
      </c>
      <c r="V2581" s="35" t="str">
        <f>VLOOKUP(Tabla1[[#This Row],[PROGRAMA]],Hoja1!A:B,2,FALSE)</f>
        <v>1532. Pavimentación vias públicas y otros servicios urbanísticos</v>
      </c>
      <c r="W2581" s="35" t="str">
        <f>MID(Tabla1[[#This Row],[Aplicación]],14,2)</f>
        <v>21</v>
      </c>
      <c r="X2581" s="35" t="str">
        <f>MID(Tabla1[[#This Row],[Aplicación]],14,6)</f>
        <v>210</v>
      </c>
    </row>
    <row r="2582" spans="1:24" x14ac:dyDescent="0.25">
      <c r="A2582" s="45">
        <v>220210030213</v>
      </c>
      <c r="B2582" s="46" t="s">
        <v>204</v>
      </c>
      <c r="C2582" s="47">
        <v>44357</v>
      </c>
      <c r="D2582" s="45">
        <v>22021002052</v>
      </c>
      <c r="E2582" s="46" t="s">
        <v>1340</v>
      </c>
      <c r="F2582" s="48">
        <v>1129.5999999999999</v>
      </c>
      <c r="G2582" s="54" t="s">
        <v>272</v>
      </c>
      <c r="H2582" s="54" t="s">
        <v>4103</v>
      </c>
      <c r="I2582" s="53" t="s">
        <v>205</v>
      </c>
      <c r="J2582" s="54" t="s">
        <v>127</v>
      </c>
      <c r="K2582" s="54" t="s">
        <v>127</v>
      </c>
      <c r="L2582" s="54" t="s">
        <v>15</v>
      </c>
      <c r="M2582" s="54" t="s">
        <v>13</v>
      </c>
      <c r="N2582" s="54" t="s">
        <v>14</v>
      </c>
      <c r="O2582" s="49" t="s">
        <v>814</v>
      </c>
      <c r="P2582" s="54" t="s">
        <v>3392</v>
      </c>
      <c r="Q2582" s="35" t="str">
        <f>MID(Tabla1[[#This Row],[Aplicación]],14,1)</f>
        <v>2</v>
      </c>
      <c r="R2582" s="35" t="s">
        <v>495</v>
      </c>
      <c r="S2582" s="35" t="str">
        <f>MID(Tabla1[[#This Row],[Aplicación]],6,2)</f>
        <v>11</v>
      </c>
      <c r="T2582" s="35" t="str">
        <f>VLOOKUP(Tabla1[[#This Row],[AREA]],Hoja1!A:B,2,FALSE)</f>
        <v>11. Salud pública y seguridad ciudadana</v>
      </c>
      <c r="U2582" s="35" t="str">
        <f>MID(Tabla1[[#This Row],[Aplicación]],9,4)</f>
        <v>1621</v>
      </c>
      <c r="V2582" s="35" t="str">
        <f>VLOOKUP(Tabla1[[#This Row],[PROGRAMA]],Hoja1!A:B,2,FALSE)</f>
        <v>1621. Servicio de limpieza</v>
      </c>
      <c r="W2582" s="35" t="str">
        <f>MID(Tabla1[[#This Row],[Aplicación]],14,2)</f>
        <v>22</v>
      </c>
      <c r="X2582" s="35" t="str">
        <f>MID(Tabla1[[#This Row],[Aplicación]],14,6)</f>
        <v>22199</v>
      </c>
    </row>
    <row r="2583" spans="1:24" x14ac:dyDescent="0.25">
      <c r="A2583" s="45">
        <v>220210014741</v>
      </c>
      <c r="B2583" s="46" t="s">
        <v>204</v>
      </c>
      <c r="C2583" s="47">
        <v>44299</v>
      </c>
      <c r="D2583" s="45">
        <v>22021001038</v>
      </c>
      <c r="E2583" s="46" t="s">
        <v>844</v>
      </c>
      <c r="F2583" s="48">
        <v>1125.69</v>
      </c>
      <c r="G2583" s="54" t="s">
        <v>266</v>
      </c>
      <c r="H2583" s="54" t="s">
        <v>4104</v>
      </c>
      <c r="I2583" s="53" t="s">
        <v>205</v>
      </c>
      <c r="J2583" s="54" t="s">
        <v>127</v>
      </c>
      <c r="K2583" s="54" t="s">
        <v>127</v>
      </c>
      <c r="L2583" s="54" t="s">
        <v>15</v>
      </c>
      <c r="M2583" s="54" t="s">
        <v>13</v>
      </c>
      <c r="N2583" s="54" t="s">
        <v>14</v>
      </c>
      <c r="O2583" s="49" t="s">
        <v>814</v>
      </c>
      <c r="P2583" s="54" t="s">
        <v>3392</v>
      </c>
      <c r="Q2583" s="35" t="str">
        <f>MID(Tabla1[[#This Row],[Aplicación]],14,1)</f>
        <v>2</v>
      </c>
      <c r="R2583" s="35" t="s">
        <v>495</v>
      </c>
      <c r="S2583" s="35" t="str">
        <f>MID(Tabla1[[#This Row],[Aplicación]],6,2)</f>
        <v>10</v>
      </c>
      <c r="T2583" s="35" t="str">
        <f>VLOOKUP(Tabla1[[#This Row],[AREA]],Hoja1!A:B,2,FALSE)</f>
        <v>10. Servicios sociales y mediación comunitaria</v>
      </c>
      <c r="U2583" s="35" t="str">
        <f>MID(Tabla1[[#This Row],[Aplicación]],9,4)</f>
        <v>2312</v>
      </c>
      <c r="V2583" s="35" t="str">
        <f>VLOOKUP(Tabla1[[#This Row],[PROGRAMA]],Hoja1!A:B,2,FALSE)</f>
        <v>2312. Iniciativas sociales</v>
      </c>
      <c r="W2583" s="35" t="str">
        <f>MID(Tabla1[[#This Row],[Aplicación]],14,2)</f>
        <v>21</v>
      </c>
      <c r="X2583" s="35" t="str">
        <f>MID(Tabla1[[#This Row],[Aplicación]],14,6)</f>
        <v>212</v>
      </c>
    </row>
    <row r="2584" spans="1:24" x14ac:dyDescent="0.25">
      <c r="A2584" s="45">
        <v>220210016881</v>
      </c>
      <c r="B2584" s="46" t="s">
        <v>204</v>
      </c>
      <c r="C2584" s="47">
        <v>44308</v>
      </c>
      <c r="D2584" s="45">
        <v>22021001275</v>
      </c>
      <c r="E2584" s="46" t="s">
        <v>1334</v>
      </c>
      <c r="F2584" s="48">
        <v>1853.6</v>
      </c>
      <c r="G2584" s="54" t="s">
        <v>3097</v>
      </c>
      <c r="H2584" s="54" t="s">
        <v>4105</v>
      </c>
      <c r="I2584" s="53" t="s">
        <v>205</v>
      </c>
      <c r="J2584" s="54" t="s">
        <v>749</v>
      </c>
      <c r="K2584" s="54" t="s">
        <v>127</v>
      </c>
      <c r="L2584" s="54" t="s">
        <v>15</v>
      </c>
      <c r="M2584" s="54" t="s">
        <v>13</v>
      </c>
      <c r="N2584" s="54" t="s">
        <v>14</v>
      </c>
      <c r="O2584" s="49" t="s">
        <v>814</v>
      </c>
      <c r="P2584" s="54" t="s">
        <v>3392</v>
      </c>
      <c r="Q2584" s="35" t="str">
        <f>MID(Tabla1[[#This Row],[Aplicación]],14,1)</f>
        <v>2</v>
      </c>
      <c r="R2584" s="35" t="s">
        <v>495</v>
      </c>
      <c r="S2584" s="35" t="str">
        <f>MID(Tabla1[[#This Row],[Aplicación]],6,2)</f>
        <v>07</v>
      </c>
      <c r="T2584" s="35" t="str">
        <f>VLOOKUP(Tabla1[[#This Row],[AREA]],Hoja1!A:B,2,FALSE)</f>
        <v>07. Medio ambiente y desarrollo sostenible</v>
      </c>
      <c r="U2584" s="35" t="str">
        <f>MID(Tabla1[[#This Row],[Aplicación]],9,4)</f>
        <v>1711</v>
      </c>
      <c r="V2584" s="35" t="str">
        <f>VLOOKUP(Tabla1[[#This Row],[PROGRAMA]],Hoja1!A:B,2,FALSE)</f>
        <v>1711. Parques y jardines</v>
      </c>
      <c r="W2584" s="35" t="str">
        <f>MID(Tabla1[[#This Row],[Aplicación]],14,2)</f>
        <v>22</v>
      </c>
      <c r="X2584" s="35" t="str">
        <f>MID(Tabla1[[#This Row],[Aplicación]],14,6)</f>
        <v>22199</v>
      </c>
    </row>
    <row r="2585" spans="1:24" x14ac:dyDescent="0.25">
      <c r="A2585" s="45">
        <v>220210031466</v>
      </c>
      <c r="B2585" s="46" t="s">
        <v>9</v>
      </c>
      <c r="C2585" s="47">
        <v>44368</v>
      </c>
      <c r="D2585" s="45">
        <v>22021004922</v>
      </c>
      <c r="E2585" s="46" t="s">
        <v>1189</v>
      </c>
      <c r="F2585" s="48">
        <v>773.19</v>
      </c>
      <c r="G2585" s="54" t="s">
        <v>4081</v>
      </c>
      <c r="H2585" s="54" t="s">
        <v>4106</v>
      </c>
      <c r="I2585" s="53" t="s">
        <v>125</v>
      </c>
      <c r="J2585" s="54" t="s">
        <v>613</v>
      </c>
      <c r="K2585" s="54" t="s">
        <v>127</v>
      </c>
      <c r="L2585" s="54" t="s">
        <v>12</v>
      </c>
      <c r="M2585" s="54" t="s">
        <v>10</v>
      </c>
      <c r="N2585" s="54" t="s">
        <v>11</v>
      </c>
      <c r="O2585" s="49" t="s">
        <v>815</v>
      </c>
      <c r="P2585" s="54" t="s">
        <v>3392</v>
      </c>
      <c r="Q2585" s="35" t="str">
        <f>MID(Tabla1[[#This Row],[Aplicación]],14,1)</f>
        <v>2</v>
      </c>
      <c r="R2585" s="35" t="s">
        <v>495</v>
      </c>
      <c r="S2585" s="35" t="str">
        <f>MID(Tabla1[[#This Row],[Aplicación]],6,2)</f>
        <v>10</v>
      </c>
      <c r="T2585" s="35" t="str">
        <f>VLOOKUP(Tabla1[[#This Row],[AREA]],Hoja1!A:B,2,FALSE)</f>
        <v>10. Servicios sociales y mediación comunitaria</v>
      </c>
      <c r="U2585" s="35" t="str">
        <f>MID(Tabla1[[#This Row],[Aplicación]],9,4)</f>
        <v>2311</v>
      </c>
      <c r="V2585" s="35" t="str">
        <f>VLOOKUP(Tabla1[[#This Row],[PROGRAMA]],Hoja1!A:B,2,FALSE)</f>
        <v>2311. Intervención social</v>
      </c>
      <c r="W2585" s="35" t="str">
        <f>MID(Tabla1[[#This Row],[Aplicación]],14,2)</f>
        <v>22</v>
      </c>
      <c r="X2585" s="35" t="str">
        <f>MID(Tabla1[[#This Row],[Aplicación]],14,6)</f>
        <v>22700</v>
      </c>
    </row>
    <row r="2586" spans="1:24" x14ac:dyDescent="0.25">
      <c r="A2586" s="45">
        <v>220210028753</v>
      </c>
      <c r="B2586" s="46" t="s">
        <v>204</v>
      </c>
      <c r="C2586" s="47">
        <v>44351</v>
      </c>
      <c r="D2586" s="45">
        <v>22021001276</v>
      </c>
      <c r="E2586" s="46" t="s">
        <v>2510</v>
      </c>
      <c r="F2586" s="48">
        <v>711.92</v>
      </c>
      <c r="G2586" s="54" t="s">
        <v>3097</v>
      </c>
      <c r="H2586" s="54" t="s">
        <v>3098</v>
      </c>
      <c r="I2586" s="53" t="s">
        <v>205</v>
      </c>
      <c r="J2586" s="54" t="s">
        <v>749</v>
      </c>
      <c r="K2586" s="54" t="s">
        <v>127</v>
      </c>
      <c r="L2586" s="54" t="s">
        <v>15</v>
      </c>
      <c r="M2586" s="54" t="s">
        <v>13</v>
      </c>
      <c r="N2586" s="54" t="s">
        <v>14</v>
      </c>
      <c r="O2586" s="49" t="s">
        <v>814</v>
      </c>
      <c r="P2586" s="54" t="s">
        <v>3392</v>
      </c>
      <c r="Q2586" s="35" t="str">
        <f>MID(Tabla1[[#This Row],[Aplicación]],14,1)</f>
        <v>2</v>
      </c>
      <c r="R2586" s="35" t="s">
        <v>495</v>
      </c>
      <c r="S2586" s="35" t="str">
        <f>MID(Tabla1[[#This Row],[Aplicación]],6,2)</f>
        <v>07</v>
      </c>
      <c r="T2586" s="35" t="str">
        <f>VLOOKUP(Tabla1[[#This Row],[AREA]],Hoja1!A:B,2,FALSE)</f>
        <v>07. Medio ambiente y desarrollo sostenible</v>
      </c>
      <c r="U2586" s="35" t="str">
        <f>MID(Tabla1[[#This Row],[Aplicación]],9,4)</f>
        <v>1711</v>
      </c>
      <c r="V2586" s="35" t="str">
        <f>VLOOKUP(Tabla1[[#This Row],[PROGRAMA]],Hoja1!A:B,2,FALSE)</f>
        <v>1711. Parques y jardines</v>
      </c>
      <c r="W2586" s="35" t="str">
        <f>MID(Tabla1[[#This Row],[Aplicación]],14,2)</f>
        <v>22</v>
      </c>
      <c r="X2586" s="35" t="str">
        <f>MID(Tabla1[[#This Row],[Aplicación]],14,6)</f>
        <v>22106</v>
      </c>
    </row>
    <row r="2587" spans="1:24" x14ac:dyDescent="0.25">
      <c r="A2587" s="45">
        <v>220210025771</v>
      </c>
      <c r="B2587" s="46" t="s">
        <v>204</v>
      </c>
      <c r="C2587" s="47">
        <v>44343</v>
      </c>
      <c r="D2587" s="45">
        <v>22021002048</v>
      </c>
      <c r="E2587" s="46" t="s">
        <v>890</v>
      </c>
      <c r="F2587" s="48">
        <v>1104.72</v>
      </c>
      <c r="G2587" s="54" t="s">
        <v>271</v>
      </c>
      <c r="H2587" s="54" t="s">
        <v>4107</v>
      </c>
      <c r="I2587" s="53" t="s">
        <v>205</v>
      </c>
      <c r="J2587" s="54" t="s">
        <v>127</v>
      </c>
      <c r="K2587" s="54" t="s">
        <v>127</v>
      </c>
      <c r="L2587" s="54" t="s">
        <v>15</v>
      </c>
      <c r="M2587" s="54" t="s">
        <v>13</v>
      </c>
      <c r="N2587" s="54" t="s">
        <v>14</v>
      </c>
      <c r="O2587" s="49" t="s">
        <v>814</v>
      </c>
      <c r="P2587" s="54" t="s">
        <v>3392</v>
      </c>
      <c r="Q2587" s="35" t="str">
        <f>MID(Tabla1[[#This Row],[Aplicación]],14,1)</f>
        <v>2</v>
      </c>
      <c r="R2587" s="35" t="s">
        <v>495</v>
      </c>
      <c r="S2587" s="35" t="str">
        <f>MID(Tabla1[[#This Row],[Aplicación]],6,2)</f>
        <v>11</v>
      </c>
      <c r="T2587" s="35" t="str">
        <f>VLOOKUP(Tabla1[[#This Row],[AREA]],Hoja1!A:B,2,FALSE)</f>
        <v>11. Salud pública y seguridad ciudadana</v>
      </c>
      <c r="U2587" s="35" t="str">
        <f>MID(Tabla1[[#This Row],[Aplicación]],9,4)</f>
        <v>1621</v>
      </c>
      <c r="V2587" s="35" t="str">
        <f>VLOOKUP(Tabla1[[#This Row],[PROGRAMA]],Hoja1!A:B,2,FALSE)</f>
        <v>1621. Servicio de limpieza</v>
      </c>
      <c r="W2587" s="35" t="str">
        <f>MID(Tabla1[[#This Row],[Aplicación]],14,2)</f>
        <v>21</v>
      </c>
      <c r="X2587" s="35" t="str">
        <f>MID(Tabla1[[#This Row],[Aplicación]],14,6)</f>
        <v>214</v>
      </c>
    </row>
    <row r="2588" spans="1:24" x14ac:dyDescent="0.25">
      <c r="A2588" s="45">
        <v>220210027657</v>
      </c>
      <c r="B2588" s="46" t="s">
        <v>204</v>
      </c>
      <c r="C2588" s="47">
        <v>44348</v>
      </c>
      <c r="D2588" s="45">
        <v>22021002057</v>
      </c>
      <c r="E2588" s="46" t="s">
        <v>1715</v>
      </c>
      <c r="F2588" s="48">
        <v>1104.25</v>
      </c>
      <c r="G2588" s="54" t="s">
        <v>272</v>
      </c>
      <c r="H2588" s="54" t="s">
        <v>4108</v>
      </c>
      <c r="I2588" s="53" t="s">
        <v>205</v>
      </c>
      <c r="J2588" s="54" t="s">
        <v>127</v>
      </c>
      <c r="K2588" s="54" t="s">
        <v>127</v>
      </c>
      <c r="L2588" s="54" t="s">
        <v>15</v>
      </c>
      <c r="M2588" s="54" t="s">
        <v>13</v>
      </c>
      <c r="N2588" s="54" t="s">
        <v>14</v>
      </c>
      <c r="O2588" s="49" t="s">
        <v>814</v>
      </c>
      <c r="P2588" s="54" t="s">
        <v>3392</v>
      </c>
      <c r="Q2588" s="35" t="str">
        <f>MID(Tabla1[[#This Row],[Aplicación]],14,1)</f>
        <v>2</v>
      </c>
      <c r="R2588" s="35" t="s">
        <v>495</v>
      </c>
      <c r="S2588" s="35" t="str">
        <f>MID(Tabla1[[#This Row],[Aplicación]],6,2)</f>
        <v>11</v>
      </c>
      <c r="T2588" s="35" t="str">
        <f>VLOOKUP(Tabla1[[#This Row],[AREA]],Hoja1!A:B,2,FALSE)</f>
        <v>11. Salud pública y seguridad ciudadana</v>
      </c>
      <c r="U2588" s="35" t="str">
        <f>MID(Tabla1[[#This Row],[Aplicación]],9,4)</f>
        <v>1631</v>
      </c>
      <c r="V2588" s="35" t="str">
        <f>VLOOKUP(Tabla1[[#This Row],[PROGRAMA]],Hoja1!A:B,2,FALSE)</f>
        <v>1631. Limpieza viaria</v>
      </c>
      <c r="W2588" s="35" t="str">
        <f>MID(Tabla1[[#This Row],[Aplicación]],14,2)</f>
        <v>22</v>
      </c>
      <c r="X2588" s="35" t="str">
        <f>MID(Tabla1[[#This Row],[Aplicación]],14,6)</f>
        <v>22199</v>
      </c>
    </row>
    <row r="2589" spans="1:24" x14ac:dyDescent="0.25">
      <c r="A2589" s="45">
        <v>220210028825</v>
      </c>
      <c r="B2589" s="46" t="s">
        <v>9</v>
      </c>
      <c r="C2589" s="47">
        <v>44351</v>
      </c>
      <c r="D2589" s="45">
        <v>22021004734</v>
      </c>
      <c r="E2589" s="46" t="s">
        <v>1483</v>
      </c>
      <c r="F2589" s="48">
        <v>1007.22</v>
      </c>
      <c r="G2589" s="54" t="s">
        <v>121</v>
      </c>
      <c r="H2589" s="54" t="s">
        <v>4109</v>
      </c>
      <c r="I2589" s="53" t="s">
        <v>125</v>
      </c>
      <c r="J2589" s="54" t="s">
        <v>664</v>
      </c>
      <c r="K2589" s="54" t="s">
        <v>127</v>
      </c>
      <c r="L2589" s="54" t="s">
        <v>12</v>
      </c>
      <c r="M2589" s="54" t="s">
        <v>10</v>
      </c>
      <c r="N2589" s="54" t="s">
        <v>11</v>
      </c>
      <c r="O2589" s="49" t="s">
        <v>815</v>
      </c>
      <c r="P2589" s="54" t="s">
        <v>3392</v>
      </c>
      <c r="Q2589" s="35" t="str">
        <f>MID(Tabla1[[#This Row],[Aplicación]],14,1)</f>
        <v>6</v>
      </c>
      <c r="R2589" s="35" t="s">
        <v>496</v>
      </c>
      <c r="S2589" s="35" t="str">
        <f>MID(Tabla1[[#This Row],[Aplicación]],6,2)</f>
        <v>03</v>
      </c>
      <c r="T2589" s="35" t="str">
        <f>VLOOKUP(Tabla1[[#This Row],[AREA]],Hoja1!A:B,2,FALSE)</f>
        <v>03. Participación ciudadana y deportes</v>
      </c>
      <c r="U2589" s="35" t="str">
        <f>MID(Tabla1[[#This Row],[Aplicación]],9,4)</f>
        <v>9241</v>
      </c>
      <c r="V2589" s="35" t="str">
        <f>VLOOKUP(Tabla1[[#This Row],[PROGRAMA]],Hoja1!A:B,2,FALSE)</f>
        <v>9241. Participación ciudadana</v>
      </c>
      <c r="W2589" s="35" t="str">
        <f>MID(Tabla1[[#This Row],[Aplicación]],14,2)</f>
        <v>63</v>
      </c>
      <c r="X2589" s="35" t="str">
        <f>MID(Tabla1[[#This Row],[Aplicación]],14,6)</f>
        <v>632</v>
      </c>
    </row>
    <row r="2590" spans="1:24" x14ac:dyDescent="0.25">
      <c r="A2590" s="45">
        <v>220210025522</v>
      </c>
      <c r="B2590" s="46" t="s">
        <v>204</v>
      </c>
      <c r="C2590" s="47">
        <v>44342</v>
      </c>
      <c r="D2590" s="45">
        <v>22021002602</v>
      </c>
      <c r="E2590" s="46" t="s">
        <v>3362</v>
      </c>
      <c r="F2590" s="48">
        <v>1099.19</v>
      </c>
      <c r="G2590" s="54" t="s">
        <v>3927</v>
      </c>
      <c r="H2590" s="54" t="s">
        <v>3928</v>
      </c>
      <c r="I2590" s="53" t="s">
        <v>205</v>
      </c>
      <c r="J2590" s="54" t="s">
        <v>127</v>
      </c>
      <c r="K2590" s="54" t="s">
        <v>127</v>
      </c>
      <c r="L2590" s="54" t="s">
        <v>15</v>
      </c>
      <c r="M2590" s="54" t="s">
        <v>13</v>
      </c>
      <c r="N2590" s="54" t="s">
        <v>14</v>
      </c>
      <c r="O2590" s="49" t="s">
        <v>814</v>
      </c>
      <c r="P2590" s="54" t="s">
        <v>3392</v>
      </c>
      <c r="Q2590" s="35" t="str">
        <f>MID(Tabla1[[#This Row],[Aplicación]],14,1)</f>
        <v>6</v>
      </c>
      <c r="R2590" s="35" t="s">
        <v>496</v>
      </c>
      <c r="S2590" s="35" t="str">
        <f>MID(Tabla1[[#This Row],[Aplicación]],6,2)</f>
        <v>06</v>
      </c>
      <c r="T2590" s="35" t="str">
        <f>VLOOKUP(Tabla1[[#This Row],[AREA]],Hoja1!A:B,2,FALSE)</f>
        <v>06. Educación, infancia, juventud e igualdad</v>
      </c>
      <c r="U2590" s="35" t="str">
        <f>MID(Tabla1[[#This Row],[Aplicación]],9,4)</f>
        <v>3321</v>
      </c>
      <c r="V2590" s="35" t="str">
        <f>VLOOKUP(Tabla1[[#This Row],[PROGRAMA]],Hoja1!A:B,2,FALSE)</f>
        <v>3321. Bibliotecas públicas</v>
      </c>
      <c r="W2590" s="35" t="str">
        <f>MID(Tabla1[[#This Row],[Aplicación]],14,2)</f>
        <v>62</v>
      </c>
      <c r="X2590" s="35" t="str">
        <f>MID(Tabla1[[#This Row],[Aplicación]],14,6)</f>
        <v>629</v>
      </c>
    </row>
    <row r="2591" spans="1:24" x14ac:dyDescent="0.25">
      <c r="A2591" s="45">
        <v>220210020453</v>
      </c>
      <c r="B2591" s="46" t="s">
        <v>9</v>
      </c>
      <c r="C2591" s="47">
        <v>44322</v>
      </c>
      <c r="D2591" s="45">
        <v>22021004204</v>
      </c>
      <c r="E2591" s="46" t="s">
        <v>886</v>
      </c>
      <c r="F2591" s="48">
        <v>754.97</v>
      </c>
      <c r="G2591" s="54" t="s">
        <v>43</v>
      </c>
      <c r="H2591" s="54" t="s">
        <v>4110</v>
      </c>
      <c r="I2591" s="53" t="s">
        <v>125</v>
      </c>
      <c r="J2591" s="54" t="s">
        <v>127</v>
      </c>
      <c r="K2591" s="54" t="s">
        <v>127</v>
      </c>
      <c r="L2591" s="54" t="s">
        <v>15</v>
      </c>
      <c r="M2591" s="54" t="s">
        <v>10</v>
      </c>
      <c r="N2591" s="54" t="s">
        <v>11</v>
      </c>
      <c r="O2591" s="49" t="s">
        <v>815</v>
      </c>
      <c r="P2591" s="54" t="s">
        <v>3392</v>
      </c>
      <c r="Q2591" s="35" t="str">
        <f>MID(Tabla1[[#This Row],[Aplicación]],14,1)</f>
        <v>2</v>
      </c>
      <c r="R2591" s="35" t="s">
        <v>495</v>
      </c>
      <c r="S2591" s="35" t="str">
        <f>MID(Tabla1[[#This Row],[Aplicación]],6,2)</f>
        <v>10</v>
      </c>
      <c r="T2591" s="35" t="str">
        <f>VLOOKUP(Tabla1[[#This Row],[AREA]],Hoja1!A:B,2,FALSE)</f>
        <v>10. Servicios sociales y mediación comunitaria</v>
      </c>
      <c r="U2591" s="35" t="str">
        <f>MID(Tabla1[[#This Row],[Aplicación]],9,4)</f>
        <v>2311</v>
      </c>
      <c r="V2591" s="35" t="str">
        <f>VLOOKUP(Tabla1[[#This Row],[PROGRAMA]],Hoja1!A:B,2,FALSE)</f>
        <v>2311. Intervención social</v>
      </c>
      <c r="W2591" s="35" t="str">
        <f>MID(Tabla1[[#This Row],[Aplicación]],14,2)</f>
        <v>21</v>
      </c>
      <c r="X2591" s="35" t="str">
        <f>MID(Tabla1[[#This Row],[Aplicación]],14,6)</f>
        <v>213</v>
      </c>
    </row>
    <row r="2592" spans="1:24" x14ac:dyDescent="0.25">
      <c r="A2592" s="45">
        <v>220210021012</v>
      </c>
      <c r="B2592" s="46" t="s">
        <v>9</v>
      </c>
      <c r="C2592" s="47">
        <v>44323</v>
      </c>
      <c r="D2592" s="45">
        <v>22021004353</v>
      </c>
      <c r="E2592" s="46" t="s">
        <v>1768</v>
      </c>
      <c r="F2592" s="48">
        <v>750</v>
      </c>
      <c r="G2592" s="54" t="s">
        <v>44</v>
      </c>
      <c r="H2592" s="54" t="s">
        <v>4111</v>
      </c>
      <c r="I2592" s="53" t="s">
        <v>125</v>
      </c>
      <c r="J2592" s="54" t="s">
        <v>146</v>
      </c>
      <c r="K2592" s="54" t="s">
        <v>146</v>
      </c>
      <c r="L2592" s="54" t="s">
        <v>12</v>
      </c>
      <c r="M2592" s="54" t="s">
        <v>10</v>
      </c>
      <c r="N2592" s="54" t="s">
        <v>11</v>
      </c>
      <c r="O2592" s="49" t="s">
        <v>815</v>
      </c>
      <c r="P2592" s="54" t="s">
        <v>3392</v>
      </c>
      <c r="Q2592" s="35" t="str">
        <f>MID(Tabla1[[#This Row],[Aplicación]],14,1)</f>
        <v>2</v>
      </c>
      <c r="R2592" s="35" t="s">
        <v>495</v>
      </c>
      <c r="S2592" s="35" t="str">
        <f>MID(Tabla1[[#This Row],[Aplicación]],6,2)</f>
        <v>06</v>
      </c>
      <c r="T2592" s="35" t="str">
        <f>VLOOKUP(Tabla1[[#This Row],[AREA]],Hoja1!A:B,2,FALSE)</f>
        <v>06. Educación, infancia, juventud e igualdad</v>
      </c>
      <c r="U2592" s="35" t="str">
        <f>MID(Tabla1[[#This Row],[Aplicación]],9,4)</f>
        <v>3231</v>
      </c>
      <c r="V2592" s="35" t="str">
        <f>VLOOKUP(Tabla1[[#This Row],[PROGRAMA]],Hoja1!A:B,2,FALSE)</f>
        <v>3231. Escuelas infantiles</v>
      </c>
      <c r="W2592" s="35" t="str">
        <f>MID(Tabla1[[#This Row],[Aplicación]],14,2)</f>
        <v>22</v>
      </c>
      <c r="X2592" s="35" t="str">
        <f>MID(Tabla1[[#This Row],[Aplicación]],14,6)</f>
        <v>22102</v>
      </c>
    </row>
    <row r="2593" spans="1:24" x14ac:dyDescent="0.25">
      <c r="A2593" s="45">
        <v>220210032955</v>
      </c>
      <c r="B2593" s="46" t="s">
        <v>204</v>
      </c>
      <c r="C2593" s="47">
        <v>44375</v>
      </c>
      <c r="D2593" s="45">
        <v>22021002052</v>
      </c>
      <c r="E2593" s="46" t="s">
        <v>1340</v>
      </c>
      <c r="F2593" s="48">
        <v>1096.7</v>
      </c>
      <c r="G2593" s="54" t="s">
        <v>272</v>
      </c>
      <c r="H2593" s="54" t="s">
        <v>4112</v>
      </c>
      <c r="I2593" s="53" t="s">
        <v>205</v>
      </c>
      <c r="J2593" s="54" t="s">
        <v>127</v>
      </c>
      <c r="K2593" s="54" t="s">
        <v>127</v>
      </c>
      <c r="L2593" s="54" t="s">
        <v>15</v>
      </c>
      <c r="M2593" s="54" t="s">
        <v>13</v>
      </c>
      <c r="N2593" s="54" t="s">
        <v>14</v>
      </c>
      <c r="O2593" s="49" t="s">
        <v>814</v>
      </c>
      <c r="P2593" s="54" t="s">
        <v>3392</v>
      </c>
      <c r="Q2593" s="35" t="str">
        <f>MID(Tabla1[[#This Row],[Aplicación]],14,1)</f>
        <v>2</v>
      </c>
      <c r="R2593" s="35" t="s">
        <v>495</v>
      </c>
      <c r="S2593" s="35" t="str">
        <f>MID(Tabla1[[#This Row],[Aplicación]],6,2)</f>
        <v>11</v>
      </c>
      <c r="T2593" s="35" t="str">
        <f>VLOOKUP(Tabla1[[#This Row],[AREA]],Hoja1!A:B,2,FALSE)</f>
        <v>11. Salud pública y seguridad ciudadana</v>
      </c>
      <c r="U2593" s="35" t="str">
        <f>MID(Tabla1[[#This Row],[Aplicación]],9,4)</f>
        <v>1621</v>
      </c>
      <c r="V2593" s="35" t="str">
        <f>VLOOKUP(Tabla1[[#This Row],[PROGRAMA]],Hoja1!A:B,2,FALSE)</f>
        <v>1621. Servicio de limpieza</v>
      </c>
      <c r="W2593" s="35" t="str">
        <f>MID(Tabla1[[#This Row],[Aplicación]],14,2)</f>
        <v>22</v>
      </c>
      <c r="X2593" s="35" t="str">
        <f>MID(Tabla1[[#This Row],[Aplicación]],14,6)</f>
        <v>22199</v>
      </c>
    </row>
    <row r="2594" spans="1:24" x14ac:dyDescent="0.25">
      <c r="A2594" s="45">
        <v>220210029742</v>
      </c>
      <c r="B2594" s="46" t="s">
        <v>204</v>
      </c>
      <c r="C2594" s="47">
        <v>44355</v>
      </c>
      <c r="D2594" s="45">
        <v>22021002089</v>
      </c>
      <c r="E2594" s="46" t="s">
        <v>1220</v>
      </c>
      <c r="F2594" s="48">
        <v>1073.3900000000001</v>
      </c>
      <c r="G2594" s="54" t="s">
        <v>223</v>
      </c>
      <c r="H2594" s="54" t="s">
        <v>4113</v>
      </c>
      <c r="I2594" s="53" t="s">
        <v>205</v>
      </c>
      <c r="J2594" s="54" t="s">
        <v>127</v>
      </c>
      <c r="K2594" s="54" t="s">
        <v>127</v>
      </c>
      <c r="L2594" s="54" t="s">
        <v>15</v>
      </c>
      <c r="M2594" s="54" t="s">
        <v>13</v>
      </c>
      <c r="N2594" s="54" t="s">
        <v>16</v>
      </c>
      <c r="O2594" s="49" t="s">
        <v>814</v>
      </c>
      <c r="P2594" s="54" t="s">
        <v>3392</v>
      </c>
      <c r="Q2594" s="35" t="str">
        <f>MID(Tabla1[[#This Row],[Aplicación]],14,1)</f>
        <v>2</v>
      </c>
      <c r="R2594" s="35" t="s">
        <v>495</v>
      </c>
      <c r="S2594" s="35" t="str">
        <f>MID(Tabla1[[#This Row],[Aplicación]],6,2)</f>
        <v>03</v>
      </c>
      <c r="T2594" s="35" t="str">
        <f>VLOOKUP(Tabla1[[#This Row],[AREA]],Hoja1!A:B,2,FALSE)</f>
        <v>03. Participación ciudadana y deportes</v>
      </c>
      <c r="U2594" s="35" t="str">
        <f>MID(Tabla1[[#This Row],[Aplicación]],9,4)</f>
        <v>9241</v>
      </c>
      <c r="V2594" s="35" t="str">
        <f>VLOOKUP(Tabla1[[#This Row],[PROGRAMA]],Hoja1!A:B,2,FALSE)</f>
        <v>9241. Participación ciudadana</v>
      </c>
      <c r="W2594" s="35" t="str">
        <f>MID(Tabla1[[#This Row],[Aplicación]],14,2)</f>
        <v>21</v>
      </c>
      <c r="X2594" s="35" t="str">
        <f>MID(Tabla1[[#This Row],[Aplicación]],14,6)</f>
        <v>213</v>
      </c>
    </row>
    <row r="2595" spans="1:24" x14ac:dyDescent="0.25">
      <c r="A2595" s="45">
        <v>220210028270</v>
      </c>
      <c r="B2595" s="46" t="s">
        <v>9</v>
      </c>
      <c r="C2595" s="47">
        <v>44350</v>
      </c>
      <c r="D2595" s="45">
        <v>22021004654</v>
      </c>
      <c r="E2595" s="46" t="s">
        <v>3373</v>
      </c>
      <c r="F2595" s="48">
        <v>737.8</v>
      </c>
      <c r="G2595" s="54" t="s">
        <v>569</v>
      </c>
      <c r="H2595" s="54" t="s">
        <v>4114</v>
      </c>
      <c r="I2595" s="53" t="s">
        <v>125</v>
      </c>
      <c r="J2595" s="54" t="s">
        <v>681</v>
      </c>
      <c r="K2595" s="54" t="s">
        <v>145</v>
      </c>
      <c r="L2595" s="54" t="s">
        <v>15</v>
      </c>
      <c r="M2595" s="54" t="s">
        <v>10</v>
      </c>
      <c r="N2595" s="54" t="s">
        <v>11</v>
      </c>
      <c r="O2595" s="49" t="s">
        <v>815</v>
      </c>
      <c r="P2595" s="54" t="s">
        <v>3392</v>
      </c>
      <c r="Q2595" s="35" t="str">
        <f>MID(Tabla1[[#This Row],[Aplicación]],14,1)</f>
        <v>2</v>
      </c>
      <c r="R2595" s="35" t="s">
        <v>495</v>
      </c>
      <c r="S2595" s="35" t="str">
        <f>MID(Tabla1[[#This Row],[Aplicación]],6,2)</f>
        <v>11</v>
      </c>
      <c r="T2595" s="35" t="str">
        <f>VLOOKUP(Tabla1[[#This Row],[AREA]],Hoja1!A:B,2,FALSE)</f>
        <v>11. Salud pública y seguridad ciudadana</v>
      </c>
      <c r="U2595" s="35" t="str">
        <f>MID(Tabla1[[#This Row],[Aplicación]],9,4)</f>
        <v>1631</v>
      </c>
      <c r="V2595" s="35" t="str">
        <f>VLOOKUP(Tabla1[[#This Row],[PROGRAMA]],Hoja1!A:B,2,FALSE)</f>
        <v>1631. Limpieza viaria</v>
      </c>
      <c r="W2595" s="35" t="str">
        <f>MID(Tabla1[[#This Row],[Aplicación]],14,2)</f>
        <v>21</v>
      </c>
      <c r="X2595" s="35" t="str">
        <f>MID(Tabla1[[#This Row],[Aplicación]],14,6)</f>
        <v>219</v>
      </c>
    </row>
    <row r="2596" spans="1:24" x14ac:dyDescent="0.25">
      <c r="A2596" s="45">
        <v>220210020078</v>
      </c>
      <c r="B2596" s="46" t="s">
        <v>9</v>
      </c>
      <c r="C2596" s="47">
        <v>44321</v>
      </c>
      <c r="D2596" s="45">
        <v>22021001247</v>
      </c>
      <c r="E2596" s="46" t="s">
        <v>1382</v>
      </c>
      <c r="F2596" s="48">
        <v>733.03</v>
      </c>
      <c r="G2596" s="54" t="s">
        <v>116</v>
      </c>
      <c r="H2596" s="54" t="s">
        <v>4115</v>
      </c>
      <c r="I2596" s="53" t="s">
        <v>125</v>
      </c>
      <c r="J2596" s="54" t="s">
        <v>127</v>
      </c>
      <c r="K2596" s="54" t="s">
        <v>127</v>
      </c>
      <c r="L2596" s="54" t="s">
        <v>15</v>
      </c>
      <c r="M2596" s="54" t="s">
        <v>10</v>
      </c>
      <c r="N2596" s="54" t="s">
        <v>11</v>
      </c>
      <c r="O2596" s="49" t="s">
        <v>815</v>
      </c>
      <c r="P2596" s="54" t="s">
        <v>3392</v>
      </c>
      <c r="Q2596" s="35" t="str">
        <f>MID(Tabla1[[#This Row],[Aplicación]],14,1)</f>
        <v>2</v>
      </c>
      <c r="R2596" s="35" t="s">
        <v>495</v>
      </c>
      <c r="S2596" s="35" t="str">
        <f>MID(Tabla1[[#This Row],[Aplicación]],6,2)</f>
        <v>11</v>
      </c>
      <c r="T2596" s="35" t="str">
        <f>VLOOKUP(Tabla1[[#This Row],[AREA]],Hoja1!A:B,2,FALSE)</f>
        <v>11. Salud pública y seguridad ciudadana</v>
      </c>
      <c r="U2596" s="35" t="str">
        <f>MID(Tabla1[[#This Row],[Aplicación]],9,4)</f>
        <v>1631</v>
      </c>
      <c r="V2596" s="35" t="str">
        <f>VLOOKUP(Tabla1[[#This Row],[PROGRAMA]],Hoja1!A:B,2,FALSE)</f>
        <v>1631. Limpieza viaria</v>
      </c>
      <c r="W2596" s="35" t="str">
        <f>MID(Tabla1[[#This Row],[Aplicación]],14,2)</f>
        <v>21</v>
      </c>
      <c r="X2596" s="35" t="str">
        <f>MID(Tabla1[[#This Row],[Aplicación]],14,6)</f>
        <v>214</v>
      </c>
    </row>
    <row r="2597" spans="1:24" x14ac:dyDescent="0.25">
      <c r="A2597" s="45">
        <v>220210033199</v>
      </c>
      <c r="B2597" s="46" t="s">
        <v>204</v>
      </c>
      <c r="C2597" s="47">
        <v>44377</v>
      </c>
      <c r="D2597" s="45">
        <v>22021001276</v>
      </c>
      <c r="E2597" s="46" t="s">
        <v>2510</v>
      </c>
      <c r="F2597" s="48">
        <v>1504.95</v>
      </c>
      <c r="G2597" s="54" t="s">
        <v>3097</v>
      </c>
      <c r="H2597" s="54" t="s">
        <v>4116</v>
      </c>
      <c r="I2597" s="53" t="s">
        <v>205</v>
      </c>
      <c r="J2597" s="54" t="s">
        <v>749</v>
      </c>
      <c r="K2597" s="54" t="s">
        <v>127</v>
      </c>
      <c r="L2597" s="54" t="s">
        <v>15</v>
      </c>
      <c r="M2597" s="54" t="s">
        <v>13</v>
      </c>
      <c r="N2597" s="54" t="s">
        <v>14</v>
      </c>
      <c r="O2597" s="49" t="s">
        <v>814</v>
      </c>
      <c r="P2597" s="54" t="s">
        <v>3392</v>
      </c>
      <c r="Q2597" s="35" t="str">
        <f>MID(Tabla1[[#This Row],[Aplicación]],14,1)</f>
        <v>2</v>
      </c>
      <c r="R2597" s="35" t="s">
        <v>495</v>
      </c>
      <c r="S2597" s="35" t="str">
        <f>MID(Tabla1[[#This Row],[Aplicación]],6,2)</f>
        <v>07</v>
      </c>
      <c r="T2597" s="35" t="str">
        <f>VLOOKUP(Tabla1[[#This Row],[AREA]],Hoja1!A:B,2,FALSE)</f>
        <v>07. Medio ambiente y desarrollo sostenible</v>
      </c>
      <c r="U2597" s="35" t="str">
        <f>MID(Tabla1[[#This Row],[Aplicación]],9,4)</f>
        <v>1711</v>
      </c>
      <c r="V2597" s="35" t="str">
        <f>VLOOKUP(Tabla1[[#This Row],[PROGRAMA]],Hoja1!A:B,2,FALSE)</f>
        <v>1711. Parques y jardines</v>
      </c>
      <c r="W2597" s="35" t="str">
        <f>MID(Tabla1[[#This Row],[Aplicación]],14,2)</f>
        <v>22</v>
      </c>
      <c r="X2597" s="35" t="str">
        <f>MID(Tabla1[[#This Row],[Aplicación]],14,6)</f>
        <v>22106</v>
      </c>
    </row>
    <row r="2598" spans="1:24" x14ac:dyDescent="0.25">
      <c r="A2598" s="45">
        <v>220210031185</v>
      </c>
      <c r="B2598" s="46" t="s">
        <v>204</v>
      </c>
      <c r="C2598" s="47">
        <v>44361</v>
      </c>
      <c r="D2598" s="45">
        <v>22021003381</v>
      </c>
      <c r="E2598" s="46" t="s">
        <v>1183</v>
      </c>
      <c r="F2598" s="48">
        <v>1052.3900000000001</v>
      </c>
      <c r="G2598" s="54" t="s">
        <v>256</v>
      </c>
      <c r="H2598" s="54" t="s">
        <v>4117</v>
      </c>
      <c r="I2598" s="53" t="s">
        <v>205</v>
      </c>
      <c r="J2598" s="54" t="s">
        <v>127</v>
      </c>
      <c r="K2598" s="54" t="s">
        <v>127</v>
      </c>
      <c r="L2598" s="54" t="s">
        <v>15</v>
      </c>
      <c r="M2598" s="54" t="s">
        <v>13</v>
      </c>
      <c r="N2598" s="54" t="s">
        <v>14</v>
      </c>
      <c r="O2598" s="49" t="s">
        <v>814</v>
      </c>
      <c r="P2598" s="54" t="s">
        <v>3392</v>
      </c>
      <c r="Q2598" s="35" t="str">
        <f>MID(Tabla1[[#This Row],[Aplicación]],14,1)</f>
        <v>2</v>
      </c>
      <c r="R2598" s="35" t="s">
        <v>495</v>
      </c>
      <c r="S2598" s="35" t="str">
        <f>MID(Tabla1[[#This Row],[Aplicación]],6,2)</f>
        <v>11</v>
      </c>
      <c r="T2598" s="35" t="str">
        <f>VLOOKUP(Tabla1[[#This Row],[AREA]],Hoja1!A:B,2,FALSE)</f>
        <v>11. Salud pública y seguridad ciudadana</v>
      </c>
      <c r="U2598" s="35" t="str">
        <f>MID(Tabla1[[#This Row],[Aplicación]],9,4)</f>
        <v>1361</v>
      </c>
      <c r="V2598" s="35" t="str">
        <f>VLOOKUP(Tabla1[[#This Row],[PROGRAMA]],Hoja1!A:B,2,FALSE)</f>
        <v>1361. Prevención y extinción de incencios</v>
      </c>
      <c r="W2598" s="35" t="str">
        <f>MID(Tabla1[[#This Row],[Aplicación]],14,2)</f>
        <v>22</v>
      </c>
      <c r="X2598" s="35" t="str">
        <f>MID(Tabla1[[#This Row],[Aplicación]],14,6)</f>
        <v>22199</v>
      </c>
    </row>
    <row r="2599" spans="1:24" x14ac:dyDescent="0.25">
      <c r="A2599" s="45">
        <v>220210033096</v>
      </c>
      <c r="B2599" s="46" t="s">
        <v>204</v>
      </c>
      <c r="C2599" s="47">
        <v>44376</v>
      </c>
      <c r="D2599" s="45">
        <v>22019009556</v>
      </c>
      <c r="E2599" s="46" t="s">
        <v>3358</v>
      </c>
      <c r="F2599" s="48">
        <v>726</v>
      </c>
      <c r="G2599" s="54" t="s">
        <v>2664</v>
      </c>
      <c r="H2599" s="54" t="s">
        <v>4118</v>
      </c>
      <c r="I2599" s="53" t="s">
        <v>205</v>
      </c>
      <c r="J2599" s="54" t="s">
        <v>127</v>
      </c>
      <c r="K2599" s="54" t="s">
        <v>127</v>
      </c>
      <c r="L2599" s="54" t="s">
        <v>31</v>
      </c>
      <c r="M2599" s="54" t="s">
        <v>10</v>
      </c>
      <c r="N2599" s="54" t="s">
        <v>11</v>
      </c>
      <c r="O2599" s="49" t="s">
        <v>815</v>
      </c>
      <c r="P2599" s="54" t="s">
        <v>3392</v>
      </c>
      <c r="Q2599" s="35" t="str">
        <f>MID(Tabla1[[#This Row],[Aplicación]],14,1)</f>
        <v>6</v>
      </c>
      <c r="R2599" s="35" t="s">
        <v>496</v>
      </c>
      <c r="S2599" s="35" t="str">
        <f>MID(Tabla1[[#This Row],[Aplicación]],6,2)</f>
        <v>02</v>
      </c>
      <c r="T2599" s="35" t="str">
        <f>VLOOKUP(Tabla1[[#This Row],[AREA]],Hoja1!A:B,2,FALSE)</f>
        <v>02. Planeamiento urbanístico y vivienda</v>
      </c>
      <c r="U2599" s="35" t="str">
        <f>MID(Tabla1[[#This Row],[Aplicación]],9,4)</f>
        <v>9332</v>
      </c>
      <c r="V2599" s="35" t="str">
        <f>VLOOKUP(Tabla1[[#This Row],[PROGRAMA]],Hoja1!A:B,2,FALSE)</f>
        <v>9332. Mantenimiento de edificios e instalaciones municipales</v>
      </c>
      <c r="W2599" s="35" t="str">
        <f>MID(Tabla1[[#This Row],[Aplicación]],14,2)</f>
        <v>63</v>
      </c>
      <c r="X2599" s="35" t="str">
        <f>MID(Tabla1[[#This Row],[Aplicación]],14,6)</f>
        <v>633</v>
      </c>
    </row>
    <row r="2600" spans="1:24" x14ac:dyDescent="0.25">
      <c r="A2600" s="45">
        <v>220210020462</v>
      </c>
      <c r="B2600" s="46" t="s">
        <v>9</v>
      </c>
      <c r="C2600" s="47">
        <v>44322</v>
      </c>
      <c r="D2600" s="45">
        <v>22021003924</v>
      </c>
      <c r="E2600" s="46" t="s">
        <v>886</v>
      </c>
      <c r="F2600" s="48">
        <v>723.58</v>
      </c>
      <c r="G2600" s="54" t="s">
        <v>4119</v>
      </c>
      <c r="H2600" s="54" t="s">
        <v>4120</v>
      </c>
      <c r="I2600" s="53" t="s">
        <v>125</v>
      </c>
      <c r="J2600" s="54" t="s">
        <v>127</v>
      </c>
      <c r="K2600" s="54" t="s">
        <v>127</v>
      </c>
      <c r="L2600" s="54" t="s">
        <v>12</v>
      </c>
      <c r="M2600" s="54" t="s">
        <v>10</v>
      </c>
      <c r="N2600" s="54" t="s">
        <v>11</v>
      </c>
      <c r="O2600" s="49" t="s">
        <v>815</v>
      </c>
      <c r="P2600" s="54" t="s">
        <v>3392</v>
      </c>
      <c r="Q2600" s="35" t="str">
        <f>MID(Tabla1[[#This Row],[Aplicación]],14,1)</f>
        <v>2</v>
      </c>
      <c r="R2600" s="35" t="s">
        <v>495</v>
      </c>
      <c r="S2600" s="35" t="str">
        <f>MID(Tabla1[[#This Row],[Aplicación]],6,2)</f>
        <v>10</v>
      </c>
      <c r="T2600" s="35" t="str">
        <f>VLOOKUP(Tabla1[[#This Row],[AREA]],Hoja1!A:B,2,FALSE)</f>
        <v>10. Servicios sociales y mediación comunitaria</v>
      </c>
      <c r="U2600" s="35" t="str">
        <f>MID(Tabla1[[#This Row],[Aplicación]],9,4)</f>
        <v>2311</v>
      </c>
      <c r="V2600" s="35" t="str">
        <f>VLOOKUP(Tabla1[[#This Row],[PROGRAMA]],Hoja1!A:B,2,FALSE)</f>
        <v>2311. Intervención social</v>
      </c>
      <c r="W2600" s="35" t="str">
        <f>MID(Tabla1[[#This Row],[Aplicación]],14,2)</f>
        <v>21</v>
      </c>
      <c r="X2600" s="35" t="str">
        <f>MID(Tabla1[[#This Row],[Aplicación]],14,6)</f>
        <v>213</v>
      </c>
    </row>
    <row r="2601" spans="1:24" x14ac:dyDescent="0.25">
      <c r="A2601" s="45">
        <v>220210030275</v>
      </c>
      <c r="B2601" s="46" t="s">
        <v>9</v>
      </c>
      <c r="C2601" s="47">
        <v>44357</v>
      </c>
      <c r="D2601" s="45">
        <v>22021004800</v>
      </c>
      <c r="E2601" s="46" t="s">
        <v>1929</v>
      </c>
      <c r="F2601" s="48">
        <v>7018</v>
      </c>
      <c r="G2601" s="54" t="s">
        <v>121</v>
      </c>
      <c r="H2601" s="54" t="s">
        <v>4121</v>
      </c>
      <c r="I2601" s="53" t="s">
        <v>125</v>
      </c>
      <c r="J2601" s="54" t="s">
        <v>664</v>
      </c>
      <c r="K2601" s="54" t="s">
        <v>127</v>
      </c>
      <c r="L2601" s="54" t="s">
        <v>12</v>
      </c>
      <c r="M2601" s="54" t="s">
        <v>10</v>
      </c>
      <c r="N2601" s="54" t="s">
        <v>11</v>
      </c>
      <c r="O2601" s="49" t="s">
        <v>815</v>
      </c>
      <c r="P2601" s="54" t="s">
        <v>3392</v>
      </c>
      <c r="Q2601" s="35" t="str">
        <f>MID(Tabla1[[#This Row],[Aplicación]],14,1)</f>
        <v>2</v>
      </c>
      <c r="R2601" s="35" t="s">
        <v>495</v>
      </c>
      <c r="S2601" s="35" t="str">
        <f>MID(Tabla1[[#This Row],[Aplicación]],6,2)</f>
        <v>11</v>
      </c>
      <c r="T2601" s="35" t="str">
        <f>VLOOKUP(Tabla1[[#This Row],[AREA]],Hoja1!A:B,2,FALSE)</f>
        <v>11. Salud pública y seguridad ciudadana</v>
      </c>
      <c r="U2601" s="35" t="str">
        <f>MID(Tabla1[[#This Row],[Aplicación]],9,4)</f>
        <v>1321</v>
      </c>
      <c r="V2601" s="35" t="str">
        <f>VLOOKUP(Tabla1[[#This Row],[PROGRAMA]],Hoja1!A:B,2,FALSE)</f>
        <v>1321. Policía municipal</v>
      </c>
      <c r="W2601" s="35" t="str">
        <f>MID(Tabla1[[#This Row],[Aplicación]],14,2)</f>
        <v>22</v>
      </c>
      <c r="X2601" s="35" t="str">
        <f>MID(Tabla1[[#This Row],[Aplicación]],14,6)</f>
        <v>22706</v>
      </c>
    </row>
    <row r="2602" spans="1:24" x14ac:dyDescent="0.25">
      <c r="A2602" s="45">
        <v>220210030058</v>
      </c>
      <c r="B2602" s="46" t="s">
        <v>204</v>
      </c>
      <c r="C2602" s="47">
        <v>44356</v>
      </c>
      <c r="D2602" s="45">
        <v>22021002057</v>
      </c>
      <c r="E2602" s="46" t="s">
        <v>1715</v>
      </c>
      <c r="F2602" s="48">
        <v>1027.71</v>
      </c>
      <c r="G2602" s="54" t="s">
        <v>272</v>
      </c>
      <c r="H2602" s="54" t="s">
        <v>4122</v>
      </c>
      <c r="I2602" s="53" t="s">
        <v>205</v>
      </c>
      <c r="J2602" s="54" t="s">
        <v>127</v>
      </c>
      <c r="K2602" s="54" t="s">
        <v>127</v>
      </c>
      <c r="L2602" s="54" t="s">
        <v>15</v>
      </c>
      <c r="M2602" s="54" t="s">
        <v>13</v>
      </c>
      <c r="N2602" s="54" t="s">
        <v>14</v>
      </c>
      <c r="O2602" s="49" t="s">
        <v>814</v>
      </c>
      <c r="P2602" s="54" t="s">
        <v>3392</v>
      </c>
      <c r="Q2602" s="35" t="str">
        <f>MID(Tabla1[[#This Row],[Aplicación]],14,1)</f>
        <v>2</v>
      </c>
      <c r="R2602" s="35" t="s">
        <v>495</v>
      </c>
      <c r="S2602" s="35" t="str">
        <f>MID(Tabla1[[#This Row],[Aplicación]],6,2)</f>
        <v>11</v>
      </c>
      <c r="T2602" s="35" t="str">
        <f>VLOOKUP(Tabla1[[#This Row],[AREA]],Hoja1!A:B,2,FALSE)</f>
        <v>11. Salud pública y seguridad ciudadana</v>
      </c>
      <c r="U2602" s="35" t="str">
        <f>MID(Tabla1[[#This Row],[Aplicación]],9,4)</f>
        <v>1631</v>
      </c>
      <c r="V2602" s="35" t="str">
        <f>VLOOKUP(Tabla1[[#This Row],[PROGRAMA]],Hoja1!A:B,2,FALSE)</f>
        <v>1631. Limpieza viaria</v>
      </c>
      <c r="W2602" s="35" t="str">
        <f>MID(Tabla1[[#This Row],[Aplicación]],14,2)</f>
        <v>22</v>
      </c>
      <c r="X2602" s="35" t="str">
        <f>MID(Tabla1[[#This Row],[Aplicación]],14,6)</f>
        <v>22199</v>
      </c>
    </row>
    <row r="2603" spans="1:24" x14ac:dyDescent="0.25">
      <c r="A2603" s="45">
        <v>220210026145</v>
      </c>
      <c r="B2603" s="46" t="s">
        <v>9</v>
      </c>
      <c r="C2603" s="47">
        <v>44347</v>
      </c>
      <c r="D2603" s="45">
        <v>22021004665</v>
      </c>
      <c r="E2603" s="46" t="s">
        <v>1187</v>
      </c>
      <c r="F2603" s="48">
        <v>720</v>
      </c>
      <c r="G2603" s="54" t="s">
        <v>4123</v>
      </c>
      <c r="H2603" s="54" t="s">
        <v>4124</v>
      </c>
      <c r="I2603" s="53" t="s">
        <v>125</v>
      </c>
      <c r="J2603" s="54" t="s">
        <v>674</v>
      </c>
      <c r="K2603" s="54" t="s">
        <v>127</v>
      </c>
      <c r="L2603" s="54" t="s">
        <v>12</v>
      </c>
      <c r="M2603" s="54" t="s">
        <v>10</v>
      </c>
      <c r="N2603" s="54" t="s">
        <v>11</v>
      </c>
      <c r="O2603" s="49" t="s">
        <v>815</v>
      </c>
      <c r="P2603" s="54" t="s">
        <v>3392</v>
      </c>
      <c r="Q2603" s="35" t="str">
        <f>MID(Tabla1[[#This Row],[Aplicación]],14,1)</f>
        <v>2</v>
      </c>
      <c r="R2603" s="35" t="s">
        <v>495</v>
      </c>
      <c r="S2603" s="35" t="str">
        <f>MID(Tabla1[[#This Row],[Aplicación]],6,2)</f>
        <v>06</v>
      </c>
      <c r="T2603" s="35" t="str">
        <f>VLOOKUP(Tabla1[[#This Row],[AREA]],Hoja1!A:B,2,FALSE)</f>
        <v>06. Educación, infancia, juventud e igualdad</v>
      </c>
      <c r="U2603" s="35" t="str">
        <f>MID(Tabla1[[#This Row],[Aplicación]],9,4)</f>
        <v>2315</v>
      </c>
      <c r="V2603" s="35" t="str">
        <f>VLOOKUP(Tabla1[[#This Row],[PROGRAMA]],Hoja1!A:B,2,FALSE)</f>
        <v>2315. Políticas de Igualdad e infancia</v>
      </c>
      <c r="W2603" s="35" t="str">
        <f>MID(Tabla1[[#This Row],[Aplicación]],14,2)</f>
        <v>22</v>
      </c>
      <c r="X2603" s="35" t="str">
        <f>MID(Tabla1[[#This Row],[Aplicación]],14,6)</f>
        <v>22611</v>
      </c>
    </row>
    <row r="2604" spans="1:24" x14ac:dyDescent="0.25">
      <c r="A2604" s="45">
        <v>220210031380</v>
      </c>
      <c r="B2604" s="46" t="s">
        <v>204</v>
      </c>
      <c r="C2604" s="47">
        <v>44365</v>
      </c>
      <c r="D2604" s="45">
        <v>22021002371</v>
      </c>
      <c r="E2604" s="46" t="s">
        <v>1336</v>
      </c>
      <c r="F2604" s="48">
        <v>1026.6400000000001</v>
      </c>
      <c r="G2604" s="54" t="s">
        <v>102</v>
      </c>
      <c r="H2604" s="54" t="s">
        <v>4125</v>
      </c>
      <c r="I2604" s="53" t="s">
        <v>205</v>
      </c>
      <c r="J2604" s="54" t="s">
        <v>127</v>
      </c>
      <c r="K2604" s="54" t="s">
        <v>127</v>
      </c>
      <c r="L2604" s="54" t="s">
        <v>15</v>
      </c>
      <c r="M2604" s="54" t="s">
        <v>13</v>
      </c>
      <c r="N2604" s="54" t="s">
        <v>14</v>
      </c>
      <c r="O2604" s="49" t="s">
        <v>814</v>
      </c>
      <c r="P2604" s="54" t="s">
        <v>3392</v>
      </c>
      <c r="Q2604" s="35" t="str">
        <f>MID(Tabla1[[#This Row],[Aplicación]],14,1)</f>
        <v>2</v>
      </c>
      <c r="R2604" s="35" t="s">
        <v>495</v>
      </c>
      <c r="S2604" s="35" t="str">
        <f>MID(Tabla1[[#This Row],[Aplicación]],6,2)</f>
        <v>02</v>
      </c>
      <c r="T2604" s="35" t="str">
        <f>VLOOKUP(Tabla1[[#This Row],[AREA]],Hoja1!A:B,2,FALSE)</f>
        <v>02. Planeamiento urbanístico y vivienda</v>
      </c>
      <c r="U2604" s="35" t="str">
        <f>MID(Tabla1[[#This Row],[Aplicación]],9,4)</f>
        <v>9332</v>
      </c>
      <c r="V2604" s="35" t="str">
        <f>VLOOKUP(Tabla1[[#This Row],[PROGRAMA]],Hoja1!A:B,2,FALSE)</f>
        <v>9332. Mantenimiento de edificios e instalaciones municipales</v>
      </c>
      <c r="W2604" s="35" t="str">
        <f>MID(Tabla1[[#This Row],[Aplicación]],14,2)</f>
        <v>21</v>
      </c>
      <c r="X2604" s="35" t="str">
        <f>MID(Tabla1[[#This Row],[Aplicación]],14,6)</f>
        <v>212</v>
      </c>
    </row>
    <row r="2605" spans="1:24" x14ac:dyDescent="0.25">
      <c r="A2605" s="45">
        <v>220210031199</v>
      </c>
      <c r="B2605" s="46" t="s">
        <v>204</v>
      </c>
      <c r="C2605" s="47">
        <v>44361</v>
      </c>
      <c r="D2605" s="45">
        <v>22021002052</v>
      </c>
      <c r="E2605" s="46" t="s">
        <v>1340</v>
      </c>
      <c r="F2605" s="48">
        <v>1013.91</v>
      </c>
      <c r="G2605" s="54" t="s">
        <v>270</v>
      </c>
      <c r="H2605" s="54" t="s">
        <v>4126</v>
      </c>
      <c r="I2605" s="53" t="s">
        <v>205</v>
      </c>
      <c r="J2605" s="54" t="s">
        <v>127</v>
      </c>
      <c r="K2605" s="54" t="s">
        <v>127</v>
      </c>
      <c r="L2605" s="54" t="s">
        <v>15</v>
      </c>
      <c r="M2605" s="54" t="s">
        <v>13</v>
      </c>
      <c r="N2605" s="54" t="s">
        <v>14</v>
      </c>
      <c r="O2605" s="49" t="s">
        <v>814</v>
      </c>
      <c r="P2605" s="54" t="s">
        <v>3392</v>
      </c>
      <c r="Q2605" s="35" t="str">
        <f>MID(Tabla1[[#This Row],[Aplicación]],14,1)</f>
        <v>2</v>
      </c>
      <c r="R2605" s="35" t="s">
        <v>495</v>
      </c>
      <c r="S2605" s="35" t="str">
        <f>MID(Tabla1[[#This Row],[Aplicación]],6,2)</f>
        <v>11</v>
      </c>
      <c r="T2605" s="35" t="str">
        <f>VLOOKUP(Tabla1[[#This Row],[AREA]],Hoja1!A:B,2,FALSE)</f>
        <v>11. Salud pública y seguridad ciudadana</v>
      </c>
      <c r="U2605" s="35" t="str">
        <f>MID(Tabla1[[#This Row],[Aplicación]],9,4)</f>
        <v>1621</v>
      </c>
      <c r="V2605" s="35" t="str">
        <f>VLOOKUP(Tabla1[[#This Row],[PROGRAMA]],Hoja1!A:B,2,FALSE)</f>
        <v>1621. Servicio de limpieza</v>
      </c>
      <c r="W2605" s="35" t="str">
        <f>MID(Tabla1[[#This Row],[Aplicación]],14,2)</f>
        <v>22</v>
      </c>
      <c r="X2605" s="35" t="str">
        <f>MID(Tabla1[[#This Row],[Aplicación]],14,6)</f>
        <v>22199</v>
      </c>
    </row>
    <row r="2606" spans="1:24" x14ac:dyDescent="0.25">
      <c r="A2606" s="45">
        <v>220210030121</v>
      </c>
      <c r="B2606" s="46" t="s">
        <v>204</v>
      </c>
      <c r="C2606" s="47">
        <v>44356</v>
      </c>
      <c r="D2606" s="45">
        <v>22021002228</v>
      </c>
      <c r="E2606" s="46" t="s">
        <v>1471</v>
      </c>
      <c r="F2606" s="48">
        <v>1009.97</v>
      </c>
      <c r="G2606" s="54" t="s">
        <v>238</v>
      </c>
      <c r="H2606" s="54" t="s">
        <v>4127</v>
      </c>
      <c r="I2606" s="53" t="s">
        <v>205</v>
      </c>
      <c r="J2606" s="54" t="s">
        <v>127</v>
      </c>
      <c r="K2606" s="54" t="s">
        <v>127</v>
      </c>
      <c r="L2606" s="54" t="s">
        <v>15</v>
      </c>
      <c r="M2606" s="54" t="s">
        <v>13</v>
      </c>
      <c r="N2606" s="54" t="s">
        <v>14</v>
      </c>
      <c r="O2606" s="49" t="s">
        <v>814</v>
      </c>
      <c r="P2606" s="54" t="s">
        <v>3392</v>
      </c>
      <c r="Q2606" s="35" t="str">
        <f>MID(Tabla1[[#This Row],[Aplicación]],14,1)</f>
        <v>2</v>
      </c>
      <c r="R2606" s="35" t="s">
        <v>495</v>
      </c>
      <c r="S2606" s="35" t="str">
        <f>MID(Tabla1[[#This Row],[Aplicación]],6,2)</f>
        <v>06</v>
      </c>
      <c r="T2606" s="35" t="str">
        <f>VLOOKUP(Tabla1[[#This Row],[AREA]],Hoja1!A:B,2,FALSE)</f>
        <v>06. Educación, infancia, juventud e igualdad</v>
      </c>
      <c r="U2606" s="35" t="str">
        <f>MID(Tabla1[[#This Row],[Aplicación]],9,4)</f>
        <v>3232</v>
      </c>
      <c r="V2606" s="35" t="str">
        <f>VLOOKUP(Tabla1[[#This Row],[PROGRAMA]],Hoja1!A:B,2,FALSE)</f>
        <v>3232. Conservación y mantenimiento centros educación infantil y primaria</v>
      </c>
      <c r="W2606" s="35" t="str">
        <f>MID(Tabla1[[#This Row],[Aplicación]],14,2)</f>
        <v>21</v>
      </c>
      <c r="X2606" s="35" t="str">
        <f>MID(Tabla1[[#This Row],[Aplicación]],14,6)</f>
        <v>212</v>
      </c>
    </row>
    <row r="2607" spans="1:24" x14ac:dyDescent="0.25">
      <c r="A2607" s="45">
        <v>220210015758</v>
      </c>
      <c r="B2607" s="46" t="s">
        <v>204</v>
      </c>
      <c r="C2607" s="47">
        <v>44302</v>
      </c>
      <c r="D2607" s="45">
        <v>22021002132</v>
      </c>
      <c r="E2607" s="46" t="s">
        <v>1180</v>
      </c>
      <c r="F2607" s="48">
        <v>1005.09</v>
      </c>
      <c r="G2607" s="54" t="s">
        <v>1976</v>
      </c>
      <c r="H2607" s="54" t="s">
        <v>4128</v>
      </c>
      <c r="I2607" s="53" t="s">
        <v>205</v>
      </c>
      <c r="J2607" s="54" t="s">
        <v>127</v>
      </c>
      <c r="K2607" s="54" t="s">
        <v>127</v>
      </c>
      <c r="L2607" s="54" t="s">
        <v>15</v>
      </c>
      <c r="M2607" s="54" t="s">
        <v>13</v>
      </c>
      <c r="N2607" s="54" t="s">
        <v>14</v>
      </c>
      <c r="O2607" s="49" t="s">
        <v>814</v>
      </c>
      <c r="P2607" s="54" t="s">
        <v>3392</v>
      </c>
      <c r="Q2607" s="35" t="str">
        <f>MID(Tabla1[[#This Row],[Aplicación]],14,1)</f>
        <v>2</v>
      </c>
      <c r="R2607" s="35" t="s">
        <v>495</v>
      </c>
      <c r="S2607" s="35" t="str">
        <f>MID(Tabla1[[#This Row],[Aplicación]],6,2)</f>
        <v>08</v>
      </c>
      <c r="T2607" s="35" t="str">
        <f>VLOOKUP(Tabla1[[#This Row],[AREA]],Hoja1!A:B,2,FALSE)</f>
        <v>08. Movilidad y espacio urbano</v>
      </c>
      <c r="U2607" s="35" t="str">
        <f>MID(Tabla1[[#This Row],[Aplicación]],9,4)</f>
        <v>1532</v>
      </c>
      <c r="V2607" s="35" t="str">
        <f>VLOOKUP(Tabla1[[#This Row],[PROGRAMA]],Hoja1!A:B,2,FALSE)</f>
        <v>1532. Pavimentación vias públicas y otros servicios urbanísticos</v>
      </c>
      <c r="W2607" s="35" t="str">
        <f>MID(Tabla1[[#This Row],[Aplicación]],14,2)</f>
        <v>21</v>
      </c>
      <c r="X2607" s="35" t="str">
        <f>MID(Tabla1[[#This Row],[Aplicación]],14,6)</f>
        <v>210</v>
      </c>
    </row>
    <row r="2608" spans="1:24" x14ac:dyDescent="0.25">
      <c r="A2608" s="45">
        <v>220210032742</v>
      </c>
      <c r="B2608" s="46" t="s">
        <v>204</v>
      </c>
      <c r="C2608" s="47">
        <v>44371</v>
      </c>
      <c r="D2608" s="45">
        <v>22021002132</v>
      </c>
      <c r="E2608" s="46" t="s">
        <v>1180</v>
      </c>
      <c r="F2608" s="48">
        <v>1005.09</v>
      </c>
      <c r="G2608" s="54" t="s">
        <v>1976</v>
      </c>
      <c r="H2608" s="54" t="s">
        <v>4129</v>
      </c>
      <c r="I2608" s="53" t="s">
        <v>205</v>
      </c>
      <c r="J2608" s="54" t="s">
        <v>127</v>
      </c>
      <c r="K2608" s="54" t="s">
        <v>127</v>
      </c>
      <c r="L2608" s="54" t="s">
        <v>15</v>
      </c>
      <c r="M2608" s="54" t="s">
        <v>13</v>
      </c>
      <c r="N2608" s="54" t="s">
        <v>14</v>
      </c>
      <c r="O2608" s="49" t="s">
        <v>814</v>
      </c>
      <c r="P2608" s="54" t="s">
        <v>3392</v>
      </c>
      <c r="Q2608" s="35" t="str">
        <f>MID(Tabla1[[#This Row],[Aplicación]],14,1)</f>
        <v>2</v>
      </c>
      <c r="R2608" s="35" t="s">
        <v>495</v>
      </c>
      <c r="S2608" s="35" t="str">
        <f>MID(Tabla1[[#This Row],[Aplicación]],6,2)</f>
        <v>08</v>
      </c>
      <c r="T2608" s="35" t="str">
        <f>VLOOKUP(Tabla1[[#This Row],[AREA]],Hoja1!A:B,2,FALSE)</f>
        <v>08. Movilidad y espacio urbano</v>
      </c>
      <c r="U2608" s="35" t="str">
        <f>MID(Tabla1[[#This Row],[Aplicación]],9,4)</f>
        <v>1532</v>
      </c>
      <c r="V2608" s="35" t="str">
        <f>VLOOKUP(Tabla1[[#This Row],[PROGRAMA]],Hoja1!A:B,2,FALSE)</f>
        <v>1532. Pavimentación vias públicas y otros servicios urbanísticos</v>
      </c>
      <c r="W2608" s="35" t="str">
        <f>MID(Tabla1[[#This Row],[Aplicación]],14,2)</f>
        <v>21</v>
      </c>
      <c r="X2608" s="35" t="str">
        <f>MID(Tabla1[[#This Row],[Aplicación]],14,6)</f>
        <v>210</v>
      </c>
    </row>
    <row r="2609" spans="1:24" x14ac:dyDescent="0.25">
      <c r="A2609" s="45">
        <v>220210020448</v>
      </c>
      <c r="B2609" s="46" t="s">
        <v>9</v>
      </c>
      <c r="C2609" s="47">
        <v>44322</v>
      </c>
      <c r="D2609" s="45">
        <v>22021003062</v>
      </c>
      <c r="E2609" s="46" t="s">
        <v>1410</v>
      </c>
      <c r="F2609" s="48">
        <v>1000</v>
      </c>
      <c r="G2609" s="54" t="s">
        <v>258</v>
      </c>
      <c r="H2609" s="54" t="s">
        <v>4130</v>
      </c>
      <c r="I2609" s="53" t="s">
        <v>125</v>
      </c>
      <c r="J2609" s="54" t="s">
        <v>127</v>
      </c>
      <c r="K2609" s="54" t="s">
        <v>127</v>
      </c>
      <c r="L2609" s="54" t="s">
        <v>12</v>
      </c>
      <c r="M2609" s="54" t="s">
        <v>13</v>
      </c>
      <c r="N2609" s="54" t="s">
        <v>14</v>
      </c>
      <c r="O2609" s="49" t="s">
        <v>814</v>
      </c>
      <c r="P2609" s="54" t="s">
        <v>3392</v>
      </c>
      <c r="Q2609" s="35" t="str">
        <f>MID(Tabla1[[#This Row],[Aplicación]],14,1)</f>
        <v>2</v>
      </c>
      <c r="R2609" s="35" t="s">
        <v>495</v>
      </c>
      <c r="S2609" s="35" t="str">
        <f>MID(Tabla1[[#This Row],[Aplicación]],6,2)</f>
        <v>07</v>
      </c>
      <c r="T2609" s="35" t="str">
        <f>VLOOKUP(Tabla1[[#This Row],[AREA]],Hoja1!A:B,2,FALSE)</f>
        <v>07. Medio ambiente y desarrollo sostenible</v>
      </c>
      <c r="U2609" s="35" t="str">
        <f>MID(Tabla1[[#This Row],[Aplicación]],9,4)</f>
        <v>1711</v>
      </c>
      <c r="V2609" s="35" t="str">
        <f>VLOOKUP(Tabla1[[#This Row],[PROGRAMA]],Hoja1!A:B,2,FALSE)</f>
        <v>1711. Parques y jardines</v>
      </c>
      <c r="W2609" s="35" t="str">
        <f>MID(Tabla1[[#This Row],[Aplicación]],14,2)</f>
        <v>21</v>
      </c>
      <c r="X2609" s="35" t="str">
        <f>MID(Tabla1[[#This Row],[Aplicación]],14,6)</f>
        <v>214</v>
      </c>
    </row>
    <row r="2610" spans="1:24" x14ac:dyDescent="0.25">
      <c r="A2610" s="45">
        <v>220210018844</v>
      </c>
      <c r="B2610" s="46" t="s">
        <v>204</v>
      </c>
      <c r="C2610" s="47">
        <v>44314</v>
      </c>
      <c r="D2610" s="45">
        <v>22021003381</v>
      </c>
      <c r="E2610" s="46" t="s">
        <v>1183</v>
      </c>
      <c r="F2610" s="48">
        <v>41.14</v>
      </c>
      <c r="G2610" s="54" t="s">
        <v>263</v>
      </c>
      <c r="H2610" s="54" t="s">
        <v>4131</v>
      </c>
      <c r="I2610" s="53" t="s">
        <v>205</v>
      </c>
      <c r="J2610" s="54" t="s">
        <v>127</v>
      </c>
      <c r="K2610" s="54" t="s">
        <v>127</v>
      </c>
      <c r="L2610" s="54" t="s">
        <v>15</v>
      </c>
      <c r="M2610" s="54" t="s">
        <v>13</v>
      </c>
      <c r="N2610" s="54" t="s">
        <v>14</v>
      </c>
      <c r="O2610" s="49" t="s">
        <v>814</v>
      </c>
      <c r="P2610" s="54" t="s">
        <v>3392</v>
      </c>
      <c r="Q2610" s="35" t="str">
        <f>MID(Tabla1[[#This Row],[Aplicación]],14,1)</f>
        <v>2</v>
      </c>
      <c r="R2610" s="35" t="s">
        <v>495</v>
      </c>
      <c r="S2610" s="35" t="str">
        <f>MID(Tabla1[[#This Row],[Aplicación]],6,2)</f>
        <v>11</v>
      </c>
      <c r="T2610" s="35" t="str">
        <f>VLOOKUP(Tabla1[[#This Row],[AREA]],Hoja1!A:B,2,FALSE)</f>
        <v>11. Salud pública y seguridad ciudadana</v>
      </c>
      <c r="U2610" s="35" t="str">
        <f>MID(Tabla1[[#This Row],[Aplicación]],9,4)</f>
        <v>1361</v>
      </c>
      <c r="V2610" s="35" t="str">
        <f>VLOOKUP(Tabla1[[#This Row],[PROGRAMA]],Hoja1!A:B,2,FALSE)</f>
        <v>1361. Prevención y extinción de incencios</v>
      </c>
      <c r="W2610" s="35" t="str">
        <f>MID(Tabla1[[#This Row],[Aplicación]],14,2)</f>
        <v>22</v>
      </c>
      <c r="X2610" s="35" t="str">
        <f>MID(Tabla1[[#This Row],[Aplicación]],14,6)</f>
        <v>22199</v>
      </c>
    </row>
    <row r="2611" spans="1:24" x14ac:dyDescent="0.25">
      <c r="A2611" s="45">
        <v>220210019152</v>
      </c>
      <c r="B2611" s="46" t="s">
        <v>204</v>
      </c>
      <c r="C2611" s="47">
        <v>44319</v>
      </c>
      <c r="D2611" s="45">
        <v>22021002449</v>
      </c>
      <c r="E2611" s="46" t="s">
        <v>1724</v>
      </c>
      <c r="F2611" s="48">
        <v>268.7</v>
      </c>
      <c r="G2611" s="54" t="s">
        <v>263</v>
      </c>
      <c r="H2611" s="54" t="s">
        <v>1725</v>
      </c>
      <c r="I2611" s="53" t="s">
        <v>205</v>
      </c>
      <c r="J2611" s="54" t="s">
        <v>127</v>
      </c>
      <c r="K2611" s="54" t="s">
        <v>127</v>
      </c>
      <c r="L2611" s="54" t="s">
        <v>15</v>
      </c>
      <c r="M2611" s="54" t="s">
        <v>13</v>
      </c>
      <c r="N2611" s="54" t="s">
        <v>14</v>
      </c>
      <c r="O2611" s="49" t="s">
        <v>814</v>
      </c>
      <c r="P2611" s="54" t="s">
        <v>3392</v>
      </c>
      <c r="Q2611" s="35" t="str">
        <f>MID(Tabla1[[#This Row],[Aplicación]],14,1)</f>
        <v>6</v>
      </c>
      <c r="R2611" s="35" t="s">
        <v>496</v>
      </c>
      <c r="S2611" s="35" t="str">
        <f>MID(Tabla1[[#This Row],[Aplicación]],6,2)</f>
        <v>07</v>
      </c>
      <c r="T2611" s="35" t="str">
        <f>VLOOKUP(Tabla1[[#This Row],[AREA]],Hoja1!A:B,2,FALSE)</f>
        <v>07. Medio ambiente y desarrollo sostenible</v>
      </c>
      <c r="U2611" s="35" t="str">
        <f>MID(Tabla1[[#This Row],[Aplicación]],9,4)</f>
        <v>1711</v>
      </c>
      <c r="V2611" s="35" t="str">
        <f>VLOOKUP(Tabla1[[#This Row],[PROGRAMA]],Hoja1!A:B,2,FALSE)</f>
        <v>1711. Parques y jardines</v>
      </c>
      <c r="W2611" s="35" t="str">
        <f>MID(Tabla1[[#This Row],[Aplicación]],14,2)</f>
        <v>61</v>
      </c>
      <c r="X2611" s="35" t="str">
        <f>MID(Tabla1[[#This Row],[Aplicación]],14,6)</f>
        <v>619</v>
      </c>
    </row>
    <row r="2612" spans="1:24" x14ac:dyDescent="0.25">
      <c r="A2612" s="45">
        <v>220210032966</v>
      </c>
      <c r="B2612" s="46" t="s">
        <v>204</v>
      </c>
      <c r="C2612" s="47">
        <v>44375</v>
      </c>
      <c r="D2612" s="45">
        <v>22021002228</v>
      </c>
      <c r="E2612" s="46" t="s">
        <v>1471</v>
      </c>
      <c r="F2612" s="48">
        <v>990</v>
      </c>
      <c r="G2612" s="54" t="s">
        <v>574</v>
      </c>
      <c r="H2612" s="54" t="s">
        <v>4132</v>
      </c>
      <c r="I2612" s="53" t="s">
        <v>205</v>
      </c>
      <c r="J2612" s="54" t="s">
        <v>127</v>
      </c>
      <c r="K2612" s="54" t="s">
        <v>127</v>
      </c>
      <c r="L2612" s="54" t="s">
        <v>15</v>
      </c>
      <c r="M2612" s="54" t="s">
        <v>13</v>
      </c>
      <c r="N2612" s="54" t="s">
        <v>14</v>
      </c>
      <c r="O2612" s="49" t="s">
        <v>814</v>
      </c>
      <c r="P2612" s="54" t="s">
        <v>3392</v>
      </c>
      <c r="Q2612" s="35" t="str">
        <f>MID(Tabla1[[#This Row],[Aplicación]],14,1)</f>
        <v>2</v>
      </c>
      <c r="R2612" s="35" t="s">
        <v>495</v>
      </c>
      <c r="S2612" s="35" t="str">
        <f>MID(Tabla1[[#This Row],[Aplicación]],6,2)</f>
        <v>06</v>
      </c>
      <c r="T2612" s="35" t="str">
        <f>VLOOKUP(Tabla1[[#This Row],[AREA]],Hoja1!A:B,2,FALSE)</f>
        <v>06. Educación, infancia, juventud e igualdad</v>
      </c>
      <c r="U2612" s="35" t="str">
        <f>MID(Tabla1[[#This Row],[Aplicación]],9,4)</f>
        <v>3232</v>
      </c>
      <c r="V2612" s="35" t="str">
        <f>VLOOKUP(Tabla1[[#This Row],[PROGRAMA]],Hoja1!A:B,2,FALSE)</f>
        <v>3232. Conservación y mantenimiento centros educación infantil y primaria</v>
      </c>
      <c r="W2612" s="35" t="str">
        <f>MID(Tabla1[[#This Row],[Aplicación]],14,2)</f>
        <v>21</v>
      </c>
      <c r="X2612" s="35" t="str">
        <f>MID(Tabla1[[#This Row],[Aplicación]],14,6)</f>
        <v>212</v>
      </c>
    </row>
    <row r="2613" spans="1:24" x14ac:dyDescent="0.25">
      <c r="A2613" s="45">
        <v>220210020684</v>
      </c>
      <c r="B2613" s="46" t="s">
        <v>204</v>
      </c>
      <c r="C2613" s="47">
        <v>44323</v>
      </c>
      <c r="D2613" s="45">
        <v>22021002133</v>
      </c>
      <c r="E2613" s="46" t="s">
        <v>1326</v>
      </c>
      <c r="F2613" s="48">
        <v>943.51</v>
      </c>
      <c r="G2613" s="54" t="s">
        <v>102</v>
      </c>
      <c r="H2613" s="54" t="s">
        <v>4133</v>
      </c>
      <c r="I2613" s="53" t="s">
        <v>205</v>
      </c>
      <c r="J2613" s="54" t="s">
        <v>127</v>
      </c>
      <c r="K2613" s="54" t="s">
        <v>127</v>
      </c>
      <c r="L2613" s="54" t="s">
        <v>15</v>
      </c>
      <c r="M2613" s="54" t="s">
        <v>13</v>
      </c>
      <c r="N2613" s="54" t="s">
        <v>14</v>
      </c>
      <c r="O2613" s="49" t="s">
        <v>814</v>
      </c>
      <c r="P2613" s="54" t="s">
        <v>3392</v>
      </c>
      <c r="Q2613" s="35" t="str">
        <f>MID(Tabla1[[#This Row],[Aplicación]],14,1)</f>
        <v>2</v>
      </c>
      <c r="R2613" s="35" t="s">
        <v>495</v>
      </c>
      <c r="S2613" s="35" t="str">
        <f>MID(Tabla1[[#This Row],[Aplicación]],6,2)</f>
        <v>08</v>
      </c>
      <c r="T2613" s="35" t="str">
        <f>VLOOKUP(Tabla1[[#This Row],[AREA]],Hoja1!A:B,2,FALSE)</f>
        <v>08. Movilidad y espacio urbano</v>
      </c>
      <c r="U2613" s="35" t="str">
        <f>MID(Tabla1[[#This Row],[Aplicación]],9,4)</f>
        <v>1651</v>
      </c>
      <c r="V2613" s="35" t="str">
        <f>VLOOKUP(Tabla1[[#This Row],[PROGRAMA]],Hoja1!A:B,2,FALSE)</f>
        <v>1651. Alumbrado público</v>
      </c>
      <c r="W2613" s="35" t="str">
        <f>MID(Tabla1[[#This Row],[Aplicación]],14,2)</f>
        <v>22</v>
      </c>
      <c r="X2613" s="35" t="str">
        <f>MID(Tabla1[[#This Row],[Aplicación]],14,6)</f>
        <v>22199</v>
      </c>
    </row>
    <row r="2614" spans="1:24" x14ac:dyDescent="0.25">
      <c r="A2614" s="45">
        <v>220210033098</v>
      </c>
      <c r="B2614" s="46" t="s">
        <v>9</v>
      </c>
      <c r="C2614" s="47">
        <v>44376</v>
      </c>
      <c r="D2614" s="45">
        <v>22021005096</v>
      </c>
      <c r="E2614" s="46" t="s">
        <v>1263</v>
      </c>
      <c r="F2614" s="48">
        <v>697.98</v>
      </c>
      <c r="G2614" s="54" t="s">
        <v>182</v>
      </c>
      <c r="H2614" s="54" t="s">
        <v>4134</v>
      </c>
      <c r="I2614" s="53" t="s">
        <v>125</v>
      </c>
      <c r="J2614" s="54" t="s">
        <v>144</v>
      </c>
      <c r="K2614" s="54" t="s">
        <v>144</v>
      </c>
      <c r="L2614" s="54" t="s">
        <v>12</v>
      </c>
      <c r="M2614" s="54" t="s">
        <v>10</v>
      </c>
      <c r="N2614" s="54" t="s">
        <v>11</v>
      </c>
      <c r="O2614" s="49" t="s">
        <v>815</v>
      </c>
      <c r="P2614" s="54" t="s">
        <v>3392</v>
      </c>
      <c r="Q2614" s="35" t="str">
        <f>MID(Tabla1[[#This Row],[Aplicación]],14,1)</f>
        <v>2</v>
      </c>
      <c r="R2614" s="35" t="s">
        <v>495</v>
      </c>
      <c r="S2614" s="35" t="str">
        <f>MID(Tabla1[[#This Row],[Aplicación]],6,2)</f>
        <v>02</v>
      </c>
      <c r="T2614" s="35" t="str">
        <f>VLOOKUP(Tabla1[[#This Row],[AREA]],Hoja1!A:B,2,FALSE)</f>
        <v>02. Planeamiento urbanístico y vivienda</v>
      </c>
      <c r="U2614" s="35" t="str">
        <f>MID(Tabla1[[#This Row],[Aplicación]],9,4)</f>
        <v>9332</v>
      </c>
      <c r="V2614" s="35" t="str">
        <f>VLOOKUP(Tabla1[[#This Row],[PROGRAMA]],Hoja1!A:B,2,FALSE)</f>
        <v>9332. Mantenimiento de edificios e instalaciones municipales</v>
      </c>
      <c r="W2614" s="35" t="str">
        <f>MID(Tabla1[[#This Row],[Aplicación]],14,2)</f>
        <v>21</v>
      </c>
      <c r="X2614" s="35" t="str">
        <f>MID(Tabla1[[#This Row],[Aplicación]],14,6)</f>
        <v>213</v>
      </c>
    </row>
    <row r="2615" spans="1:24" x14ac:dyDescent="0.25">
      <c r="A2615" s="45">
        <v>220210024833</v>
      </c>
      <c r="B2615" s="46" t="s">
        <v>9</v>
      </c>
      <c r="C2615" s="47">
        <v>44341</v>
      </c>
      <c r="D2615" s="45">
        <v>22021004444</v>
      </c>
      <c r="E2615" s="46" t="s">
        <v>2336</v>
      </c>
      <c r="F2615" s="48">
        <v>694.53</v>
      </c>
      <c r="G2615" s="54" t="s">
        <v>4135</v>
      </c>
      <c r="H2615" s="54" t="s">
        <v>4136</v>
      </c>
      <c r="I2615" s="53" t="s">
        <v>125</v>
      </c>
      <c r="J2615" s="54" t="s">
        <v>127</v>
      </c>
      <c r="K2615" s="54" t="s">
        <v>127</v>
      </c>
      <c r="L2615" s="54" t="s">
        <v>15</v>
      </c>
      <c r="M2615" s="54" t="s">
        <v>10</v>
      </c>
      <c r="N2615" s="54" t="s">
        <v>11</v>
      </c>
      <c r="O2615" s="49" t="s">
        <v>815</v>
      </c>
      <c r="P2615" s="54" t="s">
        <v>3392</v>
      </c>
      <c r="Q2615" s="35" t="str">
        <f>MID(Tabla1[[#This Row],[Aplicación]],14,1)</f>
        <v>2</v>
      </c>
      <c r="R2615" s="35" t="s">
        <v>495</v>
      </c>
      <c r="S2615" s="35" t="str">
        <f>MID(Tabla1[[#This Row],[Aplicación]],6,2)</f>
        <v>11</v>
      </c>
      <c r="T2615" s="35" t="str">
        <f>VLOOKUP(Tabla1[[#This Row],[AREA]],Hoja1!A:B,2,FALSE)</f>
        <v>11. Salud pública y seguridad ciudadana</v>
      </c>
      <c r="U2615" s="35" t="str">
        <f>MID(Tabla1[[#This Row],[Aplicación]],9,4)</f>
        <v>1361</v>
      </c>
      <c r="V2615" s="35" t="str">
        <f>VLOOKUP(Tabla1[[#This Row],[PROGRAMA]],Hoja1!A:B,2,FALSE)</f>
        <v>1361. Prevención y extinción de incencios</v>
      </c>
      <c r="W2615" s="35" t="str">
        <f>MID(Tabla1[[#This Row],[Aplicación]],14,2)</f>
        <v>22</v>
      </c>
      <c r="X2615" s="35" t="str">
        <f>MID(Tabla1[[#This Row],[Aplicación]],14,6)</f>
        <v>22104</v>
      </c>
    </row>
    <row r="2616" spans="1:24" x14ac:dyDescent="0.25">
      <c r="A2616" s="45">
        <v>220210018770</v>
      </c>
      <c r="B2616" s="46" t="s">
        <v>9</v>
      </c>
      <c r="C2616" s="47">
        <v>44313</v>
      </c>
      <c r="D2616" s="45">
        <v>22021004114</v>
      </c>
      <c r="E2616" s="46" t="s">
        <v>3369</v>
      </c>
      <c r="F2616" s="48">
        <v>687.2</v>
      </c>
      <c r="G2616" s="54" t="s">
        <v>4137</v>
      </c>
      <c r="H2616" s="54" t="s">
        <v>4138</v>
      </c>
      <c r="I2616" s="53" t="s">
        <v>125</v>
      </c>
      <c r="J2616" s="54" t="s">
        <v>127</v>
      </c>
      <c r="K2616" s="54" t="s">
        <v>127</v>
      </c>
      <c r="L2616" s="54" t="s">
        <v>15</v>
      </c>
      <c r="M2616" s="54" t="s">
        <v>10</v>
      </c>
      <c r="N2616" s="54" t="s">
        <v>16</v>
      </c>
      <c r="O2616" s="49" t="s">
        <v>815</v>
      </c>
      <c r="P2616" s="54" t="s">
        <v>3392</v>
      </c>
      <c r="Q2616" s="35" t="str">
        <f>MID(Tabla1[[#This Row],[Aplicación]],14,1)</f>
        <v>2</v>
      </c>
      <c r="R2616" s="35" t="s">
        <v>495</v>
      </c>
      <c r="S2616" s="35" t="str">
        <f>MID(Tabla1[[#This Row],[Aplicación]],6,2)</f>
        <v>06</v>
      </c>
      <c r="T2616" s="35" t="str">
        <f>VLOOKUP(Tabla1[[#This Row],[AREA]],Hoja1!A:B,2,FALSE)</f>
        <v>06. Educación, infancia, juventud e igualdad</v>
      </c>
      <c r="U2616" s="35" t="str">
        <f>MID(Tabla1[[#This Row],[Aplicación]],9,4)</f>
        <v>3321</v>
      </c>
      <c r="V2616" s="35" t="str">
        <f>VLOOKUP(Tabla1[[#This Row],[PROGRAMA]],Hoja1!A:B,2,FALSE)</f>
        <v>3321. Bibliotecas públicas</v>
      </c>
      <c r="W2616" s="35" t="str">
        <f>MID(Tabla1[[#This Row],[Aplicación]],14,2)</f>
        <v>22</v>
      </c>
      <c r="X2616" s="35" t="str">
        <f>MID(Tabla1[[#This Row],[Aplicación]],14,6)</f>
        <v>22699</v>
      </c>
    </row>
    <row r="2617" spans="1:24" x14ac:dyDescent="0.25">
      <c r="A2617" s="45">
        <v>220210016557</v>
      </c>
      <c r="B2617" s="46" t="s">
        <v>32</v>
      </c>
      <c r="C2617" s="47">
        <v>44306</v>
      </c>
      <c r="D2617" s="45">
        <v>22021003927</v>
      </c>
      <c r="E2617" s="46" t="s">
        <v>1660</v>
      </c>
      <c r="F2617" s="48">
        <v>686.1</v>
      </c>
      <c r="G2617" s="54" t="s">
        <v>318</v>
      </c>
      <c r="H2617" s="54" t="s">
        <v>4139</v>
      </c>
      <c r="I2617" s="53" t="s">
        <v>234</v>
      </c>
      <c r="J2617" s="54" t="s">
        <v>127</v>
      </c>
      <c r="K2617" s="54" t="s">
        <v>127</v>
      </c>
      <c r="L2617" s="54" t="s">
        <v>12</v>
      </c>
      <c r="M2617" s="54" t="s">
        <v>10</v>
      </c>
      <c r="N2617" s="54" t="s">
        <v>11</v>
      </c>
      <c r="O2617" s="49" t="s">
        <v>815</v>
      </c>
      <c r="P2617" s="54" t="s">
        <v>3392</v>
      </c>
      <c r="Q2617" s="35" t="str">
        <f>MID(Tabla1[[#This Row],[Aplicación]],14,1)</f>
        <v>2</v>
      </c>
      <c r="R2617" s="35" t="s">
        <v>495</v>
      </c>
      <c r="S2617" s="35" t="str">
        <f>MID(Tabla1[[#This Row],[Aplicación]],6,2)</f>
        <v>04</v>
      </c>
      <c r="T2617" s="35" t="str">
        <f>VLOOKUP(Tabla1[[#This Row],[AREA]],Hoja1!A:B,2,FALSE)</f>
        <v>04. Planificación y recursos</v>
      </c>
      <c r="U2617" s="35" t="str">
        <f>MID(Tabla1[[#This Row],[Aplicación]],9,4)</f>
        <v>9202</v>
      </c>
      <c r="V2617" s="35" t="str">
        <f>VLOOKUP(Tabla1[[#This Row],[PROGRAMA]],Hoja1!A:B,2,FALSE)</f>
        <v>9202. Gestión de recursos humanos</v>
      </c>
      <c r="W2617" s="35" t="str">
        <f>MID(Tabla1[[#This Row],[Aplicación]],14,2)</f>
        <v>22</v>
      </c>
      <c r="X2617" s="35" t="str">
        <f>MID(Tabla1[[#This Row],[Aplicación]],14,6)</f>
        <v>22607</v>
      </c>
    </row>
    <row r="2618" spans="1:24" x14ac:dyDescent="0.25">
      <c r="A2618" s="45">
        <v>220210020819</v>
      </c>
      <c r="B2618" s="46" t="s">
        <v>204</v>
      </c>
      <c r="C2618" s="47">
        <v>44323</v>
      </c>
      <c r="D2618" s="45">
        <v>22021002048</v>
      </c>
      <c r="E2618" s="46" t="s">
        <v>890</v>
      </c>
      <c r="F2618" s="48">
        <v>937.51</v>
      </c>
      <c r="G2618" s="54" t="s">
        <v>272</v>
      </c>
      <c r="H2618" s="54" t="s">
        <v>4140</v>
      </c>
      <c r="I2618" s="53" t="s">
        <v>205</v>
      </c>
      <c r="J2618" s="54" t="s">
        <v>127</v>
      </c>
      <c r="K2618" s="54" t="s">
        <v>127</v>
      </c>
      <c r="L2618" s="54" t="s">
        <v>15</v>
      </c>
      <c r="M2618" s="54" t="s">
        <v>13</v>
      </c>
      <c r="N2618" s="54" t="s">
        <v>14</v>
      </c>
      <c r="O2618" s="49" t="s">
        <v>814</v>
      </c>
      <c r="P2618" s="54" t="s">
        <v>3392</v>
      </c>
      <c r="Q2618" s="35" t="str">
        <f>MID(Tabla1[[#This Row],[Aplicación]],14,1)</f>
        <v>2</v>
      </c>
      <c r="R2618" s="35" t="s">
        <v>495</v>
      </c>
      <c r="S2618" s="35" t="str">
        <f>MID(Tabla1[[#This Row],[Aplicación]],6,2)</f>
        <v>11</v>
      </c>
      <c r="T2618" s="35" t="str">
        <f>VLOOKUP(Tabla1[[#This Row],[AREA]],Hoja1!A:B,2,FALSE)</f>
        <v>11. Salud pública y seguridad ciudadana</v>
      </c>
      <c r="U2618" s="35" t="str">
        <f>MID(Tabla1[[#This Row],[Aplicación]],9,4)</f>
        <v>1621</v>
      </c>
      <c r="V2618" s="35" t="str">
        <f>VLOOKUP(Tabla1[[#This Row],[PROGRAMA]],Hoja1!A:B,2,FALSE)</f>
        <v>1621. Servicio de limpieza</v>
      </c>
      <c r="W2618" s="35" t="str">
        <f>MID(Tabla1[[#This Row],[Aplicación]],14,2)</f>
        <v>21</v>
      </c>
      <c r="X2618" s="35" t="str">
        <f>MID(Tabla1[[#This Row],[Aplicación]],14,6)</f>
        <v>214</v>
      </c>
    </row>
    <row r="2619" spans="1:24" x14ac:dyDescent="0.25">
      <c r="A2619" s="45">
        <v>220210033115</v>
      </c>
      <c r="B2619" s="46" t="s">
        <v>9</v>
      </c>
      <c r="C2619" s="47">
        <v>44376</v>
      </c>
      <c r="D2619" s="45">
        <v>22021005098</v>
      </c>
      <c r="E2619" s="46" t="s">
        <v>3374</v>
      </c>
      <c r="F2619" s="48">
        <v>677.6</v>
      </c>
      <c r="G2619" s="54" t="s">
        <v>1937</v>
      </c>
      <c r="H2619" s="54" t="s">
        <v>4141</v>
      </c>
      <c r="I2619" s="53" t="s">
        <v>125</v>
      </c>
      <c r="J2619" s="54" t="s">
        <v>732</v>
      </c>
      <c r="K2619" s="54" t="s">
        <v>127</v>
      </c>
      <c r="L2619" s="54" t="s">
        <v>12</v>
      </c>
      <c r="M2619" s="54" t="s">
        <v>10</v>
      </c>
      <c r="N2619" s="54" t="s">
        <v>11</v>
      </c>
      <c r="O2619" s="49" t="s">
        <v>815</v>
      </c>
      <c r="P2619" s="54" t="s">
        <v>3392</v>
      </c>
      <c r="Q2619" s="35" t="str">
        <f>MID(Tabla1[[#This Row],[Aplicación]],14,1)</f>
        <v>2</v>
      </c>
      <c r="R2619" s="35" t="s">
        <v>495</v>
      </c>
      <c r="S2619" s="35" t="str">
        <f>MID(Tabla1[[#This Row],[Aplicación]],6,2)</f>
        <v>11</v>
      </c>
      <c r="T2619" s="35" t="str">
        <f>VLOOKUP(Tabla1[[#This Row],[AREA]],Hoja1!A:B,2,FALSE)</f>
        <v>11. Salud pública y seguridad ciudadana</v>
      </c>
      <c r="U2619" s="35" t="str">
        <f>MID(Tabla1[[#This Row],[Aplicación]],9,4)</f>
        <v>1361</v>
      </c>
      <c r="V2619" s="35" t="str">
        <f>VLOOKUP(Tabla1[[#This Row],[PROGRAMA]],Hoja1!A:B,2,FALSE)</f>
        <v>1361. Prevención y extinción de incencios</v>
      </c>
      <c r="W2619" s="35" t="str">
        <f>MID(Tabla1[[#This Row],[Aplicación]],14,2)</f>
        <v>22</v>
      </c>
      <c r="X2619" s="35" t="str">
        <f>MID(Tabla1[[#This Row],[Aplicación]],14,6)</f>
        <v>22799</v>
      </c>
    </row>
    <row r="2620" spans="1:24" x14ac:dyDescent="0.25">
      <c r="A2620" s="45">
        <v>220210032816</v>
      </c>
      <c r="B2620" s="46" t="s">
        <v>9</v>
      </c>
      <c r="C2620" s="47">
        <v>44371</v>
      </c>
      <c r="D2620" s="45">
        <v>22021005005</v>
      </c>
      <c r="E2620" s="46" t="s">
        <v>1172</v>
      </c>
      <c r="F2620" s="48">
        <v>933.97</v>
      </c>
      <c r="G2620" s="54" t="s">
        <v>223</v>
      </c>
      <c r="H2620" s="54" t="s">
        <v>4142</v>
      </c>
      <c r="I2620" s="53" t="s">
        <v>125</v>
      </c>
      <c r="J2620" s="54" t="s">
        <v>127</v>
      </c>
      <c r="K2620" s="54" t="s">
        <v>127</v>
      </c>
      <c r="L2620" s="54" t="s">
        <v>15</v>
      </c>
      <c r="M2620" s="54" t="s">
        <v>13</v>
      </c>
      <c r="N2620" s="54" t="s">
        <v>14</v>
      </c>
      <c r="O2620" s="49" t="s">
        <v>814</v>
      </c>
      <c r="P2620" s="54" t="s">
        <v>3392</v>
      </c>
      <c r="Q2620" s="35" t="str">
        <f>MID(Tabla1[[#This Row],[Aplicación]],14,1)</f>
        <v>6</v>
      </c>
      <c r="R2620" s="35" t="s">
        <v>496</v>
      </c>
      <c r="S2620" s="35" t="str">
        <f>MID(Tabla1[[#This Row],[Aplicación]],6,2)</f>
        <v>02</v>
      </c>
      <c r="T2620" s="35" t="str">
        <f>VLOOKUP(Tabla1[[#This Row],[AREA]],Hoja1!A:B,2,FALSE)</f>
        <v>02. Planeamiento urbanístico y vivienda</v>
      </c>
      <c r="U2620" s="35" t="str">
        <f>MID(Tabla1[[#This Row],[Aplicación]],9,4)</f>
        <v>9332</v>
      </c>
      <c r="V2620" s="35" t="str">
        <f>VLOOKUP(Tabla1[[#This Row],[PROGRAMA]],Hoja1!A:B,2,FALSE)</f>
        <v>9332. Mantenimiento de edificios e instalaciones municipales</v>
      </c>
      <c r="W2620" s="35" t="str">
        <f>MID(Tabla1[[#This Row],[Aplicación]],14,2)</f>
        <v>63</v>
      </c>
      <c r="X2620" s="35" t="str">
        <f>MID(Tabla1[[#This Row],[Aplicación]],14,6)</f>
        <v>632</v>
      </c>
    </row>
    <row r="2621" spans="1:24" x14ac:dyDescent="0.25">
      <c r="A2621" s="45">
        <v>220210023562</v>
      </c>
      <c r="B2621" s="46" t="s">
        <v>9</v>
      </c>
      <c r="C2621" s="47">
        <v>44337</v>
      </c>
      <c r="D2621" s="45">
        <v>22021004489</v>
      </c>
      <c r="E2621" s="46" t="s">
        <v>1392</v>
      </c>
      <c r="F2621" s="48">
        <v>665.91</v>
      </c>
      <c r="G2621" s="54" t="s">
        <v>4143</v>
      </c>
      <c r="H2621" s="54" t="s">
        <v>4144</v>
      </c>
      <c r="I2621" s="53" t="s">
        <v>125</v>
      </c>
      <c r="J2621" s="54" t="s">
        <v>613</v>
      </c>
      <c r="K2621" s="54" t="s">
        <v>127</v>
      </c>
      <c r="L2621" s="54" t="s">
        <v>12</v>
      </c>
      <c r="M2621" s="54" t="s">
        <v>10</v>
      </c>
      <c r="N2621" s="54" t="s">
        <v>11</v>
      </c>
      <c r="O2621" s="49" t="s">
        <v>815</v>
      </c>
      <c r="P2621" s="54" t="s">
        <v>3392</v>
      </c>
      <c r="Q2621" s="35" t="str">
        <f>MID(Tabla1[[#This Row],[Aplicación]],14,1)</f>
        <v>2</v>
      </c>
      <c r="R2621" s="35" t="s">
        <v>495</v>
      </c>
      <c r="S2621" s="35" t="str">
        <f>MID(Tabla1[[#This Row],[Aplicación]],6,2)</f>
        <v>08</v>
      </c>
      <c r="T2621" s="35" t="str">
        <f>VLOOKUP(Tabla1[[#This Row],[AREA]],Hoja1!A:B,2,FALSE)</f>
        <v>08. Movilidad y espacio urbano</v>
      </c>
      <c r="U2621" s="35" t="str">
        <f>MID(Tabla1[[#This Row],[Aplicación]],9,4)</f>
        <v>1532</v>
      </c>
      <c r="V2621" s="35" t="str">
        <f>VLOOKUP(Tabla1[[#This Row],[PROGRAMA]],Hoja1!A:B,2,FALSE)</f>
        <v>1532. Pavimentación vias públicas y otros servicios urbanísticos</v>
      </c>
      <c r="W2621" s="35" t="str">
        <f>MID(Tabla1[[#This Row],[Aplicación]],14,2)</f>
        <v>21</v>
      </c>
      <c r="X2621" s="35" t="str">
        <f>MID(Tabla1[[#This Row],[Aplicación]],14,6)</f>
        <v>214</v>
      </c>
    </row>
    <row r="2622" spans="1:24" x14ac:dyDescent="0.25">
      <c r="A2622" s="45">
        <v>220210025563</v>
      </c>
      <c r="B2622" s="46" t="s">
        <v>9</v>
      </c>
      <c r="C2622" s="47">
        <v>44342</v>
      </c>
      <c r="D2622" s="45">
        <v>22021004581</v>
      </c>
      <c r="E2622" s="46" t="s">
        <v>2091</v>
      </c>
      <c r="F2622" s="48">
        <v>665.91</v>
      </c>
      <c r="G2622" s="54" t="s">
        <v>4143</v>
      </c>
      <c r="H2622" s="54" t="s">
        <v>4145</v>
      </c>
      <c r="I2622" s="53" t="s">
        <v>125</v>
      </c>
      <c r="J2622" s="54" t="s">
        <v>613</v>
      </c>
      <c r="K2622" s="54" t="s">
        <v>127</v>
      </c>
      <c r="L2622" s="54" t="s">
        <v>12</v>
      </c>
      <c r="M2622" s="54" t="s">
        <v>10</v>
      </c>
      <c r="N2622" s="54" t="s">
        <v>11</v>
      </c>
      <c r="O2622" s="49" t="s">
        <v>815</v>
      </c>
      <c r="P2622" s="54" t="s">
        <v>3392</v>
      </c>
      <c r="Q2622" s="35" t="str">
        <f>MID(Tabla1[[#This Row],[Aplicación]],14,1)</f>
        <v>2</v>
      </c>
      <c r="R2622" s="35" t="s">
        <v>495</v>
      </c>
      <c r="S2622" s="35" t="str">
        <f>MID(Tabla1[[#This Row],[Aplicación]],6,2)</f>
        <v>08</v>
      </c>
      <c r="T2622" s="35" t="str">
        <f>VLOOKUP(Tabla1[[#This Row],[AREA]],Hoja1!A:B,2,FALSE)</f>
        <v>08. Movilidad y espacio urbano</v>
      </c>
      <c r="U2622" s="35" t="str">
        <f>MID(Tabla1[[#This Row],[Aplicación]],9,4)</f>
        <v>1651</v>
      </c>
      <c r="V2622" s="35" t="str">
        <f>VLOOKUP(Tabla1[[#This Row],[PROGRAMA]],Hoja1!A:B,2,FALSE)</f>
        <v>1651. Alumbrado público</v>
      </c>
      <c r="W2622" s="35" t="str">
        <f>MID(Tabla1[[#This Row],[Aplicación]],14,2)</f>
        <v>21</v>
      </c>
      <c r="X2622" s="35" t="str">
        <f>MID(Tabla1[[#This Row],[Aplicación]],14,6)</f>
        <v>214</v>
      </c>
    </row>
    <row r="2623" spans="1:24" x14ac:dyDescent="0.25">
      <c r="A2623" s="45">
        <v>220210031372</v>
      </c>
      <c r="B2623" s="46" t="s">
        <v>204</v>
      </c>
      <c r="C2623" s="47">
        <v>44365</v>
      </c>
      <c r="D2623" s="45">
        <v>22021002723</v>
      </c>
      <c r="E2623" s="46" t="s">
        <v>1438</v>
      </c>
      <c r="F2623" s="48">
        <v>932.61</v>
      </c>
      <c r="G2623" s="54" t="s">
        <v>3927</v>
      </c>
      <c r="H2623" s="54" t="s">
        <v>4146</v>
      </c>
      <c r="I2623" s="53" t="s">
        <v>205</v>
      </c>
      <c r="J2623" s="54" t="s">
        <v>127</v>
      </c>
      <c r="K2623" s="54" t="s">
        <v>127</v>
      </c>
      <c r="L2623" s="54" t="s">
        <v>15</v>
      </c>
      <c r="M2623" s="54" t="s">
        <v>13</v>
      </c>
      <c r="N2623" s="54" t="s">
        <v>14</v>
      </c>
      <c r="O2623" s="49" t="s">
        <v>814</v>
      </c>
      <c r="P2623" s="54" t="s">
        <v>3392</v>
      </c>
      <c r="Q2623" s="35" t="str">
        <f>MID(Tabla1[[#This Row],[Aplicación]],14,1)</f>
        <v>2</v>
      </c>
      <c r="R2623" s="35" t="s">
        <v>495</v>
      </c>
      <c r="S2623" s="35" t="str">
        <f>MID(Tabla1[[#This Row],[Aplicación]],6,2)</f>
        <v>01</v>
      </c>
      <c r="T2623" s="35" t="str">
        <f>VLOOKUP(Tabla1[[#This Row],[AREA]],Hoja1!A:B,2,FALSE)</f>
        <v>01. Alcaldía</v>
      </c>
      <c r="U2623" s="35" t="str">
        <f>MID(Tabla1[[#This Row],[Aplicación]],9,4)</f>
        <v>9206</v>
      </c>
      <c r="V2623" s="35" t="str">
        <f>VLOOKUP(Tabla1[[#This Row],[PROGRAMA]],Hoja1!A:B,2,FALSE)</f>
        <v>9206. Archivo municipal</v>
      </c>
      <c r="W2623" s="35" t="str">
        <f>MID(Tabla1[[#This Row],[Aplicación]],14,2)</f>
        <v>22</v>
      </c>
      <c r="X2623" s="35" t="str">
        <f>MID(Tabla1[[#This Row],[Aplicación]],14,6)</f>
        <v>22001</v>
      </c>
    </row>
    <row r="2624" spans="1:24" x14ac:dyDescent="0.25">
      <c r="A2624" s="45">
        <v>220210031501</v>
      </c>
      <c r="B2624" s="46" t="s">
        <v>9</v>
      </c>
      <c r="C2624" s="47">
        <v>44369</v>
      </c>
      <c r="D2624" s="45">
        <v>22021005007</v>
      </c>
      <c r="E2624" s="46" t="s">
        <v>1187</v>
      </c>
      <c r="F2624" s="48">
        <v>660</v>
      </c>
      <c r="G2624" s="54" t="s">
        <v>67</v>
      </c>
      <c r="H2624" s="54" t="s">
        <v>4147</v>
      </c>
      <c r="I2624" s="53" t="s">
        <v>125</v>
      </c>
      <c r="J2624" s="54" t="s">
        <v>127</v>
      </c>
      <c r="K2624" s="54" t="s">
        <v>127</v>
      </c>
      <c r="L2624" s="54" t="s">
        <v>12</v>
      </c>
      <c r="M2624" s="54" t="s">
        <v>10</v>
      </c>
      <c r="N2624" s="54" t="s">
        <v>11</v>
      </c>
      <c r="O2624" s="49" t="s">
        <v>815</v>
      </c>
      <c r="P2624" s="54" t="s">
        <v>3392</v>
      </c>
      <c r="Q2624" s="35" t="str">
        <f>MID(Tabla1[[#This Row],[Aplicación]],14,1)</f>
        <v>2</v>
      </c>
      <c r="R2624" s="35" t="s">
        <v>495</v>
      </c>
      <c r="S2624" s="35" t="str">
        <f>MID(Tabla1[[#This Row],[Aplicación]],6,2)</f>
        <v>06</v>
      </c>
      <c r="T2624" s="35" t="str">
        <f>VLOOKUP(Tabla1[[#This Row],[AREA]],Hoja1!A:B,2,FALSE)</f>
        <v>06. Educación, infancia, juventud e igualdad</v>
      </c>
      <c r="U2624" s="35" t="str">
        <f>MID(Tabla1[[#This Row],[Aplicación]],9,4)</f>
        <v>2315</v>
      </c>
      <c r="V2624" s="35" t="str">
        <f>VLOOKUP(Tabla1[[#This Row],[PROGRAMA]],Hoja1!A:B,2,FALSE)</f>
        <v>2315. Políticas de Igualdad e infancia</v>
      </c>
      <c r="W2624" s="35" t="str">
        <f>MID(Tabla1[[#This Row],[Aplicación]],14,2)</f>
        <v>22</v>
      </c>
      <c r="X2624" s="35" t="str">
        <f>MID(Tabla1[[#This Row],[Aplicación]],14,6)</f>
        <v>22611</v>
      </c>
    </row>
    <row r="2625" spans="1:24" x14ac:dyDescent="0.25">
      <c r="A2625" s="45">
        <v>220210028691</v>
      </c>
      <c r="B2625" s="46" t="s">
        <v>9</v>
      </c>
      <c r="C2625" s="47">
        <v>44351</v>
      </c>
      <c r="D2625" s="45">
        <v>22021004477</v>
      </c>
      <c r="E2625" s="46" t="s">
        <v>1623</v>
      </c>
      <c r="F2625" s="48">
        <v>656.01</v>
      </c>
      <c r="G2625" s="54" t="s">
        <v>4148</v>
      </c>
      <c r="H2625" s="54" t="s">
        <v>4149</v>
      </c>
      <c r="I2625" s="53" t="s">
        <v>125</v>
      </c>
      <c r="J2625" s="54" t="s">
        <v>126</v>
      </c>
      <c r="K2625" s="54" t="s">
        <v>126</v>
      </c>
      <c r="L2625" s="54" t="s">
        <v>15</v>
      </c>
      <c r="M2625" s="54" t="s">
        <v>10</v>
      </c>
      <c r="N2625" s="54" t="s">
        <v>11</v>
      </c>
      <c r="O2625" s="49" t="s">
        <v>815</v>
      </c>
      <c r="P2625" s="54" t="s">
        <v>3392</v>
      </c>
      <c r="Q2625" s="35" t="str">
        <f>MID(Tabla1[[#This Row],[Aplicación]],14,1)</f>
        <v>2</v>
      </c>
      <c r="R2625" s="35" t="s">
        <v>495</v>
      </c>
      <c r="S2625" s="35" t="str">
        <f>MID(Tabla1[[#This Row],[Aplicación]],6,2)</f>
        <v>01</v>
      </c>
      <c r="T2625" s="35" t="str">
        <f>VLOOKUP(Tabla1[[#This Row],[AREA]],Hoja1!A:B,2,FALSE)</f>
        <v>01. Alcaldía</v>
      </c>
      <c r="U2625" s="35" t="str">
        <f>MID(Tabla1[[#This Row],[Aplicación]],9,4)</f>
        <v>9207</v>
      </c>
      <c r="V2625" s="35" t="str">
        <f>VLOOKUP(Tabla1[[#This Row],[PROGRAMA]],Hoja1!A:B,2,FALSE)</f>
        <v>9207. Gobierno y relaciones</v>
      </c>
      <c r="W2625" s="35" t="str">
        <f>MID(Tabla1[[#This Row],[Aplicación]],14,2)</f>
        <v>22</v>
      </c>
      <c r="X2625" s="35" t="str">
        <f>MID(Tabla1[[#This Row],[Aplicación]],14,6)</f>
        <v>22001</v>
      </c>
    </row>
    <row r="2626" spans="1:24" x14ac:dyDescent="0.25">
      <c r="A2626" s="45">
        <v>220210019212</v>
      </c>
      <c r="B2626" s="46" t="s">
        <v>204</v>
      </c>
      <c r="C2626" s="47">
        <v>44319</v>
      </c>
      <c r="D2626" s="45">
        <v>22021002449</v>
      </c>
      <c r="E2626" s="46" t="s">
        <v>1724</v>
      </c>
      <c r="F2626" s="48">
        <v>6.66</v>
      </c>
      <c r="G2626" s="54" t="s">
        <v>263</v>
      </c>
      <c r="H2626" s="54" t="s">
        <v>1725</v>
      </c>
      <c r="I2626" s="53" t="s">
        <v>205</v>
      </c>
      <c r="J2626" s="54" t="s">
        <v>127</v>
      </c>
      <c r="K2626" s="54" t="s">
        <v>127</v>
      </c>
      <c r="L2626" s="54" t="s">
        <v>15</v>
      </c>
      <c r="M2626" s="54" t="s">
        <v>13</v>
      </c>
      <c r="N2626" s="54" t="s">
        <v>14</v>
      </c>
      <c r="O2626" s="49" t="s">
        <v>814</v>
      </c>
      <c r="P2626" s="54" t="s">
        <v>3392</v>
      </c>
      <c r="Q2626" s="35" t="str">
        <f>MID(Tabla1[[#This Row],[Aplicación]],14,1)</f>
        <v>6</v>
      </c>
      <c r="R2626" s="35" t="s">
        <v>496</v>
      </c>
      <c r="S2626" s="35" t="str">
        <f>MID(Tabla1[[#This Row],[Aplicación]],6,2)</f>
        <v>07</v>
      </c>
      <c r="T2626" s="35" t="str">
        <f>VLOOKUP(Tabla1[[#This Row],[AREA]],Hoja1!A:B,2,FALSE)</f>
        <v>07. Medio ambiente y desarrollo sostenible</v>
      </c>
      <c r="U2626" s="35" t="str">
        <f>MID(Tabla1[[#This Row],[Aplicación]],9,4)</f>
        <v>1711</v>
      </c>
      <c r="V2626" s="35" t="str">
        <f>VLOOKUP(Tabla1[[#This Row],[PROGRAMA]],Hoja1!A:B,2,FALSE)</f>
        <v>1711. Parques y jardines</v>
      </c>
      <c r="W2626" s="35" t="str">
        <f>MID(Tabla1[[#This Row],[Aplicación]],14,2)</f>
        <v>61</v>
      </c>
      <c r="X2626" s="35" t="str">
        <f>MID(Tabla1[[#This Row],[Aplicación]],14,6)</f>
        <v>619</v>
      </c>
    </row>
    <row r="2627" spans="1:24" x14ac:dyDescent="0.25">
      <c r="A2627" s="45">
        <v>220210022478</v>
      </c>
      <c r="B2627" s="46" t="s">
        <v>204</v>
      </c>
      <c r="C2627" s="47">
        <v>44330</v>
      </c>
      <c r="D2627" s="45">
        <v>22021002449</v>
      </c>
      <c r="E2627" s="46" t="s">
        <v>1724</v>
      </c>
      <c r="F2627" s="48">
        <v>12052.24</v>
      </c>
      <c r="G2627" s="54" t="s">
        <v>263</v>
      </c>
      <c r="H2627" s="54" t="s">
        <v>1725</v>
      </c>
      <c r="I2627" s="53" t="s">
        <v>205</v>
      </c>
      <c r="J2627" s="54" t="s">
        <v>127</v>
      </c>
      <c r="K2627" s="54" t="s">
        <v>127</v>
      </c>
      <c r="L2627" s="54" t="s">
        <v>15</v>
      </c>
      <c r="M2627" s="54" t="s">
        <v>13</v>
      </c>
      <c r="N2627" s="54" t="s">
        <v>14</v>
      </c>
      <c r="O2627" s="49" t="s">
        <v>814</v>
      </c>
      <c r="P2627" s="54" t="s">
        <v>3392</v>
      </c>
      <c r="Q2627" s="35" t="str">
        <f>MID(Tabla1[[#This Row],[Aplicación]],14,1)</f>
        <v>6</v>
      </c>
      <c r="R2627" s="35" t="s">
        <v>496</v>
      </c>
      <c r="S2627" s="35" t="str">
        <f>MID(Tabla1[[#This Row],[Aplicación]],6,2)</f>
        <v>07</v>
      </c>
      <c r="T2627" s="35" t="str">
        <f>VLOOKUP(Tabla1[[#This Row],[AREA]],Hoja1!A:B,2,FALSE)</f>
        <v>07. Medio ambiente y desarrollo sostenible</v>
      </c>
      <c r="U2627" s="35" t="str">
        <f>MID(Tabla1[[#This Row],[Aplicación]],9,4)</f>
        <v>1711</v>
      </c>
      <c r="V2627" s="35" t="str">
        <f>VLOOKUP(Tabla1[[#This Row],[PROGRAMA]],Hoja1!A:B,2,FALSE)</f>
        <v>1711. Parques y jardines</v>
      </c>
      <c r="W2627" s="35" t="str">
        <f>MID(Tabla1[[#This Row],[Aplicación]],14,2)</f>
        <v>61</v>
      </c>
      <c r="X2627" s="35" t="str">
        <f>MID(Tabla1[[#This Row],[Aplicación]],14,6)</f>
        <v>619</v>
      </c>
    </row>
    <row r="2628" spans="1:24" x14ac:dyDescent="0.25">
      <c r="A2628" s="45">
        <v>220210030483</v>
      </c>
      <c r="B2628" s="46" t="s">
        <v>204</v>
      </c>
      <c r="C2628" s="47">
        <v>44358</v>
      </c>
      <c r="D2628" s="45">
        <v>22021002056</v>
      </c>
      <c r="E2628" s="46" t="s">
        <v>876</v>
      </c>
      <c r="F2628" s="48">
        <v>917.18</v>
      </c>
      <c r="G2628" s="54" t="s">
        <v>274</v>
      </c>
      <c r="H2628" s="54" t="s">
        <v>4150</v>
      </c>
      <c r="I2628" s="53" t="s">
        <v>205</v>
      </c>
      <c r="J2628" s="54" t="s">
        <v>127</v>
      </c>
      <c r="K2628" s="54" t="s">
        <v>127</v>
      </c>
      <c r="L2628" s="54" t="s">
        <v>15</v>
      </c>
      <c r="M2628" s="54" t="s">
        <v>13</v>
      </c>
      <c r="N2628" s="54" t="s">
        <v>14</v>
      </c>
      <c r="O2628" s="49" t="s">
        <v>814</v>
      </c>
      <c r="P2628" s="54" t="s">
        <v>3392</v>
      </c>
      <c r="Q2628" s="35" t="str">
        <f>MID(Tabla1[[#This Row],[Aplicación]],14,1)</f>
        <v>2</v>
      </c>
      <c r="R2628" s="35" t="s">
        <v>495</v>
      </c>
      <c r="S2628" s="35" t="str">
        <f>MID(Tabla1[[#This Row],[Aplicación]],6,2)</f>
        <v>11</v>
      </c>
      <c r="T2628" s="35" t="str">
        <f>VLOOKUP(Tabla1[[#This Row],[AREA]],Hoja1!A:B,2,FALSE)</f>
        <v>11. Salud pública y seguridad ciudadana</v>
      </c>
      <c r="U2628" s="35" t="str">
        <f>MID(Tabla1[[#This Row],[Aplicación]],9,4)</f>
        <v>1631</v>
      </c>
      <c r="V2628" s="35" t="str">
        <f>VLOOKUP(Tabla1[[#This Row],[PROGRAMA]],Hoja1!A:B,2,FALSE)</f>
        <v>1631. Limpieza viaria</v>
      </c>
      <c r="W2628" s="35" t="str">
        <f>MID(Tabla1[[#This Row],[Aplicación]],14,2)</f>
        <v>22</v>
      </c>
      <c r="X2628" s="35" t="str">
        <f>MID(Tabla1[[#This Row],[Aplicación]],14,6)</f>
        <v>22110</v>
      </c>
    </row>
    <row r="2629" spans="1:24" x14ac:dyDescent="0.25">
      <c r="A2629" s="45">
        <v>220210022516</v>
      </c>
      <c r="B2629" s="46" t="s">
        <v>204</v>
      </c>
      <c r="C2629" s="47">
        <v>44330</v>
      </c>
      <c r="D2629" s="45">
        <v>22021001968</v>
      </c>
      <c r="E2629" s="46" t="s">
        <v>1388</v>
      </c>
      <c r="F2629" s="48">
        <v>183.8</v>
      </c>
      <c r="G2629" s="54" t="s">
        <v>263</v>
      </c>
      <c r="H2629" s="54" t="s">
        <v>4151</v>
      </c>
      <c r="I2629" s="53" t="s">
        <v>205</v>
      </c>
      <c r="J2629" s="54" t="s">
        <v>127</v>
      </c>
      <c r="K2629" s="54" t="s">
        <v>127</v>
      </c>
      <c r="L2629" s="54" t="s">
        <v>15</v>
      </c>
      <c r="M2629" s="54" t="s">
        <v>13</v>
      </c>
      <c r="N2629" s="54" t="s">
        <v>14</v>
      </c>
      <c r="O2629" s="49" t="s">
        <v>814</v>
      </c>
      <c r="P2629" s="54" t="s">
        <v>3392</v>
      </c>
      <c r="Q2629" s="35" t="str">
        <f>MID(Tabla1[[#This Row],[Aplicación]],14,1)</f>
        <v>2</v>
      </c>
      <c r="R2629" s="35" t="s">
        <v>495</v>
      </c>
      <c r="S2629" s="35" t="str">
        <f>MID(Tabla1[[#This Row],[Aplicación]],6,2)</f>
        <v>11</v>
      </c>
      <c r="T2629" s="35" t="str">
        <f>VLOOKUP(Tabla1[[#This Row],[AREA]],Hoja1!A:B,2,FALSE)</f>
        <v>11. Salud pública y seguridad ciudadana</v>
      </c>
      <c r="U2629" s="35" t="str">
        <f>MID(Tabla1[[#This Row],[Aplicación]],9,4)</f>
        <v>1321</v>
      </c>
      <c r="V2629" s="35" t="str">
        <f>VLOOKUP(Tabla1[[#This Row],[PROGRAMA]],Hoja1!A:B,2,FALSE)</f>
        <v>1321. Policía municipal</v>
      </c>
      <c r="W2629" s="35" t="str">
        <f>MID(Tabla1[[#This Row],[Aplicación]],14,2)</f>
        <v>22</v>
      </c>
      <c r="X2629" s="35" t="str">
        <f>MID(Tabla1[[#This Row],[Aplicación]],14,6)</f>
        <v>22199</v>
      </c>
    </row>
    <row r="2630" spans="1:24" x14ac:dyDescent="0.25">
      <c r="A2630" s="45">
        <v>220210027609</v>
      </c>
      <c r="B2630" s="46" t="s">
        <v>204</v>
      </c>
      <c r="C2630" s="47">
        <v>44348</v>
      </c>
      <c r="D2630" s="45">
        <v>22021002089</v>
      </c>
      <c r="E2630" s="46" t="s">
        <v>1220</v>
      </c>
      <c r="F2630" s="48">
        <v>885.34</v>
      </c>
      <c r="G2630" s="54" t="s">
        <v>223</v>
      </c>
      <c r="H2630" s="54" t="s">
        <v>4152</v>
      </c>
      <c r="I2630" s="53" t="s">
        <v>205</v>
      </c>
      <c r="J2630" s="54" t="s">
        <v>127</v>
      </c>
      <c r="K2630" s="54" t="s">
        <v>127</v>
      </c>
      <c r="L2630" s="54" t="s">
        <v>15</v>
      </c>
      <c r="M2630" s="54" t="s">
        <v>13</v>
      </c>
      <c r="N2630" s="54" t="s">
        <v>16</v>
      </c>
      <c r="O2630" s="49" t="s">
        <v>814</v>
      </c>
      <c r="P2630" s="54" t="s">
        <v>3392</v>
      </c>
      <c r="Q2630" s="35" t="str">
        <f>MID(Tabla1[[#This Row],[Aplicación]],14,1)</f>
        <v>2</v>
      </c>
      <c r="R2630" s="35" t="s">
        <v>495</v>
      </c>
      <c r="S2630" s="35" t="str">
        <f>MID(Tabla1[[#This Row],[Aplicación]],6,2)</f>
        <v>03</v>
      </c>
      <c r="T2630" s="35" t="str">
        <f>VLOOKUP(Tabla1[[#This Row],[AREA]],Hoja1!A:B,2,FALSE)</f>
        <v>03. Participación ciudadana y deportes</v>
      </c>
      <c r="U2630" s="35" t="str">
        <f>MID(Tabla1[[#This Row],[Aplicación]],9,4)</f>
        <v>9241</v>
      </c>
      <c r="V2630" s="35" t="str">
        <f>VLOOKUP(Tabla1[[#This Row],[PROGRAMA]],Hoja1!A:B,2,FALSE)</f>
        <v>9241. Participación ciudadana</v>
      </c>
      <c r="W2630" s="35" t="str">
        <f>MID(Tabla1[[#This Row],[Aplicación]],14,2)</f>
        <v>21</v>
      </c>
      <c r="X2630" s="35" t="str">
        <f>MID(Tabla1[[#This Row],[Aplicación]],14,6)</f>
        <v>213</v>
      </c>
    </row>
    <row r="2631" spans="1:24" x14ac:dyDescent="0.25">
      <c r="A2631" s="45">
        <v>220210022518</v>
      </c>
      <c r="B2631" s="46" t="s">
        <v>204</v>
      </c>
      <c r="C2631" s="47">
        <v>44330</v>
      </c>
      <c r="D2631" s="45">
        <v>22021001968</v>
      </c>
      <c r="E2631" s="46" t="s">
        <v>1388</v>
      </c>
      <c r="F2631" s="48">
        <v>33.869999999999997</v>
      </c>
      <c r="G2631" s="54" t="s">
        <v>263</v>
      </c>
      <c r="H2631" s="54" t="s">
        <v>4153</v>
      </c>
      <c r="I2631" s="53" t="s">
        <v>205</v>
      </c>
      <c r="J2631" s="54" t="s">
        <v>127</v>
      </c>
      <c r="K2631" s="54" t="s">
        <v>127</v>
      </c>
      <c r="L2631" s="54" t="s">
        <v>15</v>
      </c>
      <c r="M2631" s="54" t="s">
        <v>13</v>
      </c>
      <c r="N2631" s="54" t="s">
        <v>14</v>
      </c>
      <c r="O2631" s="49" t="s">
        <v>814</v>
      </c>
      <c r="P2631" s="54" t="s">
        <v>3392</v>
      </c>
      <c r="Q2631" s="35" t="str">
        <f>MID(Tabla1[[#This Row],[Aplicación]],14,1)</f>
        <v>2</v>
      </c>
      <c r="R2631" s="35" t="s">
        <v>495</v>
      </c>
      <c r="S2631" s="35" t="str">
        <f>MID(Tabla1[[#This Row],[Aplicación]],6,2)</f>
        <v>11</v>
      </c>
      <c r="T2631" s="35" t="str">
        <f>VLOOKUP(Tabla1[[#This Row],[AREA]],Hoja1!A:B,2,FALSE)</f>
        <v>11. Salud pública y seguridad ciudadana</v>
      </c>
      <c r="U2631" s="35" t="str">
        <f>MID(Tabla1[[#This Row],[Aplicación]],9,4)</f>
        <v>1321</v>
      </c>
      <c r="V2631" s="35" t="str">
        <f>VLOOKUP(Tabla1[[#This Row],[PROGRAMA]],Hoja1!A:B,2,FALSE)</f>
        <v>1321. Policía municipal</v>
      </c>
      <c r="W2631" s="35" t="str">
        <f>MID(Tabla1[[#This Row],[Aplicación]],14,2)</f>
        <v>22</v>
      </c>
      <c r="X2631" s="35" t="str">
        <f>MID(Tabla1[[#This Row],[Aplicación]],14,6)</f>
        <v>22199</v>
      </c>
    </row>
    <row r="2632" spans="1:24" x14ac:dyDescent="0.25">
      <c r="A2632" s="45">
        <v>220210032744</v>
      </c>
      <c r="B2632" s="46" t="s">
        <v>204</v>
      </c>
      <c r="C2632" s="47">
        <v>44371</v>
      </c>
      <c r="D2632" s="45">
        <v>22021002132</v>
      </c>
      <c r="E2632" s="46" t="s">
        <v>1180</v>
      </c>
      <c r="F2632" s="48">
        <v>869.02</v>
      </c>
      <c r="G2632" s="54" t="s">
        <v>1976</v>
      </c>
      <c r="H2632" s="54" t="s">
        <v>4154</v>
      </c>
      <c r="I2632" s="53" t="s">
        <v>205</v>
      </c>
      <c r="J2632" s="54" t="s">
        <v>127</v>
      </c>
      <c r="K2632" s="54" t="s">
        <v>127</v>
      </c>
      <c r="L2632" s="54" t="s">
        <v>15</v>
      </c>
      <c r="M2632" s="54" t="s">
        <v>13</v>
      </c>
      <c r="N2632" s="54" t="s">
        <v>14</v>
      </c>
      <c r="O2632" s="49" t="s">
        <v>814</v>
      </c>
      <c r="P2632" s="54" t="s">
        <v>3392</v>
      </c>
      <c r="Q2632" s="35" t="str">
        <f>MID(Tabla1[[#This Row],[Aplicación]],14,1)</f>
        <v>2</v>
      </c>
      <c r="R2632" s="35" t="s">
        <v>495</v>
      </c>
      <c r="S2632" s="35" t="str">
        <f>MID(Tabla1[[#This Row],[Aplicación]],6,2)</f>
        <v>08</v>
      </c>
      <c r="T2632" s="35" t="str">
        <f>VLOOKUP(Tabla1[[#This Row],[AREA]],Hoja1!A:B,2,FALSE)</f>
        <v>08. Movilidad y espacio urbano</v>
      </c>
      <c r="U2632" s="35" t="str">
        <f>MID(Tabla1[[#This Row],[Aplicación]],9,4)</f>
        <v>1532</v>
      </c>
      <c r="V2632" s="35" t="str">
        <f>VLOOKUP(Tabla1[[#This Row],[PROGRAMA]],Hoja1!A:B,2,FALSE)</f>
        <v>1532. Pavimentación vias públicas y otros servicios urbanísticos</v>
      </c>
      <c r="W2632" s="35" t="str">
        <f>MID(Tabla1[[#This Row],[Aplicación]],14,2)</f>
        <v>21</v>
      </c>
      <c r="X2632" s="35" t="str">
        <f>MID(Tabla1[[#This Row],[Aplicación]],14,6)</f>
        <v>210</v>
      </c>
    </row>
    <row r="2633" spans="1:24" x14ac:dyDescent="0.25">
      <c r="A2633" s="45">
        <v>220210023249</v>
      </c>
      <c r="B2633" s="46" t="s">
        <v>204</v>
      </c>
      <c r="C2633" s="47">
        <v>44335</v>
      </c>
      <c r="D2633" s="45">
        <v>22021002089</v>
      </c>
      <c r="E2633" s="46" t="s">
        <v>1220</v>
      </c>
      <c r="F2633" s="48">
        <v>865.77</v>
      </c>
      <c r="G2633" s="54" t="s">
        <v>102</v>
      </c>
      <c r="H2633" s="54" t="s">
        <v>4155</v>
      </c>
      <c r="I2633" s="53" t="s">
        <v>205</v>
      </c>
      <c r="J2633" s="54" t="s">
        <v>127</v>
      </c>
      <c r="K2633" s="54" t="s">
        <v>127</v>
      </c>
      <c r="L2633" s="54" t="s">
        <v>15</v>
      </c>
      <c r="M2633" s="54" t="s">
        <v>13</v>
      </c>
      <c r="N2633" s="54" t="s">
        <v>16</v>
      </c>
      <c r="O2633" s="49" t="s">
        <v>814</v>
      </c>
      <c r="P2633" s="54" t="s">
        <v>3392</v>
      </c>
      <c r="Q2633" s="35" t="str">
        <f>MID(Tabla1[[#This Row],[Aplicación]],14,1)</f>
        <v>2</v>
      </c>
      <c r="R2633" s="35" t="s">
        <v>495</v>
      </c>
      <c r="S2633" s="35" t="str">
        <f>MID(Tabla1[[#This Row],[Aplicación]],6,2)</f>
        <v>03</v>
      </c>
      <c r="T2633" s="35" t="str">
        <f>VLOOKUP(Tabla1[[#This Row],[AREA]],Hoja1!A:B,2,FALSE)</f>
        <v>03. Participación ciudadana y deportes</v>
      </c>
      <c r="U2633" s="35" t="str">
        <f>MID(Tabla1[[#This Row],[Aplicación]],9,4)</f>
        <v>9241</v>
      </c>
      <c r="V2633" s="35" t="str">
        <f>VLOOKUP(Tabla1[[#This Row],[PROGRAMA]],Hoja1!A:B,2,FALSE)</f>
        <v>9241. Participación ciudadana</v>
      </c>
      <c r="W2633" s="35" t="str">
        <f>MID(Tabla1[[#This Row],[Aplicación]],14,2)</f>
        <v>21</v>
      </c>
      <c r="X2633" s="35" t="str">
        <f>MID(Tabla1[[#This Row],[Aplicación]],14,6)</f>
        <v>213</v>
      </c>
    </row>
    <row r="2634" spans="1:24" x14ac:dyDescent="0.25">
      <c r="A2634" s="45">
        <v>220210024731</v>
      </c>
      <c r="B2634" s="46" t="s">
        <v>204</v>
      </c>
      <c r="C2634" s="47">
        <v>44340</v>
      </c>
      <c r="D2634" s="45">
        <v>22021002449</v>
      </c>
      <c r="E2634" s="46" t="s">
        <v>1724</v>
      </c>
      <c r="F2634" s="48">
        <v>1260.97</v>
      </c>
      <c r="G2634" s="54" t="s">
        <v>263</v>
      </c>
      <c r="H2634" s="54" t="s">
        <v>1725</v>
      </c>
      <c r="I2634" s="53" t="s">
        <v>205</v>
      </c>
      <c r="J2634" s="54" t="s">
        <v>127</v>
      </c>
      <c r="K2634" s="54" t="s">
        <v>127</v>
      </c>
      <c r="L2634" s="54" t="s">
        <v>15</v>
      </c>
      <c r="M2634" s="54" t="s">
        <v>13</v>
      </c>
      <c r="N2634" s="54" t="s">
        <v>14</v>
      </c>
      <c r="O2634" s="49" t="s">
        <v>814</v>
      </c>
      <c r="P2634" s="54" t="s">
        <v>3392</v>
      </c>
      <c r="Q2634" s="35" t="str">
        <f>MID(Tabla1[[#This Row],[Aplicación]],14,1)</f>
        <v>6</v>
      </c>
      <c r="R2634" s="35" t="s">
        <v>496</v>
      </c>
      <c r="S2634" s="35" t="str">
        <f>MID(Tabla1[[#This Row],[Aplicación]],6,2)</f>
        <v>07</v>
      </c>
      <c r="T2634" s="35" t="str">
        <f>VLOOKUP(Tabla1[[#This Row],[AREA]],Hoja1!A:B,2,FALSE)</f>
        <v>07. Medio ambiente y desarrollo sostenible</v>
      </c>
      <c r="U2634" s="35" t="str">
        <f>MID(Tabla1[[#This Row],[Aplicación]],9,4)</f>
        <v>1711</v>
      </c>
      <c r="V2634" s="35" t="str">
        <f>VLOOKUP(Tabla1[[#This Row],[PROGRAMA]],Hoja1!A:B,2,FALSE)</f>
        <v>1711. Parques y jardines</v>
      </c>
      <c r="W2634" s="35" t="str">
        <f>MID(Tabla1[[#This Row],[Aplicación]],14,2)</f>
        <v>61</v>
      </c>
      <c r="X2634" s="35" t="str">
        <f>MID(Tabla1[[#This Row],[Aplicación]],14,6)</f>
        <v>619</v>
      </c>
    </row>
    <row r="2635" spans="1:24" x14ac:dyDescent="0.25">
      <c r="A2635" s="45">
        <v>220210031461</v>
      </c>
      <c r="B2635" s="46" t="s">
        <v>9</v>
      </c>
      <c r="C2635" s="47">
        <v>44368</v>
      </c>
      <c r="D2635" s="45">
        <v>22021005010</v>
      </c>
      <c r="E2635" s="46" t="s">
        <v>3370</v>
      </c>
      <c r="F2635" s="48">
        <v>865.15</v>
      </c>
      <c r="G2635" s="54" t="s">
        <v>257</v>
      </c>
      <c r="H2635" s="54" t="s">
        <v>4156</v>
      </c>
      <c r="I2635" s="53" t="s">
        <v>125</v>
      </c>
      <c r="J2635" s="54" t="s">
        <v>127</v>
      </c>
      <c r="K2635" s="54" t="s">
        <v>127</v>
      </c>
      <c r="L2635" s="54" t="s">
        <v>15</v>
      </c>
      <c r="M2635" s="54" t="s">
        <v>13</v>
      </c>
      <c r="N2635" s="54" t="s">
        <v>14</v>
      </c>
      <c r="O2635" s="49" t="s">
        <v>814</v>
      </c>
      <c r="P2635" s="54" t="s">
        <v>3392</v>
      </c>
      <c r="Q2635" s="35" t="str">
        <f>MID(Tabla1[[#This Row],[Aplicación]],14,1)</f>
        <v>6</v>
      </c>
      <c r="R2635" s="35" t="s">
        <v>496</v>
      </c>
      <c r="S2635" s="35" t="str">
        <f>MID(Tabla1[[#This Row],[Aplicación]],6,2)</f>
        <v>02</v>
      </c>
      <c r="T2635" s="35" t="str">
        <f>VLOOKUP(Tabla1[[#This Row],[AREA]],Hoja1!A:B,2,FALSE)</f>
        <v>02. Planeamiento urbanístico y vivienda</v>
      </c>
      <c r="U2635" s="35" t="str">
        <f>MID(Tabla1[[#This Row],[Aplicación]],9,4)</f>
        <v>9332</v>
      </c>
      <c r="V2635" s="35" t="str">
        <f>VLOOKUP(Tabla1[[#This Row],[PROGRAMA]],Hoja1!A:B,2,FALSE)</f>
        <v>9332. Mantenimiento de edificios e instalaciones municipales</v>
      </c>
      <c r="W2635" s="35" t="str">
        <f>MID(Tabla1[[#This Row],[Aplicación]],14,2)</f>
        <v>62</v>
      </c>
      <c r="X2635" s="35" t="str">
        <f>MID(Tabla1[[#This Row],[Aplicación]],14,6)</f>
        <v>623</v>
      </c>
    </row>
    <row r="2636" spans="1:24" x14ac:dyDescent="0.25">
      <c r="A2636" s="45">
        <v>220210020824</v>
      </c>
      <c r="B2636" s="46" t="s">
        <v>204</v>
      </c>
      <c r="C2636" s="47">
        <v>44323</v>
      </c>
      <c r="D2636" s="45">
        <v>22021002056</v>
      </c>
      <c r="E2636" s="46" t="s">
        <v>876</v>
      </c>
      <c r="F2636" s="48">
        <v>860.27</v>
      </c>
      <c r="G2636" s="54" t="s">
        <v>272</v>
      </c>
      <c r="H2636" s="54" t="s">
        <v>4157</v>
      </c>
      <c r="I2636" s="53" t="s">
        <v>205</v>
      </c>
      <c r="J2636" s="54" t="s">
        <v>127</v>
      </c>
      <c r="K2636" s="54" t="s">
        <v>127</v>
      </c>
      <c r="L2636" s="54" t="s">
        <v>15</v>
      </c>
      <c r="M2636" s="54" t="s">
        <v>13</v>
      </c>
      <c r="N2636" s="54" t="s">
        <v>14</v>
      </c>
      <c r="O2636" s="49" t="s">
        <v>814</v>
      </c>
      <c r="P2636" s="54" t="s">
        <v>3392</v>
      </c>
      <c r="Q2636" s="35" t="str">
        <f>MID(Tabla1[[#This Row],[Aplicación]],14,1)</f>
        <v>2</v>
      </c>
      <c r="R2636" s="35" t="s">
        <v>495</v>
      </c>
      <c r="S2636" s="35" t="str">
        <f>MID(Tabla1[[#This Row],[Aplicación]],6,2)</f>
        <v>11</v>
      </c>
      <c r="T2636" s="35" t="str">
        <f>VLOOKUP(Tabla1[[#This Row],[AREA]],Hoja1!A:B,2,FALSE)</f>
        <v>11. Salud pública y seguridad ciudadana</v>
      </c>
      <c r="U2636" s="35" t="str">
        <f>MID(Tabla1[[#This Row],[Aplicación]],9,4)</f>
        <v>1631</v>
      </c>
      <c r="V2636" s="35" t="str">
        <f>VLOOKUP(Tabla1[[#This Row],[PROGRAMA]],Hoja1!A:B,2,FALSE)</f>
        <v>1631. Limpieza viaria</v>
      </c>
      <c r="W2636" s="35" t="str">
        <f>MID(Tabla1[[#This Row],[Aplicación]],14,2)</f>
        <v>22</v>
      </c>
      <c r="X2636" s="35" t="str">
        <f>MID(Tabla1[[#This Row],[Aplicación]],14,6)</f>
        <v>22110</v>
      </c>
    </row>
    <row r="2637" spans="1:24" x14ac:dyDescent="0.25">
      <c r="A2637" s="45">
        <v>220210024840</v>
      </c>
      <c r="B2637" s="46" t="s">
        <v>9</v>
      </c>
      <c r="C2637" s="47">
        <v>44341</v>
      </c>
      <c r="D2637" s="45">
        <v>22021004572</v>
      </c>
      <c r="E2637" s="46" t="s">
        <v>1474</v>
      </c>
      <c r="F2637" s="48">
        <v>623.08000000000004</v>
      </c>
      <c r="G2637" s="54" t="s">
        <v>120</v>
      </c>
      <c r="H2637" s="54" t="s">
        <v>4158</v>
      </c>
      <c r="I2637" s="53" t="s">
        <v>125</v>
      </c>
      <c r="J2637" s="54" t="s">
        <v>126</v>
      </c>
      <c r="K2637" s="54" t="s">
        <v>126</v>
      </c>
      <c r="L2637" s="54" t="s">
        <v>12</v>
      </c>
      <c r="M2637" s="54" t="s">
        <v>10</v>
      </c>
      <c r="N2637" s="54" t="s">
        <v>11</v>
      </c>
      <c r="O2637" s="49" t="s">
        <v>815</v>
      </c>
      <c r="P2637" s="54" t="s">
        <v>3392</v>
      </c>
      <c r="Q2637" s="35" t="str">
        <f>MID(Tabla1[[#This Row],[Aplicación]],14,1)</f>
        <v>6</v>
      </c>
      <c r="R2637" s="35" t="s">
        <v>496</v>
      </c>
      <c r="S2637" s="35" t="str">
        <f>MID(Tabla1[[#This Row],[Aplicación]],6,2)</f>
        <v>08</v>
      </c>
      <c r="T2637" s="35" t="str">
        <f>VLOOKUP(Tabla1[[#This Row],[AREA]],Hoja1!A:B,2,FALSE)</f>
        <v>08. Movilidad y espacio urbano</v>
      </c>
      <c r="U2637" s="35" t="str">
        <f>MID(Tabla1[[#This Row],[Aplicación]],9,4)</f>
        <v>1651</v>
      </c>
      <c r="V2637" s="35" t="str">
        <f>VLOOKUP(Tabla1[[#This Row],[PROGRAMA]],Hoja1!A:B,2,FALSE)</f>
        <v>1651. Alumbrado público</v>
      </c>
      <c r="W2637" s="35" t="str">
        <f>MID(Tabla1[[#This Row],[Aplicación]],14,2)</f>
        <v>61</v>
      </c>
      <c r="X2637" s="35" t="str">
        <f>MID(Tabla1[[#This Row],[Aplicación]],14,6)</f>
        <v>619</v>
      </c>
    </row>
    <row r="2638" spans="1:24" x14ac:dyDescent="0.25">
      <c r="A2638" s="45">
        <v>220210027661</v>
      </c>
      <c r="B2638" s="46" t="s">
        <v>204</v>
      </c>
      <c r="C2638" s="47">
        <v>44348</v>
      </c>
      <c r="D2638" s="45">
        <v>22021002056</v>
      </c>
      <c r="E2638" s="46" t="s">
        <v>876</v>
      </c>
      <c r="F2638" s="48">
        <v>860.27</v>
      </c>
      <c r="G2638" s="54" t="s">
        <v>272</v>
      </c>
      <c r="H2638" s="54" t="s">
        <v>4159</v>
      </c>
      <c r="I2638" s="53" t="s">
        <v>205</v>
      </c>
      <c r="J2638" s="54" t="s">
        <v>127</v>
      </c>
      <c r="K2638" s="54" t="s">
        <v>127</v>
      </c>
      <c r="L2638" s="54" t="s">
        <v>15</v>
      </c>
      <c r="M2638" s="54" t="s">
        <v>13</v>
      </c>
      <c r="N2638" s="54" t="s">
        <v>14</v>
      </c>
      <c r="O2638" s="49" t="s">
        <v>814</v>
      </c>
      <c r="P2638" s="54" t="s">
        <v>3392</v>
      </c>
      <c r="Q2638" s="35" t="str">
        <f>MID(Tabla1[[#This Row],[Aplicación]],14,1)</f>
        <v>2</v>
      </c>
      <c r="R2638" s="35" t="s">
        <v>495</v>
      </c>
      <c r="S2638" s="35" t="str">
        <f>MID(Tabla1[[#This Row],[Aplicación]],6,2)</f>
        <v>11</v>
      </c>
      <c r="T2638" s="35" t="str">
        <f>VLOOKUP(Tabla1[[#This Row],[AREA]],Hoja1!A:B,2,FALSE)</f>
        <v>11. Salud pública y seguridad ciudadana</v>
      </c>
      <c r="U2638" s="35" t="str">
        <f>MID(Tabla1[[#This Row],[Aplicación]],9,4)</f>
        <v>1631</v>
      </c>
      <c r="V2638" s="35" t="str">
        <f>VLOOKUP(Tabla1[[#This Row],[PROGRAMA]],Hoja1!A:B,2,FALSE)</f>
        <v>1631. Limpieza viaria</v>
      </c>
      <c r="W2638" s="35" t="str">
        <f>MID(Tabla1[[#This Row],[Aplicación]],14,2)</f>
        <v>22</v>
      </c>
      <c r="X2638" s="35" t="str">
        <f>MID(Tabla1[[#This Row],[Aplicación]],14,6)</f>
        <v>22110</v>
      </c>
    </row>
    <row r="2639" spans="1:24" x14ac:dyDescent="0.25">
      <c r="A2639" s="45">
        <v>220210016754</v>
      </c>
      <c r="B2639" s="46" t="s">
        <v>9</v>
      </c>
      <c r="C2639" s="47">
        <v>44308</v>
      </c>
      <c r="D2639" s="45">
        <v>22021004055</v>
      </c>
      <c r="E2639" s="46" t="s">
        <v>832</v>
      </c>
      <c r="F2639" s="48">
        <v>617.1</v>
      </c>
      <c r="G2639" s="54" t="s">
        <v>122</v>
      </c>
      <c r="H2639" s="54" t="s">
        <v>4160</v>
      </c>
      <c r="I2639" s="53" t="s">
        <v>125</v>
      </c>
      <c r="J2639" s="54" t="s">
        <v>127</v>
      </c>
      <c r="K2639" s="54" t="s">
        <v>127</v>
      </c>
      <c r="L2639" s="54" t="s">
        <v>15</v>
      </c>
      <c r="M2639" s="54" t="s">
        <v>10</v>
      </c>
      <c r="N2639" s="54" t="s">
        <v>11</v>
      </c>
      <c r="O2639" s="49" t="s">
        <v>815</v>
      </c>
      <c r="P2639" s="54" t="s">
        <v>3392</v>
      </c>
      <c r="Q2639" s="35" t="str">
        <f>MID(Tabla1[[#This Row],[Aplicación]],14,1)</f>
        <v>2</v>
      </c>
      <c r="R2639" s="35" t="s">
        <v>495</v>
      </c>
      <c r="S2639" s="35" t="str">
        <f>MID(Tabla1[[#This Row],[Aplicación]],6,2)</f>
        <v>11</v>
      </c>
      <c r="T2639" s="35" t="str">
        <f>VLOOKUP(Tabla1[[#This Row],[AREA]],Hoja1!A:B,2,FALSE)</f>
        <v>11. Salud pública y seguridad ciudadana</v>
      </c>
      <c r="U2639" s="35" t="str">
        <f>MID(Tabla1[[#This Row],[Aplicación]],9,4)</f>
        <v>1321</v>
      </c>
      <c r="V2639" s="35" t="str">
        <f>VLOOKUP(Tabla1[[#This Row],[PROGRAMA]],Hoja1!A:B,2,FALSE)</f>
        <v>1321. Policía municipal</v>
      </c>
      <c r="W2639" s="35" t="str">
        <f>MID(Tabla1[[#This Row],[Aplicación]],14,2)</f>
        <v>22</v>
      </c>
      <c r="X2639" s="35" t="str">
        <f>MID(Tabla1[[#This Row],[Aplicación]],14,6)</f>
        <v>22104</v>
      </c>
    </row>
    <row r="2640" spans="1:24" x14ac:dyDescent="0.25">
      <c r="A2640" s="45">
        <v>220210017068</v>
      </c>
      <c r="B2640" s="46" t="s">
        <v>32</v>
      </c>
      <c r="C2640" s="47">
        <v>44312</v>
      </c>
      <c r="D2640" s="45">
        <v>22021004086</v>
      </c>
      <c r="E2640" s="46" t="s">
        <v>1660</v>
      </c>
      <c r="F2640" s="48">
        <v>609.79999999999995</v>
      </c>
      <c r="G2640" s="54" t="s">
        <v>2330</v>
      </c>
      <c r="H2640" s="54" t="s">
        <v>4161</v>
      </c>
      <c r="I2640" s="53" t="s">
        <v>234</v>
      </c>
      <c r="J2640" s="54" t="s">
        <v>127</v>
      </c>
      <c r="K2640" s="54" t="s">
        <v>127</v>
      </c>
      <c r="L2640" s="54" t="s">
        <v>12</v>
      </c>
      <c r="M2640" s="54" t="s">
        <v>10</v>
      </c>
      <c r="N2640" s="54" t="s">
        <v>11</v>
      </c>
      <c r="O2640" s="49" t="s">
        <v>815</v>
      </c>
      <c r="P2640" s="54" t="s">
        <v>3392</v>
      </c>
      <c r="Q2640" s="35" t="str">
        <f>MID(Tabla1[[#This Row],[Aplicación]],14,1)</f>
        <v>2</v>
      </c>
      <c r="R2640" s="35" t="s">
        <v>495</v>
      </c>
      <c r="S2640" s="35" t="str">
        <f>MID(Tabla1[[#This Row],[Aplicación]],6,2)</f>
        <v>04</v>
      </c>
      <c r="T2640" s="35" t="str">
        <f>VLOOKUP(Tabla1[[#This Row],[AREA]],Hoja1!A:B,2,FALSE)</f>
        <v>04. Planificación y recursos</v>
      </c>
      <c r="U2640" s="35" t="str">
        <f>MID(Tabla1[[#This Row],[Aplicación]],9,4)</f>
        <v>9202</v>
      </c>
      <c r="V2640" s="35" t="str">
        <f>VLOOKUP(Tabla1[[#This Row],[PROGRAMA]],Hoja1!A:B,2,FALSE)</f>
        <v>9202. Gestión de recursos humanos</v>
      </c>
      <c r="W2640" s="35" t="str">
        <f>MID(Tabla1[[#This Row],[Aplicación]],14,2)</f>
        <v>22</v>
      </c>
      <c r="X2640" s="35" t="str">
        <f>MID(Tabla1[[#This Row],[Aplicación]],14,6)</f>
        <v>22607</v>
      </c>
    </row>
    <row r="2641" spans="1:24" x14ac:dyDescent="0.25">
      <c r="A2641" s="45">
        <v>220210014263</v>
      </c>
      <c r="B2641" s="46" t="s">
        <v>9</v>
      </c>
      <c r="C2641" s="47">
        <v>44294</v>
      </c>
      <c r="D2641" s="45">
        <v>22021003759</v>
      </c>
      <c r="E2641" s="46" t="s">
        <v>1267</v>
      </c>
      <c r="F2641" s="48">
        <v>607.41999999999996</v>
      </c>
      <c r="G2641" s="54" t="s">
        <v>81</v>
      </c>
      <c r="H2641" s="54" t="s">
        <v>4162</v>
      </c>
      <c r="I2641" s="53" t="s">
        <v>125</v>
      </c>
      <c r="J2641" s="54" t="s">
        <v>127</v>
      </c>
      <c r="K2641" s="54" t="s">
        <v>127</v>
      </c>
      <c r="L2641" s="54" t="s">
        <v>12</v>
      </c>
      <c r="M2641" s="54" t="s">
        <v>10</v>
      </c>
      <c r="N2641" s="54" t="s">
        <v>11</v>
      </c>
      <c r="O2641" s="49" t="s">
        <v>815</v>
      </c>
      <c r="P2641" s="54" t="s">
        <v>3392</v>
      </c>
      <c r="Q2641" s="35" t="str">
        <f>MID(Tabla1[[#This Row],[Aplicación]],14,1)</f>
        <v>2</v>
      </c>
      <c r="R2641" s="35" t="s">
        <v>495</v>
      </c>
      <c r="S2641" s="35" t="str">
        <f>MID(Tabla1[[#This Row],[Aplicación]],6,2)</f>
        <v>03</v>
      </c>
      <c r="T2641" s="35" t="str">
        <f>VLOOKUP(Tabla1[[#This Row],[AREA]],Hoja1!A:B,2,FALSE)</f>
        <v>03. Participación ciudadana y deportes</v>
      </c>
      <c r="U2641" s="35" t="str">
        <f>MID(Tabla1[[#This Row],[Aplicación]],9,4)</f>
        <v>9241</v>
      </c>
      <c r="V2641" s="35" t="str">
        <f>VLOOKUP(Tabla1[[#This Row],[PROGRAMA]],Hoja1!A:B,2,FALSE)</f>
        <v>9241. Participación ciudadana</v>
      </c>
      <c r="W2641" s="35" t="str">
        <f>MID(Tabla1[[#This Row],[Aplicación]],14,2)</f>
        <v>22</v>
      </c>
      <c r="X2641" s="35" t="str">
        <f>MID(Tabla1[[#This Row],[Aplicación]],14,6)</f>
        <v>22602</v>
      </c>
    </row>
    <row r="2642" spans="1:24" x14ac:dyDescent="0.25">
      <c r="A2642" s="45">
        <v>220210019248</v>
      </c>
      <c r="B2642" s="46" t="s">
        <v>9</v>
      </c>
      <c r="C2642" s="47">
        <v>44320</v>
      </c>
      <c r="D2642" s="45">
        <v>22021004224</v>
      </c>
      <c r="E2642" s="46" t="s">
        <v>3375</v>
      </c>
      <c r="F2642" s="48">
        <v>600</v>
      </c>
      <c r="G2642" s="54" t="s">
        <v>4163</v>
      </c>
      <c r="H2642" s="54" t="s">
        <v>4164</v>
      </c>
      <c r="I2642" s="53" t="s">
        <v>125</v>
      </c>
      <c r="J2642" s="54" t="s">
        <v>127</v>
      </c>
      <c r="K2642" s="54" t="s">
        <v>127</v>
      </c>
      <c r="L2642" s="54" t="s">
        <v>12</v>
      </c>
      <c r="M2642" s="54" t="s">
        <v>10</v>
      </c>
      <c r="N2642" s="54" t="s">
        <v>11</v>
      </c>
      <c r="O2642" s="49" t="s">
        <v>815</v>
      </c>
      <c r="P2642" s="54" t="s">
        <v>3392</v>
      </c>
      <c r="Q2642" s="35" t="str">
        <f>MID(Tabla1[[#This Row],[Aplicación]],14,1)</f>
        <v>2</v>
      </c>
      <c r="R2642" s="35" t="s">
        <v>495</v>
      </c>
      <c r="S2642" s="35" t="str">
        <f>MID(Tabla1[[#This Row],[Aplicación]],6,2)</f>
        <v>06</v>
      </c>
      <c r="T2642" s="35" t="str">
        <f>VLOOKUP(Tabla1[[#This Row],[AREA]],Hoja1!A:B,2,FALSE)</f>
        <v>06. Educación, infancia, juventud e igualdad</v>
      </c>
      <c r="U2642" s="35" t="str">
        <f>MID(Tabla1[[#This Row],[Aplicación]],9,4)</f>
        <v>2315</v>
      </c>
      <c r="V2642" s="35" t="str">
        <f>VLOOKUP(Tabla1[[#This Row],[PROGRAMA]],Hoja1!A:B,2,FALSE)</f>
        <v>2315. Políticas de Igualdad e infancia</v>
      </c>
      <c r="W2642" s="35" t="str">
        <f>MID(Tabla1[[#This Row],[Aplicación]],14,2)</f>
        <v>22</v>
      </c>
      <c r="X2642" s="35" t="str">
        <f>MID(Tabla1[[#This Row],[Aplicación]],14,6)</f>
        <v>22699</v>
      </c>
    </row>
    <row r="2643" spans="1:24" x14ac:dyDescent="0.25">
      <c r="A2643" s="45">
        <v>220210031329</v>
      </c>
      <c r="B2643" s="46" t="s">
        <v>9</v>
      </c>
      <c r="C2643" s="47">
        <v>44364</v>
      </c>
      <c r="D2643" s="45">
        <v>22021004954</v>
      </c>
      <c r="E2643" s="46" t="s">
        <v>1574</v>
      </c>
      <c r="F2643" s="48">
        <v>600</v>
      </c>
      <c r="G2643" s="54" t="s">
        <v>302</v>
      </c>
      <c r="H2643" s="54" t="s">
        <v>4165</v>
      </c>
      <c r="I2643" s="53" t="s">
        <v>125</v>
      </c>
      <c r="J2643" s="54" t="s">
        <v>700</v>
      </c>
      <c r="K2643" s="54" t="s">
        <v>127</v>
      </c>
      <c r="L2643" s="54" t="s">
        <v>15</v>
      </c>
      <c r="M2643" s="54" t="s">
        <v>10</v>
      </c>
      <c r="N2643" s="54" t="s">
        <v>11</v>
      </c>
      <c r="O2643" s="49" t="s">
        <v>815</v>
      </c>
      <c r="P2643" s="54" t="s">
        <v>3392</v>
      </c>
      <c r="Q2643" s="35" t="str">
        <f>MID(Tabla1[[#This Row],[Aplicación]],14,1)</f>
        <v>2</v>
      </c>
      <c r="R2643" s="35" t="s">
        <v>495</v>
      </c>
      <c r="S2643" s="35" t="str">
        <f>MID(Tabla1[[#This Row],[Aplicación]],6,2)</f>
        <v>06</v>
      </c>
      <c r="T2643" s="35" t="str">
        <f>VLOOKUP(Tabla1[[#This Row],[AREA]],Hoja1!A:B,2,FALSE)</f>
        <v>06. Educación, infancia, juventud e igualdad</v>
      </c>
      <c r="U2643" s="35" t="str">
        <f>MID(Tabla1[[#This Row],[Aplicación]],9,4)</f>
        <v>3231</v>
      </c>
      <c r="V2643" s="35" t="str">
        <f>VLOOKUP(Tabla1[[#This Row],[PROGRAMA]],Hoja1!A:B,2,FALSE)</f>
        <v>3231. Escuelas infantiles</v>
      </c>
      <c r="W2643" s="35" t="str">
        <f>MID(Tabla1[[#This Row],[Aplicación]],14,2)</f>
        <v>21</v>
      </c>
      <c r="X2643" s="35" t="str">
        <f>MID(Tabla1[[#This Row],[Aplicación]],14,6)</f>
        <v>212</v>
      </c>
    </row>
    <row r="2644" spans="1:24" x14ac:dyDescent="0.25">
      <c r="A2644" s="45">
        <v>220210014691</v>
      </c>
      <c r="B2644" s="46" t="s">
        <v>9</v>
      </c>
      <c r="C2644" s="47">
        <v>44299</v>
      </c>
      <c r="D2644" s="45">
        <v>22021003837</v>
      </c>
      <c r="E2644" s="46" t="s">
        <v>944</v>
      </c>
      <c r="F2644" s="48">
        <v>600</v>
      </c>
      <c r="G2644" s="54" t="s">
        <v>4166</v>
      </c>
      <c r="H2644" s="54" t="s">
        <v>4167</v>
      </c>
      <c r="I2644" s="53" t="s">
        <v>125</v>
      </c>
      <c r="J2644" s="54" t="s">
        <v>127</v>
      </c>
      <c r="K2644" s="54" t="s">
        <v>127</v>
      </c>
      <c r="L2644" s="54" t="s">
        <v>12</v>
      </c>
      <c r="M2644" s="54" t="s">
        <v>10</v>
      </c>
      <c r="N2644" s="54" t="s">
        <v>11</v>
      </c>
      <c r="O2644" s="49" t="s">
        <v>815</v>
      </c>
      <c r="P2644" s="54" t="s">
        <v>3392</v>
      </c>
      <c r="Q2644" s="35" t="str">
        <f>MID(Tabla1[[#This Row],[Aplicación]],14,1)</f>
        <v>2</v>
      </c>
      <c r="R2644" s="35" t="s">
        <v>495</v>
      </c>
      <c r="S2644" s="35" t="str">
        <f>MID(Tabla1[[#This Row],[Aplicación]],6,2)</f>
        <v>11</v>
      </c>
      <c r="T2644" s="35" t="str">
        <f>VLOOKUP(Tabla1[[#This Row],[AREA]],Hoja1!A:B,2,FALSE)</f>
        <v>11. Salud pública y seguridad ciudadana</v>
      </c>
      <c r="U2644" s="35" t="str">
        <f>MID(Tabla1[[#This Row],[Aplicación]],9,4)</f>
        <v>1621</v>
      </c>
      <c r="V2644" s="35" t="str">
        <f>VLOOKUP(Tabla1[[#This Row],[PROGRAMA]],Hoja1!A:B,2,FALSE)</f>
        <v>1621. Servicio de limpieza</v>
      </c>
      <c r="W2644" s="35" t="str">
        <f>MID(Tabla1[[#This Row],[Aplicación]],14,2)</f>
        <v>21</v>
      </c>
      <c r="X2644" s="35" t="str">
        <f>MID(Tabla1[[#This Row],[Aplicación]],14,6)</f>
        <v>213</v>
      </c>
    </row>
    <row r="2645" spans="1:24" x14ac:dyDescent="0.25">
      <c r="A2645" s="45">
        <v>220210017125</v>
      </c>
      <c r="B2645" s="46" t="s">
        <v>9</v>
      </c>
      <c r="C2645" s="47">
        <v>44312</v>
      </c>
      <c r="D2645" s="45">
        <v>22021004118</v>
      </c>
      <c r="E2645" s="46" t="s">
        <v>844</v>
      </c>
      <c r="F2645" s="48">
        <v>600</v>
      </c>
      <c r="G2645" s="54" t="s">
        <v>87</v>
      </c>
      <c r="H2645" s="54" t="s">
        <v>4168</v>
      </c>
      <c r="I2645" s="53" t="s">
        <v>125</v>
      </c>
      <c r="J2645" s="54" t="s">
        <v>127</v>
      </c>
      <c r="K2645" s="54" t="s">
        <v>127</v>
      </c>
      <c r="L2645" s="54" t="s">
        <v>15</v>
      </c>
      <c r="M2645" s="54" t="s">
        <v>10</v>
      </c>
      <c r="N2645" s="54" t="s">
        <v>11</v>
      </c>
      <c r="O2645" s="49" t="s">
        <v>815</v>
      </c>
      <c r="P2645" s="54" t="s">
        <v>3392</v>
      </c>
      <c r="Q2645" s="35" t="str">
        <f>MID(Tabla1[[#This Row],[Aplicación]],14,1)</f>
        <v>2</v>
      </c>
      <c r="R2645" s="35" t="s">
        <v>495</v>
      </c>
      <c r="S2645" s="35" t="str">
        <f>MID(Tabla1[[#This Row],[Aplicación]],6,2)</f>
        <v>10</v>
      </c>
      <c r="T2645" s="35" t="str">
        <f>VLOOKUP(Tabla1[[#This Row],[AREA]],Hoja1!A:B,2,FALSE)</f>
        <v>10. Servicios sociales y mediación comunitaria</v>
      </c>
      <c r="U2645" s="35" t="str">
        <f>MID(Tabla1[[#This Row],[Aplicación]],9,4)</f>
        <v>2312</v>
      </c>
      <c r="V2645" s="35" t="str">
        <f>VLOOKUP(Tabla1[[#This Row],[PROGRAMA]],Hoja1!A:B,2,FALSE)</f>
        <v>2312. Iniciativas sociales</v>
      </c>
      <c r="W2645" s="35" t="str">
        <f>MID(Tabla1[[#This Row],[Aplicación]],14,2)</f>
        <v>21</v>
      </c>
      <c r="X2645" s="35" t="str">
        <f>MID(Tabla1[[#This Row],[Aplicación]],14,6)</f>
        <v>212</v>
      </c>
    </row>
    <row r="2646" spans="1:24" x14ac:dyDescent="0.25">
      <c r="A2646" s="45">
        <v>220210017125</v>
      </c>
      <c r="B2646" s="46" t="s">
        <v>9</v>
      </c>
      <c r="C2646" s="47">
        <v>44312</v>
      </c>
      <c r="D2646" s="45">
        <v>22021004119</v>
      </c>
      <c r="E2646" s="46" t="s">
        <v>844</v>
      </c>
      <c r="F2646" s="48">
        <v>600</v>
      </c>
      <c r="G2646" s="54" t="s">
        <v>87</v>
      </c>
      <c r="H2646" s="54" t="s">
        <v>4168</v>
      </c>
      <c r="I2646" s="53" t="s">
        <v>125</v>
      </c>
      <c r="J2646" s="54" t="s">
        <v>127</v>
      </c>
      <c r="K2646" s="54" t="s">
        <v>127</v>
      </c>
      <c r="L2646" s="54" t="s">
        <v>15</v>
      </c>
      <c r="M2646" s="54" t="s">
        <v>10</v>
      </c>
      <c r="N2646" s="54" t="s">
        <v>11</v>
      </c>
      <c r="O2646" s="49" t="s">
        <v>815</v>
      </c>
      <c r="P2646" s="54" t="s">
        <v>3392</v>
      </c>
      <c r="Q2646" s="35" t="str">
        <f>MID(Tabla1[[#This Row],[Aplicación]],14,1)</f>
        <v>2</v>
      </c>
      <c r="R2646" s="35" t="s">
        <v>495</v>
      </c>
      <c r="S2646" s="35" t="str">
        <f>MID(Tabla1[[#This Row],[Aplicación]],6,2)</f>
        <v>10</v>
      </c>
      <c r="T2646" s="35" t="str">
        <f>VLOOKUP(Tabla1[[#This Row],[AREA]],Hoja1!A:B,2,FALSE)</f>
        <v>10. Servicios sociales y mediación comunitaria</v>
      </c>
      <c r="U2646" s="35" t="str">
        <f>MID(Tabla1[[#This Row],[Aplicación]],9,4)</f>
        <v>2312</v>
      </c>
      <c r="V2646" s="35" t="str">
        <f>VLOOKUP(Tabla1[[#This Row],[PROGRAMA]],Hoja1!A:B,2,FALSE)</f>
        <v>2312. Iniciativas sociales</v>
      </c>
      <c r="W2646" s="35" t="str">
        <f>MID(Tabla1[[#This Row],[Aplicación]],14,2)</f>
        <v>21</v>
      </c>
      <c r="X2646" s="35" t="str">
        <f>MID(Tabla1[[#This Row],[Aplicación]],14,6)</f>
        <v>212</v>
      </c>
    </row>
    <row r="2647" spans="1:24" x14ac:dyDescent="0.25">
      <c r="A2647" s="45">
        <v>220210020460</v>
      </c>
      <c r="B2647" s="46" t="s">
        <v>9</v>
      </c>
      <c r="C2647" s="47">
        <v>44322</v>
      </c>
      <c r="D2647" s="45">
        <v>22021004012</v>
      </c>
      <c r="E2647" s="46" t="s">
        <v>1596</v>
      </c>
      <c r="F2647" s="48">
        <v>600</v>
      </c>
      <c r="G2647" s="54" t="s">
        <v>297</v>
      </c>
      <c r="H2647" s="54" t="s">
        <v>4169</v>
      </c>
      <c r="I2647" s="53" t="s">
        <v>125</v>
      </c>
      <c r="J2647" s="54" t="s">
        <v>127</v>
      </c>
      <c r="K2647" s="54" t="s">
        <v>127</v>
      </c>
      <c r="L2647" s="54" t="s">
        <v>12</v>
      </c>
      <c r="M2647" s="54" t="s">
        <v>10</v>
      </c>
      <c r="N2647" s="54" t="s">
        <v>11</v>
      </c>
      <c r="O2647" s="49" t="s">
        <v>815</v>
      </c>
      <c r="P2647" s="54" t="s">
        <v>3392</v>
      </c>
      <c r="Q2647" s="35" t="str">
        <f>MID(Tabla1[[#This Row],[Aplicación]],14,1)</f>
        <v>2</v>
      </c>
      <c r="R2647" s="35" t="s">
        <v>495</v>
      </c>
      <c r="S2647" s="35" t="str">
        <f>MID(Tabla1[[#This Row],[Aplicación]],6,2)</f>
        <v>11</v>
      </c>
      <c r="T2647" s="35" t="str">
        <f>VLOOKUP(Tabla1[[#This Row],[AREA]],Hoja1!A:B,2,FALSE)</f>
        <v>11. Salud pública y seguridad ciudadana</v>
      </c>
      <c r="U2647" s="35" t="str">
        <f>MID(Tabla1[[#This Row],[Aplicación]],9,4)</f>
        <v>1321</v>
      </c>
      <c r="V2647" s="35" t="str">
        <f>VLOOKUP(Tabla1[[#This Row],[PROGRAMA]],Hoja1!A:B,2,FALSE)</f>
        <v>1321. Policía municipal</v>
      </c>
      <c r="W2647" s="35" t="str">
        <f>MID(Tabla1[[#This Row],[Aplicación]],14,2)</f>
        <v>22</v>
      </c>
      <c r="X2647" s="35" t="str">
        <f>MID(Tabla1[[#This Row],[Aplicación]],14,6)</f>
        <v>22699</v>
      </c>
    </row>
    <row r="2648" spans="1:24" x14ac:dyDescent="0.25">
      <c r="A2648" s="45">
        <v>220210033120</v>
      </c>
      <c r="B2648" s="46" t="s">
        <v>9</v>
      </c>
      <c r="C2648" s="47">
        <v>44377</v>
      </c>
      <c r="D2648" s="45">
        <v>22021002230</v>
      </c>
      <c r="E2648" s="46" t="s">
        <v>1599</v>
      </c>
      <c r="F2648" s="48">
        <v>599.24</v>
      </c>
      <c r="G2648" s="54" t="s">
        <v>1597</v>
      </c>
      <c r="H2648" s="54" t="s">
        <v>4170</v>
      </c>
      <c r="I2648" s="53" t="s">
        <v>125</v>
      </c>
      <c r="J2648" s="54" t="s">
        <v>127</v>
      </c>
      <c r="K2648" s="54" t="s">
        <v>127</v>
      </c>
      <c r="L2648" s="54" t="s">
        <v>12</v>
      </c>
      <c r="M2648" s="54" t="s">
        <v>10</v>
      </c>
      <c r="N2648" s="54" t="s">
        <v>11</v>
      </c>
      <c r="O2648" s="49" t="s">
        <v>815</v>
      </c>
      <c r="P2648" s="54" t="s">
        <v>3392</v>
      </c>
      <c r="Q2648" s="35" t="str">
        <f>MID(Tabla1[[#This Row],[Aplicación]],14,1)</f>
        <v>2</v>
      </c>
      <c r="R2648" s="35" t="s">
        <v>495</v>
      </c>
      <c r="S2648" s="35" t="str">
        <f>MID(Tabla1[[#This Row],[Aplicación]],6,2)</f>
        <v>10</v>
      </c>
      <c r="T2648" s="35" t="str">
        <f>VLOOKUP(Tabla1[[#This Row],[AREA]],Hoja1!A:B,2,FALSE)</f>
        <v>10. Servicios sociales y mediación comunitaria</v>
      </c>
      <c r="U2648" s="35" t="str">
        <f>MID(Tabla1[[#This Row],[Aplicación]],9,4)</f>
        <v>2412</v>
      </c>
      <c r="V2648" s="35" t="str">
        <f>VLOOKUP(Tabla1[[#This Row],[PROGRAMA]],Hoja1!A:B,2,FALSE)</f>
        <v>2412. Formación para el empleo</v>
      </c>
      <c r="W2648" s="35" t="str">
        <f>MID(Tabla1[[#This Row],[Aplicación]],14,2)</f>
        <v>22</v>
      </c>
      <c r="X2648" s="35" t="str">
        <f>MID(Tabla1[[#This Row],[Aplicación]],14,6)</f>
        <v>223</v>
      </c>
    </row>
    <row r="2649" spans="1:24" x14ac:dyDescent="0.25">
      <c r="A2649" s="45">
        <v>220210031327</v>
      </c>
      <c r="B2649" s="46" t="s">
        <v>9</v>
      </c>
      <c r="C2649" s="47">
        <v>44364</v>
      </c>
      <c r="D2649" s="45">
        <v>22021003995</v>
      </c>
      <c r="E2649" s="46" t="s">
        <v>1505</v>
      </c>
      <c r="F2649" s="48">
        <v>595.92999999999995</v>
      </c>
      <c r="G2649" s="54" t="s">
        <v>3800</v>
      </c>
      <c r="H2649" s="54" t="s">
        <v>4171</v>
      </c>
      <c r="I2649" s="53" t="s">
        <v>125</v>
      </c>
      <c r="J2649" s="54" t="s">
        <v>127</v>
      </c>
      <c r="K2649" s="54" t="s">
        <v>127</v>
      </c>
      <c r="L2649" s="54" t="s">
        <v>12</v>
      </c>
      <c r="M2649" s="54" t="s">
        <v>10</v>
      </c>
      <c r="N2649" s="54" t="s">
        <v>11</v>
      </c>
      <c r="O2649" s="49" t="s">
        <v>815</v>
      </c>
      <c r="P2649" s="54" t="s">
        <v>3392</v>
      </c>
      <c r="Q2649" s="35" t="str">
        <f>MID(Tabla1[[#This Row],[Aplicación]],14,1)</f>
        <v>2</v>
      </c>
      <c r="R2649" s="35" t="s">
        <v>495</v>
      </c>
      <c r="S2649" s="35" t="str">
        <f>MID(Tabla1[[#This Row],[Aplicación]],6,2)</f>
        <v>06</v>
      </c>
      <c r="T2649" s="35" t="str">
        <f>VLOOKUP(Tabla1[[#This Row],[AREA]],Hoja1!A:B,2,FALSE)</f>
        <v>06. Educación, infancia, juventud e igualdad</v>
      </c>
      <c r="U2649" s="35" t="str">
        <f>MID(Tabla1[[#This Row],[Aplicación]],9,4)</f>
        <v>3231</v>
      </c>
      <c r="V2649" s="35" t="str">
        <f>VLOOKUP(Tabla1[[#This Row],[PROGRAMA]],Hoja1!A:B,2,FALSE)</f>
        <v>3231. Escuelas infantiles</v>
      </c>
      <c r="W2649" s="35" t="str">
        <f>MID(Tabla1[[#This Row],[Aplicación]],14,2)</f>
        <v>21</v>
      </c>
      <c r="X2649" s="35" t="str">
        <f>MID(Tabla1[[#This Row],[Aplicación]],14,6)</f>
        <v>213</v>
      </c>
    </row>
    <row r="2650" spans="1:24" x14ac:dyDescent="0.25">
      <c r="A2650" s="45">
        <v>220210020817</v>
      </c>
      <c r="B2650" s="46" t="s">
        <v>204</v>
      </c>
      <c r="C2650" s="47">
        <v>44323</v>
      </c>
      <c r="D2650" s="45">
        <v>22021002052</v>
      </c>
      <c r="E2650" s="46" t="s">
        <v>1340</v>
      </c>
      <c r="F2650" s="48">
        <v>858.86</v>
      </c>
      <c r="G2650" s="54" t="s">
        <v>272</v>
      </c>
      <c r="H2650" s="54" t="s">
        <v>4172</v>
      </c>
      <c r="I2650" s="53" t="s">
        <v>205</v>
      </c>
      <c r="J2650" s="54" t="s">
        <v>127</v>
      </c>
      <c r="K2650" s="54" t="s">
        <v>127</v>
      </c>
      <c r="L2650" s="54" t="s">
        <v>15</v>
      </c>
      <c r="M2650" s="54" t="s">
        <v>13</v>
      </c>
      <c r="N2650" s="54" t="s">
        <v>14</v>
      </c>
      <c r="O2650" s="49" t="s">
        <v>814</v>
      </c>
      <c r="P2650" s="54" t="s">
        <v>3392</v>
      </c>
      <c r="Q2650" s="35" t="str">
        <f>MID(Tabla1[[#This Row],[Aplicación]],14,1)</f>
        <v>2</v>
      </c>
      <c r="R2650" s="35" t="s">
        <v>495</v>
      </c>
      <c r="S2650" s="35" t="str">
        <f>MID(Tabla1[[#This Row],[Aplicación]],6,2)</f>
        <v>11</v>
      </c>
      <c r="T2650" s="35" t="str">
        <f>VLOOKUP(Tabla1[[#This Row],[AREA]],Hoja1!A:B,2,FALSE)</f>
        <v>11. Salud pública y seguridad ciudadana</v>
      </c>
      <c r="U2650" s="35" t="str">
        <f>MID(Tabla1[[#This Row],[Aplicación]],9,4)</f>
        <v>1621</v>
      </c>
      <c r="V2650" s="35" t="str">
        <f>VLOOKUP(Tabla1[[#This Row],[PROGRAMA]],Hoja1!A:B,2,FALSE)</f>
        <v>1621. Servicio de limpieza</v>
      </c>
      <c r="W2650" s="35" t="str">
        <f>MID(Tabla1[[#This Row],[Aplicación]],14,2)</f>
        <v>22</v>
      </c>
      <c r="X2650" s="35" t="str">
        <f>MID(Tabla1[[#This Row],[Aplicación]],14,6)</f>
        <v>22199</v>
      </c>
    </row>
    <row r="2651" spans="1:24" x14ac:dyDescent="0.25">
      <c r="A2651" s="45">
        <v>220210028157</v>
      </c>
      <c r="B2651" s="46" t="s">
        <v>9</v>
      </c>
      <c r="C2651" s="47">
        <v>44348</v>
      </c>
      <c r="D2651" s="45">
        <v>22021004628</v>
      </c>
      <c r="E2651" s="46" t="s">
        <v>844</v>
      </c>
      <c r="F2651" s="48">
        <v>586.85</v>
      </c>
      <c r="G2651" s="54" t="s">
        <v>4173</v>
      </c>
      <c r="H2651" s="54" t="s">
        <v>4174</v>
      </c>
      <c r="I2651" s="53" t="s">
        <v>125</v>
      </c>
      <c r="J2651" s="54" t="s">
        <v>613</v>
      </c>
      <c r="K2651" s="54" t="s">
        <v>127</v>
      </c>
      <c r="L2651" s="54" t="s">
        <v>12</v>
      </c>
      <c r="M2651" s="54" t="s">
        <v>10</v>
      </c>
      <c r="N2651" s="54" t="s">
        <v>11</v>
      </c>
      <c r="O2651" s="49" t="s">
        <v>815</v>
      </c>
      <c r="P2651" s="54" t="s">
        <v>3392</v>
      </c>
      <c r="Q2651" s="35" t="str">
        <f>MID(Tabla1[[#This Row],[Aplicación]],14,1)</f>
        <v>2</v>
      </c>
      <c r="R2651" s="35" t="s">
        <v>495</v>
      </c>
      <c r="S2651" s="35" t="str">
        <f>MID(Tabla1[[#This Row],[Aplicación]],6,2)</f>
        <v>10</v>
      </c>
      <c r="T2651" s="35" t="str">
        <f>VLOOKUP(Tabla1[[#This Row],[AREA]],Hoja1!A:B,2,FALSE)</f>
        <v>10. Servicios sociales y mediación comunitaria</v>
      </c>
      <c r="U2651" s="35" t="str">
        <f>MID(Tabla1[[#This Row],[Aplicación]],9,4)</f>
        <v>2312</v>
      </c>
      <c r="V2651" s="35" t="str">
        <f>VLOOKUP(Tabla1[[#This Row],[PROGRAMA]],Hoja1!A:B,2,FALSE)</f>
        <v>2312. Iniciativas sociales</v>
      </c>
      <c r="W2651" s="35" t="str">
        <f>MID(Tabla1[[#This Row],[Aplicación]],14,2)</f>
        <v>21</v>
      </c>
      <c r="X2651" s="35" t="str">
        <f>MID(Tabla1[[#This Row],[Aplicación]],14,6)</f>
        <v>212</v>
      </c>
    </row>
    <row r="2652" spans="1:24" x14ac:dyDescent="0.25">
      <c r="A2652" s="45">
        <v>220210028432</v>
      </c>
      <c r="B2652" s="46" t="s">
        <v>204</v>
      </c>
      <c r="C2652" s="47">
        <v>44350</v>
      </c>
      <c r="D2652" s="45">
        <v>22021002449</v>
      </c>
      <c r="E2652" s="46" t="s">
        <v>1724</v>
      </c>
      <c r="F2652" s="48">
        <v>3703.93</v>
      </c>
      <c r="G2652" s="54" t="s">
        <v>263</v>
      </c>
      <c r="H2652" s="54" t="s">
        <v>1725</v>
      </c>
      <c r="I2652" s="53" t="s">
        <v>205</v>
      </c>
      <c r="J2652" s="54" t="s">
        <v>127</v>
      </c>
      <c r="K2652" s="54" t="s">
        <v>127</v>
      </c>
      <c r="L2652" s="54" t="s">
        <v>15</v>
      </c>
      <c r="M2652" s="54" t="s">
        <v>13</v>
      </c>
      <c r="N2652" s="54" t="s">
        <v>14</v>
      </c>
      <c r="O2652" s="49" t="s">
        <v>814</v>
      </c>
      <c r="P2652" s="54" t="s">
        <v>3392</v>
      </c>
      <c r="Q2652" s="35" t="str">
        <f>MID(Tabla1[[#This Row],[Aplicación]],14,1)</f>
        <v>6</v>
      </c>
      <c r="R2652" s="35" t="s">
        <v>496</v>
      </c>
      <c r="S2652" s="35" t="str">
        <f>MID(Tabla1[[#This Row],[Aplicación]],6,2)</f>
        <v>07</v>
      </c>
      <c r="T2652" s="35" t="str">
        <f>VLOOKUP(Tabla1[[#This Row],[AREA]],Hoja1!A:B,2,FALSE)</f>
        <v>07. Medio ambiente y desarrollo sostenible</v>
      </c>
      <c r="U2652" s="35" t="str">
        <f>MID(Tabla1[[#This Row],[Aplicación]],9,4)</f>
        <v>1711</v>
      </c>
      <c r="V2652" s="35" t="str">
        <f>VLOOKUP(Tabla1[[#This Row],[PROGRAMA]],Hoja1!A:B,2,FALSE)</f>
        <v>1711. Parques y jardines</v>
      </c>
      <c r="W2652" s="35" t="str">
        <f>MID(Tabla1[[#This Row],[Aplicación]],14,2)</f>
        <v>61</v>
      </c>
      <c r="X2652" s="35" t="str">
        <f>MID(Tabla1[[#This Row],[Aplicación]],14,6)</f>
        <v>619</v>
      </c>
    </row>
    <row r="2653" spans="1:24" x14ac:dyDescent="0.25">
      <c r="A2653" s="45">
        <v>220210030262</v>
      </c>
      <c r="B2653" s="46" t="s">
        <v>204</v>
      </c>
      <c r="C2653" s="47">
        <v>44357</v>
      </c>
      <c r="D2653" s="45">
        <v>22021002449</v>
      </c>
      <c r="E2653" s="46" t="s">
        <v>1724</v>
      </c>
      <c r="F2653" s="48">
        <v>1939.99</v>
      </c>
      <c r="G2653" s="54" t="s">
        <v>263</v>
      </c>
      <c r="H2653" s="54" t="s">
        <v>1725</v>
      </c>
      <c r="I2653" s="53" t="s">
        <v>205</v>
      </c>
      <c r="J2653" s="54" t="s">
        <v>127</v>
      </c>
      <c r="K2653" s="54" t="s">
        <v>127</v>
      </c>
      <c r="L2653" s="54" t="s">
        <v>15</v>
      </c>
      <c r="M2653" s="54" t="s">
        <v>13</v>
      </c>
      <c r="N2653" s="54" t="s">
        <v>14</v>
      </c>
      <c r="O2653" s="49" t="s">
        <v>814</v>
      </c>
      <c r="P2653" s="54" t="s">
        <v>3392</v>
      </c>
      <c r="Q2653" s="35" t="str">
        <f>MID(Tabla1[[#This Row],[Aplicación]],14,1)</f>
        <v>6</v>
      </c>
      <c r="R2653" s="35" t="s">
        <v>496</v>
      </c>
      <c r="S2653" s="35" t="str">
        <f>MID(Tabla1[[#This Row],[Aplicación]],6,2)</f>
        <v>07</v>
      </c>
      <c r="T2653" s="35" t="str">
        <f>VLOOKUP(Tabla1[[#This Row],[AREA]],Hoja1!A:B,2,FALSE)</f>
        <v>07. Medio ambiente y desarrollo sostenible</v>
      </c>
      <c r="U2653" s="35" t="str">
        <f>MID(Tabla1[[#This Row],[Aplicación]],9,4)</f>
        <v>1711</v>
      </c>
      <c r="V2653" s="35" t="str">
        <f>VLOOKUP(Tabla1[[#This Row],[PROGRAMA]],Hoja1!A:B,2,FALSE)</f>
        <v>1711. Parques y jardines</v>
      </c>
      <c r="W2653" s="35" t="str">
        <f>MID(Tabla1[[#This Row],[Aplicación]],14,2)</f>
        <v>61</v>
      </c>
      <c r="X2653" s="35" t="str">
        <f>MID(Tabla1[[#This Row],[Aplicación]],14,6)</f>
        <v>619</v>
      </c>
    </row>
    <row r="2654" spans="1:24" x14ac:dyDescent="0.25">
      <c r="A2654" s="45">
        <v>220210027689</v>
      </c>
      <c r="B2654" s="46" t="s">
        <v>204</v>
      </c>
      <c r="C2654" s="47">
        <v>44348</v>
      </c>
      <c r="D2654" s="45">
        <v>22021004322</v>
      </c>
      <c r="E2654" s="46" t="s">
        <v>1724</v>
      </c>
      <c r="F2654" s="48">
        <v>12108.47</v>
      </c>
      <c r="G2654" s="54" t="s">
        <v>746</v>
      </c>
      <c r="H2654" s="54" t="s">
        <v>4175</v>
      </c>
      <c r="I2654" s="53" t="s">
        <v>205</v>
      </c>
      <c r="J2654" s="54" t="s">
        <v>747</v>
      </c>
      <c r="K2654" s="54" t="s">
        <v>127</v>
      </c>
      <c r="L2654" s="54" t="s">
        <v>15</v>
      </c>
      <c r="M2654" s="54" t="s">
        <v>13</v>
      </c>
      <c r="N2654" s="54" t="s">
        <v>14</v>
      </c>
      <c r="O2654" s="49" t="s">
        <v>814</v>
      </c>
      <c r="P2654" s="54" t="s">
        <v>3392</v>
      </c>
      <c r="Q2654" s="35" t="str">
        <f>MID(Tabla1[[#This Row],[Aplicación]],14,1)</f>
        <v>6</v>
      </c>
      <c r="R2654" s="35" t="s">
        <v>496</v>
      </c>
      <c r="S2654" s="35" t="str">
        <f>MID(Tabla1[[#This Row],[Aplicación]],6,2)</f>
        <v>07</v>
      </c>
      <c r="T2654" s="35" t="str">
        <f>VLOOKUP(Tabla1[[#This Row],[AREA]],Hoja1!A:B,2,FALSE)</f>
        <v>07. Medio ambiente y desarrollo sostenible</v>
      </c>
      <c r="U2654" s="35" t="str">
        <f>MID(Tabla1[[#This Row],[Aplicación]],9,4)</f>
        <v>1711</v>
      </c>
      <c r="V2654" s="35" t="str">
        <f>VLOOKUP(Tabla1[[#This Row],[PROGRAMA]],Hoja1!A:B,2,FALSE)</f>
        <v>1711. Parques y jardines</v>
      </c>
      <c r="W2654" s="35" t="str">
        <f>MID(Tabla1[[#This Row],[Aplicación]],14,2)</f>
        <v>61</v>
      </c>
      <c r="X2654" s="35" t="str">
        <f>MID(Tabla1[[#This Row],[Aplicación]],14,6)</f>
        <v>619</v>
      </c>
    </row>
    <row r="2655" spans="1:24" x14ac:dyDescent="0.25">
      <c r="A2655" s="45">
        <v>220210024843</v>
      </c>
      <c r="B2655" s="46" t="s">
        <v>9</v>
      </c>
      <c r="C2655" s="47">
        <v>44341</v>
      </c>
      <c r="D2655" s="45">
        <v>22021004536</v>
      </c>
      <c r="E2655" s="46" t="s">
        <v>1220</v>
      </c>
      <c r="F2655" s="48">
        <v>551.76</v>
      </c>
      <c r="G2655" s="54" t="s">
        <v>166</v>
      </c>
      <c r="H2655" s="54" t="s">
        <v>4176</v>
      </c>
      <c r="I2655" s="53" t="s">
        <v>125</v>
      </c>
      <c r="J2655" s="54" t="s">
        <v>126</v>
      </c>
      <c r="K2655" s="54" t="s">
        <v>126</v>
      </c>
      <c r="L2655" s="54" t="s">
        <v>12</v>
      </c>
      <c r="M2655" s="54" t="s">
        <v>10</v>
      </c>
      <c r="N2655" s="54" t="s">
        <v>11</v>
      </c>
      <c r="O2655" s="49" t="s">
        <v>815</v>
      </c>
      <c r="P2655" s="54" t="s">
        <v>3392</v>
      </c>
      <c r="Q2655" s="35" t="str">
        <f>MID(Tabla1[[#This Row],[Aplicación]],14,1)</f>
        <v>2</v>
      </c>
      <c r="R2655" s="35" t="s">
        <v>495</v>
      </c>
      <c r="S2655" s="35" t="str">
        <f>MID(Tabla1[[#This Row],[Aplicación]],6,2)</f>
        <v>03</v>
      </c>
      <c r="T2655" s="35" t="str">
        <f>VLOOKUP(Tabla1[[#This Row],[AREA]],Hoja1!A:B,2,FALSE)</f>
        <v>03. Participación ciudadana y deportes</v>
      </c>
      <c r="U2655" s="35" t="str">
        <f>MID(Tabla1[[#This Row],[Aplicación]],9,4)</f>
        <v>9241</v>
      </c>
      <c r="V2655" s="35" t="str">
        <f>VLOOKUP(Tabla1[[#This Row],[PROGRAMA]],Hoja1!A:B,2,FALSE)</f>
        <v>9241. Participación ciudadana</v>
      </c>
      <c r="W2655" s="35" t="str">
        <f>MID(Tabla1[[#This Row],[Aplicación]],14,2)</f>
        <v>21</v>
      </c>
      <c r="X2655" s="35" t="str">
        <f>MID(Tabla1[[#This Row],[Aplicación]],14,6)</f>
        <v>213</v>
      </c>
    </row>
    <row r="2656" spans="1:24" x14ac:dyDescent="0.25">
      <c r="A2656" s="45">
        <v>220210016741</v>
      </c>
      <c r="B2656" s="46" t="s">
        <v>9</v>
      </c>
      <c r="C2656" s="47">
        <v>44307</v>
      </c>
      <c r="D2656" s="45">
        <v>22021004109</v>
      </c>
      <c r="E2656" s="46" t="s">
        <v>3376</v>
      </c>
      <c r="F2656" s="48">
        <v>551.76</v>
      </c>
      <c r="G2656" s="54" t="s">
        <v>81</v>
      </c>
      <c r="H2656" s="54" t="s">
        <v>4177</v>
      </c>
      <c r="I2656" s="53" t="s">
        <v>125</v>
      </c>
      <c r="J2656" s="54" t="s">
        <v>127</v>
      </c>
      <c r="K2656" s="54" t="s">
        <v>127</v>
      </c>
      <c r="L2656" s="54" t="s">
        <v>15</v>
      </c>
      <c r="M2656" s="54" t="s">
        <v>10</v>
      </c>
      <c r="N2656" s="54" t="s">
        <v>11</v>
      </c>
      <c r="O2656" s="49" t="s">
        <v>815</v>
      </c>
      <c r="P2656" s="54" t="s">
        <v>3392</v>
      </c>
      <c r="Q2656" s="35" t="str">
        <f>MID(Tabla1[[#This Row],[Aplicación]],14,1)</f>
        <v>2</v>
      </c>
      <c r="R2656" s="35" t="s">
        <v>495</v>
      </c>
      <c r="S2656" s="35" t="str">
        <f>MID(Tabla1[[#This Row],[Aplicación]],6,2)</f>
        <v>06</v>
      </c>
      <c r="T2656" s="35" t="str">
        <f>VLOOKUP(Tabla1[[#This Row],[AREA]],Hoja1!A:B,2,FALSE)</f>
        <v>06. Educación, infancia, juventud e igualdad</v>
      </c>
      <c r="U2656" s="35" t="str">
        <f>MID(Tabla1[[#This Row],[Aplicación]],9,4)</f>
        <v>3261</v>
      </c>
      <c r="V2656" s="35" t="str">
        <f>VLOOKUP(Tabla1[[#This Row],[PROGRAMA]],Hoja1!A:B,2,FALSE)</f>
        <v>3261. Servicios complementarios de educación</v>
      </c>
      <c r="W2656" s="35" t="str">
        <f>MID(Tabla1[[#This Row],[Aplicación]],14,2)</f>
        <v>22</v>
      </c>
      <c r="X2656" s="35" t="str">
        <f>MID(Tabla1[[#This Row],[Aplicación]],14,6)</f>
        <v>22699</v>
      </c>
    </row>
    <row r="2657" spans="1:24" x14ac:dyDescent="0.25">
      <c r="A2657" s="45">
        <v>220210022745</v>
      </c>
      <c r="B2657" s="46" t="s">
        <v>204</v>
      </c>
      <c r="C2657" s="47">
        <v>44333</v>
      </c>
      <c r="D2657" s="45">
        <v>22021002049</v>
      </c>
      <c r="E2657" s="46" t="s">
        <v>1671</v>
      </c>
      <c r="F2657" s="48">
        <v>842.44</v>
      </c>
      <c r="G2657" s="54" t="s">
        <v>265</v>
      </c>
      <c r="H2657" s="54" t="s">
        <v>4178</v>
      </c>
      <c r="I2657" s="53" t="s">
        <v>205</v>
      </c>
      <c r="J2657" s="54" t="s">
        <v>157</v>
      </c>
      <c r="K2657" s="54" t="s">
        <v>157</v>
      </c>
      <c r="L2657" s="54" t="s">
        <v>15</v>
      </c>
      <c r="M2657" s="54" t="s">
        <v>13</v>
      </c>
      <c r="N2657" s="54" t="s">
        <v>14</v>
      </c>
      <c r="O2657" s="49" t="s">
        <v>814</v>
      </c>
      <c r="P2657" s="54" t="s">
        <v>3392</v>
      </c>
      <c r="Q2657" s="35" t="str">
        <f>MID(Tabla1[[#This Row],[Aplicación]],14,1)</f>
        <v>2</v>
      </c>
      <c r="R2657" s="35" t="s">
        <v>495</v>
      </c>
      <c r="S2657" s="35" t="str">
        <f>MID(Tabla1[[#This Row],[Aplicación]],6,2)</f>
        <v>11</v>
      </c>
      <c r="T2657" s="35" t="str">
        <f>VLOOKUP(Tabla1[[#This Row],[AREA]],Hoja1!A:B,2,FALSE)</f>
        <v>11. Salud pública y seguridad ciudadana</v>
      </c>
      <c r="U2657" s="35" t="str">
        <f>MID(Tabla1[[#This Row],[Aplicación]],9,4)</f>
        <v>1621</v>
      </c>
      <c r="V2657" s="35" t="str">
        <f>VLOOKUP(Tabla1[[#This Row],[PROGRAMA]],Hoja1!A:B,2,FALSE)</f>
        <v>1621. Servicio de limpieza</v>
      </c>
      <c r="W2657" s="35" t="str">
        <f>MID(Tabla1[[#This Row],[Aplicación]],14,2)</f>
        <v>22</v>
      </c>
      <c r="X2657" s="35" t="str">
        <f>MID(Tabla1[[#This Row],[Aplicación]],14,6)</f>
        <v>22103</v>
      </c>
    </row>
    <row r="2658" spans="1:24" x14ac:dyDescent="0.25">
      <c r="A2658" s="45">
        <v>220210019255</v>
      </c>
      <c r="B2658" s="46" t="s">
        <v>9</v>
      </c>
      <c r="C2658" s="47">
        <v>44320</v>
      </c>
      <c r="D2658" s="45">
        <v>22021004253</v>
      </c>
      <c r="E2658" s="46" t="s">
        <v>1187</v>
      </c>
      <c r="F2658" s="48">
        <v>550</v>
      </c>
      <c r="G2658" s="54" t="s">
        <v>4179</v>
      </c>
      <c r="H2658" s="54" t="s">
        <v>4180</v>
      </c>
      <c r="I2658" s="53" t="s">
        <v>125</v>
      </c>
      <c r="J2658" s="54" t="s">
        <v>127</v>
      </c>
      <c r="K2658" s="54" t="s">
        <v>127</v>
      </c>
      <c r="L2658" s="54" t="s">
        <v>12</v>
      </c>
      <c r="M2658" s="54" t="s">
        <v>10</v>
      </c>
      <c r="N2658" s="54" t="s">
        <v>11</v>
      </c>
      <c r="O2658" s="49" t="s">
        <v>815</v>
      </c>
      <c r="P2658" s="54" t="s">
        <v>3392</v>
      </c>
      <c r="Q2658" s="35" t="str">
        <f>MID(Tabla1[[#This Row],[Aplicación]],14,1)</f>
        <v>2</v>
      </c>
      <c r="R2658" s="35" t="s">
        <v>495</v>
      </c>
      <c r="S2658" s="35" t="str">
        <f>MID(Tabla1[[#This Row],[Aplicación]],6,2)</f>
        <v>06</v>
      </c>
      <c r="T2658" s="35" t="str">
        <f>VLOOKUP(Tabla1[[#This Row],[AREA]],Hoja1!A:B,2,FALSE)</f>
        <v>06. Educación, infancia, juventud e igualdad</v>
      </c>
      <c r="U2658" s="35" t="str">
        <f>MID(Tabla1[[#This Row],[Aplicación]],9,4)</f>
        <v>2315</v>
      </c>
      <c r="V2658" s="35" t="str">
        <f>VLOOKUP(Tabla1[[#This Row],[PROGRAMA]],Hoja1!A:B,2,FALSE)</f>
        <v>2315. Políticas de Igualdad e infancia</v>
      </c>
      <c r="W2658" s="35" t="str">
        <f>MID(Tabla1[[#This Row],[Aplicación]],14,2)</f>
        <v>22</v>
      </c>
      <c r="X2658" s="35" t="str">
        <f>MID(Tabla1[[#This Row],[Aplicación]],14,6)</f>
        <v>22611</v>
      </c>
    </row>
    <row r="2659" spans="1:24" x14ac:dyDescent="0.25">
      <c r="A2659" s="45">
        <v>220210024842</v>
      </c>
      <c r="B2659" s="46" t="s">
        <v>9</v>
      </c>
      <c r="C2659" s="47">
        <v>44341</v>
      </c>
      <c r="D2659" s="45">
        <v>22021004535</v>
      </c>
      <c r="E2659" s="46" t="s">
        <v>1220</v>
      </c>
      <c r="F2659" s="48">
        <v>546.63</v>
      </c>
      <c r="G2659" s="54" t="s">
        <v>529</v>
      </c>
      <c r="H2659" s="54" t="s">
        <v>4181</v>
      </c>
      <c r="I2659" s="53" t="s">
        <v>125</v>
      </c>
      <c r="J2659" s="54" t="s">
        <v>127</v>
      </c>
      <c r="K2659" s="54" t="s">
        <v>127</v>
      </c>
      <c r="L2659" s="54" t="s">
        <v>12</v>
      </c>
      <c r="M2659" s="54" t="s">
        <v>10</v>
      </c>
      <c r="N2659" s="54" t="s">
        <v>11</v>
      </c>
      <c r="O2659" s="49" t="s">
        <v>815</v>
      </c>
      <c r="P2659" s="54" t="s">
        <v>3392</v>
      </c>
      <c r="Q2659" s="35" t="str">
        <f>MID(Tabla1[[#This Row],[Aplicación]],14,1)</f>
        <v>2</v>
      </c>
      <c r="R2659" s="35" t="s">
        <v>495</v>
      </c>
      <c r="S2659" s="35" t="str">
        <f>MID(Tabla1[[#This Row],[Aplicación]],6,2)</f>
        <v>03</v>
      </c>
      <c r="T2659" s="35" t="str">
        <f>VLOOKUP(Tabla1[[#This Row],[AREA]],Hoja1!A:B,2,FALSE)</f>
        <v>03. Participación ciudadana y deportes</v>
      </c>
      <c r="U2659" s="35" t="str">
        <f>MID(Tabla1[[#This Row],[Aplicación]],9,4)</f>
        <v>9241</v>
      </c>
      <c r="V2659" s="35" t="str">
        <f>VLOOKUP(Tabla1[[#This Row],[PROGRAMA]],Hoja1!A:B,2,FALSE)</f>
        <v>9241. Participación ciudadana</v>
      </c>
      <c r="W2659" s="35" t="str">
        <f>MID(Tabla1[[#This Row],[Aplicación]],14,2)</f>
        <v>21</v>
      </c>
      <c r="X2659" s="35" t="str">
        <f>MID(Tabla1[[#This Row],[Aplicación]],14,6)</f>
        <v>213</v>
      </c>
    </row>
    <row r="2660" spans="1:24" x14ac:dyDescent="0.25">
      <c r="A2660" s="45">
        <v>220210031357</v>
      </c>
      <c r="B2660" s="46" t="s">
        <v>9</v>
      </c>
      <c r="C2660" s="47">
        <v>44365</v>
      </c>
      <c r="D2660" s="45">
        <v>22021004915</v>
      </c>
      <c r="E2660" s="46" t="s">
        <v>823</v>
      </c>
      <c r="F2660" s="48">
        <v>544.5</v>
      </c>
      <c r="G2660" s="54" t="s">
        <v>67</v>
      </c>
      <c r="H2660" s="54" t="s">
        <v>4182</v>
      </c>
      <c r="I2660" s="53" t="s">
        <v>125</v>
      </c>
      <c r="J2660" s="54" t="s">
        <v>127</v>
      </c>
      <c r="K2660" s="54" t="s">
        <v>127</v>
      </c>
      <c r="L2660" s="54" t="s">
        <v>12</v>
      </c>
      <c r="M2660" s="54" t="s">
        <v>10</v>
      </c>
      <c r="N2660" s="54" t="s">
        <v>11</v>
      </c>
      <c r="O2660" s="49" t="s">
        <v>815</v>
      </c>
      <c r="P2660" s="54" t="s">
        <v>3392</v>
      </c>
      <c r="Q2660" s="35" t="str">
        <f>MID(Tabla1[[#This Row],[Aplicación]],14,1)</f>
        <v>2</v>
      </c>
      <c r="R2660" s="35" t="s">
        <v>495</v>
      </c>
      <c r="S2660" s="35" t="str">
        <f>MID(Tabla1[[#This Row],[Aplicación]],6,2)</f>
        <v>03</v>
      </c>
      <c r="T2660" s="35" t="str">
        <f>VLOOKUP(Tabla1[[#This Row],[AREA]],Hoja1!A:B,2,FALSE)</f>
        <v>03. Participación ciudadana y deportes</v>
      </c>
      <c r="U2660" s="35" t="str">
        <f>MID(Tabla1[[#This Row],[Aplicación]],9,4)</f>
        <v>9241</v>
      </c>
      <c r="V2660" s="35" t="str">
        <f>VLOOKUP(Tabla1[[#This Row],[PROGRAMA]],Hoja1!A:B,2,FALSE)</f>
        <v>9241. Participación ciudadana</v>
      </c>
      <c r="W2660" s="35" t="str">
        <f>MID(Tabla1[[#This Row],[Aplicación]],14,2)</f>
        <v>22</v>
      </c>
      <c r="X2660" s="35" t="str">
        <f>MID(Tabla1[[#This Row],[Aplicación]],14,6)</f>
        <v>22609</v>
      </c>
    </row>
    <row r="2661" spans="1:24" x14ac:dyDescent="0.25">
      <c r="A2661" s="45">
        <v>220210028275</v>
      </c>
      <c r="B2661" s="46" t="s">
        <v>9</v>
      </c>
      <c r="C2661" s="47">
        <v>44350</v>
      </c>
      <c r="D2661" s="45">
        <v>22021004669</v>
      </c>
      <c r="E2661" s="46" t="s">
        <v>823</v>
      </c>
      <c r="F2661" s="48">
        <v>544.5</v>
      </c>
      <c r="G2661" s="54" t="s">
        <v>69</v>
      </c>
      <c r="H2661" s="54" t="s">
        <v>4183</v>
      </c>
      <c r="I2661" s="53" t="s">
        <v>125</v>
      </c>
      <c r="J2661" s="54" t="s">
        <v>180</v>
      </c>
      <c r="K2661" s="54" t="s">
        <v>180</v>
      </c>
      <c r="L2661" s="54" t="s">
        <v>12</v>
      </c>
      <c r="M2661" s="54" t="s">
        <v>10</v>
      </c>
      <c r="N2661" s="54" t="s">
        <v>11</v>
      </c>
      <c r="O2661" s="49" t="s">
        <v>815</v>
      </c>
      <c r="P2661" s="54" t="s">
        <v>3392</v>
      </c>
      <c r="Q2661" s="35" t="str">
        <f>MID(Tabla1[[#This Row],[Aplicación]],14,1)</f>
        <v>2</v>
      </c>
      <c r="R2661" s="35" t="s">
        <v>495</v>
      </c>
      <c r="S2661" s="35" t="str">
        <f>MID(Tabla1[[#This Row],[Aplicación]],6,2)</f>
        <v>03</v>
      </c>
      <c r="T2661" s="35" t="str">
        <f>VLOOKUP(Tabla1[[#This Row],[AREA]],Hoja1!A:B,2,FALSE)</f>
        <v>03. Participación ciudadana y deportes</v>
      </c>
      <c r="U2661" s="35" t="str">
        <f>MID(Tabla1[[#This Row],[Aplicación]],9,4)</f>
        <v>9241</v>
      </c>
      <c r="V2661" s="35" t="str">
        <f>VLOOKUP(Tabla1[[#This Row],[PROGRAMA]],Hoja1!A:B,2,FALSE)</f>
        <v>9241. Participación ciudadana</v>
      </c>
      <c r="W2661" s="35" t="str">
        <f>MID(Tabla1[[#This Row],[Aplicación]],14,2)</f>
        <v>22</v>
      </c>
      <c r="X2661" s="35" t="str">
        <f>MID(Tabla1[[#This Row],[Aplicación]],14,6)</f>
        <v>22609</v>
      </c>
    </row>
    <row r="2662" spans="1:24" x14ac:dyDescent="0.25">
      <c r="A2662" s="45">
        <v>220210016489</v>
      </c>
      <c r="B2662" s="46" t="s">
        <v>9</v>
      </c>
      <c r="C2662" s="47">
        <v>44306</v>
      </c>
      <c r="D2662" s="45">
        <v>22021003959</v>
      </c>
      <c r="E2662" s="46" t="s">
        <v>836</v>
      </c>
      <c r="F2662" s="48">
        <v>544.5</v>
      </c>
      <c r="G2662" s="54" t="s">
        <v>4184</v>
      </c>
      <c r="H2662" s="54" t="s">
        <v>4185</v>
      </c>
      <c r="I2662" s="53" t="s">
        <v>125</v>
      </c>
      <c r="J2662" s="54" t="s">
        <v>146</v>
      </c>
      <c r="K2662" s="54" t="s">
        <v>146</v>
      </c>
      <c r="L2662" s="54" t="s">
        <v>12</v>
      </c>
      <c r="M2662" s="54" t="s">
        <v>10</v>
      </c>
      <c r="N2662" s="54" t="s">
        <v>11</v>
      </c>
      <c r="O2662" s="49" t="s">
        <v>815</v>
      </c>
      <c r="P2662" s="54" t="s">
        <v>3392</v>
      </c>
      <c r="Q2662" s="35" t="str">
        <f>MID(Tabla1[[#This Row],[Aplicación]],14,1)</f>
        <v>2</v>
      </c>
      <c r="R2662" s="35" t="s">
        <v>495</v>
      </c>
      <c r="S2662" s="35" t="str">
        <f>MID(Tabla1[[#This Row],[Aplicación]],6,2)</f>
        <v>05</v>
      </c>
      <c r="T2662" s="35" t="str">
        <f>VLOOKUP(Tabla1[[#This Row],[AREA]],Hoja1!A:B,2,FALSE)</f>
        <v>05. Innovación, desarrollo económico, empleo y comercio</v>
      </c>
      <c r="U2662" s="35" t="str">
        <f>MID(Tabla1[[#This Row],[Aplicación]],9,4)</f>
        <v>4331</v>
      </c>
      <c r="V2662" s="35" t="str">
        <f>VLOOKUP(Tabla1[[#This Row],[PROGRAMA]],Hoja1!A:B,2,FALSE)</f>
        <v>4331. Desarrollo empresarial</v>
      </c>
      <c r="W2662" s="35" t="str">
        <f>MID(Tabla1[[#This Row],[Aplicación]],14,2)</f>
        <v>22</v>
      </c>
      <c r="X2662" s="35" t="str">
        <f>MID(Tabla1[[#This Row],[Aplicación]],14,6)</f>
        <v>22699</v>
      </c>
    </row>
    <row r="2663" spans="1:24" x14ac:dyDescent="0.25">
      <c r="A2663" s="45">
        <v>220210029570</v>
      </c>
      <c r="B2663" s="46" t="s">
        <v>9</v>
      </c>
      <c r="C2663" s="47">
        <v>44355</v>
      </c>
      <c r="D2663" s="45">
        <v>22021004785</v>
      </c>
      <c r="E2663" s="46" t="s">
        <v>823</v>
      </c>
      <c r="F2663" s="48">
        <v>544.5</v>
      </c>
      <c r="G2663" s="54" t="s">
        <v>4186</v>
      </c>
      <c r="H2663" s="54" t="s">
        <v>4187</v>
      </c>
      <c r="I2663" s="53" t="s">
        <v>125</v>
      </c>
      <c r="J2663" s="54" t="s">
        <v>650</v>
      </c>
      <c r="K2663" s="54" t="s">
        <v>127</v>
      </c>
      <c r="L2663" s="54" t="s">
        <v>12</v>
      </c>
      <c r="M2663" s="54" t="s">
        <v>10</v>
      </c>
      <c r="N2663" s="54" t="s">
        <v>11</v>
      </c>
      <c r="O2663" s="49" t="s">
        <v>815</v>
      </c>
      <c r="P2663" s="54" t="s">
        <v>3392</v>
      </c>
      <c r="Q2663" s="35" t="str">
        <f>MID(Tabla1[[#This Row],[Aplicación]],14,1)</f>
        <v>2</v>
      </c>
      <c r="R2663" s="35" t="s">
        <v>495</v>
      </c>
      <c r="S2663" s="35" t="str">
        <f>MID(Tabla1[[#This Row],[Aplicación]],6,2)</f>
        <v>03</v>
      </c>
      <c r="T2663" s="35" t="str">
        <f>VLOOKUP(Tabla1[[#This Row],[AREA]],Hoja1!A:B,2,FALSE)</f>
        <v>03. Participación ciudadana y deportes</v>
      </c>
      <c r="U2663" s="35" t="str">
        <f>MID(Tabla1[[#This Row],[Aplicación]],9,4)</f>
        <v>9241</v>
      </c>
      <c r="V2663" s="35" t="str">
        <f>VLOOKUP(Tabla1[[#This Row],[PROGRAMA]],Hoja1!A:B,2,FALSE)</f>
        <v>9241. Participación ciudadana</v>
      </c>
      <c r="W2663" s="35" t="str">
        <f>MID(Tabla1[[#This Row],[Aplicación]],14,2)</f>
        <v>22</v>
      </c>
      <c r="X2663" s="35" t="str">
        <f>MID(Tabla1[[#This Row],[Aplicación]],14,6)</f>
        <v>22609</v>
      </c>
    </row>
    <row r="2664" spans="1:24" x14ac:dyDescent="0.25">
      <c r="A2664" s="45">
        <v>220210016388</v>
      </c>
      <c r="B2664" s="46" t="s">
        <v>9</v>
      </c>
      <c r="C2664" s="47">
        <v>44306</v>
      </c>
      <c r="D2664" s="45">
        <v>22021003977</v>
      </c>
      <c r="E2664" s="46" t="s">
        <v>823</v>
      </c>
      <c r="F2664" s="48">
        <v>544.5</v>
      </c>
      <c r="G2664" s="54" t="s">
        <v>4188</v>
      </c>
      <c r="H2664" s="54" t="s">
        <v>4189</v>
      </c>
      <c r="I2664" s="53" t="s">
        <v>125</v>
      </c>
      <c r="J2664" s="54" t="s">
        <v>4190</v>
      </c>
      <c r="K2664" s="54" t="s">
        <v>127</v>
      </c>
      <c r="L2664" s="54" t="s">
        <v>12</v>
      </c>
      <c r="M2664" s="54" t="s">
        <v>10</v>
      </c>
      <c r="N2664" s="54" t="s">
        <v>11</v>
      </c>
      <c r="O2664" s="49" t="s">
        <v>815</v>
      </c>
      <c r="P2664" s="54" t="s">
        <v>3392</v>
      </c>
      <c r="Q2664" s="35" t="str">
        <f>MID(Tabla1[[#This Row],[Aplicación]],14,1)</f>
        <v>2</v>
      </c>
      <c r="R2664" s="35" t="s">
        <v>495</v>
      </c>
      <c r="S2664" s="35" t="str">
        <f>MID(Tabla1[[#This Row],[Aplicación]],6,2)</f>
        <v>03</v>
      </c>
      <c r="T2664" s="35" t="str">
        <f>VLOOKUP(Tabla1[[#This Row],[AREA]],Hoja1!A:B,2,FALSE)</f>
        <v>03. Participación ciudadana y deportes</v>
      </c>
      <c r="U2664" s="35" t="str">
        <f>MID(Tabla1[[#This Row],[Aplicación]],9,4)</f>
        <v>9241</v>
      </c>
      <c r="V2664" s="35" t="str">
        <f>VLOOKUP(Tabla1[[#This Row],[PROGRAMA]],Hoja1!A:B,2,FALSE)</f>
        <v>9241. Participación ciudadana</v>
      </c>
      <c r="W2664" s="35" t="str">
        <f>MID(Tabla1[[#This Row],[Aplicación]],14,2)</f>
        <v>22</v>
      </c>
      <c r="X2664" s="35" t="str">
        <f>MID(Tabla1[[#This Row],[Aplicación]],14,6)</f>
        <v>22609</v>
      </c>
    </row>
    <row r="2665" spans="1:24" x14ac:dyDescent="0.25">
      <c r="A2665" s="45">
        <v>220210030064</v>
      </c>
      <c r="B2665" s="46" t="s">
        <v>204</v>
      </c>
      <c r="C2665" s="47">
        <v>44356</v>
      </c>
      <c r="D2665" s="45">
        <v>22021001275</v>
      </c>
      <c r="E2665" s="46" t="s">
        <v>1334</v>
      </c>
      <c r="F2665" s="48">
        <v>642.4</v>
      </c>
      <c r="G2665" s="54" t="s">
        <v>746</v>
      </c>
      <c r="H2665" s="54" t="s">
        <v>4191</v>
      </c>
      <c r="I2665" s="53" t="s">
        <v>205</v>
      </c>
      <c r="J2665" s="54" t="s">
        <v>747</v>
      </c>
      <c r="K2665" s="54" t="s">
        <v>127</v>
      </c>
      <c r="L2665" s="54" t="s">
        <v>15</v>
      </c>
      <c r="M2665" s="54" t="s">
        <v>13</v>
      </c>
      <c r="N2665" s="54" t="s">
        <v>14</v>
      </c>
      <c r="O2665" s="49" t="s">
        <v>814</v>
      </c>
      <c r="P2665" s="54" t="s">
        <v>3392</v>
      </c>
      <c r="Q2665" s="35" t="str">
        <f>MID(Tabla1[[#This Row],[Aplicación]],14,1)</f>
        <v>2</v>
      </c>
      <c r="R2665" s="35" t="s">
        <v>495</v>
      </c>
      <c r="S2665" s="35" t="str">
        <f>MID(Tabla1[[#This Row],[Aplicación]],6,2)</f>
        <v>07</v>
      </c>
      <c r="T2665" s="35" t="str">
        <f>VLOOKUP(Tabla1[[#This Row],[AREA]],Hoja1!A:B,2,FALSE)</f>
        <v>07. Medio ambiente y desarrollo sostenible</v>
      </c>
      <c r="U2665" s="35" t="str">
        <f>MID(Tabla1[[#This Row],[Aplicación]],9,4)</f>
        <v>1711</v>
      </c>
      <c r="V2665" s="35" t="str">
        <f>VLOOKUP(Tabla1[[#This Row],[PROGRAMA]],Hoja1!A:B,2,FALSE)</f>
        <v>1711. Parques y jardines</v>
      </c>
      <c r="W2665" s="35" t="str">
        <f>MID(Tabla1[[#This Row],[Aplicación]],14,2)</f>
        <v>22</v>
      </c>
      <c r="X2665" s="35" t="str">
        <f>MID(Tabla1[[#This Row],[Aplicación]],14,6)</f>
        <v>22199</v>
      </c>
    </row>
    <row r="2666" spans="1:24" x14ac:dyDescent="0.25">
      <c r="A2666" s="45">
        <v>220210030067</v>
      </c>
      <c r="B2666" s="46" t="s">
        <v>204</v>
      </c>
      <c r="C2666" s="47">
        <v>44356</v>
      </c>
      <c r="D2666" s="45">
        <v>22021001275</v>
      </c>
      <c r="E2666" s="46" t="s">
        <v>1334</v>
      </c>
      <c r="F2666" s="48">
        <v>993.41</v>
      </c>
      <c r="G2666" s="54" t="s">
        <v>746</v>
      </c>
      <c r="H2666" s="54" t="s">
        <v>4192</v>
      </c>
      <c r="I2666" s="53" t="s">
        <v>205</v>
      </c>
      <c r="J2666" s="54" t="s">
        <v>747</v>
      </c>
      <c r="K2666" s="54" t="s">
        <v>127</v>
      </c>
      <c r="L2666" s="54" t="s">
        <v>15</v>
      </c>
      <c r="M2666" s="54" t="s">
        <v>13</v>
      </c>
      <c r="N2666" s="54" t="s">
        <v>14</v>
      </c>
      <c r="O2666" s="49" t="s">
        <v>814</v>
      </c>
      <c r="P2666" s="54" t="s">
        <v>3392</v>
      </c>
      <c r="Q2666" s="35" t="str">
        <f>MID(Tabla1[[#This Row],[Aplicación]],14,1)</f>
        <v>2</v>
      </c>
      <c r="R2666" s="35" t="s">
        <v>495</v>
      </c>
      <c r="S2666" s="35" t="str">
        <f>MID(Tabla1[[#This Row],[Aplicación]],6,2)</f>
        <v>07</v>
      </c>
      <c r="T2666" s="35" t="str">
        <f>VLOOKUP(Tabla1[[#This Row],[AREA]],Hoja1!A:B,2,FALSE)</f>
        <v>07. Medio ambiente y desarrollo sostenible</v>
      </c>
      <c r="U2666" s="35" t="str">
        <f>MID(Tabla1[[#This Row],[Aplicación]],9,4)</f>
        <v>1711</v>
      </c>
      <c r="V2666" s="35" t="str">
        <f>VLOOKUP(Tabla1[[#This Row],[PROGRAMA]],Hoja1!A:B,2,FALSE)</f>
        <v>1711. Parques y jardines</v>
      </c>
      <c r="W2666" s="35" t="str">
        <f>MID(Tabla1[[#This Row],[Aplicación]],14,2)</f>
        <v>22</v>
      </c>
      <c r="X2666" s="35" t="str">
        <f>MID(Tabla1[[#This Row],[Aplicación]],14,6)</f>
        <v>22199</v>
      </c>
    </row>
    <row r="2667" spans="1:24" x14ac:dyDescent="0.25">
      <c r="A2667" s="45">
        <v>220210014575</v>
      </c>
      <c r="B2667" s="46" t="s">
        <v>9</v>
      </c>
      <c r="C2667" s="47">
        <v>44298</v>
      </c>
      <c r="D2667" s="45">
        <v>22021003718</v>
      </c>
      <c r="E2667" s="46" t="s">
        <v>2026</v>
      </c>
      <c r="F2667" s="48">
        <v>530</v>
      </c>
      <c r="G2667" s="54" t="s">
        <v>4193</v>
      </c>
      <c r="H2667" s="54" t="s">
        <v>4194</v>
      </c>
      <c r="I2667" s="53" t="s">
        <v>125</v>
      </c>
      <c r="J2667" s="54" t="s">
        <v>165</v>
      </c>
      <c r="K2667" s="54" t="s">
        <v>165</v>
      </c>
      <c r="L2667" s="54" t="s">
        <v>12</v>
      </c>
      <c r="M2667" s="54" t="s">
        <v>10</v>
      </c>
      <c r="N2667" s="54" t="s">
        <v>11</v>
      </c>
      <c r="O2667" s="49" t="s">
        <v>815</v>
      </c>
      <c r="P2667" s="54" t="s">
        <v>3392</v>
      </c>
      <c r="Q2667" s="35" t="str">
        <f>MID(Tabla1[[#This Row],[Aplicación]],14,1)</f>
        <v>2</v>
      </c>
      <c r="R2667" s="35" t="s">
        <v>495</v>
      </c>
      <c r="S2667" s="35" t="str">
        <f>MID(Tabla1[[#This Row],[Aplicación]],6,2)</f>
        <v>10</v>
      </c>
      <c r="T2667" s="35" t="str">
        <f>VLOOKUP(Tabla1[[#This Row],[AREA]],Hoja1!A:B,2,FALSE)</f>
        <v>10. Servicios sociales y mediación comunitaria</v>
      </c>
      <c r="U2667" s="35" t="str">
        <f>MID(Tabla1[[#This Row],[Aplicación]],9,4)</f>
        <v>2412</v>
      </c>
      <c r="V2667" s="35" t="str">
        <f>VLOOKUP(Tabla1[[#This Row],[PROGRAMA]],Hoja1!A:B,2,FALSE)</f>
        <v>2412. Formación para el empleo</v>
      </c>
      <c r="W2667" s="35" t="str">
        <f>MID(Tabla1[[#This Row],[Aplicación]],14,2)</f>
        <v>22</v>
      </c>
      <c r="X2667" s="35" t="str">
        <f>MID(Tabla1[[#This Row],[Aplicación]],14,6)</f>
        <v>22799</v>
      </c>
    </row>
    <row r="2668" spans="1:24" x14ac:dyDescent="0.25">
      <c r="A2668" s="45">
        <v>220210033207</v>
      </c>
      <c r="B2668" s="46" t="s">
        <v>204</v>
      </c>
      <c r="C2668" s="47">
        <v>44377</v>
      </c>
      <c r="D2668" s="45">
        <v>22021001275</v>
      </c>
      <c r="E2668" s="46" t="s">
        <v>1334</v>
      </c>
      <c r="F2668" s="48">
        <v>12484.27</v>
      </c>
      <c r="G2668" s="54" t="s">
        <v>746</v>
      </c>
      <c r="H2668" s="54" t="s">
        <v>4195</v>
      </c>
      <c r="I2668" s="53" t="s">
        <v>205</v>
      </c>
      <c r="J2668" s="54" t="s">
        <v>747</v>
      </c>
      <c r="K2668" s="54" t="s">
        <v>127</v>
      </c>
      <c r="L2668" s="54" t="s">
        <v>15</v>
      </c>
      <c r="M2668" s="54" t="s">
        <v>13</v>
      </c>
      <c r="N2668" s="54" t="s">
        <v>14</v>
      </c>
      <c r="O2668" s="49" t="s">
        <v>814</v>
      </c>
      <c r="P2668" s="54" t="s">
        <v>3392</v>
      </c>
      <c r="Q2668" s="35" t="str">
        <f>MID(Tabla1[[#This Row],[Aplicación]],14,1)</f>
        <v>2</v>
      </c>
      <c r="R2668" s="35" t="s">
        <v>495</v>
      </c>
      <c r="S2668" s="35" t="str">
        <f>MID(Tabla1[[#This Row],[Aplicación]],6,2)</f>
        <v>07</v>
      </c>
      <c r="T2668" s="35" t="str">
        <f>VLOOKUP(Tabla1[[#This Row],[AREA]],Hoja1!A:B,2,FALSE)</f>
        <v>07. Medio ambiente y desarrollo sostenible</v>
      </c>
      <c r="U2668" s="35" t="str">
        <f>MID(Tabla1[[#This Row],[Aplicación]],9,4)</f>
        <v>1711</v>
      </c>
      <c r="V2668" s="35" t="str">
        <f>VLOOKUP(Tabla1[[#This Row],[PROGRAMA]],Hoja1!A:B,2,FALSE)</f>
        <v>1711. Parques y jardines</v>
      </c>
      <c r="W2668" s="35" t="str">
        <f>MID(Tabla1[[#This Row],[Aplicación]],14,2)</f>
        <v>22</v>
      </c>
      <c r="X2668" s="35" t="str">
        <f>MID(Tabla1[[#This Row],[Aplicación]],14,6)</f>
        <v>22199</v>
      </c>
    </row>
    <row r="2669" spans="1:24" x14ac:dyDescent="0.25">
      <c r="A2669" s="45">
        <v>220210015712</v>
      </c>
      <c r="B2669" s="46" t="s">
        <v>204</v>
      </c>
      <c r="C2669" s="47">
        <v>44302</v>
      </c>
      <c r="D2669" s="45">
        <v>22021002088</v>
      </c>
      <c r="E2669" s="46" t="s">
        <v>1478</v>
      </c>
      <c r="F2669" s="48">
        <v>826.81</v>
      </c>
      <c r="G2669" s="54" t="s">
        <v>1475</v>
      </c>
      <c r="H2669" s="54" t="s">
        <v>4196</v>
      </c>
      <c r="I2669" s="53" t="s">
        <v>205</v>
      </c>
      <c r="J2669" s="54" t="s">
        <v>127</v>
      </c>
      <c r="K2669" s="54" t="s">
        <v>127</v>
      </c>
      <c r="L2669" s="54" t="s">
        <v>15</v>
      </c>
      <c r="M2669" s="54" t="s">
        <v>13</v>
      </c>
      <c r="N2669" s="54" t="s">
        <v>16</v>
      </c>
      <c r="O2669" s="49" t="s">
        <v>814</v>
      </c>
      <c r="P2669" s="54" t="s">
        <v>3392</v>
      </c>
      <c r="Q2669" s="35" t="str">
        <f>MID(Tabla1[[#This Row],[Aplicación]],14,1)</f>
        <v>2</v>
      </c>
      <c r="R2669" s="35" t="s">
        <v>495</v>
      </c>
      <c r="S2669" s="35" t="str">
        <f>MID(Tabla1[[#This Row],[Aplicación]],6,2)</f>
        <v>03</v>
      </c>
      <c r="T2669" s="35" t="str">
        <f>VLOOKUP(Tabla1[[#This Row],[AREA]],Hoja1!A:B,2,FALSE)</f>
        <v>03. Participación ciudadana y deportes</v>
      </c>
      <c r="U2669" s="35" t="str">
        <f>MID(Tabla1[[#This Row],[Aplicación]],9,4)</f>
        <v>9241</v>
      </c>
      <c r="V2669" s="35" t="str">
        <f>VLOOKUP(Tabla1[[#This Row],[PROGRAMA]],Hoja1!A:B,2,FALSE)</f>
        <v>9241. Participación ciudadana</v>
      </c>
      <c r="W2669" s="35" t="str">
        <f>MID(Tabla1[[#This Row],[Aplicación]],14,2)</f>
        <v>21</v>
      </c>
      <c r="X2669" s="35" t="str">
        <f>MID(Tabla1[[#This Row],[Aplicación]],14,6)</f>
        <v>212</v>
      </c>
    </row>
    <row r="2670" spans="1:24" x14ac:dyDescent="0.25">
      <c r="A2670" s="45">
        <v>220200071711</v>
      </c>
      <c r="B2670" s="46" t="s">
        <v>9</v>
      </c>
      <c r="C2670" s="47">
        <v>44375</v>
      </c>
      <c r="D2670" s="45">
        <v>22020007453</v>
      </c>
      <c r="E2670" s="46" t="s">
        <v>2554</v>
      </c>
      <c r="F2670" s="48">
        <v>655.93</v>
      </c>
      <c r="G2670" s="54" t="s">
        <v>121</v>
      </c>
      <c r="H2670" s="54" t="s">
        <v>4197</v>
      </c>
      <c r="I2670" s="53" t="s">
        <v>125</v>
      </c>
      <c r="J2670" s="54" t="s">
        <v>664</v>
      </c>
      <c r="K2670" s="54" t="s">
        <v>127</v>
      </c>
      <c r="L2670" s="54" t="s">
        <v>12</v>
      </c>
      <c r="M2670" s="54" t="s">
        <v>10</v>
      </c>
      <c r="N2670" s="54" t="s">
        <v>11</v>
      </c>
      <c r="O2670" s="49" t="s">
        <v>815</v>
      </c>
      <c r="P2670" s="54" t="s">
        <v>3392</v>
      </c>
      <c r="Q2670" s="35" t="str">
        <f>MID(Tabla1[[#This Row],[Aplicación]],14,1)</f>
        <v>2</v>
      </c>
      <c r="R2670" s="35" t="s">
        <v>495</v>
      </c>
      <c r="S2670" s="35" t="str">
        <f>MID(Tabla1[[#This Row],[Aplicación]],6,2)</f>
        <v>02</v>
      </c>
      <c r="T2670" s="35" t="str">
        <f>VLOOKUP(Tabla1[[#This Row],[AREA]],Hoja1!A:B,2,FALSE)</f>
        <v>02. Planeamiento urbanístico y vivienda</v>
      </c>
      <c r="U2670" s="35" t="str">
        <f>MID(Tabla1[[#This Row],[Aplicación]],9,4)</f>
        <v>1511</v>
      </c>
      <c r="V2670" s="35" t="str">
        <f>VLOOKUP(Tabla1[[#This Row],[PROGRAMA]],Hoja1!A:B,2,FALSE)</f>
        <v>1511. Planficación y gestión del urbanismo</v>
      </c>
      <c r="W2670" s="35" t="str">
        <f>MID(Tabla1[[#This Row],[Aplicación]],14,2)</f>
        <v>22</v>
      </c>
      <c r="X2670" s="35" t="str">
        <f>MID(Tabla1[[#This Row],[Aplicación]],14,6)</f>
        <v>22706</v>
      </c>
    </row>
    <row r="2671" spans="1:24" x14ac:dyDescent="0.25">
      <c r="A2671" s="45">
        <v>220210014377</v>
      </c>
      <c r="B2671" s="46" t="s">
        <v>9</v>
      </c>
      <c r="C2671" s="47">
        <v>44295</v>
      </c>
      <c r="D2671" s="45">
        <v>22021003722</v>
      </c>
      <c r="E2671" s="46" t="s">
        <v>1183</v>
      </c>
      <c r="F2671" s="48">
        <v>526.35</v>
      </c>
      <c r="G2671" s="54" t="s">
        <v>4198</v>
      </c>
      <c r="H2671" s="54" t="s">
        <v>4199</v>
      </c>
      <c r="I2671" s="53" t="s">
        <v>125</v>
      </c>
      <c r="J2671" s="54" t="s">
        <v>127</v>
      </c>
      <c r="K2671" s="54" t="s">
        <v>127</v>
      </c>
      <c r="L2671" s="54" t="s">
        <v>15</v>
      </c>
      <c r="M2671" s="54" t="s">
        <v>10</v>
      </c>
      <c r="N2671" s="54" t="s">
        <v>11</v>
      </c>
      <c r="O2671" s="49" t="s">
        <v>815</v>
      </c>
      <c r="P2671" s="54" t="s">
        <v>3392</v>
      </c>
      <c r="Q2671" s="35" t="str">
        <f>MID(Tabla1[[#This Row],[Aplicación]],14,1)</f>
        <v>2</v>
      </c>
      <c r="R2671" s="35" t="s">
        <v>495</v>
      </c>
      <c r="S2671" s="35" t="str">
        <f>MID(Tabla1[[#This Row],[Aplicación]],6,2)</f>
        <v>11</v>
      </c>
      <c r="T2671" s="35" t="str">
        <f>VLOOKUP(Tabla1[[#This Row],[AREA]],Hoja1!A:B,2,FALSE)</f>
        <v>11. Salud pública y seguridad ciudadana</v>
      </c>
      <c r="U2671" s="35" t="str">
        <f>MID(Tabla1[[#This Row],[Aplicación]],9,4)</f>
        <v>1361</v>
      </c>
      <c r="V2671" s="35" t="str">
        <f>VLOOKUP(Tabla1[[#This Row],[PROGRAMA]],Hoja1!A:B,2,FALSE)</f>
        <v>1361. Prevención y extinción de incencios</v>
      </c>
      <c r="W2671" s="35" t="str">
        <f>MID(Tabla1[[#This Row],[Aplicación]],14,2)</f>
        <v>22</v>
      </c>
      <c r="X2671" s="35" t="str">
        <f>MID(Tabla1[[#This Row],[Aplicación]],14,6)</f>
        <v>22199</v>
      </c>
    </row>
    <row r="2672" spans="1:24" x14ac:dyDescent="0.25">
      <c r="A2672" s="45">
        <v>220210033091</v>
      </c>
      <c r="B2672" s="46" t="s">
        <v>9</v>
      </c>
      <c r="C2672" s="47">
        <v>44376</v>
      </c>
      <c r="D2672" s="45">
        <v>22021005032</v>
      </c>
      <c r="E2672" s="46" t="s">
        <v>3309</v>
      </c>
      <c r="F2672" s="48">
        <v>419.49</v>
      </c>
      <c r="G2672" s="54" t="s">
        <v>4200</v>
      </c>
      <c r="H2672" s="54" t="s">
        <v>4201</v>
      </c>
      <c r="I2672" s="53" t="s">
        <v>125</v>
      </c>
      <c r="J2672" s="54" t="s">
        <v>4202</v>
      </c>
      <c r="K2672" s="54" t="s">
        <v>146</v>
      </c>
      <c r="L2672" s="54" t="s">
        <v>12</v>
      </c>
      <c r="M2672" s="54" t="s">
        <v>13</v>
      </c>
      <c r="N2672" s="54" t="s">
        <v>14</v>
      </c>
      <c r="O2672" s="49" t="s">
        <v>814</v>
      </c>
      <c r="P2672" s="54" t="s">
        <v>3392</v>
      </c>
      <c r="Q2672" s="35" t="str">
        <f>MID(Tabla1[[#This Row],[Aplicación]],14,1)</f>
        <v>6</v>
      </c>
      <c r="R2672" s="35" t="s">
        <v>496</v>
      </c>
      <c r="S2672" s="35" t="str">
        <f>MID(Tabla1[[#This Row],[Aplicación]],6,2)</f>
        <v>06</v>
      </c>
      <c r="T2672" s="35" t="str">
        <f>VLOOKUP(Tabla1[[#This Row],[AREA]],Hoja1!A:B,2,FALSE)</f>
        <v>06. Educación, infancia, juventud e igualdad</v>
      </c>
      <c r="U2672" s="35" t="str">
        <f>MID(Tabla1[[#This Row],[Aplicación]],9,4)</f>
        <v>3261</v>
      </c>
      <c r="V2672" s="35" t="str">
        <f>VLOOKUP(Tabla1[[#This Row],[PROGRAMA]],Hoja1!A:B,2,FALSE)</f>
        <v>3261. Servicios complementarios de educación</v>
      </c>
      <c r="W2672" s="35" t="str">
        <f>MID(Tabla1[[#This Row],[Aplicación]],14,2)</f>
        <v>63</v>
      </c>
      <c r="X2672" s="35" t="str">
        <f>MID(Tabla1[[#This Row],[Aplicación]],14,6)</f>
        <v>632</v>
      </c>
    </row>
    <row r="2673" spans="1:24" x14ac:dyDescent="0.25">
      <c r="A2673" s="45">
        <v>220210031722</v>
      </c>
      <c r="B2673" s="46" t="s">
        <v>204</v>
      </c>
      <c r="C2673" s="47">
        <v>44369</v>
      </c>
      <c r="D2673" s="45">
        <v>22021001966</v>
      </c>
      <c r="E2673" s="46" t="s">
        <v>950</v>
      </c>
      <c r="F2673" s="48">
        <v>396.29</v>
      </c>
      <c r="G2673" s="54" t="s">
        <v>223</v>
      </c>
      <c r="H2673" s="54" t="s">
        <v>4203</v>
      </c>
      <c r="I2673" s="53" t="s">
        <v>205</v>
      </c>
      <c r="J2673" s="54" t="s">
        <v>127</v>
      </c>
      <c r="K2673" s="54" t="s">
        <v>127</v>
      </c>
      <c r="L2673" s="54" t="s">
        <v>15</v>
      </c>
      <c r="M2673" s="54" t="s">
        <v>13</v>
      </c>
      <c r="N2673" s="54" t="s">
        <v>14</v>
      </c>
      <c r="O2673" s="49" t="s">
        <v>814</v>
      </c>
      <c r="P2673" s="54" t="s">
        <v>3392</v>
      </c>
      <c r="Q2673" s="35" t="str">
        <f>MID(Tabla1[[#This Row],[Aplicación]],14,1)</f>
        <v>2</v>
      </c>
      <c r="R2673" s="35" t="s">
        <v>495</v>
      </c>
      <c r="S2673" s="35" t="str">
        <f>MID(Tabla1[[#This Row],[Aplicación]],6,2)</f>
        <v>11</v>
      </c>
      <c r="T2673" s="35" t="str">
        <f>VLOOKUP(Tabla1[[#This Row],[AREA]],Hoja1!A:B,2,FALSE)</f>
        <v>11. Salud pública y seguridad ciudadana</v>
      </c>
      <c r="U2673" s="35" t="str">
        <f>MID(Tabla1[[#This Row],[Aplicación]],9,4)</f>
        <v>1321</v>
      </c>
      <c r="V2673" s="35" t="str">
        <f>VLOOKUP(Tabla1[[#This Row],[PROGRAMA]],Hoja1!A:B,2,FALSE)</f>
        <v>1321. Policía municipal</v>
      </c>
      <c r="W2673" s="35" t="str">
        <f>MID(Tabla1[[#This Row],[Aplicación]],14,2)</f>
        <v>21</v>
      </c>
      <c r="X2673" s="35" t="str">
        <f>MID(Tabla1[[#This Row],[Aplicación]],14,6)</f>
        <v>213</v>
      </c>
    </row>
    <row r="2674" spans="1:24" x14ac:dyDescent="0.25">
      <c r="A2674" s="45">
        <v>220210018997</v>
      </c>
      <c r="B2674" s="46" t="s">
        <v>9</v>
      </c>
      <c r="C2674" s="47">
        <v>44316</v>
      </c>
      <c r="D2674" s="45">
        <v>22021004178</v>
      </c>
      <c r="E2674" s="46" t="s">
        <v>2387</v>
      </c>
      <c r="F2674" s="48">
        <v>520.89</v>
      </c>
      <c r="G2674" s="54" t="s">
        <v>119</v>
      </c>
      <c r="H2674" s="54" t="s">
        <v>4204</v>
      </c>
      <c r="I2674" s="53" t="s">
        <v>125</v>
      </c>
      <c r="J2674" s="54" t="s">
        <v>127</v>
      </c>
      <c r="K2674" s="54" t="s">
        <v>127</v>
      </c>
      <c r="L2674" s="54" t="s">
        <v>15</v>
      </c>
      <c r="M2674" s="54" t="s">
        <v>10</v>
      </c>
      <c r="N2674" s="54" t="s">
        <v>11</v>
      </c>
      <c r="O2674" s="49" t="s">
        <v>815</v>
      </c>
      <c r="P2674" s="54" t="s">
        <v>3392</v>
      </c>
      <c r="Q2674" s="35" t="str">
        <f>MID(Tabla1[[#This Row],[Aplicación]],14,1)</f>
        <v>2</v>
      </c>
      <c r="R2674" s="35" t="s">
        <v>495</v>
      </c>
      <c r="S2674" s="35" t="str">
        <f>MID(Tabla1[[#This Row],[Aplicación]],6,2)</f>
        <v>09</v>
      </c>
      <c r="T2674" s="35" t="str">
        <f>VLOOKUP(Tabla1[[#This Row],[AREA]],Hoja1!A:B,2,FALSE)</f>
        <v>09. Cultura y turismo</v>
      </c>
      <c r="U2674" s="35" t="str">
        <f>MID(Tabla1[[#This Row],[Aplicación]],9,4)</f>
        <v>3341</v>
      </c>
      <c r="V2674" s="35" t="str">
        <f>VLOOKUP(Tabla1[[#This Row],[PROGRAMA]],Hoja1!A:B,2,FALSE)</f>
        <v>3341. Coordinación de políticas culturales</v>
      </c>
      <c r="W2674" s="35" t="str">
        <f>MID(Tabla1[[#This Row],[Aplicación]],14,2)</f>
        <v>22</v>
      </c>
      <c r="X2674" s="35" t="str">
        <f>MID(Tabla1[[#This Row],[Aplicación]],14,6)</f>
        <v>22199</v>
      </c>
    </row>
    <row r="2675" spans="1:24" x14ac:dyDescent="0.25">
      <c r="A2675" s="45">
        <v>220210032817</v>
      </c>
      <c r="B2675" s="46" t="s">
        <v>9</v>
      </c>
      <c r="C2675" s="47">
        <v>44371</v>
      </c>
      <c r="D2675" s="45">
        <v>22021005035</v>
      </c>
      <c r="E2675" s="46" t="s">
        <v>1660</v>
      </c>
      <c r="F2675" s="48">
        <v>508.2</v>
      </c>
      <c r="G2675" s="54" t="s">
        <v>4205</v>
      </c>
      <c r="H2675" s="54" t="s">
        <v>4206</v>
      </c>
      <c r="I2675" s="53" t="s">
        <v>125</v>
      </c>
      <c r="J2675" s="54" t="s">
        <v>127</v>
      </c>
      <c r="K2675" s="54" t="s">
        <v>127</v>
      </c>
      <c r="L2675" s="54" t="s">
        <v>12</v>
      </c>
      <c r="M2675" s="54" t="s">
        <v>10</v>
      </c>
      <c r="N2675" s="54" t="s">
        <v>11</v>
      </c>
      <c r="O2675" s="49" t="s">
        <v>815</v>
      </c>
      <c r="P2675" s="54" t="s">
        <v>3392</v>
      </c>
      <c r="Q2675" s="35" t="str">
        <f>MID(Tabla1[[#This Row],[Aplicación]],14,1)</f>
        <v>2</v>
      </c>
      <c r="R2675" s="35" t="s">
        <v>495</v>
      </c>
      <c r="S2675" s="35" t="str">
        <f>MID(Tabla1[[#This Row],[Aplicación]],6,2)</f>
        <v>04</v>
      </c>
      <c r="T2675" s="35" t="str">
        <f>VLOOKUP(Tabla1[[#This Row],[AREA]],Hoja1!A:B,2,FALSE)</f>
        <v>04. Planificación y recursos</v>
      </c>
      <c r="U2675" s="35" t="str">
        <f>MID(Tabla1[[#This Row],[Aplicación]],9,4)</f>
        <v>9202</v>
      </c>
      <c r="V2675" s="35" t="str">
        <f>VLOOKUP(Tabla1[[#This Row],[PROGRAMA]],Hoja1!A:B,2,FALSE)</f>
        <v>9202. Gestión de recursos humanos</v>
      </c>
      <c r="W2675" s="35" t="str">
        <f>MID(Tabla1[[#This Row],[Aplicación]],14,2)</f>
        <v>22</v>
      </c>
      <c r="X2675" s="35" t="str">
        <f>MID(Tabla1[[#This Row],[Aplicación]],14,6)</f>
        <v>22607</v>
      </c>
    </row>
    <row r="2676" spans="1:24" x14ac:dyDescent="0.25">
      <c r="A2676" s="45">
        <v>220210026052</v>
      </c>
      <c r="B2676" s="46" t="s">
        <v>9</v>
      </c>
      <c r="C2676" s="47">
        <v>44347</v>
      </c>
      <c r="D2676" s="45">
        <v>22021004044</v>
      </c>
      <c r="E2676" s="46" t="s">
        <v>2720</v>
      </c>
      <c r="F2676" s="48">
        <v>505.03</v>
      </c>
      <c r="G2676" s="54" t="s">
        <v>3684</v>
      </c>
      <c r="H2676" s="54" t="s">
        <v>4207</v>
      </c>
      <c r="I2676" s="53" t="s">
        <v>125</v>
      </c>
      <c r="J2676" s="54" t="s">
        <v>127</v>
      </c>
      <c r="K2676" s="54" t="s">
        <v>127</v>
      </c>
      <c r="L2676" s="54" t="s">
        <v>15</v>
      </c>
      <c r="M2676" s="54" t="s">
        <v>10</v>
      </c>
      <c r="N2676" s="54" t="s">
        <v>11</v>
      </c>
      <c r="O2676" s="49" t="s">
        <v>815</v>
      </c>
      <c r="P2676" s="54" t="s">
        <v>3392</v>
      </c>
      <c r="Q2676" s="35" t="str">
        <f>MID(Tabla1[[#This Row],[Aplicación]],14,1)</f>
        <v>6</v>
      </c>
      <c r="R2676" s="35" t="s">
        <v>496</v>
      </c>
      <c r="S2676" s="35" t="str">
        <f>MID(Tabla1[[#This Row],[Aplicación]],6,2)</f>
        <v>04</v>
      </c>
      <c r="T2676" s="35" t="str">
        <f>VLOOKUP(Tabla1[[#This Row],[AREA]],Hoja1!A:B,2,FALSE)</f>
        <v>04. Planificación y recursos</v>
      </c>
      <c r="U2676" s="35" t="str">
        <f>MID(Tabla1[[#This Row],[Aplicación]],9,4)</f>
        <v>9209</v>
      </c>
      <c r="V2676" s="35" t="str">
        <f>VLOOKUP(Tabla1[[#This Row],[PROGRAMA]],Hoja1!A:B,2,FALSE)</f>
        <v>9209. Dirección del area de hacienda y función pública</v>
      </c>
      <c r="W2676" s="35" t="str">
        <f>MID(Tabla1[[#This Row],[Aplicación]],14,2)</f>
        <v>62</v>
      </c>
      <c r="X2676" s="35" t="str">
        <f>MID(Tabla1[[#This Row],[Aplicación]],14,6)</f>
        <v>625</v>
      </c>
    </row>
    <row r="2677" spans="1:24" x14ac:dyDescent="0.25">
      <c r="A2677" s="45">
        <v>220210014792</v>
      </c>
      <c r="B2677" s="46" t="s">
        <v>204</v>
      </c>
      <c r="C2677" s="47">
        <v>44299</v>
      </c>
      <c r="D2677" s="45">
        <v>22021001275</v>
      </c>
      <c r="E2677" s="46" t="s">
        <v>1334</v>
      </c>
      <c r="F2677" s="48">
        <v>93.53</v>
      </c>
      <c r="G2677" s="54" t="s">
        <v>3265</v>
      </c>
      <c r="H2677" s="54" t="s">
        <v>1461</v>
      </c>
      <c r="I2677" s="53" t="s">
        <v>205</v>
      </c>
      <c r="J2677" s="54" t="s">
        <v>127</v>
      </c>
      <c r="K2677" s="54" t="s">
        <v>127</v>
      </c>
      <c r="L2677" s="54" t="s">
        <v>15</v>
      </c>
      <c r="M2677" s="54" t="s">
        <v>13</v>
      </c>
      <c r="N2677" s="54" t="s">
        <v>14</v>
      </c>
      <c r="O2677" s="49" t="s">
        <v>814</v>
      </c>
      <c r="P2677" s="54" t="s">
        <v>3392</v>
      </c>
      <c r="Q2677" s="35" t="str">
        <f>MID(Tabla1[[#This Row],[Aplicación]],14,1)</f>
        <v>2</v>
      </c>
      <c r="R2677" s="35" t="s">
        <v>495</v>
      </c>
      <c r="S2677" s="35" t="str">
        <f>MID(Tabla1[[#This Row],[Aplicación]],6,2)</f>
        <v>07</v>
      </c>
      <c r="T2677" s="35" t="str">
        <f>VLOOKUP(Tabla1[[#This Row],[AREA]],Hoja1!A:B,2,FALSE)</f>
        <v>07. Medio ambiente y desarrollo sostenible</v>
      </c>
      <c r="U2677" s="35" t="str">
        <f>MID(Tabla1[[#This Row],[Aplicación]],9,4)</f>
        <v>1711</v>
      </c>
      <c r="V2677" s="35" t="str">
        <f>VLOOKUP(Tabla1[[#This Row],[PROGRAMA]],Hoja1!A:B,2,FALSE)</f>
        <v>1711. Parques y jardines</v>
      </c>
      <c r="W2677" s="35" t="str">
        <f>MID(Tabla1[[#This Row],[Aplicación]],14,2)</f>
        <v>22</v>
      </c>
      <c r="X2677" s="35" t="str">
        <f>MID(Tabla1[[#This Row],[Aplicación]],14,6)</f>
        <v>22199</v>
      </c>
    </row>
    <row r="2678" spans="1:24" x14ac:dyDescent="0.25">
      <c r="A2678" s="45">
        <v>220210016746</v>
      </c>
      <c r="B2678" s="46" t="s">
        <v>9</v>
      </c>
      <c r="C2678" s="47">
        <v>44308</v>
      </c>
      <c r="D2678" s="45">
        <v>22021000678</v>
      </c>
      <c r="E2678" s="46" t="s">
        <v>983</v>
      </c>
      <c r="F2678" s="48">
        <v>501.54</v>
      </c>
      <c r="G2678" s="54" t="s">
        <v>53</v>
      </c>
      <c r="H2678" s="54" t="s">
        <v>4208</v>
      </c>
      <c r="I2678" s="53" t="s">
        <v>125</v>
      </c>
      <c r="J2678" s="54" t="s">
        <v>127</v>
      </c>
      <c r="K2678" s="54" t="s">
        <v>127</v>
      </c>
      <c r="L2678" s="54" t="s">
        <v>12</v>
      </c>
      <c r="M2678" s="54" t="s">
        <v>10</v>
      </c>
      <c r="N2678" s="54" t="s">
        <v>11</v>
      </c>
      <c r="O2678" s="49" t="s">
        <v>815</v>
      </c>
      <c r="P2678" s="54" t="s">
        <v>3392</v>
      </c>
      <c r="Q2678" s="35" t="str">
        <f>MID(Tabla1[[#This Row],[Aplicación]],14,1)</f>
        <v>2</v>
      </c>
      <c r="R2678" s="35" t="s">
        <v>495</v>
      </c>
      <c r="S2678" s="35" t="str">
        <f>MID(Tabla1[[#This Row],[Aplicación]],6,2)</f>
        <v>10</v>
      </c>
      <c r="T2678" s="35" t="str">
        <f>VLOOKUP(Tabla1[[#This Row],[AREA]],Hoja1!A:B,2,FALSE)</f>
        <v>10. Servicios sociales y mediación comunitaria</v>
      </c>
      <c r="U2678" s="35" t="str">
        <f>MID(Tabla1[[#This Row],[Aplicación]],9,4)</f>
        <v>2412</v>
      </c>
      <c r="V2678" s="35" t="str">
        <f>VLOOKUP(Tabla1[[#This Row],[PROGRAMA]],Hoja1!A:B,2,FALSE)</f>
        <v>2412. Formación para el empleo</v>
      </c>
      <c r="W2678" s="35" t="str">
        <f>MID(Tabla1[[#This Row],[Aplicación]],14,2)</f>
        <v>21</v>
      </c>
      <c r="X2678" s="35" t="str">
        <f>MID(Tabla1[[#This Row],[Aplicación]],14,6)</f>
        <v>213</v>
      </c>
    </row>
    <row r="2679" spans="1:24" x14ac:dyDescent="0.25">
      <c r="A2679" s="45">
        <v>220210016945</v>
      </c>
      <c r="B2679" s="46" t="s">
        <v>9</v>
      </c>
      <c r="C2679" s="47">
        <v>44312</v>
      </c>
      <c r="D2679" s="45">
        <v>22021004035</v>
      </c>
      <c r="E2679" s="46" t="s">
        <v>1187</v>
      </c>
      <c r="F2679" s="48">
        <v>500</v>
      </c>
      <c r="G2679" s="54" t="s">
        <v>4209</v>
      </c>
      <c r="H2679" s="54" t="s">
        <v>4210</v>
      </c>
      <c r="I2679" s="53" t="s">
        <v>125</v>
      </c>
      <c r="J2679" s="54" t="s">
        <v>127</v>
      </c>
      <c r="K2679" s="54" t="s">
        <v>127</v>
      </c>
      <c r="L2679" s="54" t="s">
        <v>12</v>
      </c>
      <c r="M2679" s="54" t="s">
        <v>10</v>
      </c>
      <c r="N2679" s="54" t="s">
        <v>11</v>
      </c>
      <c r="O2679" s="49" t="s">
        <v>815</v>
      </c>
      <c r="P2679" s="54" t="s">
        <v>3392</v>
      </c>
      <c r="Q2679" s="35" t="str">
        <f>MID(Tabla1[[#This Row],[Aplicación]],14,1)</f>
        <v>2</v>
      </c>
      <c r="R2679" s="35" t="s">
        <v>495</v>
      </c>
      <c r="S2679" s="35" t="str">
        <f>MID(Tabla1[[#This Row],[Aplicación]],6,2)</f>
        <v>06</v>
      </c>
      <c r="T2679" s="35" t="str">
        <f>VLOOKUP(Tabla1[[#This Row],[AREA]],Hoja1!A:B,2,FALSE)</f>
        <v>06. Educación, infancia, juventud e igualdad</v>
      </c>
      <c r="U2679" s="35" t="str">
        <f>MID(Tabla1[[#This Row],[Aplicación]],9,4)</f>
        <v>2315</v>
      </c>
      <c r="V2679" s="35" t="str">
        <f>VLOOKUP(Tabla1[[#This Row],[PROGRAMA]],Hoja1!A:B,2,FALSE)</f>
        <v>2315. Políticas de Igualdad e infancia</v>
      </c>
      <c r="W2679" s="35" t="str">
        <f>MID(Tabla1[[#This Row],[Aplicación]],14,2)</f>
        <v>22</v>
      </c>
      <c r="X2679" s="35" t="str">
        <f>MID(Tabla1[[#This Row],[Aplicación]],14,6)</f>
        <v>22611</v>
      </c>
    </row>
    <row r="2680" spans="1:24" x14ac:dyDescent="0.25">
      <c r="A2680" s="45">
        <v>220210028832</v>
      </c>
      <c r="B2680" s="46" t="s">
        <v>9</v>
      </c>
      <c r="C2680" s="47">
        <v>44351</v>
      </c>
      <c r="D2680" s="45">
        <v>22021004775</v>
      </c>
      <c r="E2680" s="46" t="s">
        <v>1660</v>
      </c>
      <c r="F2680" s="48">
        <v>500</v>
      </c>
      <c r="G2680" s="54" t="s">
        <v>2968</v>
      </c>
      <c r="H2680" s="54" t="s">
        <v>4211</v>
      </c>
      <c r="I2680" s="53" t="s">
        <v>125</v>
      </c>
      <c r="J2680" s="54" t="s">
        <v>157</v>
      </c>
      <c r="K2680" s="54" t="s">
        <v>157</v>
      </c>
      <c r="L2680" s="54" t="s">
        <v>12</v>
      </c>
      <c r="M2680" s="54" t="s">
        <v>10</v>
      </c>
      <c r="N2680" s="54" t="s">
        <v>11</v>
      </c>
      <c r="O2680" s="49" t="s">
        <v>815</v>
      </c>
      <c r="P2680" s="54" t="s">
        <v>3392</v>
      </c>
      <c r="Q2680" s="35" t="str">
        <f>MID(Tabla1[[#This Row],[Aplicación]],14,1)</f>
        <v>2</v>
      </c>
      <c r="R2680" s="35" t="s">
        <v>495</v>
      </c>
      <c r="S2680" s="35" t="str">
        <f>MID(Tabla1[[#This Row],[Aplicación]],6,2)</f>
        <v>04</v>
      </c>
      <c r="T2680" s="35" t="str">
        <f>VLOOKUP(Tabla1[[#This Row],[AREA]],Hoja1!A:B,2,FALSE)</f>
        <v>04. Planificación y recursos</v>
      </c>
      <c r="U2680" s="35" t="str">
        <f>MID(Tabla1[[#This Row],[Aplicación]],9,4)</f>
        <v>9202</v>
      </c>
      <c r="V2680" s="35" t="str">
        <f>VLOOKUP(Tabla1[[#This Row],[PROGRAMA]],Hoja1!A:B,2,FALSE)</f>
        <v>9202. Gestión de recursos humanos</v>
      </c>
      <c r="W2680" s="35" t="str">
        <f>MID(Tabla1[[#This Row],[Aplicación]],14,2)</f>
        <v>22</v>
      </c>
      <c r="X2680" s="35" t="str">
        <f>MID(Tabla1[[#This Row],[Aplicación]],14,6)</f>
        <v>22607</v>
      </c>
    </row>
    <row r="2681" spans="1:24" x14ac:dyDescent="0.25">
      <c r="A2681" s="45">
        <v>220210018998</v>
      </c>
      <c r="B2681" s="46" t="s">
        <v>9</v>
      </c>
      <c r="C2681" s="47">
        <v>44316</v>
      </c>
      <c r="D2681" s="45">
        <v>22021004184</v>
      </c>
      <c r="E2681" s="46" t="s">
        <v>1336</v>
      </c>
      <c r="F2681" s="48">
        <v>500</v>
      </c>
      <c r="G2681" s="54" t="s">
        <v>294</v>
      </c>
      <c r="H2681" s="54" t="s">
        <v>4212</v>
      </c>
      <c r="I2681" s="53" t="s">
        <v>125</v>
      </c>
      <c r="J2681" s="54" t="s">
        <v>127</v>
      </c>
      <c r="K2681" s="54" t="s">
        <v>127</v>
      </c>
      <c r="L2681" s="54" t="s">
        <v>15</v>
      </c>
      <c r="M2681" s="54" t="s">
        <v>10</v>
      </c>
      <c r="N2681" s="54" t="s">
        <v>11</v>
      </c>
      <c r="O2681" s="49" t="s">
        <v>815</v>
      </c>
      <c r="P2681" s="54" t="s">
        <v>3392</v>
      </c>
      <c r="Q2681" s="35" t="str">
        <f>MID(Tabla1[[#This Row],[Aplicación]],14,1)</f>
        <v>2</v>
      </c>
      <c r="R2681" s="35" t="s">
        <v>495</v>
      </c>
      <c r="S2681" s="35" t="str">
        <f>MID(Tabla1[[#This Row],[Aplicación]],6,2)</f>
        <v>02</v>
      </c>
      <c r="T2681" s="35" t="str">
        <f>VLOOKUP(Tabla1[[#This Row],[AREA]],Hoja1!A:B,2,FALSE)</f>
        <v>02. Planeamiento urbanístico y vivienda</v>
      </c>
      <c r="U2681" s="35" t="str">
        <f>MID(Tabla1[[#This Row],[Aplicación]],9,4)</f>
        <v>9332</v>
      </c>
      <c r="V2681" s="35" t="str">
        <f>VLOOKUP(Tabla1[[#This Row],[PROGRAMA]],Hoja1!A:B,2,FALSE)</f>
        <v>9332. Mantenimiento de edificios e instalaciones municipales</v>
      </c>
      <c r="W2681" s="35" t="str">
        <f>MID(Tabla1[[#This Row],[Aplicación]],14,2)</f>
        <v>21</v>
      </c>
      <c r="X2681" s="35" t="str">
        <f>MID(Tabla1[[#This Row],[Aplicación]],14,6)</f>
        <v>212</v>
      </c>
    </row>
    <row r="2682" spans="1:24" x14ac:dyDescent="0.25">
      <c r="A2682" s="45">
        <v>220210014269</v>
      </c>
      <c r="B2682" s="46" t="s">
        <v>9</v>
      </c>
      <c r="C2682" s="47">
        <v>44294</v>
      </c>
      <c r="D2682" s="45">
        <v>22021003780</v>
      </c>
      <c r="E2682" s="46" t="s">
        <v>890</v>
      </c>
      <c r="F2682" s="48">
        <v>500</v>
      </c>
      <c r="G2682" s="54" t="s">
        <v>3836</v>
      </c>
      <c r="H2682" s="54" t="s">
        <v>4213</v>
      </c>
      <c r="I2682" s="53" t="s">
        <v>125</v>
      </c>
      <c r="J2682" s="54" t="s">
        <v>126</v>
      </c>
      <c r="K2682" s="54" t="s">
        <v>126</v>
      </c>
      <c r="L2682" s="54" t="s">
        <v>15</v>
      </c>
      <c r="M2682" s="54" t="s">
        <v>10</v>
      </c>
      <c r="N2682" s="54" t="s">
        <v>11</v>
      </c>
      <c r="O2682" s="49" t="s">
        <v>815</v>
      </c>
      <c r="P2682" s="54" t="s">
        <v>3392</v>
      </c>
      <c r="Q2682" s="35" t="str">
        <f>MID(Tabla1[[#This Row],[Aplicación]],14,1)</f>
        <v>2</v>
      </c>
      <c r="R2682" s="35" t="s">
        <v>495</v>
      </c>
      <c r="S2682" s="35" t="str">
        <f>MID(Tabla1[[#This Row],[Aplicación]],6,2)</f>
        <v>11</v>
      </c>
      <c r="T2682" s="35" t="str">
        <f>VLOOKUP(Tabla1[[#This Row],[AREA]],Hoja1!A:B,2,FALSE)</f>
        <v>11. Salud pública y seguridad ciudadana</v>
      </c>
      <c r="U2682" s="35" t="str">
        <f>MID(Tabla1[[#This Row],[Aplicación]],9,4)</f>
        <v>1621</v>
      </c>
      <c r="V2682" s="35" t="str">
        <f>VLOOKUP(Tabla1[[#This Row],[PROGRAMA]],Hoja1!A:B,2,FALSE)</f>
        <v>1621. Servicio de limpieza</v>
      </c>
      <c r="W2682" s="35" t="str">
        <f>MID(Tabla1[[#This Row],[Aplicación]],14,2)</f>
        <v>21</v>
      </c>
      <c r="X2682" s="35" t="str">
        <f>MID(Tabla1[[#This Row],[Aplicación]],14,6)</f>
        <v>214</v>
      </c>
    </row>
    <row r="2683" spans="1:24" x14ac:dyDescent="0.25">
      <c r="A2683" s="45">
        <v>220210032897</v>
      </c>
      <c r="B2683" s="46" t="s">
        <v>9</v>
      </c>
      <c r="C2683" s="47">
        <v>44372</v>
      </c>
      <c r="D2683" s="45">
        <v>22021001247</v>
      </c>
      <c r="E2683" s="46" t="s">
        <v>1382</v>
      </c>
      <c r="F2683" s="48">
        <v>500</v>
      </c>
      <c r="G2683" s="54" t="s">
        <v>116</v>
      </c>
      <c r="H2683" s="54" t="s">
        <v>4214</v>
      </c>
      <c r="I2683" s="53" t="s">
        <v>125</v>
      </c>
      <c r="J2683" s="54" t="s">
        <v>127</v>
      </c>
      <c r="K2683" s="54" t="s">
        <v>127</v>
      </c>
      <c r="L2683" s="54" t="s">
        <v>15</v>
      </c>
      <c r="M2683" s="54" t="s">
        <v>10</v>
      </c>
      <c r="N2683" s="54" t="s">
        <v>11</v>
      </c>
      <c r="O2683" s="49" t="s">
        <v>815</v>
      </c>
      <c r="P2683" s="54" t="s">
        <v>3392</v>
      </c>
      <c r="Q2683" s="35" t="str">
        <f>MID(Tabla1[[#This Row],[Aplicación]],14,1)</f>
        <v>2</v>
      </c>
      <c r="R2683" s="35" t="s">
        <v>495</v>
      </c>
      <c r="S2683" s="35" t="str">
        <f>MID(Tabla1[[#This Row],[Aplicación]],6,2)</f>
        <v>11</v>
      </c>
      <c r="T2683" s="35" t="str">
        <f>VLOOKUP(Tabla1[[#This Row],[AREA]],Hoja1!A:B,2,FALSE)</f>
        <v>11. Salud pública y seguridad ciudadana</v>
      </c>
      <c r="U2683" s="35" t="str">
        <f>MID(Tabla1[[#This Row],[Aplicación]],9,4)</f>
        <v>1631</v>
      </c>
      <c r="V2683" s="35" t="str">
        <f>VLOOKUP(Tabla1[[#This Row],[PROGRAMA]],Hoja1!A:B,2,FALSE)</f>
        <v>1631. Limpieza viaria</v>
      </c>
      <c r="W2683" s="35" t="str">
        <f>MID(Tabla1[[#This Row],[Aplicación]],14,2)</f>
        <v>21</v>
      </c>
      <c r="X2683" s="35" t="str">
        <f>MID(Tabla1[[#This Row],[Aplicación]],14,6)</f>
        <v>214</v>
      </c>
    </row>
    <row r="2684" spans="1:24" x14ac:dyDescent="0.25">
      <c r="A2684" s="45">
        <v>220210014679</v>
      </c>
      <c r="B2684" s="46" t="s">
        <v>9</v>
      </c>
      <c r="C2684" s="47">
        <v>44298</v>
      </c>
      <c r="D2684" s="45">
        <v>22021003819</v>
      </c>
      <c r="E2684" s="46" t="s">
        <v>3376</v>
      </c>
      <c r="F2684" s="48">
        <v>500</v>
      </c>
      <c r="G2684" s="54" t="s">
        <v>1576</v>
      </c>
      <c r="H2684" s="54" t="s">
        <v>4215</v>
      </c>
      <c r="I2684" s="53" t="s">
        <v>125</v>
      </c>
      <c r="J2684" s="54" t="s">
        <v>127</v>
      </c>
      <c r="K2684" s="54" t="s">
        <v>127</v>
      </c>
      <c r="L2684" s="54" t="s">
        <v>15</v>
      </c>
      <c r="M2684" s="54" t="s">
        <v>10</v>
      </c>
      <c r="N2684" s="54" t="s">
        <v>11</v>
      </c>
      <c r="O2684" s="49" t="s">
        <v>815</v>
      </c>
      <c r="P2684" s="54" t="s">
        <v>3392</v>
      </c>
      <c r="Q2684" s="35" t="str">
        <f>MID(Tabla1[[#This Row],[Aplicación]],14,1)</f>
        <v>2</v>
      </c>
      <c r="R2684" s="35" t="s">
        <v>495</v>
      </c>
      <c r="S2684" s="35" t="str">
        <f>MID(Tabla1[[#This Row],[Aplicación]],6,2)</f>
        <v>06</v>
      </c>
      <c r="T2684" s="35" t="str">
        <f>VLOOKUP(Tabla1[[#This Row],[AREA]],Hoja1!A:B,2,FALSE)</f>
        <v>06. Educación, infancia, juventud e igualdad</v>
      </c>
      <c r="U2684" s="35" t="str">
        <f>MID(Tabla1[[#This Row],[Aplicación]],9,4)</f>
        <v>3261</v>
      </c>
      <c r="V2684" s="35" t="str">
        <f>VLOOKUP(Tabla1[[#This Row],[PROGRAMA]],Hoja1!A:B,2,FALSE)</f>
        <v>3261. Servicios complementarios de educación</v>
      </c>
      <c r="W2684" s="35" t="str">
        <f>MID(Tabla1[[#This Row],[Aplicación]],14,2)</f>
        <v>22</v>
      </c>
      <c r="X2684" s="35" t="str">
        <f>MID(Tabla1[[#This Row],[Aplicación]],14,6)</f>
        <v>22699</v>
      </c>
    </row>
    <row r="2685" spans="1:24" x14ac:dyDescent="0.25">
      <c r="A2685" s="45">
        <v>220210014798</v>
      </c>
      <c r="B2685" s="46" t="s">
        <v>204</v>
      </c>
      <c r="C2685" s="47">
        <v>44299</v>
      </c>
      <c r="D2685" s="45">
        <v>22021001275</v>
      </c>
      <c r="E2685" s="46" t="s">
        <v>1334</v>
      </c>
      <c r="F2685" s="48">
        <v>603.9</v>
      </c>
      <c r="G2685" s="54" t="s">
        <v>574</v>
      </c>
      <c r="H2685" s="54" t="s">
        <v>3268</v>
      </c>
      <c r="I2685" s="53" t="s">
        <v>205</v>
      </c>
      <c r="J2685" s="54" t="s">
        <v>127</v>
      </c>
      <c r="K2685" s="54" t="s">
        <v>127</v>
      </c>
      <c r="L2685" s="54" t="s">
        <v>15</v>
      </c>
      <c r="M2685" s="54" t="s">
        <v>13</v>
      </c>
      <c r="N2685" s="54" t="s">
        <v>14</v>
      </c>
      <c r="O2685" s="49" t="s">
        <v>814</v>
      </c>
      <c r="P2685" s="54" t="s">
        <v>3392</v>
      </c>
      <c r="Q2685" s="35" t="str">
        <f>MID(Tabla1[[#This Row],[Aplicación]],14,1)</f>
        <v>2</v>
      </c>
      <c r="R2685" s="35" t="s">
        <v>495</v>
      </c>
      <c r="S2685" s="35" t="str">
        <f>MID(Tabla1[[#This Row],[Aplicación]],6,2)</f>
        <v>07</v>
      </c>
      <c r="T2685" s="35" t="str">
        <f>VLOOKUP(Tabla1[[#This Row],[AREA]],Hoja1!A:B,2,FALSE)</f>
        <v>07. Medio ambiente y desarrollo sostenible</v>
      </c>
      <c r="U2685" s="35" t="str">
        <f>MID(Tabla1[[#This Row],[Aplicación]],9,4)</f>
        <v>1711</v>
      </c>
      <c r="V2685" s="35" t="str">
        <f>VLOOKUP(Tabla1[[#This Row],[PROGRAMA]],Hoja1!A:B,2,FALSE)</f>
        <v>1711. Parques y jardines</v>
      </c>
      <c r="W2685" s="35" t="str">
        <f>MID(Tabla1[[#This Row],[Aplicación]],14,2)</f>
        <v>22</v>
      </c>
      <c r="X2685" s="35" t="str">
        <f>MID(Tabla1[[#This Row],[Aplicación]],14,6)</f>
        <v>22199</v>
      </c>
    </row>
    <row r="2686" spans="1:24" x14ac:dyDescent="0.25">
      <c r="A2686" s="45">
        <v>220210028273</v>
      </c>
      <c r="B2686" s="46" t="s">
        <v>9</v>
      </c>
      <c r="C2686" s="47">
        <v>44350</v>
      </c>
      <c r="D2686" s="45">
        <v>22021004672</v>
      </c>
      <c r="E2686" s="46" t="s">
        <v>823</v>
      </c>
      <c r="F2686" s="48">
        <v>500</v>
      </c>
      <c r="G2686" s="54" t="s">
        <v>4216</v>
      </c>
      <c r="H2686" s="54" t="s">
        <v>4217</v>
      </c>
      <c r="I2686" s="53" t="s">
        <v>125</v>
      </c>
      <c r="J2686" s="54" t="s">
        <v>127</v>
      </c>
      <c r="K2686" s="54" t="s">
        <v>127</v>
      </c>
      <c r="L2686" s="54" t="s">
        <v>12</v>
      </c>
      <c r="M2686" s="54" t="s">
        <v>10</v>
      </c>
      <c r="N2686" s="54" t="s">
        <v>11</v>
      </c>
      <c r="O2686" s="49" t="s">
        <v>815</v>
      </c>
      <c r="P2686" s="54" t="s">
        <v>3392</v>
      </c>
      <c r="Q2686" s="35" t="str">
        <f>MID(Tabla1[[#This Row],[Aplicación]],14,1)</f>
        <v>2</v>
      </c>
      <c r="R2686" s="35" t="s">
        <v>495</v>
      </c>
      <c r="S2686" s="35" t="str">
        <f>MID(Tabla1[[#This Row],[Aplicación]],6,2)</f>
        <v>03</v>
      </c>
      <c r="T2686" s="35" t="str">
        <f>VLOOKUP(Tabla1[[#This Row],[AREA]],Hoja1!A:B,2,FALSE)</f>
        <v>03. Participación ciudadana y deportes</v>
      </c>
      <c r="U2686" s="35" t="str">
        <f>MID(Tabla1[[#This Row],[Aplicación]],9,4)</f>
        <v>9241</v>
      </c>
      <c r="V2686" s="35" t="str">
        <f>VLOOKUP(Tabla1[[#This Row],[PROGRAMA]],Hoja1!A:B,2,FALSE)</f>
        <v>9241. Participación ciudadana</v>
      </c>
      <c r="W2686" s="35" t="str">
        <f>MID(Tabla1[[#This Row],[Aplicación]],14,2)</f>
        <v>22</v>
      </c>
      <c r="X2686" s="35" t="str">
        <f>MID(Tabla1[[#This Row],[Aplicación]],14,6)</f>
        <v>22609</v>
      </c>
    </row>
    <row r="2687" spans="1:24" x14ac:dyDescent="0.25">
      <c r="A2687" s="45">
        <v>220210016812</v>
      </c>
      <c r="B2687" s="46" t="s">
        <v>204</v>
      </c>
      <c r="C2687" s="47">
        <v>44308</v>
      </c>
      <c r="D2687" s="45">
        <v>22021001275</v>
      </c>
      <c r="E2687" s="46" t="s">
        <v>1334</v>
      </c>
      <c r="F2687" s="48">
        <v>77</v>
      </c>
      <c r="G2687" s="54" t="s">
        <v>574</v>
      </c>
      <c r="H2687" s="54" t="s">
        <v>3268</v>
      </c>
      <c r="I2687" s="53" t="s">
        <v>205</v>
      </c>
      <c r="J2687" s="54" t="s">
        <v>127</v>
      </c>
      <c r="K2687" s="54" t="s">
        <v>127</v>
      </c>
      <c r="L2687" s="54" t="s">
        <v>15</v>
      </c>
      <c r="M2687" s="54" t="s">
        <v>13</v>
      </c>
      <c r="N2687" s="54" t="s">
        <v>14</v>
      </c>
      <c r="O2687" s="49" t="s">
        <v>814</v>
      </c>
      <c r="P2687" s="54" t="s">
        <v>3392</v>
      </c>
      <c r="Q2687" s="35" t="str">
        <f>MID(Tabla1[[#This Row],[Aplicación]],14,1)</f>
        <v>2</v>
      </c>
      <c r="R2687" s="35" t="s">
        <v>495</v>
      </c>
      <c r="S2687" s="35" t="str">
        <f>MID(Tabla1[[#This Row],[Aplicación]],6,2)</f>
        <v>07</v>
      </c>
      <c r="T2687" s="35" t="str">
        <f>VLOOKUP(Tabla1[[#This Row],[AREA]],Hoja1!A:B,2,FALSE)</f>
        <v>07. Medio ambiente y desarrollo sostenible</v>
      </c>
      <c r="U2687" s="35" t="str">
        <f>MID(Tabla1[[#This Row],[Aplicación]],9,4)</f>
        <v>1711</v>
      </c>
      <c r="V2687" s="35" t="str">
        <f>VLOOKUP(Tabla1[[#This Row],[PROGRAMA]],Hoja1!A:B,2,FALSE)</f>
        <v>1711. Parques y jardines</v>
      </c>
      <c r="W2687" s="35" t="str">
        <f>MID(Tabla1[[#This Row],[Aplicación]],14,2)</f>
        <v>22</v>
      </c>
      <c r="X2687" s="35" t="str">
        <f>MID(Tabla1[[#This Row],[Aplicación]],14,6)</f>
        <v>22199</v>
      </c>
    </row>
    <row r="2688" spans="1:24" x14ac:dyDescent="0.25">
      <c r="A2688" s="45">
        <v>220210015585</v>
      </c>
      <c r="B2688" s="46" t="s">
        <v>9</v>
      </c>
      <c r="C2688" s="47">
        <v>44302</v>
      </c>
      <c r="D2688" s="45">
        <v>22021003901</v>
      </c>
      <c r="E2688" s="46" t="s">
        <v>1802</v>
      </c>
      <c r="F2688" s="48">
        <v>496.05</v>
      </c>
      <c r="G2688" s="54" t="s">
        <v>575</v>
      </c>
      <c r="H2688" s="54" t="s">
        <v>4218</v>
      </c>
      <c r="I2688" s="53" t="s">
        <v>125</v>
      </c>
      <c r="J2688" s="54" t="s">
        <v>127</v>
      </c>
      <c r="K2688" s="54" t="s">
        <v>127</v>
      </c>
      <c r="L2688" s="54" t="s">
        <v>31</v>
      </c>
      <c r="M2688" s="54" t="s">
        <v>10</v>
      </c>
      <c r="N2688" s="54" t="s">
        <v>16</v>
      </c>
      <c r="O2688" s="49" t="s">
        <v>815</v>
      </c>
      <c r="P2688" s="54" t="s">
        <v>3392</v>
      </c>
      <c r="Q2688" s="35" t="str">
        <f>MID(Tabla1[[#This Row],[Aplicación]],14,1)</f>
        <v>2</v>
      </c>
      <c r="R2688" s="35" t="s">
        <v>495</v>
      </c>
      <c r="S2688" s="35" t="str">
        <f>MID(Tabla1[[#This Row],[Aplicación]],6,2)</f>
        <v>06</v>
      </c>
      <c r="T2688" s="35" t="str">
        <f>VLOOKUP(Tabla1[[#This Row],[AREA]],Hoja1!A:B,2,FALSE)</f>
        <v>06. Educación, infancia, juventud e igualdad</v>
      </c>
      <c r="U2688" s="35" t="str">
        <f>MID(Tabla1[[#This Row],[Aplicación]],9,4)</f>
        <v>3232</v>
      </c>
      <c r="V2688" s="35" t="str">
        <f>VLOOKUP(Tabla1[[#This Row],[PROGRAMA]],Hoja1!A:B,2,FALSE)</f>
        <v>3232. Conservación y mantenimiento centros educación infantil y primaria</v>
      </c>
      <c r="W2688" s="35" t="str">
        <f>MID(Tabla1[[#This Row],[Aplicación]],14,2)</f>
        <v>22</v>
      </c>
      <c r="X2688" s="35" t="str">
        <f>MID(Tabla1[[#This Row],[Aplicación]],14,6)</f>
        <v>22799</v>
      </c>
    </row>
    <row r="2689" spans="1:24" x14ac:dyDescent="0.25">
      <c r="A2689" s="45">
        <v>220210031456</v>
      </c>
      <c r="B2689" s="46" t="s">
        <v>9</v>
      </c>
      <c r="C2689" s="47">
        <v>44368</v>
      </c>
      <c r="D2689" s="45">
        <v>22021004886</v>
      </c>
      <c r="E2689" s="46" t="s">
        <v>1218</v>
      </c>
      <c r="F2689" s="48">
        <v>495</v>
      </c>
      <c r="G2689" s="54" t="s">
        <v>78</v>
      </c>
      <c r="H2689" s="54" t="s">
        <v>4219</v>
      </c>
      <c r="I2689" s="53" t="s">
        <v>125</v>
      </c>
      <c r="J2689" s="54" t="s">
        <v>694</v>
      </c>
      <c r="K2689" s="54" t="s">
        <v>187</v>
      </c>
      <c r="L2689" s="54" t="s">
        <v>12</v>
      </c>
      <c r="M2689" s="54" t="s">
        <v>10</v>
      </c>
      <c r="N2689" s="54" t="s">
        <v>11</v>
      </c>
      <c r="O2689" s="49" t="s">
        <v>815</v>
      </c>
      <c r="P2689" s="54" t="s">
        <v>3392</v>
      </c>
      <c r="Q2689" s="35" t="str">
        <f>MID(Tabla1[[#This Row],[Aplicación]],14,1)</f>
        <v>2</v>
      </c>
      <c r="R2689" s="35" t="s">
        <v>495</v>
      </c>
      <c r="S2689" s="35" t="str">
        <f>MID(Tabla1[[#This Row],[Aplicación]],6,2)</f>
        <v>07</v>
      </c>
      <c r="T2689" s="35" t="str">
        <f>VLOOKUP(Tabla1[[#This Row],[AREA]],Hoja1!A:B,2,FALSE)</f>
        <v>07. Medio ambiente y desarrollo sostenible</v>
      </c>
      <c r="U2689" s="35" t="str">
        <f>MID(Tabla1[[#This Row],[Aplicación]],9,4)</f>
        <v>1701</v>
      </c>
      <c r="V2689" s="35" t="str">
        <f>VLOOKUP(Tabla1[[#This Row],[PROGRAMA]],Hoja1!A:B,2,FALSE)</f>
        <v>1701. Dirección del área de medio ambiente</v>
      </c>
      <c r="W2689" s="35" t="str">
        <f>MID(Tabla1[[#This Row],[Aplicación]],14,2)</f>
        <v>21</v>
      </c>
      <c r="X2689" s="35" t="str">
        <f>MID(Tabla1[[#This Row],[Aplicación]],14,6)</f>
        <v>213</v>
      </c>
    </row>
    <row r="2690" spans="1:24" x14ac:dyDescent="0.25">
      <c r="A2690" s="45">
        <v>220210019254</v>
      </c>
      <c r="B2690" s="46" t="s">
        <v>9</v>
      </c>
      <c r="C2690" s="47">
        <v>44320</v>
      </c>
      <c r="D2690" s="45">
        <v>22021004252</v>
      </c>
      <c r="E2690" s="46" t="s">
        <v>1215</v>
      </c>
      <c r="F2690" s="48">
        <v>807.45</v>
      </c>
      <c r="G2690" s="54" t="s">
        <v>223</v>
      </c>
      <c r="H2690" s="54" t="s">
        <v>4220</v>
      </c>
      <c r="I2690" s="53" t="s">
        <v>125</v>
      </c>
      <c r="J2690" s="54" t="s">
        <v>127</v>
      </c>
      <c r="K2690" s="54" t="s">
        <v>127</v>
      </c>
      <c r="L2690" s="54" t="s">
        <v>12</v>
      </c>
      <c r="M2690" s="54" t="s">
        <v>13</v>
      </c>
      <c r="N2690" s="54" t="s">
        <v>14</v>
      </c>
      <c r="O2690" s="49" t="s">
        <v>814</v>
      </c>
      <c r="P2690" s="54" t="s">
        <v>3392</v>
      </c>
      <c r="Q2690" s="35" t="str">
        <f>MID(Tabla1[[#This Row],[Aplicación]],14,1)</f>
        <v>2</v>
      </c>
      <c r="R2690" s="35" t="s">
        <v>495</v>
      </c>
      <c r="S2690" s="35" t="str">
        <f>MID(Tabla1[[#This Row],[Aplicación]],6,2)</f>
        <v>06</v>
      </c>
      <c r="T2690" s="35" t="str">
        <f>VLOOKUP(Tabla1[[#This Row],[AREA]],Hoja1!A:B,2,FALSE)</f>
        <v>06. Educación, infancia, juventud e igualdad</v>
      </c>
      <c r="U2690" s="35" t="str">
        <f>MID(Tabla1[[#This Row],[Aplicación]],9,4)</f>
        <v>2314</v>
      </c>
      <c r="V2690" s="35" t="str">
        <f>VLOOKUP(Tabla1[[#This Row],[PROGRAMA]],Hoja1!A:B,2,FALSE)</f>
        <v>2314. Centro de programas juveniles</v>
      </c>
      <c r="W2690" s="35" t="str">
        <f>MID(Tabla1[[#This Row],[Aplicación]],14,2)</f>
        <v>21</v>
      </c>
      <c r="X2690" s="35" t="str">
        <f>MID(Tabla1[[#This Row],[Aplicación]],14,6)</f>
        <v>213</v>
      </c>
    </row>
    <row r="2691" spans="1:24" x14ac:dyDescent="0.25">
      <c r="A2691" s="45">
        <v>220210015699</v>
      </c>
      <c r="B2691" s="46" t="s">
        <v>204</v>
      </c>
      <c r="C2691" s="47">
        <v>44302</v>
      </c>
      <c r="D2691" s="45">
        <v>22021002378</v>
      </c>
      <c r="E2691" s="46" t="s">
        <v>1228</v>
      </c>
      <c r="F2691" s="48">
        <v>778.67</v>
      </c>
      <c r="G2691" s="54" t="s">
        <v>239</v>
      </c>
      <c r="H2691" s="54" t="s">
        <v>4221</v>
      </c>
      <c r="I2691" s="53" t="s">
        <v>205</v>
      </c>
      <c r="J2691" s="54" t="s">
        <v>127</v>
      </c>
      <c r="K2691" s="54" t="s">
        <v>127</v>
      </c>
      <c r="L2691" s="54" t="s">
        <v>12</v>
      </c>
      <c r="M2691" s="54" t="s">
        <v>13</v>
      </c>
      <c r="N2691" s="54" t="s">
        <v>14</v>
      </c>
      <c r="O2691" s="49" t="s">
        <v>814</v>
      </c>
      <c r="P2691" s="54" t="s">
        <v>3392</v>
      </c>
      <c r="Q2691" s="35" t="str">
        <f>MID(Tabla1[[#This Row],[Aplicación]],14,1)</f>
        <v>2</v>
      </c>
      <c r="R2691" s="35" t="s">
        <v>495</v>
      </c>
      <c r="S2691" s="35" t="str">
        <f>MID(Tabla1[[#This Row],[Aplicación]],6,2)</f>
        <v>02</v>
      </c>
      <c r="T2691" s="35" t="str">
        <f>VLOOKUP(Tabla1[[#This Row],[AREA]],Hoja1!A:B,2,FALSE)</f>
        <v>02. Planeamiento urbanístico y vivienda</v>
      </c>
      <c r="U2691" s="35" t="str">
        <f>MID(Tabla1[[#This Row],[Aplicación]],9,4)</f>
        <v>9332</v>
      </c>
      <c r="V2691" s="35" t="str">
        <f>VLOOKUP(Tabla1[[#This Row],[PROGRAMA]],Hoja1!A:B,2,FALSE)</f>
        <v>9332. Mantenimiento de edificios e instalaciones municipales</v>
      </c>
      <c r="W2691" s="35" t="str">
        <f>MID(Tabla1[[#This Row],[Aplicación]],14,2)</f>
        <v>21</v>
      </c>
      <c r="X2691" s="35" t="str">
        <f>MID(Tabla1[[#This Row],[Aplicación]],14,6)</f>
        <v>214</v>
      </c>
    </row>
    <row r="2692" spans="1:24" x14ac:dyDescent="0.25">
      <c r="A2692" s="45">
        <v>220210018822</v>
      </c>
      <c r="B2692" s="46" t="s">
        <v>9</v>
      </c>
      <c r="C2692" s="47">
        <v>44314</v>
      </c>
      <c r="D2692" s="45">
        <v>22021004140</v>
      </c>
      <c r="E2692" s="46" t="s">
        <v>2315</v>
      </c>
      <c r="F2692" s="48">
        <v>487.63</v>
      </c>
      <c r="G2692" s="54" t="s">
        <v>4143</v>
      </c>
      <c r="H2692" s="54" t="s">
        <v>4222</v>
      </c>
      <c r="I2692" s="53" t="s">
        <v>125</v>
      </c>
      <c r="J2692" s="54" t="s">
        <v>613</v>
      </c>
      <c r="K2692" s="54" t="s">
        <v>127</v>
      </c>
      <c r="L2692" s="54" t="s">
        <v>12</v>
      </c>
      <c r="M2692" s="54" t="s">
        <v>10</v>
      </c>
      <c r="N2692" s="54" t="s">
        <v>11</v>
      </c>
      <c r="O2692" s="49" t="s">
        <v>815</v>
      </c>
      <c r="P2692" s="54" t="s">
        <v>3392</v>
      </c>
      <c r="Q2692" s="35" t="str">
        <f>MID(Tabla1[[#This Row],[Aplicación]],14,1)</f>
        <v>2</v>
      </c>
      <c r="R2692" s="35" t="s">
        <v>495</v>
      </c>
      <c r="S2692" s="35" t="str">
        <f>MID(Tabla1[[#This Row],[Aplicación]],6,2)</f>
        <v>01</v>
      </c>
      <c r="T2692" s="35" t="str">
        <f>VLOOKUP(Tabla1[[#This Row],[AREA]],Hoja1!A:B,2,FALSE)</f>
        <v>01. Alcaldía</v>
      </c>
      <c r="U2692" s="35" t="str">
        <f>MID(Tabla1[[#This Row],[Aplicación]],9,4)</f>
        <v>9203</v>
      </c>
      <c r="V2692" s="35" t="str">
        <f>VLOOKUP(Tabla1[[#This Row],[PROGRAMA]],Hoja1!A:B,2,FALSE)</f>
        <v>9203. Unidad de régimen interior</v>
      </c>
      <c r="W2692" s="35" t="str">
        <f>MID(Tabla1[[#This Row],[Aplicación]],14,2)</f>
        <v>21</v>
      </c>
      <c r="X2692" s="35" t="str">
        <f>MID(Tabla1[[#This Row],[Aplicación]],14,6)</f>
        <v>214</v>
      </c>
    </row>
    <row r="2693" spans="1:24" x14ac:dyDescent="0.25">
      <c r="A2693" s="45">
        <v>220210020822</v>
      </c>
      <c r="B2693" s="46" t="s">
        <v>204</v>
      </c>
      <c r="C2693" s="47">
        <v>44323</v>
      </c>
      <c r="D2693" s="45">
        <v>22021002057</v>
      </c>
      <c r="E2693" s="46" t="s">
        <v>1715</v>
      </c>
      <c r="F2693" s="48">
        <v>776.12</v>
      </c>
      <c r="G2693" s="54" t="s">
        <v>272</v>
      </c>
      <c r="H2693" s="54" t="s">
        <v>4223</v>
      </c>
      <c r="I2693" s="53" t="s">
        <v>205</v>
      </c>
      <c r="J2693" s="54" t="s">
        <v>127</v>
      </c>
      <c r="K2693" s="54" t="s">
        <v>127</v>
      </c>
      <c r="L2693" s="54" t="s">
        <v>15</v>
      </c>
      <c r="M2693" s="54" t="s">
        <v>13</v>
      </c>
      <c r="N2693" s="54" t="s">
        <v>14</v>
      </c>
      <c r="O2693" s="49" t="s">
        <v>814</v>
      </c>
      <c r="P2693" s="54" t="s">
        <v>3392</v>
      </c>
      <c r="Q2693" s="35" t="str">
        <f>MID(Tabla1[[#This Row],[Aplicación]],14,1)</f>
        <v>2</v>
      </c>
      <c r="R2693" s="35" t="s">
        <v>495</v>
      </c>
      <c r="S2693" s="35" t="str">
        <f>MID(Tabla1[[#This Row],[Aplicación]],6,2)</f>
        <v>11</v>
      </c>
      <c r="T2693" s="35" t="str">
        <f>VLOOKUP(Tabla1[[#This Row],[AREA]],Hoja1!A:B,2,FALSE)</f>
        <v>11. Salud pública y seguridad ciudadana</v>
      </c>
      <c r="U2693" s="35" t="str">
        <f>MID(Tabla1[[#This Row],[Aplicación]],9,4)</f>
        <v>1631</v>
      </c>
      <c r="V2693" s="35" t="str">
        <f>VLOOKUP(Tabla1[[#This Row],[PROGRAMA]],Hoja1!A:B,2,FALSE)</f>
        <v>1631. Limpieza viaria</v>
      </c>
      <c r="W2693" s="35" t="str">
        <f>MID(Tabla1[[#This Row],[Aplicación]],14,2)</f>
        <v>22</v>
      </c>
      <c r="X2693" s="35" t="str">
        <f>MID(Tabla1[[#This Row],[Aplicación]],14,6)</f>
        <v>22199</v>
      </c>
    </row>
    <row r="2694" spans="1:24" x14ac:dyDescent="0.25">
      <c r="A2694" s="45">
        <v>220210026153</v>
      </c>
      <c r="B2694" s="46" t="s">
        <v>9</v>
      </c>
      <c r="C2694" s="47">
        <v>44347</v>
      </c>
      <c r="D2694" s="45">
        <v>22021004582</v>
      </c>
      <c r="E2694" s="46" t="s">
        <v>823</v>
      </c>
      <c r="F2694" s="48">
        <v>484</v>
      </c>
      <c r="G2694" s="54" t="s">
        <v>2362</v>
      </c>
      <c r="H2694" s="54" t="s">
        <v>4224</v>
      </c>
      <c r="I2694" s="53" t="s">
        <v>125</v>
      </c>
      <c r="J2694" s="54" t="s">
        <v>127</v>
      </c>
      <c r="K2694" s="54" t="s">
        <v>127</v>
      </c>
      <c r="L2694" s="54" t="s">
        <v>12</v>
      </c>
      <c r="M2694" s="54" t="s">
        <v>10</v>
      </c>
      <c r="N2694" s="54" t="s">
        <v>11</v>
      </c>
      <c r="O2694" s="49" t="s">
        <v>815</v>
      </c>
      <c r="P2694" s="54" t="s">
        <v>3392</v>
      </c>
      <c r="Q2694" s="35" t="str">
        <f>MID(Tabla1[[#This Row],[Aplicación]],14,1)</f>
        <v>2</v>
      </c>
      <c r="R2694" s="35" t="s">
        <v>495</v>
      </c>
      <c r="S2694" s="35" t="str">
        <f>MID(Tabla1[[#This Row],[Aplicación]],6,2)</f>
        <v>03</v>
      </c>
      <c r="T2694" s="35" t="str">
        <f>VLOOKUP(Tabla1[[#This Row],[AREA]],Hoja1!A:B,2,FALSE)</f>
        <v>03. Participación ciudadana y deportes</v>
      </c>
      <c r="U2694" s="35" t="str">
        <f>MID(Tabla1[[#This Row],[Aplicación]],9,4)</f>
        <v>9241</v>
      </c>
      <c r="V2694" s="35" t="str">
        <f>VLOOKUP(Tabla1[[#This Row],[PROGRAMA]],Hoja1!A:B,2,FALSE)</f>
        <v>9241. Participación ciudadana</v>
      </c>
      <c r="W2694" s="35" t="str">
        <f>MID(Tabla1[[#This Row],[Aplicación]],14,2)</f>
        <v>22</v>
      </c>
      <c r="X2694" s="35" t="str">
        <f>MID(Tabla1[[#This Row],[Aplicación]],14,6)</f>
        <v>22609</v>
      </c>
    </row>
    <row r="2695" spans="1:24" x14ac:dyDescent="0.25">
      <c r="A2695" s="45">
        <v>220210016220</v>
      </c>
      <c r="B2695" s="46" t="s">
        <v>9</v>
      </c>
      <c r="C2695" s="47">
        <v>44306</v>
      </c>
      <c r="D2695" s="45">
        <v>22021003847</v>
      </c>
      <c r="E2695" s="46" t="s">
        <v>3377</v>
      </c>
      <c r="F2695" s="48">
        <v>484</v>
      </c>
      <c r="G2695" s="54" t="s">
        <v>101</v>
      </c>
      <c r="H2695" s="54" t="s">
        <v>4225</v>
      </c>
      <c r="I2695" s="53" t="s">
        <v>125</v>
      </c>
      <c r="J2695" s="54" t="s">
        <v>127</v>
      </c>
      <c r="K2695" s="54" t="s">
        <v>127</v>
      </c>
      <c r="L2695" s="54" t="s">
        <v>12</v>
      </c>
      <c r="M2695" s="54" t="s">
        <v>10</v>
      </c>
      <c r="N2695" s="54" t="s">
        <v>11</v>
      </c>
      <c r="O2695" s="49" t="s">
        <v>815</v>
      </c>
      <c r="P2695" s="54" t="s">
        <v>3392</v>
      </c>
      <c r="Q2695" s="35" t="str">
        <f>MID(Tabla1[[#This Row],[Aplicación]],14,1)</f>
        <v>2</v>
      </c>
      <c r="R2695" s="35" t="s">
        <v>495</v>
      </c>
      <c r="S2695" s="35" t="str">
        <f>MID(Tabla1[[#This Row],[Aplicación]],6,2)</f>
        <v>07</v>
      </c>
      <c r="T2695" s="35" t="str">
        <f>VLOOKUP(Tabla1[[#This Row],[AREA]],Hoja1!A:B,2,FALSE)</f>
        <v>07. Medio ambiente y desarrollo sostenible</v>
      </c>
      <c r="U2695" s="35" t="str">
        <f>MID(Tabla1[[#This Row],[Aplicación]],9,4)</f>
        <v>1701</v>
      </c>
      <c r="V2695" s="35" t="str">
        <f>VLOOKUP(Tabla1[[#This Row],[PROGRAMA]],Hoja1!A:B,2,FALSE)</f>
        <v>1701. Dirección del área de medio ambiente</v>
      </c>
      <c r="W2695" s="35" t="str">
        <f>MID(Tabla1[[#This Row],[Aplicación]],14,2)</f>
        <v>22</v>
      </c>
      <c r="X2695" s="35" t="str">
        <f>MID(Tabla1[[#This Row],[Aplicación]],14,6)</f>
        <v>22699</v>
      </c>
    </row>
    <row r="2696" spans="1:24" x14ac:dyDescent="0.25">
      <c r="A2696" s="45">
        <v>220210020443</v>
      </c>
      <c r="B2696" s="46" t="s">
        <v>9</v>
      </c>
      <c r="C2696" s="47">
        <v>44322</v>
      </c>
      <c r="D2696" s="45">
        <v>22021004291</v>
      </c>
      <c r="E2696" s="46" t="s">
        <v>823</v>
      </c>
      <c r="F2696" s="48">
        <v>484</v>
      </c>
      <c r="G2696" s="54" t="s">
        <v>4226</v>
      </c>
      <c r="H2696" s="54" t="s">
        <v>4227</v>
      </c>
      <c r="I2696" s="53" t="s">
        <v>125</v>
      </c>
      <c r="J2696" s="54" t="s">
        <v>127</v>
      </c>
      <c r="K2696" s="54" t="s">
        <v>127</v>
      </c>
      <c r="L2696" s="54" t="s">
        <v>12</v>
      </c>
      <c r="M2696" s="54" t="s">
        <v>10</v>
      </c>
      <c r="N2696" s="54" t="s">
        <v>11</v>
      </c>
      <c r="O2696" s="49" t="s">
        <v>815</v>
      </c>
      <c r="P2696" s="54" t="s">
        <v>3392</v>
      </c>
      <c r="Q2696" s="35" t="str">
        <f>MID(Tabla1[[#This Row],[Aplicación]],14,1)</f>
        <v>2</v>
      </c>
      <c r="R2696" s="35" t="s">
        <v>495</v>
      </c>
      <c r="S2696" s="35" t="str">
        <f>MID(Tabla1[[#This Row],[Aplicación]],6,2)</f>
        <v>03</v>
      </c>
      <c r="T2696" s="35" t="str">
        <f>VLOOKUP(Tabla1[[#This Row],[AREA]],Hoja1!A:B,2,FALSE)</f>
        <v>03. Participación ciudadana y deportes</v>
      </c>
      <c r="U2696" s="35" t="str">
        <f>MID(Tabla1[[#This Row],[Aplicación]],9,4)</f>
        <v>9241</v>
      </c>
      <c r="V2696" s="35" t="str">
        <f>VLOOKUP(Tabla1[[#This Row],[PROGRAMA]],Hoja1!A:B,2,FALSE)</f>
        <v>9241. Participación ciudadana</v>
      </c>
      <c r="W2696" s="35" t="str">
        <f>MID(Tabla1[[#This Row],[Aplicación]],14,2)</f>
        <v>22</v>
      </c>
      <c r="X2696" s="35" t="str">
        <f>MID(Tabla1[[#This Row],[Aplicación]],14,6)</f>
        <v>22609</v>
      </c>
    </row>
    <row r="2697" spans="1:24" x14ac:dyDescent="0.25">
      <c r="A2697" s="45">
        <v>220210031358</v>
      </c>
      <c r="B2697" s="46" t="s">
        <v>9</v>
      </c>
      <c r="C2697" s="47">
        <v>44365</v>
      </c>
      <c r="D2697" s="45">
        <v>22021004916</v>
      </c>
      <c r="E2697" s="46" t="s">
        <v>823</v>
      </c>
      <c r="F2697" s="48">
        <v>484</v>
      </c>
      <c r="G2697" s="54" t="s">
        <v>4228</v>
      </c>
      <c r="H2697" s="54" t="s">
        <v>4229</v>
      </c>
      <c r="I2697" s="53" t="s">
        <v>125</v>
      </c>
      <c r="J2697" s="54" t="s">
        <v>1663</v>
      </c>
      <c r="K2697" s="54" t="s">
        <v>127</v>
      </c>
      <c r="L2697" s="54" t="s">
        <v>12</v>
      </c>
      <c r="M2697" s="54" t="s">
        <v>10</v>
      </c>
      <c r="N2697" s="54" t="s">
        <v>11</v>
      </c>
      <c r="O2697" s="49" t="s">
        <v>815</v>
      </c>
      <c r="P2697" s="54" t="s">
        <v>3392</v>
      </c>
      <c r="Q2697" s="35" t="str">
        <f>MID(Tabla1[[#This Row],[Aplicación]],14,1)</f>
        <v>2</v>
      </c>
      <c r="R2697" s="35" t="s">
        <v>495</v>
      </c>
      <c r="S2697" s="35" t="str">
        <f>MID(Tabla1[[#This Row],[Aplicación]],6,2)</f>
        <v>03</v>
      </c>
      <c r="T2697" s="35" t="str">
        <f>VLOOKUP(Tabla1[[#This Row],[AREA]],Hoja1!A:B,2,FALSE)</f>
        <v>03. Participación ciudadana y deportes</v>
      </c>
      <c r="U2697" s="35" t="str">
        <f>MID(Tabla1[[#This Row],[Aplicación]],9,4)</f>
        <v>9241</v>
      </c>
      <c r="V2697" s="35" t="str">
        <f>VLOOKUP(Tabla1[[#This Row],[PROGRAMA]],Hoja1!A:B,2,FALSE)</f>
        <v>9241. Participación ciudadana</v>
      </c>
      <c r="W2697" s="35" t="str">
        <f>MID(Tabla1[[#This Row],[Aplicación]],14,2)</f>
        <v>22</v>
      </c>
      <c r="X2697" s="35" t="str">
        <f>MID(Tabla1[[#This Row],[Aplicación]],14,6)</f>
        <v>22609</v>
      </c>
    </row>
    <row r="2698" spans="1:24" x14ac:dyDescent="0.25">
      <c r="A2698" s="45">
        <v>220210023523</v>
      </c>
      <c r="B2698" s="46" t="s">
        <v>9</v>
      </c>
      <c r="C2698" s="47">
        <v>44336</v>
      </c>
      <c r="D2698" s="45">
        <v>22021004448</v>
      </c>
      <c r="E2698" s="46" t="s">
        <v>1380</v>
      </c>
      <c r="F2698" s="48">
        <v>476.74</v>
      </c>
      <c r="G2698" s="54" t="s">
        <v>3824</v>
      </c>
      <c r="H2698" s="54" t="s">
        <v>4230</v>
      </c>
      <c r="I2698" s="53" t="s">
        <v>125</v>
      </c>
      <c r="J2698" s="54" t="s">
        <v>127</v>
      </c>
      <c r="K2698" s="54" t="s">
        <v>127</v>
      </c>
      <c r="L2698" s="54" t="s">
        <v>15</v>
      </c>
      <c r="M2698" s="54" t="s">
        <v>10</v>
      </c>
      <c r="N2698" s="54" t="s">
        <v>11</v>
      </c>
      <c r="O2698" s="49" t="s">
        <v>815</v>
      </c>
      <c r="P2698" s="54" t="s">
        <v>3392</v>
      </c>
      <c r="Q2698" s="35" t="str">
        <f>MID(Tabla1[[#This Row],[Aplicación]],14,1)</f>
        <v>2</v>
      </c>
      <c r="R2698" s="35" t="s">
        <v>495</v>
      </c>
      <c r="S2698" s="35" t="str">
        <f>MID(Tabla1[[#This Row],[Aplicación]],6,2)</f>
        <v>03</v>
      </c>
      <c r="T2698" s="35" t="str">
        <f>VLOOKUP(Tabla1[[#This Row],[AREA]],Hoja1!A:B,2,FALSE)</f>
        <v>03. Participación ciudadana y deportes</v>
      </c>
      <c r="U2698" s="35" t="str">
        <f>MID(Tabla1[[#This Row],[Aplicación]],9,4)</f>
        <v>9241</v>
      </c>
      <c r="V2698" s="35" t="str">
        <f>VLOOKUP(Tabla1[[#This Row],[PROGRAMA]],Hoja1!A:B,2,FALSE)</f>
        <v>9241. Participación ciudadana</v>
      </c>
      <c r="W2698" s="35" t="str">
        <f>MID(Tabla1[[#This Row],[Aplicación]],14,2)</f>
        <v>22</v>
      </c>
      <c r="X2698" s="35" t="str">
        <f>MID(Tabla1[[#This Row],[Aplicación]],14,6)</f>
        <v>22699</v>
      </c>
    </row>
    <row r="2699" spans="1:24" x14ac:dyDescent="0.25">
      <c r="A2699" s="45">
        <v>220210028436</v>
      </c>
      <c r="B2699" s="46" t="s">
        <v>204</v>
      </c>
      <c r="C2699" s="47">
        <v>44350</v>
      </c>
      <c r="D2699" s="45">
        <v>22021004322</v>
      </c>
      <c r="E2699" s="46" t="s">
        <v>1724</v>
      </c>
      <c r="F2699" s="48">
        <v>280.5</v>
      </c>
      <c r="G2699" s="54" t="s">
        <v>574</v>
      </c>
      <c r="H2699" s="54" t="s">
        <v>3268</v>
      </c>
      <c r="I2699" s="53" t="s">
        <v>205</v>
      </c>
      <c r="J2699" s="54" t="s">
        <v>127</v>
      </c>
      <c r="K2699" s="54" t="s">
        <v>127</v>
      </c>
      <c r="L2699" s="54" t="s">
        <v>15</v>
      </c>
      <c r="M2699" s="54" t="s">
        <v>13</v>
      </c>
      <c r="N2699" s="54" t="s">
        <v>14</v>
      </c>
      <c r="O2699" s="49" t="s">
        <v>814</v>
      </c>
      <c r="P2699" s="54" t="s">
        <v>3392</v>
      </c>
      <c r="Q2699" s="35" t="str">
        <f>MID(Tabla1[[#This Row],[Aplicación]],14,1)</f>
        <v>6</v>
      </c>
      <c r="R2699" s="35" t="s">
        <v>496</v>
      </c>
      <c r="S2699" s="35" t="str">
        <f>MID(Tabla1[[#This Row],[Aplicación]],6,2)</f>
        <v>07</v>
      </c>
      <c r="T2699" s="35" t="str">
        <f>VLOOKUP(Tabla1[[#This Row],[AREA]],Hoja1!A:B,2,FALSE)</f>
        <v>07. Medio ambiente y desarrollo sostenible</v>
      </c>
      <c r="U2699" s="35" t="str">
        <f>MID(Tabla1[[#This Row],[Aplicación]],9,4)</f>
        <v>1711</v>
      </c>
      <c r="V2699" s="35" t="str">
        <f>VLOOKUP(Tabla1[[#This Row],[PROGRAMA]],Hoja1!A:B,2,FALSE)</f>
        <v>1711. Parques y jardines</v>
      </c>
      <c r="W2699" s="35" t="str">
        <f>MID(Tabla1[[#This Row],[Aplicación]],14,2)</f>
        <v>61</v>
      </c>
      <c r="X2699" s="35" t="str">
        <f>MID(Tabla1[[#This Row],[Aplicación]],14,6)</f>
        <v>619</v>
      </c>
    </row>
    <row r="2700" spans="1:24" x14ac:dyDescent="0.25">
      <c r="A2700" s="45">
        <v>220210031218</v>
      </c>
      <c r="B2700" s="46" t="s">
        <v>9</v>
      </c>
      <c r="C2700" s="47">
        <v>44362</v>
      </c>
      <c r="D2700" s="45">
        <v>22021004819</v>
      </c>
      <c r="E2700" s="46" t="s">
        <v>1954</v>
      </c>
      <c r="F2700" s="48">
        <v>474.7</v>
      </c>
      <c r="G2700" s="54" t="s">
        <v>4231</v>
      </c>
      <c r="H2700" s="54" t="s">
        <v>4232</v>
      </c>
      <c r="I2700" s="53" t="s">
        <v>125</v>
      </c>
      <c r="J2700" s="54" t="s">
        <v>127</v>
      </c>
      <c r="K2700" s="54" t="s">
        <v>127</v>
      </c>
      <c r="L2700" s="54" t="s">
        <v>12</v>
      </c>
      <c r="M2700" s="54" t="s">
        <v>10</v>
      </c>
      <c r="N2700" s="54" t="s">
        <v>11</v>
      </c>
      <c r="O2700" s="49" t="s">
        <v>815</v>
      </c>
      <c r="P2700" s="54" t="s">
        <v>3392</v>
      </c>
      <c r="Q2700" s="35" t="str">
        <f>MID(Tabla1[[#This Row],[Aplicación]],14,1)</f>
        <v>2</v>
      </c>
      <c r="R2700" s="35" t="s">
        <v>495</v>
      </c>
      <c r="S2700" s="35" t="str">
        <f>MID(Tabla1[[#This Row],[Aplicación]],6,2)</f>
        <v>10</v>
      </c>
      <c r="T2700" s="35" t="str">
        <f>VLOOKUP(Tabla1[[#This Row],[AREA]],Hoja1!A:B,2,FALSE)</f>
        <v>10. Servicios sociales y mediación comunitaria</v>
      </c>
      <c r="U2700" s="35" t="str">
        <f>MID(Tabla1[[#This Row],[Aplicación]],9,4)</f>
        <v>2412</v>
      </c>
      <c r="V2700" s="35" t="str">
        <f>VLOOKUP(Tabla1[[#This Row],[PROGRAMA]],Hoja1!A:B,2,FALSE)</f>
        <v>2412. Formación para el empleo</v>
      </c>
      <c r="W2700" s="35" t="str">
        <f>MID(Tabla1[[#This Row],[Aplicación]],14,2)</f>
        <v>22</v>
      </c>
      <c r="X2700" s="35" t="str">
        <f>MID(Tabla1[[#This Row],[Aplicación]],14,6)</f>
        <v>224</v>
      </c>
    </row>
    <row r="2701" spans="1:24" x14ac:dyDescent="0.25">
      <c r="A2701" s="45">
        <v>220210016055</v>
      </c>
      <c r="B2701" s="46" t="s">
        <v>204</v>
      </c>
      <c r="C2701" s="47">
        <v>44305</v>
      </c>
      <c r="D2701" s="45">
        <v>22021001968</v>
      </c>
      <c r="E2701" s="46" t="s">
        <v>1388</v>
      </c>
      <c r="F2701" s="48">
        <v>157.51</v>
      </c>
      <c r="G2701" s="54" t="s">
        <v>274</v>
      </c>
      <c r="H2701" s="54" t="s">
        <v>4233</v>
      </c>
      <c r="I2701" s="53" t="s">
        <v>205</v>
      </c>
      <c r="J2701" s="54" t="s">
        <v>127</v>
      </c>
      <c r="K2701" s="54" t="s">
        <v>127</v>
      </c>
      <c r="L2701" s="54" t="s">
        <v>15</v>
      </c>
      <c r="M2701" s="54" t="s">
        <v>13</v>
      </c>
      <c r="N2701" s="54" t="s">
        <v>14</v>
      </c>
      <c r="O2701" s="49" t="s">
        <v>814</v>
      </c>
      <c r="P2701" s="54" t="s">
        <v>3392</v>
      </c>
      <c r="Q2701" s="35" t="str">
        <f>MID(Tabla1[[#This Row],[Aplicación]],14,1)</f>
        <v>2</v>
      </c>
      <c r="R2701" s="35" t="s">
        <v>495</v>
      </c>
      <c r="S2701" s="35" t="str">
        <f>MID(Tabla1[[#This Row],[Aplicación]],6,2)</f>
        <v>11</v>
      </c>
      <c r="T2701" s="35" t="str">
        <f>VLOOKUP(Tabla1[[#This Row],[AREA]],Hoja1!A:B,2,FALSE)</f>
        <v>11. Salud pública y seguridad ciudadana</v>
      </c>
      <c r="U2701" s="35" t="str">
        <f>MID(Tabla1[[#This Row],[Aplicación]],9,4)</f>
        <v>1321</v>
      </c>
      <c r="V2701" s="35" t="str">
        <f>VLOOKUP(Tabla1[[#This Row],[PROGRAMA]],Hoja1!A:B,2,FALSE)</f>
        <v>1321. Policía municipal</v>
      </c>
      <c r="W2701" s="35" t="str">
        <f>MID(Tabla1[[#This Row],[Aplicación]],14,2)</f>
        <v>22</v>
      </c>
      <c r="X2701" s="35" t="str">
        <f>MID(Tabla1[[#This Row],[Aplicación]],14,6)</f>
        <v>22199</v>
      </c>
    </row>
    <row r="2702" spans="1:24" x14ac:dyDescent="0.25">
      <c r="A2702" s="45">
        <v>220210023561</v>
      </c>
      <c r="B2702" s="46" t="s">
        <v>9</v>
      </c>
      <c r="C2702" s="47">
        <v>44337</v>
      </c>
      <c r="D2702" s="45">
        <v>22021004478</v>
      </c>
      <c r="E2702" s="46" t="s">
        <v>1392</v>
      </c>
      <c r="F2702" s="48">
        <v>473.22</v>
      </c>
      <c r="G2702" s="54" t="s">
        <v>515</v>
      </c>
      <c r="H2702" s="54" t="s">
        <v>4234</v>
      </c>
      <c r="I2702" s="53" t="s">
        <v>125</v>
      </c>
      <c r="J2702" s="54" t="s">
        <v>659</v>
      </c>
      <c r="K2702" s="54" t="s">
        <v>127</v>
      </c>
      <c r="L2702" s="54" t="s">
        <v>12</v>
      </c>
      <c r="M2702" s="54" t="s">
        <v>10</v>
      </c>
      <c r="N2702" s="54" t="s">
        <v>11</v>
      </c>
      <c r="O2702" s="49" t="s">
        <v>815</v>
      </c>
      <c r="P2702" s="54" t="s">
        <v>3392</v>
      </c>
      <c r="Q2702" s="35" t="str">
        <f>MID(Tabla1[[#This Row],[Aplicación]],14,1)</f>
        <v>2</v>
      </c>
      <c r="R2702" s="35" t="s">
        <v>495</v>
      </c>
      <c r="S2702" s="35" t="str">
        <f>MID(Tabla1[[#This Row],[Aplicación]],6,2)</f>
        <v>08</v>
      </c>
      <c r="T2702" s="35" t="str">
        <f>VLOOKUP(Tabla1[[#This Row],[AREA]],Hoja1!A:B,2,FALSE)</f>
        <v>08. Movilidad y espacio urbano</v>
      </c>
      <c r="U2702" s="35" t="str">
        <f>MID(Tabla1[[#This Row],[Aplicación]],9,4)</f>
        <v>1532</v>
      </c>
      <c r="V2702" s="35" t="str">
        <f>VLOOKUP(Tabla1[[#This Row],[PROGRAMA]],Hoja1!A:B,2,FALSE)</f>
        <v>1532. Pavimentación vias públicas y otros servicios urbanísticos</v>
      </c>
      <c r="W2702" s="35" t="str">
        <f>MID(Tabla1[[#This Row],[Aplicación]],14,2)</f>
        <v>21</v>
      </c>
      <c r="X2702" s="35" t="str">
        <f>MID(Tabla1[[#This Row],[Aplicación]],14,6)</f>
        <v>214</v>
      </c>
    </row>
    <row r="2703" spans="1:24" x14ac:dyDescent="0.25">
      <c r="A2703" s="45">
        <v>220210021824</v>
      </c>
      <c r="B2703" s="46" t="s">
        <v>9</v>
      </c>
      <c r="C2703" s="47">
        <v>44327</v>
      </c>
      <c r="D2703" s="45">
        <v>22021004374</v>
      </c>
      <c r="E2703" s="46" t="s">
        <v>1177</v>
      </c>
      <c r="F2703" s="48">
        <v>471.9</v>
      </c>
      <c r="G2703" s="54" t="s">
        <v>81</v>
      </c>
      <c r="H2703" s="54" t="s">
        <v>4235</v>
      </c>
      <c r="I2703" s="53" t="s">
        <v>125</v>
      </c>
      <c r="J2703" s="54" t="s">
        <v>127</v>
      </c>
      <c r="K2703" s="54" t="s">
        <v>127</v>
      </c>
      <c r="L2703" s="54" t="s">
        <v>12</v>
      </c>
      <c r="M2703" s="54" t="s">
        <v>10</v>
      </c>
      <c r="N2703" s="54" t="s">
        <v>11</v>
      </c>
      <c r="O2703" s="49" t="s">
        <v>815</v>
      </c>
      <c r="P2703" s="54" t="s">
        <v>3392</v>
      </c>
      <c r="Q2703" s="35" t="str">
        <f>MID(Tabla1[[#This Row],[Aplicación]],14,1)</f>
        <v>2</v>
      </c>
      <c r="R2703" s="35" t="s">
        <v>495</v>
      </c>
      <c r="S2703" s="35" t="str">
        <f>MID(Tabla1[[#This Row],[Aplicación]],6,2)</f>
        <v>09</v>
      </c>
      <c r="T2703" s="35" t="str">
        <f>VLOOKUP(Tabla1[[#This Row],[AREA]],Hoja1!A:B,2,FALSE)</f>
        <v>09. Cultura y turismo</v>
      </c>
      <c r="U2703" s="35" t="str">
        <f>MID(Tabla1[[#This Row],[Aplicación]],9,4)</f>
        <v>3341</v>
      </c>
      <c r="V2703" s="35" t="str">
        <f>VLOOKUP(Tabla1[[#This Row],[PROGRAMA]],Hoja1!A:B,2,FALSE)</f>
        <v>3341. Coordinación de políticas culturales</v>
      </c>
      <c r="W2703" s="35" t="str">
        <f>MID(Tabla1[[#This Row],[Aplicación]],14,2)</f>
        <v>22</v>
      </c>
      <c r="X2703" s="35" t="str">
        <f>MID(Tabla1[[#This Row],[Aplicación]],14,6)</f>
        <v>22699</v>
      </c>
    </row>
    <row r="2704" spans="1:24" x14ac:dyDescent="0.25">
      <c r="A2704" s="45">
        <v>220210020616</v>
      </c>
      <c r="B2704" s="46" t="s">
        <v>9</v>
      </c>
      <c r="C2704" s="47">
        <v>44322</v>
      </c>
      <c r="D2704" s="45">
        <v>22021004169</v>
      </c>
      <c r="E2704" s="46" t="s">
        <v>3333</v>
      </c>
      <c r="F2704" s="48">
        <v>465</v>
      </c>
      <c r="G2704" s="54" t="s">
        <v>4236</v>
      </c>
      <c r="H2704" s="54" t="s">
        <v>4237</v>
      </c>
      <c r="I2704" s="53" t="s">
        <v>125</v>
      </c>
      <c r="J2704" s="54" t="s">
        <v>127</v>
      </c>
      <c r="K2704" s="54" t="s">
        <v>184</v>
      </c>
      <c r="L2704" s="54" t="s">
        <v>12</v>
      </c>
      <c r="M2704" s="54" t="s">
        <v>10</v>
      </c>
      <c r="N2704" s="54" t="s">
        <v>11</v>
      </c>
      <c r="O2704" s="49" t="s">
        <v>815</v>
      </c>
      <c r="P2704" s="54" t="s">
        <v>3392</v>
      </c>
      <c r="Q2704" s="35" t="str">
        <f>MID(Tabla1[[#This Row],[Aplicación]],14,1)</f>
        <v>2</v>
      </c>
      <c r="R2704" s="35" t="s">
        <v>495</v>
      </c>
      <c r="S2704" s="35" t="str">
        <f>MID(Tabla1[[#This Row],[Aplicación]],6,2)</f>
        <v>10</v>
      </c>
      <c r="T2704" s="35" t="str">
        <f>VLOOKUP(Tabla1[[#This Row],[AREA]],Hoja1!A:B,2,FALSE)</f>
        <v>10. Servicios sociales y mediación comunitaria</v>
      </c>
      <c r="U2704" s="35" t="str">
        <f>MID(Tabla1[[#This Row],[Aplicación]],9,4)</f>
        <v>2316</v>
      </c>
      <c r="V2704" s="35" t="str">
        <f>VLOOKUP(Tabla1[[#This Row],[PROGRAMA]],Hoja1!A:B,2,FALSE)</f>
        <v>2316. Mediación comunitaria</v>
      </c>
      <c r="W2704" s="35" t="str">
        <f>MID(Tabla1[[#This Row],[Aplicación]],14,2)</f>
        <v>22</v>
      </c>
      <c r="X2704" s="35" t="str">
        <f>MID(Tabla1[[#This Row],[Aplicación]],14,6)</f>
        <v>22616</v>
      </c>
    </row>
    <row r="2705" spans="1:24" x14ac:dyDescent="0.25">
      <c r="A2705" s="45">
        <v>220210016546</v>
      </c>
      <c r="B2705" s="46" t="s">
        <v>204</v>
      </c>
      <c r="C2705" s="47">
        <v>44306</v>
      </c>
      <c r="D2705" s="45">
        <v>22021003381</v>
      </c>
      <c r="E2705" s="46" t="s">
        <v>1183</v>
      </c>
      <c r="F2705" s="48">
        <v>156.9</v>
      </c>
      <c r="G2705" s="54" t="s">
        <v>274</v>
      </c>
      <c r="H2705" s="54" t="s">
        <v>4238</v>
      </c>
      <c r="I2705" s="53" t="s">
        <v>205</v>
      </c>
      <c r="J2705" s="54" t="s">
        <v>127</v>
      </c>
      <c r="K2705" s="54" t="s">
        <v>127</v>
      </c>
      <c r="L2705" s="54" t="s">
        <v>15</v>
      </c>
      <c r="M2705" s="54" t="s">
        <v>13</v>
      </c>
      <c r="N2705" s="54" t="s">
        <v>14</v>
      </c>
      <c r="O2705" s="49" t="s">
        <v>814</v>
      </c>
      <c r="P2705" s="54" t="s">
        <v>3392</v>
      </c>
      <c r="Q2705" s="35" t="str">
        <f>MID(Tabla1[[#This Row],[Aplicación]],14,1)</f>
        <v>2</v>
      </c>
      <c r="R2705" s="35" t="s">
        <v>495</v>
      </c>
      <c r="S2705" s="35" t="str">
        <f>MID(Tabla1[[#This Row],[Aplicación]],6,2)</f>
        <v>11</v>
      </c>
      <c r="T2705" s="35" t="str">
        <f>VLOOKUP(Tabla1[[#This Row],[AREA]],Hoja1!A:B,2,FALSE)</f>
        <v>11. Salud pública y seguridad ciudadana</v>
      </c>
      <c r="U2705" s="35" t="str">
        <f>MID(Tabla1[[#This Row],[Aplicación]],9,4)</f>
        <v>1361</v>
      </c>
      <c r="V2705" s="35" t="str">
        <f>VLOOKUP(Tabla1[[#This Row],[PROGRAMA]],Hoja1!A:B,2,FALSE)</f>
        <v>1361. Prevención y extinción de incencios</v>
      </c>
      <c r="W2705" s="35" t="str">
        <f>MID(Tabla1[[#This Row],[Aplicación]],14,2)</f>
        <v>22</v>
      </c>
      <c r="X2705" s="35" t="str">
        <f>MID(Tabla1[[#This Row],[Aplicación]],14,6)</f>
        <v>22199</v>
      </c>
    </row>
    <row r="2706" spans="1:24" x14ac:dyDescent="0.25">
      <c r="A2706" s="45">
        <v>220210028824</v>
      </c>
      <c r="B2706" s="46" t="s">
        <v>9</v>
      </c>
      <c r="C2706" s="47">
        <v>44351</v>
      </c>
      <c r="D2706" s="45">
        <v>22021004728</v>
      </c>
      <c r="E2706" s="46" t="s">
        <v>3365</v>
      </c>
      <c r="F2706" s="48">
        <v>459.8</v>
      </c>
      <c r="G2706" s="54" t="s">
        <v>4100</v>
      </c>
      <c r="H2706" s="54" t="s">
        <v>4239</v>
      </c>
      <c r="I2706" s="53" t="s">
        <v>125</v>
      </c>
      <c r="J2706" s="54" t="s">
        <v>127</v>
      </c>
      <c r="K2706" s="54" t="s">
        <v>127</v>
      </c>
      <c r="L2706" s="54" t="s">
        <v>15</v>
      </c>
      <c r="M2706" s="54" t="s">
        <v>10</v>
      </c>
      <c r="N2706" s="54" t="s">
        <v>11</v>
      </c>
      <c r="O2706" s="49" t="s">
        <v>815</v>
      </c>
      <c r="P2706" s="54" t="s">
        <v>3392</v>
      </c>
      <c r="Q2706" s="35" t="str">
        <f>MID(Tabla1[[#This Row],[Aplicación]],14,1)</f>
        <v>2</v>
      </c>
      <c r="R2706" s="35" t="s">
        <v>495</v>
      </c>
      <c r="S2706" s="35" t="str">
        <f>MID(Tabla1[[#This Row],[Aplicación]],6,2)</f>
        <v>01</v>
      </c>
      <c r="T2706" s="35" t="str">
        <f>VLOOKUP(Tabla1[[#This Row],[AREA]],Hoja1!A:B,2,FALSE)</f>
        <v>01. Alcaldía</v>
      </c>
      <c r="U2706" s="35" t="str">
        <f>MID(Tabla1[[#This Row],[Aplicación]],9,4)</f>
        <v>9205</v>
      </c>
      <c r="V2706" s="35" t="str">
        <f>VLOOKUP(Tabla1[[#This Row],[PROGRAMA]],Hoja1!A:B,2,FALSE)</f>
        <v>9205. Imprenta municipal</v>
      </c>
      <c r="W2706" s="35" t="str">
        <f>MID(Tabla1[[#This Row],[Aplicación]],14,2)</f>
        <v>22</v>
      </c>
      <c r="X2706" s="35" t="str">
        <f>MID(Tabla1[[#This Row],[Aplicación]],14,6)</f>
        <v>22104</v>
      </c>
    </row>
    <row r="2707" spans="1:24" x14ac:dyDescent="0.25">
      <c r="A2707" s="45">
        <v>220210019068</v>
      </c>
      <c r="B2707" s="46" t="s">
        <v>204</v>
      </c>
      <c r="C2707" s="47">
        <v>44319</v>
      </c>
      <c r="D2707" s="45">
        <v>22021001968</v>
      </c>
      <c r="E2707" s="46" t="s">
        <v>1388</v>
      </c>
      <c r="F2707" s="48">
        <v>84.7</v>
      </c>
      <c r="G2707" s="54" t="s">
        <v>274</v>
      </c>
      <c r="H2707" s="54" t="s">
        <v>4240</v>
      </c>
      <c r="I2707" s="53" t="s">
        <v>205</v>
      </c>
      <c r="J2707" s="54" t="s">
        <v>127</v>
      </c>
      <c r="K2707" s="54" t="s">
        <v>127</v>
      </c>
      <c r="L2707" s="54" t="s">
        <v>15</v>
      </c>
      <c r="M2707" s="54" t="s">
        <v>13</v>
      </c>
      <c r="N2707" s="54" t="s">
        <v>14</v>
      </c>
      <c r="O2707" s="49" t="s">
        <v>814</v>
      </c>
      <c r="P2707" s="54" t="s">
        <v>3392</v>
      </c>
      <c r="Q2707" s="35" t="str">
        <f>MID(Tabla1[[#This Row],[Aplicación]],14,1)</f>
        <v>2</v>
      </c>
      <c r="R2707" s="35" t="s">
        <v>495</v>
      </c>
      <c r="S2707" s="35" t="str">
        <f>MID(Tabla1[[#This Row],[Aplicación]],6,2)</f>
        <v>11</v>
      </c>
      <c r="T2707" s="35" t="str">
        <f>VLOOKUP(Tabla1[[#This Row],[AREA]],Hoja1!A:B,2,FALSE)</f>
        <v>11. Salud pública y seguridad ciudadana</v>
      </c>
      <c r="U2707" s="35" t="str">
        <f>MID(Tabla1[[#This Row],[Aplicación]],9,4)</f>
        <v>1321</v>
      </c>
      <c r="V2707" s="35" t="str">
        <f>VLOOKUP(Tabla1[[#This Row],[PROGRAMA]],Hoja1!A:B,2,FALSE)</f>
        <v>1321. Policía municipal</v>
      </c>
      <c r="W2707" s="35" t="str">
        <f>MID(Tabla1[[#This Row],[Aplicación]],14,2)</f>
        <v>22</v>
      </c>
      <c r="X2707" s="35" t="str">
        <f>MID(Tabla1[[#This Row],[Aplicación]],14,6)</f>
        <v>22199</v>
      </c>
    </row>
    <row r="2708" spans="1:24" x14ac:dyDescent="0.25">
      <c r="A2708" s="45">
        <v>220210024844</v>
      </c>
      <c r="B2708" s="46" t="s">
        <v>9</v>
      </c>
      <c r="C2708" s="47">
        <v>44341</v>
      </c>
      <c r="D2708" s="45">
        <v>22021004538</v>
      </c>
      <c r="E2708" s="46" t="s">
        <v>1220</v>
      </c>
      <c r="F2708" s="48">
        <v>457.92</v>
      </c>
      <c r="G2708" s="54" t="s">
        <v>46</v>
      </c>
      <c r="H2708" s="54" t="s">
        <v>4241</v>
      </c>
      <c r="I2708" s="53" t="s">
        <v>125</v>
      </c>
      <c r="J2708" s="54" t="s">
        <v>126</v>
      </c>
      <c r="K2708" s="54" t="s">
        <v>126</v>
      </c>
      <c r="L2708" s="54" t="s">
        <v>15</v>
      </c>
      <c r="M2708" s="54" t="s">
        <v>10</v>
      </c>
      <c r="N2708" s="54" t="s">
        <v>11</v>
      </c>
      <c r="O2708" s="49" t="s">
        <v>815</v>
      </c>
      <c r="P2708" s="54" t="s">
        <v>3392</v>
      </c>
      <c r="Q2708" s="35" t="str">
        <f>MID(Tabla1[[#This Row],[Aplicación]],14,1)</f>
        <v>2</v>
      </c>
      <c r="R2708" s="35" t="s">
        <v>495</v>
      </c>
      <c r="S2708" s="35" t="str">
        <f>MID(Tabla1[[#This Row],[Aplicación]],6,2)</f>
        <v>03</v>
      </c>
      <c r="T2708" s="35" t="str">
        <f>VLOOKUP(Tabla1[[#This Row],[AREA]],Hoja1!A:B,2,FALSE)</f>
        <v>03. Participación ciudadana y deportes</v>
      </c>
      <c r="U2708" s="35" t="str">
        <f>MID(Tabla1[[#This Row],[Aplicación]],9,4)</f>
        <v>9241</v>
      </c>
      <c r="V2708" s="35" t="str">
        <f>VLOOKUP(Tabla1[[#This Row],[PROGRAMA]],Hoja1!A:B,2,FALSE)</f>
        <v>9241. Participación ciudadana</v>
      </c>
      <c r="W2708" s="35" t="str">
        <f>MID(Tabla1[[#This Row],[Aplicación]],14,2)</f>
        <v>21</v>
      </c>
      <c r="X2708" s="35" t="str">
        <f>MID(Tabla1[[#This Row],[Aplicación]],14,6)</f>
        <v>213</v>
      </c>
    </row>
    <row r="2709" spans="1:24" x14ac:dyDescent="0.25">
      <c r="A2709" s="45">
        <v>220210030174</v>
      </c>
      <c r="B2709" s="46" t="s">
        <v>204</v>
      </c>
      <c r="C2709" s="47">
        <v>44356</v>
      </c>
      <c r="D2709" s="45">
        <v>22021002089</v>
      </c>
      <c r="E2709" s="46" t="s">
        <v>1220</v>
      </c>
      <c r="F2709" s="48">
        <v>749.01</v>
      </c>
      <c r="G2709" s="54" t="s">
        <v>102</v>
      </c>
      <c r="H2709" s="54" t="s">
        <v>4242</v>
      </c>
      <c r="I2709" s="53" t="s">
        <v>205</v>
      </c>
      <c r="J2709" s="54" t="s">
        <v>127</v>
      </c>
      <c r="K2709" s="54" t="s">
        <v>127</v>
      </c>
      <c r="L2709" s="54" t="s">
        <v>15</v>
      </c>
      <c r="M2709" s="54" t="s">
        <v>13</v>
      </c>
      <c r="N2709" s="54" t="s">
        <v>16</v>
      </c>
      <c r="O2709" s="49" t="s">
        <v>814</v>
      </c>
      <c r="P2709" s="54" t="s">
        <v>3392</v>
      </c>
      <c r="Q2709" s="35" t="str">
        <f>MID(Tabla1[[#This Row],[Aplicación]],14,1)</f>
        <v>2</v>
      </c>
      <c r="R2709" s="35" t="s">
        <v>495</v>
      </c>
      <c r="S2709" s="35" t="str">
        <f>MID(Tabla1[[#This Row],[Aplicación]],6,2)</f>
        <v>03</v>
      </c>
      <c r="T2709" s="35" t="str">
        <f>VLOOKUP(Tabla1[[#This Row],[AREA]],Hoja1!A:B,2,FALSE)</f>
        <v>03. Participación ciudadana y deportes</v>
      </c>
      <c r="U2709" s="35" t="str">
        <f>MID(Tabla1[[#This Row],[Aplicación]],9,4)</f>
        <v>9241</v>
      </c>
      <c r="V2709" s="35" t="str">
        <f>VLOOKUP(Tabla1[[#This Row],[PROGRAMA]],Hoja1!A:B,2,FALSE)</f>
        <v>9241. Participación ciudadana</v>
      </c>
      <c r="W2709" s="35" t="str">
        <f>MID(Tabla1[[#This Row],[Aplicación]],14,2)</f>
        <v>21</v>
      </c>
      <c r="X2709" s="35" t="str">
        <f>MID(Tabla1[[#This Row],[Aplicación]],14,6)</f>
        <v>213</v>
      </c>
    </row>
    <row r="2710" spans="1:24" x14ac:dyDescent="0.25">
      <c r="A2710" s="45">
        <v>220210022514</v>
      </c>
      <c r="B2710" s="46" t="s">
        <v>204</v>
      </c>
      <c r="C2710" s="47">
        <v>44330</v>
      </c>
      <c r="D2710" s="45">
        <v>22021001968</v>
      </c>
      <c r="E2710" s="46" t="s">
        <v>1388</v>
      </c>
      <c r="F2710" s="48">
        <v>142.11000000000001</v>
      </c>
      <c r="G2710" s="54" t="s">
        <v>274</v>
      </c>
      <c r="H2710" s="54" t="s">
        <v>4243</v>
      </c>
      <c r="I2710" s="53" t="s">
        <v>205</v>
      </c>
      <c r="J2710" s="54" t="s">
        <v>127</v>
      </c>
      <c r="K2710" s="54" t="s">
        <v>127</v>
      </c>
      <c r="L2710" s="54" t="s">
        <v>15</v>
      </c>
      <c r="M2710" s="54" t="s">
        <v>13</v>
      </c>
      <c r="N2710" s="54" t="s">
        <v>14</v>
      </c>
      <c r="O2710" s="49" t="s">
        <v>814</v>
      </c>
      <c r="P2710" s="54" t="s">
        <v>3392</v>
      </c>
      <c r="Q2710" s="35" t="str">
        <f>MID(Tabla1[[#This Row],[Aplicación]],14,1)</f>
        <v>2</v>
      </c>
      <c r="R2710" s="35" t="s">
        <v>495</v>
      </c>
      <c r="S2710" s="35" t="str">
        <f>MID(Tabla1[[#This Row],[Aplicación]],6,2)</f>
        <v>11</v>
      </c>
      <c r="T2710" s="35" t="str">
        <f>VLOOKUP(Tabla1[[#This Row],[AREA]],Hoja1!A:B,2,FALSE)</f>
        <v>11. Salud pública y seguridad ciudadana</v>
      </c>
      <c r="U2710" s="35" t="str">
        <f>MID(Tabla1[[#This Row],[Aplicación]],9,4)</f>
        <v>1321</v>
      </c>
      <c r="V2710" s="35" t="str">
        <f>VLOOKUP(Tabla1[[#This Row],[PROGRAMA]],Hoja1!A:B,2,FALSE)</f>
        <v>1321. Policía municipal</v>
      </c>
      <c r="W2710" s="35" t="str">
        <f>MID(Tabla1[[#This Row],[Aplicación]],14,2)</f>
        <v>22</v>
      </c>
      <c r="X2710" s="35" t="str">
        <f>MID(Tabla1[[#This Row],[Aplicación]],14,6)</f>
        <v>22199</v>
      </c>
    </row>
    <row r="2711" spans="1:24" x14ac:dyDescent="0.25">
      <c r="A2711" s="45">
        <v>220210024744</v>
      </c>
      <c r="B2711" s="46" t="s">
        <v>204</v>
      </c>
      <c r="C2711" s="47">
        <v>44340</v>
      </c>
      <c r="D2711" s="45">
        <v>22021001275</v>
      </c>
      <c r="E2711" s="46" t="s">
        <v>1334</v>
      </c>
      <c r="F2711" s="48">
        <v>13.85</v>
      </c>
      <c r="G2711" s="54" t="s">
        <v>274</v>
      </c>
      <c r="H2711" s="54" t="s">
        <v>1461</v>
      </c>
      <c r="I2711" s="53" t="s">
        <v>205</v>
      </c>
      <c r="J2711" s="54" t="s">
        <v>127</v>
      </c>
      <c r="K2711" s="54" t="s">
        <v>127</v>
      </c>
      <c r="L2711" s="54" t="s">
        <v>15</v>
      </c>
      <c r="M2711" s="54" t="s">
        <v>13</v>
      </c>
      <c r="N2711" s="54" t="s">
        <v>14</v>
      </c>
      <c r="O2711" s="49" t="s">
        <v>814</v>
      </c>
      <c r="P2711" s="54" t="s">
        <v>3392</v>
      </c>
      <c r="Q2711" s="35" t="str">
        <f>MID(Tabla1[[#This Row],[Aplicación]],14,1)</f>
        <v>2</v>
      </c>
      <c r="R2711" s="35" t="s">
        <v>495</v>
      </c>
      <c r="S2711" s="35" t="str">
        <f>MID(Tabla1[[#This Row],[Aplicación]],6,2)</f>
        <v>07</v>
      </c>
      <c r="T2711" s="35" t="str">
        <f>VLOOKUP(Tabla1[[#This Row],[AREA]],Hoja1!A:B,2,FALSE)</f>
        <v>07. Medio ambiente y desarrollo sostenible</v>
      </c>
      <c r="U2711" s="35" t="str">
        <f>MID(Tabla1[[#This Row],[Aplicación]],9,4)</f>
        <v>1711</v>
      </c>
      <c r="V2711" s="35" t="str">
        <f>VLOOKUP(Tabla1[[#This Row],[PROGRAMA]],Hoja1!A:B,2,FALSE)</f>
        <v>1711. Parques y jardines</v>
      </c>
      <c r="W2711" s="35" t="str">
        <f>MID(Tabla1[[#This Row],[Aplicación]],14,2)</f>
        <v>22</v>
      </c>
      <c r="X2711" s="35" t="str">
        <f>MID(Tabla1[[#This Row],[Aplicación]],14,6)</f>
        <v>22199</v>
      </c>
    </row>
    <row r="2712" spans="1:24" x14ac:dyDescent="0.25">
      <c r="A2712" s="45">
        <v>220210031464</v>
      </c>
      <c r="B2712" s="46" t="s">
        <v>9</v>
      </c>
      <c r="C2712" s="47">
        <v>44368</v>
      </c>
      <c r="D2712" s="45">
        <v>22021004960</v>
      </c>
      <c r="E2712" s="46" t="s">
        <v>1340</v>
      </c>
      <c r="F2712" s="48">
        <v>453.81</v>
      </c>
      <c r="G2712" s="54" t="s">
        <v>283</v>
      </c>
      <c r="H2712" s="54" t="s">
        <v>4244</v>
      </c>
      <c r="I2712" s="53" t="s">
        <v>125</v>
      </c>
      <c r="J2712" s="54" t="s">
        <v>127</v>
      </c>
      <c r="K2712" s="54" t="s">
        <v>127</v>
      </c>
      <c r="L2712" s="54" t="s">
        <v>15</v>
      </c>
      <c r="M2712" s="54" t="s">
        <v>10</v>
      </c>
      <c r="N2712" s="54" t="s">
        <v>11</v>
      </c>
      <c r="O2712" s="49" t="s">
        <v>815</v>
      </c>
      <c r="P2712" s="54" t="s">
        <v>3392</v>
      </c>
      <c r="Q2712" s="35" t="str">
        <f>MID(Tabla1[[#This Row],[Aplicación]],14,1)</f>
        <v>2</v>
      </c>
      <c r="R2712" s="35" t="s">
        <v>495</v>
      </c>
      <c r="S2712" s="35" t="str">
        <f>MID(Tabla1[[#This Row],[Aplicación]],6,2)</f>
        <v>11</v>
      </c>
      <c r="T2712" s="35" t="str">
        <f>VLOOKUP(Tabla1[[#This Row],[AREA]],Hoja1!A:B,2,FALSE)</f>
        <v>11. Salud pública y seguridad ciudadana</v>
      </c>
      <c r="U2712" s="35" t="str">
        <f>MID(Tabla1[[#This Row],[Aplicación]],9,4)</f>
        <v>1621</v>
      </c>
      <c r="V2712" s="35" t="str">
        <f>VLOOKUP(Tabla1[[#This Row],[PROGRAMA]],Hoja1!A:B,2,FALSE)</f>
        <v>1621. Servicio de limpieza</v>
      </c>
      <c r="W2712" s="35" t="str">
        <f>MID(Tabla1[[#This Row],[Aplicación]],14,2)</f>
        <v>22</v>
      </c>
      <c r="X2712" s="35" t="str">
        <f>MID(Tabla1[[#This Row],[Aplicación]],14,6)</f>
        <v>22199</v>
      </c>
    </row>
    <row r="2713" spans="1:24" x14ac:dyDescent="0.25">
      <c r="A2713" s="45">
        <v>220210033122</v>
      </c>
      <c r="B2713" s="46" t="s">
        <v>9</v>
      </c>
      <c r="C2713" s="47">
        <v>44377</v>
      </c>
      <c r="D2713" s="45">
        <v>22021005074</v>
      </c>
      <c r="E2713" s="46" t="s">
        <v>1954</v>
      </c>
      <c r="F2713" s="48">
        <v>450.89</v>
      </c>
      <c r="G2713" s="54" t="s">
        <v>4231</v>
      </c>
      <c r="H2713" s="54" t="s">
        <v>4245</v>
      </c>
      <c r="I2713" s="53" t="s">
        <v>125</v>
      </c>
      <c r="J2713" s="54" t="s">
        <v>127</v>
      </c>
      <c r="K2713" s="54" t="s">
        <v>127</v>
      </c>
      <c r="L2713" s="54" t="s">
        <v>12</v>
      </c>
      <c r="M2713" s="54" t="s">
        <v>10</v>
      </c>
      <c r="N2713" s="54" t="s">
        <v>11</v>
      </c>
      <c r="O2713" s="49" t="s">
        <v>815</v>
      </c>
      <c r="P2713" s="54" t="s">
        <v>3392</v>
      </c>
      <c r="Q2713" s="35" t="str">
        <f>MID(Tabla1[[#This Row],[Aplicación]],14,1)</f>
        <v>2</v>
      </c>
      <c r="R2713" s="35" t="s">
        <v>495</v>
      </c>
      <c r="S2713" s="35" t="str">
        <f>MID(Tabla1[[#This Row],[Aplicación]],6,2)</f>
        <v>10</v>
      </c>
      <c r="T2713" s="35" t="str">
        <f>VLOOKUP(Tabla1[[#This Row],[AREA]],Hoja1!A:B,2,FALSE)</f>
        <v>10. Servicios sociales y mediación comunitaria</v>
      </c>
      <c r="U2713" s="35" t="str">
        <f>MID(Tabla1[[#This Row],[Aplicación]],9,4)</f>
        <v>2412</v>
      </c>
      <c r="V2713" s="35" t="str">
        <f>VLOOKUP(Tabla1[[#This Row],[PROGRAMA]],Hoja1!A:B,2,FALSE)</f>
        <v>2412. Formación para el empleo</v>
      </c>
      <c r="W2713" s="35" t="str">
        <f>MID(Tabla1[[#This Row],[Aplicación]],14,2)</f>
        <v>22</v>
      </c>
      <c r="X2713" s="35" t="str">
        <f>MID(Tabla1[[#This Row],[Aplicación]],14,6)</f>
        <v>224</v>
      </c>
    </row>
    <row r="2714" spans="1:24" x14ac:dyDescent="0.25">
      <c r="A2714" s="45">
        <v>220210027641</v>
      </c>
      <c r="B2714" s="46" t="s">
        <v>204</v>
      </c>
      <c r="C2714" s="47">
        <v>44348</v>
      </c>
      <c r="D2714" s="45">
        <v>22021001038</v>
      </c>
      <c r="E2714" s="46" t="s">
        <v>844</v>
      </c>
      <c r="F2714" s="48">
        <v>720.19</v>
      </c>
      <c r="G2714" s="54" t="s">
        <v>102</v>
      </c>
      <c r="H2714" s="54" t="s">
        <v>4246</v>
      </c>
      <c r="I2714" s="53" t="s">
        <v>205</v>
      </c>
      <c r="J2714" s="54" t="s">
        <v>127</v>
      </c>
      <c r="K2714" s="54" t="s">
        <v>127</v>
      </c>
      <c r="L2714" s="54" t="s">
        <v>15</v>
      </c>
      <c r="M2714" s="54" t="s">
        <v>13</v>
      </c>
      <c r="N2714" s="54" t="s">
        <v>14</v>
      </c>
      <c r="O2714" s="49" t="s">
        <v>814</v>
      </c>
      <c r="P2714" s="54" t="s">
        <v>3392</v>
      </c>
      <c r="Q2714" s="35" t="str">
        <f>MID(Tabla1[[#This Row],[Aplicación]],14,1)</f>
        <v>2</v>
      </c>
      <c r="R2714" s="35" t="s">
        <v>495</v>
      </c>
      <c r="S2714" s="35" t="str">
        <f>MID(Tabla1[[#This Row],[Aplicación]],6,2)</f>
        <v>10</v>
      </c>
      <c r="T2714" s="35" t="str">
        <f>VLOOKUP(Tabla1[[#This Row],[AREA]],Hoja1!A:B,2,FALSE)</f>
        <v>10. Servicios sociales y mediación comunitaria</v>
      </c>
      <c r="U2714" s="35" t="str">
        <f>MID(Tabla1[[#This Row],[Aplicación]],9,4)</f>
        <v>2312</v>
      </c>
      <c r="V2714" s="35" t="str">
        <f>VLOOKUP(Tabla1[[#This Row],[PROGRAMA]],Hoja1!A:B,2,FALSE)</f>
        <v>2312. Iniciativas sociales</v>
      </c>
      <c r="W2714" s="35" t="str">
        <f>MID(Tabla1[[#This Row],[Aplicación]],14,2)</f>
        <v>21</v>
      </c>
      <c r="X2714" s="35" t="str">
        <f>MID(Tabla1[[#This Row],[Aplicación]],14,6)</f>
        <v>212</v>
      </c>
    </row>
    <row r="2715" spans="1:24" x14ac:dyDescent="0.25">
      <c r="A2715" s="45">
        <v>220210030050</v>
      </c>
      <c r="B2715" s="46" t="s">
        <v>204</v>
      </c>
      <c r="C2715" s="47">
        <v>44356</v>
      </c>
      <c r="D2715" s="45">
        <v>22021002055</v>
      </c>
      <c r="E2715" s="46" t="s">
        <v>1613</v>
      </c>
      <c r="F2715" s="48">
        <v>718.29</v>
      </c>
      <c r="G2715" s="54" t="s">
        <v>270</v>
      </c>
      <c r="H2715" s="54" t="s">
        <v>4247</v>
      </c>
      <c r="I2715" s="53" t="s">
        <v>205</v>
      </c>
      <c r="J2715" s="54" t="s">
        <v>127</v>
      </c>
      <c r="K2715" s="54" t="s">
        <v>127</v>
      </c>
      <c r="L2715" s="54" t="s">
        <v>15</v>
      </c>
      <c r="M2715" s="54" t="s">
        <v>13</v>
      </c>
      <c r="N2715" s="54" t="s">
        <v>14</v>
      </c>
      <c r="O2715" s="49" t="s">
        <v>814</v>
      </c>
      <c r="P2715" s="54" t="s">
        <v>3392</v>
      </c>
      <c r="Q2715" s="35" t="str">
        <f>MID(Tabla1[[#This Row],[Aplicación]],14,1)</f>
        <v>2</v>
      </c>
      <c r="R2715" s="35" t="s">
        <v>495</v>
      </c>
      <c r="S2715" s="35" t="str">
        <f>MID(Tabla1[[#This Row],[Aplicación]],6,2)</f>
        <v>11</v>
      </c>
      <c r="T2715" s="35" t="str">
        <f>VLOOKUP(Tabla1[[#This Row],[AREA]],Hoja1!A:B,2,FALSE)</f>
        <v>11. Salud pública y seguridad ciudadana</v>
      </c>
      <c r="U2715" s="35" t="str">
        <f>MID(Tabla1[[#This Row],[Aplicación]],9,4)</f>
        <v>1631</v>
      </c>
      <c r="V2715" s="35" t="str">
        <f>VLOOKUP(Tabla1[[#This Row],[PROGRAMA]],Hoja1!A:B,2,FALSE)</f>
        <v>1631. Limpieza viaria</v>
      </c>
      <c r="W2715" s="35" t="str">
        <f>MID(Tabla1[[#This Row],[Aplicación]],14,2)</f>
        <v>22</v>
      </c>
      <c r="X2715" s="35" t="str">
        <f>MID(Tabla1[[#This Row],[Aplicación]],14,6)</f>
        <v>22104</v>
      </c>
    </row>
    <row r="2716" spans="1:24" x14ac:dyDescent="0.25">
      <c r="A2716" s="45">
        <v>220210020451</v>
      </c>
      <c r="B2716" s="46" t="s">
        <v>9</v>
      </c>
      <c r="C2716" s="47">
        <v>44322</v>
      </c>
      <c r="D2716" s="45">
        <v>22021004256</v>
      </c>
      <c r="E2716" s="46" t="s">
        <v>3333</v>
      </c>
      <c r="F2716" s="48">
        <v>448.5</v>
      </c>
      <c r="G2716" s="54" t="s">
        <v>1248</v>
      </c>
      <c r="H2716" s="54" t="s">
        <v>4248</v>
      </c>
      <c r="I2716" s="53" t="s">
        <v>125</v>
      </c>
      <c r="J2716" s="54" t="s">
        <v>126</v>
      </c>
      <c r="K2716" s="54" t="s">
        <v>126</v>
      </c>
      <c r="L2716" s="54" t="s">
        <v>12</v>
      </c>
      <c r="M2716" s="54" t="s">
        <v>10</v>
      </c>
      <c r="N2716" s="54" t="s">
        <v>11</v>
      </c>
      <c r="O2716" s="49" t="s">
        <v>815</v>
      </c>
      <c r="P2716" s="54" t="s">
        <v>3392</v>
      </c>
      <c r="Q2716" s="35" t="str">
        <f>MID(Tabla1[[#This Row],[Aplicación]],14,1)</f>
        <v>2</v>
      </c>
      <c r="R2716" s="35" t="s">
        <v>495</v>
      </c>
      <c r="S2716" s="35" t="str">
        <f>MID(Tabla1[[#This Row],[Aplicación]],6,2)</f>
        <v>10</v>
      </c>
      <c r="T2716" s="35" t="str">
        <f>VLOOKUP(Tabla1[[#This Row],[AREA]],Hoja1!A:B,2,FALSE)</f>
        <v>10. Servicios sociales y mediación comunitaria</v>
      </c>
      <c r="U2716" s="35" t="str">
        <f>MID(Tabla1[[#This Row],[Aplicación]],9,4)</f>
        <v>2316</v>
      </c>
      <c r="V2716" s="35" t="str">
        <f>VLOOKUP(Tabla1[[#This Row],[PROGRAMA]],Hoja1!A:B,2,FALSE)</f>
        <v>2316. Mediación comunitaria</v>
      </c>
      <c r="W2716" s="35" t="str">
        <f>MID(Tabla1[[#This Row],[Aplicación]],14,2)</f>
        <v>22</v>
      </c>
      <c r="X2716" s="35" t="str">
        <f>MID(Tabla1[[#This Row],[Aplicación]],14,6)</f>
        <v>22616</v>
      </c>
    </row>
    <row r="2717" spans="1:24" x14ac:dyDescent="0.25">
      <c r="A2717" s="45">
        <v>220210026058</v>
      </c>
      <c r="B2717" s="46" t="s">
        <v>9</v>
      </c>
      <c r="C2717" s="47">
        <v>44347</v>
      </c>
      <c r="D2717" s="45">
        <v>22021001300</v>
      </c>
      <c r="E2717" s="46" t="s">
        <v>944</v>
      </c>
      <c r="F2717" s="48">
        <v>445.28</v>
      </c>
      <c r="G2717" s="54" t="s">
        <v>70</v>
      </c>
      <c r="H2717" s="54" t="s">
        <v>4249</v>
      </c>
      <c r="I2717" s="53" t="s">
        <v>125</v>
      </c>
      <c r="J2717" s="54" t="s">
        <v>127</v>
      </c>
      <c r="K2717" s="54" t="s">
        <v>127</v>
      </c>
      <c r="L2717" s="54" t="s">
        <v>12</v>
      </c>
      <c r="M2717" s="54" t="s">
        <v>10</v>
      </c>
      <c r="N2717" s="54" t="s">
        <v>11</v>
      </c>
      <c r="O2717" s="49" t="s">
        <v>815</v>
      </c>
      <c r="P2717" s="54" t="s">
        <v>3392</v>
      </c>
      <c r="Q2717" s="35" t="str">
        <f>MID(Tabla1[[#This Row],[Aplicación]],14,1)</f>
        <v>2</v>
      </c>
      <c r="R2717" s="35" t="s">
        <v>495</v>
      </c>
      <c r="S2717" s="35" t="str">
        <f>MID(Tabla1[[#This Row],[Aplicación]],6,2)</f>
        <v>11</v>
      </c>
      <c r="T2717" s="35" t="str">
        <f>VLOOKUP(Tabla1[[#This Row],[AREA]],Hoja1!A:B,2,FALSE)</f>
        <v>11. Salud pública y seguridad ciudadana</v>
      </c>
      <c r="U2717" s="35" t="str">
        <f>MID(Tabla1[[#This Row],[Aplicación]],9,4)</f>
        <v>1621</v>
      </c>
      <c r="V2717" s="35" t="str">
        <f>VLOOKUP(Tabla1[[#This Row],[PROGRAMA]],Hoja1!A:B,2,FALSE)</f>
        <v>1621. Servicio de limpieza</v>
      </c>
      <c r="W2717" s="35" t="str">
        <f>MID(Tabla1[[#This Row],[Aplicación]],14,2)</f>
        <v>21</v>
      </c>
      <c r="X2717" s="35" t="str">
        <f>MID(Tabla1[[#This Row],[Aplicación]],14,6)</f>
        <v>213</v>
      </c>
    </row>
    <row r="2718" spans="1:24" x14ac:dyDescent="0.25">
      <c r="A2718" s="45">
        <v>220210015893</v>
      </c>
      <c r="B2718" s="46" t="s">
        <v>9</v>
      </c>
      <c r="C2718" s="47">
        <v>44305</v>
      </c>
      <c r="D2718" s="45">
        <v>22021003917</v>
      </c>
      <c r="E2718" s="46" t="s">
        <v>1478</v>
      </c>
      <c r="F2718" s="48">
        <v>442.41</v>
      </c>
      <c r="G2718" s="54" t="s">
        <v>87</v>
      </c>
      <c r="H2718" s="54" t="s">
        <v>4250</v>
      </c>
      <c r="I2718" s="53" t="s">
        <v>125</v>
      </c>
      <c r="J2718" s="54" t="s">
        <v>127</v>
      </c>
      <c r="K2718" s="54" t="s">
        <v>127</v>
      </c>
      <c r="L2718" s="54" t="s">
        <v>15</v>
      </c>
      <c r="M2718" s="54" t="s">
        <v>10</v>
      </c>
      <c r="N2718" s="54" t="s">
        <v>11</v>
      </c>
      <c r="O2718" s="49" t="s">
        <v>815</v>
      </c>
      <c r="P2718" s="54" t="s">
        <v>3392</v>
      </c>
      <c r="Q2718" s="35" t="str">
        <f>MID(Tabla1[[#This Row],[Aplicación]],14,1)</f>
        <v>2</v>
      </c>
      <c r="R2718" s="35" t="s">
        <v>495</v>
      </c>
      <c r="S2718" s="35" t="str">
        <f>MID(Tabla1[[#This Row],[Aplicación]],6,2)</f>
        <v>03</v>
      </c>
      <c r="T2718" s="35" t="str">
        <f>VLOOKUP(Tabla1[[#This Row],[AREA]],Hoja1!A:B,2,FALSE)</f>
        <v>03. Participación ciudadana y deportes</v>
      </c>
      <c r="U2718" s="35" t="str">
        <f>MID(Tabla1[[#This Row],[Aplicación]],9,4)</f>
        <v>9241</v>
      </c>
      <c r="V2718" s="35" t="str">
        <f>VLOOKUP(Tabla1[[#This Row],[PROGRAMA]],Hoja1!A:B,2,FALSE)</f>
        <v>9241. Participación ciudadana</v>
      </c>
      <c r="W2718" s="35" t="str">
        <f>MID(Tabla1[[#This Row],[Aplicación]],14,2)</f>
        <v>21</v>
      </c>
      <c r="X2718" s="35" t="str">
        <f>MID(Tabla1[[#This Row],[Aplicación]],14,6)</f>
        <v>212</v>
      </c>
    </row>
    <row r="2719" spans="1:24" x14ac:dyDescent="0.25">
      <c r="A2719" s="45">
        <v>220210020634</v>
      </c>
      <c r="B2719" s="46" t="s">
        <v>204</v>
      </c>
      <c r="C2719" s="47">
        <v>44323</v>
      </c>
      <c r="D2719" s="45">
        <v>22021002048</v>
      </c>
      <c r="E2719" s="46" t="s">
        <v>890</v>
      </c>
      <c r="F2719" s="48">
        <v>717.46</v>
      </c>
      <c r="G2719" s="54" t="s">
        <v>269</v>
      </c>
      <c r="H2719" s="54" t="s">
        <v>4251</v>
      </c>
      <c r="I2719" s="53" t="s">
        <v>205</v>
      </c>
      <c r="J2719" s="54" t="s">
        <v>127</v>
      </c>
      <c r="K2719" s="54" t="s">
        <v>127</v>
      </c>
      <c r="L2719" s="54" t="s">
        <v>15</v>
      </c>
      <c r="M2719" s="54" t="s">
        <v>13</v>
      </c>
      <c r="N2719" s="54" t="s">
        <v>14</v>
      </c>
      <c r="O2719" s="49" t="s">
        <v>814</v>
      </c>
      <c r="P2719" s="54" t="s">
        <v>3392</v>
      </c>
      <c r="Q2719" s="35" t="str">
        <f>MID(Tabla1[[#This Row],[Aplicación]],14,1)</f>
        <v>2</v>
      </c>
      <c r="R2719" s="35" t="s">
        <v>495</v>
      </c>
      <c r="S2719" s="35" t="str">
        <f>MID(Tabla1[[#This Row],[Aplicación]],6,2)</f>
        <v>11</v>
      </c>
      <c r="T2719" s="35" t="str">
        <f>VLOOKUP(Tabla1[[#This Row],[AREA]],Hoja1!A:B,2,FALSE)</f>
        <v>11. Salud pública y seguridad ciudadana</v>
      </c>
      <c r="U2719" s="35" t="str">
        <f>MID(Tabla1[[#This Row],[Aplicación]],9,4)</f>
        <v>1621</v>
      </c>
      <c r="V2719" s="35" t="str">
        <f>VLOOKUP(Tabla1[[#This Row],[PROGRAMA]],Hoja1!A:B,2,FALSE)</f>
        <v>1621. Servicio de limpieza</v>
      </c>
      <c r="W2719" s="35" t="str">
        <f>MID(Tabla1[[#This Row],[Aplicación]],14,2)</f>
        <v>21</v>
      </c>
      <c r="X2719" s="35" t="str">
        <f>MID(Tabla1[[#This Row],[Aplicación]],14,6)</f>
        <v>214</v>
      </c>
    </row>
    <row r="2720" spans="1:24" x14ac:dyDescent="0.25">
      <c r="A2720" s="45">
        <v>220210023522</v>
      </c>
      <c r="B2720" s="46" t="s">
        <v>9</v>
      </c>
      <c r="C2720" s="47">
        <v>44336</v>
      </c>
      <c r="D2720" s="45">
        <v>22021004447</v>
      </c>
      <c r="E2720" s="46" t="s">
        <v>823</v>
      </c>
      <c r="F2720" s="48">
        <v>440</v>
      </c>
      <c r="G2720" s="54" t="s">
        <v>4252</v>
      </c>
      <c r="H2720" s="54" t="s">
        <v>4253</v>
      </c>
      <c r="I2720" s="53" t="s">
        <v>125</v>
      </c>
      <c r="J2720" s="54" t="s">
        <v>127</v>
      </c>
      <c r="K2720" s="54" t="s">
        <v>127</v>
      </c>
      <c r="L2720" s="54" t="s">
        <v>12</v>
      </c>
      <c r="M2720" s="54" t="s">
        <v>10</v>
      </c>
      <c r="N2720" s="54" t="s">
        <v>11</v>
      </c>
      <c r="O2720" s="49" t="s">
        <v>815</v>
      </c>
      <c r="P2720" s="54" t="s">
        <v>3392</v>
      </c>
      <c r="Q2720" s="35" t="str">
        <f>MID(Tabla1[[#This Row],[Aplicación]],14,1)</f>
        <v>2</v>
      </c>
      <c r="R2720" s="35" t="s">
        <v>495</v>
      </c>
      <c r="S2720" s="35" t="str">
        <f>MID(Tabla1[[#This Row],[Aplicación]],6,2)</f>
        <v>03</v>
      </c>
      <c r="T2720" s="35" t="str">
        <f>VLOOKUP(Tabla1[[#This Row],[AREA]],Hoja1!A:B,2,FALSE)</f>
        <v>03. Participación ciudadana y deportes</v>
      </c>
      <c r="U2720" s="35" t="str">
        <f>MID(Tabla1[[#This Row],[Aplicación]],9,4)</f>
        <v>9241</v>
      </c>
      <c r="V2720" s="35" t="str">
        <f>VLOOKUP(Tabla1[[#This Row],[PROGRAMA]],Hoja1!A:B,2,FALSE)</f>
        <v>9241. Participación ciudadana</v>
      </c>
      <c r="W2720" s="35" t="str">
        <f>MID(Tabla1[[#This Row],[Aplicación]],14,2)</f>
        <v>22</v>
      </c>
      <c r="X2720" s="35" t="str">
        <f>MID(Tabla1[[#This Row],[Aplicación]],14,6)</f>
        <v>22609</v>
      </c>
    </row>
    <row r="2721" spans="1:24" x14ac:dyDescent="0.25">
      <c r="A2721" s="45">
        <v>220210018993</v>
      </c>
      <c r="B2721" s="46" t="s">
        <v>9</v>
      </c>
      <c r="C2721" s="47">
        <v>44316</v>
      </c>
      <c r="D2721" s="45">
        <v>22021004222</v>
      </c>
      <c r="E2721" s="46" t="s">
        <v>823</v>
      </c>
      <c r="F2721" s="48">
        <v>440</v>
      </c>
      <c r="G2721" s="54" t="s">
        <v>82</v>
      </c>
      <c r="H2721" s="54" t="s">
        <v>4254</v>
      </c>
      <c r="I2721" s="53" t="s">
        <v>125</v>
      </c>
      <c r="J2721" s="54" t="s">
        <v>629</v>
      </c>
      <c r="K2721" s="54" t="s">
        <v>127</v>
      </c>
      <c r="L2721" s="54" t="s">
        <v>12</v>
      </c>
      <c r="M2721" s="54" t="s">
        <v>10</v>
      </c>
      <c r="N2721" s="54" t="s">
        <v>11</v>
      </c>
      <c r="O2721" s="49" t="s">
        <v>815</v>
      </c>
      <c r="P2721" s="54" t="s">
        <v>3392</v>
      </c>
      <c r="Q2721" s="35" t="str">
        <f>MID(Tabla1[[#This Row],[Aplicación]],14,1)</f>
        <v>2</v>
      </c>
      <c r="R2721" s="35" t="s">
        <v>495</v>
      </c>
      <c r="S2721" s="35" t="str">
        <f>MID(Tabla1[[#This Row],[Aplicación]],6,2)</f>
        <v>03</v>
      </c>
      <c r="T2721" s="35" t="str">
        <f>VLOOKUP(Tabla1[[#This Row],[AREA]],Hoja1!A:B,2,FALSE)</f>
        <v>03. Participación ciudadana y deportes</v>
      </c>
      <c r="U2721" s="35" t="str">
        <f>MID(Tabla1[[#This Row],[Aplicación]],9,4)</f>
        <v>9241</v>
      </c>
      <c r="V2721" s="35" t="str">
        <f>VLOOKUP(Tabla1[[#This Row],[PROGRAMA]],Hoja1!A:B,2,FALSE)</f>
        <v>9241. Participación ciudadana</v>
      </c>
      <c r="W2721" s="35" t="str">
        <f>MID(Tabla1[[#This Row],[Aplicación]],14,2)</f>
        <v>22</v>
      </c>
      <c r="X2721" s="35" t="str">
        <f>MID(Tabla1[[#This Row],[Aplicación]],14,6)</f>
        <v>22609</v>
      </c>
    </row>
    <row r="2722" spans="1:24" x14ac:dyDescent="0.25">
      <c r="A2722" s="45">
        <v>220210023521</v>
      </c>
      <c r="B2722" s="46" t="s">
        <v>9</v>
      </c>
      <c r="C2722" s="47">
        <v>44336</v>
      </c>
      <c r="D2722" s="45">
        <v>22021004446</v>
      </c>
      <c r="E2722" s="46" t="s">
        <v>823</v>
      </c>
      <c r="F2722" s="48">
        <v>440</v>
      </c>
      <c r="G2722" s="54" t="s">
        <v>4255</v>
      </c>
      <c r="H2722" s="54" t="s">
        <v>4256</v>
      </c>
      <c r="I2722" s="53" t="s">
        <v>125</v>
      </c>
      <c r="J2722" s="54" t="s">
        <v>126</v>
      </c>
      <c r="K2722" s="54" t="s">
        <v>126</v>
      </c>
      <c r="L2722" s="54" t="s">
        <v>12</v>
      </c>
      <c r="M2722" s="54" t="s">
        <v>10</v>
      </c>
      <c r="N2722" s="54" t="s">
        <v>11</v>
      </c>
      <c r="O2722" s="49" t="s">
        <v>815</v>
      </c>
      <c r="P2722" s="54" t="s">
        <v>3392</v>
      </c>
      <c r="Q2722" s="35" t="str">
        <f>MID(Tabla1[[#This Row],[Aplicación]],14,1)</f>
        <v>2</v>
      </c>
      <c r="R2722" s="35" t="s">
        <v>495</v>
      </c>
      <c r="S2722" s="35" t="str">
        <f>MID(Tabla1[[#This Row],[Aplicación]],6,2)</f>
        <v>03</v>
      </c>
      <c r="T2722" s="35" t="str">
        <f>VLOOKUP(Tabla1[[#This Row],[AREA]],Hoja1!A:B,2,FALSE)</f>
        <v>03. Participación ciudadana y deportes</v>
      </c>
      <c r="U2722" s="35" t="str">
        <f>MID(Tabla1[[#This Row],[Aplicación]],9,4)</f>
        <v>9241</v>
      </c>
      <c r="V2722" s="35" t="str">
        <f>VLOOKUP(Tabla1[[#This Row],[PROGRAMA]],Hoja1!A:B,2,FALSE)</f>
        <v>9241. Participación ciudadana</v>
      </c>
      <c r="W2722" s="35" t="str">
        <f>MID(Tabla1[[#This Row],[Aplicación]],14,2)</f>
        <v>22</v>
      </c>
      <c r="X2722" s="35" t="str">
        <f>MID(Tabla1[[#This Row],[Aplicación]],14,6)</f>
        <v>22609</v>
      </c>
    </row>
    <row r="2723" spans="1:24" x14ac:dyDescent="0.25">
      <c r="A2723" s="45">
        <v>220210014260</v>
      </c>
      <c r="B2723" s="46" t="s">
        <v>9</v>
      </c>
      <c r="C2723" s="47">
        <v>44294</v>
      </c>
      <c r="D2723" s="45">
        <v>22021003709</v>
      </c>
      <c r="E2723" s="46" t="s">
        <v>1279</v>
      </c>
      <c r="F2723" s="48">
        <v>440</v>
      </c>
      <c r="G2723" s="54" t="s">
        <v>3824</v>
      </c>
      <c r="H2723" s="54" t="s">
        <v>4257</v>
      </c>
      <c r="I2723" s="53" t="s">
        <v>125</v>
      </c>
      <c r="J2723" s="54" t="s">
        <v>127</v>
      </c>
      <c r="K2723" s="54" t="s">
        <v>127</v>
      </c>
      <c r="L2723" s="54" t="s">
        <v>15</v>
      </c>
      <c r="M2723" s="54" t="s">
        <v>10</v>
      </c>
      <c r="N2723" s="54" t="s">
        <v>11</v>
      </c>
      <c r="O2723" s="49" t="s">
        <v>815</v>
      </c>
      <c r="P2723" s="54" t="s">
        <v>3392</v>
      </c>
      <c r="Q2723" s="35" t="str">
        <f>MID(Tabla1[[#This Row],[Aplicación]],14,1)</f>
        <v>2</v>
      </c>
      <c r="R2723" s="35" t="s">
        <v>495</v>
      </c>
      <c r="S2723" s="35" t="str">
        <f>MID(Tabla1[[#This Row],[Aplicación]],6,2)</f>
        <v>04</v>
      </c>
      <c r="T2723" s="35" t="str">
        <f>VLOOKUP(Tabla1[[#This Row],[AREA]],Hoja1!A:B,2,FALSE)</f>
        <v>04. Planificación y recursos</v>
      </c>
      <c r="U2723" s="35" t="str">
        <f>MID(Tabla1[[#This Row],[Aplicación]],9,4)</f>
        <v>9231</v>
      </c>
      <c r="V2723" s="35" t="str">
        <f>VLOOKUP(Tabla1[[#This Row],[PROGRAMA]],Hoja1!A:B,2,FALSE)</f>
        <v>9231. Información, registro y gestión del padrón</v>
      </c>
      <c r="W2723" s="35" t="str">
        <f>MID(Tabla1[[#This Row],[Aplicación]],14,2)</f>
        <v>22</v>
      </c>
      <c r="X2723" s="35" t="str">
        <f>MID(Tabla1[[#This Row],[Aplicación]],14,6)</f>
        <v>22799</v>
      </c>
    </row>
    <row r="2724" spans="1:24" x14ac:dyDescent="0.25">
      <c r="A2724" s="45">
        <v>220210025677</v>
      </c>
      <c r="B2724" s="46" t="s">
        <v>204</v>
      </c>
      <c r="C2724" s="47">
        <v>44343</v>
      </c>
      <c r="D2724" s="45">
        <v>22021003381</v>
      </c>
      <c r="E2724" s="46" t="s">
        <v>1183</v>
      </c>
      <c r="F2724" s="48">
        <v>62.12</v>
      </c>
      <c r="G2724" s="54" t="s">
        <v>274</v>
      </c>
      <c r="H2724" s="54" t="s">
        <v>4258</v>
      </c>
      <c r="I2724" s="53" t="s">
        <v>205</v>
      </c>
      <c r="J2724" s="54" t="s">
        <v>127</v>
      </c>
      <c r="K2724" s="54" t="s">
        <v>127</v>
      </c>
      <c r="L2724" s="54" t="s">
        <v>15</v>
      </c>
      <c r="M2724" s="54" t="s">
        <v>13</v>
      </c>
      <c r="N2724" s="54" t="s">
        <v>14</v>
      </c>
      <c r="O2724" s="49" t="s">
        <v>814</v>
      </c>
      <c r="P2724" s="54" t="s">
        <v>3392</v>
      </c>
      <c r="Q2724" s="35" t="str">
        <f>MID(Tabla1[[#This Row],[Aplicación]],14,1)</f>
        <v>2</v>
      </c>
      <c r="R2724" s="35" t="s">
        <v>495</v>
      </c>
      <c r="S2724" s="35" t="str">
        <f>MID(Tabla1[[#This Row],[Aplicación]],6,2)</f>
        <v>11</v>
      </c>
      <c r="T2724" s="35" t="str">
        <f>VLOOKUP(Tabla1[[#This Row],[AREA]],Hoja1!A:B,2,FALSE)</f>
        <v>11. Salud pública y seguridad ciudadana</v>
      </c>
      <c r="U2724" s="35" t="str">
        <f>MID(Tabla1[[#This Row],[Aplicación]],9,4)</f>
        <v>1361</v>
      </c>
      <c r="V2724" s="35" t="str">
        <f>VLOOKUP(Tabla1[[#This Row],[PROGRAMA]],Hoja1!A:B,2,FALSE)</f>
        <v>1361. Prevención y extinción de incencios</v>
      </c>
      <c r="W2724" s="35" t="str">
        <f>MID(Tabla1[[#This Row],[Aplicación]],14,2)</f>
        <v>22</v>
      </c>
      <c r="X2724" s="35" t="str">
        <f>MID(Tabla1[[#This Row],[Aplicación]],14,6)</f>
        <v>22199</v>
      </c>
    </row>
    <row r="2725" spans="1:24" x14ac:dyDescent="0.25">
      <c r="A2725" s="45">
        <v>220210030264</v>
      </c>
      <c r="B2725" s="46" t="s">
        <v>204</v>
      </c>
      <c r="C2725" s="47">
        <v>44357</v>
      </c>
      <c r="D2725" s="45">
        <v>22021001275</v>
      </c>
      <c r="E2725" s="46" t="s">
        <v>1334</v>
      </c>
      <c r="F2725" s="48">
        <v>0.93</v>
      </c>
      <c r="G2725" s="54" t="s">
        <v>274</v>
      </c>
      <c r="H2725" s="54" t="s">
        <v>1461</v>
      </c>
      <c r="I2725" s="53" t="s">
        <v>205</v>
      </c>
      <c r="J2725" s="54" t="s">
        <v>127</v>
      </c>
      <c r="K2725" s="54" t="s">
        <v>127</v>
      </c>
      <c r="L2725" s="54" t="s">
        <v>15</v>
      </c>
      <c r="M2725" s="54" t="s">
        <v>13</v>
      </c>
      <c r="N2725" s="54" t="s">
        <v>14</v>
      </c>
      <c r="O2725" s="49" t="s">
        <v>814</v>
      </c>
      <c r="P2725" s="54" t="s">
        <v>3392</v>
      </c>
      <c r="Q2725" s="35" t="str">
        <f>MID(Tabla1[[#This Row],[Aplicación]],14,1)</f>
        <v>2</v>
      </c>
      <c r="R2725" s="35" t="s">
        <v>495</v>
      </c>
      <c r="S2725" s="35" t="str">
        <f>MID(Tabla1[[#This Row],[Aplicación]],6,2)</f>
        <v>07</v>
      </c>
      <c r="T2725" s="35" t="str">
        <f>VLOOKUP(Tabla1[[#This Row],[AREA]],Hoja1!A:B,2,FALSE)</f>
        <v>07. Medio ambiente y desarrollo sostenible</v>
      </c>
      <c r="U2725" s="35" t="str">
        <f>MID(Tabla1[[#This Row],[Aplicación]],9,4)</f>
        <v>1711</v>
      </c>
      <c r="V2725" s="35" t="str">
        <f>VLOOKUP(Tabla1[[#This Row],[PROGRAMA]],Hoja1!A:B,2,FALSE)</f>
        <v>1711. Parques y jardines</v>
      </c>
      <c r="W2725" s="35" t="str">
        <f>MID(Tabla1[[#This Row],[Aplicación]],14,2)</f>
        <v>22</v>
      </c>
      <c r="X2725" s="35" t="str">
        <f>MID(Tabla1[[#This Row],[Aplicación]],14,6)</f>
        <v>22199</v>
      </c>
    </row>
    <row r="2726" spans="1:24" x14ac:dyDescent="0.25">
      <c r="A2726" s="45">
        <v>220210030278</v>
      </c>
      <c r="B2726" s="46" t="s">
        <v>9</v>
      </c>
      <c r="C2726" s="47">
        <v>44357</v>
      </c>
      <c r="D2726" s="45">
        <v>22021004805</v>
      </c>
      <c r="E2726" s="46" t="s">
        <v>1478</v>
      </c>
      <c r="F2726" s="48">
        <v>434.26</v>
      </c>
      <c r="G2726" s="54" t="s">
        <v>87</v>
      </c>
      <c r="H2726" s="54" t="s">
        <v>4259</v>
      </c>
      <c r="I2726" s="53" t="s">
        <v>125</v>
      </c>
      <c r="J2726" s="54" t="s">
        <v>127</v>
      </c>
      <c r="K2726" s="54" t="s">
        <v>127</v>
      </c>
      <c r="L2726" s="54" t="s">
        <v>15</v>
      </c>
      <c r="M2726" s="54" t="s">
        <v>10</v>
      </c>
      <c r="N2726" s="54" t="s">
        <v>11</v>
      </c>
      <c r="O2726" s="49" t="s">
        <v>815</v>
      </c>
      <c r="P2726" s="54" t="s">
        <v>3392</v>
      </c>
      <c r="Q2726" s="35" t="str">
        <f>MID(Tabla1[[#This Row],[Aplicación]],14,1)</f>
        <v>2</v>
      </c>
      <c r="R2726" s="35" t="s">
        <v>495</v>
      </c>
      <c r="S2726" s="35" t="str">
        <f>MID(Tabla1[[#This Row],[Aplicación]],6,2)</f>
        <v>03</v>
      </c>
      <c r="T2726" s="35" t="str">
        <f>VLOOKUP(Tabla1[[#This Row],[AREA]],Hoja1!A:B,2,FALSE)</f>
        <v>03. Participación ciudadana y deportes</v>
      </c>
      <c r="U2726" s="35" t="str">
        <f>MID(Tabla1[[#This Row],[Aplicación]],9,4)</f>
        <v>9241</v>
      </c>
      <c r="V2726" s="35" t="str">
        <f>VLOOKUP(Tabla1[[#This Row],[PROGRAMA]],Hoja1!A:B,2,FALSE)</f>
        <v>9241. Participación ciudadana</v>
      </c>
      <c r="W2726" s="35" t="str">
        <f>MID(Tabla1[[#This Row],[Aplicación]],14,2)</f>
        <v>21</v>
      </c>
      <c r="X2726" s="35" t="str">
        <f>MID(Tabla1[[#This Row],[Aplicación]],14,6)</f>
        <v>212</v>
      </c>
    </row>
    <row r="2727" spans="1:24" x14ac:dyDescent="0.25">
      <c r="A2727" s="45">
        <v>220210030473</v>
      </c>
      <c r="B2727" s="46" t="s">
        <v>204</v>
      </c>
      <c r="C2727" s="47">
        <v>44358</v>
      </c>
      <c r="D2727" s="45">
        <v>22021001968</v>
      </c>
      <c r="E2727" s="46" t="s">
        <v>1388</v>
      </c>
      <c r="F2727" s="48">
        <v>357.22</v>
      </c>
      <c r="G2727" s="54" t="s">
        <v>274</v>
      </c>
      <c r="H2727" s="54" t="s">
        <v>4260</v>
      </c>
      <c r="I2727" s="53" t="s">
        <v>205</v>
      </c>
      <c r="J2727" s="54" t="s">
        <v>127</v>
      </c>
      <c r="K2727" s="54" t="s">
        <v>127</v>
      </c>
      <c r="L2727" s="54" t="s">
        <v>15</v>
      </c>
      <c r="M2727" s="54" t="s">
        <v>13</v>
      </c>
      <c r="N2727" s="54" t="s">
        <v>14</v>
      </c>
      <c r="O2727" s="49" t="s">
        <v>814</v>
      </c>
      <c r="P2727" s="54" t="s">
        <v>3392</v>
      </c>
      <c r="Q2727" s="35" t="str">
        <f>MID(Tabla1[[#This Row],[Aplicación]],14,1)</f>
        <v>2</v>
      </c>
      <c r="R2727" s="35" t="s">
        <v>495</v>
      </c>
      <c r="S2727" s="35" t="str">
        <f>MID(Tabla1[[#This Row],[Aplicación]],6,2)</f>
        <v>11</v>
      </c>
      <c r="T2727" s="35" t="str">
        <f>VLOOKUP(Tabla1[[#This Row],[AREA]],Hoja1!A:B,2,FALSE)</f>
        <v>11. Salud pública y seguridad ciudadana</v>
      </c>
      <c r="U2727" s="35" t="str">
        <f>MID(Tabla1[[#This Row],[Aplicación]],9,4)</f>
        <v>1321</v>
      </c>
      <c r="V2727" s="35" t="str">
        <f>VLOOKUP(Tabla1[[#This Row],[PROGRAMA]],Hoja1!A:B,2,FALSE)</f>
        <v>1321. Policía municipal</v>
      </c>
      <c r="W2727" s="35" t="str">
        <f>MID(Tabla1[[#This Row],[Aplicación]],14,2)</f>
        <v>22</v>
      </c>
      <c r="X2727" s="35" t="str">
        <f>MID(Tabla1[[#This Row],[Aplicación]],14,6)</f>
        <v>22199</v>
      </c>
    </row>
    <row r="2728" spans="1:24" x14ac:dyDescent="0.25">
      <c r="A2728" s="45">
        <v>220210018983</v>
      </c>
      <c r="B2728" s="46" t="s">
        <v>9</v>
      </c>
      <c r="C2728" s="47">
        <v>44316</v>
      </c>
      <c r="D2728" s="45">
        <v>22021004161</v>
      </c>
      <c r="E2728" s="46" t="s">
        <v>980</v>
      </c>
      <c r="F2728" s="48">
        <v>428.05</v>
      </c>
      <c r="G2728" s="54" t="s">
        <v>239</v>
      </c>
      <c r="H2728" s="54" t="s">
        <v>4261</v>
      </c>
      <c r="I2728" s="53" t="s">
        <v>125</v>
      </c>
      <c r="J2728" s="54" t="s">
        <v>127</v>
      </c>
      <c r="K2728" s="54" t="s">
        <v>127</v>
      </c>
      <c r="L2728" s="54" t="s">
        <v>15</v>
      </c>
      <c r="M2728" s="54" t="s">
        <v>10</v>
      </c>
      <c r="N2728" s="54" t="s">
        <v>11</v>
      </c>
      <c r="O2728" s="49" t="s">
        <v>815</v>
      </c>
      <c r="P2728" s="54" t="s">
        <v>3392</v>
      </c>
      <c r="Q2728" s="35" t="str">
        <f>MID(Tabla1[[#This Row],[Aplicación]],14,1)</f>
        <v>2</v>
      </c>
      <c r="R2728" s="35" t="s">
        <v>495</v>
      </c>
      <c r="S2728" s="35" t="str">
        <f>MID(Tabla1[[#This Row],[Aplicación]],6,2)</f>
        <v>11</v>
      </c>
      <c r="T2728" s="35" t="str">
        <f>VLOOKUP(Tabla1[[#This Row],[AREA]],Hoja1!A:B,2,FALSE)</f>
        <v>11. Salud pública y seguridad ciudadana</v>
      </c>
      <c r="U2728" s="35" t="str">
        <f>MID(Tabla1[[#This Row],[Aplicación]],9,4)</f>
        <v>1361</v>
      </c>
      <c r="V2728" s="35" t="str">
        <f>VLOOKUP(Tabla1[[#This Row],[PROGRAMA]],Hoja1!A:B,2,FALSE)</f>
        <v>1361. Prevención y extinción de incencios</v>
      </c>
      <c r="W2728" s="35" t="str">
        <f>MID(Tabla1[[#This Row],[Aplicación]],14,2)</f>
        <v>21</v>
      </c>
      <c r="X2728" s="35" t="str">
        <f>MID(Tabla1[[#This Row],[Aplicación]],14,6)</f>
        <v>213</v>
      </c>
    </row>
    <row r="2729" spans="1:24" x14ac:dyDescent="0.25">
      <c r="A2729" s="45">
        <v>220210031178</v>
      </c>
      <c r="B2729" s="46" t="s">
        <v>204</v>
      </c>
      <c r="C2729" s="47">
        <v>44361</v>
      </c>
      <c r="D2729" s="45">
        <v>22021003381</v>
      </c>
      <c r="E2729" s="46" t="s">
        <v>1183</v>
      </c>
      <c r="F2729" s="48">
        <v>384.68</v>
      </c>
      <c r="G2729" s="54" t="s">
        <v>274</v>
      </c>
      <c r="H2729" s="54" t="s">
        <v>4262</v>
      </c>
      <c r="I2729" s="53" t="s">
        <v>205</v>
      </c>
      <c r="J2729" s="54" t="s">
        <v>127</v>
      </c>
      <c r="K2729" s="54" t="s">
        <v>127</v>
      </c>
      <c r="L2729" s="54" t="s">
        <v>15</v>
      </c>
      <c r="M2729" s="54" t="s">
        <v>13</v>
      </c>
      <c r="N2729" s="54" t="s">
        <v>14</v>
      </c>
      <c r="O2729" s="49" t="s">
        <v>814</v>
      </c>
      <c r="P2729" s="54" t="s">
        <v>3392</v>
      </c>
      <c r="Q2729" s="35" t="str">
        <f>MID(Tabla1[[#This Row],[Aplicación]],14,1)</f>
        <v>2</v>
      </c>
      <c r="R2729" s="35" t="s">
        <v>495</v>
      </c>
      <c r="S2729" s="35" t="str">
        <f>MID(Tabla1[[#This Row],[Aplicación]],6,2)</f>
        <v>11</v>
      </c>
      <c r="T2729" s="35" t="str">
        <f>VLOOKUP(Tabla1[[#This Row],[AREA]],Hoja1!A:B,2,FALSE)</f>
        <v>11. Salud pública y seguridad ciudadana</v>
      </c>
      <c r="U2729" s="35" t="str">
        <f>MID(Tabla1[[#This Row],[Aplicación]],9,4)</f>
        <v>1361</v>
      </c>
      <c r="V2729" s="35" t="str">
        <f>VLOOKUP(Tabla1[[#This Row],[PROGRAMA]],Hoja1!A:B,2,FALSE)</f>
        <v>1361. Prevención y extinción de incencios</v>
      </c>
      <c r="W2729" s="35" t="str">
        <f>MID(Tabla1[[#This Row],[Aplicación]],14,2)</f>
        <v>22</v>
      </c>
      <c r="X2729" s="35" t="str">
        <f>MID(Tabla1[[#This Row],[Aplicación]],14,6)</f>
        <v>22199</v>
      </c>
    </row>
    <row r="2730" spans="1:24" x14ac:dyDescent="0.25">
      <c r="A2730" s="45">
        <v>220210023530</v>
      </c>
      <c r="B2730" s="46" t="s">
        <v>9</v>
      </c>
      <c r="C2730" s="47">
        <v>44336</v>
      </c>
      <c r="D2730" s="45">
        <v>22021004441</v>
      </c>
      <c r="E2730" s="46" t="s">
        <v>832</v>
      </c>
      <c r="F2730" s="48">
        <v>423.98</v>
      </c>
      <c r="G2730" s="54" t="s">
        <v>122</v>
      </c>
      <c r="H2730" s="54" t="s">
        <v>4263</v>
      </c>
      <c r="I2730" s="53" t="s">
        <v>125</v>
      </c>
      <c r="J2730" s="54" t="s">
        <v>127</v>
      </c>
      <c r="K2730" s="54" t="s">
        <v>127</v>
      </c>
      <c r="L2730" s="54" t="s">
        <v>15</v>
      </c>
      <c r="M2730" s="54" t="s">
        <v>10</v>
      </c>
      <c r="N2730" s="54" t="s">
        <v>11</v>
      </c>
      <c r="O2730" s="49" t="s">
        <v>815</v>
      </c>
      <c r="P2730" s="54" t="s">
        <v>3392</v>
      </c>
      <c r="Q2730" s="35" t="str">
        <f>MID(Tabla1[[#This Row],[Aplicación]],14,1)</f>
        <v>2</v>
      </c>
      <c r="R2730" s="35" t="s">
        <v>495</v>
      </c>
      <c r="S2730" s="35" t="str">
        <f>MID(Tabla1[[#This Row],[Aplicación]],6,2)</f>
        <v>11</v>
      </c>
      <c r="T2730" s="35" t="str">
        <f>VLOOKUP(Tabla1[[#This Row],[AREA]],Hoja1!A:B,2,FALSE)</f>
        <v>11. Salud pública y seguridad ciudadana</v>
      </c>
      <c r="U2730" s="35" t="str">
        <f>MID(Tabla1[[#This Row],[Aplicación]],9,4)</f>
        <v>1321</v>
      </c>
      <c r="V2730" s="35" t="str">
        <f>VLOOKUP(Tabla1[[#This Row],[PROGRAMA]],Hoja1!A:B,2,FALSE)</f>
        <v>1321. Policía municipal</v>
      </c>
      <c r="W2730" s="35" t="str">
        <f>MID(Tabla1[[#This Row],[Aplicación]],14,2)</f>
        <v>22</v>
      </c>
      <c r="X2730" s="35" t="str">
        <f>MID(Tabla1[[#This Row],[Aplicación]],14,6)</f>
        <v>22104</v>
      </c>
    </row>
    <row r="2731" spans="1:24" x14ac:dyDescent="0.25">
      <c r="A2731" s="45">
        <v>220210032751</v>
      </c>
      <c r="B2731" s="46" t="s">
        <v>204</v>
      </c>
      <c r="C2731" s="47">
        <v>44371</v>
      </c>
      <c r="D2731" s="45">
        <v>22021002723</v>
      </c>
      <c r="E2731" s="46" t="s">
        <v>1438</v>
      </c>
      <c r="F2731" s="48">
        <v>715.7</v>
      </c>
      <c r="G2731" s="54" t="s">
        <v>4264</v>
      </c>
      <c r="H2731" s="54" t="s">
        <v>4265</v>
      </c>
      <c r="I2731" s="53" t="s">
        <v>205</v>
      </c>
      <c r="J2731" s="54" t="s">
        <v>126</v>
      </c>
      <c r="K2731" s="54" t="s">
        <v>126</v>
      </c>
      <c r="L2731" s="54" t="s">
        <v>15</v>
      </c>
      <c r="M2731" s="54" t="s">
        <v>13</v>
      </c>
      <c r="N2731" s="54" t="s">
        <v>14</v>
      </c>
      <c r="O2731" s="49" t="s">
        <v>814</v>
      </c>
      <c r="P2731" s="54" t="s">
        <v>3392</v>
      </c>
      <c r="Q2731" s="35" t="str">
        <f>MID(Tabla1[[#This Row],[Aplicación]],14,1)</f>
        <v>2</v>
      </c>
      <c r="R2731" s="35" t="s">
        <v>495</v>
      </c>
      <c r="S2731" s="35" t="str">
        <f>MID(Tabla1[[#This Row],[Aplicación]],6,2)</f>
        <v>01</v>
      </c>
      <c r="T2731" s="35" t="str">
        <f>VLOOKUP(Tabla1[[#This Row],[AREA]],Hoja1!A:B,2,FALSE)</f>
        <v>01. Alcaldía</v>
      </c>
      <c r="U2731" s="35" t="str">
        <f>MID(Tabla1[[#This Row],[Aplicación]],9,4)</f>
        <v>9206</v>
      </c>
      <c r="V2731" s="35" t="str">
        <f>VLOOKUP(Tabla1[[#This Row],[PROGRAMA]],Hoja1!A:B,2,FALSE)</f>
        <v>9206. Archivo municipal</v>
      </c>
      <c r="W2731" s="35" t="str">
        <f>MID(Tabla1[[#This Row],[Aplicación]],14,2)</f>
        <v>22</v>
      </c>
      <c r="X2731" s="35" t="str">
        <f>MID(Tabla1[[#This Row],[Aplicación]],14,6)</f>
        <v>22001</v>
      </c>
    </row>
    <row r="2732" spans="1:24" x14ac:dyDescent="0.25">
      <c r="A2732" s="45">
        <v>220210018981</v>
      </c>
      <c r="B2732" s="46" t="s">
        <v>9</v>
      </c>
      <c r="C2732" s="47">
        <v>44316</v>
      </c>
      <c r="D2732" s="45">
        <v>22021004019</v>
      </c>
      <c r="E2732" s="46" t="s">
        <v>2643</v>
      </c>
      <c r="F2732" s="48">
        <v>423.5</v>
      </c>
      <c r="G2732" s="54" t="s">
        <v>4266</v>
      </c>
      <c r="H2732" s="54" t="s">
        <v>4267</v>
      </c>
      <c r="I2732" s="53" t="s">
        <v>125</v>
      </c>
      <c r="J2732" s="54" t="s">
        <v>619</v>
      </c>
      <c r="K2732" s="54" t="s">
        <v>127</v>
      </c>
      <c r="L2732" s="54" t="s">
        <v>15</v>
      </c>
      <c r="M2732" s="54" t="s">
        <v>10</v>
      </c>
      <c r="N2732" s="54" t="s">
        <v>11</v>
      </c>
      <c r="O2732" s="49" t="s">
        <v>815</v>
      </c>
      <c r="P2732" s="54" t="s">
        <v>3392</v>
      </c>
      <c r="Q2732" s="35" t="str">
        <f>MID(Tabla1[[#This Row],[Aplicación]],14,1)</f>
        <v>2</v>
      </c>
      <c r="R2732" s="35" t="s">
        <v>495</v>
      </c>
      <c r="S2732" s="35" t="str">
        <f>MID(Tabla1[[#This Row],[Aplicación]],6,2)</f>
        <v>01</v>
      </c>
      <c r="T2732" s="35" t="str">
        <f>VLOOKUP(Tabla1[[#This Row],[AREA]],Hoja1!A:B,2,FALSE)</f>
        <v>01. Alcaldía</v>
      </c>
      <c r="U2732" s="35" t="str">
        <f>MID(Tabla1[[#This Row],[Aplicación]],9,4)</f>
        <v>9203</v>
      </c>
      <c r="V2732" s="35" t="str">
        <f>VLOOKUP(Tabla1[[#This Row],[PROGRAMA]],Hoja1!A:B,2,FALSE)</f>
        <v>9203. Unidad de régimen interior</v>
      </c>
      <c r="W2732" s="35" t="str">
        <f>MID(Tabla1[[#This Row],[Aplicación]],14,2)</f>
        <v>22</v>
      </c>
      <c r="X2732" s="35" t="str">
        <f>MID(Tabla1[[#This Row],[Aplicación]],14,6)</f>
        <v>22699</v>
      </c>
    </row>
    <row r="2733" spans="1:24" x14ac:dyDescent="0.25">
      <c r="A2733" s="45">
        <v>220210033204</v>
      </c>
      <c r="B2733" s="46" t="s">
        <v>204</v>
      </c>
      <c r="C2733" s="47">
        <v>44377</v>
      </c>
      <c r="D2733" s="45">
        <v>22021002227</v>
      </c>
      <c r="E2733" s="46" t="s">
        <v>1324</v>
      </c>
      <c r="F2733" s="48">
        <v>705.25</v>
      </c>
      <c r="G2733" s="54" t="s">
        <v>102</v>
      </c>
      <c r="H2733" s="54" t="s">
        <v>4268</v>
      </c>
      <c r="I2733" s="53" t="s">
        <v>205</v>
      </c>
      <c r="J2733" s="54" t="s">
        <v>127</v>
      </c>
      <c r="K2733" s="54" t="s">
        <v>127</v>
      </c>
      <c r="L2733" s="54" t="s">
        <v>15</v>
      </c>
      <c r="M2733" s="54" t="s">
        <v>13</v>
      </c>
      <c r="N2733" s="54" t="s">
        <v>16</v>
      </c>
      <c r="O2733" s="49" t="s">
        <v>814</v>
      </c>
      <c r="P2733" s="54" t="s">
        <v>3392</v>
      </c>
      <c r="Q2733" s="35" t="str">
        <f>MID(Tabla1[[#This Row],[Aplicación]],14,1)</f>
        <v>2</v>
      </c>
      <c r="R2733" s="35" t="s">
        <v>495</v>
      </c>
      <c r="S2733" s="35" t="str">
        <f>MID(Tabla1[[#This Row],[Aplicación]],6,2)</f>
        <v>06</v>
      </c>
      <c r="T2733" s="35" t="str">
        <f>VLOOKUP(Tabla1[[#This Row],[AREA]],Hoja1!A:B,2,FALSE)</f>
        <v>06. Educación, infancia, juventud e igualdad</v>
      </c>
      <c r="U2733" s="35" t="str">
        <f>MID(Tabla1[[#This Row],[Aplicación]],9,4)</f>
        <v>3321</v>
      </c>
      <c r="V2733" s="35" t="str">
        <f>VLOOKUP(Tabla1[[#This Row],[PROGRAMA]],Hoja1!A:B,2,FALSE)</f>
        <v>3321. Bibliotecas públicas</v>
      </c>
      <c r="W2733" s="35" t="str">
        <f>MID(Tabla1[[#This Row],[Aplicación]],14,2)</f>
        <v>21</v>
      </c>
      <c r="X2733" s="35" t="str">
        <f>MID(Tabla1[[#This Row],[Aplicación]],14,6)</f>
        <v>212</v>
      </c>
    </row>
    <row r="2734" spans="1:24" x14ac:dyDescent="0.25">
      <c r="A2734" s="45">
        <v>220210018836</v>
      </c>
      <c r="B2734" s="46" t="s">
        <v>204</v>
      </c>
      <c r="C2734" s="47">
        <v>44314</v>
      </c>
      <c r="D2734" s="45">
        <v>22021002601</v>
      </c>
      <c r="E2734" s="46" t="s">
        <v>3362</v>
      </c>
      <c r="F2734" s="48">
        <v>701.36</v>
      </c>
      <c r="G2734" s="54" t="s">
        <v>4269</v>
      </c>
      <c r="H2734" s="54" t="s">
        <v>4270</v>
      </c>
      <c r="I2734" s="53" t="s">
        <v>205</v>
      </c>
      <c r="J2734" s="54" t="s">
        <v>127</v>
      </c>
      <c r="K2734" s="54" t="s">
        <v>127</v>
      </c>
      <c r="L2734" s="54" t="s">
        <v>15</v>
      </c>
      <c r="M2734" s="54" t="s">
        <v>13</v>
      </c>
      <c r="N2734" s="54" t="s">
        <v>14</v>
      </c>
      <c r="O2734" s="49" t="s">
        <v>814</v>
      </c>
      <c r="P2734" s="54" t="s">
        <v>3392</v>
      </c>
      <c r="Q2734" s="35" t="str">
        <f>MID(Tabla1[[#This Row],[Aplicación]],14,1)</f>
        <v>6</v>
      </c>
      <c r="R2734" s="35" t="s">
        <v>496</v>
      </c>
      <c r="S2734" s="35" t="str">
        <f>MID(Tabla1[[#This Row],[Aplicación]],6,2)</f>
        <v>06</v>
      </c>
      <c r="T2734" s="35" t="str">
        <f>VLOOKUP(Tabla1[[#This Row],[AREA]],Hoja1!A:B,2,FALSE)</f>
        <v>06. Educación, infancia, juventud e igualdad</v>
      </c>
      <c r="U2734" s="35" t="str">
        <f>MID(Tabla1[[#This Row],[Aplicación]],9,4)</f>
        <v>3321</v>
      </c>
      <c r="V2734" s="35" t="str">
        <f>VLOOKUP(Tabla1[[#This Row],[PROGRAMA]],Hoja1!A:B,2,FALSE)</f>
        <v>3321. Bibliotecas públicas</v>
      </c>
      <c r="W2734" s="35" t="str">
        <f>MID(Tabla1[[#This Row],[Aplicación]],14,2)</f>
        <v>62</v>
      </c>
      <c r="X2734" s="35" t="str">
        <f>MID(Tabla1[[#This Row],[Aplicación]],14,6)</f>
        <v>629</v>
      </c>
    </row>
    <row r="2735" spans="1:24" x14ac:dyDescent="0.25">
      <c r="A2735" s="45">
        <v>220210033116</v>
      </c>
      <c r="B2735" s="46" t="s">
        <v>9</v>
      </c>
      <c r="C2735" s="47">
        <v>44377</v>
      </c>
      <c r="D2735" s="45">
        <v>22021004963</v>
      </c>
      <c r="E2735" s="46" t="s">
        <v>1478</v>
      </c>
      <c r="F2735" s="48">
        <v>409.31</v>
      </c>
      <c r="G2735" s="54" t="s">
        <v>1941</v>
      </c>
      <c r="H2735" s="54" t="s">
        <v>4271</v>
      </c>
      <c r="I2735" s="53" t="s">
        <v>125</v>
      </c>
      <c r="J2735" s="54" t="s">
        <v>650</v>
      </c>
      <c r="K2735" s="54" t="s">
        <v>127</v>
      </c>
      <c r="L2735" s="54" t="s">
        <v>31</v>
      </c>
      <c r="M2735" s="54" t="s">
        <v>10</v>
      </c>
      <c r="N2735" s="54" t="s">
        <v>11</v>
      </c>
      <c r="O2735" s="49" t="s">
        <v>815</v>
      </c>
      <c r="P2735" s="54" t="s">
        <v>3392</v>
      </c>
      <c r="Q2735" s="35" t="str">
        <f>MID(Tabla1[[#This Row],[Aplicación]],14,1)</f>
        <v>2</v>
      </c>
      <c r="R2735" s="35" t="s">
        <v>495</v>
      </c>
      <c r="S2735" s="35" t="str">
        <f>MID(Tabla1[[#This Row],[Aplicación]],6,2)</f>
        <v>03</v>
      </c>
      <c r="T2735" s="35" t="str">
        <f>VLOOKUP(Tabla1[[#This Row],[AREA]],Hoja1!A:B,2,FALSE)</f>
        <v>03. Participación ciudadana y deportes</v>
      </c>
      <c r="U2735" s="35" t="str">
        <f>MID(Tabla1[[#This Row],[Aplicación]],9,4)</f>
        <v>9241</v>
      </c>
      <c r="V2735" s="35" t="str">
        <f>VLOOKUP(Tabla1[[#This Row],[PROGRAMA]],Hoja1!A:B,2,FALSE)</f>
        <v>9241. Participación ciudadana</v>
      </c>
      <c r="W2735" s="35" t="str">
        <f>MID(Tabla1[[#This Row],[Aplicación]],14,2)</f>
        <v>21</v>
      </c>
      <c r="X2735" s="35" t="str">
        <f>MID(Tabla1[[#This Row],[Aplicación]],14,6)</f>
        <v>212</v>
      </c>
    </row>
    <row r="2736" spans="1:24" x14ac:dyDescent="0.25">
      <c r="A2736" s="45">
        <v>220210022817</v>
      </c>
      <c r="B2736" s="46" t="s">
        <v>9</v>
      </c>
      <c r="C2736" s="47">
        <v>44333</v>
      </c>
      <c r="D2736" s="45">
        <v>22021004395</v>
      </c>
      <c r="E2736" s="46" t="s">
        <v>823</v>
      </c>
      <c r="F2736" s="48">
        <v>400</v>
      </c>
      <c r="G2736" s="54" t="s">
        <v>824</v>
      </c>
      <c r="H2736" s="54" t="s">
        <v>4272</v>
      </c>
      <c r="I2736" s="53" t="s">
        <v>125</v>
      </c>
      <c r="J2736" s="54" t="s">
        <v>826</v>
      </c>
      <c r="K2736" s="54" t="s">
        <v>127</v>
      </c>
      <c r="L2736" s="54" t="s">
        <v>12</v>
      </c>
      <c r="M2736" s="54" t="s">
        <v>10</v>
      </c>
      <c r="N2736" s="54" t="s">
        <v>11</v>
      </c>
      <c r="O2736" s="49" t="s">
        <v>815</v>
      </c>
      <c r="P2736" s="54" t="s">
        <v>3392</v>
      </c>
      <c r="Q2736" s="35" t="str">
        <f>MID(Tabla1[[#This Row],[Aplicación]],14,1)</f>
        <v>2</v>
      </c>
      <c r="R2736" s="35" t="s">
        <v>495</v>
      </c>
      <c r="S2736" s="35" t="str">
        <f>MID(Tabla1[[#This Row],[Aplicación]],6,2)</f>
        <v>03</v>
      </c>
      <c r="T2736" s="35" t="str">
        <f>VLOOKUP(Tabla1[[#This Row],[AREA]],Hoja1!A:B,2,FALSE)</f>
        <v>03. Participación ciudadana y deportes</v>
      </c>
      <c r="U2736" s="35" t="str">
        <f>MID(Tabla1[[#This Row],[Aplicación]],9,4)</f>
        <v>9241</v>
      </c>
      <c r="V2736" s="35" t="str">
        <f>VLOOKUP(Tabla1[[#This Row],[PROGRAMA]],Hoja1!A:B,2,FALSE)</f>
        <v>9241. Participación ciudadana</v>
      </c>
      <c r="W2736" s="35" t="str">
        <f>MID(Tabla1[[#This Row],[Aplicación]],14,2)</f>
        <v>22</v>
      </c>
      <c r="X2736" s="35" t="str">
        <f>MID(Tabla1[[#This Row],[Aplicación]],14,6)</f>
        <v>22609</v>
      </c>
    </row>
    <row r="2737" spans="1:24" x14ac:dyDescent="0.25">
      <c r="A2737" s="45">
        <v>220210028274</v>
      </c>
      <c r="B2737" s="46" t="s">
        <v>9</v>
      </c>
      <c r="C2737" s="47">
        <v>44350</v>
      </c>
      <c r="D2737" s="45">
        <v>22021004670</v>
      </c>
      <c r="E2737" s="46" t="s">
        <v>823</v>
      </c>
      <c r="F2737" s="48">
        <v>400</v>
      </c>
      <c r="G2737" s="54" t="s">
        <v>4273</v>
      </c>
      <c r="H2737" s="54" t="s">
        <v>4274</v>
      </c>
      <c r="I2737" s="53" t="s">
        <v>125</v>
      </c>
      <c r="J2737" s="54" t="s">
        <v>127</v>
      </c>
      <c r="K2737" s="54" t="s">
        <v>127</v>
      </c>
      <c r="L2737" s="54" t="s">
        <v>12</v>
      </c>
      <c r="M2737" s="54" t="s">
        <v>10</v>
      </c>
      <c r="N2737" s="54" t="s">
        <v>11</v>
      </c>
      <c r="O2737" s="49" t="s">
        <v>815</v>
      </c>
      <c r="P2737" s="54" t="s">
        <v>3392</v>
      </c>
      <c r="Q2737" s="35" t="str">
        <f>MID(Tabla1[[#This Row],[Aplicación]],14,1)</f>
        <v>2</v>
      </c>
      <c r="R2737" s="35" t="s">
        <v>495</v>
      </c>
      <c r="S2737" s="35" t="str">
        <f>MID(Tabla1[[#This Row],[Aplicación]],6,2)</f>
        <v>03</v>
      </c>
      <c r="T2737" s="35" t="str">
        <f>VLOOKUP(Tabla1[[#This Row],[AREA]],Hoja1!A:B,2,FALSE)</f>
        <v>03. Participación ciudadana y deportes</v>
      </c>
      <c r="U2737" s="35" t="str">
        <f>MID(Tabla1[[#This Row],[Aplicación]],9,4)</f>
        <v>9241</v>
      </c>
      <c r="V2737" s="35" t="str">
        <f>VLOOKUP(Tabla1[[#This Row],[PROGRAMA]],Hoja1!A:B,2,FALSE)</f>
        <v>9241. Participación ciudadana</v>
      </c>
      <c r="W2737" s="35" t="str">
        <f>MID(Tabla1[[#This Row],[Aplicación]],14,2)</f>
        <v>22</v>
      </c>
      <c r="X2737" s="35" t="str">
        <f>MID(Tabla1[[#This Row],[Aplicación]],14,6)</f>
        <v>22609</v>
      </c>
    </row>
    <row r="2738" spans="1:24" x14ac:dyDescent="0.25">
      <c r="A2738" s="45">
        <v>220210031360</v>
      </c>
      <c r="B2738" s="46" t="s">
        <v>9</v>
      </c>
      <c r="C2738" s="47">
        <v>44365</v>
      </c>
      <c r="D2738" s="45">
        <v>22021004826</v>
      </c>
      <c r="E2738" s="46" t="s">
        <v>3378</v>
      </c>
      <c r="F2738" s="48">
        <v>400</v>
      </c>
      <c r="G2738" s="54" t="s">
        <v>4275</v>
      </c>
      <c r="H2738" s="54" t="s">
        <v>4276</v>
      </c>
      <c r="I2738" s="53" t="s">
        <v>125</v>
      </c>
      <c r="J2738" s="54" t="s">
        <v>4277</v>
      </c>
      <c r="K2738" s="54" t="s">
        <v>127</v>
      </c>
      <c r="L2738" s="54" t="s">
        <v>12</v>
      </c>
      <c r="M2738" s="54" t="s">
        <v>10</v>
      </c>
      <c r="N2738" s="54" t="s">
        <v>11</v>
      </c>
      <c r="O2738" s="49" t="s">
        <v>815</v>
      </c>
      <c r="P2738" s="54" t="s">
        <v>3392</v>
      </c>
      <c r="Q2738" s="35" t="str">
        <f>MID(Tabla1[[#This Row],[Aplicación]],14,1)</f>
        <v>2</v>
      </c>
      <c r="R2738" s="35" t="s">
        <v>495</v>
      </c>
      <c r="S2738" s="35" t="str">
        <f>MID(Tabla1[[#This Row],[Aplicación]],6,2)</f>
        <v>09</v>
      </c>
      <c r="T2738" s="35" t="str">
        <f>VLOOKUP(Tabla1[[#This Row],[AREA]],Hoja1!A:B,2,FALSE)</f>
        <v>09. Cultura y turismo</v>
      </c>
      <c r="U2738" s="35" t="str">
        <f>MID(Tabla1[[#This Row],[Aplicación]],9,4)</f>
        <v>3301</v>
      </c>
      <c r="V2738" s="35" t="str">
        <f>VLOOKUP(Tabla1[[#This Row],[PROGRAMA]],Hoja1!A:B,2,FALSE)</f>
        <v>3301. Dirección del área de cultura</v>
      </c>
      <c r="W2738" s="35" t="str">
        <f>MID(Tabla1[[#This Row],[Aplicación]],14,2)</f>
        <v>22</v>
      </c>
      <c r="X2738" s="35" t="str">
        <f>MID(Tabla1[[#This Row],[Aplicación]],14,6)</f>
        <v>22699</v>
      </c>
    </row>
    <row r="2739" spans="1:24" x14ac:dyDescent="0.25">
      <c r="A2739" s="45">
        <v>220210026154</v>
      </c>
      <c r="B2739" s="46" t="s">
        <v>9</v>
      </c>
      <c r="C2739" s="47">
        <v>44347</v>
      </c>
      <c r="D2739" s="45">
        <v>22021004605</v>
      </c>
      <c r="E2739" s="46" t="s">
        <v>823</v>
      </c>
      <c r="F2739" s="48">
        <v>400</v>
      </c>
      <c r="G2739" s="54" t="s">
        <v>4278</v>
      </c>
      <c r="H2739" s="54" t="s">
        <v>4279</v>
      </c>
      <c r="I2739" s="53" t="s">
        <v>125</v>
      </c>
      <c r="J2739" s="54" t="s">
        <v>127</v>
      </c>
      <c r="K2739" s="54" t="s">
        <v>127</v>
      </c>
      <c r="L2739" s="54" t="s">
        <v>12</v>
      </c>
      <c r="M2739" s="54" t="s">
        <v>10</v>
      </c>
      <c r="N2739" s="54" t="s">
        <v>11</v>
      </c>
      <c r="O2739" s="49" t="s">
        <v>815</v>
      </c>
      <c r="P2739" s="54" t="s">
        <v>3392</v>
      </c>
      <c r="Q2739" s="35" t="str">
        <f>MID(Tabla1[[#This Row],[Aplicación]],14,1)</f>
        <v>2</v>
      </c>
      <c r="R2739" s="35" t="s">
        <v>495</v>
      </c>
      <c r="S2739" s="35" t="str">
        <f>MID(Tabla1[[#This Row],[Aplicación]],6,2)</f>
        <v>03</v>
      </c>
      <c r="T2739" s="35" t="str">
        <f>VLOOKUP(Tabla1[[#This Row],[AREA]],Hoja1!A:B,2,FALSE)</f>
        <v>03. Participación ciudadana y deportes</v>
      </c>
      <c r="U2739" s="35" t="str">
        <f>MID(Tabla1[[#This Row],[Aplicación]],9,4)</f>
        <v>9241</v>
      </c>
      <c r="V2739" s="35" t="str">
        <f>VLOOKUP(Tabla1[[#This Row],[PROGRAMA]],Hoja1!A:B,2,FALSE)</f>
        <v>9241. Participación ciudadana</v>
      </c>
      <c r="W2739" s="35" t="str">
        <f>MID(Tabla1[[#This Row],[Aplicación]],14,2)</f>
        <v>22</v>
      </c>
      <c r="X2739" s="35" t="str">
        <f>MID(Tabla1[[#This Row],[Aplicación]],14,6)</f>
        <v>22609</v>
      </c>
    </row>
    <row r="2740" spans="1:24" x14ac:dyDescent="0.25">
      <c r="A2740" s="45">
        <v>220210030283</v>
      </c>
      <c r="B2740" s="46" t="s">
        <v>9</v>
      </c>
      <c r="C2740" s="47">
        <v>44357</v>
      </c>
      <c r="D2740" s="45">
        <v>22021001278</v>
      </c>
      <c r="E2740" s="46" t="s">
        <v>840</v>
      </c>
      <c r="F2740" s="48">
        <v>400</v>
      </c>
      <c r="G2740" s="54" t="s">
        <v>53</v>
      </c>
      <c r="H2740" s="54" t="s">
        <v>4280</v>
      </c>
      <c r="I2740" s="53" t="s">
        <v>125</v>
      </c>
      <c r="J2740" s="54" t="s">
        <v>127</v>
      </c>
      <c r="K2740" s="54" t="s">
        <v>127</v>
      </c>
      <c r="L2740" s="54" t="s">
        <v>12</v>
      </c>
      <c r="M2740" s="54" t="s">
        <v>10</v>
      </c>
      <c r="N2740" s="54" t="s">
        <v>11</v>
      </c>
      <c r="O2740" s="49" t="s">
        <v>815</v>
      </c>
      <c r="P2740" s="54" t="s">
        <v>3392</v>
      </c>
      <c r="Q2740" s="35" t="str">
        <f>MID(Tabla1[[#This Row],[Aplicación]],14,1)</f>
        <v>2</v>
      </c>
      <c r="R2740" s="35" t="s">
        <v>495</v>
      </c>
      <c r="S2740" s="35" t="str">
        <f>MID(Tabla1[[#This Row],[Aplicación]],6,2)</f>
        <v>07</v>
      </c>
      <c r="T2740" s="35" t="str">
        <f>VLOOKUP(Tabla1[[#This Row],[AREA]],Hoja1!A:B,2,FALSE)</f>
        <v>07. Medio ambiente y desarrollo sostenible</v>
      </c>
      <c r="U2740" s="35" t="str">
        <f>MID(Tabla1[[#This Row],[Aplicación]],9,4)</f>
        <v>1711</v>
      </c>
      <c r="V2740" s="35" t="str">
        <f>VLOOKUP(Tabla1[[#This Row],[PROGRAMA]],Hoja1!A:B,2,FALSE)</f>
        <v>1711. Parques y jardines</v>
      </c>
      <c r="W2740" s="35" t="str">
        <f>MID(Tabla1[[#This Row],[Aplicación]],14,2)</f>
        <v>22</v>
      </c>
      <c r="X2740" s="35" t="str">
        <f>MID(Tabla1[[#This Row],[Aplicación]],14,6)</f>
        <v>22799</v>
      </c>
    </row>
    <row r="2741" spans="1:24" x14ac:dyDescent="0.25">
      <c r="A2741" s="45">
        <v>220210020089</v>
      </c>
      <c r="B2741" s="46" t="s">
        <v>9</v>
      </c>
      <c r="C2741" s="47">
        <v>44321</v>
      </c>
      <c r="D2741" s="45">
        <v>22021004198</v>
      </c>
      <c r="E2741" s="46" t="s">
        <v>1758</v>
      </c>
      <c r="F2741" s="48">
        <v>400</v>
      </c>
      <c r="G2741" s="54" t="s">
        <v>297</v>
      </c>
      <c r="H2741" s="54" t="s">
        <v>4281</v>
      </c>
      <c r="I2741" s="53" t="s">
        <v>125</v>
      </c>
      <c r="J2741" s="54" t="s">
        <v>127</v>
      </c>
      <c r="K2741" s="54" t="s">
        <v>127</v>
      </c>
      <c r="L2741" s="54" t="s">
        <v>15</v>
      </c>
      <c r="M2741" s="54" t="s">
        <v>10</v>
      </c>
      <c r="N2741" s="54" t="s">
        <v>16</v>
      </c>
      <c r="O2741" s="49" t="s">
        <v>815</v>
      </c>
      <c r="P2741" s="54" t="s">
        <v>3392</v>
      </c>
      <c r="Q2741" s="35" t="str">
        <f>MID(Tabla1[[#This Row],[Aplicación]],14,1)</f>
        <v>2</v>
      </c>
      <c r="R2741" s="35" t="s">
        <v>495</v>
      </c>
      <c r="S2741" s="35" t="str">
        <f>MID(Tabla1[[#This Row],[Aplicación]],6,2)</f>
        <v>06</v>
      </c>
      <c r="T2741" s="35" t="str">
        <f>VLOOKUP(Tabla1[[#This Row],[AREA]],Hoja1!A:B,2,FALSE)</f>
        <v>06. Educación, infancia, juventud e igualdad</v>
      </c>
      <c r="U2741" s="35" t="str">
        <f>MID(Tabla1[[#This Row],[Aplicación]],9,4)</f>
        <v>3321</v>
      </c>
      <c r="V2741" s="35" t="str">
        <f>VLOOKUP(Tabla1[[#This Row],[PROGRAMA]],Hoja1!A:B,2,FALSE)</f>
        <v>3321. Bibliotecas públicas</v>
      </c>
      <c r="W2741" s="35" t="str">
        <f>MID(Tabla1[[#This Row],[Aplicación]],14,2)</f>
        <v>22</v>
      </c>
      <c r="X2741" s="35" t="str">
        <f>MID(Tabla1[[#This Row],[Aplicación]],14,6)</f>
        <v>22199</v>
      </c>
    </row>
    <row r="2742" spans="1:24" x14ac:dyDescent="0.25">
      <c r="A2742" s="45">
        <v>220210032703</v>
      </c>
      <c r="B2742" s="46" t="s">
        <v>204</v>
      </c>
      <c r="C2742" s="47">
        <v>44371</v>
      </c>
      <c r="D2742" s="45">
        <v>22021003381</v>
      </c>
      <c r="E2742" s="46" t="s">
        <v>1183</v>
      </c>
      <c r="F2742" s="48">
        <v>699.28</v>
      </c>
      <c r="G2742" s="54" t="s">
        <v>264</v>
      </c>
      <c r="H2742" s="54" t="s">
        <v>4282</v>
      </c>
      <c r="I2742" s="53" t="s">
        <v>205</v>
      </c>
      <c r="J2742" s="54" t="s">
        <v>127</v>
      </c>
      <c r="K2742" s="54" t="s">
        <v>127</v>
      </c>
      <c r="L2742" s="54" t="s">
        <v>15</v>
      </c>
      <c r="M2742" s="54" t="s">
        <v>13</v>
      </c>
      <c r="N2742" s="54" t="s">
        <v>14</v>
      </c>
      <c r="O2742" s="49" t="s">
        <v>814</v>
      </c>
      <c r="P2742" s="54" t="s">
        <v>3392</v>
      </c>
      <c r="Q2742" s="35" t="str">
        <f>MID(Tabla1[[#This Row],[Aplicación]],14,1)</f>
        <v>2</v>
      </c>
      <c r="R2742" s="35" t="s">
        <v>495</v>
      </c>
      <c r="S2742" s="35" t="str">
        <f>MID(Tabla1[[#This Row],[Aplicación]],6,2)</f>
        <v>11</v>
      </c>
      <c r="T2742" s="35" t="str">
        <f>VLOOKUP(Tabla1[[#This Row],[AREA]],Hoja1!A:B,2,FALSE)</f>
        <v>11. Salud pública y seguridad ciudadana</v>
      </c>
      <c r="U2742" s="35" t="str">
        <f>MID(Tabla1[[#This Row],[Aplicación]],9,4)</f>
        <v>1361</v>
      </c>
      <c r="V2742" s="35" t="str">
        <f>VLOOKUP(Tabla1[[#This Row],[PROGRAMA]],Hoja1!A:B,2,FALSE)</f>
        <v>1361. Prevención y extinción de incencios</v>
      </c>
      <c r="W2742" s="35" t="str">
        <f>MID(Tabla1[[#This Row],[Aplicación]],14,2)</f>
        <v>22</v>
      </c>
      <c r="X2742" s="35" t="str">
        <f>MID(Tabla1[[#This Row],[Aplicación]],14,6)</f>
        <v>22199</v>
      </c>
    </row>
    <row r="2743" spans="1:24" x14ac:dyDescent="0.25">
      <c r="A2743" s="45">
        <v>220210019130</v>
      </c>
      <c r="B2743" s="46" t="s">
        <v>204</v>
      </c>
      <c r="C2743" s="47">
        <v>44319</v>
      </c>
      <c r="D2743" s="45">
        <v>22021001169</v>
      </c>
      <c r="E2743" s="46" t="s">
        <v>1319</v>
      </c>
      <c r="F2743" s="48">
        <v>683.82</v>
      </c>
      <c r="G2743" s="54" t="s">
        <v>102</v>
      </c>
      <c r="H2743" s="54" t="s">
        <v>4283</v>
      </c>
      <c r="I2743" s="53" t="s">
        <v>205</v>
      </c>
      <c r="J2743" s="54" t="s">
        <v>127</v>
      </c>
      <c r="K2743" s="54" t="s">
        <v>127</v>
      </c>
      <c r="L2743" s="54" t="s">
        <v>15</v>
      </c>
      <c r="M2743" s="54" t="s">
        <v>13</v>
      </c>
      <c r="N2743" s="54" t="s">
        <v>14</v>
      </c>
      <c r="O2743" s="49" t="s">
        <v>814</v>
      </c>
      <c r="P2743" s="54" t="s">
        <v>3392</v>
      </c>
      <c r="Q2743" s="35" t="str">
        <f>MID(Tabla1[[#This Row],[Aplicación]],14,1)</f>
        <v>2</v>
      </c>
      <c r="R2743" s="35" t="s">
        <v>495</v>
      </c>
      <c r="S2743" s="35" t="str">
        <f>MID(Tabla1[[#This Row],[Aplicación]],6,2)</f>
        <v>10</v>
      </c>
      <c r="T2743" s="35" t="str">
        <f>VLOOKUP(Tabla1[[#This Row],[AREA]],Hoja1!A:B,2,FALSE)</f>
        <v>10. Servicios sociales y mediación comunitaria</v>
      </c>
      <c r="U2743" s="35" t="str">
        <f>MID(Tabla1[[#This Row],[Aplicación]],9,4)</f>
        <v>2412</v>
      </c>
      <c r="V2743" s="35" t="str">
        <f>VLOOKUP(Tabla1[[#This Row],[PROGRAMA]],Hoja1!A:B,2,FALSE)</f>
        <v>2412. Formación para el empleo</v>
      </c>
      <c r="W2743" s="35" t="str">
        <f>MID(Tabla1[[#This Row],[Aplicación]],14,2)</f>
        <v>21</v>
      </c>
      <c r="X2743" s="35" t="str">
        <f>MID(Tabla1[[#This Row],[Aplicación]],14,6)</f>
        <v>212</v>
      </c>
    </row>
    <row r="2744" spans="1:24" x14ac:dyDescent="0.25">
      <c r="A2744" s="45">
        <v>220210022845</v>
      </c>
      <c r="B2744" s="46" t="s">
        <v>9</v>
      </c>
      <c r="C2744" s="47">
        <v>44334</v>
      </c>
      <c r="D2744" s="45">
        <v>22021004405</v>
      </c>
      <c r="E2744" s="46" t="s">
        <v>1201</v>
      </c>
      <c r="F2744" s="48">
        <v>394</v>
      </c>
      <c r="G2744" s="54" t="s">
        <v>532</v>
      </c>
      <c r="H2744" s="54" t="s">
        <v>4284</v>
      </c>
      <c r="I2744" s="53" t="s">
        <v>125</v>
      </c>
      <c r="J2744" s="54" t="s">
        <v>777</v>
      </c>
      <c r="K2744" s="54" t="s">
        <v>127</v>
      </c>
      <c r="L2744" s="54" t="s">
        <v>15</v>
      </c>
      <c r="M2744" s="54" t="s">
        <v>10</v>
      </c>
      <c r="N2744" s="54" t="s">
        <v>11</v>
      </c>
      <c r="O2744" s="49" t="s">
        <v>815</v>
      </c>
      <c r="P2744" s="54" t="s">
        <v>3392</v>
      </c>
      <c r="Q2744" s="35" t="str">
        <f>MID(Tabla1[[#This Row],[Aplicación]],14,1)</f>
        <v>2</v>
      </c>
      <c r="R2744" s="35" t="s">
        <v>495</v>
      </c>
      <c r="S2744" s="35" t="str">
        <f>MID(Tabla1[[#This Row],[Aplicación]],6,2)</f>
        <v>11</v>
      </c>
      <c r="T2744" s="35" t="str">
        <f>VLOOKUP(Tabla1[[#This Row],[AREA]],Hoja1!A:B,2,FALSE)</f>
        <v>11. Salud pública y seguridad ciudadana</v>
      </c>
      <c r="U2744" s="35" t="str">
        <f>MID(Tabla1[[#This Row],[Aplicación]],9,4)</f>
        <v>3111</v>
      </c>
      <c r="V2744" s="35" t="str">
        <f>VLOOKUP(Tabla1[[#This Row],[PROGRAMA]],Hoja1!A:B,2,FALSE)</f>
        <v>3111. Protección de la salubridad pública</v>
      </c>
      <c r="W2744" s="35" t="str">
        <f>MID(Tabla1[[#This Row],[Aplicación]],14,2)</f>
        <v>22</v>
      </c>
      <c r="X2744" s="35" t="str">
        <f>MID(Tabla1[[#This Row],[Aplicación]],14,6)</f>
        <v>22106</v>
      </c>
    </row>
    <row r="2745" spans="1:24" x14ac:dyDescent="0.25">
      <c r="A2745" s="45">
        <v>220210016387</v>
      </c>
      <c r="B2745" s="46" t="s">
        <v>9</v>
      </c>
      <c r="C2745" s="47">
        <v>44306</v>
      </c>
      <c r="D2745" s="45">
        <v>22021003976</v>
      </c>
      <c r="E2745" s="46" t="s">
        <v>1478</v>
      </c>
      <c r="F2745" s="48">
        <v>393.25</v>
      </c>
      <c r="G2745" s="54" t="s">
        <v>575</v>
      </c>
      <c r="H2745" s="54" t="s">
        <v>4285</v>
      </c>
      <c r="I2745" s="53" t="s">
        <v>125</v>
      </c>
      <c r="J2745" s="54" t="s">
        <v>127</v>
      </c>
      <c r="K2745" s="54" t="s">
        <v>127</v>
      </c>
      <c r="L2745" s="54" t="s">
        <v>31</v>
      </c>
      <c r="M2745" s="54" t="s">
        <v>10</v>
      </c>
      <c r="N2745" s="54" t="s">
        <v>11</v>
      </c>
      <c r="O2745" s="49" t="s">
        <v>815</v>
      </c>
      <c r="P2745" s="54" t="s">
        <v>3392</v>
      </c>
      <c r="Q2745" s="35" t="str">
        <f>MID(Tabla1[[#This Row],[Aplicación]],14,1)</f>
        <v>2</v>
      </c>
      <c r="R2745" s="35" t="s">
        <v>495</v>
      </c>
      <c r="S2745" s="35" t="str">
        <f>MID(Tabla1[[#This Row],[Aplicación]],6,2)</f>
        <v>03</v>
      </c>
      <c r="T2745" s="35" t="str">
        <f>VLOOKUP(Tabla1[[#This Row],[AREA]],Hoja1!A:B,2,FALSE)</f>
        <v>03. Participación ciudadana y deportes</v>
      </c>
      <c r="U2745" s="35" t="str">
        <f>MID(Tabla1[[#This Row],[Aplicación]],9,4)</f>
        <v>9241</v>
      </c>
      <c r="V2745" s="35" t="str">
        <f>VLOOKUP(Tabla1[[#This Row],[PROGRAMA]],Hoja1!A:B,2,FALSE)</f>
        <v>9241. Participación ciudadana</v>
      </c>
      <c r="W2745" s="35" t="str">
        <f>MID(Tabla1[[#This Row],[Aplicación]],14,2)</f>
        <v>21</v>
      </c>
      <c r="X2745" s="35" t="str">
        <f>MID(Tabla1[[#This Row],[Aplicación]],14,6)</f>
        <v>212</v>
      </c>
    </row>
    <row r="2746" spans="1:24" x14ac:dyDescent="0.25">
      <c r="A2746" s="45">
        <v>220210015516</v>
      </c>
      <c r="B2746" s="46" t="s">
        <v>9</v>
      </c>
      <c r="C2746" s="47">
        <v>44301</v>
      </c>
      <c r="D2746" s="45">
        <v>22021003854</v>
      </c>
      <c r="E2746" s="46" t="s">
        <v>1873</v>
      </c>
      <c r="F2746" s="48">
        <v>390.23</v>
      </c>
      <c r="G2746" s="54" t="s">
        <v>50</v>
      </c>
      <c r="H2746" s="54" t="s">
        <v>4286</v>
      </c>
      <c r="I2746" s="53" t="s">
        <v>125</v>
      </c>
      <c r="J2746" s="54" t="s">
        <v>127</v>
      </c>
      <c r="K2746" s="54" t="s">
        <v>127</v>
      </c>
      <c r="L2746" s="54" t="s">
        <v>15</v>
      </c>
      <c r="M2746" s="54" t="s">
        <v>10</v>
      </c>
      <c r="N2746" s="54" t="s">
        <v>11</v>
      </c>
      <c r="O2746" s="49" t="s">
        <v>815</v>
      </c>
      <c r="P2746" s="54" t="s">
        <v>3392</v>
      </c>
      <c r="Q2746" s="35" t="str">
        <f>MID(Tabla1[[#This Row],[Aplicación]],14,1)</f>
        <v>2</v>
      </c>
      <c r="R2746" s="35" t="s">
        <v>495</v>
      </c>
      <c r="S2746" s="35" t="str">
        <f>MID(Tabla1[[#This Row],[Aplicación]],6,2)</f>
        <v>11</v>
      </c>
      <c r="T2746" s="35" t="str">
        <f>VLOOKUP(Tabla1[[#This Row],[AREA]],Hoja1!A:B,2,FALSE)</f>
        <v>11. Salud pública y seguridad ciudadana</v>
      </c>
      <c r="U2746" s="35" t="str">
        <f>MID(Tabla1[[#This Row],[Aplicación]],9,4)</f>
        <v>3111</v>
      </c>
      <c r="V2746" s="35" t="str">
        <f>VLOOKUP(Tabla1[[#This Row],[PROGRAMA]],Hoja1!A:B,2,FALSE)</f>
        <v>3111. Protección de la salubridad pública</v>
      </c>
      <c r="W2746" s="35" t="str">
        <f>MID(Tabla1[[#This Row],[Aplicación]],14,2)</f>
        <v>21</v>
      </c>
      <c r="X2746" s="35" t="str">
        <f>MID(Tabla1[[#This Row],[Aplicación]],14,6)</f>
        <v>213</v>
      </c>
    </row>
    <row r="2747" spans="1:24" x14ac:dyDescent="0.25">
      <c r="A2747" s="45">
        <v>220210016735</v>
      </c>
      <c r="B2747" s="46" t="s">
        <v>9</v>
      </c>
      <c r="C2747" s="47">
        <v>44307</v>
      </c>
      <c r="D2747" s="45">
        <v>22021004103</v>
      </c>
      <c r="E2747" s="46" t="s">
        <v>926</v>
      </c>
      <c r="F2747" s="48">
        <v>389.62</v>
      </c>
      <c r="G2747" s="54" t="s">
        <v>4287</v>
      </c>
      <c r="H2747" s="54" t="s">
        <v>4288</v>
      </c>
      <c r="I2747" s="53" t="s">
        <v>125</v>
      </c>
      <c r="J2747" s="54" t="s">
        <v>4289</v>
      </c>
      <c r="K2747" s="54" t="s">
        <v>4290</v>
      </c>
      <c r="L2747" s="54" t="s">
        <v>12</v>
      </c>
      <c r="M2747" s="54" t="s">
        <v>10</v>
      </c>
      <c r="N2747" s="54" t="s">
        <v>11</v>
      </c>
      <c r="O2747" s="49" t="s">
        <v>815</v>
      </c>
      <c r="P2747" s="54" t="s">
        <v>3392</v>
      </c>
      <c r="Q2747" s="35" t="str">
        <f>MID(Tabla1[[#This Row],[Aplicación]],14,1)</f>
        <v>2</v>
      </c>
      <c r="R2747" s="35" t="s">
        <v>495</v>
      </c>
      <c r="S2747" s="35" t="str">
        <f>MID(Tabla1[[#This Row],[Aplicación]],6,2)</f>
        <v>08</v>
      </c>
      <c r="T2747" s="35" t="str">
        <f>VLOOKUP(Tabla1[[#This Row],[AREA]],Hoja1!A:B,2,FALSE)</f>
        <v>08. Movilidad y espacio urbano</v>
      </c>
      <c r="U2747" s="35" t="str">
        <f>MID(Tabla1[[#This Row],[Aplicación]],9,4)</f>
        <v>1532</v>
      </c>
      <c r="V2747" s="35" t="str">
        <f>VLOOKUP(Tabla1[[#This Row],[PROGRAMA]],Hoja1!A:B,2,FALSE)</f>
        <v>1532. Pavimentación vias públicas y otros servicios urbanísticos</v>
      </c>
      <c r="W2747" s="35" t="str">
        <f>MID(Tabla1[[#This Row],[Aplicación]],14,2)</f>
        <v>21</v>
      </c>
      <c r="X2747" s="35" t="str">
        <f>MID(Tabla1[[#This Row],[Aplicación]],14,6)</f>
        <v>213</v>
      </c>
    </row>
    <row r="2748" spans="1:24" x14ac:dyDescent="0.25">
      <c r="A2748" s="45">
        <v>220210020807</v>
      </c>
      <c r="B2748" s="46" t="s">
        <v>204</v>
      </c>
      <c r="C2748" s="47">
        <v>44323</v>
      </c>
      <c r="D2748" s="45">
        <v>22021002228</v>
      </c>
      <c r="E2748" s="46" t="s">
        <v>1471</v>
      </c>
      <c r="F2748" s="48">
        <v>660.13</v>
      </c>
      <c r="G2748" s="54" t="s">
        <v>235</v>
      </c>
      <c r="H2748" s="54" t="s">
        <v>4291</v>
      </c>
      <c r="I2748" s="53" t="s">
        <v>205</v>
      </c>
      <c r="J2748" s="54" t="s">
        <v>742</v>
      </c>
      <c r="K2748" s="54" t="s">
        <v>165</v>
      </c>
      <c r="L2748" s="54" t="s">
        <v>15</v>
      </c>
      <c r="M2748" s="54" t="s">
        <v>13</v>
      </c>
      <c r="N2748" s="54" t="s">
        <v>14</v>
      </c>
      <c r="O2748" s="49" t="s">
        <v>814</v>
      </c>
      <c r="P2748" s="54" t="s">
        <v>3392</v>
      </c>
      <c r="Q2748" s="35" t="str">
        <f>MID(Tabla1[[#This Row],[Aplicación]],14,1)</f>
        <v>2</v>
      </c>
      <c r="R2748" s="35" t="s">
        <v>495</v>
      </c>
      <c r="S2748" s="35" t="str">
        <f>MID(Tabla1[[#This Row],[Aplicación]],6,2)</f>
        <v>06</v>
      </c>
      <c r="T2748" s="35" t="str">
        <f>VLOOKUP(Tabla1[[#This Row],[AREA]],Hoja1!A:B,2,FALSE)</f>
        <v>06. Educación, infancia, juventud e igualdad</v>
      </c>
      <c r="U2748" s="35" t="str">
        <f>MID(Tabla1[[#This Row],[Aplicación]],9,4)</f>
        <v>3232</v>
      </c>
      <c r="V2748" s="35" t="str">
        <f>VLOOKUP(Tabla1[[#This Row],[PROGRAMA]],Hoja1!A:B,2,FALSE)</f>
        <v>3232. Conservación y mantenimiento centros educación infantil y primaria</v>
      </c>
      <c r="W2748" s="35" t="str">
        <f>MID(Tabla1[[#This Row],[Aplicación]],14,2)</f>
        <v>21</v>
      </c>
      <c r="X2748" s="35" t="str">
        <f>MID(Tabla1[[#This Row],[Aplicación]],14,6)</f>
        <v>212</v>
      </c>
    </row>
    <row r="2749" spans="1:24" x14ac:dyDescent="0.25">
      <c r="A2749" s="45">
        <v>220210023526</v>
      </c>
      <c r="B2749" s="46" t="s">
        <v>9</v>
      </c>
      <c r="C2749" s="47">
        <v>44336</v>
      </c>
      <c r="D2749" s="45">
        <v>22021004468</v>
      </c>
      <c r="E2749" s="46" t="s">
        <v>2528</v>
      </c>
      <c r="F2749" s="48">
        <v>387.2</v>
      </c>
      <c r="G2749" s="54" t="s">
        <v>4292</v>
      </c>
      <c r="H2749" s="54" t="s">
        <v>4293</v>
      </c>
      <c r="I2749" s="53" t="s">
        <v>125</v>
      </c>
      <c r="J2749" s="54" t="s">
        <v>4294</v>
      </c>
      <c r="K2749" s="54" t="s">
        <v>127</v>
      </c>
      <c r="L2749" s="54" t="s">
        <v>12</v>
      </c>
      <c r="M2749" s="54" t="s">
        <v>10</v>
      </c>
      <c r="N2749" s="54" t="s">
        <v>11</v>
      </c>
      <c r="O2749" s="49" t="s">
        <v>815</v>
      </c>
      <c r="P2749" s="54" t="s">
        <v>3392</v>
      </c>
      <c r="Q2749" s="35" t="str">
        <f>MID(Tabla1[[#This Row],[Aplicación]],14,1)</f>
        <v>2</v>
      </c>
      <c r="R2749" s="35" t="s">
        <v>495</v>
      </c>
      <c r="S2749" s="35" t="str">
        <f>MID(Tabla1[[#This Row],[Aplicación]],6,2)</f>
        <v>01</v>
      </c>
      <c r="T2749" s="35" t="str">
        <f>VLOOKUP(Tabla1[[#This Row],[AREA]],Hoja1!A:B,2,FALSE)</f>
        <v>01. Alcaldía</v>
      </c>
      <c r="U2749" s="35" t="str">
        <f>MID(Tabla1[[#This Row],[Aplicación]],9,4)</f>
        <v>9206</v>
      </c>
      <c r="V2749" s="35" t="str">
        <f>VLOOKUP(Tabla1[[#This Row],[PROGRAMA]],Hoja1!A:B,2,FALSE)</f>
        <v>9206. Archivo municipal</v>
      </c>
      <c r="W2749" s="35" t="str">
        <f>MID(Tabla1[[#This Row],[Aplicación]],14,2)</f>
        <v>22</v>
      </c>
      <c r="X2749" s="35" t="str">
        <f>MID(Tabla1[[#This Row],[Aplicación]],14,6)</f>
        <v>22799</v>
      </c>
    </row>
    <row r="2750" spans="1:24" x14ac:dyDescent="0.25">
      <c r="A2750" s="45">
        <v>220210030631</v>
      </c>
      <c r="B2750" s="46" t="s">
        <v>204</v>
      </c>
      <c r="C2750" s="47">
        <v>44358</v>
      </c>
      <c r="D2750" s="45">
        <v>22020000876</v>
      </c>
      <c r="E2750" s="46" t="s">
        <v>1542</v>
      </c>
      <c r="F2750" s="48">
        <v>528.02</v>
      </c>
      <c r="G2750" s="54" t="s">
        <v>121</v>
      </c>
      <c r="H2750" s="54" t="s">
        <v>4295</v>
      </c>
      <c r="I2750" s="53" t="s">
        <v>205</v>
      </c>
      <c r="J2750" s="54" t="s">
        <v>664</v>
      </c>
      <c r="K2750" s="54" t="s">
        <v>127</v>
      </c>
      <c r="L2750" s="54" t="s">
        <v>31</v>
      </c>
      <c r="M2750" s="54" t="s">
        <v>13</v>
      </c>
      <c r="N2750" s="54" t="s">
        <v>14</v>
      </c>
      <c r="O2750" s="49" t="s">
        <v>814</v>
      </c>
      <c r="P2750" s="54" t="s">
        <v>3392</v>
      </c>
      <c r="Q2750" s="35" t="str">
        <f>MID(Tabla1[[#This Row],[Aplicación]],14,1)</f>
        <v>6</v>
      </c>
      <c r="R2750" s="35" t="s">
        <v>496</v>
      </c>
      <c r="S2750" s="35" t="str">
        <f>MID(Tabla1[[#This Row],[Aplicación]],6,2)</f>
        <v>05</v>
      </c>
      <c r="T2750" s="35" t="str">
        <f>VLOOKUP(Tabla1[[#This Row],[AREA]],Hoja1!A:B,2,FALSE)</f>
        <v>05. Innovación, desarrollo económico, empleo y comercio</v>
      </c>
      <c r="U2750" s="35" t="str">
        <f>MID(Tabla1[[#This Row],[Aplicación]],9,4)</f>
        <v>4331</v>
      </c>
      <c r="V2750" s="35" t="str">
        <f>VLOOKUP(Tabla1[[#This Row],[PROGRAMA]],Hoja1!A:B,2,FALSE)</f>
        <v>4331. Desarrollo empresarial</v>
      </c>
      <c r="W2750" s="35" t="str">
        <f>MID(Tabla1[[#This Row],[Aplicación]],14,2)</f>
        <v>60</v>
      </c>
      <c r="X2750" s="35" t="str">
        <f>MID(Tabla1[[#This Row],[Aplicación]],14,6)</f>
        <v>609</v>
      </c>
    </row>
    <row r="2751" spans="1:24" x14ac:dyDescent="0.25">
      <c r="A2751" s="45">
        <v>220210023524</v>
      </c>
      <c r="B2751" s="46" t="s">
        <v>9</v>
      </c>
      <c r="C2751" s="47">
        <v>44336</v>
      </c>
      <c r="D2751" s="45">
        <v>22021004449</v>
      </c>
      <c r="E2751" s="46" t="s">
        <v>1560</v>
      </c>
      <c r="F2751" s="48">
        <v>383.47</v>
      </c>
      <c r="G2751" s="54" t="s">
        <v>73</v>
      </c>
      <c r="H2751" s="54" t="s">
        <v>4296</v>
      </c>
      <c r="I2751" s="53" t="s">
        <v>125</v>
      </c>
      <c r="J2751" s="54" t="s">
        <v>127</v>
      </c>
      <c r="K2751" s="54" t="s">
        <v>127</v>
      </c>
      <c r="L2751" s="54" t="s">
        <v>15</v>
      </c>
      <c r="M2751" s="54" t="s">
        <v>10</v>
      </c>
      <c r="N2751" s="54" t="s">
        <v>11</v>
      </c>
      <c r="O2751" s="49" t="s">
        <v>815</v>
      </c>
      <c r="P2751" s="54" t="s">
        <v>3392</v>
      </c>
      <c r="Q2751" s="35" t="str">
        <f>MID(Tabla1[[#This Row],[Aplicación]],14,1)</f>
        <v>2</v>
      </c>
      <c r="R2751" s="35" t="s">
        <v>495</v>
      </c>
      <c r="S2751" s="35" t="str">
        <f>MID(Tabla1[[#This Row],[Aplicación]],6,2)</f>
        <v>03</v>
      </c>
      <c r="T2751" s="35" t="str">
        <f>VLOOKUP(Tabla1[[#This Row],[AREA]],Hoja1!A:B,2,FALSE)</f>
        <v>03. Participación ciudadana y deportes</v>
      </c>
      <c r="U2751" s="35" t="str">
        <f>MID(Tabla1[[#This Row],[Aplicación]],9,4)</f>
        <v>9241</v>
      </c>
      <c r="V2751" s="35" t="str">
        <f>VLOOKUP(Tabla1[[#This Row],[PROGRAMA]],Hoja1!A:B,2,FALSE)</f>
        <v>9241. Participación ciudadana</v>
      </c>
      <c r="W2751" s="35" t="str">
        <f>MID(Tabla1[[#This Row],[Aplicación]],14,2)</f>
        <v>22</v>
      </c>
      <c r="X2751" s="35" t="str">
        <f>MID(Tabla1[[#This Row],[Aplicación]],14,6)</f>
        <v>22103</v>
      </c>
    </row>
    <row r="2752" spans="1:24" x14ac:dyDescent="0.25">
      <c r="A2752" s="45">
        <v>220210022814</v>
      </c>
      <c r="B2752" s="46" t="s">
        <v>9</v>
      </c>
      <c r="C2752" s="47">
        <v>44333</v>
      </c>
      <c r="D2752" s="45">
        <v>22021004379</v>
      </c>
      <c r="E2752" s="46" t="s">
        <v>1267</v>
      </c>
      <c r="F2752" s="48">
        <v>379.94</v>
      </c>
      <c r="G2752" s="54" t="s">
        <v>4297</v>
      </c>
      <c r="H2752" s="54" t="s">
        <v>4298</v>
      </c>
      <c r="I2752" s="53" t="s">
        <v>125</v>
      </c>
      <c r="J2752" s="54" t="s">
        <v>127</v>
      </c>
      <c r="K2752" s="54" t="s">
        <v>127</v>
      </c>
      <c r="L2752" s="54" t="s">
        <v>15</v>
      </c>
      <c r="M2752" s="54" t="s">
        <v>10</v>
      </c>
      <c r="N2752" s="54" t="s">
        <v>11</v>
      </c>
      <c r="O2752" s="49" t="s">
        <v>815</v>
      </c>
      <c r="P2752" s="54" t="s">
        <v>3392</v>
      </c>
      <c r="Q2752" s="35" t="str">
        <f>MID(Tabla1[[#This Row],[Aplicación]],14,1)</f>
        <v>2</v>
      </c>
      <c r="R2752" s="35" t="s">
        <v>495</v>
      </c>
      <c r="S2752" s="35" t="str">
        <f>MID(Tabla1[[#This Row],[Aplicación]],6,2)</f>
        <v>03</v>
      </c>
      <c r="T2752" s="35" t="str">
        <f>VLOOKUP(Tabla1[[#This Row],[AREA]],Hoja1!A:B,2,FALSE)</f>
        <v>03. Participación ciudadana y deportes</v>
      </c>
      <c r="U2752" s="35" t="str">
        <f>MID(Tabla1[[#This Row],[Aplicación]],9,4)</f>
        <v>9241</v>
      </c>
      <c r="V2752" s="35" t="str">
        <f>VLOOKUP(Tabla1[[#This Row],[PROGRAMA]],Hoja1!A:B,2,FALSE)</f>
        <v>9241. Participación ciudadana</v>
      </c>
      <c r="W2752" s="35" t="str">
        <f>MID(Tabla1[[#This Row],[Aplicación]],14,2)</f>
        <v>22</v>
      </c>
      <c r="X2752" s="35" t="str">
        <f>MID(Tabla1[[#This Row],[Aplicación]],14,6)</f>
        <v>22602</v>
      </c>
    </row>
    <row r="2753" spans="1:24" x14ac:dyDescent="0.25">
      <c r="A2753" s="45">
        <v>220210016784</v>
      </c>
      <c r="B2753" s="46" t="s">
        <v>204</v>
      </c>
      <c r="C2753" s="47">
        <v>44308</v>
      </c>
      <c r="D2753" s="45">
        <v>22021002048</v>
      </c>
      <c r="E2753" s="46" t="s">
        <v>890</v>
      </c>
      <c r="F2753" s="48">
        <v>650.92999999999995</v>
      </c>
      <c r="G2753" s="54" t="s">
        <v>264</v>
      </c>
      <c r="H2753" s="54" t="s">
        <v>4299</v>
      </c>
      <c r="I2753" s="53" t="s">
        <v>205</v>
      </c>
      <c r="J2753" s="54" t="s">
        <v>127</v>
      </c>
      <c r="K2753" s="54" t="s">
        <v>127</v>
      </c>
      <c r="L2753" s="54" t="s">
        <v>15</v>
      </c>
      <c r="M2753" s="54" t="s">
        <v>13</v>
      </c>
      <c r="N2753" s="54" t="s">
        <v>14</v>
      </c>
      <c r="O2753" s="49" t="s">
        <v>814</v>
      </c>
      <c r="P2753" s="54" t="s">
        <v>3392</v>
      </c>
      <c r="Q2753" s="35" t="str">
        <f>MID(Tabla1[[#This Row],[Aplicación]],14,1)</f>
        <v>2</v>
      </c>
      <c r="R2753" s="35" t="s">
        <v>495</v>
      </c>
      <c r="S2753" s="35" t="str">
        <f>MID(Tabla1[[#This Row],[Aplicación]],6,2)</f>
        <v>11</v>
      </c>
      <c r="T2753" s="35" t="str">
        <f>VLOOKUP(Tabla1[[#This Row],[AREA]],Hoja1!A:B,2,FALSE)</f>
        <v>11. Salud pública y seguridad ciudadana</v>
      </c>
      <c r="U2753" s="35" t="str">
        <f>MID(Tabla1[[#This Row],[Aplicación]],9,4)</f>
        <v>1621</v>
      </c>
      <c r="V2753" s="35" t="str">
        <f>VLOOKUP(Tabla1[[#This Row],[PROGRAMA]],Hoja1!A:B,2,FALSE)</f>
        <v>1621. Servicio de limpieza</v>
      </c>
      <c r="W2753" s="35" t="str">
        <f>MID(Tabla1[[#This Row],[Aplicación]],14,2)</f>
        <v>21</v>
      </c>
      <c r="X2753" s="35" t="str">
        <f>MID(Tabla1[[#This Row],[Aplicación]],14,6)</f>
        <v>214</v>
      </c>
    </row>
    <row r="2754" spans="1:24" x14ac:dyDescent="0.25">
      <c r="A2754" s="45">
        <v>220210014719</v>
      </c>
      <c r="B2754" s="46" t="s">
        <v>204</v>
      </c>
      <c r="C2754" s="47">
        <v>44299</v>
      </c>
      <c r="D2754" s="45">
        <v>22021001038</v>
      </c>
      <c r="E2754" s="46" t="s">
        <v>844</v>
      </c>
      <c r="F2754" s="48">
        <v>648.38</v>
      </c>
      <c r="G2754" s="54" t="s">
        <v>102</v>
      </c>
      <c r="H2754" s="54" t="s">
        <v>4300</v>
      </c>
      <c r="I2754" s="53" t="s">
        <v>205</v>
      </c>
      <c r="J2754" s="54" t="s">
        <v>127</v>
      </c>
      <c r="K2754" s="54" t="s">
        <v>127</v>
      </c>
      <c r="L2754" s="54" t="s">
        <v>15</v>
      </c>
      <c r="M2754" s="54" t="s">
        <v>13</v>
      </c>
      <c r="N2754" s="54" t="s">
        <v>14</v>
      </c>
      <c r="O2754" s="49" t="s">
        <v>814</v>
      </c>
      <c r="P2754" s="54" t="s">
        <v>3392</v>
      </c>
      <c r="Q2754" s="35" t="str">
        <f>MID(Tabla1[[#This Row],[Aplicación]],14,1)</f>
        <v>2</v>
      </c>
      <c r="R2754" s="35" t="s">
        <v>495</v>
      </c>
      <c r="S2754" s="35" t="str">
        <f>MID(Tabla1[[#This Row],[Aplicación]],6,2)</f>
        <v>10</v>
      </c>
      <c r="T2754" s="35" t="str">
        <f>VLOOKUP(Tabla1[[#This Row],[AREA]],Hoja1!A:B,2,FALSE)</f>
        <v>10. Servicios sociales y mediación comunitaria</v>
      </c>
      <c r="U2754" s="35" t="str">
        <f>MID(Tabla1[[#This Row],[Aplicación]],9,4)</f>
        <v>2312</v>
      </c>
      <c r="V2754" s="35" t="str">
        <f>VLOOKUP(Tabla1[[#This Row],[PROGRAMA]],Hoja1!A:B,2,FALSE)</f>
        <v>2312. Iniciativas sociales</v>
      </c>
      <c r="W2754" s="35" t="str">
        <f>MID(Tabla1[[#This Row],[Aplicación]],14,2)</f>
        <v>21</v>
      </c>
      <c r="X2754" s="35" t="str">
        <f>MID(Tabla1[[#This Row],[Aplicación]],14,6)</f>
        <v>212</v>
      </c>
    </row>
    <row r="2755" spans="1:24" x14ac:dyDescent="0.25">
      <c r="A2755" s="45">
        <v>220210015503</v>
      </c>
      <c r="B2755" s="46" t="s">
        <v>9</v>
      </c>
      <c r="C2755" s="47">
        <v>44300</v>
      </c>
      <c r="D2755" s="45">
        <v>22021003813</v>
      </c>
      <c r="E2755" s="46" t="s">
        <v>1163</v>
      </c>
      <c r="F2755" s="48">
        <v>375</v>
      </c>
      <c r="G2755" s="54" t="s">
        <v>4301</v>
      </c>
      <c r="H2755" s="54" t="s">
        <v>4302</v>
      </c>
      <c r="I2755" s="53" t="s">
        <v>125</v>
      </c>
      <c r="J2755" s="54" t="s">
        <v>126</v>
      </c>
      <c r="K2755" s="54" t="s">
        <v>126</v>
      </c>
      <c r="L2755" s="54" t="s">
        <v>15</v>
      </c>
      <c r="M2755" s="54" t="s">
        <v>10</v>
      </c>
      <c r="N2755" s="54" t="s">
        <v>16</v>
      </c>
      <c r="O2755" s="49" t="s">
        <v>815</v>
      </c>
      <c r="P2755" s="54" t="s">
        <v>3392</v>
      </c>
      <c r="Q2755" s="35" t="str">
        <f>MID(Tabla1[[#This Row],[Aplicación]],14,1)</f>
        <v>2</v>
      </c>
      <c r="R2755" s="35" t="s">
        <v>495</v>
      </c>
      <c r="S2755" s="35" t="str">
        <f>MID(Tabla1[[#This Row],[Aplicación]],6,2)</f>
        <v>06</v>
      </c>
      <c r="T2755" s="35" t="str">
        <f>VLOOKUP(Tabla1[[#This Row],[AREA]],Hoja1!A:B,2,FALSE)</f>
        <v>06. Educación, infancia, juventud e igualdad</v>
      </c>
      <c r="U2755" s="35" t="str">
        <f>MID(Tabla1[[#This Row],[Aplicación]],9,4)</f>
        <v>3321</v>
      </c>
      <c r="V2755" s="35" t="str">
        <f>VLOOKUP(Tabla1[[#This Row],[PROGRAMA]],Hoja1!A:B,2,FALSE)</f>
        <v>3321. Bibliotecas públicas</v>
      </c>
      <c r="W2755" s="35" t="str">
        <f>MID(Tabla1[[#This Row],[Aplicación]],14,2)</f>
        <v>22</v>
      </c>
      <c r="X2755" s="35" t="str">
        <f>MID(Tabla1[[#This Row],[Aplicación]],14,6)</f>
        <v>22001</v>
      </c>
    </row>
    <row r="2756" spans="1:24" x14ac:dyDescent="0.25">
      <c r="A2756" s="45">
        <v>220210014434</v>
      </c>
      <c r="B2756" s="46" t="s">
        <v>204</v>
      </c>
      <c r="C2756" s="47">
        <v>44295</v>
      </c>
      <c r="D2756" s="45">
        <v>22021002133</v>
      </c>
      <c r="E2756" s="46" t="s">
        <v>1326</v>
      </c>
      <c r="F2756" s="48">
        <v>641.54</v>
      </c>
      <c r="G2756" s="54" t="s">
        <v>102</v>
      </c>
      <c r="H2756" s="54" t="s">
        <v>4303</v>
      </c>
      <c r="I2756" s="53" t="s">
        <v>205</v>
      </c>
      <c r="J2756" s="54" t="s">
        <v>127</v>
      </c>
      <c r="K2756" s="54" t="s">
        <v>127</v>
      </c>
      <c r="L2756" s="54" t="s">
        <v>15</v>
      </c>
      <c r="M2756" s="54" t="s">
        <v>13</v>
      </c>
      <c r="N2756" s="54" t="s">
        <v>14</v>
      </c>
      <c r="O2756" s="49" t="s">
        <v>814</v>
      </c>
      <c r="P2756" s="54" t="s">
        <v>3392</v>
      </c>
      <c r="Q2756" s="35" t="str">
        <f>MID(Tabla1[[#This Row],[Aplicación]],14,1)</f>
        <v>2</v>
      </c>
      <c r="R2756" s="35" t="s">
        <v>495</v>
      </c>
      <c r="S2756" s="35" t="str">
        <f>MID(Tabla1[[#This Row],[Aplicación]],6,2)</f>
        <v>08</v>
      </c>
      <c r="T2756" s="35" t="str">
        <f>VLOOKUP(Tabla1[[#This Row],[AREA]],Hoja1!A:B,2,FALSE)</f>
        <v>08. Movilidad y espacio urbano</v>
      </c>
      <c r="U2756" s="35" t="str">
        <f>MID(Tabla1[[#This Row],[Aplicación]],9,4)</f>
        <v>1651</v>
      </c>
      <c r="V2756" s="35" t="str">
        <f>VLOOKUP(Tabla1[[#This Row],[PROGRAMA]],Hoja1!A:B,2,FALSE)</f>
        <v>1651. Alumbrado público</v>
      </c>
      <c r="W2756" s="35" t="str">
        <f>MID(Tabla1[[#This Row],[Aplicación]],14,2)</f>
        <v>22</v>
      </c>
      <c r="X2756" s="35" t="str">
        <f>MID(Tabla1[[#This Row],[Aplicación]],14,6)</f>
        <v>22199</v>
      </c>
    </row>
    <row r="2757" spans="1:24" x14ac:dyDescent="0.25">
      <c r="A2757" s="45">
        <v>220210028271</v>
      </c>
      <c r="B2757" s="46" t="s">
        <v>9</v>
      </c>
      <c r="C2757" s="47">
        <v>44350</v>
      </c>
      <c r="D2757" s="45">
        <v>22021004623</v>
      </c>
      <c r="E2757" s="46" t="s">
        <v>3379</v>
      </c>
      <c r="F2757" s="48">
        <v>638.88</v>
      </c>
      <c r="G2757" s="54" t="s">
        <v>513</v>
      </c>
      <c r="H2757" s="54" t="s">
        <v>4304</v>
      </c>
      <c r="I2757" s="53" t="s">
        <v>125</v>
      </c>
      <c r="J2757" s="54" t="s">
        <v>127</v>
      </c>
      <c r="K2757" s="54" t="s">
        <v>127</v>
      </c>
      <c r="L2757" s="54" t="s">
        <v>17</v>
      </c>
      <c r="M2757" s="54" t="s">
        <v>13</v>
      </c>
      <c r="N2757" s="54" t="s">
        <v>11</v>
      </c>
      <c r="O2757" s="49" t="s">
        <v>814</v>
      </c>
      <c r="P2757" s="54" t="s">
        <v>3392</v>
      </c>
      <c r="Q2757" s="35" t="str">
        <f>MID(Tabla1[[#This Row],[Aplicación]],14,1)</f>
        <v>2</v>
      </c>
      <c r="R2757" s="35" t="s">
        <v>495</v>
      </c>
      <c r="S2757" s="35" t="str">
        <f>MID(Tabla1[[#This Row],[Aplicación]],6,2)</f>
        <v>02</v>
      </c>
      <c r="T2757" s="35" t="str">
        <f>VLOOKUP(Tabla1[[#This Row],[AREA]],Hoja1!A:B,2,FALSE)</f>
        <v>02. Planeamiento urbanístico y vivienda</v>
      </c>
      <c r="U2757" s="35" t="str">
        <f>MID(Tabla1[[#This Row],[Aplicación]],9,4)</f>
        <v>1501</v>
      </c>
      <c r="V2757" s="35" t="str">
        <f>VLOOKUP(Tabla1[[#This Row],[PROGRAMA]],Hoja1!A:B,2,FALSE)</f>
        <v>1501. Dirección del área de urbanismo</v>
      </c>
      <c r="W2757" s="35" t="str">
        <f>MID(Tabla1[[#This Row],[Aplicación]],14,2)</f>
        <v>22</v>
      </c>
      <c r="X2757" s="35" t="str">
        <f>MID(Tabla1[[#This Row],[Aplicación]],14,6)</f>
        <v>22602</v>
      </c>
    </row>
    <row r="2758" spans="1:24" x14ac:dyDescent="0.25">
      <c r="A2758" s="45">
        <v>220210014572</v>
      </c>
      <c r="B2758" s="46" t="s">
        <v>9</v>
      </c>
      <c r="C2758" s="47">
        <v>44298</v>
      </c>
      <c r="D2758" s="45">
        <v>22021003774</v>
      </c>
      <c r="E2758" s="46" t="s">
        <v>1550</v>
      </c>
      <c r="F2758" s="48">
        <v>363</v>
      </c>
      <c r="G2758" s="54" t="s">
        <v>66</v>
      </c>
      <c r="H2758" s="54" t="s">
        <v>4305</v>
      </c>
      <c r="I2758" s="53" t="s">
        <v>125</v>
      </c>
      <c r="J2758" s="54" t="s">
        <v>127</v>
      </c>
      <c r="K2758" s="54" t="s">
        <v>127</v>
      </c>
      <c r="L2758" s="54" t="s">
        <v>4306</v>
      </c>
      <c r="M2758" s="54" t="s">
        <v>10</v>
      </c>
      <c r="N2758" s="54" t="s">
        <v>11</v>
      </c>
      <c r="O2758" s="49" t="s">
        <v>815</v>
      </c>
      <c r="P2758" s="54" t="s">
        <v>3392</v>
      </c>
      <c r="Q2758" s="35" t="str">
        <f>MID(Tabla1[[#This Row],[Aplicación]],14,1)</f>
        <v>2</v>
      </c>
      <c r="R2758" s="35" t="s">
        <v>495</v>
      </c>
      <c r="S2758" s="35" t="str">
        <f>MID(Tabla1[[#This Row],[Aplicación]],6,2)</f>
        <v>06</v>
      </c>
      <c r="T2758" s="35" t="str">
        <f>VLOOKUP(Tabla1[[#This Row],[AREA]],Hoja1!A:B,2,FALSE)</f>
        <v>06. Educación, infancia, juventud e igualdad</v>
      </c>
      <c r="U2758" s="35" t="str">
        <f>MID(Tabla1[[#This Row],[Aplicación]],9,4)</f>
        <v>2315</v>
      </c>
      <c r="V2758" s="35" t="str">
        <f>VLOOKUP(Tabla1[[#This Row],[PROGRAMA]],Hoja1!A:B,2,FALSE)</f>
        <v>2315. Políticas de Igualdad e infancia</v>
      </c>
      <c r="W2758" s="35" t="str">
        <f>MID(Tabla1[[#This Row],[Aplicación]],14,2)</f>
        <v>22</v>
      </c>
      <c r="X2758" s="35" t="str">
        <f>MID(Tabla1[[#This Row],[Aplicación]],14,6)</f>
        <v>22799</v>
      </c>
    </row>
    <row r="2759" spans="1:24" x14ac:dyDescent="0.25">
      <c r="A2759" s="45">
        <v>220210014262</v>
      </c>
      <c r="B2759" s="46" t="s">
        <v>9</v>
      </c>
      <c r="C2759" s="47">
        <v>44294</v>
      </c>
      <c r="D2759" s="45">
        <v>22021003752</v>
      </c>
      <c r="E2759" s="46" t="s">
        <v>1187</v>
      </c>
      <c r="F2759" s="48">
        <v>360</v>
      </c>
      <c r="G2759" s="54" t="s">
        <v>4307</v>
      </c>
      <c r="H2759" s="54" t="s">
        <v>4308</v>
      </c>
      <c r="I2759" s="53" t="s">
        <v>125</v>
      </c>
      <c r="J2759" s="54" t="s">
        <v>4309</v>
      </c>
      <c r="K2759" s="54" t="s">
        <v>180</v>
      </c>
      <c r="L2759" s="54" t="s">
        <v>12</v>
      </c>
      <c r="M2759" s="54" t="s">
        <v>10</v>
      </c>
      <c r="N2759" s="54" t="s">
        <v>11</v>
      </c>
      <c r="O2759" s="49" t="s">
        <v>815</v>
      </c>
      <c r="P2759" s="54" t="s">
        <v>3392</v>
      </c>
      <c r="Q2759" s="35" t="str">
        <f>MID(Tabla1[[#This Row],[Aplicación]],14,1)</f>
        <v>2</v>
      </c>
      <c r="R2759" s="35" t="s">
        <v>495</v>
      </c>
      <c r="S2759" s="35" t="str">
        <f>MID(Tabla1[[#This Row],[Aplicación]],6,2)</f>
        <v>06</v>
      </c>
      <c r="T2759" s="35" t="str">
        <f>VLOOKUP(Tabla1[[#This Row],[AREA]],Hoja1!A:B,2,FALSE)</f>
        <v>06. Educación, infancia, juventud e igualdad</v>
      </c>
      <c r="U2759" s="35" t="str">
        <f>MID(Tabla1[[#This Row],[Aplicación]],9,4)</f>
        <v>2315</v>
      </c>
      <c r="V2759" s="35" t="str">
        <f>VLOOKUP(Tabla1[[#This Row],[PROGRAMA]],Hoja1!A:B,2,FALSE)</f>
        <v>2315. Políticas de Igualdad e infancia</v>
      </c>
      <c r="W2759" s="35" t="str">
        <f>MID(Tabla1[[#This Row],[Aplicación]],14,2)</f>
        <v>22</v>
      </c>
      <c r="X2759" s="35" t="str">
        <f>MID(Tabla1[[#This Row],[Aplicación]],14,6)</f>
        <v>22611</v>
      </c>
    </row>
    <row r="2760" spans="1:24" x14ac:dyDescent="0.25">
      <c r="A2760" s="45">
        <v>220210015738</v>
      </c>
      <c r="B2760" s="46" t="s">
        <v>204</v>
      </c>
      <c r="C2760" s="47">
        <v>44302</v>
      </c>
      <c r="D2760" s="45">
        <v>22021002052</v>
      </c>
      <c r="E2760" s="46" t="s">
        <v>1340</v>
      </c>
      <c r="F2760" s="48">
        <v>638.30999999999995</v>
      </c>
      <c r="G2760" s="54" t="s">
        <v>270</v>
      </c>
      <c r="H2760" s="54" t="s">
        <v>4310</v>
      </c>
      <c r="I2760" s="53" t="s">
        <v>205</v>
      </c>
      <c r="J2760" s="54" t="s">
        <v>127</v>
      </c>
      <c r="K2760" s="54" t="s">
        <v>127</v>
      </c>
      <c r="L2760" s="54" t="s">
        <v>15</v>
      </c>
      <c r="M2760" s="54" t="s">
        <v>13</v>
      </c>
      <c r="N2760" s="54" t="s">
        <v>14</v>
      </c>
      <c r="O2760" s="49" t="s">
        <v>814</v>
      </c>
      <c r="P2760" s="54" t="s">
        <v>3392</v>
      </c>
      <c r="Q2760" s="35" t="str">
        <f>MID(Tabla1[[#This Row],[Aplicación]],14,1)</f>
        <v>2</v>
      </c>
      <c r="R2760" s="35" t="s">
        <v>495</v>
      </c>
      <c r="S2760" s="35" t="str">
        <f>MID(Tabla1[[#This Row],[Aplicación]],6,2)</f>
        <v>11</v>
      </c>
      <c r="T2760" s="35" t="str">
        <f>VLOOKUP(Tabla1[[#This Row],[AREA]],Hoja1!A:B,2,FALSE)</f>
        <v>11. Salud pública y seguridad ciudadana</v>
      </c>
      <c r="U2760" s="35" t="str">
        <f>MID(Tabla1[[#This Row],[Aplicación]],9,4)</f>
        <v>1621</v>
      </c>
      <c r="V2760" s="35" t="str">
        <f>VLOOKUP(Tabla1[[#This Row],[PROGRAMA]],Hoja1!A:B,2,FALSE)</f>
        <v>1621. Servicio de limpieza</v>
      </c>
      <c r="W2760" s="35" t="str">
        <f>MID(Tabla1[[#This Row],[Aplicación]],14,2)</f>
        <v>22</v>
      </c>
      <c r="X2760" s="35" t="str">
        <f>MID(Tabla1[[#This Row],[Aplicación]],14,6)</f>
        <v>22199</v>
      </c>
    </row>
    <row r="2761" spans="1:24" x14ac:dyDescent="0.25">
      <c r="A2761" s="45">
        <v>220210021825</v>
      </c>
      <c r="B2761" s="46" t="s">
        <v>9</v>
      </c>
      <c r="C2761" s="47">
        <v>44327</v>
      </c>
      <c r="D2761" s="45">
        <v>22021004373</v>
      </c>
      <c r="E2761" s="46" t="s">
        <v>1177</v>
      </c>
      <c r="F2761" s="48">
        <v>354.2</v>
      </c>
      <c r="G2761" s="54" t="s">
        <v>1576</v>
      </c>
      <c r="H2761" s="54" t="s">
        <v>4311</v>
      </c>
      <c r="I2761" s="53" t="s">
        <v>125</v>
      </c>
      <c r="J2761" s="54" t="s">
        <v>127</v>
      </c>
      <c r="K2761" s="54" t="s">
        <v>127</v>
      </c>
      <c r="L2761" s="54" t="s">
        <v>15</v>
      </c>
      <c r="M2761" s="54" t="s">
        <v>10</v>
      </c>
      <c r="N2761" s="54" t="s">
        <v>11</v>
      </c>
      <c r="O2761" s="49" t="s">
        <v>815</v>
      </c>
      <c r="P2761" s="54" t="s">
        <v>3392</v>
      </c>
      <c r="Q2761" s="35" t="str">
        <f>MID(Tabla1[[#This Row],[Aplicación]],14,1)</f>
        <v>2</v>
      </c>
      <c r="R2761" s="35" t="s">
        <v>495</v>
      </c>
      <c r="S2761" s="35" t="str">
        <f>MID(Tabla1[[#This Row],[Aplicación]],6,2)</f>
        <v>09</v>
      </c>
      <c r="T2761" s="35" t="str">
        <f>VLOOKUP(Tabla1[[#This Row],[AREA]],Hoja1!A:B,2,FALSE)</f>
        <v>09. Cultura y turismo</v>
      </c>
      <c r="U2761" s="35" t="str">
        <f>MID(Tabla1[[#This Row],[Aplicación]],9,4)</f>
        <v>3341</v>
      </c>
      <c r="V2761" s="35" t="str">
        <f>VLOOKUP(Tabla1[[#This Row],[PROGRAMA]],Hoja1!A:B,2,FALSE)</f>
        <v>3341. Coordinación de políticas culturales</v>
      </c>
      <c r="W2761" s="35" t="str">
        <f>MID(Tabla1[[#This Row],[Aplicación]],14,2)</f>
        <v>22</v>
      </c>
      <c r="X2761" s="35" t="str">
        <f>MID(Tabla1[[#This Row],[Aplicación]],14,6)</f>
        <v>22699</v>
      </c>
    </row>
    <row r="2762" spans="1:24" x14ac:dyDescent="0.25">
      <c r="A2762" s="45">
        <v>220210021763</v>
      </c>
      <c r="B2762" s="46" t="s">
        <v>204</v>
      </c>
      <c r="C2762" s="47">
        <v>44327</v>
      </c>
      <c r="D2762" s="45">
        <v>22021002088</v>
      </c>
      <c r="E2762" s="46" t="s">
        <v>1478</v>
      </c>
      <c r="F2762" s="48">
        <v>628.12</v>
      </c>
      <c r="G2762" s="54" t="s">
        <v>238</v>
      </c>
      <c r="H2762" s="54" t="s">
        <v>4312</v>
      </c>
      <c r="I2762" s="53" t="s">
        <v>205</v>
      </c>
      <c r="J2762" s="54" t="s">
        <v>127</v>
      </c>
      <c r="K2762" s="54" t="s">
        <v>127</v>
      </c>
      <c r="L2762" s="54" t="s">
        <v>15</v>
      </c>
      <c r="M2762" s="54" t="s">
        <v>13</v>
      </c>
      <c r="N2762" s="54" t="s">
        <v>16</v>
      </c>
      <c r="O2762" s="49" t="s">
        <v>814</v>
      </c>
      <c r="P2762" s="54" t="s">
        <v>3392</v>
      </c>
      <c r="Q2762" s="35" t="str">
        <f>MID(Tabla1[[#This Row],[Aplicación]],14,1)</f>
        <v>2</v>
      </c>
      <c r="R2762" s="35" t="s">
        <v>495</v>
      </c>
      <c r="S2762" s="35" t="str">
        <f>MID(Tabla1[[#This Row],[Aplicación]],6,2)</f>
        <v>03</v>
      </c>
      <c r="T2762" s="35" t="str">
        <f>VLOOKUP(Tabla1[[#This Row],[AREA]],Hoja1!A:B,2,FALSE)</f>
        <v>03. Participación ciudadana y deportes</v>
      </c>
      <c r="U2762" s="35" t="str">
        <f>MID(Tabla1[[#This Row],[Aplicación]],9,4)</f>
        <v>9241</v>
      </c>
      <c r="V2762" s="35" t="str">
        <f>VLOOKUP(Tabla1[[#This Row],[PROGRAMA]],Hoja1!A:B,2,FALSE)</f>
        <v>9241. Participación ciudadana</v>
      </c>
      <c r="W2762" s="35" t="str">
        <f>MID(Tabla1[[#This Row],[Aplicación]],14,2)</f>
        <v>21</v>
      </c>
      <c r="X2762" s="35" t="str">
        <f>MID(Tabla1[[#This Row],[Aplicación]],14,6)</f>
        <v>212</v>
      </c>
    </row>
    <row r="2763" spans="1:24" x14ac:dyDescent="0.25">
      <c r="A2763" s="45">
        <v>220210026146</v>
      </c>
      <c r="B2763" s="46" t="s">
        <v>9</v>
      </c>
      <c r="C2763" s="47">
        <v>44347</v>
      </c>
      <c r="D2763" s="45">
        <v>22021004676</v>
      </c>
      <c r="E2763" s="46" t="s">
        <v>1187</v>
      </c>
      <c r="F2763" s="48">
        <v>350</v>
      </c>
      <c r="G2763" s="54" t="s">
        <v>4313</v>
      </c>
      <c r="H2763" s="54" t="s">
        <v>4314</v>
      </c>
      <c r="I2763" s="53" t="s">
        <v>125</v>
      </c>
      <c r="J2763" s="54" t="s">
        <v>126</v>
      </c>
      <c r="K2763" s="54" t="s">
        <v>126</v>
      </c>
      <c r="L2763" s="54" t="s">
        <v>12</v>
      </c>
      <c r="M2763" s="54" t="s">
        <v>10</v>
      </c>
      <c r="N2763" s="54" t="s">
        <v>11</v>
      </c>
      <c r="O2763" s="49" t="s">
        <v>815</v>
      </c>
      <c r="P2763" s="54" t="s">
        <v>3392</v>
      </c>
      <c r="Q2763" s="35" t="str">
        <f>MID(Tabla1[[#This Row],[Aplicación]],14,1)</f>
        <v>2</v>
      </c>
      <c r="R2763" s="35" t="s">
        <v>495</v>
      </c>
      <c r="S2763" s="35" t="str">
        <f>MID(Tabla1[[#This Row],[Aplicación]],6,2)</f>
        <v>06</v>
      </c>
      <c r="T2763" s="35" t="str">
        <f>VLOOKUP(Tabla1[[#This Row],[AREA]],Hoja1!A:B,2,FALSE)</f>
        <v>06. Educación, infancia, juventud e igualdad</v>
      </c>
      <c r="U2763" s="35" t="str">
        <f>MID(Tabla1[[#This Row],[Aplicación]],9,4)</f>
        <v>2315</v>
      </c>
      <c r="V2763" s="35" t="str">
        <f>VLOOKUP(Tabla1[[#This Row],[PROGRAMA]],Hoja1!A:B,2,FALSE)</f>
        <v>2315. Políticas de Igualdad e infancia</v>
      </c>
      <c r="W2763" s="35" t="str">
        <f>MID(Tabla1[[#This Row],[Aplicación]],14,2)</f>
        <v>22</v>
      </c>
      <c r="X2763" s="35" t="str">
        <f>MID(Tabla1[[#This Row],[Aplicación]],14,6)</f>
        <v>22611</v>
      </c>
    </row>
    <row r="2764" spans="1:24" x14ac:dyDescent="0.25">
      <c r="A2764" s="45">
        <v>220210014436</v>
      </c>
      <c r="B2764" s="46" t="s">
        <v>204</v>
      </c>
      <c r="C2764" s="47">
        <v>44295</v>
      </c>
      <c r="D2764" s="45">
        <v>22021002088</v>
      </c>
      <c r="E2764" s="46" t="s">
        <v>1478</v>
      </c>
      <c r="F2764" s="48">
        <v>627.65</v>
      </c>
      <c r="G2764" s="54" t="s">
        <v>266</v>
      </c>
      <c r="H2764" s="54" t="s">
        <v>4315</v>
      </c>
      <c r="I2764" s="53" t="s">
        <v>205</v>
      </c>
      <c r="J2764" s="54" t="s">
        <v>127</v>
      </c>
      <c r="K2764" s="54" t="s">
        <v>127</v>
      </c>
      <c r="L2764" s="54" t="s">
        <v>15</v>
      </c>
      <c r="M2764" s="54" t="s">
        <v>13</v>
      </c>
      <c r="N2764" s="54" t="s">
        <v>16</v>
      </c>
      <c r="O2764" s="49" t="s">
        <v>814</v>
      </c>
      <c r="P2764" s="54" t="s">
        <v>3392</v>
      </c>
      <c r="Q2764" s="35" t="str">
        <f>MID(Tabla1[[#This Row],[Aplicación]],14,1)</f>
        <v>2</v>
      </c>
      <c r="R2764" s="35" t="s">
        <v>495</v>
      </c>
      <c r="S2764" s="35" t="str">
        <f>MID(Tabla1[[#This Row],[Aplicación]],6,2)</f>
        <v>03</v>
      </c>
      <c r="T2764" s="35" t="str">
        <f>VLOOKUP(Tabla1[[#This Row],[AREA]],Hoja1!A:B,2,FALSE)</f>
        <v>03. Participación ciudadana y deportes</v>
      </c>
      <c r="U2764" s="35" t="str">
        <f>MID(Tabla1[[#This Row],[Aplicación]],9,4)</f>
        <v>9241</v>
      </c>
      <c r="V2764" s="35" t="str">
        <f>VLOOKUP(Tabla1[[#This Row],[PROGRAMA]],Hoja1!A:B,2,FALSE)</f>
        <v>9241. Participación ciudadana</v>
      </c>
      <c r="W2764" s="35" t="str">
        <f>MID(Tabla1[[#This Row],[Aplicación]],14,2)</f>
        <v>21</v>
      </c>
      <c r="X2764" s="35" t="str">
        <f>MID(Tabla1[[#This Row],[Aplicación]],14,6)</f>
        <v>212</v>
      </c>
    </row>
    <row r="2765" spans="1:24" x14ac:dyDescent="0.25">
      <c r="A2765" s="45">
        <v>220210033079</v>
      </c>
      <c r="B2765" s="46" t="s">
        <v>9</v>
      </c>
      <c r="C2765" s="47">
        <v>44376</v>
      </c>
      <c r="D2765" s="45">
        <v>22021005125</v>
      </c>
      <c r="E2765" s="46" t="s">
        <v>2590</v>
      </c>
      <c r="F2765" s="48">
        <v>342.94</v>
      </c>
      <c r="G2765" s="54" t="s">
        <v>2262</v>
      </c>
      <c r="H2765" s="54" t="s">
        <v>4316</v>
      </c>
      <c r="I2765" s="53" t="s">
        <v>125</v>
      </c>
      <c r="J2765" s="54" t="s">
        <v>127</v>
      </c>
      <c r="K2765" s="54" t="s">
        <v>127</v>
      </c>
      <c r="L2765" s="54" t="s">
        <v>12</v>
      </c>
      <c r="M2765" s="54" t="s">
        <v>10</v>
      </c>
      <c r="N2765" s="54" t="s">
        <v>11</v>
      </c>
      <c r="O2765" s="49" t="s">
        <v>815</v>
      </c>
      <c r="P2765" s="54" t="s">
        <v>3392</v>
      </c>
      <c r="Q2765" s="35" t="str">
        <f>MID(Tabla1[[#This Row],[Aplicación]],14,1)</f>
        <v>6</v>
      </c>
      <c r="R2765" s="35" t="s">
        <v>496</v>
      </c>
      <c r="S2765" s="35" t="str">
        <f>MID(Tabla1[[#This Row],[Aplicación]],6,2)</f>
        <v>02</v>
      </c>
      <c r="T2765" s="35" t="str">
        <f>VLOOKUP(Tabla1[[#This Row],[AREA]],Hoja1!A:B,2,FALSE)</f>
        <v>02. Planeamiento urbanístico y vivienda</v>
      </c>
      <c r="U2765" s="35" t="str">
        <f>MID(Tabla1[[#This Row],[Aplicación]],9,4)</f>
        <v>1511</v>
      </c>
      <c r="V2765" s="35" t="str">
        <f>VLOOKUP(Tabla1[[#This Row],[PROGRAMA]],Hoja1!A:B,2,FALSE)</f>
        <v>1511. Planficación y gestión del urbanismo</v>
      </c>
      <c r="W2765" s="35" t="str">
        <f>MID(Tabla1[[#This Row],[Aplicación]],14,2)</f>
        <v>60</v>
      </c>
      <c r="X2765" s="35" t="str">
        <f>MID(Tabla1[[#This Row],[Aplicación]],14,6)</f>
        <v>609</v>
      </c>
    </row>
    <row r="2766" spans="1:24" x14ac:dyDescent="0.25">
      <c r="A2766" s="45">
        <v>220210022711</v>
      </c>
      <c r="B2766" s="46" t="s">
        <v>204</v>
      </c>
      <c r="C2766" s="47">
        <v>44333</v>
      </c>
      <c r="D2766" s="45">
        <v>22021002057</v>
      </c>
      <c r="E2766" s="46" t="s">
        <v>1715</v>
      </c>
      <c r="F2766" s="48">
        <v>624.32000000000005</v>
      </c>
      <c r="G2766" s="54" t="s">
        <v>272</v>
      </c>
      <c r="H2766" s="54" t="s">
        <v>4317</v>
      </c>
      <c r="I2766" s="53" t="s">
        <v>205</v>
      </c>
      <c r="J2766" s="54" t="s">
        <v>127</v>
      </c>
      <c r="K2766" s="54" t="s">
        <v>127</v>
      </c>
      <c r="L2766" s="54" t="s">
        <v>15</v>
      </c>
      <c r="M2766" s="54" t="s">
        <v>13</v>
      </c>
      <c r="N2766" s="54" t="s">
        <v>14</v>
      </c>
      <c r="O2766" s="49" t="s">
        <v>814</v>
      </c>
      <c r="P2766" s="54" t="s">
        <v>3392</v>
      </c>
      <c r="Q2766" s="35" t="str">
        <f>MID(Tabla1[[#This Row],[Aplicación]],14,1)</f>
        <v>2</v>
      </c>
      <c r="R2766" s="35" t="s">
        <v>495</v>
      </c>
      <c r="S2766" s="35" t="str">
        <f>MID(Tabla1[[#This Row],[Aplicación]],6,2)</f>
        <v>11</v>
      </c>
      <c r="T2766" s="35" t="str">
        <f>VLOOKUP(Tabla1[[#This Row],[AREA]],Hoja1!A:B,2,FALSE)</f>
        <v>11. Salud pública y seguridad ciudadana</v>
      </c>
      <c r="U2766" s="35" t="str">
        <f>MID(Tabla1[[#This Row],[Aplicación]],9,4)</f>
        <v>1631</v>
      </c>
      <c r="V2766" s="35" t="str">
        <f>VLOOKUP(Tabla1[[#This Row],[PROGRAMA]],Hoja1!A:B,2,FALSE)</f>
        <v>1631. Limpieza viaria</v>
      </c>
      <c r="W2766" s="35" t="str">
        <f>MID(Tabla1[[#This Row],[Aplicación]],14,2)</f>
        <v>22</v>
      </c>
      <c r="X2766" s="35" t="str">
        <f>MID(Tabla1[[#This Row],[Aplicación]],14,6)</f>
        <v>22199</v>
      </c>
    </row>
    <row r="2767" spans="1:24" x14ac:dyDescent="0.25">
      <c r="A2767" s="45">
        <v>220210031634</v>
      </c>
      <c r="B2767" s="46" t="s">
        <v>204</v>
      </c>
      <c r="C2767" s="47">
        <v>44369</v>
      </c>
      <c r="D2767" s="45">
        <v>22021001038</v>
      </c>
      <c r="E2767" s="46" t="s">
        <v>844</v>
      </c>
      <c r="F2767" s="48">
        <v>622.75</v>
      </c>
      <c r="G2767" s="54" t="s">
        <v>102</v>
      </c>
      <c r="H2767" s="54" t="s">
        <v>4318</v>
      </c>
      <c r="I2767" s="53" t="s">
        <v>205</v>
      </c>
      <c r="J2767" s="54" t="s">
        <v>127</v>
      </c>
      <c r="K2767" s="54" t="s">
        <v>127</v>
      </c>
      <c r="L2767" s="54" t="s">
        <v>15</v>
      </c>
      <c r="M2767" s="54" t="s">
        <v>13</v>
      </c>
      <c r="N2767" s="54" t="s">
        <v>14</v>
      </c>
      <c r="O2767" s="49" t="s">
        <v>814</v>
      </c>
      <c r="P2767" s="54" t="s">
        <v>3392</v>
      </c>
      <c r="Q2767" s="35" t="str">
        <f>MID(Tabla1[[#This Row],[Aplicación]],14,1)</f>
        <v>2</v>
      </c>
      <c r="R2767" s="35" t="s">
        <v>495</v>
      </c>
      <c r="S2767" s="35" t="str">
        <f>MID(Tabla1[[#This Row],[Aplicación]],6,2)</f>
        <v>10</v>
      </c>
      <c r="T2767" s="35" t="str">
        <f>VLOOKUP(Tabla1[[#This Row],[AREA]],Hoja1!A:B,2,FALSE)</f>
        <v>10. Servicios sociales y mediación comunitaria</v>
      </c>
      <c r="U2767" s="35" t="str">
        <f>MID(Tabla1[[#This Row],[Aplicación]],9,4)</f>
        <v>2312</v>
      </c>
      <c r="V2767" s="35" t="str">
        <f>VLOOKUP(Tabla1[[#This Row],[PROGRAMA]],Hoja1!A:B,2,FALSE)</f>
        <v>2312. Iniciativas sociales</v>
      </c>
      <c r="W2767" s="35" t="str">
        <f>MID(Tabla1[[#This Row],[Aplicación]],14,2)</f>
        <v>21</v>
      </c>
      <c r="X2767" s="35" t="str">
        <f>MID(Tabla1[[#This Row],[Aplicación]],14,6)</f>
        <v>212</v>
      </c>
    </row>
    <row r="2768" spans="1:24" x14ac:dyDescent="0.25">
      <c r="A2768" s="45">
        <v>220210033075</v>
      </c>
      <c r="B2768" s="46" t="s">
        <v>9</v>
      </c>
      <c r="C2768" s="47">
        <v>44376</v>
      </c>
      <c r="D2768" s="45">
        <v>22021005099</v>
      </c>
      <c r="E2768" s="46" t="s">
        <v>2159</v>
      </c>
      <c r="F2768" s="48">
        <v>586.97</v>
      </c>
      <c r="G2768" s="54" t="s">
        <v>2011</v>
      </c>
      <c r="H2768" s="54" t="s">
        <v>4319</v>
      </c>
      <c r="I2768" s="53" t="s">
        <v>125</v>
      </c>
      <c r="J2768" s="54" t="s">
        <v>127</v>
      </c>
      <c r="K2768" s="54" t="s">
        <v>127</v>
      </c>
      <c r="L2768" s="54" t="s">
        <v>12</v>
      </c>
      <c r="M2768" s="54" t="s">
        <v>13</v>
      </c>
      <c r="N2768" s="54" t="s">
        <v>11</v>
      </c>
      <c r="O2768" s="49" t="s">
        <v>814</v>
      </c>
      <c r="P2768" s="54" t="s">
        <v>3392</v>
      </c>
      <c r="Q2768" s="35" t="str">
        <f>MID(Tabla1[[#This Row],[Aplicación]],14,1)</f>
        <v>2</v>
      </c>
      <c r="R2768" s="35" t="s">
        <v>495</v>
      </c>
      <c r="S2768" s="35" t="str">
        <f>MID(Tabla1[[#This Row],[Aplicación]],6,2)</f>
        <v>11</v>
      </c>
      <c r="T2768" s="35" t="str">
        <f>VLOOKUP(Tabla1[[#This Row],[AREA]],Hoja1!A:B,2,FALSE)</f>
        <v>11. Salud pública y seguridad ciudadana</v>
      </c>
      <c r="U2768" s="35" t="str">
        <f>MID(Tabla1[[#This Row],[Aplicación]],9,4)</f>
        <v>3111</v>
      </c>
      <c r="V2768" s="35" t="str">
        <f>VLOOKUP(Tabla1[[#This Row],[PROGRAMA]],Hoja1!A:B,2,FALSE)</f>
        <v>3111. Protección de la salubridad pública</v>
      </c>
      <c r="W2768" s="35" t="str">
        <f>MID(Tabla1[[#This Row],[Aplicación]],14,2)</f>
        <v>21</v>
      </c>
      <c r="X2768" s="35" t="str">
        <f>MID(Tabla1[[#This Row],[Aplicación]],14,6)</f>
        <v>214</v>
      </c>
    </row>
    <row r="2769" spans="1:24" x14ac:dyDescent="0.25">
      <c r="A2769" s="45">
        <v>220210027003</v>
      </c>
      <c r="B2769" s="46" t="s">
        <v>9</v>
      </c>
      <c r="C2769" s="47">
        <v>44348</v>
      </c>
      <c r="D2769" s="45">
        <v>22021004087</v>
      </c>
      <c r="E2769" s="46" t="s">
        <v>3333</v>
      </c>
      <c r="F2769" s="48">
        <v>342</v>
      </c>
      <c r="G2769" s="54" t="s">
        <v>3939</v>
      </c>
      <c r="H2769" s="54" t="s">
        <v>4320</v>
      </c>
      <c r="I2769" s="53" t="s">
        <v>125</v>
      </c>
      <c r="J2769" s="54" t="s">
        <v>751</v>
      </c>
      <c r="K2769" s="54" t="s">
        <v>126</v>
      </c>
      <c r="L2769" s="54" t="s">
        <v>15</v>
      </c>
      <c r="M2769" s="54" t="s">
        <v>10</v>
      </c>
      <c r="N2769" s="54" t="s">
        <v>11</v>
      </c>
      <c r="O2769" s="49" t="s">
        <v>815</v>
      </c>
      <c r="P2769" s="54" t="s">
        <v>3392</v>
      </c>
      <c r="Q2769" s="35" t="str">
        <f>MID(Tabla1[[#This Row],[Aplicación]],14,1)</f>
        <v>2</v>
      </c>
      <c r="R2769" s="35" t="s">
        <v>495</v>
      </c>
      <c r="S2769" s="35" t="str">
        <f>MID(Tabla1[[#This Row],[Aplicación]],6,2)</f>
        <v>10</v>
      </c>
      <c r="T2769" s="35" t="str">
        <f>VLOOKUP(Tabla1[[#This Row],[AREA]],Hoja1!A:B,2,FALSE)</f>
        <v>10. Servicios sociales y mediación comunitaria</v>
      </c>
      <c r="U2769" s="35" t="str">
        <f>MID(Tabla1[[#This Row],[Aplicación]],9,4)</f>
        <v>2316</v>
      </c>
      <c r="V2769" s="35" t="str">
        <f>VLOOKUP(Tabla1[[#This Row],[PROGRAMA]],Hoja1!A:B,2,FALSE)</f>
        <v>2316. Mediación comunitaria</v>
      </c>
      <c r="W2769" s="35" t="str">
        <f>MID(Tabla1[[#This Row],[Aplicación]],14,2)</f>
        <v>22</v>
      </c>
      <c r="X2769" s="35" t="str">
        <f>MID(Tabla1[[#This Row],[Aplicación]],14,6)</f>
        <v>22616</v>
      </c>
    </row>
    <row r="2770" spans="1:24" x14ac:dyDescent="0.25">
      <c r="A2770" s="45">
        <v>220210030280</v>
      </c>
      <c r="B2770" s="46" t="s">
        <v>9</v>
      </c>
      <c r="C2770" s="47">
        <v>44357</v>
      </c>
      <c r="D2770" s="45">
        <v>22021004817</v>
      </c>
      <c r="E2770" s="46" t="s">
        <v>3325</v>
      </c>
      <c r="F2770" s="48">
        <v>341.58</v>
      </c>
      <c r="G2770" s="54" t="s">
        <v>48</v>
      </c>
      <c r="H2770" s="54" t="s">
        <v>4321</v>
      </c>
      <c r="I2770" s="53" t="s">
        <v>125</v>
      </c>
      <c r="J2770" s="54" t="s">
        <v>127</v>
      </c>
      <c r="K2770" s="54" t="s">
        <v>127</v>
      </c>
      <c r="L2770" s="54" t="s">
        <v>15</v>
      </c>
      <c r="M2770" s="54" t="s">
        <v>10</v>
      </c>
      <c r="N2770" s="54" t="s">
        <v>11</v>
      </c>
      <c r="O2770" s="49" t="s">
        <v>815</v>
      </c>
      <c r="P2770" s="54" t="s">
        <v>3392</v>
      </c>
      <c r="Q2770" s="35" t="str">
        <f>MID(Tabla1[[#This Row],[Aplicación]],14,1)</f>
        <v>2</v>
      </c>
      <c r="R2770" s="35" t="s">
        <v>495</v>
      </c>
      <c r="S2770" s="35" t="str">
        <f>MID(Tabla1[[#This Row],[Aplicación]],6,2)</f>
        <v>08</v>
      </c>
      <c r="T2770" s="35" t="str">
        <f>VLOOKUP(Tabla1[[#This Row],[AREA]],Hoja1!A:B,2,FALSE)</f>
        <v>08. Movilidad y espacio urbano</v>
      </c>
      <c r="U2770" s="35" t="str">
        <f>MID(Tabla1[[#This Row],[Aplicación]],9,4)</f>
        <v>1532</v>
      </c>
      <c r="V2770" s="35" t="str">
        <f>VLOOKUP(Tabla1[[#This Row],[PROGRAMA]],Hoja1!A:B,2,FALSE)</f>
        <v>1532. Pavimentación vias públicas y otros servicios urbanísticos</v>
      </c>
      <c r="W2770" s="35" t="str">
        <f>MID(Tabla1[[#This Row],[Aplicación]],14,2)</f>
        <v>22</v>
      </c>
      <c r="X2770" s="35" t="str">
        <f>MID(Tabla1[[#This Row],[Aplicación]],14,6)</f>
        <v>22104</v>
      </c>
    </row>
    <row r="2771" spans="1:24" x14ac:dyDescent="0.25">
      <c r="A2771" s="45">
        <v>220210031219</v>
      </c>
      <c r="B2771" s="46" t="s">
        <v>9</v>
      </c>
      <c r="C2771" s="47">
        <v>44362</v>
      </c>
      <c r="D2771" s="45">
        <v>22021004825</v>
      </c>
      <c r="E2771" s="46" t="s">
        <v>844</v>
      </c>
      <c r="F2771" s="48">
        <v>338.8</v>
      </c>
      <c r="G2771" s="54" t="s">
        <v>66</v>
      </c>
      <c r="H2771" s="54" t="s">
        <v>4322</v>
      </c>
      <c r="I2771" s="53" t="s">
        <v>125</v>
      </c>
      <c r="J2771" s="54" t="s">
        <v>127</v>
      </c>
      <c r="K2771" s="54" t="s">
        <v>127</v>
      </c>
      <c r="L2771" s="54" t="s">
        <v>12</v>
      </c>
      <c r="M2771" s="54" t="s">
        <v>10</v>
      </c>
      <c r="N2771" s="54" t="s">
        <v>11</v>
      </c>
      <c r="O2771" s="49" t="s">
        <v>815</v>
      </c>
      <c r="P2771" s="54" t="s">
        <v>3392</v>
      </c>
      <c r="Q2771" s="35" t="str">
        <f>MID(Tabla1[[#This Row],[Aplicación]],14,1)</f>
        <v>2</v>
      </c>
      <c r="R2771" s="35" t="s">
        <v>495</v>
      </c>
      <c r="S2771" s="35" t="str">
        <f>MID(Tabla1[[#This Row],[Aplicación]],6,2)</f>
        <v>10</v>
      </c>
      <c r="T2771" s="35" t="str">
        <f>VLOOKUP(Tabla1[[#This Row],[AREA]],Hoja1!A:B,2,FALSE)</f>
        <v>10. Servicios sociales y mediación comunitaria</v>
      </c>
      <c r="U2771" s="35" t="str">
        <f>MID(Tabla1[[#This Row],[Aplicación]],9,4)</f>
        <v>2312</v>
      </c>
      <c r="V2771" s="35" t="str">
        <f>VLOOKUP(Tabla1[[#This Row],[PROGRAMA]],Hoja1!A:B,2,FALSE)</f>
        <v>2312. Iniciativas sociales</v>
      </c>
      <c r="W2771" s="35" t="str">
        <f>MID(Tabla1[[#This Row],[Aplicación]],14,2)</f>
        <v>21</v>
      </c>
      <c r="X2771" s="35" t="str">
        <f>MID(Tabla1[[#This Row],[Aplicación]],14,6)</f>
        <v>212</v>
      </c>
    </row>
    <row r="2772" spans="1:24" x14ac:dyDescent="0.25">
      <c r="A2772" s="45">
        <v>220210021019</v>
      </c>
      <c r="B2772" s="46" t="s">
        <v>9</v>
      </c>
      <c r="C2772" s="47">
        <v>44323</v>
      </c>
      <c r="D2772" s="45">
        <v>22021004324</v>
      </c>
      <c r="E2772" s="46" t="s">
        <v>2992</v>
      </c>
      <c r="F2772" s="48">
        <v>337.28</v>
      </c>
      <c r="G2772" s="54" t="s">
        <v>4323</v>
      </c>
      <c r="H2772" s="54" t="s">
        <v>4324</v>
      </c>
      <c r="I2772" s="53" t="s">
        <v>125</v>
      </c>
      <c r="J2772" s="54" t="s">
        <v>127</v>
      </c>
      <c r="K2772" s="54" t="s">
        <v>127</v>
      </c>
      <c r="L2772" s="54" t="s">
        <v>12</v>
      </c>
      <c r="M2772" s="54" t="s">
        <v>10</v>
      </c>
      <c r="N2772" s="54" t="s">
        <v>11</v>
      </c>
      <c r="O2772" s="49" t="s">
        <v>815</v>
      </c>
      <c r="P2772" s="54" t="s">
        <v>3392</v>
      </c>
      <c r="Q2772" s="35" t="str">
        <f>MID(Tabla1[[#This Row],[Aplicación]],14,1)</f>
        <v>2</v>
      </c>
      <c r="R2772" s="35" t="s">
        <v>495</v>
      </c>
      <c r="S2772" s="35" t="str">
        <f>MID(Tabla1[[#This Row],[Aplicación]],6,2)</f>
        <v>05</v>
      </c>
      <c r="T2772" s="35" t="str">
        <f>VLOOKUP(Tabla1[[#This Row],[AREA]],Hoja1!A:B,2,FALSE)</f>
        <v>05. Innovación, desarrollo económico, empleo y comercio</v>
      </c>
      <c r="U2772" s="35" t="str">
        <f>MID(Tabla1[[#This Row],[Aplicación]],9,4)</f>
        <v>4314</v>
      </c>
      <c r="V2772" s="35" t="str">
        <f>VLOOKUP(Tabla1[[#This Row],[PROGRAMA]],Hoja1!A:B,2,FALSE)</f>
        <v>4314. Fomento del comercio</v>
      </c>
      <c r="W2772" s="35" t="str">
        <f>MID(Tabla1[[#This Row],[Aplicación]],14,2)</f>
        <v>22</v>
      </c>
      <c r="X2772" s="35" t="str">
        <f>MID(Tabla1[[#This Row],[Aplicación]],14,6)</f>
        <v>22706</v>
      </c>
    </row>
    <row r="2773" spans="1:24" x14ac:dyDescent="0.25">
      <c r="A2773" s="45">
        <v>220210023372</v>
      </c>
      <c r="B2773" s="46" t="s">
        <v>204</v>
      </c>
      <c r="C2773" s="47">
        <v>44335</v>
      </c>
      <c r="D2773" s="45">
        <v>22021001181</v>
      </c>
      <c r="E2773" s="46" t="s">
        <v>873</v>
      </c>
      <c r="F2773" s="48">
        <v>561.44000000000005</v>
      </c>
      <c r="G2773" s="54" t="s">
        <v>2907</v>
      </c>
      <c r="H2773" s="54" t="s">
        <v>4325</v>
      </c>
      <c r="I2773" s="53" t="s">
        <v>205</v>
      </c>
      <c r="J2773" s="54" t="s">
        <v>2909</v>
      </c>
      <c r="K2773" s="54" t="s">
        <v>127</v>
      </c>
      <c r="L2773" s="54" t="s">
        <v>15</v>
      </c>
      <c r="M2773" s="54" t="s">
        <v>13</v>
      </c>
      <c r="N2773" s="54" t="s">
        <v>14</v>
      </c>
      <c r="O2773" s="49" t="s">
        <v>814</v>
      </c>
      <c r="P2773" s="54" t="s">
        <v>3392</v>
      </c>
      <c r="Q2773" s="35" t="str">
        <f>MID(Tabla1[[#This Row],[Aplicación]],14,1)</f>
        <v>2</v>
      </c>
      <c r="R2773" s="35" t="s">
        <v>495</v>
      </c>
      <c r="S2773" s="35" t="str">
        <f>MID(Tabla1[[#This Row],[Aplicación]],6,2)</f>
        <v>10</v>
      </c>
      <c r="T2773" s="35" t="str">
        <f>VLOOKUP(Tabla1[[#This Row],[AREA]],Hoja1!A:B,2,FALSE)</f>
        <v>10. Servicios sociales y mediación comunitaria</v>
      </c>
      <c r="U2773" s="35" t="str">
        <f>MID(Tabla1[[#This Row],[Aplicación]],9,4)</f>
        <v>2412</v>
      </c>
      <c r="V2773" s="35" t="str">
        <f>VLOOKUP(Tabla1[[#This Row],[PROGRAMA]],Hoja1!A:B,2,FALSE)</f>
        <v>2412. Formación para el empleo</v>
      </c>
      <c r="W2773" s="35" t="str">
        <f>MID(Tabla1[[#This Row],[Aplicación]],14,2)</f>
        <v>22</v>
      </c>
      <c r="X2773" s="35" t="str">
        <f>MID(Tabla1[[#This Row],[Aplicación]],14,6)</f>
        <v>22199</v>
      </c>
    </row>
    <row r="2774" spans="1:24" x14ac:dyDescent="0.25">
      <c r="A2774" s="45">
        <v>220210017088</v>
      </c>
      <c r="B2774" s="46" t="s">
        <v>204</v>
      </c>
      <c r="C2774" s="47">
        <v>44312</v>
      </c>
      <c r="D2774" s="45">
        <v>22021002228</v>
      </c>
      <c r="E2774" s="46" t="s">
        <v>1471</v>
      </c>
      <c r="F2774" s="48">
        <v>558.86</v>
      </c>
      <c r="G2774" s="54" t="s">
        <v>238</v>
      </c>
      <c r="H2774" s="54" t="s">
        <v>4326</v>
      </c>
      <c r="I2774" s="53" t="s">
        <v>205</v>
      </c>
      <c r="J2774" s="54" t="s">
        <v>127</v>
      </c>
      <c r="K2774" s="54" t="s">
        <v>127</v>
      </c>
      <c r="L2774" s="54" t="s">
        <v>15</v>
      </c>
      <c r="M2774" s="54" t="s">
        <v>13</v>
      </c>
      <c r="N2774" s="54" t="s">
        <v>16</v>
      </c>
      <c r="O2774" s="49" t="s">
        <v>814</v>
      </c>
      <c r="P2774" s="54" t="s">
        <v>3392</v>
      </c>
      <c r="Q2774" s="35" t="str">
        <f>MID(Tabla1[[#This Row],[Aplicación]],14,1)</f>
        <v>2</v>
      </c>
      <c r="R2774" s="35" t="s">
        <v>495</v>
      </c>
      <c r="S2774" s="35" t="str">
        <f>MID(Tabla1[[#This Row],[Aplicación]],6,2)</f>
        <v>06</v>
      </c>
      <c r="T2774" s="35" t="str">
        <f>VLOOKUP(Tabla1[[#This Row],[AREA]],Hoja1!A:B,2,FALSE)</f>
        <v>06. Educación, infancia, juventud e igualdad</v>
      </c>
      <c r="U2774" s="35" t="str">
        <f>MID(Tabla1[[#This Row],[Aplicación]],9,4)</f>
        <v>3232</v>
      </c>
      <c r="V2774" s="35" t="str">
        <f>VLOOKUP(Tabla1[[#This Row],[PROGRAMA]],Hoja1!A:B,2,FALSE)</f>
        <v>3232. Conservación y mantenimiento centros educación infantil y primaria</v>
      </c>
      <c r="W2774" s="35" t="str">
        <f>MID(Tabla1[[#This Row],[Aplicación]],14,2)</f>
        <v>21</v>
      </c>
      <c r="X2774" s="35" t="str">
        <f>MID(Tabla1[[#This Row],[Aplicación]],14,6)</f>
        <v>212</v>
      </c>
    </row>
    <row r="2775" spans="1:24" x14ac:dyDescent="0.25">
      <c r="A2775" s="45">
        <v>220210021013</v>
      </c>
      <c r="B2775" s="46" t="s">
        <v>9</v>
      </c>
      <c r="C2775" s="47">
        <v>44323</v>
      </c>
      <c r="D2775" s="45">
        <v>22021004350</v>
      </c>
      <c r="E2775" s="46" t="s">
        <v>2704</v>
      </c>
      <c r="F2775" s="48">
        <v>334.4</v>
      </c>
      <c r="G2775" s="54" t="s">
        <v>101</v>
      </c>
      <c r="H2775" s="54" t="s">
        <v>4327</v>
      </c>
      <c r="I2775" s="53" t="s">
        <v>125</v>
      </c>
      <c r="J2775" s="54" t="s">
        <v>127</v>
      </c>
      <c r="K2775" s="54" t="s">
        <v>127</v>
      </c>
      <c r="L2775" s="54" t="s">
        <v>12</v>
      </c>
      <c r="M2775" s="54" t="s">
        <v>10</v>
      </c>
      <c r="N2775" s="54" t="s">
        <v>11</v>
      </c>
      <c r="O2775" s="49" t="s">
        <v>815</v>
      </c>
      <c r="P2775" s="54" t="s">
        <v>3392</v>
      </c>
      <c r="Q2775" s="35" t="str">
        <f>MID(Tabla1[[#This Row],[Aplicación]],14,1)</f>
        <v>2</v>
      </c>
      <c r="R2775" s="35" t="s">
        <v>495</v>
      </c>
      <c r="S2775" s="35" t="str">
        <f>MID(Tabla1[[#This Row],[Aplicación]],6,2)</f>
        <v>04</v>
      </c>
      <c r="T2775" s="35" t="str">
        <f>VLOOKUP(Tabla1[[#This Row],[AREA]],Hoja1!A:B,2,FALSE)</f>
        <v>04. Planificación y recursos</v>
      </c>
      <c r="U2775" s="35" t="str">
        <f>MID(Tabla1[[#This Row],[Aplicación]],9,4)</f>
        <v>3121</v>
      </c>
      <c r="V2775" s="35" t="str">
        <f>VLOOKUP(Tabla1[[#This Row],[PROGRAMA]],Hoja1!A:B,2,FALSE)</f>
        <v>3121. Prevención y salud laboral</v>
      </c>
      <c r="W2775" s="35" t="str">
        <f>MID(Tabla1[[#This Row],[Aplicación]],14,2)</f>
        <v>22</v>
      </c>
      <c r="X2775" s="35" t="str">
        <f>MID(Tabla1[[#This Row],[Aplicación]],14,6)</f>
        <v>22799</v>
      </c>
    </row>
    <row r="2776" spans="1:24" x14ac:dyDescent="0.25">
      <c r="A2776" s="45">
        <v>220210022795</v>
      </c>
      <c r="B2776" s="46" t="s">
        <v>204</v>
      </c>
      <c r="C2776" s="47">
        <v>44333</v>
      </c>
      <c r="D2776" s="45">
        <v>22021002228</v>
      </c>
      <c r="E2776" s="46" t="s">
        <v>1471</v>
      </c>
      <c r="F2776" s="48">
        <v>550.04</v>
      </c>
      <c r="G2776" s="54" t="s">
        <v>238</v>
      </c>
      <c r="H2776" s="54" t="s">
        <v>4328</v>
      </c>
      <c r="I2776" s="53" t="s">
        <v>205</v>
      </c>
      <c r="J2776" s="54" t="s">
        <v>127</v>
      </c>
      <c r="K2776" s="54" t="s">
        <v>127</v>
      </c>
      <c r="L2776" s="54" t="s">
        <v>15</v>
      </c>
      <c r="M2776" s="54" t="s">
        <v>13</v>
      </c>
      <c r="N2776" s="54" t="s">
        <v>14</v>
      </c>
      <c r="O2776" s="49" t="s">
        <v>814</v>
      </c>
      <c r="P2776" s="54" t="s">
        <v>3392</v>
      </c>
      <c r="Q2776" s="35" t="str">
        <f>MID(Tabla1[[#This Row],[Aplicación]],14,1)</f>
        <v>2</v>
      </c>
      <c r="R2776" s="35" t="s">
        <v>495</v>
      </c>
      <c r="S2776" s="35" t="str">
        <f>MID(Tabla1[[#This Row],[Aplicación]],6,2)</f>
        <v>06</v>
      </c>
      <c r="T2776" s="35" t="str">
        <f>VLOOKUP(Tabla1[[#This Row],[AREA]],Hoja1!A:B,2,FALSE)</f>
        <v>06. Educación, infancia, juventud e igualdad</v>
      </c>
      <c r="U2776" s="35" t="str">
        <f>MID(Tabla1[[#This Row],[Aplicación]],9,4)</f>
        <v>3232</v>
      </c>
      <c r="V2776" s="35" t="str">
        <f>VLOOKUP(Tabla1[[#This Row],[PROGRAMA]],Hoja1!A:B,2,FALSE)</f>
        <v>3232. Conservación y mantenimiento centros educación infantil y primaria</v>
      </c>
      <c r="W2776" s="35" t="str">
        <f>MID(Tabla1[[#This Row],[Aplicación]],14,2)</f>
        <v>21</v>
      </c>
      <c r="X2776" s="35" t="str">
        <f>MID(Tabla1[[#This Row],[Aplicación]],14,6)</f>
        <v>212</v>
      </c>
    </row>
    <row r="2777" spans="1:24" x14ac:dyDescent="0.25">
      <c r="A2777" s="45">
        <v>220210032717</v>
      </c>
      <c r="B2777" s="46" t="s">
        <v>204</v>
      </c>
      <c r="C2777" s="47">
        <v>44371</v>
      </c>
      <c r="D2777" s="45">
        <v>22021002378</v>
      </c>
      <c r="E2777" s="46" t="s">
        <v>1228</v>
      </c>
      <c r="F2777" s="48">
        <v>542.64</v>
      </c>
      <c r="G2777" s="54" t="s">
        <v>262</v>
      </c>
      <c r="H2777" s="54" t="s">
        <v>4329</v>
      </c>
      <c r="I2777" s="53" t="s">
        <v>205</v>
      </c>
      <c r="J2777" s="54" t="s">
        <v>127</v>
      </c>
      <c r="K2777" s="54" t="s">
        <v>127</v>
      </c>
      <c r="L2777" s="54" t="s">
        <v>15</v>
      </c>
      <c r="M2777" s="54" t="s">
        <v>13</v>
      </c>
      <c r="N2777" s="54" t="s">
        <v>14</v>
      </c>
      <c r="O2777" s="49" t="s">
        <v>814</v>
      </c>
      <c r="P2777" s="54" t="s">
        <v>3392</v>
      </c>
      <c r="Q2777" s="35" t="str">
        <f>MID(Tabla1[[#This Row],[Aplicación]],14,1)</f>
        <v>2</v>
      </c>
      <c r="R2777" s="35" t="s">
        <v>495</v>
      </c>
      <c r="S2777" s="35" t="str">
        <f>MID(Tabla1[[#This Row],[Aplicación]],6,2)</f>
        <v>02</v>
      </c>
      <c r="T2777" s="35" t="str">
        <f>VLOOKUP(Tabla1[[#This Row],[AREA]],Hoja1!A:B,2,FALSE)</f>
        <v>02. Planeamiento urbanístico y vivienda</v>
      </c>
      <c r="U2777" s="35" t="str">
        <f>MID(Tabla1[[#This Row],[Aplicación]],9,4)</f>
        <v>9332</v>
      </c>
      <c r="V2777" s="35" t="str">
        <f>VLOOKUP(Tabla1[[#This Row],[PROGRAMA]],Hoja1!A:B,2,FALSE)</f>
        <v>9332. Mantenimiento de edificios e instalaciones municipales</v>
      </c>
      <c r="W2777" s="35" t="str">
        <f>MID(Tabla1[[#This Row],[Aplicación]],14,2)</f>
        <v>21</v>
      </c>
      <c r="X2777" s="35" t="str">
        <f>MID(Tabla1[[#This Row],[Aplicación]],14,6)</f>
        <v>214</v>
      </c>
    </row>
    <row r="2778" spans="1:24" x14ac:dyDescent="0.25">
      <c r="A2778" s="45">
        <v>220210022741</v>
      </c>
      <c r="B2778" s="46" t="s">
        <v>204</v>
      </c>
      <c r="C2778" s="47">
        <v>44333</v>
      </c>
      <c r="D2778" s="45">
        <v>22021002048</v>
      </c>
      <c r="E2778" s="46" t="s">
        <v>890</v>
      </c>
      <c r="F2778" s="48">
        <v>532.4</v>
      </c>
      <c r="G2778" s="54" t="s">
        <v>265</v>
      </c>
      <c r="H2778" s="54" t="s">
        <v>4330</v>
      </c>
      <c r="I2778" s="53" t="s">
        <v>205</v>
      </c>
      <c r="J2778" s="54" t="s">
        <v>157</v>
      </c>
      <c r="K2778" s="54" t="s">
        <v>157</v>
      </c>
      <c r="L2778" s="54" t="s">
        <v>15</v>
      </c>
      <c r="M2778" s="54" t="s">
        <v>13</v>
      </c>
      <c r="N2778" s="54" t="s">
        <v>14</v>
      </c>
      <c r="O2778" s="49" t="s">
        <v>814</v>
      </c>
      <c r="P2778" s="54" t="s">
        <v>3392</v>
      </c>
      <c r="Q2778" s="35" t="str">
        <f>MID(Tabla1[[#This Row],[Aplicación]],14,1)</f>
        <v>2</v>
      </c>
      <c r="R2778" s="35" t="s">
        <v>495</v>
      </c>
      <c r="S2778" s="35" t="str">
        <f>MID(Tabla1[[#This Row],[Aplicación]],6,2)</f>
        <v>11</v>
      </c>
      <c r="T2778" s="35" t="str">
        <f>VLOOKUP(Tabla1[[#This Row],[AREA]],Hoja1!A:B,2,FALSE)</f>
        <v>11. Salud pública y seguridad ciudadana</v>
      </c>
      <c r="U2778" s="35" t="str">
        <f>MID(Tabla1[[#This Row],[Aplicación]],9,4)</f>
        <v>1621</v>
      </c>
      <c r="V2778" s="35" t="str">
        <f>VLOOKUP(Tabla1[[#This Row],[PROGRAMA]],Hoja1!A:B,2,FALSE)</f>
        <v>1621. Servicio de limpieza</v>
      </c>
      <c r="W2778" s="35" t="str">
        <f>MID(Tabla1[[#This Row],[Aplicación]],14,2)</f>
        <v>21</v>
      </c>
      <c r="X2778" s="35" t="str">
        <f>MID(Tabla1[[#This Row],[Aplicación]],14,6)</f>
        <v>214</v>
      </c>
    </row>
    <row r="2779" spans="1:24" x14ac:dyDescent="0.25">
      <c r="A2779" s="45">
        <v>220210022506</v>
      </c>
      <c r="B2779" s="46" t="s">
        <v>204</v>
      </c>
      <c r="C2779" s="47">
        <v>44330</v>
      </c>
      <c r="D2779" s="45">
        <v>22021001966</v>
      </c>
      <c r="E2779" s="46" t="s">
        <v>950</v>
      </c>
      <c r="F2779" s="48">
        <v>40.409999999999997</v>
      </c>
      <c r="G2779" s="54" t="s">
        <v>150</v>
      </c>
      <c r="H2779" s="54" t="s">
        <v>4331</v>
      </c>
      <c r="I2779" s="53" t="s">
        <v>205</v>
      </c>
      <c r="J2779" s="54" t="s">
        <v>146</v>
      </c>
      <c r="K2779" s="54" t="s">
        <v>146</v>
      </c>
      <c r="L2779" s="54" t="s">
        <v>15</v>
      </c>
      <c r="M2779" s="54" t="s">
        <v>13</v>
      </c>
      <c r="N2779" s="54" t="s">
        <v>14</v>
      </c>
      <c r="O2779" s="49" t="s">
        <v>814</v>
      </c>
      <c r="P2779" s="54" t="s">
        <v>3392</v>
      </c>
      <c r="Q2779" s="35" t="str">
        <f>MID(Tabla1[[#This Row],[Aplicación]],14,1)</f>
        <v>2</v>
      </c>
      <c r="R2779" s="35" t="s">
        <v>495</v>
      </c>
      <c r="S2779" s="35" t="str">
        <f>MID(Tabla1[[#This Row],[Aplicación]],6,2)</f>
        <v>11</v>
      </c>
      <c r="T2779" s="35" t="str">
        <f>VLOOKUP(Tabla1[[#This Row],[AREA]],Hoja1!A:B,2,FALSE)</f>
        <v>11. Salud pública y seguridad ciudadana</v>
      </c>
      <c r="U2779" s="35" t="str">
        <f>MID(Tabla1[[#This Row],[Aplicación]],9,4)</f>
        <v>1321</v>
      </c>
      <c r="V2779" s="35" t="str">
        <f>VLOOKUP(Tabla1[[#This Row],[PROGRAMA]],Hoja1!A:B,2,FALSE)</f>
        <v>1321. Policía municipal</v>
      </c>
      <c r="W2779" s="35" t="str">
        <f>MID(Tabla1[[#This Row],[Aplicación]],14,2)</f>
        <v>21</v>
      </c>
      <c r="X2779" s="35" t="str">
        <f>MID(Tabla1[[#This Row],[Aplicación]],14,6)</f>
        <v>213</v>
      </c>
    </row>
    <row r="2780" spans="1:24" x14ac:dyDescent="0.25">
      <c r="A2780" s="45">
        <v>220210016938</v>
      </c>
      <c r="B2780" s="46" t="s">
        <v>9</v>
      </c>
      <c r="C2780" s="47">
        <v>44312</v>
      </c>
      <c r="D2780" s="45">
        <v>22021003980</v>
      </c>
      <c r="E2780" s="46" t="s">
        <v>982</v>
      </c>
      <c r="F2780" s="48">
        <v>326.7</v>
      </c>
      <c r="G2780" s="54" t="s">
        <v>43</v>
      </c>
      <c r="H2780" s="54" t="s">
        <v>4332</v>
      </c>
      <c r="I2780" s="53" t="s">
        <v>125</v>
      </c>
      <c r="J2780" s="54" t="s">
        <v>127</v>
      </c>
      <c r="K2780" s="54" t="s">
        <v>127</v>
      </c>
      <c r="L2780" s="54" t="s">
        <v>12</v>
      </c>
      <c r="M2780" s="54" t="s">
        <v>10</v>
      </c>
      <c r="N2780" s="54" t="s">
        <v>11</v>
      </c>
      <c r="O2780" s="49" t="s">
        <v>815</v>
      </c>
      <c r="P2780" s="54" t="s">
        <v>3392</v>
      </c>
      <c r="Q2780" s="35" t="str">
        <f>MID(Tabla1[[#This Row],[Aplicación]],14,1)</f>
        <v>2</v>
      </c>
      <c r="R2780" s="35" t="s">
        <v>495</v>
      </c>
      <c r="S2780" s="35" t="str">
        <f>MID(Tabla1[[#This Row],[Aplicación]],6,2)</f>
        <v>10</v>
      </c>
      <c r="T2780" s="35" t="str">
        <f>VLOOKUP(Tabla1[[#This Row],[AREA]],Hoja1!A:B,2,FALSE)</f>
        <v>10. Servicios sociales y mediación comunitaria</v>
      </c>
      <c r="U2780" s="35" t="str">
        <f>MID(Tabla1[[#This Row],[Aplicación]],9,4)</f>
        <v>2312</v>
      </c>
      <c r="V2780" s="35" t="str">
        <f>VLOOKUP(Tabla1[[#This Row],[PROGRAMA]],Hoja1!A:B,2,FALSE)</f>
        <v>2312. Iniciativas sociales</v>
      </c>
      <c r="W2780" s="35" t="str">
        <f>MID(Tabla1[[#This Row],[Aplicación]],14,2)</f>
        <v>21</v>
      </c>
      <c r="X2780" s="35" t="str">
        <f>MID(Tabla1[[#This Row],[Aplicación]],14,6)</f>
        <v>213</v>
      </c>
    </row>
    <row r="2781" spans="1:24" x14ac:dyDescent="0.25">
      <c r="A2781" s="45">
        <v>220210015605</v>
      </c>
      <c r="B2781" s="46" t="s">
        <v>204</v>
      </c>
      <c r="C2781" s="47">
        <v>44302</v>
      </c>
      <c r="D2781" s="45">
        <v>22021002049</v>
      </c>
      <c r="E2781" s="46" t="s">
        <v>1671</v>
      </c>
      <c r="F2781" s="48">
        <v>525.14</v>
      </c>
      <c r="G2781" s="54" t="s">
        <v>265</v>
      </c>
      <c r="H2781" s="54" t="s">
        <v>4333</v>
      </c>
      <c r="I2781" s="53" t="s">
        <v>205</v>
      </c>
      <c r="J2781" s="54" t="s">
        <v>157</v>
      </c>
      <c r="K2781" s="54" t="s">
        <v>157</v>
      </c>
      <c r="L2781" s="54" t="s">
        <v>15</v>
      </c>
      <c r="M2781" s="54" t="s">
        <v>13</v>
      </c>
      <c r="N2781" s="54" t="s">
        <v>14</v>
      </c>
      <c r="O2781" s="49" t="s">
        <v>814</v>
      </c>
      <c r="P2781" s="54" t="s">
        <v>3392</v>
      </c>
      <c r="Q2781" s="35" t="str">
        <f>MID(Tabla1[[#This Row],[Aplicación]],14,1)</f>
        <v>2</v>
      </c>
      <c r="R2781" s="35" t="s">
        <v>495</v>
      </c>
      <c r="S2781" s="35" t="str">
        <f>MID(Tabla1[[#This Row],[Aplicación]],6,2)</f>
        <v>11</v>
      </c>
      <c r="T2781" s="35" t="str">
        <f>VLOOKUP(Tabla1[[#This Row],[AREA]],Hoja1!A:B,2,FALSE)</f>
        <v>11. Salud pública y seguridad ciudadana</v>
      </c>
      <c r="U2781" s="35" t="str">
        <f>MID(Tabla1[[#This Row],[Aplicación]],9,4)</f>
        <v>1621</v>
      </c>
      <c r="V2781" s="35" t="str">
        <f>VLOOKUP(Tabla1[[#This Row],[PROGRAMA]],Hoja1!A:B,2,FALSE)</f>
        <v>1621. Servicio de limpieza</v>
      </c>
      <c r="W2781" s="35" t="str">
        <f>MID(Tabla1[[#This Row],[Aplicación]],14,2)</f>
        <v>22</v>
      </c>
      <c r="X2781" s="35" t="str">
        <f>MID(Tabla1[[#This Row],[Aplicación]],14,6)</f>
        <v>22103</v>
      </c>
    </row>
    <row r="2782" spans="1:24" x14ac:dyDescent="0.25">
      <c r="A2782" s="45">
        <v>220210024824</v>
      </c>
      <c r="B2782" s="46" t="s">
        <v>9</v>
      </c>
      <c r="C2782" s="47">
        <v>44341</v>
      </c>
      <c r="D2782" s="45">
        <v>22021003227</v>
      </c>
      <c r="E2782" s="46" t="s">
        <v>3332</v>
      </c>
      <c r="F2782" s="48">
        <v>323.31</v>
      </c>
      <c r="G2782" s="54" t="s">
        <v>2697</v>
      </c>
      <c r="H2782" s="54" t="s">
        <v>4334</v>
      </c>
      <c r="I2782" s="53" t="s">
        <v>125</v>
      </c>
      <c r="J2782" s="54" t="s">
        <v>127</v>
      </c>
      <c r="K2782" s="54" t="s">
        <v>127</v>
      </c>
      <c r="L2782" s="54" t="s">
        <v>15</v>
      </c>
      <c r="M2782" s="54" t="s">
        <v>10</v>
      </c>
      <c r="N2782" s="54" t="s">
        <v>11</v>
      </c>
      <c r="O2782" s="49" t="s">
        <v>815</v>
      </c>
      <c r="P2782" s="54" t="s">
        <v>3392</v>
      </c>
      <c r="Q2782" s="35" t="str">
        <f>MID(Tabla1[[#This Row],[Aplicación]],14,1)</f>
        <v>6</v>
      </c>
      <c r="R2782" s="35" t="s">
        <v>496</v>
      </c>
      <c r="S2782" s="35" t="str">
        <f>MID(Tabla1[[#This Row],[Aplicación]],6,2)</f>
        <v>03</v>
      </c>
      <c r="T2782" s="35" t="str">
        <f>VLOOKUP(Tabla1[[#This Row],[AREA]],Hoja1!A:B,2,FALSE)</f>
        <v>03. Participación ciudadana y deportes</v>
      </c>
      <c r="U2782" s="35" t="str">
        <f>MID(Tabla1[[#This Row],[Aplicación]],9,4)</f>
        <v>9241</v>
      </c>
      <c r="V2782" s="35" t="str">
        <f>VLOOKUP(Tabla1[[#This Row],[PROGRAMA]],Hoja1!A:B,2,FALSE)</f>
        <v>9241. Participación ciudadana</v>
      </c>
      <c r="W2782" s="35" t="str">
        <f>MID(Tabla1[[#This Row],[Aplicación]],14,2)</f>
        <v>63</v>
      </c>
      <c r="X2782" s="35" t="str">
        <f>MID(Tabla1[[#This Row],[Aplicación]],14,6)</f>
        <v>635</v>
      </c>
    </row>
    <row r="2783" spans="1:24" x14ac:dyDescent="0.25">
      <c r="A2783" s="45">
        <v>220210032811</v>
      </c>
      <c r="B2783" s="46" t="s">
        <v>9</v>
      </c>
      <c r="C2783" s="47">
        <v>44371</v>
      </c>
      <c r="D2783" s="45">
        <v>22021004984</v>
      </c>
      <c r="E2783" s="46" t="s">
        <v>982</v>
      </c>
      <c r="F2783" s="48">
        <v>321.86</v>
      </c>
      <c r="G2783" s="54" t="s">
        <v>43</v>
      </c>
      <c r="H2783" s="54" t="s">
        <v>3424</v>
      </c>
      <c r="I2783" s="53" t="s">
        <v>125</v>
      </c>
      <c r="J2783" s="54" t="s">
        <v>127</v>
      </c>
      <c r="K2783" s="54" t="s">
        <v>127</v>
      </c>
      <c r="L2783" s="54" t="s">
        <v>15</v>
      </c>
      <c r="M2783" s="54" t="s">
        <v>10</v>
      </c>
      <c r="N2783" s="54" t="s">
        <v>11</v>
      </c>
      <c r="O2783" s="49" t="s">
        <v>815</v>
      </c>
      <c r="P2783" s="54" t="s">
        <v>3392</v>
      </c>
      <c r="Q2783" s="35" t="str">
        <f>MID(Tabla1[[#This Row],[Aplicación]],14,1)</f>
        <v>2</v>
      </c>
      <c r="R2783" s="35" t="s">
        <v>495</v>
      </c>
      <c r="S2783" s="35" t="str">
        <f>MID(Tabla1[[#This Row],[Aplicación]],6,2)</f>
        <v>10</v>
      </c>
      <c r="T2783" s="35" t="str">
        <f>VLOOKUP(Tabla1[[#This Row],[AREA]],Hoja1!A:B,2,FALSE)</f>
        <v>10. Servicios sociales y mediación comunitaria</v>
      </c>
      <c r="U2783" s="35" t="str">
        <f>MID(Tabla1[[#This Row],[Aplicación]],9,4)</f>
        <v>2312</v>
      </c>
      <c r="V2783" s="35" t="str">
        <f>VLOOKUP(Tabla1[[#This Row],[PROGRAMA]],Hoja1!A:B,2,FALSE)</f>
        <v>2312. Iniciativas sociales</v>
      </c>
      <c r="W2783" s="35" t="str">
        <f>MID(Tabla1[[#This Row],[Aplicación]],14,2)</f>
        <v>21</v>
      </c>
      <c r="X2783" s="35" t="str">
        <f>MID(Tabla1[[#This Row],[Aplicación]],14,6)</f>
        <v>213</v>
      </c>
    </row>
    <row r="2784" spans="1:24" x14ac:dyDescent="0.25">
      <c r="A2784" s="45">
        <v>220210028154</v>
      </c>
      <c r="B2784" s="46" t="s">
        <v>9</v>
      </c>
      <c r="C2784" s="47">
        <v>44348</v>
      </c>
      <c r="D2784" s="45">
        <v>22021004612</v>
      </c>
      <c r="E2784" s="46" t="s">
        <v>1533</v>
      </c>
      <c r="F2784" s="48">
        <v>321.86</v>
      </c>
      <c r="G2784" s="54" t="s">
        <v>4335</v>
      </c>
      <c r="H2784" s="54" t="s">
        <v>4336</v>
      </c>
      <c r="I2784" s="53" t="s">
        <v>125</v>
      </c>
      <c r="J2784" s="54" t="s">
        <v>165</v>
      </c>
      <c r="K2784" s="54" t="s">
        <v>165</v>
      </c>
      <c r="L2784" s="54" t="s">
        <v>15</v>
      </c>
      <c r="M2784" s="54" t="s">
        <v>10</v>
      </c>
      <c r="N2784" s="54" t="s">
        <v>11</v>
      </c>
      <c r="O2784" s="49" t="s">
        <v>815</v>
      </c>
      <c r="P2784" s="54" t="s">
        <v>3392</v>
      </c>
      <c r="Q2784" s="35" t="str">
        <f>MID(Tabla1[[#This Row],[Aplicación]],14,1)</f>
        <v>2</v>
      </c>
      <c r="R2784" s="35" t="s">
        <v>495</v>
      </c>
      <c r="S2784" s="35" t="str">
        <f>MID(Tabla1[[#This Row],[Aplicación]],6,2)</f>
        <v>10</v>
      </c>
      <c r="T2784" s="35" t="str">
        <f>VLOOKUP(Tabla1[[#This Row],[AREA]],Hoja1!A:B,2,FALSE)</f>
        <v>10. Servicios sociales y mediación comunitaria</v>
      </c>
      <c r="U2784" s="35" t="str">
        <f>MID(Tabla1[[#This Row],[Aplicación]],9,4)</f>
        <v>2312</v>
      </c>
      <c r="V2784" s="35" t="str">
        <f>VLOOKUP(Tabla1[[#This Row],[PROGRAMA]],Hoja1!A:B,2,FALSE)</f>
        <v>2312. Iniciativas sociales</v>
      </c>
      <c r="W2784" s="35" t="str">
        <f>MID(Tabla1[[#This Row],[Aplicación]],14,2)</f>
        <v>22</v>
      </c>
      <c r="X2784" s="35" t="str">
        <f>MID(Tabla1[[#This Row],[Aplicación]],14,6)</f>
        <v>22615</v>
      </c>
    </row>
    <row r="2785" spans="1:24" x14ac:dyDescent="0.25">
      <c r="A2785" s="45">
        <v>220210016656</v>
      </c>
      <c r="B2785" s="46" t="s">
        <v>9</v>
      </c>
      <c r="C2785" s="47">
        <v>44307</v>
      </c>
      <c r="D2785" s="45">
        <v>22021004037</v>
      </c>
      <c r="E2785" s="46" t="s">
        <v>2387</v>
      </c>
      <c r="F2785" s="48">
        <v>321.86</v>
      </c>
      <c r="G2785" s="54" t="s">
        <v>286</v>
      </c>
      <c r="H2785" s="54" t="s">
        <v>4337</v>
      </c>
      <c r="I2785" s="53" t="s">
        <v>125</v>
      </c>
      <c r="J2785" s="54" t="s">
        <v>127</v>
      </c>
      <c r="K2785" s="54" t="s">
        <v>127</v>
      </c>
      <c r="L2785" s="54" t="s">
        <v>15</v>
      </c>
      <c r="M2785" s="54" t="s">
        <v>10</v>
      </c>
      <c r="N2785" s="54" t="s">
        <v>11</v>
      </c>
      <c r="O2785" s="49" t="s">
        <v>815</v>
      </c>
      <c r="P2785" s="54" t="s">
        <v>3392</v>
      </c>
      <c r="Q2785" s="35" t="str">
        <f>MID(Tabla1[[#This Row],[Aplicación]],14,1)</f>
        <v>2</v>
      </c>
      <c r="R2785" s="35" t="s">
        <v>495</v>
      </c>
      <c r="S2785" s="35" t="str">
        <f>MID(Tabla1[[#This Row],[Aplicación]],6,2)</f>
        <v>09</v>
      </c>
      <c r="T2785" s="35" t="str">
        <f>VLOOKUP(Tabla1[[#This Row],[AREA]],Hoja1!A:B,2,FALSE)</f>
        <v>09. Cultura y turismo</v>
      </c>
      <c r="U2785" s="35" t="str">
        <f>MID(Tabla1[[#This Row],[Aplicación]],9,4)</f>
        <v>3341</v>
      </c>
      <c r="V2785" s="35" t="str">
        <f>VLOOKUP(Tabla1[[#This Row],[PROGRAMA]],Hoja1!A:B,2,FALSE)</f>
        <v>3341. Coordinación de políticas culturales</v>
      </c>
      <c r="W2785" s="35" t="str">
        <f>MID(Tabla1[[#This Row],[Aplicación]],14,2)</f>
        <v>22</v>
      </c>
      <c r="X2785" s="35" t="str">
        <f>MID(Tabla1[[#This Row],[Aplicación]],14,6)</f>
        <v>22199</v>
      </c>
    </row>
    <row r="2786" spans="1:24" x14ac:dyDescent="0.25">
      <c r="A2786" s="45">
        <v>220210022743</v>
      </c>
      <c r="B2786" s="46" t="s">
        <v>204</v>
      </c>
      <c r="C2786" s="47">
        <v>44333</v>
      </c>
      <c r="D2786" s="45">
        <v>22021002049</v>
      </c>
      <c r="E2786" s="46" t="s">
        <v>1671</v>
      </c>
      <c r="F2786" s="48">
        <v>525.14</v>
      </c>
      <c r="G2786" s="54" t="s">
        <v>265</v>
      </c>
      <c r="H2786" s="54" t="s">
        <v>4338</v>
      </c>
      <c r="I2786" s="53" t="s">
        <v>205</v>
      </c>
      <c r="J2786" s="54" t="s">
        <v>157</v>
      </c>
      <c r="K2786" s="54" t="s">
        <v>157</v>
      </c>
      <c r="L2786" s="54" t="s">
        <v>15</v>
      </c>
      <c r="M2786" s="54" t="s">
        <v>13</v>
      </c>
      <c r="N2786" s="54" t="s">
        <v>14</v>
      </c>
      <c r="O2786" s="49" t="s">
        <v>814</v>
      </c>
      <c r="P2786" s="54" t="s">
        <v>3392</v>
      </c>
      <c r="Q2786" s="35" t="str">
        <f>MID(Tabla1[[#This Row],[Aplicación]],14,1)</f>
        <v>2</v>
      </c>
      <c r="R2786" s="35" t="s">
        <v>495</v>
      </c>
      <c r="S2786" s="35" t="str">
        <f>MID(Tabla1[[#This Row],[Aplicación]],6,2)</f>
        <v>11</v>
      </c>
      <c r="T2786" s="35" t="str">
        <f>VLOOKUP(Tabla1[[#This Row],[AREA]],Hoja1!A:B,2,FALSE)</f>
        <v>11. Salud pública y seguridad ciudadana</v>
      </c>
      <c r="U2786" s="35" t="str">
        <f>MID(Tabla1[[#This Row],[Aplicación]],9,4)</f>
        <v>1621</v>
      </c>
      <c r="V2786" s="35" t="str">
        <f>VLOOKUP(Tabla1[[#This Row],[PROGRAMA]],Hoja1!A:B,2,FALSE)</f>
        <v>1621. Servicio de limpieza</v>
      </c>
      <c r="W2786" s="35" t="str">
        <f>MID(Tabla1[[#This Row],[Aplicación]],14,2)</f>
        <v>22</v>
      </c>
      <c r="X2786" s="35" t="str">
        <f>MID(Tabla1[[#This Row],[Aplicación]],14,6)</f>
        <v>22103</v>
      </c>
    </row>
    <row r="2787" spans="1:24" x14ac:dyDescent="0.25">
      <c r="A2787" s="45">
        <v>220210014197</v>
      </c>
      <c r="B2787" s="46" t="s">
        <v>204</v>
      </c>
      <c r="C2787" s="47">
        <v>44293</v>
      </c>
      <c r="D2787" s="45">
        <v>22021002089</v>
      </c>
      <c r="E2787" s="46" t="s">
        <v>1220</v>
      </c>
      <c r="F2787" s="48">
        <v>504.36</v>
      </c>
      <c r="G2787" s="54" t="s">
        <v>102</v>
      </c>
      <c r="H2787" s="54" t="s">
        <v>4339</v>
      </c>
      <c r="I2787" s="53" t="s">
        <v>205</v>
      </c>
      <c r="J2787" s="54" t="s">
        <v>127</v>
      </c>
      <c r="K2787" s="54" t="s">
        <v>127</v>
      </c>
      <c r="L2787" s="54" t="s">
        <v>15</v>
      </c>
      <c r="M2787" s="54" t="s">
        <v>13</v>
      </c>
      <c r="N2787" s="54" t="s">
        <v>16</v>
      </c>
      <c r="O2787" s="49" t="s">
        <v>814</v>
      </c>
      <c r="P2787" s="54" t="s">
        <v>3392</v>
      </c>
      <c r="Q2787" s="35" t="str">
        <f>MID(Tabla1[[#This Row],[Aplicación]],14,1)</f>
        <v>2</v>
      </c>
      <c r="R2787" s="35" t="s">
        <v>495</v>
      </c>
      <c r="S2787" s="35" t="str">
        <f>MID(Tabla1[[#This Row],[Aplicación]],6,2)</f>
        <v>03</v>
      </c>
      <c r="T2787" s="35" t="str">
        <f>VLOOKUP(Tabla1[[#This Row],[AREA]],Hoja1!A:B,2,FALSE)</f>
        <v>03. Participación ciudadana y deportes</v>
      </c>
      <c r="U2787" s="35" t="str">
        <f>MID(Tabla1[[#This Row],[Aplicación]],9,4)</f>
        <v>9241</v>
      </c>
      <c r="V2787" s="35" t="str">
        <f>VLOOKUP(Tabla1[[#This Row],[PROGRAMA]],Hoja1!A:B,2,FALSE)</f>
        <v>9241. Participación ciudadana</v>
      </c>
      <c r="W2787" s="35" t="str">
        <f>MID(Tabla1[[#This Row],[Aplicación]],14,2)</f>
        <v>21</v>
      </c>
      <c r="X2787" s="35" t="str">
        <f>MID(Tabla1[[#This Row],[Aplicación]],14,6)</f>
        <v>213</v>
      </c>
    </row>
    <row r="2788" spans="1:24" x14ac:dyDescent="0.25">
      <c r="A2788" s="45">
        <v>220210033090</v>
      </c>
      <c r="B2788" s="46" t="s">
        <v>9</v>
      </c>
      <c r="C2788" s="47">
        <v>44376</v>
      </c>
      <c r="D2788" s="45">
        <v>22021005030</v>
      </c>
      <c r="E2788" s="46" t="s">
        <v>3309</v>
      </c>
      <c r="F2788" s="48">
        <v>263.38</v>
      </c>
      <c r="G2788" s="54" t="s">
        <v>3889</v>
      </c>
      <c r="H2788" s="54" t="s">
        <v>4340</v>
      </c>
      <c r="I2788" s="53" t="s">
        <v>125</v>
      </c>
      <c r="J2788" s="54" t="s">
        <v>203</v>
      </c>
      <c r="K2788" s="54" t="s">
        <v>203</v>
      </c>
      <c r="L2788" s="54" t="s">
        <v>12</v>
      </c>
      <c r="M2788" s="54" t="s">
        <v>13</v>
      </c>
      <c r="N2788" s="54" t="s">
        <v>14</v>
      </c>
      <c r="O2788" s="49" t="s">
        <v>814</v>
      </c>
      <c r="P2788" s="54" t="s">
        <v>3392</v>
      </c>
      <c r="Q2788" s="35" t="str">
        <f>MID(Tabla1[[#This Row],[Aplicación]],14,1)</f>
        <v>6</v>
      </c>
      <c r="R2788" s="35" t="s">
        <v>496</v>
      </c>
      <c r="S2788" s="35" t="str">
        <f>MID(Tabla1[[#This Row],[Aplicación]],6,2)</f>
        <v>06</v>
      </c>
      <c r="T2788" s="35" t="str">
        <f>VLOOKUP(Tabla1[[#This Row],[AREA]],Hoja1!A:B,2,FALSE)</f>
        <v>06. Educación, infancia, juventud e igualdad</v>
      </c>
      <c r="U2788" s="35" t="str">
        <f>MID(Tabla1[[#This Row],[Aplicación]],9,4)</f>
        <v>3261</v>
      </c>
      <c r="V2788" s="35" t="str">
        <f>VLOOKUP(Tabla1[[#This Row],[PROGRAMA]],Hoja1!A:B,2,FALSE)</f>
        <v>3261. Servicios complementarios de educación</v>
      </c>
      <c r="W2788" s="35" t="str">
        <f>MID(Tabla1[[#This Row],[Aplicación]],14,2)</f>
        <v>63</v>
      </c>
      <c r="X2788" s="35" t="str">
        <f>MID(Tabla1[[#This Row],[Aplicación]],14,6)</f>
        <v>632</v>
      </c>
    </row>
    <row r="2789" spans="1:24" x14ac:dyDescent="0.25">
      <c r="A2789" s="45">
        <v>220210014324</v>
      </c>
      <c r="B2789" s="46" t="s">
        <v>9</v>
      </c>
      <c r="C2789" s="47">
        <v>44295</v>
      </c>
      <c r="D2789" s="45">
        <v>22021003723</v>
      </c>
      <c r="E2789" s="46" t="s">
        <v>1263</v>
      </c>
      <c r="F2789" s="48">
        <v>310.37</v>
      </c>
      <c r="G2789" s="54" t="s">
        <v>4341</v>
      </c>
      <c r="H2789" s="54" t="s">
        <v>4342</v>
      </c>
      <c r="I2789" s="53" t="s">
        <v>125</v>
      </c>
      <c r="J2789" s="54" t="s">
        <v>126</v>
      </c>
      <c r="K2789" s="54" t="s">
        <v>126</v>
      </c>
      <c r="L2789" s="54" t="s">
        <v>12</v>
      </c>
      <c r="M2789" s="54" t="s">
        <v>10</v>
      </c>
      <c r="N2789" s="54" t="s">
        <v>11</v>
      </c>
      <c r="O2789" s="49" t="s">
        <v>815</v>
      </c>
      <c r="P2789" s="54" t="s">
        <v>3392</v>
      </c>
      <c r="Q2789" s="35" t="str">
        <f>MID(Tabla1[[#This Row],[Aplicación]],14,1)</f>
        <v>2</v>
      </c>
      <c r="R2789" s="35" t="s">
        <v>495</v>
      </c>
      <c r="S2789" s="35" t="str">
        <f>MID(Tabla1[[#This Row],[Aplicación]],6,2)</f>
        <v>02</v>
      </c>
      <c r="T2789" s="35" t="str">
        <f>VLOOKUP(Tabla1[[#This Row],[AREA]],Hoja1!A:B,2,FALSE)</f>
        <v>02. Planeamiento urbanístico y vivienda</v>
      </c>
      <c r="U2789" s="35" t="str">
        <f>MID(Tabla1[[#This Row],[Aplicación]],9,4)</f>
        <v>9332</v>
      </c>
      <c r="V2789" s="35" t="str">
        <f>VLOOKUP(Tabla1[[#This Row],[PROGRAMA]],Hoja1!A:B,2,FALSE)</f>
        <v>9332. Mantenimiento de edificios e instalaciones municipales</v>
      </c>
      <c r="W2789" s="35" t="str">
        <f>MID(Tabla1[[#This Row],[Aplicación]],14,2)</f>
        <v>21</v>
      </c>
      <c r="X2789" s="35" t="str">
        <f>MID(Tabla1[[#This Row],[Aplicación]],14,6)</f>
        <v>213</v>
      </c>
    </row>
    <row r="2790" spans="1:24" x14ac:dyDescent="0.25">
      <c r="A2790" s="45">
        <v>220210022753</v>
      </c>
      <c r="B2790" s="46" t="s">
        <v>204</v>
      </c>
      <c r="C2790" s="47">
        <v>44333</v>
      </c>
      <c r="D2790" s="45">
        <v>22021002052</v>
      </c>
      <c r="E2790" s="46" t="s">
        <v>1340</v>
      </c>
      <c r="F2790" s="48">
        <v>498.33</v>
      </c>
      <c r="G2790" s="54" t="s">
        <v>270</v>
      </c>
      <c r="H2790" s="54" t="s">
        <v>4343</v>
      </c>
      <c r="I2790" s="53" t="s">
        <v>205</v>
      </c>
      <c r="J2790" s="54" t="s">
        <v>127</v>
      </c>
      <c r="K2790" s="54" t="s">
        <v>127</v>
      </c>
      <c r="L2790" s="54" t="s">
        <v>15</v>
      </c>
      <c r="M2790" s="54" t="s">
        <v>13</v>
      </c>
      <c r="N2790" s="54" t="s">
        <v>14</v>
      </c>
      <c r="O2790" s="49" t="s">
        <v>814</v>
      </c>
      <c r="P2790" s="54" t="s">
        <v>3392</v>
      </c>
      <c r="Q2790" s="35" t="str">
        <f>MID(Tabla1[[#This Row],[Aplicación]],14,1)</f>
        <v>2</v>
      </c>
      <c r="R2790" s="35" t="s">
        <v>495</v>
      </c>
      <c r="S2790" s="35" t="str">
        <f>MID(Tabla1[[#This Row],[Aplicación]],6,2)</f>
        <v>11</v>
      </c>
      <c r="T2790" s="35" t="str">
        <f>VLOOKUP(Tabla1[[#This Row],[AREA]],Hoja1!A:B,2,FALSE)</f>
        <v>11. Salud pública y seguridad ciudadana</v>
      </c>
      <c r="U2790" s="35" t="str">
        <f>MID(Tabla1[[#This Row],[Aplicación]],9,4)</f>
        <v>1621</v>
      </c>
      <c r="V2790" s="35" t="str">
        <f>VLOOKUP(Tabla1[[#This Row],[PROGRAMA]],Hoja1!A:B,2,FALSE)</f>
        <v>1621. Servicio de limpieza</v>
      </c>
      <c r="W2790" s="35" t="str">
        <f>MID(Tabla1[[#This Row],[Aplicación]],14,2)</f>
        <v>22</v>
      </c>
      <c r="X2790" s="35" t="str">
        <f>MID(Tabla1[[#This Row],[Aplicación]],14,6)</f>
        <v>22199</v>
      </c>
    </row>
    <row r="2791" spans="1:24" x14ac:dyDescent="0.25">
      <c r="A2791" s="45">
        <v>220210022414</v>
      </c>
      <c r="B2791" s="46" t="s">
        <v>9</v>
      </c>
      <c r="C2791" s="47">
        <v>44330</v>
      </c>
      <c r="D2791" s="45">
        <v>22021004407</v>
      </c>
      <c r="E2791" s="46" t="s">
        <v>818</v>
      </c>
      <c r="F2791" s="48">
        <v>308.2</v>
      </c>
      <c r="G2791" s="54" t="s">
        <v>86</v>
      </c>
      <c r="H2791" s="54" t="s">
        <v>4344</v>
      </c>
      <c r="I2791" s="53" t="s">
        <v>125</v>
      </c>
      <c r="J2791" s="54" t="s">
        <v>186</v>
      </c>
      <c r="K2791" s="54" t="s">
        <v>186</v>
      </c>
      <c r="L2791" s="54" t="s">
        <v>12</v>
      </c>
      <c r="M2791" s="54" t="s">
        <v>10</v>
      </c>
      <c r="N2791" s="54" t="s">
        <v>11</v>
      </c>
      <c r="O2791" s="49" t="s">
        <v>815</v>
      </c>
      <c r="P2791" s="54" t="s">
        <v>3392</v>
      </c>
      <c r="Q2791" s="35" t="str">
        <f>MID(Tabla1[[#This Row],[Aplicación]],14,1)</f>
        <v>2</v>
      </c>
      <c r="R2791" s="35" t="s">
        <v>495</v>
      </c>
      <c r="S2791" s="35" t="str">
        <f>MID(Tabla1[[#This Row],[Aplicación]],6,2)</f>
        <v>09</v>
      </c>
      <c r="T2791" s="35" t="str">
        <f>VLOOKUP(Tabla1[[#This Row],[AREA]],Hoja1!A:B,2,FALSE)</f>
        <v>09. Cultura y turismo</v>
      </c>
      <c r="U2791" s="35" t="str">
        <f>MID(Tabla1[[#This Row],[Aplicación]],9,4)</f>
        <v>3341</v>
      </c>
      <c r="V2791" s="35" t="str">
        <f>VLOOKUP(Tabla1[[#This Row],[PROGRAMA]],Hoja1!A:B,2,FALSE)</f>
        <v>3341. Coordinación de políticas culturales</v>
      </c>
      <c r="W2791" s="35" t="str">
        <f>MID(Tabla1[[#This Row],[Aplicación]],14,2)</f>
        <v>22</v>
      </c>
      <c r="X2791" s="35" t="str">
        <f>MID(Tabla1[[#This Row],[Aplicación]],14,6)</f>
        <v>22609</v>
      </c>
    </row>
    <row r="2792" spans="1:24" x14ac:dyDescent="0.25">
      <c r="A2792" s="45">
        <v>220210028161</v>
      </c>
      <c r="B2792" s="46" t="s">
        <v>9</v>
      </c>
      <c r="C2792" s="47">
        <v>44349</v>
      </c>
      <c r="D2792" s="45">
        <v>22021004686</v>
      </c>
      <c r="E2792" s="46" t="s">
        <v>818</v>
      </c>
      <c r="F2792" s="48">
        <v>308.02</v>
      </c>
      <c r="G2792" s="54" t="s">
        <v>86</v>
      </c>
      <c r="H2792" s="54" t="s">
        <v>4345</v>
      </c>
      <c r="I2792" s="53" t="s">
        <v>125</v>
      </c>
      <c r="J2792" s="54" t="s">
        <v>186</v>
      </c>
      <c r="K2792" s="54" t="s">
        <v>186</v>
      </c>
      <c r="L2792" s="54" t="s">
        <v>12</v>
      </c>
      <c r="M2792" s="54" t="s">
        <v>10</v>
      </c>
      <c r="N2792" s="54" t="s">
        <v>11</v>
      </c>
      <c r="O2792" s="49" t="s">
        <v>815</v>
      </c>
      <c r="P2792" s="54" t="s">
        <v>3392</v>
      </c>
      <c r="Q2792" s="35" t="str">
        <f>MID(Tabla1[[#This Row],[Aplicación]],14,1)</f>
        <v>2</v>
      </c>
      <c r="R2792" s="35" t="s">
        <v>495</v>
      </c>
      <c r="S2792" s="35" t="str">
        <f>MID(Tabla1[[#This Row],[Aplicación]],6,2)</f>
        <v>09</v>
      </c>
      <c r="T2792" s="35" t="str">
        <f>VLOOKUP(Tabla1[[#This Row],[AREA]],Hoja1!A:B,2,FALSE)</f>
        <v>09. Cultura y turismo</v>
      </c>
      <c r="U2792" s="35" t="str">
        <f>MID(Tabla1[[#This Row],[Aplicación]],9,4)</f>
        <v>3341</v>
      </c>
      <c r="V2792" s="35" t="str">
        <f>VLOOKUP(Tabla1[[#This Row],[PROGRAMA]],Hoja1!A:B,2,FALSE)</f>
        <v>3341. Coordinación de políticas culturales</v>
      </c>
      <c r="W2792" s="35" t="str">
        <f>MID(Tabla1[[#This Row],[Aplicación]],14,2)</f>
        <v>22</v>
      </c>
      <c r="X2792" s="35" t="str">
        <f>MID(Tabla1[[#This Row],[Aplicación]],14,6)</f>
        <v>22609</v>
      </c>
    </row>
    <row r="2793" spans="1:24" x14ac:dyDescent="0.25">
      <c r="A2793" s="45">
        <v>220210022783</v>
      </c>
      <c r="B2793" s="46" t="s">
        <v>204</v>
      </c>
      <c r="C2793" s="47">
        <v>44333</v>
      </c>
      <c r="D2793" s="45">
        <v>22021002228</v>
      </c>
      <c r="E2793" s="46" t="s">
        <v>1471</v>
      </c>
      <c r="F2793" s="48">
        <v>495</v>
      </c>
      <c r="G2793" s="54" t="s">
        <v>574</v>
      </c>
      <c r="H2793" s="54" t="s">
        <v>4346</v>
      </c>
      <c r="I2793" s="53" t="s">
        <v>205</v>
      </c>
      <c r="J2793" s="54" t="s">
        <v>127</v>
      </c>
      <c r="K2793" s="54" t="s">
        <v>127</v>
      </c>
      <c r="L2793" s="54" t="s">
        <v>15</v>
      </c>
      <c r="M2793" s="54" t="s">
        <v>13</v>
      </c>
      <c r="N2793" s="54" t="s">
        <v>14</v>
      </c>
      <c r="O2793" s="49" t="s">
        <v>814</v>
      </c>
      <c r="P2793" s="54" t="s">
        <v>3392</v>
      </c>
      <c r="Q2793" s="35" t="str">
        <f>MID(Tabla1[[#This Row],[Aplicación]],14,1)</f>
        <v>2</v>
      </c>
      <c r="R2793" s="35" t="s">
        <v>495</v>
      </c>
      <c r="S2793" s="35" t="str">
        <f>MID(Tabla1[[#This Row],[Aplicación]],6,2)</f>
        <v>06</v>
      </c>
      <c r="T2793" s="35" t="str">
        <f>VLOOKUP(Tabla1[[#This Row],[AREA]],Hoja1!A:B,2,FALSE)</f>
        <v>06. Educación, infancia, juventud e igualdad</v>
      </c>
      <c r="U2793" s="35" t="str">
        <f>MID(Tabla1[[#This Row],[Aplicación]],9,4)</f>
        <v>3232</v>
      </c>
      <c r="V2793" s="35" t="str">
        <f>VLOOKUP(Tabla1[[#This Row],[PROGRAMA]],Hoja1!A:B,2,FALSE)</f>
        <v>3232. Conservación y mantenimiento centros educación infantil y primaria</v>
      </c>
      <c r="W2793" s="35" t="str">
        <f>MID(Tabla1[[#This Row],[Aplicación]],14,2)</f>
        <v>21</v>
      </c>
      <c r="X2793" s="35" t="str">
        <f>MID(Tabla1[[#This Row],[Aplicación]],14,6)</f>
        <v>212</v>
      </c>
    </row>
    <row r="2794" spans="1:24" x14ac:dyDescent="0.25">
      <c r="A2794" s="45">
        <v>220210014265</v>
      </c>
      <c r="B2794" s="46" t="s">
        <v>9</v>
      </c>
      <c r="C2794" s="47">
        <v>44294</v>
      </c>
      <c r="D2794" s="45">
        <v>22021003761</v>
      </c>
      <c r="E2794" s="46" t="s">
        <v>1267</v>
      </c>
      <c r="F2794" s="48">
        <v>302.5</v>
      </c>
      <c r="G2794" s="54" t="s">
        <v>307</v>
      </c>
      <c r="H2794" s="54" t="s">
        <v>4347</v>
      </c>
      <c r="I2794" s="53" t="s">
        <v>125</v>
      </c>
      <c r="J2794" s="54" t="s">
        <v>127</v>
      </c>
      <c r="K2794" s="54" t="s">
        <v>127</v>
      </c>
      <c r="L2794" s="54" t="s">
        <v>12</v>
      </c>
      <c r="M2794" s="54" t="s">
        <v>10</v>
      </c>
      <c r="N2794" s="54" t="s">
        <v>11</v>
      </c>
      <c r="O2794" s="49" t="s">
        <v>815</v>
      </c>
      <c r="P2794" s="54" t="s">
        <v>3392</v>
      </c>
      <c r="Q2794" s="35" t="str">
        <f>MID(Tabla1[[#This Row],[Aplicación]],14,1)</f>
        <v>2</v>
      </c>
      <c r="R2794" s="35" t="s">
        <v>495</v>
      </c>
      <c r="S2794" s="35" t="str">
        <f>MID(Tabla1[[#This Row],[Aplicación]],6,2)</f>
        <v>03</v>
      </c>
      <c r="T2794" s="35" t="str">
        <f>VLOOKUP(Tabla1[[#This Row],[AREA]],Hoja1!A:B,2,FALSE)</f>
        <v>03. Participación ciudadana y deportes</v>
      </c>
      <c r="U2794" s="35" t="str">
        <f>MID(Tabla1[[#This Row],[Aplicación]],9,4)</f>
        <v>9241</v>
      </c>
      <c r="V2794" s="35" t="str">
        <f>VLOOKUP(Tabla1[[#This Row],[PROGRAMA]],Hoja1!A:B,2,FALSE)</f>
        <v>9241. Participación ciudadana</v>
      </c>
      <c r="W2794" s="35" t="str">
        <f>MID(Tabla1[[#This Row],[Aplicación]],14,2)</f>
        <v>22</v>
      </c>
      <c r="X2794" s="35" t="str">
        <f>MID(Tabla1[[#This Row],[Aplicación]],14,6)</f>
        <v>22602</v>
      </c>
    </row>
    <row r="2795" spans="1:24" x14ac:dyDescent="0.25">
      <c r="A2795" s="45">
        <v>220210031459</v>
      </c>
      <c r="B2795" s="46" t="s">
        <v>9</v>
      </c>
      <c r="C2795" s="47">
        <v>44368</v>
      </c>
      <c r="D2795" s="45">
        <v>22021004959</v>
      </c>
      <c r="E2795" s="46" t="s">
        <v>1183</v>
      </c>
      <c r="F2795" s="48">
        <v>302.5</v>
      </c>
      <c r="G2795" s="54" t="s">
        <v>4348</v>
      </c>
      <c r="H2795" s="54" t="s">
        <v>4349</v>
      </c>
      <c r="I2795" s="53" t="s">
        <v>125</v>
      </c>
      <c r="J2795" s="54" t="s">
        <v>674</v>
      </c>
      <c r="K2795" s="54" t="s">
        <v>127</v>
      </c>
      <c r="L2795" s="54" t="s">
        <v>15</v>
      </c>
      <c r="M2795" s="54" t="s">
        <v>10</v>
      </c>
      <c r="N2795" s="54" t="s">
        <v>14</v>
      </c>
      <c r="O2795" s="49" t="s">
        <v>815</v>
      </c>
      <c r="P2795" s="54" t="s">
        <v>3392</v>
      </c>
      <c r="Q2795" s="35" t="str">
        <f>MID(Tabla1[[#This Row],[Aplicación]],14,1)</f>
        <v>2</v>
      </c>
      <c r="R2795" s="35" t="s">
        <v>495</v>
      </c>
      <c r="S2795" s="35" t="str">
        <f>MID(Tabla1[[#This Row],[Aplicación]],6,2)</f>
        <v>11</v>
      </c>
      <c r="T2795" s="35" t="str">
        <f>VLOOKUP(Tabla1[[#This Row],[AREA]],Hoja1!A:B,2,FALSE)</f>
        <v>11. Salud pública y seguridad ciudadana</v>
      </c>
      <c r="U2795" s="35" t="str">
        <f>MID(Tabla1[[#This Row],[Aplicación]],9,4)</f>
        <v>1361</v>
      </c>
      <c r="V2795" s="35" t="str">
        <f>VLOOKUP(Tabla1[[#This Row],[PROGRAMA]],Hoja1!A:B,2,FALSE)</f>
        <v>1361. Prevención y extinción de incencios</v>
      </c>
      <c r="W2795" s="35" t="str">
        <f>MID(Tabla1[[#This Row],[Aplicación]],14,2)</f>
        <v>22</v>
      </c>
      <c r="X2795" s="35" t="str">
        <f>MID(Tabla1[[#This Row],[Aplicación]],14,6)</f>
        <v>22199</v>
      </c>
    </row>
    <row r="2796" spans="1:24" x14ac:dyDescent="0.25">
      <c r="A2796" s="45">
        <v>220210030048</v>
      </c>
      <c r="B2796" s="46" t="s">
        <v>204</v>
      </c>
      <c r="C2796" s="47">
        <v>44356</v>
      </c>
      <c r="D2796" s="45">
        <v>22021002055</v>
      </c>
      <c r="E2796" s="46" t="s">
        <v>1613</v>
      </c>
      <c r="F2796" s="48">
        <v>491.55</v>
      </c>
      <c r="G2796" s="54" t="s">
        <v>238</v>
      </c>
      <c r="H2796" s="54" t="s">
        <v>4350</v>
      </c>
      <c r="I2796" s="53" t="s">
        <v>205</v>
      </c>
      <c r="J2796" s="54" t="s">
        <v>127</v>
      </c>
      <c r="K2796" s="54" t="s">
        <v>127</v>
      </c>
      <c r="L2796" s="54" t="s">
        <v>15</v>
      </c>
      <c r="M2796" s="54" t="s">
        <v>13</v>
      </c>
      <c r="N2796" s="54" t="s">
        <v>14</v>
      </c>
      <c r="O2796" s="49" t="s">
        <v>814</v>
      </c>
      <c r="P2796" s="54" t="s">
        <v>3392</v>
      </c>
      <c r="Q2796" s="35" t="str">
        <f>MID(Tabla1[[#This Row],[Aplicación]],14,1)</f>
        <v>2</v>
      </c>
      <c r="R2796" s="35" t="s">
        <v>495</v>
      </c>
      <c r="S2796" s="35" t="str">
        <f>MID(Tabla1[[#This Row],[Aplicación]],6,2)</f>
        <v>11</v>
      </c>
      <c r="T2796" s="35" t="str">
        <f>VLOOKUP(Tabla1[[#This Row],[AREA]],Hoja1!A:B,2,FALSE)</f>
        <v>11. Salud pública y seguridad ciudadana</v>
      </c>
      <c r="U2796" s="35" t="str">
        <f>MID(Tabla1[[#This Row],[Aplicación]],9,4)</f>
        <v>1631</v>
      </c>
      <c r="V2796" s="35" t="str">
        <f>VLOOKUP(Tabla1[[#This Row],[PROGRAMA]],Hoja1!A:B,2,FALSE)</f>
        <v>1631. Limpieza viaria</v>
      </c>
      <c r="W2796" s="35" t="str">
        <f>MID(Tabla1[[#This Row],[Aplicación]],14,2)</f>
        <v>22</v>
      </c>
      <c r="X2796" s="35" t="str">
        <f>MID(Tabla1[[#This Row],[Aplicación]],14,6)</f>
        <v>22104</v>
      </c>
    </row>
    <row r="2797" spans="1:24" x14ac:dyDescent="0.25">
      <c r="A2797" s="45">
        <v>220210015976</v>
      </c>
      <c r="B2797" s="46" t="s">
        <v>204</v>
      </c>
      <c r="C2797" s="47">
        <v>44305</v>
      </c>
      <c r="D2797" s="45">
        <v>22021001183</v>
      </c>
      <c r="E2797" s="46" t="s">
        <v>873</v>
      </c>
      <c r="F2797" s="48">
        <v>475.17</v>
      </c>
      <c r="G2797" s="54" t="s">
        <v>257</v>
      </c>
      <c r="H2797" s="54" t="s">
        <v>4351</v>
      </c>
      <c r="I2797" s="53" t="s">
        <v>205</v>
      </c>
      <c r="J2797" s="54" t="s">
        <v>127</v>
      </c>
      <c r="K2797" s="54" t="s">
        <v>127</v>
      </c>
      <c r="L2797" s="54" t="s">
        <v>15</v>
      </c>
      <c r="M2797" s="54" t="s">
        <v>13</v>
      </c>
      <c r="N2797" s="54" t="s">
        <v>14</v>
      </c>
      <c r="O2797" s="49" t="s">
        <v>814</v>
      </c>
      <c r="P2797" s="54" t="s">
        <v>3392</v>
      </c>
      <c r="Q2797" s="35" t="str">
        <f>MID(Tabla1[[#This Row],[Aplicación]],14,1)</f>
        <v>2</v>
      </c>
      <c r="R2797" s="35" t="s">
        <v>495</v>
      </c>
      <c r="S2797" s="35" t="str">
        <f>MID(Tabla1[[#This Row],[Aplicación]],6,2)</f>
        <v>10</v>
      </c>
      <c r="T2797" s="35" t="str">
        <f>VLOOKUP(Tabla1[[#This Row],[AREA]],Hoja1!A:B,2,FALSE)</f>
        <v>10. Servicios sociales y mediación comunitaria</v>
      </c>
      <c r="U2797" s="35" t="str">
        <f>MID(Tabla1[[#This Row],[Aplicación]],9,4)</f>
        <v>2412</v>
      </c>
      <c r="V2797" s="35" t="str">
        <f>VLOOKUP(Tabla1[[#This Row],[PROGRAMA]],Hoja1!A:B,2,FALSE)</f>
        <v>2412. Formación para el empleo</v>
      </c>
      <c r="W2797" s="35" t="str">
        <f>MID(Tabla1[[#This Row],[Aplicación]],14,2)</f>
        <v>22</v>
      </c>
      <c r="X2797" s="35" t="str">
        <f>MID(Tabla1[[#This Row],[Aplicación]],14,6)</f>
        <v>22199</v>
      </c>
    </row>
    <row r="2798" spans="1:24" x14ac:dyDescent="0.25">
      <c r="A2798" s="45">
        <v>220210030126</v>
      </c>
      <c r="B2798" s="46" t="s">
        <v>204</v>
      </c>
      <c r="C2798" s="47">
        <v>44356</v>
      </c>
      <c r="D2798" s="45">
        <v>22021002228</v>
      </c>
      <c r="E2798" s="46" t="s">
        <v>1471</v>
      </c>
      <c r="F2798" s="48">
        <v>474.51</v>
      </c>
      <c r="G2798" s="54" t="s">
        <v>1475</v>
      </c>
      <c r="H2798" s="54" t="s">
        <v>4352</v>
      </c>
      <c r="I2798" s="53" t="s">
        <v>205</v>
      </c>
      <c r="J2798" s="54" t="s">
        <v>127</v>
      </c>
      <c r="K2798" s="54" t="s">
        <v>127</v>
      </c>
      <c r="L2798" s="54" t="s">
        <v>15</v>
      </c>
      <c r="M2798" s="54" t="s">
        <v>13</v>
      </c>
      <c r="N2798" s="54" t="s">
        <v>14</v>
      </c>
      <c r="O2798" s="49" t="s">
        <v>814</v>
      </c>
      <c r="P2798" s="54" t="s">
        <v>3392</v>
      </c>
      <c r="Q2798" s="35" t="str">
        <f>MID(Tabla1[[#This Row],[Aplicación]],14,1)</f>
        <v>2</v>
      </c>
      <c r="R2798" s="35" t="s">
        <v>495</v>
      </c>
      <c r="S2798" s="35" t="str">
        <f>MID(Tabla1[[#This Row],[Aplicación]],6,2)</f>
        <v>06</v>
      </c>
      <c r="T2798" s="35" t="str">
        <f>VLOOKUP(Tabla1[[#This Row],[AREA]],Hoja1!A:B,2,FALSE)</f>
        <v>06. Educación, infancia, juventud e igualdad</v>
      </c>
      <c r="U2798" s="35" t="str">
        <f>MID(Tabla1[[#This Row],[Aplicación]],9,4)</f>
        <v>3232</v>
      </c>
      <c r="V2798" s="35" t="str">
        <f>VLOOKUP(Tabla1[[#This Row],[PROGRAMA]],Hoja1!A:B,2,FALSE)</f>
        <v>3232. Conservación y mantenimiento centros educación infantil y primaria</v>
      </c>
      <c r="W2798" s="35" t="str">
        <f>MID(Tabla1[[#This Row],[Aplicación]],14,2)</f>
        <v>21</v>
      </c>
      <c r="X2798" s="35" t="str">
        <f>MID(Tabla1[[#This Row],[Aplicación]],14,6)</f>
        <v>212</v>
      </c>
    </row>
    <row r="2799" spans="1:24" x14ac:dyDescent="0.25">
      <c r="A2799" s="45">
        <v>220210020830</v>
      </c>
      <c r="B2799" s="46" t="s">
        <v>9</v>
      </c>
      <c r="C2799" s="47">
        <v>44323</v>
      </c>
      <c r="D2799" s="45">
        <v>22021004282</v>
      </c>
      <c r="E2799" s="46" t="s">
        <v>1990</v>
      </c>
      <c r="F2799" s="48">
        <v>300</v>
      </c>
      <c r="G2799" s="54" t="s">
        <v>81</v>
      </c>
      <c r="H2799" s="54" t="s">
        <v>4353</v>
      </c>
      <c r="I2799" s="53" t="s">
        <v>125</v>
      </c>
      <c r="J2799" s="54" t="s">
        <v>127</v>
      </c>
      <c r="K2799" s="54" t="s">
        <v>127</v>
      </c>
      <c r="L2799" s="54" t="s">
        <v>12</v>
      </c>
      <c r="M2799" s="54" t="s">
        <v>10</v>
      </c>
      <c r="N2799" s="54" t="s">
        <v>16</v>
      </c>
      <c r="O2799" s="49" t="s">
        <v>815</v>
      </c>
      <c r="P2799" s="54" t="s">
        <v>3392</v>
      </c>
      <c r="Q2799" s="35" t="str">
        <f>MID(Tabla1[[#This Row],[Aplicación]],14,1)</f>
        <v>2</v>
      </c>
      <c r="R2799" s="35" t="s">
        <v>495</v>
      </c>
      <c r="S2799" s="35" t="str">
        <f>MID(Tabla1[[#This Row],[Aplicación]],6,2)</f>
        <v>06</v>
      </c>
      <c r="T2799" s="35" t="str">
        <f>VLOOKUP(Tabla1[[#This Row],[AREA]],Hoja1!A:B,2,FALSE)</f>
        <v>06. Educación, infancia, juventud e igualdad</v>
      </c>
      <c r="U2799" s="35" t="str">
        <f>MID(Tabla1[[#This Row],[Aplicación]],9,4)</f>
        <v>3321</v>
      </c>
      <c r="V2799" s="35" t="str">
        <f>VLOOKUP(Tabla1[[#This Row],[PROGRAMA]],Hoja1!A:B,2,FALSE)</f>
        <v>3321. Bibliotecas públicas</v>
      </c>
      <c r="W2799" s="35" t="str">
        <f>MID(Tabla1[[#This Row],[Aplicación]],14,2)</f>
        <v>22</v>
      </c>
      <c r="X2799" s="35" t="str">
        <f>MID(Tabla1[[#This Row],[Aplicación]],14,6)</f>
        <v>22799</v>
      </c>
    </row>
    <row r="2800" spans="1:24" x14ac:dyDescent="0.25">
      <c r="A2800" s="45">
        <v>220210014694</v>
      </c>
      <c r="B2800" s="46" t="s">
        <v>9</v>
      </c>
      <c r="C2800" s="47">
        <v>44299</v>
      </c>
      <c r="D2800" s="45">
        <v>22021003831</v>
      </c>
      <c r="E2800" s="46" t="s">
        <v>1340</v>
      </c>
      <c r="F2800" s="48">
        <v>300</v>
      </c>
      <c r="G2800" s="54" t="s">
        <v>261</v>
      </c>
      <c r="H2800" s="54" t="s">
        <v>4354</v>
      </c>
      <c r="I2800" s="53" t="s">
        <v>125</v>
      </c>
      <c r="J2800" s="54" t="s">
        <v>127</v>
      </c>
      <c r="K2800" s="54" t="s">
        <v>127</v>
      </c>
      <c r="L2800" s="54" t="s">
        <v>15</v>
      </c>
      <c r="M2800" s="54" t="s">
        <v>10</v>
      </c>
      <c r="N2800" s="54" t="s">
        <v>11</v>
      </c>
      <c r="O2800" s="49" t="s">
        <v>815</v>
      </c>
      <c r="P2800" s="54" t="s">
        <v>3392</v>
      </c>
      <c r="Q2800" s="35" t="str">
        <f>MID(Tabla1[[#This Row],[Aplicación]],14,1)</f>
        <v>2</v>
      </c>
      <c r="R2800" s="35" t="s">
        <v>495</v>
      </c>
      <c r="S2800" s="35" t="str">
        <f>MID(Tabla1[[#This Row],[Aplicación]],6,2)</f>
        <v>11</v>
      </c>
      <c r="T2800" s="35" t="str">
        <f>VLOOKUP(Tabla1[[#This Row],[AREA]],Hoja1!A:B,2,FALSE)</f>
        <v>11. Salud pública y seguridad ciudadana</v>
      </c>
      <c r="U2800" s="35" t="str">
        <f>MID(Tabla1[[#This Row],[Aplicación]],9,4)</f>
        <v>1621</v>
      </c>
      <c r="V2800" s="35" t="str">
        <f>VLOOKUP(Tabla1[[#This Row],[PROGRAMA]],Hoja1!A:B,2,FALSE)</f>
        <v>1621. Servicio de limpieza</v>
      </c>
      <c r="W2800" s="35" t="str">
        <f>MID(Tabla1[[#This Row],[Aplicación]],14,2)</f>
        <v>22</v>
      </c>
      <c r="X2800" s="35" t="str">
        <f>MID(Tabla1[[#This Row],[Aplicación]],14,6)</f>
        <v>22199</v>
      </c>
    </row>
    <row r="2801" spans="1:24" x14ac:dyDescent="0.25">
      <c r="A2801" s="45">
        <v>220210028277</v>
      </c>
      <c r="B2801" s="46" t="s">
        <v>9</v>
      </c>
      <c r="C2801" s="47">
        <v>44350</v>
      </c>
      <c r="D2801" s="45">
        <v>22021004653</v>
      </c>
      <c r="E2801" s="46" t="s">
        <v>1758</v>
      </c>
      <c r="F2801" s="48">
        <v>300</v>
      </c>
      <c r="G2801" s="54" t="s">
        <v>261</v>
      </c>
      <c r="H2801" s="54" t="s">
        <v>4355</v>
      </c>
      <c r="I2801" s="53" t="s">
        <v>125</v>
      </c>
      <c r="J2801" s="54" t="s">
        <v>127</v>
      </c>
      <c r="K2801" s="54" t="s">
        <v>127</v>
      </c>
      <c r="L2801" s="54" t="s">
        <v>15</v>
      </c>
      <c r="M2801" s="54" t="s">
        <v>10</v>
      </c>
      <c r="N2801" s="54" t="s">
        <v>11</v>
      </c>
      <c r="O2801" s="49" t="s">
        <v>815</v>
      </c>
      <c r="P2801" s="54" t="s">
        <v>3392</v>
      </c>
      <c r="Q2801" s="35" t="str">
        <f>MID(Tabla1[[#This Row],[Aplicación]],14,1)</f>
        <v>2</v>
      </c>
      <c r="R2801" s="35" t="s">
        <v>495</v>
      </c>
      <c r="S2801" s="35" t="str">
        <f>MID(Tabla1[[#This Row],[Aplicación]],6,2)</f>
        <v>06</v>
      </c>
      <c r="T2801" s="35" t="str">
        <f>VLOOKUP(Tabla1[[#This Row],[AREA]],Hoja1!A:B,2,FALSE)</f>
        <v>06. Educación, infancia, juventud e igualdad</v>
      </c>
      <c r="U2801" s="35" t="str">
        <f>MID(Tabla1[[#This Row],[Aplicación]],9,4)</f>
        <v>3321</v>
      </c>
      <c r="V2801" s="35" t="str">
        <f>VLOOKUP(Tabla1[[#This Row],[PROGRAMA]],Hoja1!A:B,2,FALSE)</f>
        <v>3321. Bibliotecas públicas</v>
      </c>
      <c r="W2801" s="35" t="str">
        <f>MID(Tabla1[[#This Row],[Aplicación]],14,2)</f>
        <v>22</v>
      </c>
      <c r="X2801" s="35" t="str">
        <f>MID(Tabla1[[#This Row],[Aplicación]],14,6)</f>
        <v>22199</v>
      </c>
    </row>
    <row r="2802" spans="1:24" x14ac:dyDescent="0.25">
      <c r="A2802" s="45">
        <v>220210029572</v>
      </c>
      <c r="B2802" s="46" t="s">
        <v>9</v>
      </c>
      <c r="C2802" s="47">
        <v>44355</v>
      </c>
      <c r="D2802" s="45">
        <v>22021004751</v>
      </c>
      <c r="E2802" s="46" t="s">
        <v>1183</v>
      </c>
      <c r="F2802" s="48">
        <v>298.82</v>
      </c>
      <c r="G2802" s="54" t="s">
        <v>4356</v>
      </c>
      <c r="H2802" s="54" t="s">
        <v>4357</v>
      </c>
      <c r="I2802" s="53" t="s">
        <v>125</v>
      </c>
      <c r="J2802" s="54" t="s">
        <v>127</v>
      </c>
      <c r="K2802" s="54" t="s">
        <v>127</v>
      </c>
      <c r="L2802" s="54" t="s">
        <v>12</v>
      </c>
      <c r="M2802" s="54" t="s">
        <v>10</v>
      </c>
      <c r="N2802" s="54" t="s">
        <v>11</v>
      </c>
      <c r="O2802" s="49" t="s">
        <v>815</v>
      </c>
      <c r="P2802" s="54" t="s">
        <v>3392</v>
      </c>
      <c r="Q2802" s="35" t="str">
        <f>MID(Tabla1[[#This Row],[Aplicación]],14,1)</f>
        <v>2</v>
      </c>
      <c r="R2802" s="35" t="s">
        <v>495</v>
      </c>
      <c r="S2802" s="35" t="str">
        <f>MID(Tabla1[[#This Row],[Aplicación]],6,2)</f>
        <v>11</v>
      </c>
      <c r="T2802" s="35" t="str">
        <f>VLOOKUP(Tabla1[[#This Row],[AREA]],Hoja1!A:B,2,FALSE)</f>
        <v>11. Salud pública y seguridad ciudadana</v>
      </c>
      <c r="U2802" s="35" t="str">
        <f>MID(Tabla1[[#This Row],[Aplicación]],9,4)</f>
        <v>1361</v>
      </c>
      <c r="V2802" s="35" t="str">
        <f>VLOOKUP(Tabla1[[#This Row],[PROGRAMA]],Hoja1!A:B,2,FALSE)</f>
        <v>1361. Prevención y extinción de incencios</v>
      </c>
      <c r="W2802" s="35" t="str">
        <f>MID(Tabla1[[#This Row],[Aplicación]],14,2)</f>
        <v>22</v>
      </c>
      <c r="X2802" s="35" t="str">
        <f>MID(Tabla1[[#This Row],[Aplicación]],14,6)</f>
        <v>22199</v>
      </c>
    </row>
    <row r="2803" spans="1:24" x14ac:dyDescent="0.25">
      <c r="A2803" s="45">
        <v>220210016790</v>
      </c>
      <c r="B2803" s="46" t="s">
        <v>204</v>
      </c>
      <c r="C2803" s="47">
        <v>44308</v>
      </c>
      <c r="D2803" s="45">
        <v>22021002057</v>
      </c>
      <c r="E2803" s="46" t="s">
        <v>1715</v>
      </c>
      <c r="F2803" s="48">
        <v>461.17</v>
      </c>
      <c r="G2803" s="54" t="s">
        <v>263</v>
      </c>
      <c r="H2803" s="54" t="s">
        <v>4358</v>
      </c>
      <c r="I2803" s="53" t="s">
        <v>205</v>
      </c>
      <c r="J2803" s="54" t="s">
        <v>127</v>
      </c>
      <c r="K2803" s="54" t="s">
        <v>127</v>
      </c>
      <c r="L2803" s="54" t="s">
        <v>15</v>
      </c>
      <c r="M2803" s="54" t="s">
        <v>13</v>
      </c>
      <c r="N2803" s="54" t="s">
        <v>14</v>
      </c>
      <c r="O2803" s="49" t="s">
        <v>814</v>
      </c>
      <c r="P2803" s="54" t="s">
        <v>3392</v>
      </c>
      <c r="Q2803" s="35" t="str">
        <f>MID(Tabla1[[#This Row],[Aplicación]],14,1)</f>
        <v>2</v>
      </c>
      <c r="R2803" s="35" t="s">
        <v>495</v>
      </c>
      <c r="S2803" s="35" t="str">
        <f>MID(Tabla1[[#This Row],[Aplicación]],6,2)</f>
        <v>11</v>
      </c>
      <c r="T2803" s="35" t="str">
        <f>VLOOKUP(Tabla1[[#This Row],[AREA]],Hoja1!A:B,2,FALSE)</f>
        <v>11. Salud pública y seguridad ciudadana</v>
      </c>
      <c r="U2803" s="35" t="str">
        <f>MID(Tabla1[[#This Row],[Aplicación]],9,4)</f>
        <v>1631</v>
      </c>
      <c r="V2803" s="35" t="str">
        <f>VLOOKUP(Tabla1[[#This Row],[PROGRAMA]],Hoja1!A:B,2,FALSE)</f>
        <v>1631. Limpieza viaria</v>
      </c>
      <c r="W2803" s="35" t="str">
        <f>MID(Tabla1[[#This Row],[Aplicación]],14,2)</f>
        <v>22</v>
      </c>
      <c r="X2803" s="35" t="str">
        <f>MID(Tabla1[[#This Row],[Aplicación]],14,6)</f>
        <v>22199</v>
      </c>
    </row>
    <row r="2804" spans="1:24" x14ac:dyDescent="0.25">
      <c r="A2804" s="45">
        <v>220210020088</v>
      </c>
      <c r="B2804" s="46" t="s">
        <v>9</v>
      </c>
      <c r="C2804" s="47">
        <v>44321</v>
      </c>
      <c r="D2804" s="45">
        <v>22021004177</v>
      </c>
      <c r="E2804" s="46" t="s">
        <v>2147</v>
      </c>
      <c r="F2804" s="48">
        <v>293.85000000000002</v>
      </c>
      <c r="G2804" s="54" t="s">
        <v>86</v>
      </c>
      <c r="H2804" s="54" t="s">
        <v>4359</v>
      </c>
      <c r="I2804" s="53" t="s">
        <v>125</v>
      </c>
      <c r="J2804" s="54" t="s">
        <v>186</v>
      </c>
      <c r="K2804" s="54" t="s">
        <v>186</v>
      </c>
      <c r="L2804" s="54" t="s">
        <v>12</v>
      </c>
      <c r="M2804" s="54" t="s">
        <v>10</v>
      </c>
      <c r="N2804" s="54" t="s">
        <v>11</v>
      </c>
      <c r="O2804" s="49" t="s">
        <v>815</v>
      </c>
      <c r="P2804" s="54" t="s">
        <v>3392</v>
      </c>
      <c r="Q2804" s="35" t="str">
        <f>MID(Tabla1[[#This Row],[Aplicación]],14,1)</f>
        <v>2</v>
      </c>
      <c r="R2804" s="35" t="s">
        <v>495</v>
      </c>
      <c r="S2804" s="35" t="str">
        <f>MID(Tabla1[[#This Row],[Aplicación]],6,2)</f>
        <v>04</v>
      </c>
      <c r="T2804" s="35" t="str">
        <f>VLOOKUP(Tabla1[[#This Row],[AREA]],Hoja1!A:B,2,FALSE)</f>
        <v>04. Planificación y recursos</v>
      </c>
      <c r="U2804" s="35" t="str">
        <f>MID(Tabla1[[#This Row],[Aplicación]],9,4)</f>
        <v>9204</v>
      </c>
      <c r="V2804" s="35" t="str">
        <f>VLOOKUP(Tabla1[[#This Row],[PROGRAMA]],Hoja1!A:B,2,FALSE)</f>
        <v>9204. Tecnologías de la información y comunicación</v>
      </c>
      <c r="W2804" s="35" t="str">
        <f>MID(Tabla1[[#This Row],[Aplicación]],14,2)</f>
        <v>22</v>
      </c>
      <c r="X2804" s="35" t="str">
        <f>MID(Tabla1[[#This Row],[Aplicación]],14,6)</f>
        <v>22200</v>
      </c>
    </row>
    <row r="2805" spans="1:24" x14ac:dyDescent="0.25">
      <c r="A2805" s="45">
        <v>220210032733</v>
      </c>
      <c r="B2805" s="46" t="s">
        <v>204</v>
      </c>
      <c r="C2805" s="47">
        <v>44371</v>
      </c>
      <c r="D2805" s="45">
        <v>22021002057</v>
      </c>
      <c r="E2805" s="46" t="s">
        <v>1715</v>
      </c>
      <c r="F2805" s="48">
        <v>458.58</v>
      </c>
      <c r="G2805" s="54" t="s">
        <v>223</v>
      </c>
      <c r="H2805" s="54" t="s">
        <v>4360</v>
      </c>
      <c r="I2805" s="53" t="s">
        <v>205</v>
      </c>
      <c r="J2805" s="54" t="s">
        <v>127</v>
      </c>
      <c r="K2805" s="54" t="s">
        <v>127</v>
      </c>
      <c r="L2805" s="54" t="s">
        <v>15</v>
      </c>
      <c r="M2805" s="54" t="s">
        <v>13</v>
      </c>
      <c r="N2805" s="54" t="s">
        <v>14</v>
      </c>
      <c r="O2805" s="49" t="s">
        <v>814</v>
      </c>
      <c r="P2805" s="54" t="s">
        <v>3392</v>
      </c>
      <c r="Q2805" s="35" t="str">
        <f>MID(Tabla1[[#This Row],[Aplicación]],14,1)</f>
        <v>2</v>
      </c>
      <c r="R2805" s="35" t="s">
        <v>495</v>
      </c>
      <c r="S2805" s="35" t="str">
        <f>MID(Tabla1[[#This Row],[Aplicación]],6,2)</f>
        <v>11</v>
      </c>
      <c r="T2805" s="35" t="str">
        <f>VLOOKUP(Tabla1[[#This Row],[AREA]],Hoja1!A:B,2,FALSE)</f>
        <v>11. Salud pública y seguridad ciudadana</v>
      </c>
      <c r="U2805" s="35" t="str">
        <f>MID(Tabla1[[#This Row],[Aplicación]],9,4)</f>
        <v>1631</v>
      </c>
      <c r="V2805" s="35" t="str">
        <f>VLOOKUP(Tabla1[[#This Row],[PROGRAMA]],Hoja1!A:B,2,FALSE)</f>
        <v>1631. Limpieza viaria</v>
      </c>
      <c r="W2805" s="35" t="str">
        <f>MID(Tabla1[[#This Row],[Aplicación]],14,2)</f>
        <v>22</v>
      </c>
      <c r="X2805" s="35" t="str">
        <f>MID(Tabla1[[#This Row],[Aplicación]],14,6)</f>
        <v>22199</v>
      </c>
    </row>
    <row r="2806" spans="1:24" x14ac:dyDescent="0.25">
      <c r="A2806" s="45">
        <v>220210015518</v>
      </c>
      <c r="B2806" s="46" t="s">
        <v>9</v>
      </c>
      <c r="C2806" s="47">
        <v>44301</v>
      </c>
      <c r="D2806" s="45">
        <v>22021003867</v>
      </c>
      <c r="E2806" s="46" t="s">
        <v>1263</v>
      </c>
      <c r="F2806" s="48">
        <v>292.82</v>
      </c>
      <c r="G2806" s="54" t="s">
        <v>4361</v>
      </c>
      <c r="H2806" s="54" t="s">
        <v>4362</v>
      </c>
      <c r="I2806" s="53" t="s">
        <v>125</v>
      </c>
      <c r="J2806" s="54" t="s">
        <v>126</v>
      </c>
      <c r="K2806" s="54" t="s">
        <v>126</v>
      </c>
      <c r="L2806" s="54" t="s">
        <v>12</v>
      </c>
      <c r="M2806" s="54" t="s">
        <v>10</v>
      </c>
      <c r="N2806" s="54" t="s">
        <v>11</v>
      </c>
      <c r="O2806" s="49" t="s">
        <v>815</v>
      </c>
      <c r="P2806" s="54" t="s">
        <v>3392</v>
      </c>
      <c r="Q2806" s="35" t="str">
        <f>MID(Tabla1[[#This Row],[Aplicación]],14,1)</f>
        <v>2</v>
      </c>
      <c r="R2806" s="35" t="s">
        <v>495</v>
      </c>
      <c r="S2806" s="35" t="str">
        <f>MID(Tabla1[[#This Row],[Aplicación]],6,2)</f>
        <v>02</v>
      </c>
      <c r="T2806" s="35" t="str">
        <f>VLOOKUP(Tabla1[[#This Row],[AREA]],Hoja1!A:B,2,FALSE)</f>
        <v>02. Planeamiento urbanístico y vivienda</v>
      </c>
      <c r="U2806" s="35" t="str">
        <f>MID(Tabla1[[#This Row],[Aplicación]],9,4)</f>
        <v>9332</v>
      </c>
      <c r="V2806" s="35" t="str">
        <f>VLOOKUP(Tabla1[[#This Row],[PROGRAMA]],Hoja1!A:B,2,FALSE)</f>
        <v>9332. Mantenimiento de edificios e instalaciones municipales</v>
      </c>
      <c r="W2806" s="35" t="str">
        <f>MID(Tabla1[[#This Row],[Aplicación]],14,2)</f>
        <v>21</v>
      </c>
      <c r="X2806" s="35" t="str">
        <f>MID(Tabla1[[#This Row],[Aplicación]],14,6)</f>
        <v>213</v>
      </c>
    </row>
    <row r="2807" spans="1:24" x14ac:dyDescent="0.25">
      <c r="A2807" s="45">
        <v>220210029814</v>
      </c>
      <c r="B2807" s="46" t="s">
        <v>9</v>
      </c>
      <c r="C2807" s="47">
        <v>44356</v>
      </c>
      <c r="D2807" s="45">
        <v>22021004782</v>
      </c>
      <c r="E2807" s="46" t="s">
        <v>1550</v>
      </c>
      <c r="F2807" s="48">
        <v>290.39999999999998</v>
      </c>
      <c r="G2807" s="54" t="s">
        <v>79</v>
      </c>
      <c r="H2807" s="54" t="s">
        <v>4363</v>
      </c>
      <c r="I2807" s="53" t="s">
        <v>125</v>
      </c>
      <c r="J2807" s="54" t="s">
        <v>127</v>
      </c>
      <c r="K2807" s="54" t="s">
        <v>127</v>
      </c>
      <c r="L2807" s="54" t="s">
        <v>12</v>
      </c>
      <c r="M2807" s="54" t="s">
        <v>10</v>
      </c>
      <c r="N2807" s="54" t="s">
        <v>11</v>
      </c>
      <c r="O2807" s="49" t="s">
        <v>815</v>
      </c>
      <c r="P2807" s="54" t="s">
        <v>3392</v>
      </c>
      <c r="Q2807" s="35" t="str">
        <f>MID(Tabla1[[#This Row],[Aplicación]],14,1)</f>
        <v>2</v>
      </c>
      <c r="R2807" s="35" t="s">
        <v>495</v>
      </c>
      <c r="S2807" s="35" t="str">
        <f>MID(Tabla1[[#This Row],[Aplicación]],6,2)</f>
        <v>06</v>
      </c>
      <c r="T2807" s="35" t="str">
        <f>VLOOKUP(Tabla1[[#This Row],[AREA]],Hoja1!A:B,2,FALSE)</f>
        <v>06. Educación, infancia, juventud e igualdad</v>
      </c>
      <c r="U2807" s="35" t="str">
        <f>MID(Tabla1[[#This Row],[Aplicación]],9,4)</f>
        <v>2315</v>
      </c>
      <c r="V2807" s="35" t="str">
        <f>VLOOKUP(Tabla1[[#This Row],[PROGRAMA]],Hoja1!A:B,2,FALSE)</f>
        <v>2315. Políticas de Igualdad e infancia</v>
      </c>
      <c r="W2807" s="35" t="str">
        <f>MID(Tabla1[[#This Row],[Aplicación]],14,2)</f>
        <v>22</v>
      </c>
      <c r="X2807" s="35" t="str">
        <f>MID(Tabla1[[#This Row],[Aplicación]],14,6)</f>
        <v>22799</v>
      </c>
    </row>
    <row r="2808" spans="1:24" x14ac:dyDescent="0.25">
      <c r="A2808" s="45">
        <v>220210030268</v>
      </c>
      <c r="B2808" s="46" t="s">
        <v>204</v>
      </c>
      <c r="C2808" s="47">
        <v>44357</v>
      </c>
      <c r="D2808" s="45">
        <v>22021002088</v>
      </c>
      <c r="E2808" s="46" t="s">
        <v>1478</v>
      </c>
      <c r="F2808" s="48">
        <v>456.51</v>
      </c>
      <c r="G2808" s="54" t="s">
        <v>256</v>
      </c>
      <c r="H2808" s="54" t="s">
        <v>4364</v>
      </c>
      <c r="I2808" s="53" t="s">
        <v>205</v>
      </c>
      <c r="J2808" s="54" t="s">
        <v>127</v>
      </c>
      <c r="K2808" s="54" t="s">
        <v>127</v>
      </c>
      <c r="L2808" s="54" t="s">
        <v>15</v>
      </c>
      <c r="M2808" s="54" t="s">
        <v>13</v>
      </c>
      <c r="N2808" s="54" t="s">
        <v>16</v>
      </c>
      <c r="O2808" s="49" t="s">
        <v>814</v>
      </c>
      <c r="P2808" s="54" t="s">
        <v>3392</v>
      </c>
      <c r="Q2808" s="35" t="str">
        <f>MID(Tabla1[[#This Row],[Aplicación]],14,1)</f>
        <v>2</v>
      </c>
      <c r="R2808" s="35" t="s">
        <v>495</v>
      </c>
      <c r="S2808" s="35" t="str">
        <f>MID(Tabla1[[#This Row],[Aplicación]],6,2)</f>
        <v>03</v>
      </c>
      <c r="T2808" s="35" t="str">
        <f>VLOOKUP(Tabla1[[#This Row],[AREA]],Hoja1!A:B,2,FALSE)</f>
        <v>03. Participación ciudadana y deportes</v>
      </c>
      <c r="U2808" s="35" t="str">
        <f>MID(Tabla1[[#This Row],[Aplicación]],9,4)</f>
        <v>9241</v>
      </c>
      <c r="V2808" s="35" t="str">
        <f>VLOOKUP(Tabla1[[#This Row],[PROGRAMA]],Hoja1!A:B,2,FALSE)</f>
        <v>9241. Participación ciudadana</v>
      </c>
      <c r="W2808" s="35" t="str">
        <f>MID(Tabla1[[#This Row],[Aplicación]],14,2)</f>
        <v>21</v>
      </c>
      <c r="X2808" s="35" t="str">
        <f>MID(Tabla1[[#This Row],[Aplicación]],14,6)</f>
        <v>212</v>
      </c>
    </row>
    <row r="2809" spans="1:24" x14ac:dyDescent="0.25">
      <c r="A2809" s="45">
        <v>220210028828</v>
      </c>
      <c r="B2809" s="46" t="s">
        <v>9</v>
      </c>
      <c r="C2809" s="47">
        <v>44351</v>
      </c>
      <c r="D2809" s="45">
        <v>22021004744</v>
      </c>
      <c r="E2809" s="46" t="s">
        <v>1471</v>
      </c>
      <c r="F2809" s="48">
        <v>456.13</v>
      </c>
      <c r="G2809" s="54" t="s">
        <v>1825</v>
      </c>
      <c r="H2809" s="54" t="s">
        <v>4365</v>
      </c>
      <c r="I2809" s="53" t="s">
        <v>125</v>
      </c>
      <c r="J2809" s="54" t="s">
        <v>609</v>
      </c>
      <c r="K2809" s="54" t="s">
        <v>127</v>
      </c>
      <c r="L2809" s="54" t="s">
        <v>15</v>
      </c>
      <c r="M2809" s="54" t="s">
        <v>13</v>
      </c>
      <c r="N2809" s="54" t="s">
        <v>14</v>
      </c>
      <c r="O2809" s="49" t="s">
        <v>814</v>
      </c>
      <c r="P2809" s="54" t="s">
        <v>3392</v>
      </c>
      <c r="Q2809" s="35" t="str">
        <f>MID(Tabla1[[#This Row],[Aplicación]],14,1)</f>
        <v>2</v>
      </c>
      <c r="R2809" s="35" t="s">
        <v>495</v>
      </c>
      <c r="S2809" s="35" t="str">
        <f>MID(Tabla1[[#This Row],[Aplicación]],6,2)</f>
        <v>06</v>
      </c>
      <c r="T2809" s="35" t="str">
        <f>VLOOKUP(Tabla1[[#This Row],[AREA]],Hoja1!A:B,2,FALSE)</f>
        <v>06. Educación, infancia, juventud e igualdad</v>
      </c>
      <c r="U2809" s="35" t="str">
        <f>MID(Tabla1[[#This Row],[Aplicación]],9,4)</f>
        <v>3232</v>
      </c>
      <c r="V2809" s="35" t="str">
        <f>VLOOKUP(Tabla1[[#This Row],[PROGRAMA]],Hoja1!A:B,2,FALSE)</f>
        <v>3232. Conservación y mantenimiento centros educación infantil y primaria</v>
      </c>
      <c r="W2809" s="35" t="str">
        <f>MID(Tabla1[[#This Row],[Aplicación]],14,2)</f>
        <v>21</v>
      </c>
      <c r="X2809" s="35" t="str">
        <f>MID(Tabla1[[#This Row],[Aplicación]],14,6)</f>
        <v>212</v>
      </c>
    </row>
    <row r="2810" spans="1:24" x14ac:dyDescent="0.25">
      <c r="A2810" s="45">
        <v>220210030220</v>
      </c>
      <c r="B2810" s="46" t="s">
        <v>204</v>
      </c>
      <c r="C2810" s="47">
        <v>44357</v>
      </c>
      <c r="D2810" s="45">
        <v>22021002052</v>
      </c>
      <c r="E2810" s="46" t="s">
        <v>1340</v>
      </c>
      <c r="F2810" s="48">
        <v>456.11</v>
      </c>
      <c r="G2810" s="54" t="s">
        <v>274</v>
      </c>
      <c r="H2810" s="54" t="s">
        <v>4083</v>
      </c>
      <c r="I2810" s="53" t="s">
        <v>205</v>
      </c>
      <c r="J2810" s="54" t="s">
        <v>127</v>
      </c>
      <c r="K2810" s="54" t="s">
        <v>127</v>
      </c>
      <c r="L2810" s="54" t="s">
        <v>15</v>
      </c>
      <c r="M2810" s="54" t="s">
        <v>13</v>
      </c>
      <c r="N2810" s="54" t="s">
        <v>14</v>
      </c>
      <c r="O2810" s="49" t="s">
        <v>814</v>
      </c>
      <c r="P2810" s="54" t="s">
        <v>3392</v>
      </c>
      <c r="Q2810" s="35" t="str">
        <f>MID(Tabla1[[#This Row],[Aplicación]],14,1)</f>
        <v>2</v>
      </c>
      <c r="R2810" s="35" t="s">
        <v>495</v>
      </c>
      <c r="S2810" s="35" t="str">
        <f>MID(Tabla1[[#This Row],[Aplicación]],6,2)</f>
        <v>11</v>
      </c>
      <c r="T2810" s="35" t="str">
        <f>VLOOKUP(Tabla1[[#This Row],[AREA]],Hoja1!A:B,2,FALSE)</f>
        <v>11. Salud pública y seguridad ciudadana</v>
      </c>
      <c r="U2810" s="35" t="str">
        <f>MID(Tabla1[[#This Row],[Aplicación]],9,4)</f>
        <v>1621</v>
      </c>
      <c r="V2810" s="35" t="str">
        <f>VLOOKUP(Tabla1[[#This Row],[PROGRAMA]],Hoja1!A:B,2,FALSE)</f>
        <v>1621. Servicio de limpieza</v>
      </c>
      <c r="W2810" s="35" t="str">
        <f>MID(Tabla1[[#This Row],[Aplicación]],14,2)</f>
        <v>22</v>
      </c>
      <c r="X2810" s="35" t="str">
        <f>MID(Tabla1[[#This Row],[Aplicación]],14,6)</f>
        <v>22199</v>
      </c>
    </row>
    <row r="2811" spans="1:24" x14ac:dyDescent="0.25">
      <c r="A2811" s="45">
        <v>220210027669</v>
      </c>
      <c r="B2811" s="46" t="s">
        <v>204</v>
      </c>
      <c r="C2811" s="47">
        <v>44348</v>
      </c>
      <c r="D2811" s="45">
        <v>22021002049</v>
      </c>
      <c r="E2811" s="46" t="s">
        <v>1671</v>
      </c>
      <c r="F2811" s="48">
        <v>450.12</v>
      </c>
      <c r="G2811" s="54" t="s">
        <v>265</v>
      </c>
      <c r="H2811" s="54" t="s">
        <v>4366</v>
      </c>
      <c r="I2811" s="53" t="s">
        <v>205</v>
      </c>
      <c r="J2811" s="54" t="s">
        <v>157</v>
      </c>
      <c r="K2811" s="54" t="s">
        <v>157</v>
      </c>
      <c r="L2811" s="54" t="s">
        <v>15</v>
      </c>
      <c r="M2811" s="54" t="s">
        <v>13</v>
      </c>
      <c r="N2811" s="54" t="s">
        <v>14</v>
      </c>
      <c r="O2811" s="49" t="s">
        <v>814</v>
      </c>
      <c r="P2811" s="54" t="s">
        <v>3392</v>
      </c>
      <c r="Q2811" s="35" t="str">
        <f>MID(Tabla1[[#This Row],[Aplicación]],14,1)</f>
        <v>2</v>
      </c>
      <c r="R2811" s="35" t="s">
        <v>495</v>
      </c>
      <c r="S2811" s="35" t="str">
        <f>MID(Tabla1[[#This Row],[Aplicación]],6,2)</f>
        <v>11</v>
      </c>
      <c r="T2811" s="35" t="str">
        <f>VLOOKUP(Tabla1[[#This Row],[AREA]],Hoja1!A:B,2,FALSE)</f>
        <v>11. Salud pública y seguridad ciudadana</v>
      </c>
      <c r="U2811" s="35" t="str">
        <f>MID(Tabla1[[#This Row],[Aplicación]],9,4)</f>
        <v>1621</v>
      </c>
      <c r="V2811" s="35" t="str">
        <f>VLOOKUP(Tabla1[[#This Row],[PROGRAMA]],Hoja1!A:B,2,FALSE)</f>
        <v>1621. Servicio de limpieza</v>
      </c>
      <c r="W2811" s="35" t="str">
        <f>MID(Tabla1[[#This Row],[Aplicación]],14,2)</f>
        <v>22</v>
      </c>
      <c r="X2811" s="35" t="str">
        <f>MID(Tabla1[[#This Row],[Aplicación]],14,6)</f>
        <v>22103</v>
      </c>
    </row>
    <row r="2812" spans="1:24" x14ac:dyDescent="0.25">
      <c r="A2812" s="45">
        <v>220210032959</v>
      </c>
      <c r="B2812" s="46" t="s">
        <v>204</v>
      </c>
      <c r="C2812" s="47">
        <v>44375</v>
      </c>
      <c r="D2812" s="45">
        <v>22021002049</v>
      </c>
      <c r="E2812" s="46" t="s">
        <v>1671</v>
      </c>
      <c r="F2812" s="48">
        <v>450.12</v>
      </c>
      <c r="G2812" s="54" t="s">
        <v>265</v>
      </c>
      <c r="H2812" s="54" t="s">
        <v>4367</v>
      </c>
      <c r="I2812" s="53" t="s">
        <v>205</v>
      </c>
      <c r="J2812" s="54" t="s">
        <v>157</v>
      </c>
      <c r="K2812" s="54" t="s">
        <v>157</v>
      </c>
      <c r="L2812" s="54" t="s">
        <v>15</v>
      </c>
      <c r="M2812" s="54" t="s">
        <v>13</v>
      </c>
      <c r="N2812" s="54" t="s">
        <v>14</v>
      </c>
      <c r="O2812" s="49" t="s">
        <v>814</v>
      </c>
      <c r="P2812" s="54" t="s">
        <v>3392</v>
      </c>
      <c r="Q2812" s="35" t="str">
        <f>MID(Tabla1[[#This Row],[Aplicación]],14,1)</f>
        <v>2</v>
      </c>
      <c r="R2812" s="35" t="s">
        <v>495</v>
      </c>
      <c r="S2812" s="35" t="str">
        <f>MID(Tabla1[[#This Row],[Aplicación]],6,2)</f>
        <v>11</v>
      </c>
      <c r="T2812" s="35" t="str">
        <f>VLOOKUP(Tabla1[[#This Row],[AREA]],Hoja1!A:B,2,FALSE)</f>
        <v>11. Salud pública y seguridad ciudadana</v>
      </c>
      <c r="U2812" s="35" t="str">
        <f>MID(Tabla1[[#This Row],[Aplicación]],9,4)</f>
        <v>1621</v>
      </c>
      <c r="V2812" s="35" t="str">
        <f>VLOOKUP(Tabla1[[#This Row],[PROGRAMA]],Hoja1!A:B,2,FALSE)</f>
        <v>1621. Servicio de limpieza</v>
      </c>
      <c r="W2812" s="35" t="str">
        <f>MID(Tabla1[[#This Row],[Aplicación]],14,2)</f>
        <v>22</v>
      </c>
      <c r="X2812" s="35" t="str">
        <f>MID(Tabla1[[#This Row],[Aplicación]],14,6)</f>
        <v>22103</v>
      </c>
    </row>
    <row r="2813" spans="1:24" x14ac:dyDescent="0.25">
      <c r="A2813" s="45">
        <v>220210022464</v>
      </c>
      <c r="B2813" s="46" t="s">
        <v>204</v>
      </c>
      <c r="C2813" s="47">
        <v>44330</v>
      </c>
      <c r="D2813" s="45">
        <v>22021001966</v>
      </c>
      <c r="E2813" s="46" t="s">
        <v>950</v>
      </c>
      <c r="F2813" s="48">
        <v>21.18</v>
      </c>
      <c r="G2813" s="54" t="s">
        <v>223</v>
      </c>
      <c r="H2813" s="54" t="s">
        <v>4368</v>
      </c>
      <c r="I2813" s="53" t="s">
        <v>205</v>
      </c>
      <c r="J2813" s="54" t="s">
        <v>127</v>
      </c>
      <c r="K2813" s="54" t="s">
        <v>127</v>
      </c>
      <c r="L2813" s="54" t="s">
        <v>15</v>
      </c>
      <c r="M2813" s="54" t="s">
        <v>13</v>
      </c>
      <c r="N2813" s="54" t="s">
        <v>14</v>
      </c>
      <c r="O2813" s="49" t="s">
        <v>814</v>
      </c>
      <c r="P2813" s="54" t="s">
        <v>3392</v>
      </c>
      <c r="Q2813" s="35" t="str">
        <f>MID(Tabla1[[#This Row],[Aplicación]],14,1)</f>
        <v>2</v>
      </c>
      <c r="R2813" s="35" t="s">
        <v>495</v>
      </c>
      <c r="S2813" s="35" t="str">
        <f>MID(Tabla1[[#This Row],[Aplicación]],6,2)</f>
        <v>11</v>
      </c>
      <c r="T2813" s="35" t="str">
        <f>VLOOKUP(Tabla1[[#This Row],[AREA]],Hoja1!A:B,2,FALSE)</f>
        <v>11. Salud pública y seguridad ciudadana</v>
      </c>
      <c r="U2813" s="35" t="str">
        <f>MID(Tabla1[[#This Row],[Aplicación]],9,4)</f>
        <v>1321</v>
      </c>
      <c r="V2813" s="35" t="str">
        <f>VLOOKUP(Tabla1[[#This Row],[PROGRAMA]],Hoja1!A:B,2,FALSE)</f>
        <v>1321. Policía municipal</v>
      </c>
      <c r="W2813" s="35" t="str">
        <f>MID(Tabla1[[#This Row],[Aplicación]],14,2)</f>
        <v>21</v>
      </c>
      <c r="X2813" s="35" t="str">
        <f>MID(Tabla1[[#This Row],[Aplicación]],14,6)</f>
        <v>213</v>
      </c>
    </row>
    <row r="2814" spans="1:24" x14ac:dyDescent="0.25">
      <c r="A2814" s="45">
        <v>220210026151</v>
      </c>
      <c r="B2814" s="46" t="s">
        <v>9</v>
      </c>
      <c r="C2814" s="47">
        <v>44347</v>
      </c>
      <c r="D2814" s="45">
        <v>22021004578</v>
      </c>
      <c r="E2814" s="46" t="s">
        <v>1267</v>
      </c>
      <c r="F2814" s="48">
        <v>278.76</v>
      </c>
      <c r="G2814" s="54" t="s">
        <v>1576</v>
      </c>
      <c r="H2814" s="54" t="s">
        <v>4369</v>
      </c>
      <c r="I2814" s="53" t="s">
        <v>125</v>
      </c>
      <c r="J2814" s="54" t="s">
        <v>127</v>
      </c>
      <c r="K2814" s="54" t="s">
        <v>127</v>
      </c>
      <c r="L2814" s="54" t="s">
        <v>15</v>
      </c>
      <c r="M2814" s="54" t="s">
        <v>10</v>
      </c>
      <c r="N2814" s="54" t="s">
        <v>11</v>
      </c>
      <c r="O2814" s="49" t="s">
        <v>815</v>
      </c>
      <c r="P2814" s="54" t="s">
        <v>3392</v>
      </c>
      <c r="Q2814" s="35" t="str">
        <f>MID(Tabla1[[#This Row],[Aplicación]],14,1)</f>
        <v>2</v>
      </c>
      <c r="R2814" s="35" t="s">
        <v>495</v>
      </c>
      <c r="S2814" s="35" t="str">
        <f>MID(Tabla1[[#This Row],[Aplicación]],6,2)</f>
        <v>03</v>
      </c>
      <c r="T2814" s="35" t="str">
        <f>VLOOKUP(Tabla1[[#This Row],[AREA]],Hoja1!A:B,2,FALSE)</f>
        <v>03. Participación ciudadana y deportes</v>
      </c>
      <c r="U2814" s="35" t="str">
        <f>MID(Tabla1[[#This Row],[Aplicación]],9,4)</f>
        <v>9241</v>
      </c>
      <c r="V2814" s="35" t="str">
        <f>VLOOKUP(Tabla1[[#This Row],[PROGRAMA]],Hoja1!A:B,2,FALSE)</f>
        <v>9241. Participación ciudadana</v>
      </c>
      <c r="W2814" s="35" t="str">
        <f>MID(Tabla1[[#This Row],[Aplicación]],14,2)</f>
        <v>22</v>
      </c>
      <c r="X2814" s="35" t="str">
        <f>MID(Tabla1[[#This Row],[Aplicación]],14,6)</f>
        <v>22602</v>
      </c>
    </row>
    <row r="2815" spans="1:24" x14ac:dyDescent="0.25">
      <c r="A2815" s="45">
        <v>220210027648</v>
      </c>
      <c r="B2815" s="46" t="s">
        <v>204</v>
      </c>
      <c r="C2815" s="47">
        <v>44348</v>
      </c>
      <c r="D2815" s="45">
        <v>22021003187</v>
      </c>
      <c r="E2815" s="46" t="s">
        <v>1884</v>
      </c>
      <c r="F2815" s="48">
        <v>438.47</v>
      </c>
      <c r="G2815" s="54" t="s">
        <v>223</v>
      </c>
      <c r="H2815" s="54" t="s">
        <v>4370</v>
      </c>
      <c r="I2815" s="53" t="s">
        <v>205</v>
      </c>
      <c r="J2815" s="54" t="s">
        <v>127</v>
      </c>
      <c r="K2815" s="54" t="s">
        <v>127</v>
      </c>
      <c r="L2815" s="54" t="s">
        <v>12</v>
      </c>
      <c r="M2815" s="54" t="s">
        <v>13</v>
      </c>
      <c r="N2815" s="54" t="s">
        <v>11</v>
      </c>
      <c r="O2815" s="49" t="s">
        <v>814</v>
      </c>
      <c r="P2815" s="54" t="s">
        <v>3392</v>
      </c>
      <c r="Q2815" s="35" t="str">
        <f>MID(Tabla1[[#This Row],[Aplicación]],14,1)</f>
        <v>2</v>
      </c>
      <c r="R2815" s="35" t="s">
        <v>495</v>
      </c>
      <c r="S2815" s="35" t="str">
        <f>MID(Tabla1[[#This Row],[Aplicación]],6,2)</f>
        <v>06</v>
      </c>
      <c r="T2815" s="35" t="str">
        <f>VLOOKUP(Tabla1[[#This Row],[AREA]],Hoja1!A:B,2,FALSE)</f>
        <v>06. Educación, infancia, juventud e igualdad</v>
      </c>
      <c r="U2815" s="35" t="str">
        <f>MID(Tabla1[[#This Row],[Aplicación]],9,4)</f>
        <v>2314</v>
      </c>
      <c r="V2815" s="35" t="str">
        <f>VLOOKUP(Tabla1[[#This Row],[PROGRAMA]],Hoja1!A:B,2,FALSE)</f>
        <v>2314. Centro de programas juveniles</v>
      </c>
      <c r="W2815" s="35" t="str">
        <f>MID(Tabla1[[#This Row],[Aplicación]],14,2)</f>
        <v>21</v>
      </c>
      <c r="X2815" s="35" t="str">
        <f>MID(Tabla1[[#This Row],[Aplicación]],14,6)</f>
        <v>212</v>
      </c>
    </row>
    <row r="2816" spans="1:24" x14ac:dyDescent="0.25">
      <c r="A2816" s="45">
        <v>220210024826</v>
      </c>
      <c r="B2816" s="46" t="s">
        <v>9</v>
      </c>
      <c r="C2816" s="47">
        <v>44341</v>
      </c>
      <c r="D2816" s="45">
        <v>22021003549</v>
      </c>
      <c r="E2816" s="46" t="s">
        <v>1487</v>
      </c>
      <c r="F2816" s="48">
        <v>277.16000000000003</v>
      </c>
      <c r="G2816" s="54" t="s">
        <v>2262</v>
      </c>
      <c r="H2816" s="54" t="s">
        <v>4371</v>
      </c>
      <c r="I2816" s="53" t="s">
        <v>125</v>
      </c>
      <c r="J2816" s="54" t="s">
        <v>127</v>
      </c>
      <c r="K2816" s="54" t="s">
        <v>127</v>
      </c>
      <c r="L2816" s="54" t="s">
        <v>12</v>
      </c>
      <c r="M2816" s="54" t="s">
        <v>10</v>
      </c>
      <c r="N2816" s="54" t="s">
        <v>11</v>
      </c>
      <c r="O2816" s="49" t="s">
        <v>815</v>
      </c>
      <c r="P2816" s="54" t="s">
        <v>3392</v>
      </c>
      <c r="Q2816" s="35" t="str">
        <f>MID(Tabla1[[#This Row],[Aplicación]],14,1)</f>
        <v>6</v>
      </c>
      <c r="R2816" s="35" t="s">
        <v>496</v>
      </c>
      <c r="S2816" s="35" t="str">
        <f>MID(Tabla1[[#This Row],[Aplicación]],6,2)</f>
        <v>08</v>
      </c>
      <c r="T2816" s="35" t="str">
        <f>VLOOKUP(Tabla1[[#This Row],[AREA]],Hoja1!A:B,2,FALSE)</f>
        <v>08. Movilidad y espacio urbano</v>
      </c>
      <c r="U2816" s="35" t="str">
        <f>MID(Tabla1[[#This Row],[Aplicación]],9,4)</f>
        <v>1532</v>
      </c>
      <c r="V2816" s="35" t="str">
        <f>VLOOKUP(Tabla1[[#This Row],[PROGRAMA]],Hoja1!A:B,2,FALSE)</f>
        <v>1532. Pavimentación vias públicas y otros servicios urbanísticos</v>
      </c>
      <c r="W2816" s="35" t="str">
        <f>MID(Tabla1[[#This Row],[Aplicación]],14,2)</f>
        <v>61</v>
      </c>
      <c r="X2816" s="35" t="str">
        <f>MID(Tabla1[[#This Row],[Aplicación]],14,6)</f>
        <v>619</v>
      </c>
    </row>
    <row r="2817" spans="1:24" x14ac:dyDescent="0.25">
      <c r="A2817" s="45">
        <v>220210020910</v>
      </c>
      <c r="B2817" s="46" t="s">
        <v>204</v>
      </c>
      <c r="C2817" s="47">
        <v>44323</v>
      </c>
      <c r="D2817" s="45">
        <v>22021002088</v>
      </c>
      <c r="E2817" s="46" t="s">
        <v>1478</v>
      </c>
      <c r="F2817" s="48">
        <v>434.56</v>
      </c>
      <c r="G2817" s="54" t="s">
        <v>235</v>
      </c>
      <c r="H2817" s="54" t="s">
        <v>4372</v>
      </c>
      <c r="I2817" s="53" t="s">
        <v>205</v>
      </c>
      <c r="J2817" s="54" t="s">
        <v>742</v>
      </c>
      <c r="K2817" s="54" t="s">
        <v>165</v>
      </c>
      <c r="L2817" s="54" t="s">
        <v>15</v>
      </c>
      <c r="M2817" s="54" t="s">
        <v>13</v>
      </c>
      <c r="N2817" s="54" t="s">
        <v>16</v>
      </c>
      <c r="O2817" s="49" t="s">
        <v>814</v>
      </c>
      <c r="P2817" s="54" t="s">
        <v>3392</v>
      </c>
      <c r="Q2817" s="35" t="str">
        <f>MID(Tabla1[[#This Row],[Aplicación]],14,1)</f>
        <v>2</v>
      </c>
      <c r="R2817" s="35" t="s">
        <v>495</v>
      </c>
      <c r="S2817" s="35" t="str">
        <f>MID(Tabla1[[#This Row],[Aplicación]],6,2)</f>
        <v>03</v>
      </c>
      <c r="T2817" s="35" t="str">
        <f>VLOOKUP(Tabla1[[#This Row],[AREA]],Hoja1!A:B,2,FALSE)</f>
        <v>03. Participación ciudadana y deportes</v>
      </c>
      <c r="U2817" s="35" t="str">
        <f>MID(Tabla1[[#This Row],[Aplicación]],9,4)</f>
        <v>9241</v>
      </c>
      <c r="V2817" s="35" t="str">
        <f>VLOOKUP(Tabla1[[#This Row],[PROGRAMA]],Hoja1!A:B,2,FALSE)</f>
        <v>9241. Participación ciudadana</v>
      </c>
      <c r="W2817" s="35" t="str">
        <f>MID(Tabla1[[#This Row],[Aplicación]],14,2)</f>
        <v>21</v>
      </c>
      <c r="X2817" s="35" t="str">
        <f>MID(Tabla1[[#This Row],[Aplicación]],14,6)</f>
        <v>212</v>
      </c>
    </row>
    <row r="2818" spans="1:24" x14ac:dyDescent="0.25">
      <c r="A2818" s="45">
        <v>220210014773</v>
      </c>
      <c r="B2818" s="46" t="s">
        <v>204</v>
      </c>
      <c r="C2818" s="47">
        <v>44299</v>
      </c>
      <c r="D2818" s="45">
        <v>22021002144</v>
      </c>
      <c r="E2818" s="46" t="s">
        <v>1328</v>
      </c>
      <c r="F2818" s="48">
        <v>431.12</v>
      </c>
      <c r="G2818" s="54" t="s">
        <v>256</v>
      </c>
      <c r="H2818" s="54" t="s">
        <v>4373</v>
      </c>
      <c r="I2818" s="53" t="s">
        <v>205</v>
      </c>
      <c r="J2818" s="54" t="s">
        <v>127</v>
      </c>
      <c r="K2818" s="54" t="s">
        <v>127</v>
      </c>
      <c r="L2818" s="54" t="s">
        <v>15</v>
      </c>
      <c r="M2818" s="54" t="s">
        <v>13</v>
      </c>
      <c r="N2818" s="54" t="s">
        <v>14</v>
      </c>
      <c r="O2818" s="49" t="s">
        <v>814</v>
      </c>
      <c r="P2818" s="54" t="s">
        <v>3392</v>
      </c>
      <c r="Q2818" s="35" t="str">
        <f>MID(Tabla1[[#This Row],[Aplicación]],14,1)</f>
        <v>2</v>
      </c>
      <c r="R2818" s="35" t="s">
        <v>495</v>
      </c>
      <c r="S2818" s="35" t="str">
        <f>MID(Tabla1[[#This Row],[Aplicación]],6,2)</f>
        <v>10</v>
      </c>
      <c r="T2818" s="35" t="str">
        <f>VLOOKUP(Tabla1[[#This Row],[AREA]],Hoja1!A:B,2,FALSE)</f>
        <v>10. Servicios sociales y mediación comunitaria</v>
      </c>
      <c r="U2818" s="35" t="str">
        <f>MID(Tabla1[[#This Row],[Aplicación]],9,4)</f>
        <v>2311</v>
      </c>
      <c r="V2818" s="35" t="str">
        <f>VLOOKUP(Tabla1[[#This Row],[PROGRAMA]],Hoja1!A:B,2,FALSE)</f>
        <v>2311. Intervención social</v>
      </c>
      <c r="W2818" s="35" t="str">
        <f>MID(Tabla1[[#This Row],[Aplicación]],14,2)</f>
        <v>21</v>
      </c>
      <c r="X2818" s="35" t="str">
        <f>MID(Tabla1[[#This Row],[Aplicación]],14,6)</f>
        <v>212</v>
      </c>
    </row>
    <row r="2819" spans="1:24" x14ac:dyDescent="0.25">
      <c r="A2819" s="45">
        <v>220210016937</v>
      </c>
      <c r="B2819" s="46" t="s">
        <v>9</v>
      </c>
      <c r="C2819" s="47">
        <v>44312</v>
      </c>
      <c r="D2819" s="45">
        <v>22021003924</v>
      </c>
      <c r="E2819" s="46" t="s">
        <v>886</v>
      </c>
      <c r="F2819" s="48">
        <v>275.88</v>
      </c>
      <c r="G2819" s="54" t="s">
        <v>4119</v>
      </c>
      <c r="H2819" s="54" t="s">
        <v>4374</v>
      </c>
      <c r="I2819" s="53" t="s">
        <v>125</v>
      </c>
      <c r="J2819" s="54" t="s">
        <v>127</v>
      </c>
      <c r="K2819" s="54" t="s">
        <v>127</v>
      </c>
      <c r="L2819" s="54" t="s">
        <v>12</v>
      </c>
      <c r="M2819" s="54" t="s">
        <v>10</v>
      </c>
      <c r="N2819" s="54" t="s">
        <v>11</v>
      </c>
      <c r="O2819" s="49" t="s">
        <v>815</v>
      </c>
      <c r="P2819" s="54" t="s">
        <v>3392</v>
      </c>
      <c r="Q2819" s="35" t="str">
        <f>MID(Tabla1[[#This Row],[Aplicación]],14,1)</f>
        <v>2</v>
      </c>
      <c r="R2819" s="35" t="s">
        <v>495</v>
      </c>
      <c r="S2819" s="35" t="str">
        <f>MID(Tabla1[[#This Row],[Aplicación]],6,2)</f>
        <v>10</v>
      </c>
      <c r="T2819" s="35" t="str">
        <f>VLOOKUP(Tabla1[[#This Row],[AREA]],Hoja1!A:B,2,FALSE)</f>
        <v>10. Servicios sociales y mediación comunitaria</v>
      </c>
      <c r="U2819" s="35" t="str">
        <f>MID(Tabla1[[#This Row],[Aplicación]],9,4)</f>
        <v>2311</v>
      </c>
      <c r="V2819" s="35" t="str">
        <f>VLOOKUP(Tabla1[[#This Row],[PROGRAMA]],Hoja1!A:B,2,FALSE)</f>
        <v>2311. Intervención social</v>
      </c>
      <c r="W2819" s="35" t="str">
        <f>MID(Tabla1[[#This Row],[Aplicación]],14,2)</f>
        <v>21</v>
      </c>
      <c r="X2819" s="35" t="str">
        <f>MID(Tabla1[[#This Row],[Aplicación]],14,6)</f>
        <v>213</v>
      </c>
    </row>
    <row r="2820" spans="1:24" x14ac:dyDescent="0.25">
      <c r="A2820" s="45">
        <v>220210027002</v>
      </c>
      <c r="B2820" s="46" t="s">
        <v>9</v>
      </c>
      <c r="C2820" s="47">
        <v>44348</v>
      </c>
      <c r="D2820" s="45">
        <v>22021004603</v>
      </c>
      <c r="E2820" s="46" t="s">
        <v>1175</v>
      </c>
      <c r="F2820" s="48">
        <v>275.55</v>
      </c>
      <c r="G2820" s="54" t="s">
        <v>302</v>
      </c>
      <c r="H2820" s="54" t="s">
        <v>4375</v>
      </c>
      <c r="I2820" s="53" t="s">
        <v>125</v>
      </c>
      <c r="J2820" s="54" t="s">
        <v>700</v>
      </c>
      <c r="K2820" s="54" t="s">
        <v>127</v>
      </c>
      <c r="L2820" s="54" t="s">
        <v>12</v>
      </c>
      <c r="M2820" s="54" t="s">
        <v>10</v>
      </c>
      <c r="N2820" s="54" t="s">
        <v>11</v>
      </c>
      <c r="O2820" s="49" t="s">
        <v>815</v>
      </c>
      <c r="P2820" s="54" t="s">
        <v>3392</v>
      </c>
      <c r="Q2820" s="35" t="str">
        <f>MID(Tabla1[[#This Row],[Aplicación]],14,1)</f>
        <v>2</v>
      </c>
      <c r="R2820" s="35" t="s">
        <v>495</v>
      </c>
      <c r="S2820" s="35" t="str">
        <f>MID(Tabla1[[#This Row],[Aplicación]],6,2)</f>
        <v>06</v>
      </c>
      <c r="T2820" s="35" t="str">
        <f>VLOOKUP(Tabla1[[#This Row],[AREA]],Hoja1!A:B,2,FALSE)</f>
        <v>06. Educación, infancia, juventud e igualdad</v>
      </c>
      <c r="U2820" s="35" t="str">
        <f>MID(Tabla1[[#This Row],[Aplicación]],9,4)</f>
        <v>2314</v>
      </c>
      <c r="V2820" s="35" t="str">
        <f>VLOOKUP(Tabla1[[#This Row],[PROGRAMA]],Hoja1!A:B,2,FALSE)</f>
        <v>2314. Centro de programas juveniles</v>
      </c>
      <c r="W2820" s="35" t="str">
        <f>MID(Tabla1[[#This Row],[Aplicación]],14,2)</f>
        <v>22</v>
      </c>
      <c r="X2820" s="35" t="str">
        <f>MID(Tabla1[[#This Row],[Aplicación]],14,6)</f>
        <v>22799</v>
      </c>
    </row>
    <row r="2821" spans="1:24" x14ac:dyDescent="0.25">
      <c r="A2821" s="45">
        <v>220210017015</v>
      </c>
      <c r="B2821" s="46" t="s">
        <v>9</v>
      </c>
      <c r="C2821" s="47">
        <v>44312</v>
      </c>
      <c r="D2821" s="45">
        <v>22021004052</v>
      </c>
      <c r="E2821" s="46" t="s">
        <v>1189</v>
      </c>
      <c r="F2821" s="48">
        <v>274.67</v>
      </c>
      <c r="G2821" s="54" t="s">
        <v>4081</v>
      </c>
      <c r="H2821" s="54" t="s">
        <v>4376</v>
      </c>
      <c r="I2821" s="53" t="s">
        <v>125</v>
      </c>
      <c r="J2821" s="54" t="s">
        <v>613</v>
      </c>
      <c r="K2821" s="54" t="s">
        <v>127</v>
      </c>
      <c r="L2821" s="54" t="s">
        <v>12</v>
      </c>
      <c r="M2821" s="54" t="s">
        <v>10</v>
      </c>
      <c r="N2821" s="54" t="s">
        <v>16</v>
      </c>
      <c r="O2821" s="49" t="s">
        <v>815</v>
      </c>
      <c r="P2821" s="54" t="s">
        <v>3392</v>
      </c>
      <c r="Q2821" s="35" t="str">
        <f>MID(Tabla1[[#This Row],[Aplicación]],14,1)</f>
        <v>2</v>
      </c>
      <c r="R2821" s="35" t="s">
        <v>495</v>
      </c>
      <c r="S2821" s="35" t="str">
        <f>MID(Tabla1[[#This Row],[Aplicación]],6,2)</f>
        <v>10</v>
      </c>
      <c r="T2821" s="35" t="str">
        <f>VLOOKUP(Tabla1[[#This Row],[AREA]],Hoja1!A:B,2,FALSE)</f>
        <v>10. Servicios sociales y mediación comunitaria</v>
      </c>
      <c r="U2821" s="35" t="str">
        <f>MID(Tabla1[[#This Row],[Aplicación]],9,4)</f>
        <v>2311</v>
      </c>
      <c r="V2821" s="35" t="str">
        <f>VLOOKUP(Tabla1[[#This Row],[PROGRAMA]],Hoja1!A:B,2,FALSE)</f>
        <v>2311. Intervención social</v>
      </c>
      <c r="W2821" s="35" t="str">
        <f>MID(Tabla1[[#This Row],[Aplicación]],14,2)</f>
        <v>22</v>
      </c>
      <c r="X2821" s="35" t="str">
        <f>MID(Tabla1[[#This Row],[Aplicación]],14,6)</f>
        <v>22700</v>
      </c>
    </row>
    <row r="2822" spans="1:24" x14ac:dyDescent="0.25">
      <c r="A2822" s="45">
        <v>220210031217</v>
      </c>
      <c r="B2822" s="46" t="s">
        <v>9</v>
      </c>
      <c r="C2822" s="47">
        <v>44362</v>
      </c>
      <c r="D2822" s="45">
        <v>22021004784</v>
      </c>
      <c r="E2822" s="46" t="s">
        <v>2315</v>
      </c>
      <c r="F2822" s="48">
        <v>425.76</v>
      </c>
      <c r="G2822" s="54" t="s">
        <v>262</v>
      </c>
      <c r="H2822" s="54" t="s">
        <v>4377</v>
      </c>
      <c r="I2822" s="53" t="s">
        <v>125</v>
      </c>
      <c r="J2822" s="54" t="s">
        <v>127</v>
      </c>
      <c r="K2822" s="54" t="s">
        <v>127</v>
      </c>
      <c r="L2822" s="54" t="s">
        <v>12</v>
      </c>
      <c r="M2822" s="54" t="s">
        <v>13</v>
      </c>
      <c r="N2822" s="54" t="s">
        <v>11</v>
      </c>
      <c r="O2822" s="49" t="s">
        <v>814</v>
      </c>
      <c r="P2822" s="54" t="s">
        <v>3392</v>
      </c>
      <c r="Q2822" s="35" t="str">
        <f>MID(Tabla1[[#This Row],[Aplicación]],14,1)</f>
        <v>2</v>
      </c>
      <c r="R2822" s="35" t="s">
        <v>495</v>
      </c>
      <c r="S2822" s="35" t="str">
        <f>MID(Tabla1[[#This Row],[Aplicación]],6,2)</f>
        <v>01</v>
      </c>
      <c r="T2822" s="35" t="str">
        <f>VLOOKUP(Tabla1[[#This Row],[AREA]],Hoja1!A:B,2,FALSE)</f>
        <v>01. Alcaldía</v>
      </c>
      <c r="U2822" s="35" t="str">
        <f>MID(Tabla1[[#This Row],[Aplicación]],9,4)</f>
        <v>9203</v>
      </c>
      <c r="V2822" s="35" t="str">
        <f>VLOOKUP(Tabla1[[#This Row],[PROGRAMA]],Hoja1!A:B,2,FALSE)</f>
        <v>9203. Unidad de régimen interior</v>
      </c>
      <c r="W2822" s="35" t="str">
        <f>MID(Tabla1[[#This Row],[Aplicación]],14,2)</f>
        <v>21</v>
      </c>
      <c r="X2822" s="35" t="str">
        <f>MID(Tabla1[[#This Row],[Aplicación]],14,6)</f>
        <v>214</v>
      </c>
    </row>
    <row r="2823" spans="1:24" x14ac:dyDescent="0.25">
      <c r="A2823" s="45">
        <v>220210030357</v>
      </c>
      <c r="B2823" s="46" t="s">
        <v>204</v>
      </c>
      <c r="C2823" s="47">
        <v>44358</v>
      </c>
      <c r="D2823" s="45">
        <v>22021002142</v>
      </c>
      <c r="E2823" s="46" t="s">
        <v>1328</v>
      </c>
      <c r="F2823" s="48">
        <v>422.62</v>
      </c>
      <c r="G2823" s="54" t="s">
        <v>4378</v>
      </c>
      <c r="H2823" s="54" t="s">
        <v>4379</v>
      </c>
      <c r="I2823" s="53" t="s">
        <v>205</v>
      </c>
      <c r="J2823" s="54" t="s">
        <v>664</v>
      </c>
      <c r="K2823" s="54" t="s">
        <v>127</v>
      </c>
      <c r="L2823" s="54" t="s">
        <v>15</v>
      </c>
      <c r="M2823" s="54" t="s">
        <v>13</v>
      </c>
      <c r="N2823" s="54" t="s">
        <v>14</v>
      </c>
      <c r="O2823" s="49" t="s">
        <v>814</v>
      </c>
      <c r="P2823" s="54" t="s">
        <v>3392</v>
      </c>
      <c r="Q2823" s="35" t="str">
        <f>MID(Tabla1[[#This Row],[Aplicación]],14,1)</f>
        <v>2</v>
      </c>
      <c r="R2823" s="35" t="s">
        <v>495</v>
      </c>
      <c r="S2823" s="35" t="str">
        <f>MID(Tabla1[[#This Row],[Aplicación]],6,2)</f>
        <v>10</v>
      </c>
      <c r="T2823" s="35" t="str">
        <f>VLOOKUP(Tabla1[[#This Row],[AREA]],Hoja1!A:B,2,FALSE)</f>
        <v>10. Servicios sociales y mediación comunitaria</v>
      </c>
      <c r="U2823" s="35" t="str">
        <f>MID(Tabla1[[#This Row],[Aplicación]],9,4)</f>
        <v>2311</v>
      </c>
      <c r="V2823" s="35" t="str">
        <f>VLOOKUP(Tabla1[[#This Row],[PROGRAMA]],Hoja1!A:B,2,FALSE)</f>
        <v>2311. Intervención social</v>
      </c>
      <c r="W2823" s="35" t="str">
        <f>MID(Tabla1[[#This Row],[Aplicación]],14,2)</f>
        <v>21</v>
      </c>
      <c r="X2823" s="35" t="str">
        <f>MID(Tabla1[[#This Row],[Aplicación]],14,6)</f>
        <v>212</v>
      </c>
    </row>
    <row r="2824" spans="1:24" x14ac:dyDescent="0.25">
      <c r="A2824" s="45">
        <v>220210014670</v>
      </c>
      <c r="B2824" s="46" t="s">
        <v>204</v>
      </c>
      <c r="C2824" s="47">
        <v>44298</v>
      </c>
      <c r="D2824" s="45">
        <v>22021002228</v>
      </c>
      <c r="E2824" s="46" t="s">
        <v>1471</v>
      </c>
      <c r="F2824" s="48">
        <v>396</v>
      </c>
      <c r="G2824" s="54" t="s">
        <v>574</v>
      </c>
      <c r="H2824" s="54" t="s">
        <v>4380</v>
      </c>
      <c r="I2824" s="53" t="s">
        <v>205</v>
      </c>
      <c r="J2824" s="54" t="s">
        <v>127</v>
      </c>
      <c r="K2824" s="54" t="s">
        <v>127</v>
      </c>
      <c r="L2824" s="54" t="s">
        <v>15</v>
      </c>
      <c r="M2824" s="54" t="s">
        <v>13</v>
      </c>
      <c r="N2824" s="54" t="s">
        <v>14</v>
      </c>
      <c r="O2824" s="49" t="s">
        <v>814</v>
      </c>
      <c r="P2824" s="54" t="s">
        <v>3392</v>
      </c>
      <c r="Q2824" s="35" t="str">
        <f>MID(Tabla1[[#This Row],[Aplicación]],14,1)</f>
        <v>2</v>
      </c>
      <c r="R2824" s="35" t="s">
        <v>495</v>
      </c>
      <c r="S2824" s="35" t="str">
        <f>MID(Tabla1[[#This Row],[Aplicación]],6,2)</f>
        <v>06</v>
      </c>
      <c r="T2824" s="35" t="str">
        <f>VLOOKUP(Tabla1[[#This Row],[AREA]],Hoja1!A:B,2,FALSE)</f>
        <v>06. Educación, infancia, juventud e igualdad</v>
      </c>
      <c r="U2824" s="35" t="str">
        <f>MID(Tabla1[[#This Row],[Aplicación]],9,4)</f>
        <v>3232</v>
      </c>
      <c r="V2824" s="35" t="str">
        <f>VLOOKUP(Tabla1[[#This Row],[PROGRAMA]],Hoja1!A:B,2,FALSE)</f>
        <v>3232. Conservación y mantenimiento centros educación infantil y primaria</v>
      </c>
      <c r="W2824" s="35" t="str">
        <f>MID(Tabla1[[#This Row],[Aplicación]],14,2)</f>
        <v>21</v>
      </c>
      <c r="X2824" s="35" t="str">
        <f>MID(Tabla1[[#This Row],[Aplicación]],14,6)</f>
        <v>212</v>
      </c>
    </row>
    <row r="2825" spans="1:24" x14ac:dyDescent="0.25">
      <c r="A2825" s="45">
        <v>220210014264</v>
      </c>
      <c r="B2825" s="46" t="s">
        <v>9</v>
      </c>
      <c r="C2825" s="47">
        <v>44294</v>
      </c>
      <c r="D2825" s="45">
        <v>22021003760</v>
      </c>
      <c r="E2825" s="46" t="s">
        <v>1380</v>
      </c>
      <c r="F2825" s="48">
        <v>272.25</v>
      </c>
      <c r="G2825" s="54" t="s">
        <v>4381</v>
      </c>
      <c r="H2825" s="54" t="s">
        <v>4382</v>
      </c>
      <c r="I2825" s="53" t="s">
        <v>125</v>
      </c>
      <c r="J2825" s="54" t="s">
        <v>127</v>
      </c>
      <c r="K2825" s="54" t="s">
        <v>127</v>
      </c>
      <c r="L2825" s="54" t="s">
        <v>15</v>
      </c>
      <c r="M2825" s="54" t="s">
        <v>10</v>
      </c>
      <c r="N2825" s="54" t="s">
        <v>11</v>
      </c>
      <c r="O2825" s="49" t="s">
        <v>815</v>
      </c>
      <c r="P2825" s="54" t="s">
        <v>3392</v>
      </c>
      <c r="Q2825" s="35" t="str">
        <f>MID(Tabla1[[#This Row],[Aplicación]],14,1)</f>
        <v>2</v>
      </c>
      <c r="R2825" s="35" t="s">
        <v>495</v>
      </c>
      <c r="S2825" s="35" t="str">
        <f>MID(Tabla1[[#This Row],[Aplicación]],6,2)</f>
        <v>03</v>
      </c>
      <c r="T2825" s="35" t="str">
        <f>VLOOKUP(Tabla1[[#This Row],[AREA]],Hoja1!A:B,2,FALSE)</f>
        <v>03. Participación ciudadana y deportes</v>
      </c>
      <c r="U2825" s="35" t="str">
        <f>MID(Tabla1[[#This Row],[Aplicación]],9,4)</f>
        <v>9241</v>
      </c>
      <c r="V2825" s="35" t="str">
        <f>VLOOKUP(Tabla1[[#This Row],[PROGRAMA]],Hoja1!A:B,2,FALSE)</f>
        <v>9241. Participación ciudadana</v>
      </c>
      <c r="W2825" s="35" t="str">
        <f>MID(Tabla1[[#This Row],[Aplicación]],14,2)</f>
        <v>22</v>
      </c>
      <c r="X2825" s="35" t="str">
        <f>MID(Tabla1[[#This Row],[Aplicación]],14,6)</f>
        <v>22699</v>
      </c>
    </row>
    <row r="2826" spans="1:24" x14ac:dyDescent="0.25">
      <c r="A2826" s="45">
        <v>220210014375</v>
      </c>
      <c r="B2826" s="46" t="s">
        <v>9</v>
      </c>
      <c r="C2826" s="47">
        <v>44295</v>
      </c>
      <c r="D2826" s="45">
        <v>22021003675</v>
      </c>
      <c r="E2826" s="46" t="s">
        <v>3371</v>
      </c>
      <c r="F2826" s="48">
        <v>267.85000000000002</v>
      </c>
      <c r="G2826" s="54" t="s">
        <v>4383</v>
      </c>
      <c r="H2826" s="54" t="s">
        <v>4384</v>
      </c>
      <c r="I2826" s="53" t="s">
        <v>125</v>
      </c>
      <c r="J2826" s="54" t="s">
        <v>127</v>
      </c>
      <c r="K2826" s="54" t="s">
        <v>127</v>
      </c>
      <c r="L2826" s="54" t="s">
        <v>15</v>
      </c>
      <c r="M2826" s="54" t="s">
        <v>10</v>
      </c>
      <c r="N2826" s="54" t="s">
        <v>11</v>
      </c>
      <c r="O2826" s="49" t="s">
        <v>815</v>
      </c>
      <c r="P2826" s="54" t="s">
        <v>3392</v>
      </c>
      <c r="Q2826" s="35" t="str">
        <f>MID(Tabla1[[#This Row],[Aplicación]],14,1)</f>
        <v>2</v>
      </c>
      <c r="R2826" s="35" t="s">
        <v>495</v>
      </c>
      <c r="S2826" s="35" t="str">
        <f>MID(Tabla1[[#This Row],[Aplicación]],6,2)</f>
        <v>10</v>
      </c>
      <c r="T2826" s="35" t="str">
        <f>VLOOKUP(Tabla1[[#This Row],[AREA]],Hoja1!A:B,2,FALSE)</f>
        <v>10. Servicios sociales y mediación comunitaria</v>
      </c>
      <c r="U2826" s="35" t="str">
        <f>MID(Tabla1[[#This Row],[Aplicación]],9,4)</f>
        <v>2313</v>
      </c>
      <c r="V2826" s="35" t="str">
        <f>VLOOKUP(Tabla1[[#This Row],[PROGRAMA]],Hoja1!A:B,2,FALSE)</f>
        <v>2313. Dirección del área de servicios sociales</v>
      </c>
      <c r="W2826" s="35" t="str">
        <f>MID(Tabla1[[#This Row],[Aplicación]],14,2)</f>
        <v>22</v>
      </c>
      <c r="X2826" s="35" t="str">
        <f>MID(Tabla1[[#This Row],[Aplicación]],14,6)</f>
        <v>22699</v>
      </c>
    </row>
    <row r="2827" spans="1:24" x14ac:dyDescent="0.25">
      <c r="A2827" s="45">
        <v>220210030276</v>
      </c>
      <c r="B2827" s="46" t="s">
        <v>9</v>
      </c>
      <c r="C2827" s="47">
        <v>44357</v>
      </c>
      <c r="D2827" s="45">
        <v>22021004803</v>
      </c>
      <c r="E2827" s="46" t="s">
        <v>1478</v>
      </c>
      <c r="F2827" s="48">
        <v>267.41000000000003</v>
      </c>
      <c r="G2827" s="54" t="s">
        <v>2373</v>
      </c>
      <c r="H2827" s="54" t="s">
        <v>4385</v>
      </c>
      <c r="I2827" s="53" t="s">
        <v>125</v>
      </c>
      <c r="J2827" s="54" t="s">
        <v>127</v>
      </c>
      <c r="K2827" s="54" t="s">
        <v>127</v>
      </c>
      <c r="L2827" s="54" t="s">
        <v>12</v>
      </c>
      <c r="M2827" s="54" t="s">
        <v>10</v>
      </c>
      <c r="N2827" s="54" t="s">
        <v>11</v>
      </c>
      <c r="O2827" s="49" t="s">
        <v>815</v>
      </c>
      <c r="P2827" s="54" t="s">
        <v>3392</v>
      </c>
      <c r="Q2827" s="35" t="str">
        <f>MID(Tabla1[[#This Row],[Aplicación]],14,1)</f>
        <v>2</v>
      </c>
      <c r="R2827" s="35" t="s">
        <v>495</v>
      </c>
      <c r="S2827" s="35" t="str">
        <f>MID(Tabla1[[#This Row],[Aplicación]],6,2)</f>
        <v>03</v>
      </c>
      <c r="T2827" s="35" t="str">
        <f>VLOOKUP(Tabla1[[#This Row],[AREA]],Hoja1!A:B,2,FALSE)</f>
        <v>03. Participación ciudadana y deportes</v>
      </c>
      <c r="U2827" s="35" t="str">
        <f>MID(Tabla1[[#This Row],[Aplicación]],9,4)</f>
        <v>9241</v>
      </c>
      <c r="V2827" s="35" t="str">
        <f>VLOOKUP(Tabla1[[#This Row],[PROGRAMA]],Hoja1!A:B,2,FALSE)</f>
        <v>9241. Participación ciudadana</v>
      </c>
      <c r="W2827" s="35" t="str">
        <f>MID(Tabla1[[#This Row],[Aplicación]],14,2)</f>
        <v>21</v>
      </c>
      <c r="X2827" s="35" t="str">
        <f>MID(Tabla1[[#This Row],[Aplicación]],14,6)</f>
        <v>212</v>
      </c>
    </row>
    <row r="2828" spans="1:24" x14ac:dyDescent="0.25">
      <c r="A2828" s="45">
        <v>220210022781</v>
      </c>
      <c r="B2828" s="46" t="s">
        <v>204</v>
      </c>
      <c r="C2828" s="47">
        <v>44333</v>
      </c>
      <c r="D2828" s="45">
        <v>22021002228</v>
      </c>
      <c r="E2828" s="46" t="s">
        <v>1471</v>
      </c>
      <c r="F2828" s="48">
        <v>396</v>
      </c>
      <c r="G2828" s="54" t="s">
        <v>574</v>
      </c>
      <c r="H2828" s="54" t="s">
        <v>4386</v>
      </c>
      <c r="I2828" s="53" t="s">
        <v>205</v>
      </c>
      <c r="J2828" s="54" t="s">
        <v>127</v>
      </c>
      <c r="K2828" s="54" t="s">
        <v>127</v>
      </c>
      <c r="L2828" s="54" t="s">
        <v>15</v>
      </c>
      <c r="M2828" s="54" t="s">
        <v>13</v>
      </c>
      <c r="N2828" s="54" t="s">
        <v>14</v>
      </c>
      <c r="O2828" s="49" t="s">
        <v>814</v>
      </c>
      <c r="P2828" s="54" t="s">
        <v>3392</v>
      </c>
      <c r="Q2828" s="35" t="str">
        <f>MID(Tabla1[[#This Row],[Aplicación]],14,1)</f>
        <v>2</v>
      </c>
      <c r="R2828" s="35" t="s">
        <v>495</v>
      </c>
      <c r="S2828" s="35" t="str">
        <f>MID(Tabla1[[#This Row],[Aplicación]],6,2)</f>
        <v>06</v>
      </c>
      <c r="T2828" s="35" t="str">
        <f>VLOOKUP(Tabla1[[#This Row],[AREA]],Hoja1!A:B,2,FALSE)</f>
        <v>06. Educación, infancia, juventud e igualdad</v>
      </c>
      <c r="U2828" s="35" t="str">
        <f>MID(Tabla1[[#This Row],[Aplicación]],9,4)</f>
        <v>3232</v>
      </c>
      <c r="V2828" s="35" t="str">
        <f>VLOOKUP(Tabla1[[#This Row],[PROGRAMA]],Hoja1!A:B,2,FALSE)</f>
        <v>3232. Conservación y mantenimiento centros educación infantil y primaria</v>
      </c>
      <c r="W2828" s="35" t="str">
        <f>MID(Tabla1[[#This Row],[Aplicación]],14,2)</f>
        <v>21</v>
      </c>
      <c r="X2828" s="35" t="str">
        <f>MID(Tabla1[[#This Row],[Aplicación]],14,6)</f>
        <v>212</v>
      </c>
    </row>
    <row r="2829" spans="1:24" x14ac:dyDescent="0.25">
      <c r="A2829" s="45">
        <v>220210029732</v>
      </c>
      <c r="B2829" s="46" t="s">
        <v>204</v>
      </c>
      <c r="C2829" s="47">
        <v>44355</v>
      </c>
      <c r="D2829" s="45">
        <v>22021002088</v>
      </c>
      <c r="E2829" s="46" t="s">
        <v>1478</v>
      </c>
      <c r="F2829" s="48">
        <v>387.88</v>
      </c>
      <c r="G2829" s="54" t="s">
        <v>266</v>
      </c>
      <c r="H2829" s="54" t="s">
        <v>4387</v>
      </c>
      <c r="I2829" s="53" t="s">
        <v>205</v>
      </c>
      <c r="J2829" s="54" t="s">
        <v>127</v>
      </c>
      <c r="K2829" s="54" t="s">
        <v>127</v>
      </c>
      <c r="L2829" s="54" t="s">
        <v>15</v>
      </c>
      <c r="M2829" s="54" t="s">
        <v>13</v>
      </c>
      <c r="N2829" s="54" t="s">
        <v>16</v>
      </c>
      <c r="O2829" s="49" t="s">
        <v>814</v>
      </c>
      <c r="P2829" s="54" t="s">
        <v>3392</v>
      </c>
      <c r="Q2829" s="35" t="str">
        <f>MID(Tabla1[[#This Row],[Aplicación]],14,1)</f>
        <v>2</v>
      </c>
      <c r="R2829" s="35" t="s">
        <v>495</v>
      </c>
      <c r="S2829" s="35" t="str">
        <f>MID(Tabla1[[#This Row],[Aplicación]],6,2)</f>
        <v>03</v>
      </c>
      <c r="T2829" s="35" t="str">
        <f>VLOOKUP(Tabla1[[#This Row],[AREA]],Hoja1!A:B,2,FALSE)</f>
        <v>03. Participación ciudadana y deportes</v>
      </c>
      <c r="U2829" s="35" t="str">
        <f>MID(Tabla1[[#This Row],[Aplicación]],9,4)</f>
        <v>9241</v>
      </c>
      <c r="V2829" s="35" t="str">
        <f>VLOOKUP(Tabla1[[#This Row],[PROGRAMA]],Hoja1!A:B,2,FALSE)</f>
        <v>9241. Participación ciudadana</v>
      </c>
      <c r="W2829" s="35" t="str">
        <f>MID(Tabla1[[#This Row],[Aplicación]],14,2)</f>
        <v>21</v>
      </c>
      <c r="X2829" s="35" t="str">
        <f>MID(Tabla1[[#This Row],[Aplicación]],14,6)</f>
        <v>212</v>
      </c>
    </row>
    <row r="2830" spans="1:24" x14ac:dyDescent="0.25">
      <c r="A2830" s="45">
        <v>220210020914</v>
      </c>
      <c r="B2830" s="46" t="s">
        <v>204</v>
      </c>
      <c r="C2830" s="47">
        <v>44323</v>
      </c>
      <c r="D2830" s="45">
        <v>22021002089</v>
      </c>
      <c r="E2830" s="46" t="s">
        <v>1220</v>
      </c>
      <c r="F2830" s="48">
        <v>385.78</v>
      </c>
      <c r="G2830" s="54" t="s">
        <v>150</v>
      </c>
      <c r="H2830" s="54" t="s">
        <v>4388</v>
      </c>
      <c r="I2830" s="53" t="s">
        <v>205</v>
      </c>
      <c r="J2830" s="54" t="s">
        <v>146</v>
      </c>
      <c r="K2830" s="54" t="s">
        <v>146</v>
      </c>
      <c r="L2830" s="54" t="s">
        <v>15</v>
      </c>
      <c r="M2830" s="54" t="s">
        <v>13</v>
      </c>
      <c r="N2830" s="54" t="s">
        <v>16</v>
      </c>
      <c r="O2830" s="49" t="s">
        <v>814</v>
      </c>
      <c r="P2830" s="54" t="s">
        <v>3392</v>
      </c>
      <c r="Q2830" s="35" t="str">
        <f>MID(Tabla1[[#This Row],[Aplicación]],14,1)</f>
        <v>2</v>
      </c>
      <c r="R2830" s="35" t="s">
        <v>495</v>
      </c>
      <c r="S2830" s="35" t="str">
        <f>MID(Tabla1[[#This Row],[Aplicación]],6,2)</f>
        <v>03</v>
      </c>
      <c r="T2830" s="35" t="str">
        <f>VLOOKUP(Tabla1[[#This Row],[AREA]],Hoja1!A:B,2,FALSE)</f>
        <v>03. Participación ciudadana y deportes</v>
      </c>
      <c r="U2830" s="35" t="str">
        <f>MID(Tabla1[[#This Row],[Aplicación]],9,4)</f>
        <v>9241</v>
      </c>
      <c r="V2830" s="35" t="str">
        <f>VLOOKUP(Tabla1[[#This Row],[PROGRAMA]],Hoja1!A:B,2,FALSE)</f>
        <v>9241. Participación ciudadana</v>
      </c>
      <c r="W2830" s="35" t="str">
        <f>MID(Tabla1[[#This Row],[Aplicación]],14,2)</f>
        <v>21</v>
      </c>
      <c r="X2830" s="35" t="str">
        <f>MID(Tabla1[[#This Row],[Aplicación]],14,6)</f>
        <v>213</v>
      </c>
    </row>
    <row r="2831" spans="1:24" x14ac:dyDescent="0.25">
      <c r="A2831" s="45">
        <v>220210023266</v>
      </c>
      <c r="B2831" s="46" t="s">
        <v>204</v>
      </c>
      <c r="C2831" s="47">
        <v>44335</v>
      </c>
      <c r="D2831" s="45">
        <v>22021001962</v>
      </c>
      <c r="E2831" s="46" t="s">
        <v>866</v>
      </c>
      <c r="F2831" s="48">
        <v>378.34</v>
      </c>
      <c r="G2831" s="54" t="s">
        <v>135</v>
      </c>
      <c r="H2831" s="54" t="s">
        <v>4389</v>
      </c>
      <c r="I2831" s="53" t="s">
        <v>205</v>
      </c>
      <c r="J2831" s="54" t="s">
        <v>127</v>
      </c>
      <c r="K2831" s="54" t="s">
        <v>127</v>
      </c>
      <c r="L2831" s="54" t="s">
        <v>15</v>
      </c>
      <c r="M2831" s="54" t="s">
        <v>13</v>
      </c>
      <c r="N2831" s="54" t="s">
        <v>14</v>
      </c>
      <c r="O2831" s="49" t="s">
        <v>814</v>
      </c>
      <c r="P2831" s="54" t="s">
        <v>3392</v>
      </c>
      <c r="Q2831" s="35" t="str">
        <f>MID(Tabla1[[#This Row],[Aplicación]],14,1)</f>
        <v>2</v>
      </c>
      <c r="R2831" s="35" t="s">
        <v>495</v>
      </c>
      <c r="S2831" s="35" t="str">
        <f>MID(Tabla1[[#This Row],[Aplicación]],6,2)</f>
        <v>07</v>
      </c>
      <c r="T2831" s="35" t="str">
        <f>VLOOKUP(Tabla1[[#This Row],[AREA]],Hoja1!A:B,2,FALSE)</f>
        <v>07. Medio ambiente y desarrollo sostenible</v>
      </c>
      <c r="U2831" s="35" t="str">
        <f>MID(Tabla1[[#This Row],[Aplicación]],9,4)</f>
        <v>1721</v>
      </c>
      <c r="V2831" s="35" t="str">
        <f>VLOOKUP(Tabla1[[#This Row],[PROGRAMA]],Hoja1!A:B,2,FALSE)</f>
        <v>1721. Protección del medio ambiente</v>
      </c>
      <c r="W2831" s="35" t="str">
        <f>MID(Tabla1[[#This Row],[Aplicación]],14,2)</f>
        <v>22</v>
      </c>
      <c r="X2831" s="35" t="str">
        <f>MID(Tabla1[[#This Row],[Aplicación]],14,6)</f>
        <v>22199</v>
      </c>
    </row>
    <row r="2832" spans="1:24" x14ac:dyDescent="0.25">
      <c r="A2832" s="45">
        <v>220210015679</v>
      </c>
      <c r="B2832" s="46" t="s">
        <v>204</v>
      </c>
      <c r="C2832" s="47">
        <v>44302</v>
      </c>
      <c r="D2832" s="45">
        <v>22021002088</v>
      </c>
      <c r="E2832" s="46" t="s">
        <v>1478</v>
      </c>
      <c r="F2832" s="48">
        <v>376.87</v>
      </c>
      <c r="G2832" s="54" t="s">
        <v>238</v>
      </c>
      <c r="H2832" s="54" t="s">
        <v>4390</v>
      </c>
      <c r="I2832" s="53" t="s">
        <v>205</v>
      </c>
      <c r="J2832" s="54" t="s">
        <v>127</v>
      </c>
      <c r="K2832" s="54" t="s">
        <v>127</v>
      </c>
      <c r="L2832" s="54" t="s">
        <v>15</v>
      </c>
      <c r="M2832" s="54" t="s">
        <v>13</v>
      </c>
      <c r="N2832" s="54" t="s">
        <v>16</v>
      </c>
      <c r="O2832" s="49" t="s">
        <v>814</v>
      </c>
      <c r="P2832" s="54" t="s">
        <v>3392</v>
      </c>
      <c r="Q2832" s="35" t="str">
        <f>MID(Tabla1[[#This Row],[Aplicación]],14,1)</f>
        <v>2</v>
      </c>
      <c r="R2832" s="35" t="s">
        <v>495</v>
      </c>
      <c r="S2832" s="35" t="str">
        <f>MID(Tabla1[[#This Row],[Aplicación]],6,2)</f>
        <v>03</v>
      </c>
      <c r="T2832" s="35" t="str">
        <f>VLOOKUP(Tabla1[[#This Row],[AREA]],Hoja1!A:B,2,FALSE)</f>
        <v>03. Participación ciudadana y deportes</v>
      </c>
      <c r="U2832" s="35" t="str">
        <f>MID(Tabla1[[#This Row],[Aplicación]],9,4)</f>
        <v>9241</v>
      </c>
      <c r="V2832" s="35" t="str">
        <f>VLOOKUP(Tabla1[[#This Row],[PROGRAMA]],Hoja1!A:B,2,FALSE)</f>
        <v>9241. Participación ciudadana</v>
      </c>
      <c r="W2832" s="35" t="str">
        <f>MID(Tabla1[[#This Row],[Aplicación]],14,2)</f>
        <v>21</v>
      </c>
      <c r="X2832" s="35" t="str">
        <f>MID(Tabla1[[#This Row],[Aplicación]],14,6)</f>
        <v>212</v>
      </c>
    </row>
    <row r="2833" spans="1:24" x14ac:dyDescent="0.25">
      <c r="A2833" s="45">
        <v>220210014238</v>
      </c>
      <c r="B2833" s="46" t="s">
        <v>204</v>
      </c>
      <c r="C2833" s="47">
        <v>44293</v>
      </c>
      <c r="D2833" s="45">
        <v>22021002057</v>
      </c>
      <c r="E2833" s="46" t="s">
        <v>1715</v>
      </c>
      <c r="F2833" s="48">
        <v>372.73</v>
      </c>
      <c r="G2833" s="54" t="s">
        <v>266</v>
      </c>
      <c r="H2833" s="54" t="s">
        <v>4391</v>
      </c>
      <c r="I2833" s="53" t="s">
        <v>205</v>
      </c>
      <c r="J2833" s="54" t="s">
        <v>127</v>
      </c>
      <c r="K2833" s="54" t="s">
        <v>127</v>
      </c>
      <c r="L2833" s="54" t="s">
        <v>15</v>
      </c>
      <c r="M2833" s="54" t="s">
        <v>13</v>
      </c>
      <c r="N2833" s="54" t="s">
        <v>14</v>
      </c>
      <c r="O2833" s="49" t="s">
        <v>814</v>
      </c>
      <c r="P2833" s="54" t="s">
        <v>3392</v>
      </c>
      <c r="Q2833" s="35" t="str">
        <f>MID(Tabla1[[#This Row],[Aplicación]],14,1)</f>
        <v>2</v>
      </c>
      <c r="R2833" s="35" t="s">
        <v>495</v>
      </c>
      <c r="S2833" s="35" t="str">
        <f>MID(Tabla1[[#This Row],[Aplicación]],6,2)</f>
        <v>11</v>
      </c>
      <c r="T2833" s="35" t="str">
        <f>VLOOKUP(Tabla1[[#This Row],[AREA]],Hoja1!A:B,2,FALSE)</f>
        <v>11. Salud pública y seguridad ciudadana</v>
      </c>
      <c r="U2833" s="35" t="str">
        <f>MID(Tabla1[[#This Row],[Aplicación]],9,4)</f>
        <v>1631</v>
      </c>
      <c r="V2833" s="35" t="str">
        <f>VLOOKUP(Tabla1[[#This Row],[PROGRAMA]],Hoja1!A:B,2,FALSE)</f>
        <v>1631. Limpieza viaria</v>
      </c>
      <c r="W2833" s="35" t="str">
        <f>MID(Tabla1[[#This Row],[Aplicación]],14,2)</f>
        <v>22</v>
      </c>
      <c r="X2833" s="35" t="str">
        <f>MID(Tabla1[[#This Row],[Aplicación]],14,6)</f>
        <v>22199</v>
      </c>
    </row>
    <row r="2834" spans="1:24" x14ac:dyDescent="0.25">
      <c r="A2834" s="45">
        <v>220210020727</v>
      </c>
      <c r="B2834" s="46" t="s">
        <v>204</v>
      </c>
      <c r="C2834" s="47">
        <v>44323</v>
      </c>
      <c r="D2834" s="45">
        <v>22021002057</v>
      </c>
      <c r="E2834" s="46" t="s">
        <v>1715</v>
      </c>
      <c r="F2834" s="48">
        <v>358.37</v>
      </c>
      <c r="G2834" s="54" t="s">
        <v>263</v>
      </c>
      <c r="H2834" s="54" t="s">
        <v>4392</v>
      </c>
      <c r="I2834" s="53" t="s">
        <v>205</v>
      </c>
      <c r="J2834" s="54" t="s">
        <v>127</v>
      </c>
      <c r="K2834" s="54" t="s">
        <v>127</v>
      </c>
      <c r="L2834" s="54" t="s">
        <v>15</v>
      </c>
      <c r="M2834" s="54" t="s">
        <v>13</v>
      </c>
      <c r="N2834" s="54" t="s">
        <v>14</v>
      </c>
      <c r="O2834" s="49" t="s">
        <v>814</v>
      </c>
      <c r="P2834" s="54" t="s">
        <v>3392</v>
      </c>
      <c r="Q2834" s="35" t="str">
        <f>MID(Tabla1[[#This Row],[Aplicación]],14,1)</f>
        <v>2</v>
      </c>
      <c r="R2834" s="35" t="s">
        <v>495</v>
      </c>
      <c r="S2834" s="35" t="str">
        <f>MID(Tabla1[[#This Row],[Aplicación]],6,2)</f>
        <v>11</v>
      </c>
      <c r="T2834" s="35" t="str">
        <f>VLOOKUP(Tabla1[[#This Row],[AREA]],Hoja1!A:B,2,FALSE)</f>
        <v>11. Salud pública y seguridad ciudadana</v>
      </c>
      <c r="U2834" s="35" t="str">
        <f>MID(Tabla1[[#This Row],[Aplicación]],9,4)</f>
        <v>1631</v>
      </c>
      <c r="V2834" s="35" t="str">
        <f>VLOOKUP(Tabla1[[#This Row],[PROGRAMA]],Hoja1!A:B,2,FALSE)</f>
        <v>1631. Limpieza viaria</v>
      </c>
      <c r="W2834" s="35" t="str">
        <f>MID(Tabla1[[#This Row],[Aplicación]],14,2)</f>
        <v>22</v>
      </c>
      <c r="X2834" s="35" t="str">
        <f>MID(Tabla1[[#This Row],[Aplicación]],14,6)</f>
        <v>22199</v>
      </c>
    </row>
    <row r="2835" spans="1:24" x14ac:dyDescent="0.25">
      <c r="A2835" s="45">
        <v>220210025740</v>
      </c>
      <c r="B2835" s="46" t="s">
        <v>204</v>
      </c>
      <c r="C2835" s="47">
        <v>44343</v>
      </c>
      <c r="D2835" s="45">
        <v>22021002228</v>
      </c>
      <c r="E2835" s="46" t="s">
        <v>1471</v>
      </c>
      <c r="F2835" s="48">
        <v>353.56</v>
      </c>
      <c r="G2835" s="54" t="s">
        <v>235</v>
      </c>
      <c r="H2835" s="54" t="s">
        <v>4393</v>
      </c>
      <c r="I2835" s="53" t="s">
        <v>205</v>
      </c>
      <c r="J2835" s="54" t="s">
        <v>742</v>
      </c>
      <c r="K2835" s="54" t="s">
        <v>165</v>
      </c>
      <c r="L2835" s="54" t="s">
        <v>15</v>
      </c>
      <c r="M2835" s="54" t="s">
        <v>13</v>
      </c>
      <c r="N2835" s="54" t="s">
        <v>14</v>
      </c>
      <c r="O2835" s="49" t="s">
        <v>814</v>
      </c>
      <c r="P2835" s="54" t="s">
        <v>3392</v>
      </c>
      <c r="Q2835" s="35" t="str">
        <f>MID(Tabla1[[#This Row],[Aplicación]],14,1)</f>
        <v>2</v>
      </c>
      <c r="R2835" s="35" t="s">
        <v>495</v>
      </c>
      <c r="S2835" s="35" t="str">
        <f>MID(Tabla1[[#This Row],[Aplicación]],6,2)</f>
        <v>06</v>
      </c>
      <c r="T2835" s="35" t="str">
        <f>VLOOKUP(Tabla1[[#This Row],[AREA]],Hoja1!A:B,2,FALSE)</f>
        <v>06. Educación, infancia, juventud e igualdad</v>
      </c>
      <c r="U2835" s="35" t="str">
        <f>MID(Tabla1[[#This Row],[Aplicación]],9,4)</f>
        <v>3232</v>
      </c>
      <c r="V2835" s="35" t="str">
        <f>VLOOKUP(Tabla1[[#This Row],[PROGRAMA]],Hoja1!A:B,2,FALSE)</f>
        <v>3232. Conservación y mantenimiento centros educación infantil y primaria</v>
      </c>
      <c r="W2835" s="35" t="str">
        <f>MID(Tabla1[[#This Row],[Aplicación]],14,2)</f>
        <v>21</v>
      </c>
      <c r="X2835" s="35" t="str">
        <f>MID(Tabla1[[#This Row],[Aplicación]],14,6)</f>
        <v>212</v>
      </c>
    </row>
    <row r="2836" spans="1:24" x14ac:dyDescent="0.25">
      <c r="A2836" s="45">
        <v>220210029740</v>
      </c>
      <c r="B2836" s="46" t="s">
        <v>204</v>
      </c>
      <c r="C2836" s="47">
        <v>44355</v>
      </c>
      <c r="D2836" s="45">
        <v>22021002088</v>
      </c>
      <c r="E2836" s="46" t="s">
        <v>1478</v>
      </c>
      <c r="F2836" s="48">
        <v>343.52</v>
      </c>
      <c r="G2836" s="54" t="s">
        <v>235</v>
      </c>
      <c r="H2836" s="54" t="s">
        <v>4394</v>
      </c>
      <c r="I2836" s="53" t="s">
        <v>205</v>
      </c>
      <c r="J2836" s="54" t="s">
        <v>742</v>
      </c>
      <c r="K2836" s="54" t="s">
        <v>165</v>
      </c>
      <c r="L2836" s="54" t="s">
        <v>15</v>
      </c>
      <c r="M2836" s="54" t="s">
        <v>13</v>
      </c>
      <c r="N2836" s="54" t="s">
        <v>16</v>
      </c>
      <c r="O2836" s="49" t="s">
        <v>814</v>
      </c>
      <c r="P2836" s="54" t="s">
        <v>3392</v>
      </c>
      <c r="Q2836" s="35" t="str">
        <f>MID(Tabla1[[#This Row],[Aplicación]],14,1)</f>
        <v>2</v>
      </c>
      <c r="R2836" s="35" t="s">
        <v>495</v>
      </c>
      <c r="S2836" s="35" t="str">
        <f>MID(Tabla1[[#This Row],[Aplicación]],6,2)</f>
        <v>03</v>
      </c>
      <c r="T2836" s="35" t="str">
        <f>VLOOKUP(Tabla1[[#This Row],[AREA]],Hoja1!A:B,2,FALSE)</f>
        <v>03. Participación ciudadana y deportes</v>
      </c>
      <c r="U2836" s="35" t="str">
        <f>MID(Tabla1[[#This Row],[Aplicación]],9,4)</f>
        <v>9241</v>
      </c>
      <c r="V2836" s="35" t="str">
        <f>VLOOKUP(Tabla1[[#This Row],[PROGRAMA]],Hoja1!A:B,2,FALSE)</f>
        <v>9241. Participación ciudadana</v>
      </c>
      <c r="W2836" s="35" t="str">
        <f>MID(Tabla1[[#This Row],[Aplicación]],14,2)</f>
        <v>21</v>
      </c>
      <c r="X2836" s="35" t="str">
        <f>MID(Tabla1[[#This Row],[Aplicación]],14,6)</f>
        <v>212</v>
      </c>
    </row>
    <row r="2837" spans="1:24" x14ac:dyDescent="0.25">
      <c r="A2837" s="45">
        <v>220210016832</v>
      </c>
      <c r="B2837" s="46" t="s">
        <v>204</v>
      </c>
      <c r="C2837" s="47">
        <v>44308</v>
      </c>
      <c r="D2837" s="45">
        <v>22021002374</v>
      </c>
      <c r="E2837" s="46" t="s">
        <v>1336</v>
      </c>
      <c r="F2837" s="48">
        <v>334.86</v>
      </c>
      <c r="G2837" s="54" t="s">
        <v>238</v>
      </c>
      <c r="H2837" s="54" t="s">
        <v>4395</v>
      </c>
      <c r="I2837" s="53" t="s">
        <v>205</v>
      </c>
      <c r="J2837" s="54" t="s">
        <v>127</v>
      </c>
      <c r="K2837" s="54" t="s">
        <v>127</v>
      </c>
      <c r="L2837" s="54" t="s">
        <v>15</v>
      </c>
      <c r="M2837" s="54" t="s">
        <v>13</v>
      </c>
      <c r="N2837" s="54" t="s">
        <v>14</v>
      </c>
      <c r="O2837" s="49" t="s">
        <v>814</v>
      </c>
      <c r="P2837" s="54" t="s">
        <v>3392</v>
      </c>
      <c r="Q2837" s="35" t="str">
        <f>MID(Tabla1[[#This Row],[Aplicación]],14,1)</f>
        <v>2</v>
      </c>
      <c r="R2837" s="35" t="s">
        <v>495</v>
      </c>
      <c r="S2837" s="35" t="str">
        <f>MID(Tabla1[[#This Row],[Aplicación]],6,2)</f>
        <v>02</v>
      </c>
      <c r="T2837" s="35" t="str">
        <f>VLOOKUP(Tabla1[[#This Row],[AREA]],Hoja1!A:B,2,FALSE)</f>
        <v>02. Planeamiento urbanístico y vivienda</v>
      </c>
      <c r="U2837" s="35" t="str">
        <f>MID(Tabla1[[#This Row],[Aplicación]],9,4)</f>
        <v>9332</v>
      </c>
      <c r="V2837" s="35" t="str">
        <f>VLOOKUP(Tabla1[[#This Row],[PROGRAMA]],Hoja1!A:B,2,FALSE)</f>
        <v>9332. Mantenimiento de edificios e instalaciones municipales</v>
      </c>
      <c r="W2837" s="35" t="str">
        <f>MID(Tabla1[[#This Row],[Aplicación]],14,2)</f>
        <v>21</v>
      </c>
      <c r="X2837" s="35" t="str">
        <f>MID(Tabla1[[#This Row],[Aplicación]],14,6)</f>
        <v>212</v>
      </c>
    </row>
    <row r="2838" spans="1:24" x14ac:dyDescent="0.25">
      <c r="A2838" s="45">
        <v>220210015663</v>
      </c>
      <c r="B2838" s="46" t="s">
        <v>204</v>
      </c>
      <c r="C2838" s="47">
        <v>44302</v>
      </c>
      <c r="D2838" s="45">
        <v>22021002228</v>
      </c>
      <c r="E2838" s="46" t="s">
        <v>1471</v>
      </c>
      <c r="F2838" s="48">
        <v>334.77</v>
      </c>
      <c r="G2838" s="54" t="s">
        <v>238</v>
      </c>
      <c r="H2838" s="54" t="s">
        <v>4396</v>
      </c>
      <c r="I2838" s="53" t="s">
        <v>205</v>
      </c>
      <c r="J2838" s="54" t="s">
        <v>127</v>
      </c>
      <c r="K2838" s="54" t="s">
        <v>127</v>
      </c>
      <c r="L2838" s="54" t="s">
        <v>15</v>
      </c>
      <c r="M2838" s="54" t="s">
        <v>13</v>
      </c>
      <c r="N2838" s="54" t="s">
        <v>14</v>
      </c>
      <c r="O2838" s="49" t="s">
        <v>814</v>
      </c>
      <c r="P2838" s="54" t="s">
        <v>3392</v>
      </c>
      <c r="Q2838" s="35" t="str">
        <f>MID(Tabla1[[#This Row],[Aplicación]],14,1)</f>
        <v>2</v>
      </c>
      <c r="R2838" s="35" t="s">
        <v>495</v>
      </c>
      <c r="S2838" s="35" t="str">
        <f>MID(Tabla1[[#This Row],[Aplicación]],6,2)</f>
        <v>06</v>
      </c>
      <c r="T2838" s="35" t="str">
        <f>VLOOKUP(Tabla1[[#This Row],[AREA]],Hoja1!A:B,2,FALSE)</f>
        <v>06. Educación, infancia, juventud e igualdad</v>
      </c>
      <c r="U2838" s="35" t="str">
        <f>MID(Tabla1[[#This Row],[Aplicación]],9,4)</f>
        <v>3232</v>
      </c>
      <c r="V2838" s="35" t="str">
        <f>VLOOKUP(Tabla1[[#This Row],[PROGRAMA]],Hoja1!A:B,2,FALSE)</f>
        <v>3232. Conservación y mantenimiento centros educación infantil y primaria</v>
      </c>
      <c r="W2838" s="35" t="str">
        <f>MID(Tabla1[[#This Row],[Aplicación]],14,2)</f>
        <v>21</v>
      </c>
      <c r="X2838" s="35" t="str">
        <f>MID(Tabla1[[#This Row],[Aplicación]],14,6)</f>
        <v>212</v>
      </c>
    </row>
    <row r="2839" spans="1:24" x14ac:dyDescent="0.25">
      <c r="A2839" s="45">
        <v>220210029649</v>
      </c>
      <c r="B2839" s="46" t="s">
        <v>204</v>
      </c>
      <c r="C2839" s="47">
        <v>44355</v>
      </c>
      <c r="D2839" s="45">
        <v>22021002228</v>
      </c>
      <c r="E2839" s="46" t="s">
        <v>1471</v>
      </c>
      <c r="F2839" s="48">
        <v>333.16</v>
      </c>
      <c r="G2839" s="54" t="s">
        <v>235</v>
      </c>
      <c r="H2839" s="54" t="s">
        <v>4397</v>
      </c>
      <c r="I2839" s="53" t="s">
        <v>205</v>
      </c>
      <c r="J2839" s="54" t="s">
        <v>742</v>
      </c>
      <c r="K2839" s="54" t="s">
        <v>165</v>
      </c>
      <c r="L2839" s="54" t="s">
        <v>15</v>
      </c>
      <c r="M2839" s="54" t="s">
        <v>13</v>
      </c>
      <c r="N2839" s="54" t="s">
        <v>14</v>
      </c>
      <c r="O2839" s="49" t="s">
        <v>814</v>
      </c>
      <c r="P2839" s="54" t="s">
        <v>3392</v>
      </c>
      <c r="Q2839" s="35" t="str">
        <f>MID(Tabla1[[#This Row],[Aplicación]],14,1)</f>
        <v>2</v>
      </c>
      <c r="R2839" s="35" t="s">
        <v>495</v>
      </c>
      <c r="S2839" s="35" t="str">
        <f>MID(Tabla1[[#This Row],[Aplicación]],6,2)</f>
        <v>06</v>
      </c>
      <c r="T2839" s="35" t="str">
        <f>VLOOKUP(Tabla1[[#This Row],[AREA]],Hoja1!A:B,2,FALSE)</f>
        <v>06. Educación, infancia, juventud e igualdad</v>
      </c>
      <c r="U2839" s="35" t="str">
        <f>MID(Tabla1[[#This Row],[Aplicación]],9,4)</f>
        <v>3232</v>
      </c>
      <c r="V2839" s="35" t="str">
        <f>VLOOKUP(Tabla1[[#This Row],[PROGRAMA]],Hoja1!A:B,2,FALSE)</f>
        <v>3232. Conservación y mantenimiento centros educación infantil y primaria</v>
      </c>
      <c r="W2839" s="35" t="str">
        <f>MID(Tabla1[[#This Row],[Aplicación]],14,2)</f>
        <v>21</v>
      </c>
      <c r="X2839" s="35" t="str">
        <f>MID(Tabla1[[#This Row],[Aplicación]],14,6)</f>
        <v>212</v>
      </c>
    </row>
    <row r="2840" spans="1:24" x14ac:dyDescent="0.25">
      <c r="A2840" s="45">
        <v>220210017123</v>
      </c>
      <c r="B2840" s="46" t="s">
        <v>9</v>
      </c>
      <c r="C2840" s="47">
        <v>44312</v>
      </c>
      <c r="D2840" s="45">
        <v>22021004087</v>
      </c>
      <c r="E2840" s="46" t="s">
        <v>3333</v>
      </c>
      <c r="F2840" s="48">
        <v>256.5</v>
      </c>
      <c r="G2840" s="54" t="s">
        <v>3939</v>
      </c>
      <c r="H2840" s="54" t="s">
        <v>4398</v>
      </c>
      <c r="I2840" s="53" t="s">
        <v>125</v>
      </c>
      <c r="J2840" s="54" t="s">
        <v>751</v>
      </c>
      <c r="K2840" s="54" t="s">
        <v>126</v>
      </c>
      <c r="L2840" s="54" t="s">
        <v>15</v>
      </c>
      <c r="M2840" s="54" t="s">
        <v>10</v>
      </c>
      <c r="N2840" s="54" t="s">
        <v>11</v>
      </c>
      <c r="O2840" s="49" t="s">
        <v>815</v>
      </c>
      <c r="P2840" s="54" t="s">
        <v>3392</v>
      </c>
      <c r="Q2840" s="35" t="str">
        <f>MID(Tabla1[[#This Row],[Aplicación]],14,1)</f>
        <v>2</v>
      </c>
      <c r="R2840" s="35" t="s">
        <v>495</v>
      </c>
      <c r="S2840" s="35" t="str">
        <f>MID(Tabla1[[#This Row],[Aplicación]],6,2)</f>
        <v>10</v>
      </c>
      <c r="T2840" s="35" t="str">
        <f>VLOOKUP(Tabla1[[#This Row],[AREA]],Hoja1!A:B,2,FALSE)</f>
        <v>10. Servicios sociales y mediación comunitaria</v>
      </c>
      <c r="U2840" s="35" t="str">
        <f>MID(Tabla1[[#This Row],[Aplicación]],9,4)</f>
        <v>2316</v>
      </c>
      <c r="V2840" s="35" t="str">
        <f>VLOOKUP(Tabla1[[#This Row],[PROGRAMA]],Hoja1!A:B,2,FALSE)</f>
        <v>2316. Mediación comunitaria</v>
      </c>
      <c r="W2840" s="35" t="str">
        <f>MID(Tabla1[[#This Row],[Aplicación]],14,2)</f>
        <v>22</v>
      </c>
      <c r="X2840" s="35" t="str">
        <f>MID(Tabla1[[#This Row],[Aplicación]],14,6)</f>
        <v>22616</v>
      </c>
    </row>
    <row r="2841" spans="1:24" x14ac:dyDescent="0.25">
      <c r="A2841" s="45">
        <v>220210025757</v>
      </c>
      <c r="B2841" s="46" t="s">
        <v>204</v>
      </c>
      <c r="C2841" s="47">
        <v>44343</v>
      </c>
      <c r="D2841" s="45">
        <v>22021001970</v>
      </c>
      <c r="E2841" s="46" t="s">
        <v>1596</v>
      </c>
      <c r="F2841" s="48">
        <v>328.3</v>
      </c>
      <c r="G2841" s="54" t="s">
        <v>135</v>
      </c>
      <c r="H2841" s="54" t="s">
        <v>4399</v>
      </c>
      <c r="I2841" s="53" t="s">
        <v>205</v>
      </c>
      <c r="J2841" s="54" t="s">
        <v>127</v>
      </c>
      <c r="K2841" s="54" t="s">
        <v>127</v>
      </c>
      <c r="L2841" s="54" t="s">
        <v>15</v>
      </c>
      <c r="M2841" s="54" t="s">
        <v>13</v>
      </c>
      <c r="N2841" s="54" t="s">
        <v>14</v>
      </c>
      <c r="O2841" s="49" t="s">
        <v>814</v>
      </c>
      <c r="P2841" s="54" t="s">
        <v>3392</v>
      </c>
      <c r="Q2841" s="35" t="str">
        <f>MID(Tabla1[[#This Row],[Aplicación]],14,1)</f>
        <v>2</v>
      </c>
      <c r="R2841" s="35" t="s">
        <v>495</v>
      </c>
      <c r="S2841" s="35" t="str">
        <f>MID(Tabla1[[#This Row],[Aplicación]],6,2)</f>
        <v>11</v>
      </c>
      <c r="T2841" s="35" t="str">
        <f>VLOOKUP(Tabla1[[#This Row],[AREA]],Hoja1!A:B,2,FALSE)</f>
        <v>11. Salud pública y seguridad ciudadana</v>
      </c>
      <c r="U2841" s="35" t="str">
        <f>MID(Tabla1[[#This Row],[Aplicación]],9,4)</f>
        <v>1321</v>
      </c>
      <c r="V2841" s="35" t="str">
        <f>VLOOKUP(Tabla1[[#This Row],[PROGRAMA]],Hoja1!A:B,2,FALSE)</f>
        <v>1321. Policía municipal</v>
      </c>
      <c r="W2841" s="35" t="str">
        <f>MID(Tabla1[[#This Row],[Aplicación]],14,2)</f>
        <v>22</v>
      </c>
      <c r="X2841" s="35" t="str">
        <f>MID(Tabla1[[#This Row],[Aplicación]],14,6)</f>
        <v>22699</v>
      </c>
    </row>
    <row r="2842" spans="1:24" x14ac:dyDescent="0.25">
      <c r="A2842" s="45">
        <v>220210015627</v>
      </c>
      <c r="B2842" s="46" t="s">
        <v>204</v>
      </c>
      <c r="C2842" s="47">
        <v>44302</v>
      </c>
      <c r="D2842" s="45">
        <v>22021002056</v>
      </c>
      <c r="E2842" s="46" t="s">
        <v>876</v>
      </c>
      <c r="F2842" s="48">
        <v>327.91</v>
      </c>
      <c r="G2842" s="54" t="s">
        <v>274</v>
      </c>
      <c r="H2842" s="54" t="s">
        <v>4400</v>
      </c>
      <c r="I2842" s="53" t="s">
        <v>205</v>
      </c>
      <c r="J2842" s="54" t="s">
        <v>127</v>
      </c>
      <c r="K2842" s="54" t="s">
        <v>127</v>
      </c>
      <c r="L2842" s="54" t="s">
        <v>15</v>
      </c>
      <c r="M2842" s="54" t="s">
        <v>13</v>
      </c>
      <c r="N2842" s="54" t="s">
        <v>14</v>
      </c>
      <c r="O2842" s="49" t="s">
        <v>814</v>
      </c>
      <c r="P2842" s="54" t="s">
        <v>3392</v>
      </c>
      <c r="Q2842" s="35" t="str">
        <f>MID(Tabla1[[#This Row],[Aplicación]],14,1)</f>
        <v>2</v>
      </c>
      <c r="R2842" s="35" t="s">
        <v>495</v>
      </c>
      <c r="S2842" s="35" t="str">
        <f>MID(Tabla1[[#This Row],[Aplicación]],6,2)</f>
        <v>11</v>
      </c>
      <c r="T2842" s="35" t="str">
        <f>VLOOKUP(Tabla1[[#This Row],[AREA]],Hoja1!A:B,2,FALSE)</f>
        <v>11. Salud pública y seguridad ciudadana</v>
      </c>
      <c r="U2842" s="35" t="str">
        <f>MID(Tabla1[[#This Row],[Aplicación]],9,4)</f>
        <v>1631</v>
      </c>
      <c r="V2842" s="35" t="str">
        <f>VLOOKUP(Tabla1[[#This Row],[PROGRAMA]],Hoja1!A:B,2,FALSE)</f>
        <v>1631. Limpieza viaria</v>
      </c>
      <c r="W2842" s="35" t="str">
        <f>MID(Tabla1[[#This Row],[Aplicación]],14,2)</f>
        <v>22</v>
      </c>
      <c r="X2842" s="35" t="str">
        <f>MID(Tabla1[[#This Row],[Aplicación]],14,6)</f>
        <v>22110</v>
      </c>
    </row>
    <row r="2843" spans="1:24" x14ac:dyDescent="0.25">
      <c r="A2843" s="45">
        <v>220210014256</v>
      </c>
      <c r="B2843" s="46" t="s">
        <v>9</v>
      </c>
      <c r="C2843" s="47">
        <v>44293</v>
      </c>
      <c r="D2843" s="45">
        <v>22021003710</v>
      </c>
      <c r="E2843" s="46" t="s">
        <v>1401</v>
      </c>
      <c r="F2843" s="48">
        <v>256</v>
      </c>
      <c r="G2843" s="54" t="s">
        <v>4401</v>
      </c>
      <c r="H2843" s="54" t="s">
        <v>4402</v>
      </c>
      <c r="I2843" s="53" t="s">
        <v>125</v>
      </c>
      <c r="J2843" s="54" t="s">
        <v>127</v>
      </c>
      <c r="K2843" s="54" t="s">
        <v>127</v>
      </c>
      <c r="L2843" s="54" t="s">
        <v>15</v>
      </c>
      <c r="M2843" s="54" t="s">
        <v>10</v>
      </c>
      <c r="N2843" s="54" t="s">
        <v>11</v>
      </c>
      <c r="O2843" s="49" t="s">
        <v>815</v>
      </c>
      <c r="P2843" s="54" t="s">
        <v>3392</v>
      </c>
      <c r="Q2843" s="35" t="str">
        <f>MID(Tabla1[[#This Row],[Aplicación]],14,1)</f>
        <v>2</v>
      </c>
      <c r="R2843" s="35" t="s">
        <v>495</v>
      </c>
      <c r="S2843" s="35" t="str">
        <f>MID(Tabla1[[#This Row],[Aplicación]],6,2)</f>
        <v>10</v>
      </c>
      <c r="T2843" s="35" t="str">
        <f>VLOOKUP(Tabla1[[#This Row],[AREA]],Hoja1!A:B,2,FALSE)</f>
        <v>10. Servicios sociales y mediación comunitaria</v>
      </c>
      <c r="U2843" s="35" t="str">
        <f>MID(Tabla1[[#This Row],[Aplicación]],9,4)</f>
        <v>2312</v>
      </c>
      <c r="V2843" s="35" t="str">
        <f>VLOOKUP(Tabla1[[#This Row],[PROGRAMA]],Hoja1!A:B,2,FALSE)</f>
        <v>2312. Iniciativas sociales</v>
      </c>
      <c r="W2843" s="35" t="str">
        <f>MID(Tabla1[[#This Row],[Aplicación]],14,2)</f>
        <v>22</v>
      </c>
      <c r="X2843" s="35" t="str">
        <f>MID(Tabla1[[#This Row],[Aplicación]],14,6)</f>
        <v>22699</v>
      </c>
    </row>
    <row r="2844" spans="1:24" x14ac:dyDescent="0.25">
      <c r="A2844" s="45">
        <v>220210022719</v>
      </c>
      <c r="B2844" s="46" t="s">
        <v>204</v>
      </c>
      <c r="C2844" s="47">
        <v>44333</v>
      </c>
      <c r="D2844" s="45">
        <v>22021002056</v>
      </c>
      <c r="E2844" s="46" t="s">
        <v>876</v>
      </c>
      <c r="F2844" s="48">
        <v>327.91</v>
      </c>
      <c r="G2844" s="54" t="s">
        <v>274</v>
      </c>
      <c r="H2844" s="54" t="s">
        <v>4403</v>
      </c>
      <c r="I2844" s="53" t="s">
        <v>205</v>
      </c>
      <c r="J2844" s="54" t="s">
        <v>127</v>
      </c>
      <c r="K2844" s="54" t="s">
        <v>127</v>
      </c>
      <c r="L2844" s="54" t="s">
        <v>15</v>
      </c>
      <c r="M2844" s="54" t="s">
        <v>13</v>
      </c>
      <c r="N2844" s="54" t="s">
        <v>14</v>
      </c>
      <c r="O2844" s="49" t="s">
        <v>814</v>
      </c>
      <c r="P2844" s="54" t="s">
        <v>3392</v>
      </c>
      <c r="Q2844" s="35" t="str">
        <f>MID(Tabla1[[#This Row],[Aplicación]],14,1)</f>
        <v>2</v>
      </c>
      <c r="R2844" s="35" t="s">
        <v>495</v>
      </c>
      <c r="S2844" s="35" t="str">
        <f>MID(Tabla1[[#This Row],[Aplicación]],6,2)</f>
        <v>11</v>
      </c>
      <c r="T2844" s="35" t="str">
        <f>VLOOKUP(Tabla1[[#This Row],[AREA]],Hoja1!A:B,2,FALSE)</f>
        <v>11. Salud pública y seguridad ciudadana</v>
      </c>
      <c r="U2844" s="35" t="str">
        <f>MID(Tabla1[[#This Row],[Aplicación]],9,4)</f>
        <v>1631</v>
      </c>
      <c r="V2844" s="35" t="str">
        <f>VLOOKUP(Tabla1[[#This Row],[PROGRAMA]],Hoja1!A:B,2,FALSE)</f>
        <v>1631. Limpieza viaria</v>
      </c>
      <c r="W2844" s="35" t="str">
        <f>MID(Tabla1[[#This Row],[Aplicación]],14,2)</f>
        <v>22</v>
      </c>
      <c r="X2844" s="35" t="str">
        <f>MID(Tabla1[[#This Row],[Aplicación]],14,6)</f>
        <v>22110</v>
      </c>
    </row>
    <row r="2845" spans="1:24" x14ac:dyDescent="0.25">
      <c r="A2845" s="45">
        <v>220210027621</v>
      </c>
      <c r="B2845" s="46" t="s">
        <v>204</v>
      </c>
      <c r="C2845" s="47">
        <v>44348</v>
      </c>
      <c r="D2845" s="45">
        <v>22021002088</v>
      </c>
      <c r="E2845" s="46" t="s">
        <v>1478</v>
      </c>
      <c r="F2845" s="48">
        <v>324.16000000000003</v>
      </c>
      <c r="G2845" s="54" t="s">
        <v>4378</v>
      </c>
      <c r="H2845" s="54" t="s">
        <v>4404</v>
      </c>
      <c r="I2845" s="53" t="s">
        <v>205</v>
      </c>
      <c r="J2845" s="54" t="s">
        <v>664</v>
      </c>
      <c r="K2845" s="54" t="s">
        <v>127</v>
      </c>
      <c r="L2845" s="54" t="s">
        <v>15</v>
      </c>
      <c r="M2845" s="54" t="s">
        <v>13</v>
      </c>
      <c r="N2845" s="54" t="s">
        <v>16</v>
      </c>
      <c r="O2845" s="49" t="s">
        <v>814</v>
      </c>
      <c r="P2845" s="54" t="s">
        <v>3392</v>
      </c>
      <c r="Q2845" s="35" t="str">
        <f>MID(Tabla1[[#This Row],[Aplicación]],14,1)</f>
        <v>2</v>
      </c>
      <c r="R2845" s="35" t="s">
        <v>495</v>
      </c>
      <c r="S2845" s="35" t="str">
        <f>MID(Tabla1[[#This Row],[Aplicación]],6,2)</f>
        <v>03</v>
      </c>
      <c r="T2845" s="35" t="str">
        <f>VLOOKUP(Tabla1[[#This Row],[AREA]],Hoja1!A:B,2,FALSE)</f>
        <v>03. Participación ciudadana y deportes</v>
      </c>
      <c r="U2845" s="35" t="str">
        <f>MID(Tabla1[[#This Row],[Aplicación]],9,4)</f>
        <v>9241</v>
      </c>
      <c r="V2845" s="35" t="str">
        <f>VLOOKUP(Tabla1[[#This Row],[PROGRAMA]],Hoja1!A:B,2,FALSE)</f>
        <v>9241. Participación ciudadana</v>
      </c>
      <c r="W2845" s="35" t="str">
        <f>MID(Tabla1[[#This Row],[Aplicación]],14,2)</f>
        <v>21</v>
      </c>
      <c r="X2845" s="35" t="str">
        <f>MID(Tabla1[[#This Row],[Aplicación]],14,6)</f>
        <v>212</v>
      </c>
    </row>
    <row r="2846" spans="1:24" x14ac:dyDescent="0.25">
      <c r="A2846" s="45">
        <v>220210014256</v>
      </c>
      <c r="B2846" s="46" t="s">
        <v>9</v>
      </c>
      <c r="C2846" s="47">
        <v>44293</v>
      </c>
      <c r="D2846" s="45">
        <v>22021003711</v>
      </c>
      <c r="E2846" s="46" t="s">
        <v>1401</v>
      </c>
      <c r="F2846" s="48">
        <v>256</v>
      </c>
      <c r="G2846" s="54" t="s">
        <v>4401</v>
      </c>
      <c r="H2846" s="54" t="s">
        <v>4402</v>
      </c>
      <c r="I2846" s="53" t="s">
        <v>125</v>
      </c>
      <c r="J2846" s="54" t="s">
        <v>127</v>
      </c>
      <c r="K2846" s="54" t="s">
        <v>127</v>
      </c>
      <c r="L2846" s="54" t="s">
        <v>15</v>
      </c>
      <c r="M2846" s="54" t="s">
        <v>10</v>
      </c>
      <c r="N2846" s="54" t="s">
        <v>11</v>
      </c>
      <c r="O2846" s="49" t="s">
        <v>815</v>
      </c>
      <c r="P2846" s="54" t="s">
        <v>3392</v>
      </c>
      <c r="Q2846" s="35" t="str">
        <f>MID(Tabla1[[#This Row],[Aplicación]],14,1)</f>
        <v>2</v>
      </c>
      <c r="R2846" s="35" t="s">
        <v>495</v>
      </c>
      <c r="S2846" s="35" t="str">
        <f>MID(Tabla1[[#This Row],[Aplicación]],6,2)</f>
        <v>10</v>
      </c>
      <c r="T2846" s="35" t="str">
        <f>VLOOKUP(Tabla1[[#This Row],[AREA]],Hoja1!A:B,2,FALSE)</f>
        <v>10. Servicios sociales y mediación comunitaria</v>
      </c>
      <c r="U2846" s="35" t="str">
        <f>MID(Tabla1[[#This Row],[Aplicación]],9,4)</f>
        <v>2312</v>
      </c>
      <c r="V2846" s="35" t="str">
        <f>VLOOKUP(Tabla1[[#This Row],[PROGRAMA]],Hoja1!A:B,2,FALSE)</f>
        <v>2312. Iniciativas sociales</v>
      </c>
      <c r="W2846" s="35" t="str">
        <f>MID(Tabla1[[#This Row],[Aplicación]],14,2)</f>
        <v>22</v>
      </c>
      <c r="X2846" s="35" t="str">
        <f>MID(Tabla1[[#This Row],[Aplicación]],14,6)</f>
        <v>22699</v>
      </c>
    </row>
    <row r="2847" spans="1:24" x14ac:dyDescent="0.25">
      <c r="A2847" s="45">
        <v>220210014186</v>
      </c>
      <c r="B2847" s="46" t="s">
        <v>204</v>
      </c>
      <c r="C2847" s="47">
        <v>44293</v>
      </c>
      <c r="D2847" s="45">
        <v>22021002227</v>
      </c>
      <c r="E2847" s="46" t="s">
        <v>1324</v>
      </c>
      <c r="F2847" s="48">
        <v>319.60000000000002</v>
      </c>
      <c r="G2847" s="54" t="s">
        <v>256</v>
      </c>
      <c r="H2847" s="54" t="s">
        <v>4405</v>
      </c>
      <c r="I2847" s="53" t="s">
        <v>205</v>
      </c>
      <c r="J2847" s="54" t="s">
        <v>127</v>
      </c>
      <c r="K2847" s="54" t="s">
        <v>127</v>
      </c>
      <c r="L2847" s="54" t="s">
        <v>15</v>
      </c>
      <c r="M2847" s="54" t="s">
        <v>13</v>
      </c>
      <c r="N2847" s="54" t="s">
        <v>14</v>
      </c>
      <c r="O2847" s="49" t="s">
        <v>814</v>
      </c>
      <c r="P2847" s="54" t="s">
        <v>3392</v>
      </c>
      <c r="Q2847" s="35" t="str">
        <f>MID(Tabla1[[#This Row],[Aplicación]],14,1)</f>
        <v>2</v>
      </c>
      <c r="R2847" s="35" t="s">
        <v>495</v>
      </c>
      <c r="S2847" s="35" t="str">
        <f>MID(Tabla1[[#This Row],[Aplicación]],6,2)</f>
        <v>06</v>
      </c>
      <c r="T2847" s="35" t="str">
        <f>VLOOKUP(Tabla1[[#This Row],[AREA]],Hoja1!A:B,2,FALSE)</f>
        <v>06. Educación, infancia, juventud e igualdad</v>
      </c>
      <c r="U2847" s="35" t="str">
        <f>MID(Tabla1[[#This Row],[Aplicación]],9,4)</f>
        <v>3321</v>
      </c>
      <c r="V2847" s="35" t="str">
        <f>VLOOKUP(Tabla1[[#This Row],[PROGRAMA]],Hoja1!A:B,2,FALSE)</f>
        <v>3321. Bibliotecas públicas</v>
      </c>
      <c r="W2847" s="35" t="str">
        <f>MID(Tabla1[[#This Row],[Aplicación]],14,2)</f>
        <v>21</v>
      </c>
      <c r="X2847" s="35" t="str">
        <f>MID(Tabla1[[#This Row],[Aplicación]],14,6)</f>
        <v>212</v>
      </c>
    </row>
    <row r="2848" spans="1:24" x14ac:dyDescent="0.25">
      <c r="A2848" s="45">
        <v>220210031356</v>
      </c>
      <c r="B2848" s="46" t="s">
        <v>9</v>
      </c>
      <c r="C2848" s="47">
        <v>44365</v>
      </c>
      <c r="D2848" s="45">
        <v>22021004914</v>
      </c>
      <c r="E2848" s="46" t="s">
        <v>1380</v>
      </c>
      <c r="F2848" s="48">
        <v>255.65</v>
      </c>
      <c r="G2848" s="54" t="s">
        <v>4383</v>
      </c>
      <c r="H2848" s="54" t="s">
        <v>4406</v>
      </c>
      <c r="I2848" s="53" t="s">
        <v>125</v>
      </c>
      <c r="J2848" s="54" t="s">
        <v>127</v>
      </c>
      <c r="K2848" s="54" t="s">
        <v>127</v>
      </c>
      <c r="L2848" s="54" t="s">
        <v>15</v>
      </c>
      <c r="M2848" s="54" t="s">
        <v>10</v>
      </c>
      <c r="N2848" s="54" t="s">
        <v>11</v>
      </c>
      <c r="O2848" s="49" t="s">
        <v>815</v>
      </c>
      <c r="P2848" s="54" t="s">
        <v>3392</v>
      </c>
      <c r="Q2848" s="35" t="str">
        <f>MID(Tabla1[[#This Row],[Aplicación]],14,1)</f>
        <v>2</v>
      </c>
      <c r="R2848" s="35" t="s">
        <v>495</v>
      </c>
      <c r="S2848" s="35" t="str">
        <f>MID(Tabla1[[#This Row],[Aplicación]],6,2)</f>
        <v>03</v>
      </c>
      <c r="T2848" s="35" t="str">
        <f>VLOOKUP(Tabla1[[#This Row],[AREA]],Hoja1!A:B,2,FALSE)</f>
        <v>03. Participación ciudadana y deportes</v>
      </c>
      <c r="U2848" s="35" t="str">
        <f>MID(Tabla1[[#This Row],[Aplicación]],9,4)</f>
        <v>9241</v>
      </c>
      <c r="V2848" s="35" t="str">
        <f>VLOOKUP(Tabla1[[#This Row],[PROGRAMA]],Hoja1!A:B,2,FALSE)</f>
        <v>9241. Participación ciudadana</v>
      </c>
      <c r="W2848" s="35" t="str">
        <f>MID(Tabla1[[#This Row],[Aplicación]],14,2)</f>
        <v>22</v>
      </c>
      <c r="X2848" s="35" t="str">
        <f>MID(Tabla1[[#This Row],[Aplicación]],14,6)</f>
        <v>22699</v>
      </c>
    </row>
    <row r="2849" spans="1:24" x14ac:dyDescent="0.25">
      <c r="A2849" s="45">
        <v>220210020092</v>
      </c>
      <c r="B2849" s="46" t="s">
        <v>9</v>
      </c>
      <c r="C2849" s="47">
        <v>44321</v>
      </c>
      <c r="D2849" s="45">
        <v>22021004244</v>
      </c>
      <c r="E2849" s="46" t="s">
        <v>1263</v>
      </c>
      <c r="F2849" s="48">
        <v>255.31</v>
      </c>
      <c r="G2849" s="54" t="s">
        <v>4407</v>
      </c>
      <c r="H2849" s="54" t="s">
        <v>4408</v>
      </c>
      <c r="I2849" s="53" t="s">
        <v>125</v>
      </c>
      <c r="J2849" s="54" t="s">
        <v>127</v>
      </c>
      <c r="K2849" s="54" t="s">
        <v>127</v>
      </c>
      <c r="L2849" s="54" t="s">
        <v>15</v>
      </c>
      <c r="M2849" s="54" t="s">
        <v>10</v>
      </c>
      <c r="N2849" s="54" t="s">
        <v>11</v>
      </c>
      <c r="O2849" s="49" t="s">
        <v>815</v>
      </c>
      <c r="P2849" s="54" t="s">
        <v>3392</v>
      </c>
      <c r="Q2849" s="35" t="str">
        <f>MID(Tabla1[[#This Row],[Aplicación]],14,1)</f>
        <v>2</v>
      </c>
      <c r="R2849" s="35" t="s">
        <v>495</v>
      </c>
      <c r="S2849" s="35" t="str">
        <f>MID(Tabla1[[#This Row],[Aplicación]],6,2)</f>
        <v>02</v>
      </c>
      <c r="T2849" s="35" t="str">
        <f>VLOOKUP(Tabla1[[#This Row],[AREA]],Hoja1!A:B,2,FALSE)</f>
        <v>02. Planeamiento urbanístico y vivienda</v>
      </c>
      <c r="U2849" s="35" t="str">
        <f>MID(Tabla1[[#This Row],[Aplicación]],9,4)</f>
        <v>9332</v>
      </c>
      <c r="V2849" s="35" t="str">
        <f>VLOOKUP(Tabla1[[#This Row],[PROGRAMA]],Hoja1!A:B,2,FALSE)</f>
        <v>9332. Mantenimiento de edificios e instalaciones municipales</v>
      </c>
      <c r="W2849" s="35" t="str">
        <f>MID(Tabla1[[#This Row],[Aplicación]],14,2)</f>
        <v>21</v>
      </c>
      <c r="X2849" s="35" t="str">
        <f>MID(Tabla1[[#This Row],[Aplicación]],14,6)</f>
        <v>213</v>
      </c>
    </row>
    <row r="2850" spans="1:24" x14ac:dyDescent="0.25">
      <c r="A2850" s="45">
        <v>220210015891</v>
      </c>
      <c r="B2850" s="46" t="s">
        <v>9</v>
      </c>
      <c r="C2850" s="47">
        <v>44305</v>
      </c>
      <c r="D2850" s="45">
        <v>22021003863</v>
      </c>
      <c r="E2850" s="46" t="s">
        <v>881</v>
      </c>
      <c r="F2850" s="48">
        <v>254.1</v>
      </c>
      <c r="G2850" s="54" t="s">
        <v>4409</v>
      </c>
      <c r="H2850" s="54" t="s">
        <v>4410</v>
      </c>
      <c r="I2850" s="53" t="s">
        <v>125</v>
      </c>
      <c r="J2850" s="54" t="s">
        <v>127</v>
      </c>
      <c r="K2850" s="54" t="s">
        <v>127</v>
      </c>
      <c r="L2850" s="54" t="s">
        <v>12</v>
      </c>
      <c r="M2850" s="54" t="s">
        <v>10</v>
      </c>
      <c r="N2850" s="54" t="s">
        <v>11</v>
      </c>
      <c r="O2850" s="49" t="s">
        <v>815</v>
      </c>
      <c r="P2850" s="54" t="s">
        <v>3392</v>
      </c>
      <c r="Q2850" s="35" t="str">
        <f>MID(Tabla1[[#This Row],[Aplicación]],14,1)</f>
        <v>2</v>
      </c>
      <c r="R2850" s="35" t="s">
        <v>495</v>
      </c>
      <c r="S2850" s="35" t="str">
        <f>MID(Tabla1[[#This Row],[Aplicación]],6,2)</f>
        <v>05</v>
      </c>
      <c r="T2850" s="35" t="str">
        <f>VLOOKUP(Tabla1[[#This Row],[AREA]],Hoja1!A:B,2,FALSE)</f>
        <v>05. Innovación, desarrollo económico, empleo y comercio</v>
      </c>
      <c r="U2850" s="35" t="str">
        <f>MID(Tabla1[[#This Row],[Aplicación]],9,4)</f>
        <v>4331</v>
      </c>
      <c r="V2850" s="35" t="str">
        <f>VLOOKUP(Tabla1[[#This Row],[PROGRAMA]],Hoja1!A:B,2,FALSE)</f>
        <v>4331. Desarrollo empresarial</v>
      </c>
      <c r="W2850" s="35" t="str">
        <f>MID(Tabla1[[#This Row],[Aplicación]],14,2)</f>
        <v>22</v>
      </c>
      <c r="X2850" s="35" t="str">
        <f>MID(Tabla1[[#This Row],[Aplicación]],14,6)</f>
        <v>22799</v>
      </c>
    </row>
    <row r="2851" spans="1:24" x14ac:dyDescent="0.25">
      <c r="A2851" s="45">
        <v>220210033167</v>
      </c>
      <c r="B2851" s="46" t="s">
        <v>204</v>
      </c>
      <c r="C2851" s="47">
        <v>44377</v>
      </c>
      <c r="D2851" s="45">
        <v>22021002089</v>
      </c>
      <c r="E2851" s="46" t="s">
        <v>1220</v>
      </c>
      <c r="F2851" s="48">
        <v>317.69</v>
      </c>
      <c r="G2851" s="54" t="s">
        <v>102</v>
      </c>
      <c r="H2851" s="54" t="s">
        <v>4411</v>
      </c>
      <c r="I2851" s="53" t="s">
        <v>205</v>
      </c>
      <c r="J2851" s="54" t="s">
        <v>127</v>
      </c>
      <c r="K2851" s="54" t="s">
        <v>127</v>
      </c>
      <c r="L2851" s="54" t="s">
        <v>15</v>
      </c>
      <c r="M2851" s="54" t="s">
        <v>13</v>
      </c>
      <c r="N2851" s="54" t="s">
        <v>16</v>
      </c>
      <c r="O2851" s="49" t="s">
        <v>814</v>
      </c>
      <c r="P2851" s="54" t="s">
        <v>3392</v>
      </c>
      <c r="Q2851" s="35" t="str">
        <f>MID(Tabla1[[#This Row],[Aplicación]],14,1)</f>
        <v>2</v>
      </c>
      <c r="R2851" s="35" t="s">
        <v>495</v>
      </c>
      <c r="S2851" s="35" t="str">
        <f>MID(Tabla1[[#This Row],[Aplicación]],6,2)</f>
        <v>03</v>
      </c>
      <c r="T2851" s="35" t="str">
        <f>VLOOKUP(Tabla1[[#This Row],[AREA]],Hoja1!A:B,2,FALSE)</f>
        <v>03. Participación ciudadana y deportes</v>
      </c>
      <c r="U2851" s="35" t="str">
        <f>MID(Tabla1[[#This Row],[Aplicación]],9,4)</f>
        <v>9241</v>
      </c>
      <c r="V2851" s="35" t="str">
        <f>VLOOKUP(Tabla1[[#This Row],[PROGRAMA]],Hoja1!A:B,2,FALSE)</f>
        <v>9241. Participación ciudadana</v>
      </c>
      <c r="W2851" s="35" t="str">
        <f>MID(Tabla1[[#This Row],[Aplicación]],14,2)</f>
        <v>21</v>
      </c>
      <c r="X2851" s="35" t="str">
        <f>MID(Tabla1[[#This Row],[Aplicación]],14,6)</f>
        <v>213</v>
      </c>
    </row>
    <row r="2852" spans="1:24" x14ac:dyDescent="0.25">
      <c r="A2852" s="45">
        <v>220210021011</v>
      </c>
      <c r="B2852" s="46" t="s">
        <v>9</v>
      </c>
      <c r="C2852" s="47">
        <v>44323</v>
      </c>
      <c r="D2852" s="45">
        <v>22021004359</v>
      </c>
      <c r="E2852" s="46" t="s">
        <v>950</v>
      </c>
      <c r="F2852" s="48">
        <v>252.89</v>
      </c>
      <c r="G2852" s="54" t="s">
        <v>535</v>
      </c>
      <c r="H2852" s="54" t="s">
        <v>4412</v>
      </c>
      <c r="I2852" s="53" t="s">
        <v>125</v>
      </c>
      <c r="J2852" s="54" t="s">
        <v>127</v>
      </c>
      <c r="K2852" s="54" t="s">
        <v>127</v>
      </c>
      <c r="L2852" s="54" t="s">
        <v>12</v>
      </c>
      <c r="M2852" s="54" t="s">
        <v>10</v>
      </c>
      <c r="N2852" s="54" t="s">
        <v>11</v>
      </c>
      <c r="O2852" s="49" t="s">
        <v>815</v>
      </c>
      <c r="P2852" s="54" t="s">
        <v>3392</v>
      </c>
      <c r="Q2852" s="35" t="str">
        <f>MID(Tabla1[[#This Row],[Aplicación]],14,1)</f>
        <v>2</v>
      </c>
      <c r="R2852" s="35" t="s">
        <v>495</v>
      </c>
      <c r="S2852" s="35" t="str">
        <f>MID(Tabla1[[#This Row],[Aplicación]],6,2)</f>
        <v>11</v>
      </c>
      <c r="T2852" s="35" t="str">
        <f>VLOOKUP(Tabla1[[#This Row],[AREA]],Hoja1!A:B,2,FALSE)</f>
        <v>11. Salud pública y seguridad ciudadana</v>
      </c>
      <c r="U2852" s="35" t="str">
        <f>MID(Tabla1[[#This Row],[Aplicación]],9,4)</f>
        <v>1321</v>
      </c>
      <c r="V2852" s="35" t="str">
        <f>VLOOKUP(Tabla1[[#This Row],[PROGRAMA]],Hoja1!A:B,2,FALSE)</f>
        <v>1321. Policía municipal</v>
      </c>
      <c r="W2852" s="35" t="str">
        <f>MID(Tabla1[[#This Row],[Aplicación]],14,2)</f>
        <v>21</v>
      </c>
      <c r="X2852" s="35" t="str">
        <f>MID(Tabla1[[#This Row],[Aplicación]],14,6)</f>
        <v>213</v>
      </c>
    </row>
    <row r="2853" spans="1:24" x14ac:dyDescent="0.25">
      <c r="A2853" s="45">
        <v>220210017086</v>
      </c>
      <c r="B2853" s="46" t="s">
        <v>204</v>
      </c>
      <c r="C2853" s="47">
        <v>44312</v>
      </c>
      <c r="D2853" s="45">
        <v>22021002228</v>
      </c>
      <c r="E2853" s="46" t="s">
        <v>1471</v>
      </c>
      <c r="F2853" s="48">
        <v>315.16000000000003</v>
      </c>
      <c r="G2853" s="54" t="s">
        <v>235</v>
      </c>
      <c r="H2853" s="54" t="s">
        <v>4413</v>
      </c>
      <c r="I2853" s="53" t="s">
        <v>205</v>
      </c>
      <c r="J2853" s="54" t="s">
        <v>742</v>
      </c>
      <c r="K2853" s="54" t="s">
        <v>165</v>
      </c>
      <c r="L2853" s="54" t="s">
        <v>15</v>
      </c>
      <c r="M2853" s="54" t="s">
        <v>13</v>
      </c>
      <c r="N2853" s="54" t="s">
        <v>16</v>
      </c>
      <c r="O2853" s="49" t="s">
        <v>814</v>
      </c>
      <c r="P2853" s="54" t="s">
        <v>3392</v>
      </c>
      <c r="Q2853" s="35" t="str">
        <f>MID(Tabla1[[#This Row],[Aplicación]],14,1)</f>
        <v>2</v>
      </c>
      <c r="R2853" s="35" t="s">
        <v>495</v>
      </c>
      <c r="S2853" s="35" t="str">
        <f>MID(Tabla1[[#This Row],[Aplicación]],6,2)</f>
        <v>06</v>
      </c>
      <c r="T2853" s="35" t="str">
        <f>VLOOKUP(Tabla1[[#This Row],[AREA]],Hoja1!A:B,2,FALSE)</f>
        <v>06. Educación, infancia, juventud e igualdad</v>
      </c>
      <c r="U2853" s="35" t="str">
        <f>MID(Tabla1[[#This Row],[Aplicación]],9,4)</f>
        <v>3232</v>
      </c>
      <c r="V2853" s="35" t="str">
        <f>VLOOKUP(Tabla1[[#This Row],[PROGRAMA]],Hoja1!A:B,2,FALSE)</f>
        <v>3232. Conservación y mantenimiento centros educación infantil y primaria</v>
      </c>
      <c r="W2853" s="35" t="str">
        <f>MID(Tabla1[[#This Row],[Aplicación]],14,2)</f>
        <v>21</v>
      </c>
      <c r="X2853" s="35" t="str">
        <f>MID(Tabla1[[#This Row],[Aplicación]],14,6)</f>
        <v>212</v>
      </c>
    </row>
    <row r="2854" spans="1:24" x14ac:dyDescent="0.25">
      <c r="A2854" s="45">
        <v>220210027671</v>
      </c>
      <c r="B2854" s="46" t="s">
        <v>204</v>
      </c>
      <c r="C2854" s="47">
        <v>44348</v>
      </c>
      <c r="D2854" s="45">
        <v>22021002048</v>
      </c>
      <c r="E2854" s="46" t="s">
        <v>890</v>
      </c>
      <c r="F2854" s="48">
        <v>310.02999999999997</v>
      </c>
      <c r="G2854" s="54" t="s">
        <v>265</v>
      </c>
      <c r="H2854" s="54" t="s">
        <v>4414</v>
      </c>
      <c r="I2854" s="53" t="s">
        <v>205</v>
      </c>
      <c r="J2854" s="54" t="s">
        <v>157</v>
      </c>
      <c r="K2854" s="54" t="s">
        <v>157</v>
      </c>
      <c r="L2854" s="54" t="s">
        <v>15</v>
      </c>
      <c r="M2854" s="54" t="s">
        <v>13</v>
      </c>
      <c r="N2854" s="54" t="s">
        <v>14</v>
      </c>
      <c r="O2854" s="49" t="s">
        <v>814</v>
      </c>
      <c r="P2854" s="54" t="s">
        <v>3392</v>
      </c>
      <c r="Q2854" s="35" t="str">
        <f>MID(Tabla1[[#This Row],[Aplicación]],14,1)</f>
        <v>2</v>
      </c>
      <c r="R2854" s="35" t="s">
        <v>495</v>
      </c>
      <c r="S2854" s="35" t="str">
        <f>MID(Tabla1[[#This Row],[Aplicación]],6,2)</f>
        <v>11</v>
      </c>
      <c r="T2854" s="35" t="str">
        <f>VLOOKUP(Tabla1[[#This Row],[AREA]],Hoja1!A:B,2,FALSE)</f>
        <v>11. Salud pública y seguridad ciudadana</v>
      </c>
      <c r="U2854" s="35" t="str">
        <f>MID(Tabla1[[#This Row],[Aplicación]],9,4)</f>
        <v>1621</v>
      </c>
      <c r="V2854" s="35" t="str">
        <f>VLOOKUP(Tabla1[[#This Row],[PROGRAMA]],Hoja1!A:B,2,FALSE)</f>
        <v>1621. Servicio de limpieza</v>
      </c>
      <c r="W2854" s="35" t="str">
        <f>MID(Tabla1[[#This Row],[Aplicación]],14,2)</f>
        <v>21</v>
      </c>
      <c r="X2854" s="35" t="str">
        <f>MID(Tabla1[[#This Row],[Aplicación]],14,6)</f>
        <v>214</v>
      </c>
    </row>
    <row r="2855" spans="1:24" x14ac:dyDescent="0.25">
      <c r="A2855" s="45">
        <v>220210022695</v>
      </c>
      <c r="B2855" s="46" t="s">
        <v>204</v>
      </c>
      <c r="C2855" s="47">
        <v>44333</v>
      </c>
      <c r="D2855" s="45">
        <v>22021001181</v>
      </c>
      <c r="E2855" s="46" t="s">
        <v>873</v>
      </c>
      <c r="F2855" s="48">
        <v>305.14</v>
      </c>
      <c r="G2855" s="54" t="s">
        <v>574</v>
      </c>
      <c r="H2855" s="54" t="s">
        <v>4415</v>
      </c>
      <c r="I2855" s="53" t="s">
        <v>205</v>
      </c>
      <c r="J2855" s="54" t="s">
        <v>127</v>
      </c>
      <c r="K2855" s="54" t="s">
        <v>127</v>
      </c>
      <c r="L2855" s="54" t="s">
        <v>15</v>
      </c>
      <c r="M2855" s="54" t="s">
        <v>13</v>
      </c>
      <c r="N2855" s="54" t="s">
        <v>14</v>
      </c>
      <c r="O2855" s="49" t="s">
        <v>814</v>
      </c>
      <c r="P2855" s="54" t="s">
        <v>3392</v>
      </c>
      <c r="Q2855" s="35" t="str">
        <f>MID(Tabla1[[#This Row],[Aplicación]],14,1)</f>
        <v>2</v>
      </c>
      <c r="R2855" s="35" t="s">
        <v>495</v>
      </c>
      <c r="S2855" s="35" t="str">
        <f>MID(Tabla1[[#This Row],[Aplicación]],6,2)</f>
        <v>10</v>
      </c>
      <c r="T2855" s="35" t="str">
        <f>VLOOKUP(Tabla1[[#This Row],[AREA]],Hoja1!A:B,2,FALSE)</f>
        <v>10. Servicios sociales y mediación comunitaria</v>
      </c>
      <c r="U2855" s="35" t="str">
        <f>MID(Tabla1[[#This Row],[Aplicación]],9,4)</f>
        <v>2412</v>
      </c>
      <c r="V2855" s="35" t="str">
        <f>VLOOKUP(Tabla1[[#This Row],[PROGRAMA]],Hoja1!A:B,2,FALSE)</f>
        <v>2412. Formación para el empleo</v>
      </c>
      <c r="W2855" s="35" t="str">
        <f>MID(Tabla1[[#This Row],[Aplicación]],14,2)</f>
        <v>22</v>
      </c>
      <c r="X2855" s="35" t="str">
        <f>MID(Tabla1[[#This Row],[Aplicación]],14,6)</f>
        <v>22199</v>
      </c>
    </row>
    <row r="2856" spans="1:24" x14ac:dyDescent="0.25">
      <c r="A2856" s="45">
        <v>220210030282</v>
      </c>
      <c r="B2856" s="46" t="s">
        <v>9</v>
      </c>
      <c r="C2856" s="47">
        <v>44357</v>
      </c>
      <c r="D2856" s="45">
        <v>22021004823</v>
      </c>
      <c r="E2856" s="46" t="s">
        <v>2074</v>
      </c>
      <c r="F2856" s="48">
        <v>245.08</v>
      </c>
      <c r="G2856" s="54" t="s">
        <v>47</v>
      </c>
      <c r="H2856" s="54" t="s">
        <v>4416</v>
      </c>
      <c r="I2856" s="53" t="s">
        <v>125</v>
      </c>
      <c r="J2856" s="54" t="s">
        <v>148</v>
      </c>
      <c r="K2856" s="54" t="s">
        <v>201</v>
      </c>
      <c r="L2856" s="54" t="s">
        <v>12</v>
      </c>
      <c r="M2856" s="54" t="s">
        <v>10</v>
      </c>
      <c r="N2856" s="54" t="s">
        <v>11</v>
      </c>
      <c r="O2856" s="49" t="s">
        <v>815</v>
      </c>
      <c r="P2856" s="54" t="s">
        <v>3392</v>
      </c>
      <c r="Q2856" s="35" t="str">
        <f>MID(Tabla1[[#This Row],[Aplicación]],14,1)</f>
        <v>2</v>
      </c>
      <c r="R2856" s="35" t="s">
        <v>495</v>
      </c>
      <c r="S2856" s="35" t="str">
        <f>MID(Tabla1[[#This Row],[Aplicación]],6,2)</f>
        <v>09</v>
      </c>
      <c r="T2856" s="35" t="str">
        <f>VLOOKUP(Tabla1[[#This Row],[AREA]],Hoja1!A:B,2,FALSE)</f>
        <v>09. Cultura y turismo</v>
      </c>
      <c r="U2856" s="35" t="str">
        <f>MID(Tabla1[[#This Row],[Aplicación]],9,4)</f>
        <v>3341</v>
      </c>
      <c r="V2856" s="35" t="str">
        <f>VLOOKUP(Tabla1[[#This Row],[PROGRAMA]],Hoja1!A:B,2,FALSE)</f>
        <v>3341. Coordinación de políticas culturales</v>
      </c>
      <c r="W2856" s="35" t="str">
        <f>MID(Tabla1[[#This Row],[Aplicación]],14,2)</f>
        <v>22</v>
      </c>
      <c r="X2856" s="35" t="str">
        <f>MID(Tabla1[[#This Row],[Aplicación]],14,6)</f>
        <v>22100</v>
      </c>
    </row>
    <row r="2857" spans="1:24" x14ac:dyDescent="0.25">
      <c r="A2857" s="45">
        <v>220210015654</v>
      </c>
      <c r="B2857" s="46" t="s">
        <v>204</v>
      </c>
      <c r="C2857" s="47">
        <v>44302</v>
      </c>
      <c r="D2857" s="45">
        <v>22021002228</v>
      </c>
      <c r="E2857" s="46" t="s">
        <v>1471</v>
      </c>
      <c r="F2857" s="48">
        <v>301.76</v>
      </c>
      <c r="G2857" s="54" t="s">
        <v>1475</v>
      </c>
      <c r="H2857" s="54" t="s">
        <v>4417</v>
      </c>
      <c r="I2857" s="53" t="s">
        <v>205</v>
      </c>
      <c r="J2857" s="54" t="s">
        <v>127</v>
      </c>
      <c r="K2857" s="54" t="s">
        <v>127</v>
      </c>
      <c r="L2857" s="54" t="s">
        <v>15</v>
      </c>
      <c r="M2857" s="54" t="s">
        <v>13</v>
      </c>
      <c r="N2857" s="54" t="s">
        <v>14</v>
      </c>
      <c r="O2857" s="49" t="s">
        <v>814</v>
      </c>
      <c r="P2857" s="54" t="s">
        <v>3392</v>
      </c>
      <c r="Q2857" s="35" t="str">
        <f>MID(Tabla1[[#This Row],[Aplicación]],14,1)</f>
        <v>2</v>
      </c>
      <c r="R2857" s="35" t="s">
        <v>495</v>
      </c>
      <c r="S2857" s="35" t="str">
        <f>MID(Tabla1[[#This Row],[Aplicación]],6,2)</f>
        <v>06</v>
      </c>
      <c r="T2857" s="35" t="str">
        <f>VLOOKUP(Tabla1[[#This Row],[AREA]],Hoja1!A:B,2,FALSE)</f>
        <v>06. Educación, infancia, juventud e igualdad</v>
      </c>
      <c r="U2857" s="35" t="str">
        <f>MID(Tabla1[[#This Row],[Aplicación]],9,4)</f>
        <v>3232</v>
      </c>
      <c r="V2857" s="35" t="str">
        <f>VLOOKUP(Tabla1[[#This Row],[PROGRAMA]],Hoja1!A:B,2,FALSE)</f>
        <v>3232. Conservación y mantenimiento centros educación infantil y primaria</v>
      </c>
      <c r="W2857" s="35" t="str">
        <f>MID(Tabla1[[#This Row],[Aplicación]],14,2)</f>
        <v>21</v>
      </c>
      <c r="X2857" s="35" t="str">
        <f>MID(Tabla1[[#This Row],[Aplicación]],14,6)</f>
        <v>212</v>
      </c>
    </row>
    <row r="2858" spans="1:24" x14ac:dyDescent="0.25">
      <c r="A2858" s="45">
        <v>220210026010</v>
      </c>
      <c r="B2858" s="46" t="s">
        <v>204</v>
      </c>
      <c r="C2858" s="47">
        <v>44344</v>
      </c>
      <c r="D2858" s="45">
        <v>22021002228</v>
      </c>
      <c r="E2858" s="46" t="s">
        <v>1471</v>
      </c>
      <c r="F2858" s="48">
        <v>300.73</v>
      </c>
      <c r="G2858" s="54" t="s">
        <v>4378</v>
      </c>
      <c r="H2858" s="54" t="s">
        <v>4418</v>
      </c>
      <c r="I2858" s="53" t="s">
        <v>205</v>
      </c>
      <c r="J2858" s="54" t="s">
        <v>664</v>
      </c>
      <c r="K2858" s="54" t="s">
        <v>127</v>
      </c>
      <c r="L2858" s="54" t="s">
        <v>15</v>
      </c>
      <c r="M2858" s="54" t="s">
        <v>13</v>
      </c>
      <c r="N2858" s="54" t="s">
        <v>14</v>
      </c>
      <c r="O2858" s="49" t="s">
        <v>814</v>
      </c>
      <c r="P2858" s="54" t="s">
        <v>3392</v>
      </c>
      <c r="Q2858" s="35" t="str">
        <f>MID(Tabla1[[#This Row],[Aplicación]],14,1)</f>
        <v>2</v>
      </c>
      <c r="R2858" s="35" t="s">
        <v>495</v>
      </c>
      <c r="S2858" s="35" t="str">
        <f>MID(Tabla1[[#This Row],[Aplicación]],6,2)</f>
        <v>06</v>
      </c>
      <c r="T2858" s="35" t="str">
        <f>VLOOKUP(Tabla1[[#This Row],[AREA]],Hoja1!A:B,2,FALSE)</f>
        <v>06. Educación, infancia, juventud e igualdad</v>
      </c>
      <c r="U2858" s="35" t="str">
        <f>MID(Tabla1[[#This Row],[Aplicación]],9,4)</f>
        <v>3232</v>
      </c>
      <c r="V2858" s="35" t="str">
        <f>VLOOKUP(Tabla1[[#This Row],[PROGRAMA]],Hoja1!A:B,2,FALSE)</f>
        <v>3232. Conservación y mantenimiento centros educación infantil y primaria</v>
      </c>
      <c r="W2858" s="35" t="str">
        <f>MID(Tabla1[[#This Row],[Aplicación]],14,2)</f>
        <v>21</v>
      </c>
      <c r="X2858" s="35" t="str">
        <f>MID(Tabla1[[#This Row],[Aplicación]],14,6)</f>
        <v>212</v>
      </c>
    </row>
    <row r="2859" spans="1:24" x14ac:dyDescent="0.25">
      <c r="A2859" s="45">
        <v>220210018889</v>
      </c>
      <c r="B2859" s="46" t="s">
        <v>204</v>
      </c>
      <c r="C2859" s="47">
        <v>44314</v>
      </c>
      <c r="D2859" s="45">
        <v>22021002057</v>
      </c>
      <c r="E2859" s="46" t="s">
        <v>1715</v>
      </c>
      <c r="F2859" s="48">
        <v>295.75</v>
      </c>
      <c r="G2859" s="54" t="s">
        <v>102</v>
      </c>
      <c r="H2859" s="54" t="s">
        <v>4419</v>
      </c>
      <c r="I2859" s="53" t="s">
        <v>205</v>
      </c>
      <c r="J2859" s="54" t="s">
        <v>127</v>
      </c>
      <c r="K2859" s="54" t="s">
        <v>127</v>
      </c>
      <c r="L2859" s="54" t="s">
        <v>15</v>
      </c>
      <c r="M2859" s="54" t="s">
        <v>13</v>
      </c>
      <c r="N2859" s="54" t="s">
        <v>14</v>
      </c>
      <c r="O2859" s="49" t="s">
        <v>814</v>
      </c>
      <c r="P2859" s="54" t="s">
        <v>3392</v>
      </c>
      <c r="Q2859" s="35" t="str">
        <f>MID(Tabla1[[#This Row],[Aplicación]],14,1)</f>
        <v>2</v>
      </c>
      <c r="R2859" s="35" t="s">
        <v>495</v>
      </c>
      <c r="S2859" s="35" t="str">
        <f>MID(Tabla1[[#This Row],[Aplicación]],6,2)</f>
        <v>11</v>
      </c>
      <c r="T2859" s="35" t="str">
        <f>VLOOKUP(Tabla1[[#This Row],[AREA]],Hoja1!A:B,2,FALSE)</f>
        <v>11. Salud pública y seguridad ciudadana</v>
      </c>
      <c r="U2859" s="35" t="str">
        <f>MID(Tabla1[[#This Row],[Aplicación]],9,4)</f>
        <v>1631</v>
      </c>
      <c r="V2859" s="35" t="str">
        <f>VLOOKUP(Tabla1[[#This Row],[PROGRAMA]],Hoja1!A:B,2,FALSE)</f>
        <v>1631. Limpieza viaria</v>
      </c>
      <c r="W2859" s="35" t="str">
        <f>MID(Tabla1[[#This Row],[Aplicación]],14,2)</f>
        <v>22</v>
      </c>
      <c r="X2859" s="35" t="str">
        <f>MID(Tabla1[[#This Row],[Aplicación]],14,6)</f>
        <v>22199</v>
      </c>
    </row>
    <row r="2860" spans="1:24" x14ac:dyDescent="0.25">
      <c r="A2860" s="45">
        <v>220210015665</v>
      </c>
      <c r="B2860" s="46" t="s">
        <v>204</v>
      </c>
      <c r="C2860" s="47">
        <v>44302</v>
      </c>
      <c r="D2860" s="45">
        <v>22021002228</v>
      </c>
      <c r="E2860" s="46" t="s">
        <v>1471</v>
      </c>
      <c r="F2860" s="48">
        <v>289.58</v>
      </c>
      <c r="G2860" s="54" t="s">
        <v>236</v>
      </c>
      <c r="H2860" s="54" t="s">
        <v>4420</v>
      </c>
      <c r="I2860" s="53" t="s">
        <v>205</v>
      </c>
      <c r="J2860" s="54" t="s">
        <v>127</v>
      </c>
      <c r="K2860" s="54" t="s">
        <v>127</v>
      </c>
      <c r="L2860" s="54" t="s">
        <v>15</v>
      </c>
      <c r="M2860" s="54" t="s">
        <v>13</v>
      </c>
      <c r="N2860" s="54" t="s">
        <v>14</v>
      </c>
      <c r="O2860" s="49" t="s">
        <v>814</v>
      </c>
      <c r="P2860" s="54" t="s">
        <v>3392</v>
      </c>
      <c r="Q2860" s="35" t="str">
        <f>MID(Tabla1[[#This Row],[Aplicación]],14,1)</f>
        <v>2</v>
      </c>
      <c r="R2860" s="35" t="s">
        <v>495</v>
      </c>
      <c r="S2860" s="35" t="str">
        <f>MID(Tabla1[[#This Row],[Aplicación]],6,2)</f>
        <v>06</v>
      </c>
      <c r="T2860" s="35" t="str">
        <f>VLOOKUP(Tabla1[[#This Row],[AREA]],Hoja1!A:B,2,FALSE)</f>
        <v>06. Educación, infancia, juventud e igualdad</v>
      </c>
      <c r="U2860" s="35" t="str">
        <f>MID(Tabla1[[#This Row],[Aplicación]],9,4)</f>
        <v>3232</v>
      </c>
      <c r="V2860" s="35" t="str">
        <f>VLOOKUP(Tabla1[[#This Row],[PROGRAMA]],Hoja1!A:B,2,FALSE)</f>
        <v>3232. Conservación y mantenimiento centros educación infantil y primaria</v>
      </c>
      <c r="W2860" s="35" t="str">
        <f>MID(Tabla1[[#This Row],[Aplicación]],14,2)</f>
        <v>21</v>
      </c>
      <c r="X2860" s="35" t="str">
        <f>MID(Tabla1[[#This Row],[Aplicación]],14,6)</f>
        <v>212</v>
      </c>
    </row>
    <row r="2861" spans="1:24" x14ac:dyDescent="0.25">
      <c r="A2861" s="45">
        <v>220210030203</v>
      </c>
      <c r="B2861" s="46" t="s">
        <v>204</v>
      </c>
      <c r="C2861" s="47">
        <v>44357</v>
      </c>
      <c r="D2861" s="45">
        <v>22021002052</v>
      </c>
      <c r="E2861" s="46" t="s">
        <v>1340</v>
      </c>
      <c r="F2861" s="48">
        <v>286.45999999999998</v>
      </c>
      <c r="G2861" s="54" t="s">
        <v>238</v>
      </c>
      <c r="H2861" s="54" t="s">
        <v>4421</v>
      </c>
      <c r="I2861" s="53" t="s">
        <v>205</v>
      </c>
      <c r="J2861" s="54" t="s">
        <v>127</v>
      </c>
      <c r="K2861" s="54" t="s">
        <v>127</v>
      </c>
      <c r="L2861" s="54" t="s">
        <v>15</v>
      </c>
      <c r="M2861" s="54" t="s">
        <v>13</v>
      </c>
      <c r="N2861" s="54" t="s">
        <v>14</v>
      </c>
      <c r="O2861" s="49" t="s">
        <v>814</v>
      </c>
      <c r="P2861" s="54" t="s">
        <v>3392</v>
      </c>
      <c r="Q2861" s="35" t="str">
        <f>MID(Tabla1[[#This Row],[Aplicación]],14,1)</f>
        <v>2</v>
      </c>
      <c r="R2861" s="35" t="s">
        <v>495</v>
      </c>
      <c r="S2861" s="35" t="str">
        <f>MID(Tabla1[[#This Row],[Aplicación]],6,2)</f>
        <v>11</v>
      </c>
      <c r="T2861" s="35" t="str">
        <f>VLOOKUP(Tabla1[[#This Row],[AREA]],Hoja1!A:B,2,FALSE)</f>
        <v>11. Salud pública y seguridad ciudadana</v>
      </c>
      <c r="U2861" s="35" t="str">
        <f>MID(Tabla1[[#This Row],[Aplicación]],9,4)</f>
        <v>1621</v>
      </c>
      <c r="V2861" s="35" t="str">
        <f>VLOOKUP(Tabla1[[#This Row],[PROGRAMA]],Hoja1!A:B,2,FALSE)</f>
        <v>1621. Servicio de limpieza</v>
      </c>
      <c r="W2861" s="35" t="str">
        <f>MID(Tabla1[[#This Row],[Aplicación]],14,2)</f>
        <v>22</v>
      </c>
      <c r="X2861" s="35" t="str">
        <f>MID(Tabla1[[#This Row],[Aplicación]],14,6)</f>
        <v>22199</v>
      </c>
    </row>
    <row r="2862" spans="1:24" x14ac:dyDescent="0.25">
      <c r="A2862" s="45">
        <v>220210018991</v>
      </c>
      <c r="B2862" s="46" t="s">
        <v>9</v>
      </c>
      <c r="C2862" s="47">
        <v>44316</v>
      </c>
      <c r="D2862" s="45">
        <v>22021004218</v>
      </c>
      <c r="E2862" s="46" t="s">
        <v>1267</v>
      </c>
      <c r="F2862" s="48">
        <v>240.19</v>
      </c>
      <c r="G2862" s="54" t="s">
        <v>249</v>
      </c>
      <c r="H2862" s="54" t="s">
        <v>4422</v>
      </c>
      <c r="I2862" s="53" t="s">
        <v>125</v>
      </c>
      <c r="J2862" s="54" t="s">
        <v>127</v>
      </c>
      <c r="K2862" s="54" t="s">
        <v>127</v>
      </c>
      <c r="L2862" s="54" t="s">
        <v>12</v>
      </c>
      <c r="M2862" s="54" t="s">
        <v>10</v>
      </c>
      <c r="N2862" s="54" t="s">
        <v>11</v>
      </c>
      <c r="O2862" s="49" t="s">
        <v>815</v>
      </c>
      <c r="P2862" s="54" t="s">
        <v>3392</v>
      </c>
      <c r="Q2862" s="35" t="str">
        <f>MID(Tabla1[[#This Row],[Aplicación]],14,1)</f>
        <v>2</v>
      </c>
      <c r="R2862" s="35" t="s">
        <v>495</v>
      </c>
      <c r="S2862" s="35" t="str">
        <f>MID(Tabla1[[#This Row],[Aplicación]],6,2)</f>
        <v>03</v>
      </c>
      <c r="T2862" s="35" t="str">
        <f>VLOOKUP(Tabla1[[#This Row],[AREA]],Hoja1!A:B,2,FALSE)</f>
        <v>03. Participación ciudadana y deportes</v>
      </c>
      <c r="U2862" s="35" t="str">
        <f>MID(Tabla1[[#This Row],[Aplicación]],9,4)</f>
        <v>9241</v>
      </c>
      <c r="V2862" s="35" t="str">
        <f>VLOOKUP(Tabla1[[#This Row],[PROGRAMA]],Hoja1!A:B,2,FALSE)</f>
        <v>9241. Participación ciudadana</v>
      </c>
      <c r="W2862" s="35" t="str">
        <f>MID(Tabla1[[#This Row],[Aplicación]],14,2)</f>
        <v>22</v>
      </c>
      <c r="X2862" s="35" t="str">
        <f>MID(Tabla1[[#This Row],[Aplicación]],14,6)</f>
        <v>22602</v>
      </c>
    </row>
    <row r="2863" spans="1:24" x14ac:dyDescent="0.25">
      <c r="A2863" s="45">
        <v>220210030152</v>
      </c>
      <c r="B2863" s="46" t="s">
        <v>204</v>
      </c>
      <c r="C2863" s="47">
        <v>44356</v>
      </c>
      <c r="D2863" s="45">
        <v>22021002089</v>
      </c>
      <c r="E2863" s="46" t="s">
        <v>1220</v>
      </c>
      <c r="F2863" s="48">
        <v>286.20999999999998</v>
      </c>
      <c r="G2863" s="54" t="s">
        <v>150</v>
      </c>
      <c r="H2863" s="54" t="s">
        <v>4423</v>
      </c>
      <c r="I2863" s="53" t="s">
        <v>205</v>
      </c>
      <c r="J2863" s="54" t="s">
        <v>146</v>
      </c>
      <c r="K2863" s="54" t="s">
        <v>146</v>
      </c>
      <c r="L2863" s="54" t="s">
        <v>15</v>
      </c>
      <c r="M2863" s="54" t="s">
        <v>13</v>
      </c>
      <c r="N2863" s="54" t="s">
        <v>16</v>
      </c>
      <c r="O2863" s="49" t="s">
        <v>814</v>
      </c>
      <c r="P2863" s="54" t="s">
        <v>3392</v>
      </c>
      <c r="Q2863" s="35" t="str">
        <f>MID(Tabla1[[#This Row],[Aplicación]],14,1)</f>
        <v>2</v>
      </c>
      <c r="R2863" s="35" t="s">
        <v>495</v>
      </c>
      <c r="S2863" s="35" t="str">
        <f>MID(Tabla1[[#This Row],[Aplicación]],6,2)</f>
        <v>03</v>
      </c>
      <c r="T2863" s="35" t="str">
        <f>VLOOKUP(Tabla1[[#This Row],[AREA]],Hoja1!A:B,2,FALSE)</f>
        <v>03. Participación ciudadana y deportes</v>
      </c>
      <c r="U2863" s="35" t="str">
        <f>MID(Tabla1[[#This Row],[Aplicación]],9,4)</f>
        <v>9241</v>
      </c>
      <c r="V2863" s="35" t="str">
        <f>VLOOKUP(Tabla1[[#This Row],[PROGRAMA]],Hoja1!A:B,2,FALSE)</f>
        <v>9241. Participación ciudadana</v>
      </c>
      <c r="W2863" s="35" t="str">
        <f>MID(Tabla1[[#This Row],[Aplicación]],14,2)</f>
        <v>21</v>
      </c>
      <c r="X2863" s="35" t="str">
        <f>MID(Tabla1[[#This Row],[Aplicación]],14,6)</f>
        <v>213</v>
      </c>
    </row>
    <row r="2864" spans="1:24" x14ac:dyDescent="0.25">
      <c r="A2864" s="45">
        <v>220210015303</v>
      </c>
      <c r="B2864" s="46" t="s">
        <v>9</v>
      </c>
      <c r="C2864" s="47">
        <v>44300</v>
      </c>
      <c r="D2864" s="45">
        <v>22021003845</v>
      </c>
      <c r="E2864" s="46" t="s">
        <v>3380</v>
      </c>
      <c r="F2864" s="48">
        <v>239.58</v>
      </c>
      <c r="G2864" s="54" t="s">
        <v>4033</v>
      </c>
      <c r="H2864" s="54" t="s">
        <v>4424</v>
      </c>
      <c r="I2864" s="53" t="s">
        <v>125</v>
      </c>
      <c r="J2864" s="54" t="s">
        <v>127</v>
      </c>
      <c r="K2864" s="54" t="s">
        <v>127</v>
      </c>
      <c r="L2864" s="54" t="s">
        <v>12</v>
      </c>
      <c r="M2864" s="54" t="s">
        <v>10</v>
      </c>
      <c r="N2864" s="54" t="s">
        <v>11</v>
      </c>
      <c r="O2864" s="49" t="s">
        <v>815</v>
      </c>
      <c r="P2864" s="54" t="s">
        <v>3392</v>
      </c>
      <c r="Q2864" s="35" t="str">
        <f>MID(Tabla1[[#This Row],[Aplicación]],14,1)</f>
        <v>2</v>
      </c>
      <c r="R2864" s="35" t="s">
        <v>495</v>
      </c>
      <c r="S2864" s="35" t="str">
        <f>MID(Tabla1[[#This Row],[Aplicación]],6,2)</f>
        <v>06</v>
      </c>
      <c r="T2864" s="35" t="str">
        <f>VLOOKUP(Tabla1[[#This Row],[AREA]],Hoja1!A:B,2,FALSE)</f>
        <v>06. Educación, infancia, juventud e igualdad</v>
      </c>
      <c r="U2864" s="35" t="str">
        <f>MID(Tabla1[[#This Row],[Aplicación]],9,4)</f>
        <v>3261</v>
      </c>
      <c r="V2864" s="35" t="str">
        <f>VLOOKUP(Tabla1[[#This Row],[PROGRAMA]],Hoja1!A:B,2,FALSE)</f>
        <v>3261. Servicios complementarios de educación</v>
      </c>
      <c r="W2864" s="35" t="str">
        <f>MID(Tabla1[[#This Row],[Aplicación]],14,2)</f>
        <v>22</v>
      </c>
      <c r="X2864" s="35" t="str">
        <f>MID(Tabla1[[#This Row],[Aplicación]],14,6)</f>
        <v>22602</v>
      </c>
    </row>
    <row r="2865" spans="1:24" x14ac:dyDescent="0.25">
      <c r="A2865" s="45">
        <v>220210019011</v>
      </c>
      <c r="B2865" s="46" t="s">
        <v>9</v>
      </c>
      <c r="C2865" s="47">
        <v>44319</v>
      </c>
      <c r="D2865" s="45">
        <v>22021004200</v>
      </c>
      <c r="E2865" s="46" t="s">
        <v>1183</v>
      </c>
      <c r="F2865" s="48">
        <v>238.98</v>
      </c>
      <c r="G2865" s="54" t="s">
        <v>2241</v>
      </c>
      <c r="H2865" s="54" t="s">
        <v>4425</v>
      </c>
      <c r="I2865" s="53" t="s">
        <v>125</v>
      </c>
      <c r="J2865" s="54" t="s">
        <v>127</v>
      </c>
      <c r="K2865" s="54" t="s">
        <v>127</v>
      </c>
      <c r="L2865" s="54" t="s">
        <v>15</v>
      </c>
      <c r="M2865" s="54" t="s">
        <v>10</v>
      </c>
      <c r="N2865" s="54" t="s">
        <v>11</v>
      </c>
      <c r="O2865" s="49" t="s">
        <v>815</v>
      </c>
      <c r="P2865" s="54" t="s">
        <v>3392</v>
      </c>
      <c r="Q2865" s="35" t="str">
        <f>MID(Tabla1[[#This Row],[Aplicación]],14,1)</f>
        <v>2</v>
      </c>
      <c r="R2865" s="35" t="s">
        <v>495</v>
      </c>
      <c r="S2865" s="35" t="str">
        <f>MID(Tabla1[[#This Row],[Aplicación]],6,2)</f>
        <v>11</v>
      </c>
      <c r="T2865" s="35" t="str">
        <f>VLOOKUP(Tabla1[[#This Row],[AREA]],Hoja1!A:B,2,FALSE)</f>
        <v>11. Salud pública y seguridad ciudadana</v>
      </c>
      <c r="U2865" s="35" t="str">
        <f>MID(Tabla1[[#This Row],[Aplicación]],9,4)</f>
        <v>1361</v>
      </c>
      <c r="V2865" s="35" t="str">
        <f>VLOOKUP(Tabla1[[#This Row],[PROGRAMA]],Hoja1!A:B,2,FALSE)</f>
        <v>1361. Prevención y extinción de incencios</v>
      </c>
      <c r="W2865" s="35" t="str">
        <f>MID(Tabla1[[#This Row],[Aplicación]],14,2)</f>
        <v>22</v>
      </c>
      <c r="X2865" s="35" t="str">
        <f>MID(Tabla1[[#This Row],[Aplicación]],14,6)</f>
        <v>22199</v>
      </c>
    </row>
    <row r="2866" spans="1:24" x14ac:dyDescent="0.25">
      <c r="A2866" s="45">
        <v>220210020931</v>
      </c>
      <c r="B2866" s="46" t="s">
        <v>204</v>
      </c>
      <c r="C2866" s="47">
        <v>44323</v>
      </c>
      <c r="D2866" s="45">
        <v>22021002132</v>
      </c>
      <c r="E2866" s="46" t="s">
        <v>1180</v>
      </c>
      <c r="F2866" s="48">
        <v>281.39</v>
      </c>
      <c r="G2866" s="54" t="s">
        <v>263</v>
      </c>
      <c r="H2866" s="54" t="s">
        <v>4426</v>
      </c>
      <c r="I2866" s="53" t="s">
        <v>205</v>
      </c>
      <c r="J2866" s="54" t="s">
        <v>127</v>
      </c>
      <c r="K2866" s="54" t="s">
        <v>127</v>
      </c>
      <c r="L2866" s="54" t="s">
        <v>15</v>
      </c>
      <c r="M2866" s="54" t="s">
        <v>13</v>
      </c>
      <c r="N2866" s="54" t="s">
        <v>14</v>
      </c>
      <c r="O2866" s="49" t="s">
        <v>814</v>
      </c>
      <c r="P2866" s="54" t="s">
        <v>3392</v>
      </c>
      <c r="Q2866" s="35" t="str">
        <f>MID(Tabla1[[#This Row],[Aplicación]],14,1)</f>
        <v>2</v>
      </c>
      <c r="R2866" s="35" t="s">
        <v>495</v>
      </c>
      <c r="S2866" s="35" t="str">
        <f>MID(Tabla1[[#This Row],[Aplicación]],6,2)</f>
        <v>08</v>
      </c>
      <c r="T2866" s="35" t="str">
        <f>VLOOKUP(Tabla1[[#This Row],[AREA]],Hoja1!A:B,2,FALSE)</f>
        <v>08. Movilidad y espacio urbano</v>
      </c>
      <c r="U2866" s="35" t="str">
        <f>MID(Tabla1[[#This Row],[Aplicación]],9,4)</f>
        <v>1532</v>
      </c>
      <c r="V2866" s="35" t="str">
        <f>VLOOKUP(Tabla1[[#This Row],[PROGRAMA]],Hoja1!A:B,2,FALSE)</f>
        <v>1532. Pavimentación vias públicas y otros servicios urbanísticos</v>
      </c>
      <c r="W2866" s="35" t="str">
        <f>MID(Tabla1[[#This Row],[Aplicación]],14,2)</f>
        <v>21</v>
      </c>
      <c r="X2866" s="35" t="str">
        <f>MID(Tabla1[[#This Row],[Aplicación]],14,6)</f>
        <v>210</v>
      </c>
    </row>
    <row r="2867" spans="1:24" x14ac:dyDescent="0.25">
      <c r="A2867" s="45">
        <v>220210028713</v>
      </c>
      <c r="B2867" s="46" t="s">
        <v>204</v>
      </c>
      <c r="C2867" s="47">
        <v>44351</v>
      </c>
      <c r="D2867" s="45">
        <v>22021004482</v>
      </c>
      <c r="E2867" s="46" t="s">
        <v>921</v>
      </c>
      <c r="F2867" s="48">
        <v>235.95</v>
      </c>
      <c r="G2867" s="54" t="s">
        <v>286</v>
      </c>
      <c r="H2867" s="54" t="s">
        <v>4427</v>
      </c>
      <c r="I2867" s="53" t="s">
        <v>205</v>
      </c>
      <c r="J2867" s="54" t="s">
        <v>127</v>
      </c>
      <c r="K2867" s="54" t="s">
        <v>127</v>
      </c>
      <c r="L2867" s="54" t="s">
        <v>15</v>
      </c>
      <c r="M2867" s="54" t="s">
        <v>10</v>
      </c>
      <c r="N2867" s="54" t="s">
        <v>11</v>
      </c>
      <c r="O2867" s="49" t="s">
        <v>815</v>
      </c>
      <c r="P2867" s="54" t="s">
        <v>3392</v>
      </c>
      <c r="Q2867" s="35" t="str">
        <f>MID(Tabla1[[#This Row],[Aplicación]],14,1)</f>
        <v>2</v>
      </c>
      <c r="R2867" s="35" t="s">
        <v>495</v>
      </c>
      <c r="S2867" s="35" t="str">
        <f>MID(Tabla1[[#This Row],[Aplicación]],6,2)</f>
        <v>04</v>
      </c>
      <c r="T2867" s="35" t="str">
        <f>VLOOKUP(Tabla1[[#This Row],[AREA]],Hoja1!A:B,2,FALSE)</f>
        <v>04. Planificación y recursos</v>
      </c>
      <c r="U2867" s="35" t="str">
        <f>MID(Tabla1[[#This Row],[Aplicación]],9,4)</f>
        <v>9204</v>
      </c>
      <c r="V2867" s="35" t="str">
        <f>VLOOKUP(Tabla1[[#This Row],[PROGRAMA]],Hoja1!A:B,2,FALSE)</f>
        <v>9204. Tecnologías de la información y comunicación</v>
      </c>
      <c r="W2867" s="35" t="str">
        <f>MID(Tabla1[[#This Row],[Aplicación]],14,2)</f>
        <v>21</v>
      </c>
      <c r="X2867" s="35" t="str">
        <f>MID(Tabla1[[#This Row],[Aplicación]],14,6)</f>
        <v>213</v>
      </c>
    </row>
    <row r="2868" spans="1:24" x14ac:dyDescent="0.25">
      <c r="A2868" s="45">
        <v>220210015586</v>
      </c>
      <c r="B2868" s="46" t="s">
        <v>9</v>
      </c>
      <c r="C2868" s="47">
        <v>44302</v>
      </c>
      <c r="D2868" s="45">
        <v>22021003916</v>
      </c>
      <c r="E2868" s="46" t="s">
        <v>3381</v>
      </c>
      <c r="F2868" s="48">
        <v>2236.08</v>
      </c>
      <c r="G2868" s="54" t="s">
        <v>4428</v>
      </c>
      <c r="H2868" s="54" t="s">
        <v>4429</v>
      </c>
      <c r="I2868" s="53" t="s">
        <v>125</v>
      </c>
      <c r="J2868" s="54" t="s">
        <v>127</v>
      </c>
      <c r="K2868" s="54" t="s">
        <v>127</v>
      </c>
      <c r="L2868" s="54" t="s">
        <v>12</v>
      </c>
      <c r="M2868" s="54" t="s">
        <v>10</v>
      </c>
      <c r="N2868" s="54" t="s">
        <v>11</v>
      </c>
      <c r="O2868" s="49" t="s">
        <v>815</v>
      </c>
      <c r="P2868" s="54" t="s">
        <v>3392</v>
      </c>
      <c r="Q2868" s="35" t="str">
        <f>MID(Tabla1[[#This Row],[Aplicación]],14,1)</f>
        <v>2</v>
      </c>
      <c r="R2868" s="35" t="s">
        <v>495</v>
      </c>
      <c r="S2868" s="35" t="str">
        <f>MID(Tabla1[[#This Row],[Aplicación]],6,2)</f>
        <v>02</v>
      </c>
      <c r="T2868" s="35" t="str">
        <f>VLOOKUP(Tabla1[[#This Row],[AREA]],Hoja1!A:B,2,FALSE)</f>
        <v>02. Planeamiento urbanístico y vivienda</v>
      </c>
      <c r="U2868" s="35" t="str">
        <f>MID(Tabla1[[#This Row],[Aplicación]],9,4)</f>
        <v>1511</v>
      </c>
      <c r="V2868" s="35" t="str">
        <f>VLOOKUP(Tabla1[[#This Row],[PROGRAMA]],Hoja1!A:B,2,FALSE)</f>
        <v>1511. Planficación y gestión del urbanismo</v>
      </c>
      <c r="W2868" s="35" t="str">
        <f>MID(Tabla1[[#This Row],[Aplicación]],14,2)</f>
        <v>22</v>
      </c>
      <c r="X2868" s="35" t="str">
        <f>MID(Tabla1[[#This Row],[Aplicación]],14,6)</f>
        <v>22602</v>
      </c>
    </row>
    <row r="2869" spans="1:24" x14ac:dyDescent="0.25">
      <c r="A2869" s="45">
        <v>220210020468</v>
      </c>
      <c r="B2869" s="46" t="s">
        <v>32</v>
      </c>
      <c r="C2869" s="47">
        <v>44322</v>
      </c>
      <c r="D2869" s="45">
        <v>22021004270</v>
      </c>
      <c r="E2869" s="46" t="s">
        <v>3311</v>
      </c>
      <c r="F2869" s="48">
        <v>231.5</v>
      </c>
      <c r="G2869" s="54" t="s">
        <v>3886</v>
      </c>
      <c r="H2869" s="54" t="s">
        <v>4430</v>
      </c>
      <c r="I2869" s="53" t="s">
        <v>234</v>
      </c>
      <c r="J2869" s="54" t="s">
        <v>127</v>
      </c>
      <c r="K2869" s="54" t="s">
        <v>127</v>
      </c>
      <c r="L2869" s="54" t="s">
        <v>12</v>
      </c>
      <c r="M2869" s="54" t="s">
        <v>10</v>
      </c>
      <c r="N2869" s="54" t="s">
        <v>11</v>
      </c>
      <c r="O2869" s="49" t="s">
        <v>815</v>
      </c>
      <c r="P2869" s="54" t="s">
        <v>3392</v>
      </c>
      <c r="Q2869" s="35" t="str">
        <f>MID(Tabla1[[#This Row],[Aplicación]],14,1)</f>
        <v>8</v>
      </c>
      <c r="R2869" s="35" t="s">
        <v>497</v>
      </c>
      <c r="S2869" s="35" t="str">
        <f>MID(Tabla1[[#This Row],[Aplicación]],6,2)</f>
        <v>08</v>
      </c>
      <c r="T2869" s="35" t="str">
        <f>VLOOKUP(Tabla1[[#This Row],[AREA]],Hoja1!A:B,2,FALSE)</f>
        <v>08. Movilidad y espacio urbano</v>
      </c>
      <c r="U2869" s="35" t="str">
        <f>MID(Tabla1[[#This Row],[Aplicación]],9,4)</f>
        <v>1513</v>
      </c>
      <c r="V2869" s="35" t="str">
        <f>VLOOKUP(Tabla1[[#This Row],[PROGRAMA]],Hoja1!A:B,2,FALSE)</f>
        <v>1513. Licencias urbanísticas</v>
      </c>
      <c r="W2869" s="35" t="str">
        <f>MID(Tabla1[[#This Row],[Aplicación]],14,2)</f>
        <v>83</v>
      </c>
      <c r="X2869" s="35" t="str">
        <f>MID(Tabla1[[#This Row],[Aplicación]],14,6)</f>
        <v>83100</v>
      </c>
    </row>
    <row r="2870" spans="1:24" x14ac:dyDescent="0.25">
      <c r="A2870" s="45">
        <v>220210015501</v>
      </c>
      <c r="B2870" s="46" t="s">
        <v>9</v>
      </c>
      <c r="C2870" s="47">
        <v>44300</v>
      </c>
      <c r="D2870" s="45">
        <v>22021003818</v>
      </c>
      <c r="E2870" s="46" t="s">
        <v>1267</v>
      </c>
      <c r="F2870" s="48">
        <v>227.83</v>
      </c>
      <c r="G2870" s="54" t="s">
        <v>584</v>
      </c>
      <c r="H2870" s="54" t="s">
        <v>4431</v>
      </c>
      <c r="I2870" s="53" t="s">
        <v>125</v>
      </c>
      <c r="J2870" s="54" t="s">
        <v>740</v>
      </c>
      <c r="K2870" s="54" t="s">
        <v>165</v>
      </c>
      <c r="L2870" s="54" t="s">
        <v>15</v>
      </c>
      <c r="M2870" s="54" t="s">
        <v>10</v>
      </c>
      <c r="N2870" s="54" t="s">
        <v>11</v>
      </c>
      <c r="O2870" s="49" t="s">
        <v>815</v>
      </c>
      <c r="P2870" s="54" t="s">
        <v>3392</v>
      </c>
      <c r="Q2870" s="35" t="str">
        <f>MID(Tabla1[[#This Row],[Aplicación]],14,1)</f>
        <v>2</v>
      </c>
      <c r="R2870" s="35" t="s">
        <v>495</v>
      </c>
      <c r="S2870" s="35" t="str">
        <f>MID(Tabla1[[#This Row],[Aplicación]],6,2)</f>
        <v>03</v>
      </c>
      <c r="T2870" s="35" t="str">
        <f>VLOOKUP(Tabla1[[#This Row],[AREA]],Hoja1!A:B,2,FALSE)</f>
        <v>03. Participación ciudadana y deportes</v>
      </c>
      <c r="U2870" s="35" t="str">
        <f>MID(Tabla1[[#This Row],[Aplicación]],9,4)</f>
        <v>9241</v>
      </c>
      <c r="V2870" s="35" t="str">
        <f>VLOOKUP(Tabla1[[#This Row],[PROGRAMA]],Hoja1!A:B,2,FALSE)</f>
        <v>9241. Participación ciudadana</v>
      </c>
      <c r="W2870" s="35" t="str">
        <f>MID(Tabla1[[#This Row],[Aplicación]],14,2)</f>
        <v>22</v>
      </c>
      <c r="X2870" s="35" t="str">
        <f>MID(Tabla1[[#This Row],[Aplicación]],14,6)</f>
        <v>22602</v>
      </c>
    </row>
    <row r="2871" spans="1:24" x14ac:dyDescent="0.25">
      <c r="A2871" s="45">
        <v>220210030857</v>
      </c>
      <c r="B2871" s="46" t="s">
        <v>9</v>
      </c>
      <c r="C2871" s="47">
        <v>44361</v>
      </c>
      <c r="D2871" s="45">
        <v>22021004878</v>
      </c>
      <c r="E2871" s="46" t="s">
        <v>1187</v>
      </c>
      <c r="F2871" s="48">
        <v>225</v>
      </c>
      <c r="G2871" s="54" t="s">
        <v>4432</v>
      </c>
      <c r="H2871" s="54" t="s">
        <v>4433</v>
      </c>
      <c r="I2871" s="53" t="s">
        <v>125</v>
      </c>
      <c r="J2871" s="54" t="s">
        <v>777</v>
      </c>
      <c r="K2871" s="54" t="s">
        <v>127</v>
      </c>
      <c r="L2871" s="54" t="s">
        <v>12</v>
      </c>
      <c r="M2871" s="54" t="s">
        <v>10</v>
      </c>
      <c r="N2871" s="54" t="s">
        <v>11</v>
      </c>
      <c r="O2871" s="49" t="s">
        <v>815</v>
      </c>
      <c r="P2871" s="54" t="s">
        <v>3392</v>
      </c>
      <c r="Q2871" s="35" t="str">
        <f>MID(Tabla1[[#This Row],[Aplicación]],14,1)</f>
        <v>2</v>
      </c>
      <c r="R2871" s="35" t="s">
        <v>495</v>
      </c>
      <c r="S2871" s="35" t="str">
        <f>MID(Tabla1[[#This Row],[Aplicación]],6,2)</f>
        <v>06</v>
      </c>
      <c r="T2871" s="35" t="str">
        <f>VLOOKUP(Tabla1[[#This Row],[AREA]],Hoja1!A:B,2,FALSE)</f>
        <v>06. Educación, infancia, juventud e igualdad</v>
      </c>
      <c r="U2871" s="35" t="str">
        <f>MID(Tabla1[[#This Row],[Aplicación]],9,4)</f>
        <v>2315</v>
      </c>
      <c r="V2871" s="35" t="str">
        <f>VLOOKUP(Tabla1[[#This Row],[PROGRAMA]],Hoja1!A:B,2,FALSE)</f>
        <v>2315. Políticas de Igualdad e infancia</v>
      </c>
      <c r="W2871" s="35" t="str">
        <f>MID(Tabla1[[#This Row],[Aplicación]],14,2)</f>
        <v>22</v>
      </c>
      <c r="X2871" s="35" t="str">
        <f>MID(Tabla1[[#This Row],[Aplicación]],14,6)</f>
        <v>22611</v>
      </c>
    </row>
    <row r="2872" spans="1:24" x14ac:dyDescent="0.25">
      <c r="A2872" s="45">
        <v>220210022751</v>
      </c>
      <c r="B2872" s="46" t="s">
        <v>204</v>
      </c>
      <c r="C2872" s="47">
        <v>44333</v>
      </c>
      <c r="D2872" s="45">
        <v>22021002052</v>
      </c>
      <c r="E2872" s="46" t="s">
        <v>1340</v>
      </c>
      <c r="F2872" s="48">
        <v>281.18</v>
      </c>
      <c r="G2872" s="54" t="s">
        <v>274</v>
      </c>
      <c r="H2872" s="54" t="s">
        <v>4434</v>
      </c>
      <c r="I2872" s="53" t="s">
        <v>205</v>
      </c>
      <c r="J2872" s="54" t="s">
        <v>127</v>
      </c>
      <c r="K2872" s="54" t="s">
        <v>127</v>
      </c>
      <c r="L2872" s="54" t="s">
        <v>15</v>
      </c>
      <c r="M2872" s="54" t="s">
        <v>13</v>
      </c>
      <c r="N2872" s="54" t="s">
        <v>14</v>
      </c>
      <c r="O2872" s="49" t="s">
        <v>814</v>
      </c>
      <c r="P2872" s="54" t="s">
        <v>3392</v>
      </c>
      <c r="Q2872" s="35" t="str">
        <f>MID(Tabla1[[#This Row],[Aplicación]],14,1)</f>
        <v>2</v>
      </c>
      <c r="R2872" s="35" t="s">
        <v>495</v>
      </c>
      <c r="S2872" s="35" t="str">
        <f>MID(Tabla1[[#This Row],[Aplicación]],6,2)</f>
        <v>11</v>
      </c>
      <c r="T2872" s="35" t="str">
        <f>VLOOKUP(Tabla1[[#This Row],[AREA]],Hoja1!A:B,2,FALSE)</f>
        <v>11. Salud pública y seguridad ciudadana</v>
      </c>
      <c r="U2872" s="35" t="str">
        <f>MID(Tabla1[[#This Row],[Aplicación]],9,4)</f>
        <v>1621</v>
      </c>
      <c r="V2872" s="35" t="str">
        <f>VLOOKUP(Tabla1[[#This Row],[PROGRAMA]],Hoja1!A:B,2,FALSE)</f>
        <v>1621. Servicio de limpieza</v>
      </c>
      <c r="W2872" s="35" t="str">
        <f>MID(Tabla1[[#This Row],[Aplicación]],14,2)</f>
        <v>22</v>
      </c>
      <c r="X2872" s="35" t="str">
        <f>MID(Tabla1[[#This Row],[Aplicación]],14,6)</f>
        <v>22199</v>
      </c>
    </row>
    <row r="2873" spans="1:24" x14ac:dyDescent="0.25">
      <c r="A2873" s="45">
        <v>220210014320</v>
      </c>
      <c r="B2873" s="46" t="s">
        <v>9</v>
      </c>
      <c r="C2873" s="47">
        <v>44295</v>
      </c>
      <c r="D2873" s="45">
        <v>22021003797</v>
      </c>
      <c r="E2873" s="46" t="s">
        <v>1183</v>
      </c>
      <c r="F2873" s="48">
        <v>221</v>
      </c>
      <c r="G2873" s="54" t="s">
        <v>4435</v>
      </c>
      <c r="H2873" s="54" t="s">
        <v>4436</v>
      </c>
      <c r="I2873" s="53" t="s">
        <v>125</v>
      </c>
      <c r="J2873" s="54" t="s">
        <v>127</v>
      </c>
      <c r="K2873" s="54" t="s">
        <v>127</v>
      </c>
      <c r="L2873" s="54" t="s">
        <v>15</v>
      </c>
      <c r="M2873" s="54" t="s">
        <v>10</v>
      </c>
      <c r="N2873" s="54" t="s">
        <v>11</v>
      </c>
      <c r="O2873" s="49" t="s">
        <v>815</v>
      </c>
      <c r="P2873" s="54" t="s">
        <v>3392</v>
      </c>
      <c r="Q2873" s="35" t="str">
        <f>MID(Tabla1[[#This Row],[Aplicación]],14,1)</f>
        <v>2</v>
      </c>
      <c r="R2873" s="35" t="s">
        <v>495</v>
      </c>
      <c r="S2873" s="35" t="str">
        <f>MID(Tabla1[[#This Row],[Aplicación]],6,2)</f>
        <v>11</v>
      </c>
      <c r="T2873" s="35" t="str">
        <f>VLOOKUP(Tabla1[[#This Row],[AREA]],Hoja1!A:B,2,FALSE)</f>
        <v>11. Salud pública y seguridad ciudadana</v>
      </c>
      <c r="U2873" s="35" t="str">
        <f>MID(Tabla1[[#This Row],[Aplicación]],9,4)</f>
        <v>1361</v>
      </c>
      <c r="V2873" s="35" t="str">
        <f>VLOOKUP(Tabla1[[#This Row],[PROGRAMA]],Hoja1!A:B,2,FALSE)</f>
        <v>1361. Prevención y extinción de incencios</v>
      </c>
      <c r="W2873" s="35" t="str">
        <f>MID(Tabla1[[#This Row],[Aplicación]],14,2)</f>
        <v>22</v>
      </c>
      <c r="X2873" s="35" t="str">
        <f>MID(Tabla1[[#This Row],[Aplicación]],14,6)</f>
        <v>22199</v>
      </c>
    </row>
    <row r="2874" spans="1:24" x14ac:dyDescent="0.25">
      <c r="A2874" s="45">
        <v>220210030272</v>
      </c>
      <c r="B2874" s="46" t="s">
        <v>9</v>
      </c>
      <c r="C2874" s="47">
        <v>44357</v>
      </c>
      <c r="D2874" s="45">
        <v>22021004358</v>
      </c>
      <c r="E2874" s="46" t="s">
        <v>1724</v>
      </c>
      <c r="F2874" s="48">
        <v>278.86</v>
      </c>
      <c r="G2874" s="54" t="s">
        <v>120</v>
      </c>
      <c r="H2874" s="54" t="s">
        <v>4437</v>
      </c>
      <c r="I2874" s="53" t="s">
        <v>125</v>
      </c>
      <c r="J2874" s="54" t="s">
        <v>126</v>
      </c>
      <c r="K2874" s="54" t="s">
        <v>126</v>
      </c>
      <c r="L2874" s="54" t="s">
        <v>12</v>
      </c>
      <c r="M2874" s="54" t="s">
        <v>13</v>
      </c>
      <c r="N2874" s="54" t="s">
        <v>14</v>
      </c>
      <c r="O2874" s="49" t="s">
        <v>814</v>
      </c>
      <c r="P2874" s="54" t="s">
        <v>3392</v>
      </c>
      <c r="Q2874" s="35" t="str">
        <f>MID(Tabla1[[#This Row],[Aplicación]],14,1)</f>
        <v>6</v>
      </c>
      <c r="R2874" s="35" t="s">
        <v>496</v>
      </c>
      <c r="S2874" s="35" t="str">
        <f>MID(Tabla1[[#This Row],[Aplicación]],6,2)</f>
        <v>07</v>
      </c>
      <c r="T2874" s="35" t="str">
        <f>VLOOKUP(Tabla1[[#This Row],[AREA]],Hoja1!A:B,2,FALSE)</f>
        <v>07. Medio ambiente y desarrollo sostenible</v>
      </c>
      <c r="U2874" s="35" t="str">
        <f>MID(Tabla1[[#This Row],[Aplicación]],9,4)</f>
        <v>1711</v>
      </c>
      <c r="V2874" s="35" t="str">
        <f>VLOOKUP(Tabla1[[#This Row],[PROGRAMA]],Hoja1!A:B,2,FALSE)</f>
        <v>1711. Parques y jardines</v>
      </c>
      <c r="W2874" s="35" t="str">
        <f>MID(Tabla1[[#This Row],[Aplicación]],14,2)</f>
        <v>61</v>
      </c>
      <c r="X2874" s="35" t="str">
        <f>MID(Tabla1[[#This Row],[Aplicación]],14,6)</f>
        <v>619</v>
      </c>
    </row>
    <row r="2875" spans="1:24" x14ac:dyDescent="0.25">
      <c r="A2875" s="45">
        <v>220210014577</v>
      </c>
      <c r="B2875" s="46" t="s">
        <v>9</v>
      </c>
      <c r="C2875" s="47">
        <v>44298</v>
      </c>
      <c r="D2875" s="45">
        <v>22021003582</v>
      </c>
      <c r="E2875" s="46" t="s">
        <v>2563</v>
      </c>
      <c r="F2875" s="48">
        <v>219.49</v>
      </c>
      <c r="G2875" s="54" t="s">
        <v>4438</v>
      </c>
      <c r="H2875" s="54" t="s">
        <v>4439</v>
      </c>
      <c r="I2875" s="53" t="s">
        <v>125</v>
      </c>
      <c r="J2875" s="54" t="s">
        <v>127</v>
      </c>
      <c r="K2875" s="54" t="s">
        <v>127</v>
      </c>
      <c r="L2875" s="54" t="s">
        <v>15</v>
      </c>
      <c r="M2875" s="54" t="s">
        <v>10</v>
      </c>
      <c r="N2875" s="54" t="s">
        <v>11</v>
      </c>
      <c r="O2875" s="49" t="s">
        <v>815</v>
      </c>
      <c r="P2875" s="54" t="s">
        <v>3392</v>
      </c>
      <c r="Q2875" s="35" t="str">
        <f>MID(Tabla1[[#This Row],[Aplicación]],14,1)</f>
        <v>2</v>
      </c>
      <c r="R2875" s="35" t="s">
        <v>495</v>
      </c>
      <c r="S2875" s="35" t="str">
        <f>MID(Tabla1[[#This Row],[Aplicación]],6,2)</f>
        <v>10</v>
      </c>
      <c r="T2875" s="35" t="str">
        <f>VLOOKUP(Tabla1[[#This Row],[AREA]],Hoja1!A:B,2,FALSE)</f>
        <v>10. Servicios sociales y mediación comunitaria</v>
      </c>
      <c r="U2875" s="35" t="str">
        <f>MID(Tabla1[[#This Row],[Aplicación]],9,4)</f>
        <v>2412</v>
      </c>
      <c r="V2875" s="35" t="str">
        <f>VLOOKUP(Tabla1[[#This Row],[PROGRAMA]],Hoja1!A:B,2,FALSE)</f>
        <v>2412. Formación para el empleo</v>
      </c>
      <c r="W2875" s="35" t="str">
        <f>MID(Tabla1[[#This Row],[Aplicación]],14,2)</f>
        <v>22</v>
      </c>
      <c r="X2875" s="35" t="str">
        <f>MID(Tabla1[[#This Row],[Aplicación]],14,6)</f>
        <v>22699</v>
      </c>
    </row>
    <row r="2876" spans="1:24" x14ac:dyDescent="0.25">
      <c r="A2876" s="45">
        <v>220210014577</v>
      </c>
      <c r="B2876" s="46" t="s">
        <v>9</v>
      </c>
      <c r="C2876" s="47">
        <v>44298</v>
      </c>
      <c r="D2876" s="45">
        <v>22021003583</v>
      </c>
      <c r="E2876" s="46" t="s">
        <v>2563</v>
      </c>
      <c r="F2876" s="48">
        <v>219.49</v>
      </c>
      <c r="G2876" s="54" t="s">
        <v>4438</v>
      </c>
      <c r="H2876" s="54" t="s">
        <v>4439</v>
      </c>
      <c r="I2876" s="53" t="s">
        <v>125</v>
      </c>
      <c r="J2876" s="54" t="s">
        <v>127</v>
      </c>
      <c r="K2876" s="54" t="s">
        <v>127</v>
      </c>
      <c r="L2876" s="54" t="s">
        <v>15</v>
      </c>
      <c r="M2876" s="54" t="s">
        <v>10</v>
      </c>
      <c r="N2876" s="54" t="s">
        <v>11</v>
      </c>
      <c r="O2876" s="49" t="s">
        <v>815</v>
      </c>
      <c r="P2876" s="54" t="s">
        <v>3392</v>
      </c>
      <c r="Q2876" s="35" t="str">
        <f>MID(Tabla1[[#This Row],[Aplicación]],14,1)</f>
        <v>2</v>
      </c>
      <c r="R2876" s="35" t="s">
        <v>495</v>
      </c>
      <c r="S2876" s="35" t="str">
        <f>MID(Tabla1[[#This Row],[Aplicación]],6,2)</f>
        <v>10</v>
      </c>
      <c r="T2876" s="35" t="str">
        <f>VLOOKUP(Tabla1[[#This Row],[AREA]],Hoja1!A:B,2,FALSE)</f>
        <v>10. Servicios sociales y mediación comunitaria</v>
      </c>
      <c r="U2876" s="35" t="str">
        <f>MID(Tabla1[[#This Row],[Aplicación]],9,4)</f>
        <v>2412</v>
      </c>
      <c r="V2876" s="35" t="str">
        <f>VLOOKUP(Tabla1[[#This Row],[PROGRAMA]],Hoja1!A:B,2,FALSE)</f>
        <v>2412. Formación para el empleo</v>
      </c>
      <c r="W2876" s="35" t="str">
        <f>MID(Tabla1[[#This Row],[Aplicación]],14,2)</f>
        <v>22</v>
      </c>
      <c r="X2876" s="35" t="str">
        <f>MID(Tabla1[[#This Row],[Aplicación]],14,6)</f>
        <v>22699</v>
      </c>
    </row>
    <row r="2877" spans="1:24" x14ac:dyDescent="0.25">
      <c r="A2877" s="45">
        <v>220210014577</v>
      </c>
      <c r="B2877" s="46" t="s">
        <v>9</v>
      </c>
      <c r="C2877" s="47">
        <v>44298</v>
      </c>
      <c r="D2877" s="45">
        <v>22021003581</v>
      </c>
      <c r="E2877" s="46" t="s">
        <v>2563</v>
      </c>
      <c r="F2877" s="48">
        <v>219.48</v>
      </c>
      <c r="G2877" s="54" t="s">
        <v>4438</v>
      </c>
      <c r="H2877" s="54" t="s">
        <v>4439</v>
      </c>
      <c r="I2877" s="53" t="s">
        <v>125</v>
      </c>
      <c r="J2877" s="54" t="s">
        <v>127</v>
      </c>
      <c r="K2877" s="54" t="s">
        <v>127</v>
      </c>
      <c r="L2877" s="54" t="s">
        <v>15</v>
      </c>
      <c r="M2877" s="54" t="s">
        <v>10</v>
      </c>
      <c r="N2877" s="54" t="s">
        <v>11</v>
      </c>
      <c r="O2877" s="49" t="s">
        <v>815</v>
      </c>
      <c r="P2877" s="54" t="s">
        <v>3392</v>
      </c>
      <c r="Q2877" s="35" t="str">
        <f>MID(Tabla1[[#This Row],[Aplicación]],14,1)</f>
        <v>2</v>
      </c>
      <c r="R2877" s="35" t="s">
        <v>495</v>
      </c>
      <c r="S2877" s="35" t="str">
        <f>MID(Tabla1[[#This Row],[Aplicación]],6,2)</f>
        <v>10</v>
      </c>
      <c r="T2877" s="35" t="str">
        <f>VLOOKUP(Tabla1[[#This Row],[AREA]],Hoja1!A:B,2,FALSE)</f>
        <v>10. Servicios sociales y mediación comunitaria</v>
      </c>
      <c r="U2877" s="35" t="str">
        <f>MID(Tabla1[[#This Row],[Aplicación]],9,4)</f>
        <v>2412</v>
      </c>
      <c r="V2877" s="35" t="str">
        <f>VLOOKUP(Tabla1[[#This Row],[PROGRAMA]],Hoja1!A:B,2,FALSE)</f>
        <v>2412. Formación para el empleo</v>
      </c>
      <c r="W2877" s="35" t="str">
        <f>MID(Tabla1[[#This Row],[Aplicación]],14,2)</f>
        <v>22</v>
      </c>
      <c r="X2877" s="35" t="str">
        <f>MID(Tabla1[[#This Row],[Aplicación]],14,6)</f>
        <v>22699</v>
      </c>
    </row>
    <row r="2878" spans="1:24" x14ac:dyDescent="0.25">
      <c r="A2878" s="45">
        <v>220210022650</v>
      </c>
      <c r="B2878" s="46" t="s">
        <v>204</v>
      </c>
      <c r="C2878" s="47">
        <v>44333</v>
      </c>
      <c r="D2878" s="45">
        <v>22021002144</v>
      </c>
      <c r="E2878" s="46" t="s">
        <v>1328</v>
      </c>
      <c r="F2878" s="48">
        <v>278.3</v>
      </c>
      <c r="G2878" s="54" t="s">
        <v>59</v>
      </c>
      <c r="H2878" s="54" t="s">
        <v>4440</v>
      </c>
      <c r="I2878" s="53" t="s">
        <v>205</v>
      </c>
      <c r="J2878" s="54" t="s">
        <v>127</v>
      </c>
      <c r="K2878" s="54" t="s">
        <v>127</v>
      </c>
      <c r="L2878" s="54" t="s">
        <v>15</v>
      </c>
      <c r="M2878" s="54" t="s">
        <v>13</v>
      </c>
      <c r="N2878" s="54" t="s">
        <v>14</v>
      </c>
      <c r="O2878" s="49" t="s">
        <v>814</v>
      </c>
      <c r="P2878" s="54" t="s">
        <v>3392</v>
      </c>
      <c r="Q2878" s="35" t="str">
        <f>MID(Tabla1[[#This Row],[Aplicación]],14,1)</f>
        <v>2</v>
      </c>
      <c r="R2878" s="35" t="s">
        <v>495</v>
      </c>
      <c r="S2878" s="35" t="str">
        <f>MID(Tabla1[[#This Row],[Aplicación]],6,2)</f>
        <v>10</v>
      </c>
      <c r="T2878" s="35" t="str">
        <f>VLOOKUP(Tabla1[[#This Row],[AREA]],Hoja1!A:B,2,FALSE)</f>
        <v>10. Servicios sociales y mediación comunitaria</v>
      </c>
      <c r="U2878" s="35" t="str">
        <f>MID(Tabla1[[#This Row],[Aplicación]],9,4)</f>
        <v>2311</v>
      </c>
      <c r="V2878" s="35" t="str">
        <f>VLOOKUP(Tabla1[[#This Row],[PROGRAMA]],Hoja1!A:B,2,FALSE)</f>
        <v>2311. Intervención social</v>
      </c>
      <c r="W2878" s="35" t="str">
        <f>MID(Tabla1[[#This Row],[Aplicación]],14,2)</f>
        <v>21</v>
      </c>
      <c r="X2878" s="35" t="str">
        <f>MID(Tabla1[[#This Row],[Aplicación]],14,6)</f>
        <v>212</v>
      </c>
    </row>
    <row r="2879" spans="1:24" x14ac:dyDescent="0.25">
      <c r="A2879" s="45">
        <v>220210029734</v>
      </c>
      <c r="B2879" s="46" t="s">
        <v>204</v>
      </c>
      <c r="C2879" s="47">
        <v>44355</v>
      </c>
      <c r="D2879" s="45">
        <v>22021002088</v>
      </c>
      <c r="E2879" s="46" t="s">
        <v>1478</v>
      </c>
      <c r="F2879" s="48">
        <v>277.13</v>
      </c>
      <c r="G2879" s="54" t="s">
        <v>266</v>
      </c>
      <c r="H2879" s="54" t="s">
        <v>4441</v>
      </c>
      <c r="I2879" s="53" t="s">
        <v>205</v>
      </c>
      <c r="J2879" s="54" t="s">
        <v>127</v>
      </c>
      <c r="K2879" s="54" t="s">
        <v>127</v>
      </c>
      <c r="L2879" s="54" t="s">
        <v>15</v>
      </c>
      <c r="M2879" s="54" t="s">
        <v>13</v>
      </c>
      <c r="N2879" s="54" t="s">
        <v>16</v>
      </c>
      <c r="O2879" s="49" t="s">
        <v>814</v>
      </c>
      <c r="P2879" s="54" t="s">
        <v>3392</v>
      </c>
      <c r="Q2879" s="35" t="str">
        <f>MID(Tabla1[[#This Row],[Aplicación]],14,1)</f>
        <v>2</v>
      </c>
      <c r="R2879" s="35" t="s">
        <v>495</v>
      </c>
      <c r="S2879" s="35" t="str">
        <f>MID(Tabla1[[#This Row],[Aplicación]],6,2)</f>
        <v>03</v>
      </c>
      <c r="T2879" s="35" t="str">
        <f>VLOOKUP(Tabla1[[#This Row],[AREA]],Hoja1!A:B,2,FALSE)</f>
        <v>03. Participación ciudadana y deportes</v>
      </c>
      <c r="U2879" s="35" t="str">
        <f>MID(Tabla1[[#This Row],[Aplicación]],9,4)</f>
        <v>9241</v>
      </c>
      <c r="V2879" s="35" t="str">
        <f>VLOOKUP(Tabla1[[#This Row],[PROGRAMA]],Hoja1!A:B,2,FALSE)</f>
        <v>9241. Participación ciudadana</v>
      </c>
      <c r="W2879" s="35" t="str">
        <f>MID(Tabla1[[#This Row],[Aplicación]],14,2)</f>
        <v>21</v>
      </c>
      <c r="X2879" s="35" t="str">
        <f>MID(Tabla1[[#This Row],[Aplicación]],14,6)</f>
        <v>212</v>
      </c>
    </row>
    <row r="2880" spans="1:24" x14ac:dyDescent="0.25">
      <c r="A2880" s="45">
        <v>220210016837</v>
      </c>
      <c r="B2880" s="46" t="s">
        <v>204</v>
      </c>
      <c r="C2880" s="47">
        <v>44308</v>
      </c>
      <c r="D2880" s="45">
        <v>22021001967</v>
      </c>
      <c r="E2880" s="46" t="s">
        <v>1167</v>
      </c>
      <c r="F2880" s="48">
        <v>448.97</v>
      </c>
      <c r="G2880" s="54" t="s">
        <v>246</v>
      </c>
      <c r="H2880" s="54" t="s">
        <v>4442</v>
      </c>
      <c r="I2880" s="53" t="s">
        <v>205</v>
      </c>
      <c r="J2880" s="54" t="s">
        <v>127</v>
      </c>
      <c r="K2880" s="54" t="s">
        <v>127</v>
      </c>
      <c r="L2880" s="54" t="s">
        <v>15</v>
      </c>
      <c r="M2880" s="54" t="s">
        <v>13</v>
      </c>
      <c r="N2880" s="54" t="s">
        <v>14</v>
      </c>
      <c r="O2880" s="49" t="s">
        <v>814</v>
      </c>
      <c r="P2880" s="54" t="s">
        <v>3392</v>
      </c>
      <c r="Q2880" s="35" t="str">
        <f>MID(Tabla1[[#This Row],[Aplicación]],14,1)</f>
        <v>2</v>
      </c>
      <c r="R2880" s="35" t="s">
        <v>495</v>
      </c>
      <c r="S2880" s="35" t="str">
        <f>MID(Tabla1[[#This Row],[Aplicación]],6,2)</f>
        <v>11</v>
      </c>
      <c r="T2880" s="35" t="str">
        <f>VLOOKUP(Tabla1[[#This Row],[AREA]],Hoja1!A:B,2,FALSE)</f>
        <v>11. Salud pública y seguridad ciudadana</v>
      </c>
      <c r="U2880" s="35" t="str">
        <f>MID(Tabla1[[#This Row],[Aplicación]],9,4)</f>
        <v>1321</v>
      </c>
      <c r="V2880" s="35" t="str">
        <f>VLOOKUP(Tabla1[[#This Row],[PROGRAMA]],Hoja1!A:B,2,FALSE)</f>
        <v>1321. Policía municipal</v>
      </c>
      <c r="W2880" s="35" t="str">
        <f>MID(Tabla1[[#This Row],[Aplicación]],14,2)</f>
        <v>21</v>
      </c>
      <c r="X2880" s="35" t="str">
        <f>MID(Tabla1[[#This Row],[Aplicación]],14,6)</f>
        <v>214</v>
      </c>
    </row>
    <row r="2881" spans="1:24" x14ac:dyDescent="0.25">
      <c r="A2881" s="45">
        <v>220210016938</v>
      </c>
      <c r="B2881" s="46" t="s">
        <v>9</v>
      </c>
      <c r="C2881" s="47">
        <v>44312</v>
      </c>
      <c r="D2881" s="45">
        <v>22021003979</v>
      </c>
      <c r="E2881" s="46" t="s">
        <v>982</v>
      </c>
      <c r="F2881" s="48">
        <v>217.8</v>
      </c>
      <c r="G2881" s="54" t="s">
        <v>43</v>
      </c>
      <c r="H2881" s="54" t="s">
        <v>4332</v>
      </c>
      <c r="I2881" s="53" t="s">
        <v>125</v>
      </c>
      <c r="J2881" s="54" t="s">
        <v>127</v>
      </c>
      <c r="K2881" s="54" t="s">
        <v>127</v>
      </c>
      <c r="L2881" s="54" t="s">
        <v>12</v>
      </c>
      <c r="M2881" s="54" t="s">
        <v>10</v>
      </c>
      <c r="N2881" s="54" t="s">
        <v>11</v>
      </c>
      <c r="O2881" s="49" t="s">
        <v>815</v>
      </c>
      <c r="P2881" s="54" t="s">
        <v>3392</v>
      </c>
      <c r="Q2881" s="35" t="str">
        <f>MID(Tabla1[[#This Row],[Aplicación]],14,1)</f>
        <v>2</v>
      </c>
      <c r="R2881" s="35" t="s">
        <v>495</v>
      </c>
      <c r="S2881" s="35" t="str">
        <f>MID(Tabla1[[#This Row],[Aplicación]],6,2)</f>
        <v>10</v>
      </c>
      <c r="T2881" s="35" t="str">
        <f>VLOOKUP(Tabla1[[#This Row],[AREA]],Hoja1!A:B,2,FALSE)</f>
        <v>10. Servicios sociales y mediación comunitaria</v>
      </c>
      <c r="U2881" s="35" t="str">
        <f>MID(Tabla1[[#This Row],[Aplicación]],9,4)</f>
        <v>2312</v>
      </c>
      <c r="V2881" s="35" t="str">
        <f>VLOOKUP(Tabla1[[#This Row],[PROGRAMA]],Hoja1!A:B,2,FALSE)</f>
        <v>2312. Iniciativas sociales</v>
      </c>
      <c r="W2881" s="35" t="str">
        <f>MID(Tabla1[[#This Row],[Aplicación]],14,2)</f>
        <v>21</v>
      </c>
      <c r="X2881" s="35" t="str">
        <f>MID(Tabla1[[#This Row],[Aplicación]],14,6)</f>
        <v>213</v>
      </c>
    </row>
    <row r="2882" spans="1:24" x14ac:dyDescent="0.25">
      <c r="A2882" s="45">
        <v>220210022109</v>
      </c>
      <c r="B2882" s="46" t="s">
        <v>9</v>
      </c>
      <c r="C2882" s="47">
        <v>44328</v>
      </c>
      <c r="D2882" s="45">
        <v>22021004261</v>
      </c>
      <c r="E2882" s="46" t="s">
        <v>836</v>
      </c>
      <c r="F2882" s="48">
        <v>217.8</v>
      </c>
      <c r="G2882" s="54" t="s">
        <v>4443</v>
      </c>
      <c r="H2882" s="54" t="s">
        <v>4444</v>
      </c>
      <c r="I2882" s="53" t="s">
        <v>125</v>
      </c>
      <c r="J2882" s="54" t="s">
        <v>127</v>
      </c>
      <c r="K2882" s="54" t="s">
        <v>127</v>
      </c>
      <c r="L2882" s="54" t="s">
        <v>12</v>
      </c>
      <c r="M2882" s="54" t="s">
        <v>10</v>
      </c>
      <c r="N2882" s="54" t="s">
        <v>11</v>
      </c>
      <c r="O2882" s="49" t="s">
        <v>815</v>
      </c>
      <c r="P2882" s="54" t="s">
        <v>3392</v>
      </c>
      <c r="Q2882" s="35" t="str">
        <f>MID(Tabla1[[#This Row],[Aplicación]],14,1)</f>
        <v>2</v>
      </c>
      <c r="R2882" s="35" t="s">
        <v>495</v>
      </c>
      <c r="S2882" s="35" t="str">
        <f>MID(Tabla1[[#This Row],[Aplicación]],6,2)</f>
        <v>05</v>
      </c>
      <c r="T2882" s="35" t="str">
        <f>VLOOKUP(Tabla1[[#This Row],[AREA]],Hoja1!A:B,2,FALSE)</f>
        <v>05. Innovación, desarrollo económico, empleo y comercio</v>
      </c>
      <c r="U2882" s="35" t="str">
        <f>MID(Tabla1[[#This Row],[Aplicación]],9,4)</f>
        <v>4331</v>
      </c>
      <c r="V2882" s="35" t="str">
        <f>VLOOKUP(Tabla1[[#This Row],[PROGRAMA]],Hoja1!A:B,2,FALSE)</f>
        <v>4331. Desarrollo empresarial</v>
      </c>
      <c r="W2882" s="35" t="str">
        <f>MID(Tabla1[[#This Row],[Aplicación]],14,2)</f>
        <v>22</v>
      </c>
      <c r="X2882" s="35" t="str">
        <f>MID(Tabla1[[#This Row],[Aplicación]],14,6)</f>
        <v>22699</v>
      </c>
    </row>
    <row r="2883" spans="1:24" x14ac:dyDescent="0.25">
      <c r="A2883" s="45">
        <v>220210022502</v>
      </c>
      <c r="B2883" s="46" t="s">
        <v>204</v>
      </c>
      <c r="C2883" s="47">
        <v>44330</v>
      </c>
      <c r="D2883" s="45">
        <v>22021001967</v>
      </c>
      <c r="E2883" s="46" t="s">
        <v>1167</v>
      </c>
      <c r="F2883" s="48">
        <v>55.07</v>
      </c>
      <c r="G2883" s="54" t="s">
        <v>246</v>
      </c>
      <c r="H2883" s="54" t="s">
        <v>2043</v>
      </c>
      <c r="I2883" s="53" t="s">
        <v>205</v>
      </c>
      <c r="J2883" s="54" t="s">
        <v>127</v>
      </c>
      <c r="K2883" s="54" t="s">
        <v>127</v>
      </c>
      <c r="L2883" s="54" t="s">
        <v>15</v>
      </c>
      <c r="M2883" s="54" t="s">
        <v>13</v>
      </c>
      <c r="N2883" s="54" t="s">
        <v>14</v>
      </c>
      <c r="O2883" s="49" t="s">
        <v>814</v>
      </c>
      <c r="P2883" s="54" t="s">
        <v>3392</v>
      </c>
      <c r="Q2883" s="35" t="str">
        <f>MID(Tabla1[[#This Row],[Aplicación]],14,1)</f>
        <v>2</v>
      </c>
      <c r="R2883" s="35" t="s">
        <v>495</v>
      </c>
      <c r="S2883" s="35" t="str">
        <f>MID(Tabla1[[#This Row],[Aplicación]],6,2)</f>
        <v>11</v>
      </c>
      <c r="T2883" s="35" t="str">
        <f>VLOOKUP(Tabla1[[#This Row],[AREA]],Hoja1!A:B,2,FALSE)</f>
        <v>11. Salud pública y seguridad ciudadana</v>
      </c>
      <c r="U2883" s="35" t="str">
        <f>MID(Tabla1[[#This Row],[Aplicación]],9,4)</f>
        <v>1321</v>
      </c>
      <c r="V2883" s="35" t="str">
        <f>VLOOKUP(Tabla1[[#This Row],[PROGRAMA]],Hoja1!A:B,2,FALSE)</f>
        <v>1321. Policía municipal</v>
      </c>
      <c r="W2883" s="35" t="str">
        <f>MID(Tabla1[[#This Row],[Aplicación]],14,2)</f>
        <v>21</v>
      </c>
      <c r="X2883" s="35" t="str">
        <f>MID(Tabla1[[#This Row],[Aplicación]],14,6)</f>
        <v>214</v>
      </c>
    </row>
    <row r="2884" spans="1:24" x14ac:dyDescent="0.25">
      <c r="A2884" s="45">
        <v>220210016799</v>
      </c>
      <c r="B2884" s="46" t="s">
        <v>204</v>
      </c>
      <c r="C2884" s="47">
        <v>44308</v>
      </c>
      <c r="D2884" s="45">
        <v>22021001181</v>
      </c>
      <c r="E2884" s="46" t="s">
        <v>873</v>
      </c>
      <c r="F2884" s="48">
        <v>273.87</v>
      </c>
      <c r="G2884" s="54" t="s">
        <v>263</v>
      </c>
      <c r="H2884" s="54" t="s">
        <v>4445</v>
      </c>
      <c r="I2884" s="53" t="s">
        <v>205</v>
      </c>
      <c r="J2884" s="54" t="s">
        <v>127</v>
      </c>
      <c r="K2884" s="54" t="s">
        <v>127</v>
      </c>
      <c r="L2884" s="54" t="s">
        <v>15</v>
      </c>
      <c r="M2884" s="54" t="s">
        <v>13</v>
      </c>
      <c r="N2884" s="54" t="s">
        <v>14</v>
      </c>
      <c r="O2884" s="49" t="s">
        <v>814</v>
      </c>
      <c r="P2884" s="54" t="s">
        <v>3392</v>
      </c>
      <c r="Q2884" s="35" t="str">
        <f>MID(Tabla1[[#This Row],[Aplicación]],14,1)</f>
        <v>2</v>
      </c>
      <c r="R2884" s="35" t="s">
        <v>495</v>
      </c>
      <c r="S2884" s="35" t="str">
        <f>MID(Tabla1[[#This Row],[Aplicación]],6,2)</f>
        <v>10</v>
      </c>
      <c r="T2884" s="35" t="str">
        <f>VLOOKUP(Tabla1[[#This Row],[AREA]],Hoja1!A:B,2,FALSE)</f>
        <v>10. Servicios sociales y mediación comunitaria</v>
      </c>
      <c r="U2884" s="35" t="str">
        <f>MID(Tabla1[[#This Row],[Aplicación]],9,4)</f>
        <v>2412</v>
      </c>
      <c r="V2884" s="35" t="str">
        <f>VLOOKUP(Tabla1[[#This Row],[PROGRAMA]],Hoja1!A:B,2,FALSE)</f>
        <v>2412. Formación para el empleo</v>
      </c>
      <c r="W2884" s="35" t="str">
        <f>MID(Tabla1[[#This Row],[Aplicación]],14,2)</f>
        <v>22</v>
      </c>
      <c r="X2884" s="35" t="str">
        <f>MID(Tabla1[[#This Row],[Aplicación]],14,6)</f>
        <v>22199</v>
      </c>
    </row>
    <row r="2885" spans="1:24" x14ac:dyDescent="0.25">
      <c r="A2885" s="45">
        <v>220210030167</v>
      </c>
      <c r="B2885" s="46" t="s">
        <v>204</v>
      </c>
      <c r="C2885" s="47">
        <v>44356</v>
      </c>
      <c r="D2885" s="45">
        <v>22021001967</v>
      </c>
      <c r="E2885" s="46" t="s">
        <v>1167</v>
      </c>
      <c r="F2885" s="48">
        <v>1224.3</v>
      </c>
      <c r="G2885" s="54" t="s">
        <v>246</v>
      </c>
      <c r="H2885" s="54" t="s">
        <v>4446</v>
      </c>
      <c r="I2885" s="53" t="s">
        <v>205</v>
      </c>
      <c r="J2885" s="54" t="s">
        <v>127</v>
      </c>
      <c r="K2885" s="54" t="s">
        <v>127</v>
      </c>
      <c r="L2885" s="54" t="s">
        <v>15</v>
      </c>
      <c r="M2885" s="54" t="s">
        <v>13</v>
      </c>
      <c r="N2885" s="54" t="s">
        <v>14</v>
      </c>
      <c r="O2885" s="49" t="s">
        <v>814</v>
      </c>
      <c r="P2885" s="54" t="s">
        <v>3392</v>
      </c>
      <c r="Q2885" s="35" t="str">
        <f>MID(Tabla1[[#This Row],[Aplicación]],14,1)</f>
        <v>2</v>
      </c>
      <c r="R2885" s="35" t="s">
        <v>495</v>
      </c>
      <c r="S2885" s="35" t="str">
        <f>MID(Tabla1[[#This Row],[Aplicación]],6,2)</f>
        <v>11</v>
      </c>
      <c r="T2885" s="35" t="str">
        <f>VLOOKUP(Tabla1[[#This Row],[AREA]],Hoja1!A:B,2,FALSE)</f>
        <v>11. Salud pública y seguridad ciudadana</v>
      </c>
      <c r="U2885" s="35" t="str">
        <f>MID(Tabla1[[#This Row],[Aplicación]],9,4)</f>
        <v>1321</v>
      </c>
      <c r="V2885" s="35" t="str">
        <f>VLOOKUP(Tabla1[[#This Row],[PROGRAMA]],Hoja1!A:B,2,FALSE)</f>
        <v>1321. Policía municipal</v>
      </c>
      <c r="W2885" s="35" t="str">
        <f>MID(Tabla1[[#This Row],[Aplicación]],14,2)</f>
        <v>21</v>
      </c>
      <c r="X2885" s="35" t="str">
        <f>MID(Tabla1[[#This Row],[Aplicación]],14,6)</f>
        <v>214</v>
      </c>
    </row>
    <row r="2886" spans="1:24" x14ac:dyDescent="0.25">
      <c r="A2886" s="45">
        <v>220210023527</v>
      </c>
      <c r="B2886" s="46" t="s">
        <v>9</v>
      </c>
      <c r="C2886" s="47">
        <v>44336</v>
      </c>
      <c r="D2886" s="45">
        <v>22021004422</v>
      </c>
      <c r="E2886" s="46" t="s">
        <v>3382</v>
      </c>
      <c r="F2886" s="48">
        <v>216.67</v>
      </c>
      <c r="G2886" s="54" t="s">
        <v>4447</v>
      </c>
      <c r="H2886" s="54" t="s">
        <v>4448</v>
      </c>
      <c r="I2886" s="53" t="s">
        <v>125</v>
      </c>
      <c r="J2886" s="54" t="s">
        <v>127</v>
      </c>
      <c r="K2886" s="54" t="s">
        <v>127</v>
      </c>
      <c r="L2886" s="54" t="s">
        <v>15</v>
      </c>
      <c r="M2886" s="54" t="s">
        <v>10</v>
      </c>
      <c r="N2886" s="54" t="s">
        <v>11</v>
      </c>
      <c r="O2886" s="49" t="s">
        <v>815</v>
      </c>
      <c r="P2886" s="54" t="s">
        <v>3392</v>
      </c>
      <c r="Q2886" s="35" t="str">
        <f>MID(Tabla1[[#This Row],[Aplicación]],14,1)</f>
        <v>2</v>
      </c>
      <c r="R2886" s="35" t="s">
        <v>495</v>
      </c>
      <c r="S2886" s="35" t="str">
        <f>MID(Tabla1[[#This Row],[Aplicación]],6,2)</f>
        <v>01</v>
      </c>
      <c r="T2886" s="35" t="str">
        <f>VLOOKUP(Tabla1[[#This Row],[AREA]],Hoja1!A:B,2,FALSE)</f>
        <v>01. Alcaldía</v>
      </c>
      <c r="U2886" s="35" t="str">
        <f>MID(Tabla1[[#This Row],[Aplicación]],9,4)</f>
        <v>9206</v>
      </c>
      <c r="V2886" s="35" t="str">
        <f>VLOOKUP(Tabla1[[#This Row],[PROGRAMA]],Hoja1!A:B,2,FALSE)</f>
        <v>9206. Archivo municipal</v>
      </c>
      <c r="W2886" s="35" t="str">
        <f>MID(Tabla1[[#This Row],[Aplicación]],14,2)</f>
        <v>22</v>
      </c>
      <c r="X2886" s="35" t="str">
        <f>MID(Tabla1[[#This Row],[Aplicación]],14,6)</f>
        <v>22000</v>
      </c>
    </row>
    <row r="2887" spans="1:24" x14ac:dyDescent="0.25">
      <c r="A2887" s="45">
        <v>220210016564</v>
      </c>
      <c r="B2887" s="46" t="s">
        <v>204</v>
      </c>
      <c r="C2887" s="47">
        <v>44306</v>
      </c>
      <c r="D2887" s="45">
        <v>22021002378</v>
      </c>
      <c r="E2887" s="46" t="s">
        <v>1228</v>
      </c>
      <c r="F2887" s="48">
        <v>267.06</v>
      </c>
      <c r="G2887" s="54" t="s">
        <v>4449</v>
      </c>
      <c r="H2887" s="54" t="s">
        <v>4450</v>
      </c>
      <c r="I2887" s="53" t="s">
        <v>205</v>
      </c>
      <c r="J2887" s="54" t="s">
        <v>127</v>
      </c>
      <c r="K2887" s="54" t="s">
        <v>127</v>
      </c>
      <c r="L2887" s="54" t="s">
        <v>15</v>
      </c>
      <c r="M2887" s="54" t="s">
        <v>13</v>
      </c>
      <c r="N2887" s="54" t="s">
        <v>14</v>
      </c>
      <c r="O2887" s="49" t="s">
        <v>814</v>
      </c>
      <c r="P2887" s="54" t="s">
        <v>3392</v>
      </c>
      <c r="Q2887" s="35" t="str">
        <f>MID(Tabla1[[#This Row],[Aplicación]],14,1)</f>
        <v>2</v>
      </c>
      <c r="R2887" s="35" t="s">
        <v>495</v>
      </c>
      <c r="S2887" s="35" t="str">
        <f>MID(Tabla1[[#This Row],[Aplicación]],6,2)</f>
        <v>02</v>
      </c>
      <c r="T2887" s="35" t="str">
        <f>VLOOKUP(Tabla1[[#This Row],[AREA]],Hoja1!A:B,2,FALSE)</f>
        <v>02. Planeamiento urbanístico y vivienda</v>
      </c>
      <c r="U2887" s="35" t="str">
        <f>MID(Tabla1[[#This Row],[Aplicación]],9,4)</f>
        <v>9332</v>
      </c>
      <c r="V2887" s="35" t="str">
        <f>VLOOKUP(Tabla1[[#This Row],[PROGRAMA]],Hoja1!A:B,2,FALSE)</f>
        <v>9332. Mantenimiento de edificios e instalaciones municipales</v>
      </c>
      <c r="W2887" s="35" t="str">
        <f>MID(Tabla1[[#This Row],[Aplicación]],14,2)</f>
        <v>21</v>
      </c>
      <c r="X2887" s="35" t="str">
        <f>MID(Tabla1[[#This Row],[Aplicación]],14,6)</f>
        <v>214</v>
      </c>
    </row>
    <row r="2888" spans="1:24" x14ac:dyDescent="0.25">
      <c r="A2888" s="45">
        <v>220210017128</v>
      </c>
      <c r="B2888" s="46" t="s">
        <v>9</v>
      </c>
      <c r="C2888" s="47">
        <v>44312</v>
      </c>
      <c r="D2888" s="45">
        <v>22021004126</v>
      </c>
      <c r="E2888" s="46" t="s">
        <v>1478</v>
      </c>
      <c r="F2888" s="48">
        <v>213.93</v>
      </c>
      <c r="G2888" s="54" t="s">
        <v>1419</v>
      </c>
      <c r="H2888" s="54" t="s">
        <v>4451</v>
      </c>
      <c r="I2888" s="53" t="s">
        <v>125</v>
      </c>
      <c r="J2888" s="54" t="s">
        <v>127</v>
      </c>
      <c r="K2888" s="54" t="s">
        <v>127</v>
      </c>
      <c r="L2888" s="54" t="s">
        <v>12</v>
      </c>
      <c r="M2888" s="54" t="s">
        <v>10</v>
      </c>
      <c r="N2888" s="54" t="s">
        <v>11</v>
      </c>
      <c r="O2888" s="49" t="s">
        <v>815</v>
      </c>
      <c r="P2888" s="54" t="s">
        <v>3392</v>
      </c>
      <c r="Q2888" s="35" t="str">
        <f>MID(Tabla1[[#This Row],[Aplicación]],14,1)</f>
        <v>2</v>
      </c>
      <c r="R2888" s="35" t="s">
        <v>495</v>
      </c>
      <c r="S2888" s="35" t="str">
        <f>MID(Tabla1[[#This Row],[Aplicación]],6,2)</f>
        <v>03</v>
      </c>
      <c r="T2888" s="35" t="str">
        <f>VLOOKUP(Tabla1[[#This Row],[AREA]],Hoja1!A:B,2,FALSE)</f>
        <v>03. Participación ciudadana y deportes</v>
      </c>
      <c r="U2888" s="35" t="str">
        <f>MID(Tabla1[[#This Row],[Aplicación]],9,4)</f>
        <v>9241</v>
      </c>
      <c r="V2888" s="35" t="str">
        <f>VLOOKUP(Tabla1[[#This Row],[PROGRAMA]],Hoja1!A:B,2,FALSE)</f>
        <v>9241. Participación ciudadana</v>
      </c>
      <c r="W2888" s="35" t="str">
        <f>MID(Tabla1[[#This Row],[Aplicación]],14,2)</f>
        <v>21</v>
      </c>
      <c r="X2888" s="35" t="str">
        <f>MID(Tabla1[[#This Row],[Aplicación]],14,6)</f>
        <v>212</v>
      </c>
    </row>
    <row r="2889" spans="1:24" x14ac:dyDescent="0.25">
      <c r="A2889" s="45">
        <v>220210031389</v>
      </c>
      <c r="B2889" s="46" t="s">
        <v>204</v>
      </c>
      <c r="C2889" s="47">
        <v>44365</v>
      </c>
      <c r="D2889" s="45">
        <v>22021002088</v>
      </c>
      <c r="E2889" s="46" t="s">
        <v>1478</v>
      </c>
      <c r="F2889" s="48">
        <v>264.26</v>
      </c>
      <c r="G2889" s="54" t="s">
        <v>266</v>
      </c>
      <c r="H2889" s="54" t="s">
        <v>4452</v>
      </c>
      <c r="I2889" s="53" t="s">
        <v>205</v>
      </c>
      <c r="J2889" s="54" t="s">
        <v>127</v>
      </c>
      <c r="K2889" s="54" t="s">
        <v>127</v>
      </c>
      <c r="L2889" s="54" t="s">
        <v>15</v>
      </c>
      <c r="M2889" s="54" t="s">
        <v>13</v>
      </c>
      <c r="N2889" s="54" t="s">
        <v>16</v>
      </c>
      <c r="O2889" s="49" t="s">
        <v>814</v>
      </c>
      <c r="P2889" s="54" t="s">
        <v>3392</v>
      </c>
      <c r="Q2889" s="35" t="str">
        <f>MID(Tabla1[[#This Row],[Aplicación]],14,1)</f>
        <v>2</v>
      </c>
      <c r="R2889" s="35" t="s">
        <v>495</v>
      </c>
      <c r="S2889" s="35" t="str">
        <f>MID(Tabla1[[#This Row],[Aplicación]],6,2)</f>
        <v>03</v>
      </c>
      <c r="T2889" s="35" t="str">
        <f>VLOOKUP(Tabla1[[#This Row],[AREA]],Hoja1!A:B,2,FALSE)</f>
        <v>03. Participación ciudadana y deportes</v>
      </c>
      <c r="U2889" s="35" t="str">
        <f>MID(Tabla1[[#This Row],[Aplicación]],9,4)</f>
        <v>9241</v>
      </c>
      <c r="V2889" s="35" t="str">
        <f>VLOOKUP(Tabla1[[#This Row],[PROGRAMA]],Hoja1!A:B,2,FALSE)</f>
        <v>9241. Participación ciudadana</v>
      </c>
      <c r="W2889" s="35" t="str">
        <f>MID(Tabla1[[#This Row],[Aplicación]],14,2)</f>
        <v>21</v>
      </c>
      <c r="X2889" s="35" t="str">
        <f>MID(Tabla1[[#This Row],[Aplicación]],14,6)</f>
        <v>212</v>
      </c>
    </row>
    <row r="2890" spans="1:24" x14ac:dyDescent="0.25">
      <c r="A2890" s="45">
        <v>220210032776</v>
      </c>
      <c r="B2890" s="46" t="s">
        <v>204</v>
      </c>
      <c r="C2890" s="47">
        <v>44371</v>
      </c>
      <c r="D2890" s="45">
        <v>22021002373</v>
      </c>
      <c r="E2890" s="46" t="s">
        <v>1336</v>
      </c>
      <c r="F2890" s="48">
        <v>262.79000000000002</v>
      </c>
      <c r="G2890" s="54" t="s">
        <v>1475</v>
      </c>
      <c r="H2890" s="54" t="s">
        <v>4453</v>
      </c>
      <c r="I2890" s="53" t="s">
        <v>205</v>
      </c>
      <c r="J2890" s="54" t="s">
        <v>127</v>
      </c>
      <c r="K2890" s="54" t="s">
        <v>127</v>
      </c>
      <c r="L2890" s="54" t="s">
        <v>15</v>
      </c>
      <c r="M2890" s="54" t="s">
        <v>13</v>
      </c>
      <c r="N2890" s="54" t="s">
        <v>14</v>
      </c>
      <c r="O2890" s="49" t="s">
        <v>814</v>
      </c>
      <c r="P2890" s="54" t="s">
        <v>3392</v>
      </c>
      <c r="Q2890" s="35" t="str">
        <f>MID(Tabla1[[#This Row],[Aplicación]],14,1)</f>
        <v>2</v>
      </c>
      <c r="R2890" s="35" t="s">
        <v>495</v>
      </c>
      <c r="S2890" s="35" t="str">
        <f>MID(Tabla1[[#This Row],[Aplicación]],6,2)</f>
        <v>02</v>
      </c>
      <c r="T2890" s="35" t="str">
        <f>VLOOKUP(Tabla1[[#This Row],[AREA]],Hoja1!A:B,2,FALSE)</f>
        <v>02. Planeamiento urbanístico y vivienda</v>
      </c>
      <c r="U2890" s="35" t="str">
        <f>MID(Tabla1[[#This Row],[Aplicación]],9,4)</f>
        <v>9332</v>
      </c>
      <c r="V2890" s="35" t="str">
        <f>VLOOKUP(Tabla1[[#This Row],[PROGRAMA]],Hoja1!A:B,2,FALSE)</f>
        <v>9332. Mantenimiento de edificios e instalaciones municipales</v>
      </c>
      <c r="W2890" s="35" t="str">
        <f>MID(Tabla1[[#This Row],[Aplicación]],14,2)</f>
        <v>21</v>
      </c>
      <c r="X2890" s="35" t="str">
        <f>MID(Tabla1[[#This Row],[Aplicación]],14,6)</f>
        <v>212</v>
      </c>
    </row>
    <row r="2891" spans="1:24" x14ac:dyDescent="0.25">
      <c r="A2891" s="45">
        <v>220210020661</v>
      </c>
      <c r="B2891" s="46" t="s">
        <v>204</v>
      </c>
      <c r="C2891" s="47">
        <v>44323</v>
      </c>
      <c r="D2891" s="45">
        <v>22021002373</v>
      </c>
      <c r="E2891" s="46" t="s">
        <v>1336</v>
      </c>
      <c r="F2891" s="48">
        <v>261.55</v>
      </c>
      <c r="G2891" s="54" t="s">
        <v>1475</v>
      </c>
      <c r="H2891" s="54" t="s">
        <v>4454</v>
      </c>
      <c r="I2891" s="53" t="s">
        <v>205</v>
      </c>
      <c r="J2891" s="54" t="s">
        <v>127</v>
      </c>
      <c r="K2891" s="54" t="s">
        <v>127</v>
      </c>
      <c r="L2891" s="54" t="s">
        <v>15</v>
      </c>
      <c r="M2891" s="54" t="s">
        <v>13</v>
      </c>
      <c r="N2891" s="54" t="s">
        <v>14</v>
      </c>
      <c r="O2891" s="49" t="s">
        <v>814</v>
      </c>
      <c r="P2891" s="54" t="s">
        <v>3392</v>
      </c>
      <c r="Q2891" s="35" t="str">
        <f>MID(Tabla1[[#This Row],[Aplicación]],14,1)</f>
        <v>2</v>
      </c>
      <c r="R2891" s="35" t="s">
        <v>495</v>
      </c>
      <c r="S2891" s="35" t="str">
        <f>MID(Tabla1[[#This Row],[Aplicación]],6,2)</f>
        <v>02</v>
      </c>
      <c r="T2891" s="35" t="str">
        <f>VLOOKUP(Tabla1[[#This Row],[AREA]],Hoja1!A:B,2,FALSE)</f>
        <v>02. Planeamiento urbanístico y vivienda</v>
      </c>
      <c r="U2891" s="35" t="str">
        <f>MID(Tabla1[[#This Row],[Aplicación]],9,4)</f>
        <v>9332</v>
      </c>
      <c r="V2891" s="35" t="str">
        <f>VLOOKUP(Tabla1[[#This Row],[PROGRAMA]],Hoja1!A:B,2,FALSE)</f>
        <v>9332. Mantenimiento de edificios e instalaciones municipales</v>
      </c>
      <c r="W2891" s="35" t="str">
        <f>MID(Tabla1[[#This Row],[Aplicación]],14,2)</f>
        <v>21</v>
      </c>
      <c r="X2891" s="35" t="str">
        <f>MID(Tabla1[[#This Row],[Aplicación]],14,6)</f>
        <v>212</v>
      </c>
    </row>
    <row r="2892" spans="1:24" x14ac:dyDescent="0.25">
      <c r="A2892" s="45">
        <v>220210015634</v>
      </c>
      <c r="B2892" s="46" t="s">
        <v>204</v>
      </c>
      <c r="C2892" s="47">
        <v>44302</v>
      </c>
      <c r="D2892" s="45">
        <v>22021001967</v>
      </c>
      <c r="E2892" s="46" t="s">
        <v>1167</v>
      </c>
      <c r="F2892" s="48">
        <v>1171.01</v>
      </c>
      <c r="G2892" s="54" t="s">
        <v>265</v>
      </c>
      <c r="H2892" s="54" t="s">
        <v>4455</v>
      </c>
      <c r="I2892" s="53" t="s">
        <v>205</v>
      </c>
      <c r="J2892" s="54" t="s">
        <v>157</v>
      </c>
      <c r="K2892" s="54" t="s">
        <v>157</v>
      </c>
      <c r="L2892" s="54" t="s">
        <v>15</v>
      </c>
      <c r="M2892" s="54" t="s">
        <v>13</v>
      </c>
      <c r="N2892" s="54" t="s">
        <v>14</v>
      </c>
      <c r="O2892" s="49" t="s">
        <v>814</v>
      </c>
      <c r="P2892" s="54" t="s">
        <v>3392</v>
      </c>
      <c r="Q2892" s="35" t="str">
        <f>MID(Tabla1[[#This Row],[Aplicación]],14,1)</f>
        <v>2</v>
      </c>
      <c r="R2892" s="35" t="s">
        <v>495</v>
      </c>
      <c r="S2892" s="35" t="str">
        <f>MID(Tabla1[[#This Row],[Aplicación]],6,2)</f>
        <v>11</v>
      </c>
      <c r="T2892" s="35" t="str">
        <f>VLOOKUP(Tabla1[[#This Row],[AREA]],Hoja1!A:B,2,FALSE)</f>
        <v>11. Salud pública y seguridad ciudadana</v>
      </c>
      <c r="U2892" s="35" t="str">
        <f>MID(Tabla1[[#This Row],[Aplicación]],9,4)</f>
        <v>1321</v>
      </c>
      <c r="V2892" s="35" t="str">
        <f>VLOOKUP(Tabla1[[#This Row],[PROGRAMA]],Hoja1!A:B,2,FALSE)</f>
        <v>1321. Policía municipal</v>
      </c>
      <c r="W2892" s="35" t="str">
        <f>MID(Tabla1[[#This Row],[Aplicación]],14,2)</f>
        <v>21</v>
      </c>
      <c r="X2892" s="35" t="str">
        <f>MID(Tabla1[[#This Row],[Aplicación]],14,6)</f>
        <v>214</v>
      </c>
    </row>
    <row r="2893" spans="1:24" x14ac:dyDescent="0.25">
      <c r="A2893" s="45">
        <v>220210028827</v>
      </c>
      <c r="B2893" s="46" t="s">
        <v>9</v>
      </c>
      <c r="C2893" s="47">
        <v>44351</v>
      </c>
      <c r="D2893" s="45">
        <v>22021004740</v>
      </c>
      <c r="E2893" s="46" t="s">
        <v>1163</v>
      </c>
      <c r="F2893" s="48">
        <v>209.01</v>
      </c>
      <c r="G2893" s="54" t="s">
        <v>4456</v>
      </c>
      <c r="H2893" s="54" t="s">
        <v>4457</v>
      </c>
      <c r="I2893" s="53" t="s">
        <v>125</v>
      </c>
      <c r="J2893" s="54" t="s">
        <v>126</v>
      </c>
      <c r="K2893" s="54" t="s">
        <v>126</v>
      </c>
      <c r="L2893" s="54" t="s">
        <v>15</v>
      </c>
      <c r="M2893" s="54" t="s">
        <v>10</v>
      </c>
      <c r="N2893" s="54" t="s">
        <v>16</v>
      </c>
      <c r="O2893" s="49" t="s">
        <v>815</v>
      </c>
      <c r="P2893" s="54" t="s">
        <v>3392</v>
      </c>
      <c r="Q2893" s="35" t="str">
        <f>MID(Tabla1[[#This Row],[Aplicación]],14,1)</f>
        <v>2</v>
      </c>
      <c r="R2893" s="35" t="s">
        <v>495</v>
      </c>
      <c r="S2893" s="35" t="str">
        <f>MID(Tabla1[[#This Row],[Aplicación]],6,2)</f>
        <v>06</v>
      </c>
      <c r="T2893" s="35" t="str">
        <f>VLOOKUP(Tabla1[[#This Row],[AREA]],Hoja1!A:B,2,FALSE)</f>
        <v>06. Educación, infancia, juventud e igualdad</v>
      </c>
      <c r="U2893" s="35" t="str">
        <f>MID(Tabla1[[#This Row],[Aplicación]],9,4)</f>
        <v>3321</v>
      </c>
      <c r="V2893" s="35" t="str">
        <f>VLOOKUP(Tabla1[[#This Row],[PROGRAMA]],Hoja1!A:B,2,FALSE)</f>
        <v>3321. Bibliotecas públicas</v>
      </c>
      <c r="W2893" s="35" t="str">
        <f>MID(Tabla1[[#This Row],[Aplicación]],14,2)</f>
        <v>22</v>
      </c>
      <c r="X2893" s="35" t="str">
        <f>MID(Tabla1[[#This Row],[Aplicación]],14,6)</f>
        <v>22001</v>
      </c>
    </row>
    <row r="2894" spans="1:24" x14ac:dyDescent="0.25">
      <c r="A2894" s="45">
        <v>220210030071</v>
      </c>
      <c r="B2894" s="46" t="s">
        <v>204</v>
      </c>
      <c r="C2894" s="47">
        <v>44356</v>
      </c>
      <c r="D2894" s="45">
        <v>22021001275</v>
      </c>
      <c r="E2894" s="46" t="s">
        <v>1334</v>
      </c>
      <c r="F2894" s="48">
        <v>40.4</v>
      </c>
      <c r="G2894" s="54" t="s">
        <v>253</v>
      </c>
      <c r="H2894" s="54" t="s">
        <v>4458</v>
      </c>
      <c r="I2894" s="53" t="s">
        <v>205</v>
      </c>
      <c r="J2894" s="54" t="s">
        <v>127</v>
      </c>
      <c r="K2894" s="54" t="s">
        <v>127</v>
      </c>
      <c r="L2894" s="54" t="s">
        <v>15</v>
      </c>
      <c r="M2894" s="54" t="s">
        <v>13</v>
      </c>
      <c r="N2894" s="54" t="s">
        <v>14</v>
      </c>
      <c r="O2894" s="49" t="s">
        <v>814</v>
      </c>
      <c r="P2894" s="54" t="s">
        <v>3392</v>
      </c>
      <c r="Q2894" s="35" t="str">
        <f>MID(Tabla1[[#This Row],[Aplicación]],14,1)</f>
        <v>2</v>
      </c>
      <c r="R2894" s="35" t="s">
        <v>495</v>
      </c>
      <c r="S2894" s="35" t="str">
        <f>MID(Tabla1[[#This Row],[Aplicación]],6,2)</f>
        <v>07</v>
      </c>
      <c r="T2894" s="35" t="str">
        <f>VLOOKUP(Tabla1[[#This Row],[AREA]],Hoja1!A:B,2,FALSE)</f>
        <v>07. Medio ambiente y desarrollo sostenible</v>
      </c>
      <c r="U2894" s="35" t="str">
        <f>MID(Tabla1[[#This Row],[Aplicación]],9,4)</f>
        <v>1711</v>
      </c>
      <c r="V2894" s="35" t="str">
        <f>VLOOKUP(Tabla1[[#This Row],[PROGRAMA]],Hoja1!A:B,2,FALSE)</f>
        <v>1711. Parques y jardines</v>
      </c>
      <c r="W2894" s="35" t="str">
        <f>MID(Tabla1[[#This Row],[Aplicación]],14,2)</f>
        <v>22</v>
      </c>
      <c r="X2894" s="35" t="str">
        <f>MID(Tabla1[[#This Row],[Aplicación]],14,6)</f>
        <v>22199</v>
      </c>
    </row>
    <row r="2895" spans="1:24" x14ac:dyDescent="0.25">
      <c r="A2895" s="45">
        <v>220210019043</v>
      </c>
      <c r="B2895" s="46" t="s">
        <v>204</v>
      </c>
      <c r="C2895" s="47">
        <v>44319</v>
      </c>
      <c r="D2895" s="45">
        <v>22021001967</v>
      </c>
      <c r="E2895" s="46" t="s">
        <v>1167</v>
      </c>
      <c r="F2895" s="48">
        <v>137.94</v>
      </c>
      <c r="G2895" s="54" t="s">
        <v>265</v>
      </c>
      <c r="H2895" s="54" t="s">
        <v>4459</v>
      </c>
      <c r="I2895" s="53" t="s">
        <v>205</v>
      </c>
      <c r="J2895" s="54" t="s">
        <v>157</v>
      </c>
      <c r="K2895" s="54" t="s">
        <v>157</v>
      </c>
      <c r="L2895" s="54" t="s">
        <v>15</v>
      </c>
      <c r="M2895" s="54" t="s">
        <v>13</v>
      </c>
      <c r="N2895" s="54" t="s">
        <v>14</v>
      </c>
      <c r="O2895" s="49" t="s">
        <v>814</v>
      </c>
      <c r="P2895" s="54" t="s">
        <v>3392</v>
      </c>
      <c r="Q2895" s="35" t="str">
        <f>MID(Tabla1[[#This Row],[Aplicación]],14,1)</f>
        <v>2</v>
      </c>
      <c r="R2895" s="35" t="s">
        <v>495</v>
      </c>
      <c r="S2895" s="35" t="str">
        <f>MID(Tabla1[[#This Row],[Aplicación]],6,2)</f>
        <v>11</v>
      </c>
      <c r="T2895" s="35" t="str">
        <f>VLOOKUP(Tabla1[[#This Row],[AREA]],Hoja1!A:B,2,FALSE)</f>
        <v>11. Salud pública y seguridad ciudadana</v>
      </c>
      <c r="U2895" s="35" t="str">
        <f>MID(Tabla1[[#This Row],[Aplicación]],9,4)</f>
        <v>1321</v>
      </c>
      <c r="V2895" s="35" t="str">
        <f>VLOOKUP(Tabla1[[#This Row],[PROGRAMA]],Hoja1!A:B,2,FALSE)</f>
        <v>1321. Policía municipal</v>
      </c>
      <c r="W2895" s="35" t="str">
        <f>MID(Tabla1[[#This Row],[Aplicación]],14,2)</f>
        <v>21</v>
      </c>
      <c r="X2895" s="35" t="str">
        <f>MID(Tabla1[[#This Row],[Aplicación]],14,6)</f>
        <v>214</v>
      </c>
    </row>
    <row r="2896" spans="1:24" x14ac:dyDescent="0.25">
      <c r="A2896" s="45">
        <v>220210026149</v>
      </c>
      <c r="B2896" s="46" t="s">
        <v>9</v>
      </c>
      <c r="C2896" s="47">
        <v>44347</v>
      </c>
      <c r="D2896" s="45">
        <v>22021004574</v>
      </c>
      <c r="E2896" s="46" t="s">
        <v>1550</v>
      </c>
      <c r="F2896" s="48">
        <v>205.25</v>
      </c>
      <c r="G2896" s="54" t="s">
        <v>2176</v>
      </c>
      <c r="H2896" s="54" t="s">
        <v>4460</v>
      </c>
      <c r="I2896" s="53" t="s">
        <v>125</v>
      </c>
      <c r="J2896" s="54" t="s">
        <v>127</v>
      </c>
      <c r="K2896" s="54" t="s">
        <v>127</v>
      </c>
      <c r="L2896" s="54" t="s">
        <v>15</v>
      </c>
      <c r="M2896" s="54" t="s">
        <v>10</v>
      </c>
      <c r="N2896" s="54" t="s">
        <v>11</v>
      </c>
      <c r="O2896" s="49" t="s">
        <v>815</v>
      </c>
      <c r="P2896" s="54" t="s">
        <v>3392</v>
      </c>
      <c r="Q2896" s="35" t="str">
        <f>MID(Tabla1[[#This Row],[Aplicación]],14,1)</f>
        <v>2</v>
      </c>
      <c r="R2896" s="35" t="s">
        <v>495</v>
      </c>
      <c r="S2896" s="35" t="str">
        <f>MID(Tabla1[[#This Row],[Aplicación]],6,2)</f>
        <v>06</v>
      </c>
      <c r="T2896" s="35" t="str">
        <f>VLOOKUP(Tabla1[[#This Row],[AREA]],Hoja1!A:B,2,FALSE)</f>
        <v>06. Educación, infancia, juventud e igualdad</v>
      </c>
      <c r="U2896" s="35" t="str">
        <f>MID(Tabla1[[#This Row],[Aplicación]],9,4)</f>
        <v>2315</v>
      </c>
      <c r="V2896" s="35" t="str">
        <f>VLOOKUP(Tabla1[[#This Row],[PROGRAMA]],Hoja1!A:B,2,FALSE)</f>
        <v>2315. Políticas de Igualdad e infancia</v>
      </c>
      <c r="W2896" s="35" t="str">
        <f>MID(Tabla1[[#This Row],[Aplicación]],14,2)</f>
        <v>22</v>
      </c>
      <c r="X2896" s="35" t="str">
        <f>MID(Tabla1[[#This Row],[Aplicación]],14,6)</f>
        <v>22799</v>
      </c>
    </row>
    <row r="2897" spans="1:24" x14ac:dyDescent="0.25">
      <c r="A2897" s="45">
        <v>220210022470</v>
      </c>
      <c r="B2897" s="46" t="s">
        <v>204</v>
      </c>
      <c r="C2897" s="47">
        <v>44330</v>
      </c>
      <c r="D2897" s="45">
        <v>22021001275</v>
      </c>
      <c r="E2897" s="46" t="s">
        <v>1334</v>
      </c>
      <c r="F2897" s="48">
        <v>17.21</v>
      </c>
      <c r="G2897" s="54" t="s">
        <v>256</v>
      </c>
      <c r="H2897" s="54" t="s">
        <v>4461</v>
      </c>
      <c r="I2897" s="53" t="s">
        <v>205</v>
      </c>
      <c r="J2897" s="54" t="s">
        <v>127</v>
      </c>
      <c r="K2897" s="54" t="s">
        <v>127</v>
      </c>
      <c r="L2897" s="54" t="s">
        <v>15</v>
      </c>
      <c r="M2897" s="54" t="s">
        <v>13</v>
      </c>
      <c r="N2897" s="54" t="s">
        <v>14</v>
      </c>
      <c r="O2897" s="49" t="s">
        <v>814</v>
      </c>
      <c r="P2897" s="54" t="s">
        <v>3392</v>
      </c>
      <c r="Q2897" s="35" t="str">
        <f>MID(Tabla1[[#This Row],[Aplicación]],14,1)</f>
        <v>2</v>
      </c>
      <c r="R2897" s="35" t="s">
        <v>495</v>
      </c>
      <c r="S2897" s="35" t="str">
        <f>MID(Tabla1[[#This Row],[Aplicación]],6,2)</f>
        <v>07</v>
      </c>
      <c r="T2897" s="35" t="str">
        <f>VLOOKUP(Tabla1[[#This Row],[AREA]],Hoja1!A:B,2,FALSE)</f>
        <v>07. Medio ambiente y desarrollo sostenible</v>
      </c>
      <c r="U2897" s="35" t="str">
        <f>MID(Tabla1[[#This Row],[Aplicación]],9,4)</f>
        <v>1711</v>
      </c>
      <c r="V2897" s="35" t="str">
        <f>VLOOKUP(Tabla1[[#This Row],[PROGRAMA]],Hoja1!A:B,2,FALSE)</f>
        <v>1711. Parques y jardines</v>
      </c>
      <c r="W2897" s="35" t="str">
        <f>MID(Tabla1[[#This Row],[Aplicación]],14,2)</f>
        <v>22</v>
      </c>
      <c r="X2897" s="35" t="str">
        <f>MID(Tabla1[[#This Row],[Aplicación]],14,6)</f>
        <v>22199</v>
      </c>
    </row>
    <row r="2898" spans="1:24" x14ac:dyDescent="0.25">
      <c r="A2898" s="45">
        <v>220210016755</v>
      </c>
      <c r="B2898" s="46" t="s">
        <v>9</v>
      </c>
      <c r="C2898" s="47">
        <v>44308</v>
      </c>
      <c r="D2898" s="45">
        <v>22021004115</v>
      </c>
      <c r="E2898" s="46" t="s">
        <v>1336</v>
      </c>
      <c r="F2898" s="48">
        <v>200</v>
      </c>
      <c r="G2898" s="54" t="s">
        <v>283</v>
      </c>
      <c r="H2898" s="54" t="s">
        <v>4462</v>
      </c>
      <c r="I2898" s="53" t="s">
        <v>125</v>
      </c>
      <c r="J2898" s="54" t="s">
        <v>127</v>
      </c>
      <c r="K2898" s="54" t="s">
        <v>127</v>
      </c>
      <c r="L2898" s="54" t="s">
        <v>15</v>
      </c>
      <c r="M2898" s="54" t="s">
        <v>10</v>
      </c>
      <c r="N2898" s="54" t="s">
        <v>11</v>
      </c>
      <c r="O2898" s="49" t="s">
        <v>815</v>
      </c>
      <c r="P2898" s="54" t="s">
        <v>3392</v>
      </c>
      <c r="Q2898" s="35" t="str">
        <f>MID(Tabla1[[#This Row],[Aplicación]],14,1)</f>
        <v>2</v>
      </c>
      <c r="R2898" s="35" t="s">
        <v>495</v>
      </c>
      <c r="S2898" s="35" t="str">
        <f>MID(Tabla1[[#This Row],[Aplicación]],6,2)</f>
        <v>02</v>
      </c>
      <c r="T2898" s="35" t="str">
        <f>VLOOKUP(Tabla1[[#This Row],[AREA]],Hoja1!A:B,2,FALSE)</f>
        <v>02. Planeamiento urbanístico y vivienda</v>
      </c>
      <c r="U2898" s="35" t="str">
        <f>MID(Tabla1[[#This Row],[Aplicación]],9,4)</f>
        <v>9332</v>
      </c>
      <c r="V2898" s="35" t="str">
        <f>VLOOKUP(Tabla1[[#This Row],[PROGRAMA]],Hoja1!A:B,2,FALSE)</f>
        <v>9332. Mantenimiento de edificios e instalaciones municipales</v>
      </c>
      <c r="W2898" s="35" t="str">
        <f>MID(Tabla1[[#This Row],[Aplicación]],14,2)</f>
        <v>21</v>
      </c>
      <c r="X2898" s="35" t="str">
        <f>MID(Tabla1[[#This Row],[Aplicación]],14,6)</f>
        <v>212</v>
      </c>
    </row>
    <row r="2899" spans="1:24" x14ac:dyDescent="0.25">
      <c r="A2899" s="45">
        <v>220210021014</v>
      </c>
      <c r="B2899" s="46" t="s">
        <v>9</v>
      </c>
      <c r="C2899" s="47">
        <v>44323</v>
      </c>
      <c r="D2899" s="45">
        <v>22021004347</v>
      </c>
      <c r="E2899" s="46" t="s">
        <v>941</v>
      </c>
      <c r="F2899" s="48">
        <v>200</v>
      </c>
      <c r="G2899" s="54" t="s">
        <v>53</v>
      </c>
      <c r="H2899" s="54" t="s">
        <v>4463</v>
      </c>
      <c r="I2899" s="53" t="s">
        <v>125</v>
      </c>
      <c r="J2899" s="54" t="s">
        <v>127</v>
      </c>
      <c r="K2899" s="54" t="s">
        <v>127</v>
      </c>
      <c r="L2899" s="54" t="s">
        <v>15</v>
      </c>
      <c r="M2899" s="54" t="s">
        <v>10</v>
      </c>
      <c r="N2899" s="54" t="s">
        <v>11</v>
      </c>
      <c r="O2899" s="49" t="s">
        <v>815</v>
      </c>
      <c r="P2899" s="54" t="s">
        <v>3392</v>
      </c>
      <c r="Q2899" s="35" t="str">
        <f>MID(Tabla1[[#This Row],[Aplicación]],14,1)</f>
        <v>2</v>
      </c>
      <c r="R2899" s="35" t="s">
        <v>495</v>
      </c>
      <c r="S2899" s="35" t="str">
        <f>MID(Tabla1[[#This Row],[Aplicación]],6,2)</f>
        <v>06</v>
      </c>
      <c r="T2899" s="35" t="str">
        <f>VLOOKUP(Tabla1[[#This Row],[AREA]],Hoja1!A:B,2,FALSE)</f>
        <v>06. Educación, infancia, juventud e igualdad</v>
      </c>
      <c r="U2899" s="35" t="str">
        <f>MID(Tabla1[[#This Row],[Aplicación]],9,4)</f>
        <v>3232</v>
      </c>
      <c r="V2899" s="35" t="str">
        <f>VLOOKUP(Tabla1[[#This Row],[PROGRAMA]],Hoja1!A:B,2,FALSE)</f>
        <v>3232. Conservación y mantenimiento centros educación infantil y primaria</v>
      </c>
      <c r="W2899" s="35" t="str">
        <f>MID(Tabla1[[#This Row],[Aplicación]],14,2)</f>
        <v>21</v>
      </c>
      <c r="X2899" s="35" t="str">
        <f>MID(Tabla1[[#This Row],[Aplicación]],14,6)</f>
        <v>213</v>
      </c>
    </row>
    <row r="2900" spans="1:24" x14ac:dyDescent="0.25">
      <c r="A2900" s="45">
        <v>220210028156</v>
      </c>
      <c r="B2900" s="46" t="s">
        <v>9</v>
      </c>
      <c r="C2900" s="47">
        <v>44348</v>
      </c>
      <c r="D2900" s="45">
        <v>22021004627</v>
      </c>
      <c r="E2900" s="46" t="s">
        <v>1533</v>
      </c>
      <c r="F2900" s="48">
        <v>200</v>
      </c>
      <c r="G2900" s="54" t="s">
        <v>3557</v>
      </c>
      <c r="H2900" s="54" t="s">
        <v>4464</v>
      </c>
      <c r="I2900" s="53" t="s">
        <v>125</v>
      </c>
      <c r="J2900" s="54" t="s">
        <v>127</v>
      </c>
      <c r="K2900" s="54" t="s">
        <v>127</v>
      </c>
      <c r="L2900" s="54" t="s">
        <v>12</v>
      </c>
      <c r="M2900" s="54" t="s">
        <v>10</v>
      </c>
      <c r="N2900" s="54" t="s">
        <v>11</v>
      </c>
      <c r="O2900" s="49" t="s">
        <v>815</v>
      </c>
      <c r="P2900" s="54" t="s">
        <v>3392</v>
      </c>
      <c r="Q2900" s="35" t="str">
        <f>MID(Tabla1[[#This Row],[Aplicación]],14,1)</f>
        <v>2</v>
      </c>
      <c r="R2900" s="35" t="s">
        <v>495</v>
      </c>
      <c r="S2900" s="35" t="str">
        <f>MID(Tabla1[[#This Row],[Aplicación]],6,2)</f>
        <v>10</v>
      </c>
      <c r="T2900" s="35" t="str">
        <f>VLOOKUP(Tabla1[[#This Row],[AREA]],Hoja1!A:B,2,FALSE)</f>
        <v>10. Servicios sociales y mediación comunitaria</v>
      </c>
      <c r="U2900" s="35" t="str">
        <f>MID(Tabla1[[#This Row],[Aplicación]],9,4)</f>
        <v>2312</v>
      </c>
      <c r="V2900" s="35" t="str">
        <f>VLOOKUP(Tabla1[[#This Row],[PROGRAMA]],Hoja1!A:B,2,FALSE)</f>
        <v>2312. Iniciativas sociales</v>
      </c>
      <c r="W2900" s="35" t="str">
        <f>MID(Tabla1[[#This Row],[Aplicación]],14,2)</f>
        <v>22</v>
      </c>
      <c r="X2900" s="35" t="str">
        <f>MID(Tabla1[[#This Row],[Aplicación]],14,6)</f>
        <v>22615</v>
      </c>
    </row>
    <row r="2901" spans="1:24" x14ac:dyDescent="0.25">
      <c r="A2901" s="45">
        <v>220210014794</v>
      </c>
      <c r="B2901" s="46" t="s">
        <v>204</v>
      </c>
      <c r="C2901" s="47">
        <v>44299</v>
      </c>
      <c r="D2901" s="45">
        <v>22021002088</v>
      </c>
      <c r="E2901" s="46" t="s">
        <v>1478</v>
      </c>
      <c r="F2901" s="48">
        <v>258.08</v>
      </c>
      <c r="G2901" s="54" t="s">
        <v>236</v>
      </c>
      <c r="H2901" s="54" t="s">
        <v>4465</v>
      </c>
      <c r="I2901" s="53" t="s">
        <v>205</v>
      </c>
      <c r="J2901" s="54" t="s">
        <v>127</v>
      </c>
      <c r="K2901" s="54" t="s">
        <v>127</v>
      </c>
      <c r="L2901" s="54" t="s">
        <v>15</v>
      </c>
      <c r="M2901" s="54" t="s">
        <v>13</v>
      </c>
      <c r="N2901" s="54" t="s">
        <v>16</v>
      </c>
      <c r="O2901" s="49" t="s">
        <v>814</v>
      </c>
      <c r="P2901" s="54" t="s">
        <v>3392</v>
      </c>
      <c r="Q2901" s="35" t="str">
        <f>MID(Tabla1[[#This Row],[Aplicación]],14,1)</f>
        <v>2</v>
      </c>
      <c r="R2901" s="35" t="s">
        <v>495</v>
      </c>
      <c r="S2901" s="35" t="str">
        <f>MID(Tabla1[[#This Row],[Aplicación]],6,2)</f>
        <v>03</v>
      </c>
      <c r="T2901" s="35" t="str">
        <f>VLOOKUP(Tabla1[[#This Row],[AREA]],Hoja1!A:B,2,FALSE)</f>
        <v>03. Participación ciudadana y deportes</v>
      </c>
      <c r="U2901" s="35" t="str">
        <f>MID(Tabla1[[#This Row],[Aplicación]],9,4)</f>
        <v>9241</v>
      </c>
      <c r="V2901" s="35" t="str">
        <f>VLOOKUP(Tabla1[[#This Row],[PROGRAMA]],Hoja1!A:B,2,FALSE)</f>
        <v>9241. Participación ciudadana</v>
      </c>
      <c r="W2901" s="35" t="str">
        <f>MID(Tabla1[[#This Row],[Aplicación]],14,2)</f>
        <v>21</v>
      </c>
      <c r="X2901" s="35" t="str">
        <f>MID(Tabla1[[#This Row],[Aplicación]],14,6)</f>
        <v>212</v>
      </c>
    </row>
    <row r="2902" spans="1:24" x14ac:dyDescent="0.25">
      <c r="A2902" s="45">
        <v>220210020610</v>
      </c>
      <c r="B2902" s="46" t="s">
        <v>9</v>
      </c>
      <c r="C2902" s="47">
        <v>44322</v>
      </c>
      <c r="D2902" s="45">
        <v>22021004036</v>
      </c>
      <c r="E2902" s="46" t="s">
        <v>3333</v>
      </c>
      <c r="F2902" s="48">
        <v>200</v>
      </c>
      <c r="G2902" s="54" t="s">
        <v>4466</v>
      </c>
      <c r="H2902" s="54" t="s">
        <v>4467</v>
      </c>
      <c r="I2902" s="53" t="s">
        <v>125</v>
      </c>
      <c r="J2902" s="54" t="s">
        <v>127</v>
      </c>
      <c r="K2902" s="54" t="s">
        <v>127</v>
      </c>
      <c r="L2902" s="54" t="s">
        <v>12</v>
      </c>
      <c r="M2902" s="54" t="s">
        <v>10</v>
      </c>
      <c r="N2902" s="54" t="s">
        <v>11</v>
      </c>
      <c r="O2902" s="49" t="s">
        <v>815</v>
      </c>
      <c r="P2902" s="54" t="s">
        <v>3392</v>
      </c>
      <c r="Q2902" s="35" t="str">
        <f>MID(Tabla1[[#This Row],[Aplicación]],14,1)</f>
        <v>2</v>
      </c>
      <c r="R2902" s="35" t="s">
        <v>495</v>
      </c>
      <c r="S2902" s="35" t="str">
        <f>MID(Tabla1[[#This Row],[Aplicación]],6,2)</f>
        <v>10</v>
      </c>
      <c r="T2902" s="35" t="str">
        <f>VLOOKUP(Tabla1[[#This Row],[AREA]],Hoja1!A:B,2,FALSE)</f>
        <v>10. Servicios sociales y mediación comunitaria</v>
      </c>
      <c r="U2902" s="35" t="str">
        <f>MID(Tabla1[[#This Row],[Aplicación]],9,4)</f>
        <v>2316</v>
      </c>
      <c r="V2902" s="35" t="str">
        <f>VLOOKUP(Tabla1[[#This Row],[PROGRAMA]],Hoja1!A:B,2,FALSE)</f>
        <v>2316. Mediación comunitaria</v>
      </c>
      <c r="W2902" s="35" t="str">
        <f>MID(Tabla1[[#This Row],[Aplicación]],14,2)</f>
        <v>22</v>
      </c>
      <c r="X2902" s="35" t="str">
        <f>MID(Tabla1[[#This Row],[Aplicación]],14,6)</f>
        <v>22616</v>
      </c>
    </row>
    <row r="2903" spans="1:24" x14ac:dyDescent="0.25">
      <c r="A2903" s="45">
        <v>220210022523</v>
      </c>
      <c r="B2903" s="46" t="s">
        <v>204</v>
      </c>
      <c r="C2903" s="47">
        <v>44330</v>
      </c>
      <c r="D2903" s="45">
        <v>22021001968</v>
      </c>
      <c r="E2903" s="46" t="s">
        <v>1388</v>
      </c>
      <c r="F2903" s="48">
        <v>174.78</v>
      </c>
      <c r="G2903" s="54" t="s">
        <v>256</v>
      </c>
      <c r="H2903" s="54" t="s">
        <v>4468</v>
      </c>
      <c r="I2903" s="53" t="s">
        <v>205</v>
      </c>
      <c r="J2903" s="54" t="s">
        <v>127</v>
      </c>
      <c r="K2903" s="54" t="s">
        <v>127</v>
      </c>
      <c r="L2903" s="54" t="s">
        <v>15</v>
      </c>
      <c r="M2903" s="54" t="s">
        <v>13</v>
      </c>
      <c r="N2903" s="54" t="s">
        <v>14</v>
      </c>
      <c r="O2903" s="49" t="s">
        <v>814</v>
      </c>
      <c r="P2903" s="54" t="s">
        <v>3392</v>
      </c>
      <c r="Q2903" s="35" t="str">
        <f>MID(Tabla1[[#This Row],[Aplicación]],14,1)</f>
        <v>2</v>
      </c>
      <c r="R2903" s="35" t="s">
        <v>495</v>
      </c>
      <c r="S2903" s="35" t="str">
        <f>MID(Tabla1[[#This Row],[Aplicación]],6,2)</f>
        <v>11</v>
      </c>
      <c r="T2903" s="35" t="str">
        <f>VLOOKUP(Tabla1[[#This Row],[AREA]],Hoja1!A:B,2,FALSE)</f>
        <v>11. Salud pública y seguridad ciudadana</v>
      </c>
      <c r="U2903" s="35" t="str">
        <f>MID(Tabla1[[#This Row],[Aplicación]],9,4)</f>
        <v>1321</v>
      </c>
      <c r="V2903" s="35" t="str">
        <f>VLOOKUP(Tabla1[[#This Row],[PROGRAMA]],Hoja1!A:B,2,FALSE)</f>
        <v>1321. Policía municipal</v>
      </c>
      <c r="W2903" s="35" t="str">
        <f>MID(Tabla1[[#This Row],[Aplicación]],14,2)</f>
        <v>22</v>
      </c>
      <c r="X2903" s="35" t="str">
        <f>MID(Tabla1[[#This Row],[Aplicación]],14,6)</f>
        <v>22199</v>
      </c>
    </row>
    <row r="2904" spans="1:24" x14ac:dyDescent="0.25">
      <c r="A2904" s="45">
        <v>220210024746</v>
      </c>
      <c r="B2904" s="46" t="s">
        <v>204</v>
      </c>
      <c r="C2904" s="47">
        <v>44340</v>
      </c>
      <c r="D2904" s="45">
        <v>22021001275</v>
      </c>
      <c r="E2904" s="46" t="s">
        <v>1334</v>
      </c>
      <c r="F2904" s="48">
        <v>564.27</v>
      </c>
      <c r="G2904" s="54" t="s">
        <v>256</v>
      </c>
      <c r="H2904" s="54" t="s">
        <v>4469</v>
      </c>
      <c r="I2904" s="53" t="s">
        <v>205</v>
      </c>
      <c r="J2904" s="54" t="s">
        <v>127</v>
      </c>
      <c r="K2904" s="54" t="s">
        <v>127</v>
      </c>
      <c r="L2904" s="54" t="s">
        <v>15</v>
      </c>
      <c r="M2904" s="54" t="s">
        <v>13</v>
      </c>
      <c r="N2904" s="54" t="s">
        <v>14</v>
      </c>
      <c r="O2904" s="49" t="s">
        <v>814</v>
      </c>
      <c r="P2904" s="54" t="s">
        <v>3392</v>
      </c>
      <c r="Q2904" s="35" t="str">
        <f>MID(Tabla1[[#This Row],[Aplicación]],14,1)</f>
        <v>2</v>
      </c>
      <c r="R2904" s="35" t="s">
        <v>495</v>
      </c>
      <c r="S2904" s="35" t="str">
        <f>MID(Tabla1[[#This Row],[Aplicación]],6,2)</f>
        <v>07</v>
      </c>
      <c r="T2904" s="35" t="str">
        <f>VLOOKUP(Tabla1[[#This Row],[AREA]],Hoja1!A:B,2,FALSE)</f>
        <v>07. Medio ambiente y desarrollo sostenible</v>
      </c>
      <c r="U2904" s="35" t="str">
        <f>MID(Tabla1[[#This Row],[Aplicación]],9,4)</f>
        <v>1711</v>
      </c>
      <c r="V2904" s="35" t="str">
        <f>VLOOKUP(Tabla1[[#This Row],[PROGRAMA]],Hoja1!A:B,2,FALSE)</f>
        <v>1711. Parques y jardines</v>
      </c>
      <c r="W2904" s="35" t="str">
        <f>MID(Tabla1[[#This Row],[Aplicación]],14,2)</f>
        <v>22</v>
      </c>
      <c r="X2904" s="35" t="str">
        <f>MID(Tabla1[[#This Row],[Aplicación]],14,6)</f>
        <v>22199</v>
      </c>
    </row>
    <row r="2905" spans="1:24" x14ac:dyDescent="0.25">
      <c r="A2905" s="45">
        <v>220210025679</v>
      </c>
      <c r="B2905" s="46" t="s">
        <v>204</v>
      </c>
      <c r="C2905" s="47">
        <v>44343</v>
      </c>
      <c r="D2905" s="45">
        <v>22021003381</v>
      </c>
      <c r="E2905" s="46" t="s">
        <v>1183</v>
      </c>
      <c r="F2905" s="48">
        <v>421.23</v>
      </c>
      <c r="G2905" s="54" t="s">
        <v>256</v>
      </c>
      <c r="H2905" s="54" t="s">
        <v>4470</v>
      </c>
      <c r="I2905" s="53" t="s">
        <v>205</v>
      </c>
      <c r="J2905" s="54" t="s">
        <v>127</v>
      </c>
      <c r="K2905" s="54" t="s">
        <v>127</v>
      </c>
      <c r="L2905" s="54" t="s">
        <v>15</v>
      </c>
      <c r="M2905" s="54" t="s">
        <v>13</v>
      </c>
      <c r="N2905" s="54" t="s">
        <v>14</v>
      </c>
      <c r="O2905" s="49" t="s">
        <v>814</v>
      </c>
      <c r="P2905" s="54" t="s">
        <v>3392</v>
      </c>
      <c r="Q2905" s="35" t="str">
        <f>MID(Tabla1[[#This Row],[Aplicación]],14,1)</f>
        <v>2</v>
      </c>
      <c r="R2905" s="35" t="s">
        <v>495</v>
      </c>
      <c r="S2905" s="35" t="str">
        <f>MID(Tabla1[[#This Row],[Aplicación]],6,2)</f>
        <v>11</v>
      </c>
      <c r="T2905" s="35" t="str">
        <f>VLOOKUP(Tabla1[[#This Row],[AREA]],Hoja1!A:B,2,FALSE)</f>
        <v>11. Salud pública y seguridad ciudadana</v>
      </c>
      <c r="U2905" s="35" t="str">
        <f>MID(Tabla1[[#This Row],[Aplicación]],9,4)</f>
        <v>1361</v>
      </c>
      <c r="V2905" s="35" t="str">
        <f>VLOOKUP(Tabla1[[#This Row],[PROGRAMA]],Hoja1!A:B,2,FALSE)</f>
        <v>1361. Prevención y extinción de incencios</v>
      </c>
      <c r="W2905" s="35" t="str">
        <f>MID(Tabla1[[#This Row],[Aplicación]],14,2)</f>
        <v>22</v>
      </c>
      <c r="X2905" s="35" t="str">
        <f>MID(Tabla1[[#This Row],[Aplicación]],14,6)</f>
        <v>22199</v>
      </c>
    </row>
    <row r="2906" spans="1:24" x14ac:dyDescent="0.25">
      <c r="A2906" s="45">
        <v>220210033201</v>
      </c>
      <c r="B2906" s="46" t="s">
        <v>204</v>
      </c>
      <c r="C2906" s="47">
        <v>44377</v>
      </c>
      <c r="D2906" s="45">
        <v>22021001275</v>
      </c>
      <c r="E2906" s="46" t="s">
        <v>1334</v>
      </c>
      <c r="F2906" s="48">
        <v>965.51</v>
      </c>
      <c r="G2906" s="54" t="s">
        <v>256</v>
      </c>
      <c r="H2906" s="54" t="s">
        <v>4471</v>
      </c>
      <c r="I2906" s="53" t="s">
        <v>205</v>
      </c>
      <c r="J2906" s="54" t="s">
        <v>127</v>
      </c>
      <c r="K2906" s="54" t="s">
        <v>127</v>
      </c>
      <c r="L2906" s="54" t="s">
        <v>15</v>
      </c>
      <c r="M2906" s="54" t="s">
        <v>13</v>
      </c>
      <c r="N2906" s="54" t="s">
        <v>14</v>
      </c>
      <c r="O2906" s="49" t="s">
        <v>814</v>
      </c>
      <c r="P2906" s="54" t="s">
        <v>3392</v>
      </c>
      <c r="Q2906" s="35" t="str">
        <f>MID(Tabla1[[#This Row],[Aplicación]],14,1)</f>
        <v>2</v>
      </c>
      <c r="R2906" s="35" t="s">
        <v>495</v>
      </c>
      <c r="S2906" s="35" t="str">
        <f>MID(Tabla1[[#This Row],[Aplicación]],6,2)</f>
        <v>07</v>
      </c>
      <c r="T2906" s="35" t="str">
        <f>VLOOKUP(Tabla1[[#This Row],[AREA]],Hoja1!A:B,2,FALSE)</f>
        <v>07. Medio ambiente y desarrollo sostenible</v>
      </c>
      <c r="U2906" s="35" t="str">
        <f>MID(Tabla1[[#This Row],[Aplicación]],9,4)</f>
        <v>1711</v>
      </c>
      <c r="V2906" s="35" t="str">
        <f>VLOOKUP(Tabla1[[#This Row],[PROGRAMA]],Hoja1!A:B,2,FALSE)</f>
        <v>1711. Parques y jardines</v>
      </c>
      <c r="W2906" s="35" t="str">
        <f>MID(Tabla1[[#This Row],[Aplicación]],14,2)</f>
        <v>22</v>
      </c>
      <c r="X2906" s="35" t="str">
        <f>MID(Tabla1[[#This Row],[Aplicación]],14,6)</f>
        <v>22199</v>
      </c>
    </row>
    <row r="2907" spans="1:24" x14ac:dyDescent="0.25">
      <c r="A2907" s="45">
        <v>220210022472</v>
      </c>
      <c r="B2907" s="46" t="s">
        <v>204</v>
      </c>
      <c r="C2907" s="47">
        <v>44330</v>
      </c>
      <c r="D2907" s="45">
        <v>22021001276</v>
      </c>
      <c r="E2907" s="46" t="s">
        <v>2510</v>
      </c>
      <c r="F2907" s="48">
        <v>1122</v>
      </c>
      <c r="G2907" s="54" t="s">
        <v>4472</v>
      </c>
      <c r="H2907" s="54" t="s">
        <v>3098</v>
      </c>
      <c r="I2907" s="53" t="s">
        <v>205</v>
      </c>
      <c r="J2907" s="54" t="s">
        <v>3835</v>
      </c>
      <c r="K2907" s="54" t="s">
        <v>127</v>
      </c>
      <c r="L2907" s="54" t="s">
        <v>15</v>
      </c>
      <c r="M2907" s="54" t="s">
        <v>13</v>
      </c>
      <c r="N2907" s="54" t="s">
        <v>14</v>
      </c>
      <c r="O2907" s="49" t="s">
        <v>814</v>
      </c>
      <c r="P2907" s="54" t="s">
        <v>3392</v>
      </c>
      <c r="Q2907" s="35" t="str">
        <f>MID(Tabla1[[#This Row],[Aplicación]],14,1)</f>
        <v>2</v>
      </c>
      <c r="R2907" s="35" t="s">
        <v>495</v>
      </c>
      <c r="S2907" s="35" t="str">
        <f>MID(Tabla1[[#This Row],[Aplicación]],6,2)</f>
        <v>07</v>
      </c>
      <c r="T2907" s="35" t="str">
        <f>VLOOKUP(Tabla1[[#This Row],[AREA]],Hoja1!A:B,2,FALSE)</f>
        <v>07. Medio ambiente y desarrollo sostenible</v>
      </c>
      <c r="U2907" s="35" t="str">
        <f>MID(Tabla1[[#This Row],[Aplicación]],9,4)</f>
        <v>1711</v>
      </c>
      <c r="V2907" s="35" t="str">
        <f>VLOOKUP(Tabla1[[#This Row],[PROGRAMA]],Hoja1!A:B,2,FALSE)</f>
        <v>1711. Parques y jardines</v>
      </c>
      <c r="W2907" s="35" t="str">
        <f>MID(Tabla1[[#This Row],[Aplicación]],14,2)</f>
        <v>22</v>
      </c>
      <c r="X2907" s="35" t="str">
        <f>MID(Tabla1[[#This Row],[Aplicación]],14,6)</f>
        <v>22106</v>
      </c>
    </row>
    <row r="2908" spans="1:24" x14ac:dyDescent="0.25">
      <c r="A2908" s="45">
        <v>220210033087</v>
      </c>
      <c r="B2908" s="46" t="s">
        <v>9</v>
      </c>
      <c r="C2908" s="47">
        <v>44376</v>
      </c>
      <c r="D2908" s="45">
        <v>22021005083</v>
      </c>
      <c r="E2908" s="46" t="s">
        <v>1187</v>
      </c>
      <c r="F2908" s="48">
        <v>198</v>
      </c>
      <c r="G2908" s="54" t="s">
        <v>4473</v>
      </c>
      <c r="H2908" s="54" t="s">
        <v>4474</v>
      </c>
      <c r="I2908" s="53" t="s">
        <v>125</v>
      </c>
      <c r="J2908" s="54" t="s">
        <v>165</v>
      </c>
      <c r="K2908" s="54" t="s">
        <v>165</v>
      </c>
      <c r="L2908" s="54" t="s">
        <v>12</v>
      </c>
      <c r="M2908" s="54" t="s">
        <v>10</v>
      </c>
      <c r="N2908" s="54" t="s">
        <v>11</v>
      </c>
      <c r="O2908" s="49" t="s">
        <v>815</v>
      </c>
      <c r="P2908" s="54" t="s">
        <v>3392</v>
      </c>
      <c r="Q2908" s="35" t="str">
        <f>MID(Tabla1[[#This Row],[Aplicación]],14,1)</f>
        <v>2</v>
      </c>
      <c r="R2908" s="35" t="s">
        <v>495</v>
      </c>
      <c r="S2908" s="35" t="str">
        <f>MID(Tabla1[[#This Row],[Aplicación]],6,2)</f>
        <v>06</v>
      </c>
      <c r="T2908" s="35" t="str">
        <f>VLOOKUP(Tabla1[[#This Row],[AREA]],Hoja1!A:B,2,FALSE)</f>
        <v>06. Educación, infancia, juventud e igualdad</v>
      </c>
      <c r="U2908" s="35" t="str">
        <f>MID(Tabla1[[#This Row],[Aplicación]],9,4)</f>
        <v>2315</v>
      </c>
      <c r="V2908" s="35" t="str">
        <f>VLOOKUP(Tabla1[[#This Row],[PROGRAMA]],Hoja1!A:B,2,FALSE)</f>
        <v>2315. Políticas de Igualdad e infancia</v>
      </c>
      <c r="W2908" s="35" t="str">
        <f>MID(Tabla1[[#This Row],[Aplicación]],14,2)</f>
        <v>22</v>
      </c>
      <c r="X2908" s="35" t="str">
        <f>MID(Tabla1[[#This Row],[Aplicación]],14,6)</f>
        <v>22611</v>
      </c>
    </row>
    <row r="2909" spans="1:24" x14ac:dyDescent="0.25">
      <c r="A2909" s="45">
        <v>220210019173</v>
      </c>
      <c r="B2909" s="46" t="s">
        <v>204</v>
      </c>
      <c r="C2909" s="47">
        <v>44319</v>
      </c>
      <c r="D2909" s="45">
        <v>22021002371</v>
      </c>
      <c r="E2909" s="46" t="s">
        <v>1336</v>
      </c>
      <c r="F2909" s="48">
        <v>253.72</v>
      </c>
      <c r="G2909" s="54" t="s">
        <v>223</v>
      </c>
      <c r="H2909" s="54" t="s">
        <v>4475</v>
      </c>
      <c r="I2909" s="53" t="s">
        <v>205</v>
      </c>
      <c r="J2909" s="54" t="s">
        <v>127</v>
      </c>
      <c r="K2909" s="54" t="s">
        <v>127</v>
      </c>
      <c r="L2909" s="54" t="s">
        <v>15</v>
      </c>
      <c r="M2909" s="54" t="s">
        <v>13</v>
      </c>
      <c r="N2909" s="54" t="s">
        <v>14</v>
      </c>
      <c r="O2909" s="49" t="s">
        <v>814</v>
      </c>
      <c r="P2909" s="54" t="s">
        <v>3392</v>
      </c>
      <c r="Q2909" s="35" t="str">
        <f>MID(Tabla1[[#This Row],[Aplicación]],14,1)</f>
        <v>2</v>
      </c>
      <c r="R2909" s="35" t="s">
        <v>495</v>
      </c>
      <c r="S2909" s="35" t="str">
        <f>MID(Tabla1[[#This Row],[Aplicación]],6,2)</f>
        <v>02</v>
      </c>
      <c r="T2909" s="35" t="str">
        <f>VLOOKUP(Tabla1[[#This Row],[AREA]],Hoja1!A:B,2,FALSE)</f>
        <v>02. Planeamiento urbanístico y vivienda</v>
      </c>
      <c r="U2909" s="35" t="str">
        <f>MID(Tabla1[[#This Row],[Aplicación]],9,4)</f>
        <v>9332</v>
      </c>
      <c r="V2909" s="35" t="str">
        <f>VLOOKUP(Tabla1[[#This Row],[PROGRAMA]],Hoja1!A:B,2,FALSE)</f>
        <v>9332. Mantenimiento de edificios e instalaciones municipales</v>
      </c>
      <c r="W2909" s="35" t="str">
        <f>MID(Tabla1[[#This Row],[Aplicación]],14,2)</f>
        <v>21</v>
      </c>
      <c r="X2909" s="35" t="str">
        <f>MID(Tabla1[[#This Row],[Aplicación]],14,6)</f>
        <v>212</v>
      </c>
    </row>
    <row r="2910" spans="1:24" x14ac:dyDescent="0.25">
      <c r="A2910" s="45">
        <v>220210014500</v>
      </c>
      <c r="B2910" s="46" t="s">
        <v>204</v>
      </c>
      <c r="C2910" s="47">
        <v>44295</v>
      </c>
      <c r="D2910" s="45">
        <v>22020001574</v>
      </c>
      <c r="E2910" s="46" t="s">
        <v>3362</v>
      </c>
      <c r="F2910" s="48">
        <v>252.06</v>
      </c>
      <c r="G2910" s="54" t="s">
        <v>4476</v>
      </c>
      <c r="H2910" s="54" t="s">
        <v>4477</v>
      </c>
      <c r="I2910" s="53" t="s">
        <v>205</v>
      </c>
      <c r="J2910" s="54" t="s">
        <v>146</v>
      </c>
      <c r="K2910" s="54" t="s">
        <v>146</v>
      </c>
      <c r="L2910" s="54" t="s">
        <v>15</v>
      </c>
      <c r="M2910" s="54" t="s">
        <v>13</v>
      </c>
      <c r="N2910" s="54" t="s">
        <v>14</v>
      </c>
      <c r="O2910" s="49" t="s">
        <v>814</v>
      </c>
      <c r="P2910" s="54" t="s">
        <v>3392</v>
      </c>
      <c r="Q2910" s="35" t="str">
        <f>MID(Tabla1[[#This Row],[Aplicación]],14,1)</f>
        <v>6</v>
      </c>
      <c r="R2910" s="35" t="s">
        <v>496</v>
      </c>
      <c r="S2910" s="35" t="str">
        <f>MID(Tabla1[[#This Row],[Aplicación]],6,2)</f>
        <v>06</v>
      </c>
      <c r="T2910" s="35" t="str">
        <f>VLOOKUP(Tabla1[[#This Row],[AREA]],Hoja1!A:B,2,FALSE)</f>
        <v>06. Educación, infancia, juventud e igualdad</v>
      </c>
      <c r="U2910" s="35" t="str">
        <f>MID(Tabla1[[#This Row],[Aplicación]],9,4)</f>
        <v>3321</v>
      </c>
      <c r="V2910" s="35" t="str">
        <f>VLOOKUP(Tabla1[[#This Row],[PROGRAMA]],Hoja1!A:B,2,FALSE)</f>
        <v>3321. Bibliotecas públicas</v>
      </c>
      <c r="W2910" s="35" t="str">
        <f>MID(Tabla1[[#This Row],[Aplicación]],14,2)</f>
        <v>62</v>
      </c>
      <c r="X2910" s="35" t="str">
        <f>MID(Tabla1[[#This Row],[Aplicación]],14,6)</f>
        <v>629</v>
      </c>
    </row>
    <row r="2911" spans="1:24" x14ac:dyDescent="0.25">
      <c r="A2911" s="45">
        <v>220210030357</v>
      </c>
      <c r="B2911" s="46" t="s">
        <v>204</v>
      </c>
      <c r="C2911" s="47">
        <v>44358</v>
      </c>
      <c r="D2911" s="45">
        <v>22021004466</v>
      </c>
      <c r="E2911" s="46" t="s">
        <v>1328</v>
      </c>
      <c r="F2911" s="48">
        <v>250.95</v>
      </c>
      <c r="G2911" s="54" t="s">
        <v>4378</v>
      </c>
      <c r="H2911" s="54" t="s">
        <v>4379</v>
      </c>
      <c r="I2911" s="53" t="s">
        <v>205</v>
      </c>
      <c r="J2911" s="54" t="s">
        <v>664</v>
      </c>
      <c r="K2911" s="54" t="s">
        <v>127</v>
      </c>
      <c r="L2911" s="54" t="s">
        <v>15</v>
      </c>
      <c r="M2911" s="54" t="s">
        <v>13</v>
      </c>
      <c r="N2911" s="54" t="s">
        <v>14</v>
      </c>
      <c r="O2911" s="49" t="s">
        <v>814</v>
      </c>
      <c r="P2911" s="54" t="s">
        <v>3392</v>
      </c>
      <c r="Q2911" s="35" t="str">
        <f>MID(Tabla1[[#This Row],[Aplicación]],14,1)</f>
        <v>2</v>
      </c>
      <c r="R2911" s="35" t="s">
        <v>495</v>
      </c>
      <c r="S2911" s="35" t="str">
        <f>MID(Tabla1[[#This Row],[Aplicación]],6,2)</f>
        <v>10</v>
      </c>
      <c r="T2911" s="35" t="str">
        <f>VLOOKUP(Tabla1[[#This Row],[AREA]],Hoja1!A:B,2,FALSE)</f>
        <v>10. Servicios sociales y mediación comunitaria</v>
      </c>
      <c r="U2911" s="35" t="str">
        <f>MID(Tabla1[[#This Row],[Aplicación]],9,4)</f>
        <v>2311</v>
      </c>
      <c r="V2911" s="35" t="str">
        <f>VLOOKUP(Tabla1[[#This Row],[PROGRAMA]],Hoja1!A:B,2,FALSE)</f>
        <v>2311. Intervención social</v>
      </c>
      <c r="W2911" s="35" t="str">
        <f>MID(Tabla1[[#This Row],[Aplicación]],14,2)</f>
        <v>21</v>
      </c>
      <c r="X2911" s="35" t="str">
        <f>MID(Tabla1[[#This Row],[Aplicación]],14,6)</f>
        <v>212</v>
      </c>
    </row>
    <row r="2912" spans="1:24" x14ac:dyDescent="0.25">
      <c r="A2912" s="45">
        <v>220210022737</v>
      </c>
      <c r="B2912" s="46" t="s">
        <v>204</v>
      </c>
      <c r="C2912" s="47">
        <v>44333</v>
      </c>
      <c r="D2912" s="45">
        <v>22021002052</v>
      </c>
      <c r="E2912" s="46" t="s">
        <v>1340</v>
      </c>
      <c r="F2912" s="48">
        <v>246.53</v>
      </c>
      <c r="G2912" s="54" t="s">
        <v>102</v>
      </c>
      <c r="H2912" s="54" t="s">
        <v>4478</v>
      </c>
      <c r="I2912" s="53" t="s">
        <v>205</v>
      </c>
      <c r="J2912" s="54" t="s">
        <v>127</v>
      </c>
      <c r="K2912" s="54" t="s">
        <v>127</v>
      </c>
      <c r="L2912" s="54" t="s">
        <v>15</v>
      </c>
      <c r="M2912" s="54" t="s">
        <v>13</v>
      </c>
      <c r="N2912" s="54" t="s">
        <v>14</v>
      </c>
      <c r="O2912" s="49" t="s">
        <v>814</v>
      </c>
      <c r="P2912" s="54" t="s">
        <v>3392</v>
      </c>
      <c r="Q2912" s="35" t="str">
        <f>MID(Tabla1[[#This Row],[Aplicación]],14,1)</f>
        <v>2</v>
      </c>
      <c r="R2912" s="35" t="s">
        <v>495</v>
      </c>
      <c r="S2912" s="35" t="str">
        <f>MID(Tabla1[[#This Row],[Aplicación]],6,2)</f>
        <v>11</v>
      </c>
      <c r="T2912" s="35" t="str">
        <f>VLOOKUP(Tabla1[[#This Row],[AREA]],Hoja1!A:B,2,FALSE)</f>
        <v>11. Salud pública y seguridad ciudadana</v>
      </c>
      <c r="U2912" s="35" t="str">
        <f>MID(Tabla1[[#This Row],[Aplicación]],9,4)</f>
        <v>1621</v>
      </c>
      <c r="V2912" s="35" t="str">
        <f>VLOOKUP(Tabla1[[#This Row],[PROGRAMA]],Hoja1!A:B,2,FALSE)</f>
        <v>1621. Servicio de limpieza</v>
      </c>
      <c r="W2912" s="35" t="str">
        <f>MID(Tabla1[[#This Row],[Aplicación]],14,2)</f>
        <v>22</v>
      </c>
      <c r="X2912" s="35" t="str">
        <f>MID(Tabla1[[#This Row],[Aplicación]],14,6)</f>
        <v>22199</v>
      </c>
    </row>
    <row r="2913" spans="1:24" x14ac:dyDescent="0.25">
      <c r="A2913" s="45">
        <v>220210016746</v>
      </c>
      <c r="B2913" s="46" t="s">
        <v>9</v>
      </c>
      <c r="C2913" s="47">
        <v>44308</v>
      </c>
      <c r="D2913" s="45">
        <v>22021000677</v>
      </c>
      <c r="E2913" s="46" t="s">
        <v>983</v>
      </c>
      <c r="F2913" s="48">
        <v>194.48</v>
      </c>
      <c r="G2913" s="54" t="s">
        <v>53</v>
      </c>
      <c r="H2913" s="54" t="s">
        <v>4208</v>
      </c>
      <c r="I2913" s="53" t="s">
        <v>125</v>
      </c>
      <c r="J2913" s="54" t="s">
        <v>127</v>
      </c>
      <c r="K2913" s="54" t="s">
        <v>127</v>
      </c>
      <c r="L2913" s="54" t="s">
        <v>12</v>
      </c>
      <c r="M2913" s="54" t="s">
        <v>10</v>
      </c>
      <c r="N2913" s="54" t="s">
        <v>11</v>
      </c>
      <c r="O2913" s="49" t="s">
        <v>815</v>
      </c>
      <c r="P2913" s="54" t="s">
        <v>3392</v>
      </c>
      <c r="Q2913" s="35" t="str">
        <f>MID(Tabla1[[#This Row],[Aplicación]],14,1)</f>
        <v>2</v>
      </c>
      <c r="R2913" s="35" t="s">
        <v>495</v>
      </c>
      <c r="S2913" s="35" t="str">
        <f>MID(Tabla1[[#This Row],[Aplicación]],6,2)</f>
        <v>10</v>
      </c>
      <c r="T2913" s="35" t="str">
        <f>VLOOKUP(Tabla1[[#This Row],[AREA]],Hoja1!A:B,2,FALSE)</f>
        <v>10. Servicios sociales y mediación comunitaria</v>
      </c>
      <c r="U2913" s="35" t="str">
        <f>MID(Tabla1[[#This Row],[Aplicación]],9,4)</f>
        <v>2412</v>
      </c>
      <c r="V2913" s="35" t="str">
        <f>VLOOKUP(Tabla1[[#This Row],[PROGRAMA]],Hoja1!A:B,2,FALSE)</f>
        <v>2412. Formación para el empleo</v>
      </c>
      <c r="W2913" s="35" t="str">
        <f>MID(Tabla1[[#This Row],[Aplicación]],14,2)</f>
        <v>21</v>
      </c>
      <c r="X2913" s="35" t="str">
        <f>MID(Tabla1[[#This Row],[Aplicación]],14,6)</f>
        <v>213</v>
      </c>
    </row>
    <row r="2914" spans="1:24" x14ac:dyDescent="0.25">
      <c r="A2914" s="45">
        <v>220210019012</v>
      </c>
      <c r="B2914" s="46" t="s">
        <v>9</v>
      </c>
      <c r="C2914" s="47">
        <v>44319</v>
      </c>
      <c r="D2914" s="45">
        <v>22021004230</v>
      </c>
      <c r="E2914" s="46" t="s">
        <v>2336</v>
      </c>
      <c r="F2914" s="48">
        <v>244.76</v>
      </c>
      <c r="G2914" s="54" t="s">
        <v>135</v>
      </c>
      <c r="H2914" s="54" t="s">
        <v>4479</v>
      </c>
      <c r="I2914" s="53" t="s">
        <v>125</v>
      </c>
      <c r="J2914" s="54" t="s">
        <v>127</v>
      </c>
      <c r="K2914" s="54" t="s">
        <v>127</v>
      </c>
      <c r="L2914" s="54" t="s">
        <v>15</v>
      </c>
      <c r="M2914" s="54" t="s">
        <v>13</v>
      </c>
      <c r="N2914" s="54" t="s">
        <v>14</v>
      </c>
      <c r="O2914" s="49" t="s">
        <v>814</v>
      </c>
      <c r="P2914" s="54" t="s">
        <v>3392</v>
      </c>
      <c r="Q2914" s="35" t="str">
        <f>MID(Tabla1[[#This Row],[Aplicación]],14,1)</f>
        <v>2</v>
      </c>
      <c r="R2914" s="35" t="s">
        <v>495</v>
      </c>
      <c r="S2914" s="35" t="str">
        <f>MID(Tabla1[[#This Row],[Aplicación]],6,2)</f>
        <v>11</v>
      </c>
      <c r="T2914" s="35" t="str">
        <f>VLOOKUP(Tabla1[[#This Row],[AREA]],Hoja1!A:B,2,FALSE)</f>
        <v>11. Salud pública y seguridad ciudadana</v>
      </c>
      <c r="U2914" s="35" t="str">
        <f>MID(Tabla1[[#This Row],[Aplicación]],9,4)</f>
        <v>1361</v>
      </c>
      <c r="V2914" s="35" t="str">
        <f>VLOOKUP(Tabla1[[#This Row],[PROGRAMA]],Hoja1!A:B,2,FALSE)</f>
        <v>1361. Prevención y extinción de incencios</v>
      </c>
      <c r="W2914" s="35" t="str">
        <f>MID(Tabla1[[#This Row],[Aplicación]],14,2)</f>
        <v>22</v>
      </c>
      <c r="X2914" s="35" t="str">
        <f>MID(Tabla1[[#This Row],[Aplicación]],14,6)</f>
        <v>22104</v>
      </c>
    </row>
    <row r="2915" spans="1:24" x14ac:dyDescent="0.25">
      <c r="A2915" s="45">
        <v>220210023368</v>
      </c>
      <c r="B2915" s="46" t="s">
        <v>204</v>
      </c>
      <c r="C2915" s="47">
        <v>44335</v>
      </c>
      <c r="D2915" s="45">
        <v>22021001181</v>
      </c>
      <c r="E2915" s="46" t="s">
        <v>873</v>
      </c>
      <c r="F2915" s="48">
        <v>242.24</v>
      </c>
      <c r="G2915" s="54" t="s">
        <v>257</v>
      </c>
      <c r="H2915" s="54" t="s">
        <v>4480</v>
      </c>
      <c r="I2915" s="53" t="s">
        <v>205</v>
      </c>
      <c r="J2915" s="54" t="s">
        <v>127</v>
      </c>
      <c r="K2915" s="54" t="s">
        <v>127</v>
      </c>
      <c r="L2915" s="54" t="s">
        <v>15</v>
      </c>
      <c r="M2915" s="54" t="s">
        <v>13</v>
      </c>
      <c r="N2915" s="54" t="s">
        <v>14</v>
      </c>
      <c r="O2915" s="49" t="s">
        <v>814</v>
      </c>
      <c r="P2915" s="54" t="s">
        <v>3392</v>
      </c>
      <c r="Q2915" s="35" t="str">
        <f>MID(Tabla1[[#This Row],[Aplicación]],14,1)</f>
        <v>2</v>
      </c>
      <c r="R2915" s="35" t="s">
        <v>495</v>
      </c>
      <c r="S2915" s="35" t="str">
        <f>MID(Tabla1[[#This Row],[Aplicación]],6,2)</f>
        <v>10</v>
      </c>
      <c r="T2915" s="35" t="str">
        <f>VLOOKUP(Tabla1[[#This Row],[AREA]],Hoja1!A:B,2,FALSE)</f>
        <v>10. Servicios sociales y mediación comunitaria</v>
      </c>
      <c r="U2915" s="35" t="str">
        <f>MID(Tabla1[[#This Row],[Aplicación]],9,4)</f>
        <v>2412</v>
      </c>
      <c r="V2915" s="35" t="str">
        <f>VLOOKUP(Tabla1[[#This Row],[PROGRAMA]],Hoja1!A:B,2,FALSE)</f>
        <v>2412. Formación para el empleo</v>
      </c>
      <c r="W2915" s="35" t="str">
        <f>MID(Tabla1[[#This Row],[Aplicación]],14,2)</f>
        <v>22</v>
      </c>
      <c r="X2915" s="35" t="str">
        <f>MID(Tabla1[[#This Row],[Aplicación]],14,6)</f>
        <v>22199</v>
      </c>
    </row>
    <row r="2916" spans="1:24" x14ac:dyDescent="0.25">
      <c r="A2916" s="45">
        <v>220210014713</v>
      </c>
      <c r="B2916" s="46" t="s">
        <v>204</v>
      </c>
      <c r="C2916" s="47">
        <v>44299</v>
      </c>
      <c r="D2916" s="45">
        <v>22021001038</v>
      </c>
      <c r="E2916" s="46" t="s">
        <v>844</v>
      </c>
      <c r="F2916" s="48">
        <v>242</v>
      </c>
      <c r="G2916" s="54" t="s">
        <v>235</v>
      </c>
      <c r="H2916" s="54" t="s">
        <v>4481</v>
      </c>
      <c r="I2916" s="53" t="s">
        <v>205</v>
      </c>
      <c r="J2916" s="54" t="s">
        <v>742</v>
      </c>
      <c r="K2916" s="54" t="s">
        <v>165</v>
      </c>
      <c r="L2916" s="54" t="s">
        <v>15</v>
      </c>
      <c r="M2916" s="54" t="s">
        <v>13</v>
      </c>
      <c r="N2916" s="54" t="s">
        <v>14</v>
      </c>
      <c r="O2916" s="49" t="s">
        <v>814</v>
      </c>
      <c r="P2916" s="54" t="s">
        <v>3392</v>
      </c>
      <c r="Q2916" s="35" t="str">
        <f>MID(Tabla1[[#This Row],[Aplicación]],14,1)</f>
        <v>2</v>
      </c>
      <c r="R2916" s="35" t="s">
        <v>495</v>
      </c>
      <c r="S2916" s="35" t="str">
        <f>MID(Tabla1[[#This Row],[Aplicación]],6,2)</f>
        <v>10</v>
      </c>
      <c r="T2916" s="35" t="str">
        <f>VLOOKUP(Tabla1[[#This Row],[AREA]],Hoja1!A:B,2,FALSE)</f>
        <v>10. Servicios sociales y mediación comunitaria</v>
      </c>
      <c r="U2916" s="35" t="str">
        <f>MID(Tabla1[[#This Row],[Aplicación]],9,4)</f>
        <v>2312</v>
      </c>
      <c r="V2916" s="35" t="str">
        <f>VLOOKUP(Tabla1[[#This Row],[PROGRAMA]],Hoja1!A:B,2,FALSE)</f>
        <v>2312. Iniciativas sociales</v>
      </c>
      <c r="W2916" s="35" t="str">
        <f>MID(Tabla1[[#This Row],[Aplicación]],14,2)</f>
        <v>21</v>
      </c>
      <c r="X2916" s="35" t="str">
        <f>MID(Tabla1[[#This Row],[Aplicación]],14,6)</f>
        <v>212</v>
      </c>
    </row>
    <row r="2917" spans="1:24" x14ac:dyDescent="0.25">
      <c r="A2917" s="45">
        <v>220210030520</v>
      </c>
      <c r="B2917" s="46" t="s">
        <v>9</v>
      </c>
      <c r="C2917" s="47">
        <v>44358</v>
      </c>
      <c r="D2917" s="45">
        <v>22021004832</v>
      </c>
      <c r="E2917" s="46" t="s">
        <v>1220</v>
      </c>
      <c r="F2917" s="48">
        <v>193.26</v>
      </c>
      <c r="G2917" s="54" t="s">
        <v>166</v>
      </c>
      <c r="H2917" s="54" t="s">
        <v>4482</v>
      </c>
      <c r="I2917" s="53" t="s">
        <v>125</v>
      </c>
      <c r="J2917" s="54" t="s">
        <v>126</v>
      </c>
      <c r="K2917" s="54" t="s">
        <v>126</v>
      </c>
      <c r="L2917" s="54" t="s">
        <v>12</v>
      </c>
      <c r="M2917" s="54" t="s">
        <v>10</v>
      </c>
      <c r="N2917" s="54" t="s">
        <v>11</v>
      </c>
      <c r="O2917" s="49" t="s">
        <v>815</v>
      </c>
      <c r="P2917" s="54" t="s">
        <v>3392</v>
      </c>
      <c r="Q2917" s="35" t="str">
        <f>MID(Tabla1[[#This Row],[Aplicación]],14,1)</f>
        <v>2</v>
      </c>
      <c r="R2917" s="35" t="s">
        <v>495</v>
      </c>
      <c r="S2917" s="35" t="str">
        <f>MID(Tabla1[[#This Row],[Aplicación]],6,2)</f>
        <v>03</v>
      </c>
      <c r="T2917" s="35" t="str">
        <f>VLOOKUP(Tabla1[[#This Row],[AREA]],Hoja1!A:B,2,FALSE)</f>
        <v>03. Participación ciudadana y deportes</v>
      </c>
      <c r="U2917" s="35" t="str">
        <f>MID(Tabla1[[#This Row],[Aplicación]],9,4)</f>
        <v>9241</v>
      </c>
      <c r="V2917" s="35" t="str">
        <f>VLOOKUP(Tabla1[[#This Row],[PROGRAMA]],Hoja1!A:B,2,FALSE)</f>
        <v>9241. Participación ciudadana</v>
      </c>
      <c r="W2917" s="35" t="str">
        <f>MID(Tabla1[[#This Row],[Aplicación]],14,2)</f>
        <v>21</v>
      </c>
      <c r="X2917" s="35" t="str">
        <f>MID(Tabla1[[#This Row],[Aplicación]],14,6)</f>
        <v>213</v>
      </c>
    </row>
    <row r="2918" spans="1:24" x14ac:dyDescent="0.25">
      <c r="A2918" s="45">
        <v>220210030456</v>
      </c>
      <c r="B2918" s="46" t="s">
        <v>204</v>
      </c>
      <c r="C2918" s="47">
        <v>44358</v>
      </c>
      <c r="D2918" s="45">
        <v>22021001967</v>
      </c>
      <c r="E2918" s="46" t="s">
        <v>1167</v>
      </c>
      <c r="F2918" s="48">
        <v>240.79</v>
      </c>
      <c r="G2918" s="54" t="s">
        <v>265</v>
      </c>
      <c r="H2918" s="54" t="s">
        <v>4483</v>
      </c>
      <c r="I2918" s="53" t="s">
        <v>205</v>
      </c>
      <c r="J2918" s="54" t="s">
        <v>157</v>
      </c>
      <c r="K2918" s="54" t="s">
        <v>157</v>
      </c>
      <c r="L2918" s="54" t="s">
        <v>15</v>
      </c>
      <c r="M2918" s="54" t="s">
        <v>13</v>
      </c>
      <c r="N2918" s="54" t="s">
        <v>14</v>
      </c>
      <c r="O2918" s="49" t="s">
        <v>814</v>
      </c>
      <c r="P2918" s="54" t="s">
        <v>3392</v>
      </c>
      <c r="Q2918" s="35" t="str">
        <f>MID(Tabla1[[#This Row],[Aplicación]],14,1)</f>
        <v>2</v>
      </c>
      <c r="R2918" s="35" t="s">
        <v>495</v>
      </c>
      <c r="S2918" s="35" t="str">
        <f>MID(Tabla1[[#This Row],[Aplicación]],6,2)</f>
        <v>11</v>
      </c>
      <c r="T2918" s="35" t="str">
        <f>VLOOKUP(Tabla1[[#This Row],[AREA]],Hoja1!A:B,2,FALSE)</f>
        <v>11. Salud pública y seguridad ciudadana</v>
      </c>
      <c r="U2918" s="35" t="str">
        <f>MID(Tabla1[[#This Row],[Aplicación]],9,4)</f>
        <v>1321</v>
      </c>
      <c r="V2918" s="35" t="str">
        <f>VLOOKUP(Tabla1[[#This Row],[PROGRAMA]],Hoja1!A:B,2,FALSE)</f>
        <v>1321. Policía municipal</v>
      </c>
      <c r="W2918" s="35" t="str">
        <f>MID(Tabla1[[#This Row],[Aplicación]],14,2)</f>
        <v>21</v>
      </c>
      <c r="X2918" s="35" t="str">
        <f>MID(Tabla1[[#This Row],[Aplicación]],14,6)</f>
        <v>214</v>
      </c>
    </row>
    <row r="2919" spans="1:24" x14ac:dyDescent="0.25">
      <c r="A2919" s="45">
        <v>220210027000</v>
      </c>
      <c r="B2919" s="46" t="s">
        <v>9</v>
      </c>
      <c r="C2919" s="47">
        <v>44348</v>
      </c>
      <c r="D2919" s="45">
        <v>22021004608</v>
      </c>
      <c r="E2919" s="46" t="s">
        <v>2720</v>
      </c>
      <c r="F2919" s="48">
        <v>187.55</v>
      </c>
      <c r="G2919" s="54" t="s">
        <v>3684</v>
      </c>
      <c r="H2919" s="54" t="s">
        <v>4484</v>
      </c>
      <c r="I2919" s="53" t="s">
        <v>125</v>
      </c>
      <c r="J2919" s="54" t="s">
        <v>127</v>
      </c>
      <c r="K2919" s="54" t="s">
        <v>127</v>
      </c>
      <c r="L2919" s="54" t="s">
        <v>15</v>
      </c>
      <c r="M2919" s="54" t="s">
        <v>10</v>
      </c>
      <c r="N2919" s="54" t="s">
        <v>11</v>
      </c>
      <c r="O2919" s="49" t="s">
        <v>815</v>
      </c>
      <c r="P2919" s="54" t="s">
        <v>3392</v>
      </c>
      <c r="Q2919" s="35" t="str">
        <f>MID(Tabla1[[#This Row],[Aplicación]],14,1)</f>
        <v>6</v>
      </c>
      <c r="R2919" s="35" t="s">
        <v>496</v>
      </c>
      <c r="S2919" s="35" t="str">
        <f>MID(Tabla1[[#This Row],[Aplicación]],6,2)</f>
        <v>04</v>
      </c>
      <c r="T2919" s="35" t="str">
        <f>VLOOKUP(Tabla1[[#This Row],[AREA]],Hoja1!A:B,2,FALSE)</f>
        <v>04. Planificación y recursos</v>
      </c>
      <c r="U2919" s="35" t="str">
        <f>MID(Tabla1[[#This Row],[Aplicación]],9,4)</f>
        <v>9209</v>
      </c>
      <c r="V2919" s="35" t="str">
        <f>VLOOKUP(Tabla1[[#This Row],[PROGRAMA]],Hoja1!A:B,2,FALSE)</f>
        <v>9209. Dirección del area de hacienda y función pública</v>
      </c>
      <c r="W2919" s="35" t="str">
        <f>MID(Tabla1[[#This Row],[Aplicación]],14,2)</f>
        <v>62</v>
      </c>
      <c r="X2919" s="35" t="str">
        <f>MID(Tabla1[[#This Row],[Aplicación]],14,6)</f>
        <v>625</v>
      </c>
    </row>
    <row r="2920" spans="1:24" x14ac:dyDescent="0.25">
      <c r="A2920" s="45">
        <v>220210016081</v>
      </c>
      <c r="B2920" s="46" t="s">
        <v>9</v>
      </c>
      <c r="C2920" s="47">
        <v>44305</v>
      </c>
      <c r="D2920" s="45">
        <v>22021003960</v>
      </c>
      <c r="E2920" s="46" t="s">
        <v>980</v>
      </c>
      <c r="F2920" s="48">
        <v>240.48</v>
      </c>
      <c r="G2920" s="54" t="s">
        <v>239</v>
      </c>
      <c r="H2920" s="54" t="s">
        <v>4485</v>
      </c>
      <c r="I2920" s="53" t="s">
        <v>125</v>
      </c>
      <c r="J2920" s="54" t="s">
        <v>127</v>
      </c>
      <c r="K2920" s="54" t="s">
        <v>127</v>
      </c>
      <c r="L2920" s="54" t="s">
        <v>4486</v>
      </c>
      <c r="M2920" s="54" t="s">
        <v>13</v>
      </c>
      <c r="N2920" s="54" t="s">
        <v>14</v>
      </c>
      <c r="O2920" s="49" t="s">
        <v>814</v>
      </c>
      <c r="P2920" s="54" t="s">
        <v>3392</v>
      </c>
      <c r="Q2920" s="35" t="str">
        <f>MID(Tabla1[[#This Row],[Aplicación]],14,1)</f>
        <v>2</v>
      </c>
      <c r="R2920" s="35" t="s">
        <v>495</v>
      </c>
      <c r="S2920" s="35" t="str">
        <f>MID(Tabla1[[#This Row],[Aplicación]],6,2)</f>
        <v>11</v>
      </c>
      <c r="T2920" s="35" t="str">
        <f>VLOOKUP(Tabla1[[#This Row],[AREA]],Hoja1!A:B,2,FALSE)</f>
        <v>11. Salud pública y seguridad ciudadana</v>
      </c>
      <c r="U2920" s="35" t="str">
        <f>MID(Tabla1[[#This Row],[Aplicación]],9,4)</f>
        <v>1361</v>
      </c>
      <c r="V2920" s="35" t="str">
        <f>VLOOKUP(Tabla1[[#This Row],[PROGRAMA]],Hoja1!A:B,2,FALSE)</f>
        <v>1361. Prevención y extinción de incencios</v>
      </c>
      <c r="W2920" s="35" t="str">
        <f>MID(Tabla1[[#This Row],[Aplicación]],14,2)</f>
        <v>21</v>
      </c>
      <c r="X2920" s="35" t="str">
        <f>MID(Tabla1[[#This Row],[Aplicación]],14,6)</f>
        <v>213</v>
      </c>
    </row>
    <row r="2921" spans="1:24" x14ac:dyDescent="0.25">
      <c r="A2921" s="45">
        <v>220210028761</v>
      </c>
      <c r="B2921" s="46" t="s">
        <v>204</v>
      </c>
      <c r="C2921" s="47">
        <v>44351</v>
      </c>
      <c r="D2921" s="45">
        <v>22021002228</v>
      </c>
      <c r="E2921" s="46" t="s">
        <v>1471</v>
      </c>
      <c r="F2921" s="48">
        <v>239.8</v>
      </c>
      <c r="G2921" s="54" t="s">
        <v>266</v>
      </c>
      <c r="H2921" s="54" t="s">
        <v>4487</v>
      </c>
      <c r="I2921" s="53" t="s">
        <v>205</v>
      </c>
      <c r="J2921" s="54" t="s">
        <v>127</v>
      </c>
      <c r="K2921" s="54" t="s">
        <v>127</v>
      </c>
      <c r="L2921" s="54" t="s">
        <v>15</v>
      </c>
      <c r="M2921" s="54" t="s">
        <v>13</v>
      </c>
      <c r="N2921" s="54" t="s">
        <v>14</v>
      </c>
      <c r="O2921" s="49" t="s">
        <v>814</v>
      </c>
      <c r="P2921" s="54" t="s">
        <v>3392</v>
      </c>
      <c r="Q2921" s="35" t="str">
        <f>MID(Tabla1[[#This Row],[Aplicación]],14,1)</f>
        <v>2</v>
      </c>
      <c r="R2921" s="35" t="s">
        <v>495</v>
      </c>
      <c r="S2921" s="35" t="str">
        <f>MID(Tabla1[[#This Row],[Aplicación]],6,2)</f>
        <v>06</v>
      </c>
      <c r="T2921" s="35" t="str">
        <f>VLOOKUP(Tabla1[[#This Row],[AREA]],Hoja1!A:B,2,FALSE)</f>
        <v>06. Educación, infancia, juventud e igualdad</v>
      </c>
      <c r="U2921" s="35" t="str">
        <f>MID(Tabla1[[#This Row],[Aplicación]],9,4)</f>
        <v>3232</v>
      </c>
      <c r="V2921" s="35" t="str">
        <f>VLOOKUP(Tabla1[[#This Row],[PROGRAMA]],Hoja1!A:B,2,FALSE)</f>
        <v>3232. Conservación y mantenimiento centros educación infantil y primaria</v>
      </c>
      <c r="W2921" s="35" t="str">
        <f>MID(Tabla1[[#This Row],[Aplicación]],14,2)</f>
        <v>21</v>
      </c>
      <c r="X2921" s="35" t="str">
        <f>MID(Tabla1[[#This Row],[Aplicación]],14,6)</f>
        <v>212</v>
      </c>
    </row>
    <row r="2922" spans="1:24" x14ac:dyDescent="0.25">
      <c r="A2922" s="45">
        <v>220210022474</v>
      </c>
      <c r="B2922" s="46" t="s">
        <v>204</v>
      </c>
      <c r="C2922" s="47">
        <v>44330</v>
      </c>
      <c r="D2922" s="45">
        <v>22021001276</v>
      </c>
      <c r="E2922" s="46" t="s">
        <v>2510</v>
      </c>
      <c r="F2922" s="48">
        <v>126.94</v>
      </c>
      <c r="G2922" s="54" t="s">
        <v>4472</v>
      </c>
      <c r="H2922" s="54" t="s">
        <v>3098</v>
      </c>
      <c r="I2922" s="53" t="s">
        <v>205</v>
      </c>
      <c r="J2922" s="54" t="s">
        <v>3835</v>
      </c>
      <c r="K2922" s="54" t="s">
        <v>127</v>
      </c>
      <c r="L2922" s="54" t="s">
        <v>15</v>
      </c>
      <c r="M2922" s="54" t="s">
        <v>13</v>
      </c>
      <c r="N2922" s="54" t="s">
        <v>14</v>
      </c>
      <c r="O2922" s="49" t="s">
        <v>814</v>
      </c>
      <c r="P2922" s="54" t="s">
        <v>3392</v>
      </c>
      <c r="Q2922" s="35" t="str">
        <f>MID(Tabla1[[#This Row],[Aplicación]],14,1)</f>
        <v>2</v>
      </c>
      <c r="R2922" s="35" t="s">
        <v>495</v>
      </c>
      <c r="S2922" s="35" t="str">
        <f>MID(Tabla1[[#This Row],[Aplicación]],6,2)</f>
        <v>07</v>
      </c>
      <c r="T2922" s="35" t="str">
        <f>VLOOKUP(Tabla1[[#This Row],[AREA]],Hoja1!A:B,2,FALSE)</f>
        <v>07. Medio ambiente y desarrollo sostenible</v>
      </c>
      <c r="U2922" s="35" t="str">
        <f>MID(Tabla1[[#This Row],[Aplicación]],9,4)</f>
        <v>1711</v>
      </c>
      <c r="V2922" s="35" t="str">
        <f>VLOOKUP(Tabla1[[#This Row],[PROGRAMA]],Hoja1!A:B,2,FALSE)</f>
        <v>1711. Parques y jardines</v>
      </c>
      <c r="W2922" s="35" t="str">
        <f>MID(Tabla1[[#This Row],[Aplicación]],14,2)</f>
        <v>22</v>
      </c>
      <c r="X2922" s="35" t="str">
        <f>MID(Tabla1[[#This Row],[Aplicación]],14,6)</f>
        <v>22106</v>
      </c>
    </row>
    <row r="2923" spans="1:24" x14ac:dyDescent="0.25">
      <c r="A2923" s="45">
        <v>220210027704</v>
      </c>
      <c r="B2923" s="46" t="s">
        <v>204</v>
      </c>
      <c r="C2923" s="47">
        <v>44348</v>
      </c>
      <c r="D2923" s="45">
        <v>22021001276</v>
      </c>
      <c r="E2923" s="46" t="s">
        <v>2510</v>
      </c>
      <c r="F2923" s="48">
        <v>1365.1</v>
      </c>
      <c r="G2923" s="54" t="s">
        <v>4472</v>
      </c>
      <c r="H2923" s="54" t="s">
        <v>3098</v>
      </c>
      <c r="I2923" s="53" t="s">
        <v>205</v>
      </c>
      <c r="J2923" s="54" t="s">
        <v>3835</v>
      </c>
      <c r="K2923" s="54" t="s">
        <v>127</v>
      </c>
      <c r="L2923" s="54" t="s">
        <v>15</v>
      </c>
      <c r="M2923" s="54" t="s">
        <v>13</v>
      </c>
      <c r="N2923" s="54" t="s">
        <v>14</v>
      </c>
      <c r="O2923" s="49" t="s">
        <v>814</v>
      </c>
      <c r="P2923" s="54" t="s">
        <v>3392</v>
      </c>
      <c r="Q2923" s="35" t="str">
        <f>MID(Tabla1[[#This Row],[Aplicación]],14,1)</f>
        <v>2</v>
      </c>
      <c r="R2923" s="35" t="s">
        <v>495</v>
      </c>
      <c r="S2923" s="35" t="str">
        <f>MID(Tabla1[[#This Row],[Aplicación]],6,2)</f>
        <v>07</v>
      </c>
      <c r="T2923" s="35" t="str">
        <f>VLOOKUP(Tabla1[[#This Row],[AREA]],Hoja1!A:B,2,FALSE)</f>
        <v>07. Medio ambiente y desarrollo sostenible</v>
      </c>
      <c r="U2923" s="35" t="str">
        <f>MID(Tabla1[[#This Row],[Aplicación]],9,4)</f>
        <v>1711</v>
      </c>
      <c r="V2923" s="35" t="str">
        <f>VLOOKUP(Tabla1[[#This Row],[PROGRAMA]],Hoja1!A:B,2,FALSE)</f>
        <v>1711. Parques y jardines</v>
      </c>
      <c r="W2923" s="35" t="str">
        <f>MID(Tabla1[[#This Row],[Aplicación]],14,2)</f>
        <v>22</v>
      </c>
      <c r="X2923" s="35" t="str">
        <f>MID(Tabla1[[#This Row],[Aplicación]],14,6)</f>
        <v>22106</v>
      </c>
    </row>
    <row r="2924" spans="1:24" x14ac:dyDescent="0.25">
      <c r="A2924" s="45">
        <v>220210014255</v>
      </c>
      <c r="B2924" s="46" t="s">
        <v>9</v>
      </c>
      <c r="C2924" s="47">
        <v>44293</v>
      </c>
      <c r="D2924" s="45">
        <v>22021003131</v>
      </c>
      <c r="E2924" s="46" t="s">
        <v>1163</v>
      </c>
      <c r="F2924" s="48">
        <v>180</v>
      </c>
      <c r="G2924" s="54" t="s">
        <v>4488</v>
      </c>
      <c r="H2924" s="54" t="s">
        <v>4489</v>
      </c>
      <c r="I2924" s="53" t="s">
        <v>125</v>
      </c>
      <c r="J2924" s="54" t="s">
        <v>126</v>
      </c>
      <c r="K2924" s="54" t="s">
        <v>126</v>
      </c>
      <c r="L2924" s="54" t="s">
        <v>15</v>
      </c>
      <c r="M2924" s="54" t="s">
        <v>10</v>
      </c>
      <c r="N2924" s="54" t="s">
        <v>11</v>
      </c>
      <c r="O2924" s="49" t="s">
        <v>815</v>
      </c>
      <c r="P2924" s="54" t="s">
        <v>3392</v>
      </c>
      <c r="Q2924" s="35" t="str">
        <f>MID(Tabla1[[#This Row],[Aplicación]],14,1)</f>
        <v>2</v>
      </c>
      <c r="R2924" s="35" t="s">
        <v>495</v>
      </c>
      <c r="S2924" s="35" t="str">
        <f>MID(Tabla1[[#This Row],[Aplicación]],6,2)</f>
        <v>06</v>
      </c>
      <c r="T2924" s="35" t="str">
        <f>VLOOKUP(Tabla1[[#This Row],[AREA]],Hoja1!A:B,2,FALSE)</f>
        <v>06. Educación, infancia, juventud e igualdad</v>
      </c>
      <c r="U2924" s="35" t="str">
        <f>MID(Tabla1[[#This Row],[Aplicación]],9,4)</f>
        <v>3321</v>
      </c>
      <c r="V2924" s="35" t="str">
        <f>VLOOKUP(Tabla1[[#This Row],[PROGRAMA]],Hoja1!A:B,2,FALSE)</f>
        <v>3321. Bibliotecas públicas</v>
      </c>
      <c r="W2924" s="35" t="str">
        <f>MID(Tabla1[[#This Row],[Aplicación]],14,2)</f>
        <v>22</v>
      </c>
      <c r="X2924" s="35" t="str">
        <f>MID(Tabla1[[#This Row],[Aplicación]],14,6)</f>
        <v>22001</v>
      </c>
    </row>
    <row r="2925" spans="1:24" x14ac:dyDescent="0.25">
      <c r="A2925" s="45">
        <v>220210025721</v>
      </c>
      <c r="B2925" s="46" t="s">
        <v>204</v>
      </c>
      <c r="C2925" s="47">
        <v>44343</v>
      </c>
      <c r="D2925" s="45">
        <v>22021001967</v>
      </c>
      <c r="E2925" s="46" t="s">
        <v>1167</v>
      </c>
      <c r="F2925" s="48">
        <v>424.12</v>
      </c>
      <c r="G2925" s="54" t="s">
        <v>265</v>
      </c>
      <c r="H2925" s="54" t="s">
        <v>4490</v>
      </c>
      <c r="I2925" s="53" t="s">
        <v>205</v>
      </c>
      <c r="J2925" s="54" t="s">
        <v>157</v>
      </c>
      <c r="K2925" s="54" t="s">
        <v>157</v>
      </c>
      <c r="L2925" s="54" t="s">
        <v>15</v>
      </c>
      <c r="M2925" s="54" t="s">
        <v>13</v>
      </c>
      <c r="N2925" s="54" t="s">
        <v>14</v>
      </c>
      <c r="O2925" s="49" t="s">
        <v>814</v>
      </c>
      <c r="P2925" s="54" t="s">
        <v>3392</v>
      </c>
      <c r="Q2925" s="35" t="str">
        <f>MID(Tabla1[[#This Row],[Aplicación]],14,1)</f>
        <v>2</v>
      </c>
      <c r="R2925" s="35" t="s">
        <v>495</v>
      </c>
      <c r="S2925" s="35" t="str">
        <f>MID(Tabla1[[#This Row],[Aplicación]],6,2)</f>
        <v>11</v>
      </c>
      <c r="T2925" s="35" t="str">
        <f>VLOOKUP(Tabla1[[#This Row],[AREA]],Hoja1!A:B,2,FALSE)</f>
        <v>11. Salud pública y seguridad ciudadana</v>
      </c>
      <c r="U2925" s="35" t="str">
        <f>MID(Tabla1[[#This Row],[Aplicación]],9,4)</f>
        <v>1321</v>
      </c>
      <c r="V2925" s="35" t="str">
        <f>VLOOKUP(Tabla1[[#This Row],[PROGRAMA]],Hoja1!A:B,2,FALSE)</f>
        <v>1321. Policía municipal</v>
      </c>
      <c r="W2925" s="35" t="str">
        <f>MID(Tabla1[[#This Row],[Aplicación]],14,2)</f>
        <v>21</v>
      </c>
      <c r="X2925" s="35" t="str">
        <f>MID(Tabla1[[#This Row],[Aplicación]],14,6)</f>
        <v>214</v>
      </c>
    </row>
    <row r="2926" spans="1:24" x14ac:dyDescent="0.25">
      <c r="A2926" s="45">
        <v>220210014690</v>
      </c>
      <c r="B2926" s="46" t="s">
        <v>9</v>
      </c>
      <c r="C2926" s="47">
        <v>44299</v>
      </c>
      <c r="D2926" s="45">
        <v>22021003861</v>
      </c>
      <c r="E2926" s="46" t="s">
        <v>3360</v>
      </c>
      <c r="F2926" s="48">
        <v>176.13</v>
      </c>
      <c r="G2926" s="54" t="s">
        <v>292</v>
      </c>
      <c r="H2926" s="54" t="s">
        <v>4491</v>
      </c>
      <c r="I2926" s="53" t="s">
        <v>125</v>
      </c>
      <c r="J2926" s="54" t="s">
        <v>127</v>
      </c>
      <c r="K2926" s="54" t="s">
        <v>127</v>
      </c>
      <c r="L2926" s="54" t="s">
        <v>12</v>
      </c>
      <c r="M2926" s="54" t="s">
        <v>10</v>
      </c>
      <c r="N2926" s="54" t="s">
        <v>11</v>
      </c>
      <c r="O2926" s="49" t="s">
        <v>815</v>
      </c>
      <c r="P2926" s="54" t="s">
        <v>3392</v>
      </c>
      <c r="Q2926" s="35" t="str">
        <f>MID(Tabla1[[#This Row],[Aplicación]],14,1)</f>
        <v>2</v>
      </c>
      <c r="R2926" s="35" t="s">
        <v>495</v>
      </c>
      <c r="S2926" s="35" t="str">
        <f>MID(Tabla1[[#This Row],[Aplicación]],6,2)</f>
        <v>06</v>
      </c>
      <c r="T2926" s="35" t="str">
        <f>VLOOKUP(Tabla1[[#This Row],[AREA]],Hoja1!A:B,2,FALSE)</f>
        <v>06. Educación, infancia, juventud e igualdad</v>
      </c>
      <c r="U2926" s="35" t="str">
        <f>MID(Tabla1[[#This Row],[Aplicación]],9,4)</f>
        <v>3321</v>
      </c>
      <c r="V2926" s="35" t="str">
        <f>VLOOKUP(Tabla1[[#This Row],[PROGRAMA]],Hoja1!A:B,2,FALSE)</f>
        <v>3321. Bibliotecas públicas</v>
      </c>
      <c r="W2926" s="35" t="str">
        <f>MID(Tabla1[[#This Row],[Aplicación]],14,2)</f>
        <v>22</v>
      </c>
      <c r="X2926" s="35" t="str">
        <f>MID(Tabla1[[#This Row],[Aplicación]],14,6)</f>
        <v>223</v>
      </c>
    </row>
    <row r="2927" spans="1:24" x14ac:dyDescent="0.25">
      <c r="A2927" s="45">
        <v>220210032723</v>
      </c>
      <c r="B2927" s="46" t="s">
        <v>204</v>
      </c>
      <c r="C2927" s="47">
        <v>44371</v>
      </c>
      <c r="D2927" s="45">
        <v>22021002048</v>
      </c>
      <c r="E2927" s="46" t="s">
        <v>890</v>
      </c>
      <c r="F2927" s="48">
        <v>216.76</v>
      </c>
      <c r="G2927" s="54" t="s">
        <v>273</v>
      </c>
      <c r="H2927" s="54" t="s">
        <v>4492</v>
      </c>
      <c r="I2927" s="53" t="s">
        <v>205</v>
      </c>
      <c r="J2927" s="54" t="s">
        <v>127</v>
      </c>
      <c r="K2927" s="54" t="s">
        <v>127</v>
      </c>
      <c r="L2927" s="54" t="s">
        <v>15</v>
      </c>
      <c r="M2927" s="54" t="s">
        <v>13</v>
      </c>
      <c r="N2927" s="54" t="s">
        <v>14</v>
      </c>
      <c r="O2927" s="49" t="s">
        <v>814</v>
      </c>
      <c r="P2927" s="54" t="s">
        <v>3392</v>
      </c>
      <c r="Q2927" s="35" t="str">
        <f>MID(Tabla1[[#This Row],[Aplicación]],14,1)</f>
        <v>2</v>
      </c>
      <c r="R2927" s="35" t="s">
        <v>495</v>
      </c>
      <c r="S2927" s="35" t="str">
        <f>MID(Tabla1[[#This Row],[Aplicación]],6,2)</f>
        <v>11</v>
      </c>
      <c r="T2927" s="35" t="str">
        <f>VLOOKUP(Tabla1[[#This Row],[AREA]],Hoja1!A:B,2,FALSE)</f>
        <v>11. Salud pública y seguridad ciudadana</v>
      </c>
      <c r="U2927" s="35" t="str">
        <f>MID(Tabla1[[#This Row],[Aplicación]],9,4)</f>
        <v>1621</v>
      </c>
      <c r="V2927" s="35" t="str">
        <f>VLOOKUP(Tabla1[[#This Row],[PROGRAMA]],Hoja1!A:B,2,FALSE)</f>
        <v>1621. Servicio de limpieza</v>
      </c>
      <c r="W2927" s="35" t="str">
        <f>MID(Tabla1[[#This Row],[Aplicación]],14,2)</f>
        <v>21</v>
      </c>
      <c r="X2927" s="35" t="str">
        <f>MID(Tabla1[[#This Row],[Aplicación]],14,6)</f>
        <v>214</v>
      </c>
    </row>
    <row r="2928" spans="1:24" x14ac:dyDescent="0.25">
      <c r="A2928" s="45">
        <v>220210018877</v>
      </c>
      <c r="B2928" s="46" t="s">
        <v>204</v>
      </c>
      <c r="C2928" s="47">
        <v>44314</v>
      </c>
      <c r="D2928" s="45">
        <v>22021001967</v>
      </c>
      <c r="E2928" s="46" t="s">
        <v>1167</v>
      </c>
      <c r="F2928" s="48">
        <v>590.07000000000005</v>
      </c>
      <c r="G2928" s="54" t="s">
        <v>264</v>
      </c>
      <c r="H2928" s="54" t="s">
        <v>4493</v>
      </c>
      <c r="I2928" s="53" t="s">
        <v>205</v>
      </c>
      <c r="J2928" s="54" t="s">
        <v>127</v>
      </c>
      <c r="K2928" s="54" t="s">
        <v>127</v>
      </c>
      <c r="L2928" s="54" t="s">
        <v>15</v>
      </c>
      <c r="M2928" s="54" t="s">
        <v>13</v>
      </c>
      <c r="N2928" s="54" t="s">
        <v>14</v>
      </c>
      <c r="O2928" s="49" t="s">
        <v>814</v>
      </c>
      <c r="P2928" s="54" t="s">
        <v>3392</v>
      </c>
      <c r="Q2928" s="35" t="str">
        <f>MID(Tabla1[[#This Row],[Aplicación]],14,1)</f>
        <v>2</v>
      </c>
      <c r="R2928" s="35" t="s">
        <v>495</v>
      </c>
      <c r="S2928" s="35" t="str">
        <f>MID(Tabla1[[#This Row],[Aplicación]],6,2)</f>
        <v>11</v>
      </c>
      <c r="T2928" s="35" t="str">
        <f>VLOOKUP(Tabla1[[#This Row],[AREA]],Hoja1!A:B,2,FALSE)</f>
        <v>11. Salud pública y seguridad ciudadana</v>
      </c>
      <c r="U2928" s="35" t="str">
        <f>MID(Tabla1[[#This Row],[Aplicación]],9,4)</f>
        <v>1321</v>
      </c>
      <c r="V2928" s="35" t="str">
        <f>VLOOKUP(Tabla1[[#This Row],[PROGRAMA]],Hoja1!A:B,2,FALSE)</f>
        <v>1321. Policía municipal</v>
      </c>
      <c r="W2928" s="35" t="str">
        <f>MID(Tabla1[[#This Row],[Aplicación]],14,2)</f>
        <v>21</v>
      </c>
      <c r="X2928" s="35" t="str">
        <f>MID(Tabla1[[#This Row],[Aplicación]],14,6)</f>
        <v>214</v>
      </c>
    </row>
    <row r="2929" spans="1:24" x14ac:dyDescent="0.25">
      <c r="A2929" s="45">
        <v>220210020859</v>
      </c>
      <c r="B2929" s="46" t="s">
        <v>204</v>
      </c>
      <c r="C2929" s="47">
        <v>44323</v>
      </c>
      <c r="D2929" s="45">
        <v>22021003381</v>
      </c>
      <c r="E2929" s="46" t="s">
        <v>1183</v>
      </c>
      <c r="F2929" s="48">
        <v>636.65</v>
      </c>
      <c r="G2929" s="54" t="s">
        <v>264</v>
      </c>
      <c r="H2929" s="54" t="s">
        <v>4494</v>
      </c>
      <c r="I2929" s="53" t="s">
        <v>205</v>
      </c>
      <c r="J2929" s="54" t="s">
        <v>127</v>
      </c>
      <c r="K2929" s="54" t="s">
        <v>127</v>
      </c>
      <c r="L2929" s="54" t="s">
        <v>15</v>
      </c>
      <c r="M2929" s="54" t="s">
        <v>13</v>
      </c>
      <c r="N2929" s="54" t="s">
        <v>14</v>
      </c>
      <c r="O2929" s="49" t="s">
        <v>814</v>
      </c>
      <c r="P2929" s="54" t="s">
        <v>3392</v>
      </c>
      <c r="Q2929" s="35" t="str">
        <f>MID(Tabla1[[#This Row],[Aplicación]],14,1)</f>
        <v>2</v>
      </c>
      <c r="R2929" s="35" t="s">
        <v>495</v>
      </c>
      <c r="S2929" s="35" t="str">
        <f>MID(Tabla1[[#This Row],[Aplicación]],6,2)</f>
        <v>11</v>
      </c>
      <c r="T2929" s="35" t="str">
        <f>VLOOKUP(Tabla1[[#This Row],[AREA]],Hoja1!A:B,2,FALSE)</f>
        <v>11. Salud pública y seguridad ciudadana</v>
      </c>
      <c r="U2929" s="35" t="str">
        <f>MID(Tabla1[[#This Row],[Aplicación]],9,4)</f>
        <v>1361</v>
      </c>
      <c r="V2929" s="35" t="str">
        <f>VLOOKUP(Tabla1[[#This Row],[PROGRAMA]],Hoja1!A:B,2,FALSE)</f>
        <v>1361. Prevención y extinción de incencios</v>
      </c>
      <c r="W2929" s="35" t="str">
        <f>MID(Tabla1[[#This Row],[Aplicación]],14,2)</f>
        <v>22</v>
      </c>
      <c r="X2929" s="35" t="str">
        <f>MID(Tabla1[[#This Row],[Aplicación]],14,6)</f>
        <v>22199</v>
      </c>
    </row>
    <row r="2930" spans="1:24" x14ac:dyDescent="0.25">
      <c r="A2930" s="45">
        <v>220210032735</v>
      </c>
      <c r="B2930" s="46" t="s">
        <v>204</v>
      </c>
      <c r="C2930" s="47">
        <v>44371</v>
      </c>
      <c r="D2930" s="45">
        <v>22021002057</v>
      </c>
      <c r="E2930" s="46" t="s">
        <v>1715</v>
      </c>
      <c r="F2930" s="48">
        <v>214.68</v>
      </c>
      <c r="G2930" s="54" t="s">
        <v>266</v>
      </c>
      <c r="H2930" s="54" t="s">
        <v>4495</v>
      </c>
      <c r="I2930" s="53" t="s">
        <v>205</v>
      </c>
      <c r="J2930" s="54" t="s">
        <v>127</v>
      </c>
      <c r="K2930" s="54" t="s">
        <v>127</v>
      </c>
      <c r="L2930" s="54" t="s">
        <v>15</v>
      </c>
      <c r="M2930" s="54" t="s">
        <v>13</v>
      </c>
      <c r="N2930" s="54" t="s">
        <v>14</v>
      </c>
      <c r="O2930" s="49" t="s">
        <v>814</v>
      </c>
      <c r="P2930" s="54" t="s">
        <v>3392</v>
      </c>
      <c r="Q2930" s="35" t="str">
        <f>MID(Tabla1[[#This Row],[Aplicación]],14,1)</f>
        <v>2</v>
      </c>
      <c r="R2930" s="35" t="s">
        <v>495</v>
      </c>
      <c r="S2930" s="35" t="str">
        <f>MID(Tabla1[[#This Row],[Aplicación]],6,2)</f>
        <v>11</v>
      </c>
      <c r="T2930" s="35" t="str">
        <f>VLOOKUP(Tabla1[[#This Row],[AREA]],Hoja1!A:B,2,FALSE)</f>
        <v>11. Salud pública y seguridad ciudadana</v>
      </c>
      <c r="U2930" s="35" t="str">
        <f>MID(Tabla1[[#This Row],[Aplicación]],9,4)</f>
        <v>1631</v>
      </c>
      <c r="V2930" s="35" t="str">
        <f>VLOOKUP(Tabla1[[#This Row],[PROGRAMA]],Hoja1!A:B,2,FALSE)</f>
        <v>1631. Limpieza viaria</v>
      </c>
      <c r="W2930" s="35" t="str">
        <f>MID(Tabla1[[#This Row],[Aplicación]],14,2)</f>
        <v>22</v>
      </c>
      <c r="X2930" s="35" t="str">
        <f>MID(Tabla1[[#This Row],[Aplicación]],14,6)</f>
        <v>22199</v>
      </c>
    </row>
    <row r="2931" spans="1:24" x14ac:dyDescent="0.25">
      <c r="A2931" s="45">
        <v>220210030244</v>
      </c>
      <c r="B2931" s="46" t="s">
        <v>204</v>
      </c>
      <c r="C2931" s="47">
        <v>44357</v>
      </c>
      <c r="D2931" s="45">
        <v>22021002225</v>
      </c>
      <c r="E2931" s="46" t="s">
        <v>1574</v>
      </c>
      <c r="F2931" s="48">
        <v>213.86</v>
      </c>
      <c r="G2931" s="54" t="s">
        <v>256</v>
      </c>
      <c r="H2931" s="54" t="s">
        <v>4496</v>
      </c>
      <c r="I2931" s="53" t="s">
        <v>205</v>
      </c>
      <c r="J2931" s="54" t="s">
        <v>127</v>
      </c>
      <c r="K2931" s="54" t="s">
        <v>127</v>
      </c>
      <c r="L2931" s="54" t="s">
        <v>15</v>
      </c>
      <c r="M2931" s="54" t="s">
        <v>13</v>
      </c>
      <c r="N2931" s="54" t="s">
        <v>16</v>
      </c>
      <c r="O2931" s="49" t="s">
        <v>814</v>
      </c>
      <c r="P2931" s="54" t="s">
        <v>3392</v>
      </c>
      <c r="Q2931" s="35" t="str">
        <f>MID(Tabla1[[#This Row],[Aplicación]],14,1)</f>
        <v>2</v>
      </c>
      <c r="R2931" s="35" t="s">
        <v>495</v>
      </c>
      <c r="S2931" s="35" t="str">
        <f>MID(Tabla1[[#This Row],[Aplicación]],6,2)</f>
        <v>06</v>
      </c>
      <c r="T2931" s="35" t="str">
        <f>VLOOKUP(Tabla1[[#This Row],[AREA]],Hoja1!A:B,2,FALSE)</f>
        <v>06. Educación, infancia, juventud e igualdad</v>
      </c>
      <c r="U2931" s="35" t="str">
        <f>MID(Tabla1[[#This Row],[Aplicación]],9,4)</f>
        <v>3231</v>
      </c>
      <c r="V2931" s="35" t="str">
        <f>VLOOKUP(Tabla1[[#This Row],[PROGRAMA]],Hoja1!A:B,2,FALSE)</f>
        <v>3231. Escuelas infantiles</v>
      </c>
      <c r="W2931" s="35" t="str">
        <f>MID(Tabla1[[#This Row],[Aplicación]],14,2)</f>
        <v>21</v>
      </c>
      <c r="X2931" s="35" t="str">
        <f>MID(Tabla1[[#This Row],[Aplicación]],14,6)</f>
        <v>212</v>
      </c>
    </row>
    <row r="2932" spans="1:24" x14ac:dyDescent="0.25">
      <c r="A2932" s="45">
        <v>220210025669</v>
      </c>
      <c r="B2932" s="46" t="s">
        <v>204</v>
      </c>
      <c r="C2932" s="47">
        <v>44343</v>
      </c>
      <c r="D2932" s="45">
        <v>22021002052</v>
      </c>
      <c r="E2932" s="46" t="s">
        <v>1340</v>
      </c>
      <c r="F2932" s="48">
        <v>212.77</v>
      </c>
      <c r="G2932" s="54" t="s">
        <v>266</v>
      </c>
      <c r="H2932" s="54" t="s">
        <v>4497</v>
      </c>
      <c r="I2932" s="53" t="s">
        <v>205</v>
      </c>
      <c r="J2932" s="54" t="s">
        <v>127</v>
      </c>
      <c r="K2932" s="54" t="s">
        <v>127</v>
      </c>
      <c r="L2932" s="54" t="s">
        <v>15</v>
      </c>
      <c r="M2932" s="54" t="s">
        <v>13</v>
      </c>
      <c r="N2932" s="54" t="s">
        <v>14</v>
      </c>
      <c r="O2932" s="49" t="s">
        <v>814</v>
      </c>
      <c r="P2932" s="54" t="s">
        <v>3392</v>
      </c>
      <c r="Q2932" s="35" t="str">
        <f>MID(Tabla1[[#This Row],[Aplicación]],14,1)</f>
        <v>2</v>
      </c>
      <c r="R2932" s="35" t="s">
        <v>495</v>
      </c>
      <c r="S2932" s="35" t="str">
        <f>MID(Tabla1[[#This Row],[Aplicación]],6,2)</f>
        <v>11</v>
      </c>
      <c r="T2932" s="35" t="str">
        <f>VLOOKUP(Tabla1[[#This Row],[AREA]],Hoja1!A:B,2,FALSE)</f>
        <v>11. Salud pública y seguridad ciudadana</v>
      </c>
      <c r="U2932" s="35" t="str">
        <f>MID(Tabla1[[#This Row],[Aplicación]],9,4)</f>
        <v>1621</v>
      </c>
      <c r="V2932" s="35" t="str">
        <f>VLOOKUP(Tabla1[[#This Row],[PROGRAMA]],Hoja1!A:B,2,FALSE)</f>
        <v>1621. Servicio de limpieza</v>
      </c>
      <c r="W2932" s="35" t="str">
        <f>MID(Tabla1[[#This Row],[Aplicación]],14,2)</f>
        <v>22</v>
      </c>
      <c r="X2932" s="35" t="str">
        <f>MID(Tabla1[[#This Row],[Aplicación]],14,6)</f>
        <v>22199</v>
      </c>
    </row>
    <row r="2933" spans="1:24" x14ac:dyDescent="0.25">
      <c r="A2933" s="45">
        <v>220210019154</v>
      </c>
      <c r="B2933" s="46" t="s">
        <v>204</v>
      </c>
      <c r="C2933" s="47">
        <v>44319</v>
      </c>
      <c r="D2933" s="45">
        <v>22021002146</v>
      </c>
      <c r="E2933" s="46" t="s">
        <v>1410</v>
      </c>
      <c r="F2933" s="48">
        <v>258.64</v>
      </c>
      <c r="G2933" s="54" t="s">
        <v>264</v>
      </c>
      <c r="H2933" s="54" t="s">
        <v>3269</v>
      </c>
      <c r="I2933" s="53" t="s">
        <v>205</v>
      </c>
      <c r="J2933" s="54" t="s">
        <v>127</v>
      </c>
      <c r="K2933" s="54" t="s">
        <v>127</v>
      </c>
      <c r="L2933" s="54" t="s">
        <v>15</v>
      </c>
      <c r="M2933" s="54" t="s">
        <v>13</v>
      </c>
      <c r="N2933" s="54" t="s">
        <v>14</v>
      </c>
      <c r="O2933" s="49" t="s">
        <v>814</v>
      </c>
      <c r="P2933" s="54" t="s">
        <v>3392</v>
      </c>
      <c r="Q2933" s="35" t="str">
        <f>MID(Tabla1[[#This Row],[Aplicación]],14,1)</f>
        <v>2</v>
      </c>
      <c r="R2933" s="35" t="s">
        <v>495</v>
      </c>
      <c r="S2933" s="35" t="str">
        <f>MID(Tabla1[[#This Row],[Aplicación]],6,2)</f>
        <v>07</v>
      </c>
      <c r="T2933" s="35" t="str">
        <f>VLOOKUP(Tabla1[[#This Row],[AREA]],Hoja1!A:B,2,FALSE)</f>
        <v>07. Medio ambiente y desarrollo sostenible</v>
      </c>
      <c r="U2933" s="35" t="str">
        <f>MID(Tabla1[[#This Row],[Aplicación]],9,4)</f>
        <v>1711</v>
      </c>
      <c r="V2933" s="35" t="str">
        <f>VLOOKUP(Tabla1[[#This Row],[PROGRAMA]],Hoja1!A:B,2,FALSE)</f>
        <v>1711. Parques y jardines</v>
      </c>
      <c r="W2933" s="35" t="str">
        <f>MID(Tabla1[[#This Row],[Aplicación]],14,2)</f>
        <v>21</v>
      </c>
      <c r="X2933" s="35" t="str">
        <f>MID(Tabla1[[#This Row],[Aplicación]],14,6)</f>
        <v>214</v>
      </c>
    </row>
    <row r="2934" spans="1:24" x14ac:dyDescent="0.25">
      <c r="A2934" s="45">
        <v>220210022728</v>
      </c>
      <c r="B2934" s="46" t="s">
        <v>204</v>
      </c>
      <c r="C2934" s="47">
        <v>44333</v>
      </c>
      <c r="D2934" s="45">
        <v>22021002047</v>
      </c>
      <c r="E2934" s="46" t="s">
        <v>944</v>
      </c>
      <c r="F2934" s="48">
        <v>211.45</v>
      </c>
      <c r="G2934" s="54" t="s">
        <v>238</v>
      </c>
      <c r="H2934" s="54" t="s">
        <v>4498</v>
      </c>
      <c r="I2934" s="53" t="s">
        <v>205</v>
      </c>
      <c r="J2934" s="54" t="s">
        <v>127</v>
      </c>
      <c r="K2934" s="54" t="s">
        <v>127</v>
      </c>
      <c r="L2934" s="54" t="s">
        <v>15</v>
      </c>
      <c r="M2934" s="54" t="s">
        <v>13</v>
      </c>
      <c r="N2934" s="54" t="s">
        <v>14</v>
      </c>
      <c r="O2934" s="49" t="s">
        <v>814</v>
      </c>
      <c r="P2934" s="54" t="s">
        <v>3392</v>
      </c>
      <c r="Q2934" s="35" t="str">
        <f>MID(Tabla1[[#This Row],[Aplicación]],14,1)</f>
        <v>2</v>
      </c>
      <c r="R2934" s="35" t="s">
        <v>495</v>
      </c>
      <c r="S2934" s="35" t="str">
        <f>MID(Tabla1[[#This Row],[Aplicación]],6,2)</f>
        <v>11</v>
      </c>
      <c r="T2934" s="35" t="str">
        <f>VLOOKUP(Tabla1[[#This Row],[AREA]],Hoja1!A:B,2,FALSE)</f>
        <v>11. Salud pública y seguridad ciudadana</v>
      </c>
      <c r="U2934" s="35" t="str">
        <f>MID(Tabla1[[#This Row],[Aplicación]],9,4)</f>
        <v>1621</v>
      </c>
      <c r="V2934" s="35" t="str">
        <f>VLOOKUP(Tabla1[[#This Row],[PROGRAMA]],Hoja1!A:B,2,FALSE)</f>
        <v>1621. Servicio de limpieza</v>
      </c>
      <c r="W2934" s="35" t="str">
        <f>MID(Tabla1[[#This Row],[Aplicación]],14,2)</f>
        <v>21</v>
      </c>
      <c r="X2934" s="35" t="str">
        <f>MID(Tabla1[[#This Row],[Aplicación]],14,6)</f>
        <v>213</v>
      </c>
    </row>
    <row r="2935" spans="1:24" x14ac:dyDescent="0.25">
      <c r="A2935" s="45">
        <v>220210029635</v>
      </c>
      <c r="B2935" s="46" t="s">
        <v>204</v>
      </c>
      <c r="C2935" s="47">
        <v>44355</v>
      </c>
      <c r="D2935" s="45">
        <v>22021002371</v>
      </c>
      <c r="E2935" s="46" t="s">
        <v>1336</v>
      </c>
      <c r="F2935" s="48">
        <v>207.55</v>
      </c>
      <c r="G2935" s="54" t="s">
        <v>102</v>
      </c>
      <c r="H2935" s="54" t="s">
        <v>4499</v>
      </c>
      <c r="I2935" s="53" t="s">
        <v>205</v>
      </c>
      <c r="J2935" s="54" t="s">
        <v>127</v>
      </c>
      <c r="K2935" s="54" t="s">
        <v>127</v>
      </c>
      <c r="L2935" s="54" t="s">
        <v>15</v>
      </c>
      <c r="M2935" s="54" t="s">
        <v>13</v>
      </c>
      <c r="N2935" s="54" t="s">
        <v>14</v>
      </c>
      <c r="O2935" s="49" t="s">
        <v>814</v>
      </c>
      <c r="P2935" s="54" t="s">
        <v>3392</v>
      </c>
      <c r="Q2935" s="35" t="str">
        <f>MID(Tabla1[[#This Row],[Aplicación]],14,1)</f>
        <v>2</v>
      </c>
      <c r="R2935" s="35" t="s">
        <v>495</v>
      </c>
      <c r="S2935" s="35" t="str">
        <f>MID(Tabla1[[#This Row],[Aplicación]],6,2)</f>
        <v>02</v>
      </c>
      <c r="T2935" s="35" t="str">
        <f>VLOOKUP(Tabla1[[#This Row],[AREA]],Hoja1!A:B,2,FALSE)</f>
        <v>02. Planeamiento urbanístico y vivienda</v>
      </c>
      <c r="U2935" s="35" t="str">
        <f>MID(Tabla1[[#This Row],[Aplicación]],9,4)</f>
        <v>9332</v>
      </c>
      <c r="V2935" s="35" t="str">
        <f>VLOOKUP(Tabla1[[#This Row],[PROGRAMA]],Hoja1!A:B,2,FALSE)</f>
        <v>9332. Mantenimiento de edificios e instalaciones municipales</v>
      </c>
      <c r="W2935" s="35" t="str">
        <f>MID(Tabla1[[#This Row],[Aplicación]],14,2)</f>
        <v>21</v>
      </c>
      <c r="X2935" s="35" t="str">
        <f>MID(Tabla1[[#This Row],[Aplicación]],14,6)</f>
        <v>212</v>
      </c>
    </row>
    <row r="2936" spans="1:24" x14ac:dyDescent="0.25">
      <c r="A2936" s="45">
        <v>220210014469</v>
      </c>
      <c r="B2936" s="46" t="s">
        <v>204</v>
      </c>
      <c r="C2936" s="47">
        <v>44295</v>
      </c>
      <c r="D2936" s="45">
        <v>22021003381</v>
      </c>
      <c r="E2936" s="46" t="s">
        <v>1183</v>
      </c>
      <c r="F2936" s="48">
        <v>205.53</v>
      </c>
      <c r="G2936" s="54" t="s">
        <v>264</v>
      </c>
      <c r="H2936" s="54" t="s">
        <v>4500</v>
      </c>
      <c r="I2936" s="53" t="s">
        <v>205</v>
      </c>
      <c r="J2936" s="54" t="s">
        <v>127</v>
      </c>
      <c r="K2936" s="54" t="s">
        <v>127</v>
      </c>
      <c r="L2936" s="54" t="s">
        <v>15</v>
      </c>
      <c r="M2936" s="54" t="s">
        <v>13</v>
      </c>
      <c r="N2936" s="54" t="s">
        <v>14</v>
      </c>
      <c r="O2936" s="49" t="s">
        <v>814</v>
      </c>
      <c r="P2936" s="54" t="s">
        <v>3392</v>
      </c>
      <c r="Q2936" s="35" t="str">
        <f>MID(Tabla1[[#This Row],[Aplicación]],14,1)</f>
        <v>2</v>
      </c>
      <c r="R2936" s="35" t="s">
        <v>495</v>
      </c>
      <c r="S2936" s="35" t="str">
        <f>MID(Tabla1[[#This Row],[Aplicación]],6,2)</f>
        <v>11</v>
      </c>
      <c r="T2936" s="35" t="str">
        <f>VLOOKUP(Tabla1[[#This Row],[AREA]],Hoja1!A:B,2,FALSE)</f>
        <v>11. Salud pública y seguridad ciudadana</v>
      </c>
      <c r="U2936" s="35" t="str">
        <f>MID(Tabla1[[#This Row],[Aplicación]],9,4)</f>
        <v>1361</v>
      </c>
      <c r="V2936" s="35" t="str">
        <f>VLOOKUP(Tabla1[[#This Row],[PROGRAMA]],Hoja1!A:B,2,FALSE)</f>
        <v>1361. Prevención y extinción de incencios</v>
      </c>
      <c r="W2936" s="35" t="str">
        <f>MID(Tabla1[[#This Row],[Aplicación]],14,2)</f>
        <v>22</v>
      </c>
      <c r="X2936" s="35" t="str">
        <f>MID(Tabla1[[#This Row],[Aplicación]],14,6)</f>
        <v>22199</v>
      </c>
    </row>
    <row r="2937" spans="1:24" x14ac:dyDescent="0.25">
      <c r="A2937" s="45">
        <v>220210015643</v>
      </c>
      <c r="B2937" s="46" t="s">
        <v>204</v>
      </c>
      <c r="C2937" s="47">
        <v>44302</v>
      </c>
      <c r="D2937" s="45">
        <v>22021002227</v>
      </c>
      <c r="E2937" s="46" t="s">
        <v>1324</v>
      </c>
      <c r="F2937" s="48">
        <v>205.22</v>
      </c>
      <c r="G2937" s="54" t="s">
        <v>102</v>
      </c>
      <c r="H2937" s="54" t="s">
        <v>4501</v>
      </c>
      <c r="I2937" s="53" t="s">
        <v>205</v>
      </c>
      <c r="J2937" s="54" t="s">
        <v>127</v>
      </c>
      <c r="K2937" s="54" t="s">
        <v>127</v>
      </c>
      <c r="L2937" s="54" t="s">
        <v>15</v>
      </c>
      <c r="M2937" s="54" t="s">
        <v>13</v>
      </c>
      <c r="N2937" s="54" t="s">
        <v>16</v>
      </c>
      <c r="O2937" s="49" t="s">
        <v>814</v>
      </c>
      <c r="P2937" s="54" t="s">
        <v>3392</v>
      </c>
      <c r="Q2937" s="35" t="str">
        <f>MID(Tabla1[[#This Row],[Aplicación]],14,1)</f>
        <v>2</v>
      </c>
      <c r="R2937" s="35" t="s">
        <v>495</v>
      </c>
      <c r="S2937" s="35" t="str">
        <f>MID(Tabla1[[#This Row],[Aplicación]],6,2)</f>
        <v>06</v>
      </c>
      <c r="T2937" s="35" t="str">
        <f>VLOOKUP(Tabla1[[#This Row],[AREA]],Hoja1!A:B,2,FALSE)</f>
        <v>06. Educación, infancia, juventud e igualdad</v>
      </c>
      <c r="U2937" s="35" t="str">
        <f>MID(Tabla1[[#This Row],[Aplicación]],9,4)</f>
        <v>3321</v>
      </c>
      <c r="V2937" s="35" t="str">
        <f>VLOOKUP(Tabla1[[#This Row],[PROGRAMA]],Hoja1!A:B,2,FALSE)</f>
        <v>3321. Bibliotecas públicas</v>
      </c>
      <c r="W2937" s="35" t="str">
        <f>MID(Tabla1[[#This Row],[Aplicación]],14,2)</f>
        <v>21</v>
      </c>
      <c r="X2937" s="35" t="str">
        <f>MID(Tabla1[[#This Row],[Aplicación]],14,6)</f>
        <v>212</v>
      </c>
    </row>
    <row r="2938" spans="1:24" x14ac:dyDescent="0.25">
      <c r="A2938" s="45">
        <v>220210016021</v>
      </c>
      <c r="B2938" s="46" t="s">
        <v>204</v>
      </c>
      <c r="C2938" s="47">
        <v>44305</v>
      </c>
      <c r="D2938" s="45">
        <v>22021002088</v>
      </c>
      <c r="E2938" s="46" t="s">
        <v>1478</v>
      </c>
      <c r="F2938" s="48">
        <v>199.7</v>
      </c>
      <c r="G2938" s="54" t="s">
        <v>256</v>
      </c>
      <c r="H2938" s="54" t="s">
        <v>4502</v>
      </c>
      <c r="I2938" s="53" t="s">
        <v>205</v>
      </c>
      <c r="J2938" s="54" t="s">
        <v>127</v>
      </c>
      <c r="K2938" s="54" t="s">
        <v>127</v>
      </c>
      <c r="L2938" s="54" t="s">
        <v>15</v>
      </c>
      <c r="M2938" s="54" t="s">
        <v>13</v>
      </c>
      <c r="N2938" s="54" t="s">
        <v>16</v>
      </c>
      <c r="O2938" s="49" t="s">
        <v>814</v>
      </c>
      <c r="P2938" s="54" t="s">
        <v>3392</v>
      </c>
      <c r="Q2938" s="35" t="str">
        <f>MID(Tabla1[[#This Row],[Aplicación]],14,1)</f>
        <v>2</v>
      </c>
      <c r="R2938" s="35" t="s">
        <v>495</v>
      </c>
      <c r="S2938" s="35" t="str">
        <f>MID(Tabla1[[#This Row],[Aplicación]],6,2)</f>
        <v>03</v>
      </c>
      <c r="T2938" s="35" t="str">
        <f>VLOOKUP(Tabla1[[#This Row],[AREA]],Hoja1!A:B,2,FALSE)</f>
        <v>03. Participación ciudadana y deportes</v>
      </c>
      <c r="U2938" s="35" t="str">
        <f>MID(Tabla1[[#This Row],[Aplicación]],9,4)</f>
        <v>9241</v>
      </c>
      <c r="V2938" s="35" t="str">
        <f>VLOOKUP(Tabla1[[#This Row],[PROGRAMA]],Hoja1!A:B,2,FALSE)</f>
        <v>9241. Participación ciudadana</v>
      </c>
      <c r="W2938" s="35" t="str">
        <f>MID(Tabla1[[#This Row],[Aplicación]],14,2)</f>
        <v>21</v>
      </c>
      <c r="X2938" s="35" t="str">
        <f>MID(Tabla1[[#This Row],[Aplicación]],14,6)</f>
        <v>212</v>
      </c>
    </row>
    <row r="2939" spans="1:24" x14ac:dyDescent="0.25">
      <c r="A2939" s="45">
        <v>220210031387</v>
      </c>
      <c r="B2939" s="46" t="s">
        <v>204</v>
      </c>
      <c r="C2939" s="47">
        <v>44365</v>
      </c>
      <c r="D2939" s="45">
        <v>22021002088</v>
      </c>
      <c r="E2939" s="46" t="s">
        <v>1478</v>
      </c>
      <c r="F2939" s="48">
        <v>198.45</v>
      </c>
      <c r="G2939" s="54" t="s">
        <v>266</v>
      </c>
      <c r="H2939" s="54" t="s">
        <v>4503</v>
      </c>
      <c r="I2939" s="53" t="s">
        <v>205</v>
      </c>
      <c r="J2939" s="54" t="s">
        <v>127</v>
      </c>
      <c r="K2939" s="54" t="s">
        <v>127</v>
      </c>
      <c r="L2939" s="54" t="s">
        <v>15</v>
      </c>
      <c r="M2939" s="54" t="s">
        <v>13</v>
      </c>
      <c r="N2939" s="54" t="s">
        <v>16</v>
      </c>
      <c r="O2939" s="49" t="s">
        <v>814</v>
      </c>
      <c r="P2939" s="54" t="s">
        <v>3392</v>
      </c>
      <c r="Q2939" s="35" t="str">
        <f>MID(Tabla1[[#This Row],[Aplicación]],14,1)</f>
        <v>2</v>
      </c>
      <c r="R2939" s="35" t="s">
        <v>495</v>
      </c>
      <c r="S2939" s="35" t="str">
        <f>MID(Tabla1[[#This Row],[Aplicación]],6,2)</f>
        <v>03</v>
      </c>
      <c r="T2939" s="35" t="str">
        <f>VLOOKUP(Tabla1[[#This Row],[AREA]],Hoja1!A:B,2,FALSE)</f>
        <v>03. Participación ciudadana y deportes</v>
      </c>
      <c r="U2939" s="35" t="str">
        <f>MID(Tabla1[[#This Row],[Aplicación]],9,4)</f>
        <v>9241</v>
      </c>
      <c r="V2939" s="35" t="str">
        <f>VLOOKUP(Tabla1[[#This Row],[PROGRAMA]],Hoja1!A:B,2,FALSE)</f>
        <v>9241. Participación ciudadana</v>
      </c>
      <c r="W2939" s="35" t="str">
        <f>MID(Tabla1[[#This Row],[Aplicación]],14,2)</f>
        <v>21</v>
      </c>
      <c r="X2939" s="35" t="str">
        <f>MID(Tabla1[[#This Row],[Aplicación]],14,6)</f>
        <v>212</v>
      </c>
    </row>
    <row r="2940" spans="1:24" x14ac:dyDescent="0.25">
      <c r="A2940" s="45">
        <v>220210022521</v>
      </c>
      <c r="B2940" s="46" t="s">
        <v>204</v>
      </c>
      <c r="C2940" s="47">
        <v>44330</v>
      </c>
      <c r="D2940" s="45">
        <v>22021001967</v>
      </c>
      <c r="E2940" s="46" t="s">
        <v>1167</v>
      </c>
      <c r="F2940" s="48">
        <v>834.36</v>
      </c>
      <c r="G2940" s="54" t="s">
        <v>264</v>
      </c>
      <c r="H2940" s="54" t="s">
        <v>4490</v>
      </c>
      <c r="I2940" s="53" t="s">
        <v>205</v>
      </c>
      <c r="J2940" s="54" t="s">
        <v>127</v>
      </c>
      <c r="K2940" s="54" t="s">
        <v>127</v>
      </c>
      <c r="L2940" s="54" t="s">
        <v>15</v>
      </c>
      <c r="M2940" s="54" t="s">
        <v>13</v>
      </c>
      <c r="N2940" s="54" t="s">
        <v>14</v>
      </c>
      <c r="O2940" s="49" t="s">
        <v>814</v>
      </c>
      <c r="P2940" s="54" t="s">
        <v>3392</v>
      </c>
      <c r="Q2940" s="35" t="str">
        <f>MID(Tabla1[[#This Row],[Aplicación]],14,1)</f>
        <v>2</v>
      </c>
      <c r="R2940" s="35" t="s">
        <v>495</v>
      </c>
      <c r="S2940" s="35" t="str">
        <f>MID(Tabla1[[#This Row],[Aplicación]],6,2)</f>
        <v>11</v>
      </c>
      <c r="T2940" s="35" t="str">
        <f>VLOOKUP(Tabla1[[#This Row],[AREA]],Hoja1!A:B,2,FALSE)</f>
        <v>11. Salud pública y seguridad ciudadana</v>
      </c>
      <c r="U2940" s="35" t="str">
        <f>MID(Tabla1[[#This Row],[Aplicación]],9,4)</f>
        <v>1321</v>
      </c>
      <c r="V2940" s="35" t="str">
        <f>VLOOKUP(Tabla1[[#This Row],[PROGRAMA]],Hoja1!A:B,2,FALSE)</f>
        <v>1321. Policía municipal</v>
      </c>
      <c r="W2940" s="35" t="str">
        <f>MID(Tabla1[[#This Row],[Aplicación]],14,2)</f>
        <v>21</v>
      </c>
      <c r="X2940" s="35" t="str">
        <f>MID(Tabla1[[#This Row],[Aplicación]],14,6)</f>
        <v>214</v>
      </c>
    </row>
    <row r="2941" spans="1:24" x14ac:dyDescent="0.25">
      <c r="A2941" s="45">
        <v>220210020471</v>
      </c>
      <c r="B2941" s="46" t="s">
        <v>32</v>
      </c>
      <c r="C2941" s="47">
        <v>44322</v>
      </c>
      <c r="D2941" s="45">
        <v>22021004274</v>
      </c>
      <c r="E2941" s="46" t="s">
        <v>3311</v>
      </c>
      <c r="F2941" s="48">
        <v>161.33000000000001</v>
      </c>
      <c r="G2941" s="54" t="s">
        <v>3886</v>
      </c>
      <c r="H2941" s="54" t="s">
        <v>4504</v>
      </c>
      <c r="I2941" s="53" t="s">
        <v>234</v>
      </c>
      <c r="J2941" s="54" t="s">
        <v>127</v>
      </c>
      <c r="K2941" s="54" t="s">
        <v>127</v>
      </c>
      <c r="L2941" s="54" t="s">
        <v>12</v>
      </c>
      <c r="M2941" s="54" t="s">
        <v>10</v>
      </c>
      <c r="N2941" s="54" t="s">
        <v>14</v>
      </c>
      <c r="O2941" s="49" t="s">
        <v>815</v>
      </c>
      <c r="P2941" s="54" t="s">
        <v>3392</v>
      </c>
      <c r="Q2941" s="35" t="str">
        <f>MID(Tabla1[[#This Row],[Aplicación]],14,1)</f>
        <v>8</v>
      </c>
      <c r="R2941" s="35" t="s">
        <v>497</v>
      </c>
      <c r="S2941" s="35" t="str">
        <f>MID(Tabla1[[#This Row],[Aplicación]],6,2)</f>
        <v>08</v>
      </c>
      <c r="T2941" s="35" t="str">
        <f>VLOOKUP(Tabla1[[#This Row],[AREA]],Hoja1!A:B,2,FALSE)</f>
        <v>08. Movilidad y espacio urbano</v>
      </c>
      <c r="U2941" s="35" t="str">
        <f>MID(Tabla1[[#This Row],[Aplicación]],9,4)</f>
        <v>1513</v>
      </c>
      <c r="V2941" s="35" t="str">
        <f>VLOOKUP(Tabla1[[#This Row],[PROGRAMA]],Hoja1!A:B,2,FALSE)</f>
        <v>1513. Licencias urbanísticas</v>
      </c>
      <c r="W2941" s="35" t="str">
        <f>MID(Tabla1[[#This Row],[Aplicación]],14,2)</f>
        <v>83</v>
      </c>
      <c r="X2941" s="35" t="str">
        <f>MID(Tabla1[[#This Row],[Aplicación]],14,6)</f>
        <v>83100</v>
      </c>
    </row>
    <row r="2942" spans="1:24" x14ac:dyDescent="0.25">
      <c r="A2942" s="45">
        <v>220210032964</v>
      </c>
      <c r="B2942" s="46" t="s">
        <v>204</v>
      </c>
      <c r="C2942" s="47">
        <v>44375</v>
      </c>
      <c r="D2942" s="45">
        <v>22021002228</v>
      </c>
      <c r="E2942" s="46" t="s">
        <v>1471</v>
      </c>
      <c r="F2942" s="48">
        <v>198</v>
      </c>
      <c r="G2942" s="54" t="s">
        <v>574</v>
      </c>
      <c r="H2942" s="54" t="s">
        <v>4505</v>
      </c>
      <c r="I2942" s="53" t="s">
        <v>205</v>
      </c>
      <c r="J2942" s="54" t="s">
        <v>127</v>
      </c>
      <c r="K2942" s="54" t="s">
        <v>127</v>
      </c>
      <c r="L2942" s="54" t="s">
        <v>15</v>
      </c>
      <c r="M2942" s="54" t="s">
        <v>13</v>
      </c>
      <c r="N2942" s="54" t="s">
        <v>14</v>
      </c>
      <c r="O2942" s="49" t="s">
        <v>814</v>
      </c>
      <c r="P2942" s="54" t="s">
        <v>3392</v>
      </c>
      <c r="Q2942" s="35" t="str">
        <f>MID(Tabla1[[#This Row],[Aplicación]],14,1)</f>
        <v>2</v>
      </c>
      <c r="R2942" s="35" t="s">
        <v>495</v>
      </c>
      <c r="S2942" s="35" t="str">
        <f>MID(Tabla1[[#This Row],[Aplicación]],6,2)</f>
        <v>06</v>
      </c>
      <c r="T2942" s="35" t="str">
        <f>VLOOKUP(Tabla1[[#This Row],[AREA]],Hoja1!A:B,2,FALSE)</f>
        <v>06. Educación, infancia, juventud e igualdad</v>
      </c>
      <c r="U2942" s="35" t="str">
        <f>MID(Tabla1[[#This Row],[Aplicación]],9,4)</f>
        <v>3232</v>
      </c>
      <c r="V2942" s="35" t="str">
        <f>VLOOKUP(Tabla1[[#This Row],[PROGRAMA]],Hoja1!A:B,2,FALSE)</f>
        <v>3232. Conservación y mantenimiento centros educación infantil y primaria</v>
      </c>
      <c r="W2942" s="35" t="str">
        <f>MID(Tabla1[[#This Row],[Aplicación]],14,2)</f>
        <v>21</v>
      </c>
      <c r="X2942" s="35" t="str">
        <f>MID(Tabla1[[#This Row],[Aplicación]],14,6)</f>
        <v>212</v>
      </c>
    </row>
    <row r="2943" spans="1:24" x14ac:dyDescent="0.25">
      <c r="A2943" s="45">
        <v>220210022767</v>
      </c>
      <c r="B2943" s="46" t="s">
        <v>204</v>
      </c>
      <c r="C2943" s="47">
        <v>44333</v>
      </c>
      <c r="D2943" s="45">
        <v>22021002228</v>
      </c>
      <c r="E2943" s="46" t="s">
        <v>1471</v>
      </c>
      <c r="F2943" s="48">
        <v>197.1</v>
      </c>
      <c r="G2943" s="54" t="s">
        <v>1475</v>
      </c>
      <c r="H2943" s="54" t="s">
        <v>4506</v>
      </c>
      <c r="I2943" s="53" t="s">
        <v>205</v>
      </c>
      <c r="J2943" s="54" t="s">
        <v>127</v>
      </c>
      <c r="K2943" s="54" t="s">
        <v>127</v>
      </c>
      <c r="L2943" s="54" t="s">
        <v>15</v>
      </c>
      <c r="M2943" s="54" t="s">
        <v>13</v>
      </c>
      <c r="N2943" s="54" t="s">
        <v>14</v>
      </c>
      <c r="O2943" s="49" t="s">
        <v>814</v>
      </c>
      <c r="P2943" s="54" t="s">
        <v>3392</v>
      </c>
      <c r="Q2943" s="35" t="str">
        <f>MID(Tabla1[[#This Row],[Aplicación]],14,1)</f>
        <v>2</v>
      </c>
      <c r="R2943" s="35" t="s">
        <v>495</v>
      </c>
      <c r="S2943" s="35" t="str">
        <f>MID(Tabla1[[#This Row],[Aplicación]],6,2)</f>
        <v>06</v>
      </c>
      <c r="T2943" s="35" t="str">
        <f>VLOOKUP(Tabla1[[#This Row],[AREA]],Hoja1!A:B,2,FALSE)</f>
        <v>06. Educación, infancia, juventud e igualdad</v>
      </c>
      <c r="U2943" s="35" t="str">
        <f>MID(Tabla1[[#This Row],[Aplicación]],9,4)</f>
        <v>3232</v>
      </c>
      <c r="V2943" s="35" t="str">
        <f>VLOOKUP(Tabla1[[#This Row],[PROGRAMA]],Hoja1!A:B,2,FALSE)</f>
        <v>3232. Conservación y mantenimiento centros educación infantil y primaria</v>
      </c>
      <c r="W2943" s="35" t="str">
        <f>MID(Tabla1[[#This Row],[Aplicación]],14,2)</f>
        <v>21</v>
      </c>
      <c r="X2943" s="35" t="str">
        <f>MID(Tabla1[[#This Row],[Aplicación]],14,6)</f>
        <v>212</v>
      </c>
    </row>
    <row r="2944" spans="1:24" x14ac:dyDescent="0.25">
      <c r="A2944" s="45">
        <v>220210033182</v>
      </c>
      <c r="B2944" s="46" t="s">
        <v>204</v>
      </c>
      <c r="C2944" s="47">
        <v>44377</v>
      </c>
      <c r="D2944" s="45">
        <v>22021001039</v>
      </c>
      <c r="E2944" s="46" t="s">
        <v>844</v>
      </c>
      <c r="F2944" s="48">
        <v>195.98</v>
      </c>
      <c r="G2944" s="54" t="s">
        <v>223</v>
      </c>
      <c r="H2944" s="54" t="s">
        <v>4507</v>
      </c>
      <c r="I2944" s="53" t="s">
        <v>205</v>
      </c>
      <c r="J2944" s="54" t="s">
        <v>127</v>
      </c>
      <c r="K2944" s="54" t="s">
        <v>127</v>
      </c>
      <c r="L2944" s="54" t="s">
        <v>15</v>
      </c>
      <c r="M2944" s="54" t="s">
        <v>13</v>
      </c>
      <c r="N2944" s="54" t="s">
        <v>14</v>
      </c>
      <c r="O2944" s="49" t="s">
        <v>814</v>
      </c>
      <c r="P2944" s="54" t="s">
        <v>3392</v>
      </c>
      <c r="Q2944" s="35" t="str">
        <f>MID(Tabla1[[#This Row],[Aplicación]],14,1)</f>
        <v>2</v>
      </c>
      <c r="R2944" s="35" t="s">
        <v>495</v>
      </c>
      <c r="S2944" s="35" t="str">
        <f>MID(Tabla1[[#This Row],[Aplicación]],6,2)</f>
        <v>10</v>
      </c>
      <c r="T2944" s="35" t="str">
        <f>VLOOKUP(Tabla1[[#This Row],[AREA]],Hoja1!A:B,2,FALSE)</f>
        <v>10. Servicios sociales y mediación comunitaria</v>
      </c>
      <c r="U2944" s="35" t="str">
        <f>MID(Tabla1[[#This Row],[Aplicación]],9,4)</f>
        <v>2312</v>
      </c>
      <c r="V2944" s="35" t="str">
        <f>VLOOKUP(Tabla1[[#This Row],[PROGRAMA]],Hoja1!A:B,2,FALSE)</f>
        <v>2312. Iniciativas sociales</v>
      </c>
      <c r="W2944" s="35" t="str">
        <f>MID(Tabla1[[#This Row],[Aplicación]],14,2)</f>
        <v>21</v>
      </c>
      <c r="X2944" s="35" t="str">
        <f>MID(Tabla1[[#This Row],[Aplicación]],14,6)</f>
        <v>212</v>
      </c>
    </row>
    <row r="2945" spans="1:24" x14ac:dyDescent="0.25">
      <c r="A2945" s="45">
        <v>220210014796</v>
      </c>
      <c r="B2945" s="46" t="s">
        <v>204</v>
      </c>
      <c r="C2945" s="47">
        <v>44299</v>
      </c>
      <c r="D2945" s="45">
        <v>22021002089</v>
      </c>
      <c r="E2945" s="46" t="s">
        <v>1220</v>
      </c>
      <c r="F2945" s="48">
        <v>195.92</v>
      </c>
      <c r="G2945" s="54" t="s">
        <v>102</v>
      </c>
      <c r="H2945" s="54" t="s">
        <v>4508</v>
      </c>
      <c r="I2945" s="53" t="s">
        <v>205</v>
      </c>
      <c r="J2945" s="54" t="s">
        <v>127</v>
      </c>
      <c r="K2945" s="54" t="s">
        <v>127</v>
      </c>
      <c r="L2945" s="54" t="s">
        <v>15</v>
      </c>
      <c r="M2945" s="54" t="s">
        <v>13</v>
      </c>
      <c r="N2945" s="54" t="s">
        <v>16</v>
      </c>
      <c r="O2945" s="49" t="s">
        <v>814</v>
      </c>
      <c r="P2945" s="54" t="s">
        <v>3392</v>
      </c>
      <c r="Q2945" s="35" t="str">
        <f>MID(Tabla1[[#This Row],[Aplicación]],14,1)</f>
        <v>2</v>
      </c>
      <c r="R2945" s="35" t="s">
        <v>495</v>
      </c>
      <c r="S2945" s="35" t="str">
        <f>MID(Tabla1[[#This Row],[Aplicación]],6,2)</f>
        <v>03</v>
      </c>
      <c r="T2945" s="35" t="str">
        <f>VLOOKUP(Tabla1[[#This Row],[AREA]],Hoja1!A:B,2,FALSE)</f>
        <v>03. Participación ciudadana y deportes</v>
      </c>
      <c r="U2945" s="35" t="str">
        <f>MID(Tabla1[[#This Row],[Aplicación]],9,4)</f>
        <v>9241</v>
      </c>
      <c r="V2945" s="35" t="str">
        <f>VLOOKUP(Tabla1[[#This Row],[PROGRAMA]],Hoja1!A:B,2,FALSE)</f>
        <v>9241. Participación ciudadana</v>
      </c>
      <c r="W2945" s="35" t="str">
        <f>MID(Tabla1[[#This Row],[Aplicación]],14,2)</f>
        <v>21</v>
      </c>
      <c r="X2945" s="35" t="str">
        <f>MID(Tabla1[[#This Row],[Aplicación]],14,6)</f>
        <v>213</v>
      </c>
    </row>
    <row r="2946" spans="1:24" x14ac:dyDescent="0.25">
      <c r="A2946" s="45">
        <v>220210028823</v>
      </c>
      <c r="B2946" s="46" t="s">
        <v>9</v>
      </c>
      <c r="C2946" s="47">
        <v>44351</v>
      </c>
      <c r="D2946" s="45">
        <v>22021004655</v>
      </c>
      <c r="E2946" s="46" t="s">
        <v>3339</v>
      </c>
      <c r="F2946" s="48">
        <v>159.99</v>
      </c>
      <c r="G2946" s="54" t="s">
        <v>3662</v>
      </c>
      <c r="H2946" s="54" t="s">
        <v>4509</v>
      </c>
      <c r="I2946" s="53" t="s">
        <v>125</v>
      </c>
      <c r="J2946" s="54" t="s">
        <v>127</v>
      </c>
      <c r="K2946" s="54" t="s">
        <v>127</v>
      </c>
      <c r="L2946" s="54" t="s">
        <v>15</v>
      </c>
      <c r="M2946" s="54" t="s">
        <v>10</v>
      </c>
      <c r="N2946" s="54" t="s">
        <v>11</v>
      </c>
      <c r="O2946" s="49" t="s">
        <v>815</v>
      </c>
      <c r="P2946" s="54" t="s">
        <v>3392</v>
      </c>
      <c r="Q2946" s="35" t="str">
        <f>MID(Tabla1[[#This Row],[Aplicación]],14,1)</f>
        <v>1</v>
      </c>
      <c r="R2946" s="35" t="s">
        <v>504</v>
      </c>
      <c r="S2946" s="35" t="str">
        <f>MID(Tabla1[[#This Row],[Aplicación]],6,2)</f>
        <v>04</v>
      </c>
      <c r="T2946" s="35" t="str">
        <f>VLOOKUP(Tabla1[[#This Row],[AREA]],Hoja1!A:B,2,FALSE)</f>
        <v>04. Planificación y recursos</v>
      </c>
      <c r="U2946" s="35" t="str">
        <f>MID(Tabla1[[#This Row],[Aplicación]],9,4)</f>
        <v>9202</v>
      </c>
      <c r="V2946" s="35" t="str">
        <f>VLOOKUP(Tabla1[[#This Row],[PROGRAMA]],Hoja1!A:B,2,FALSE)</f>
        <v>9202. Gestión de recursos humanos</v>
      </c>
      <c r="W2946" s="35" t="str">
        <f>MID(Tabla1[[#This Row],[Aplicación]],14,2)</f>
        <v>16</v>
      </c>
      <c r="X2946" s="35" t="str">
        <f>MID(Tabla1[[#This Row],[Aplicación]],14,6)</f>
        <v>16204</v>
      </c>
    </row>
    <row r="2947" spans="1:24" x14ac:dyDescent="0.25">
      <c r="A2947" s="45">
        <v>220210015507</v>
      </c>
      <c r="B2947" s="46" t="s">
        <v>9</v>
      </c>
      <c r="C2947" s="47">
        <v>44300</v>
      </c>
      <c r="D2947" s="45">
        <v>22021003826</v>
      </c>
      <c r="E2947" s="46" t="s">
        <v>3368</v>
      </c>
      <c r="F2947" s="48">
        <v>158.63</v>
      </c>
      <c r="G2947" s="54" t="s">
        <v>3699</v>
      </c>
      <c r="H2947" s="54" t="s">
        <v>4510</v>
      </c>
      <c r="I2947" s="53" t="s">
        <v>125</v>
      </c>
      <c r="J2947" s="54" t="s">
        <v>127</v>
      </c>
      <c r="K2947" s="54" t="s">
        <v>127</v>
      </c>
      <c r="L2947" s="54" t="s">
        <v>12</v>
      </c>
      <c r="M2947" s="54" t="s">
        <v>10</v>
      </c>
      <c r="N2947" s="54" t="s">
        <v>11</v>
      </c>
      <c r="O2947" s="49" t="s">
        <v>815</v>
      </c>
      <c r="P2947" s="54" t="s">
        <v>3392</v>
      </c>
      <c r="Q2947" s="35" t="str">
        <f>MID(Tabla1[[#This Row],[Aplicación]],14,1)</f>
        <v>2</v>
      </c>
      <c r="R2947" s="35" t="s">
        <v>495</v>
      </c>
      <c r="S2947" s="35" t="str">
        <f>MID(Tabla1[[#This Row],[Aplicación]],6,2)</f>
        <v>01</v>
      </c>
      <c r="T2947" s="35" t="str">
        <f>VLOOKUP(Tabla1[[#This Row],[AREA]],Hoja1!A:B,2,FALSE)</f>
        <v>01. Alcaldía</v>
      </c>
      <c r="U2947" s="35" t="str">
        <f>MID(Tabla1[[#This Row],[Aplicación]],9,4)</f>
        <v>9207</v>
      </c>
      <c r="V2947" s="35" t="str">
        <f>VLOOKUP(Tabla1[[#This Row],[PROGRAMA]],Hoja1!A:B,2,FALSE)</f>
        <v>9207. Gobierno y relaciones</v>
      </c>
      <c r="W2947" s="35" t="str">
        <f>MID(Tabla1[[#This Row],[Aplicación]],14,2)</f>
        <v>22</v>
      </c>
      <c r="X2947" s="35" t="str">
        <f>MID(Tabla1[[#This Row],[Aplicación]],14,6)</f>
        <v>22699</v>
      </c>
    </row>
    <row r="2948" spans="1:24" x14ac:dyDescent="0.25">
      <c r="A2948" s="45">
        <v>220210016092</v>
      </c>
      <c r="B2948" s="46" t="s">
        <v>9</v>
      </c>
      <c r="C2948" s="47">
        <v>44305</v>
      </c>
      <c r="D2948" s="45">
        <v>22021003899</v>
      </c>
      <c r="E2948" s="46" t="s">
        <v>3383</v>
      </c>
      <c r="F2948" s="48">
        <v>195.9</v>
      </c>
      <c r="G2948" s="54" t="s">
        <v>235</v>
      </c>
      <c r="H2948" s="54" t="s">
        <v>4511</v>
      </c>
      <c r="I2948" s="53" t="s">
        <v>125</v>
      </c>
      <c r="J2948" s="54" t="s">
        <v>742</v>
      </c>
      <c r="K2948" s="54" t="s">
        <v>165</v>
      </c>
      <c r="L2948" s="54" t="s">
        <v>12</v>
      </c>
      <c r="M2948" s="54" t="s">
        <v>13</v>
      </c>
      <c r="N2948" s="54" t="s">
        <v>16</v>
      </c>
      <c r="O2948" s="49" t="s">
        <v>814</v>
      </c>
      <c r="P2948" s="54" t="s">
        <v>3392</v>
      </c>
      <c r="Q2948" s="35" t="str">
        <f>MID(Tabla1[[#This Row],[Aplicación]],14,1)</f>
        <v>2</v>
      </c>
      <c r="R2948" s="35" t="s">
        <v>495</v>
      </c>
      <c r="S2948" s="35" t="str">
        <f>MID(Tabla1[[#This Row],[Aplicación]],6,2)</f>
        <v>05</v>
      </c>
      <c r="T2948" s="35" t="str">
        <f>VLOOKUP(Tabla1[[#This Row],[AREA]],Hoja1!A:B,2,FALSE)</f>
        <v>05. Innovación, desarrollo económico, empleo y comercio</v>
      </c>
      <c r="U2948" s="35" t="str">
        <f>MID(Tabla1[[#This Row],[Aplicación]],9,4)</f>
        <v>4315</v>
      </c>
      <c r="V2948" s="35" t="str">
        <f>VLOOKUP(Tabla1[[#This Row],[PROGRAMA]],Hoja1!A:B,2,FALSE)</f>
        <v>4315. Actuaciones en materia de consumo</v>
      </c>
      <c r="W2948" s="35" t="str">
        <f>MID(Tabla1[[#This Row],[Aplicación]],14,2)</f>
        <v>22</v>
      </c>
      <c r="X2948" s="35" t="str">
        <f>MID(Tabla1[[#This Row],[Aplicación]],14,6)</f>
        <v>22199</v>
      </c>
    </row>
    <row r="2949" spans="1:24" x14ac:dyDescent="0.25">
      <c r="A2949" s="45">
        <v>220210014323</v>
      </c>
      <c r="B2949" s="46" t="s">
        <v>9</v>
      </c>
      <c r="C2949" s="47">
        <v>44295</v>
      </c>
      <c r="D2949" s="45">
        <v>22021003636</v>
      </c>
      <c r="E2949" s="46" t="s">
        <v>1648</v>
      </c>
      <c r="F2949" s="48">
        <v>157.30000000000001</v>
      </c>
      <c r="G2949" s="54" t="s">
        <v>159</v>
      </c>
      <c r="H2949" s="54" t="s">
        <v>4512</v>
      </c>
      <c r="I2949" s="53" t="s">
        <v>125</v>
      </c>
      <c r="J2949" s="54" t="s">
        <v>642</v>
      </c>
      <c r="K2949" s="54" t="s">
        <v>160</v>
      </c>
      <c r="L2949" s="54" t="s">
        <v>12</v>
      </c>
      <c r="M2949" s="54" t="s">
        <v>10</v>
      </c>
      <c r="N2949" s="54" t="s">
        <v>11</v>
      </c>
      <c r="O2949" s="49" t="s">
        <v>815</v>
      </c>
      <c r="P2949" s="54" t="s">
        <v>3392</v>
      </c>
      <c r="Q2949" s="35" t="str">
        <f>MID(Tabla1[[#This Row],[Aplicación]],14,1)</f>
        <v>2</v>
      </c>
      <c r="R2949" s="35" t="s">
        <v>495</v>
      </c>
      <c r="S2949" s="35" t="str">
        <f>MID(Tabla1[[#This Row],[Aplicación]],6,2)</f>
        <v>09</v>
      </c>
      <c r="T2949" s="35" t="str">
        <f>VLOOKUP(Tabla1[[#This Row],[AREA]],Hoja1!A:B,2,FALSE)</f>
        <v>09. Cultura y turismo</v>
      </c>
      <c r="U2949" s="35" t="str">
        <f>MID(Tabla1[[#This Row],[Aplicación]],9,4)</f>
        <v>3341</v>
      </c>
      <c r="V2949" s="35" t="str">
        <f>VLOOKUP(Tabla1[[#This Row],[PROGRAMA]],Hoja1!A:B,2,FALSE)</f>
        <v>3341. Coordinación de políticas culturales</v>
      </c>
      <c r="W2949" s="35" t="str">
        <f>MID(Tabla1[[#This Row],[Aplicación]],14,2)</f>
        <v>22</v>
      </c>
      <c r="X2949" s="35" t="str">
        <f>MID(Tabla1[[#This Row],[Aplicación]],14,6)</f>
        <v>22799</v>
      </c>
    </row>
    <row r="2950" spans="1:24" x14ac:dyDescent="0.25">
      <c r="A2950" s="45">
        <v>220210016746</v>
      </c>
      <c r="B2950" s="46" t="s">
        <v>9</v>
      </c>
      <c r="C2950" s="47">
        <v>44308</v>
      </c>
      <c r="D2950" s="45">
        <v>22021000679</v>
      </c>
      <c r="E2950" s="46" t="s">
        <v>983</v>
      </c>
      <c r="F2950" s="48">
        <v>156.96</v>
      </c>
      <c r="G2950" s="54" t="s">
        <v>53</v>
      </c>
      <c r="H2950" s="54" t="s">
        <v>4208</v>
      </c>
      <c r="I2950" s="53" t="s">
        <v>125</v>
      </c>
      <c r="J2950" s="54" t="s">
        <v>127</v>
      </c>
      <c r="K2950" s="54" t="s">
        <v>127</v>
      </c>
      <c r="L2950" s="54" t="s">
        <v>12</v>
      </c>
      <c r="M2950" s="54" t="s">
        <v>10</v>
      </c>
      <c r="N2950" s="54" t="s">
        <v>14</v>
      </c>
      <c r="O2950" s="49" t="s">
        <v>815</v>
      </c>
      <c r="P2950" s="54" t="s">
        <v>3392</v>
      </c>
      <c r="Q2950" s="35" t="str">
        <f>MID(Tabla1[[#This Row],[Aplicación]],14,1)</f>
        <v>2</v>
      </c>
      <c r="R2950" s="35" t="s">
        <v>495</v>
      </c>
      <c r="S2950" s="35" t="str">
        <f>MID(Tabla1[[#This Row],[Aplicación]],6,2)</f>
        <v>10</v>
      </c>
      <c r="T2950" s="35" t="str">
        <f>VLOOKUP(Tabla1[[#This Row],[AREA]],Hoja1!A:B,2,FALSE)</f>
        <v>10. Servicios sociales y mediación comunitaria</v>
      </c>
      <c r="U2950" s="35" t="str">
        <f>MID(Tabla1[[#This Row],[Aplicación]],9,4)</f>
        <v>2412</v>
      </c>
      <c r="V2950" s="35" t="str">
        <f>VLOOKUP(Tabla1[[#This Row],[PROGRAMA]],Hoja1!A:B,2,FALSE)</f>
        <v>2412. Formación para el empleo</v>
      </c>
      <c r="W2950" s="35" t="str">
        <f>MID(Tabla1[[#This Row],[Aplicación]],14,2)</f>
        <v>21</v>
      </c>
      <c r="X2950" s="35" t="str">
        <f>MID(Tabla1[[#This Row],[Aplicación]],14,6)</f>
        <v>213</v>
      </c>
    </row>
    <row r="2951" spans="1:24" x14ac:dyDescent="0.25">
      <c r="A2951" s="45">
        <v>220210030522</v>
      </c>
      <c r="B2951" s="46" t="s">
        <v>9</v>
      </c>
      <c r="C2951" s="47">
        <v>44358</v>
      </c>
      <c r="D2951" s="45">
        <v>22021004761</v>
      </c>
      <c r="E2951" s="46" t="s">
        <v>1328</v>
      </c>
      <c r="F2951" s="48">
        <v>156.47</v>
      </c>
      <c r="G2951" s="54" t="s">
        <v>4513</v>
      </c>
      <c r="H2951" s="54" t="s">
        <v>4514</v>
      </c>
      <c r="I2951" s="53" t="s">
        <v>125</v>
      </c>
      <c r="J2951" s="54" t="s">
        <v>4515</v>
      </c>
      <c r="K2951" s="54" t="s">
        <v>127</v>
      </c>
      <c r="L2951" s="54" t="s">
        <v>15</v>
      </c>
      <c r="M2951" s="54" t="s">
        <v>10</v>
      </c>
      <c r="N2951" s="54" t="s">
        <v>11</v>
      </c>
      <c r="O2951" s="49" t="s">
        <v>815</v>
      </c>
      <c r="P2951" s="54" t="s">
        <v>3392</v>
      </c>
      <c r="Q2951" s="35" t="str">
        <f>MID(Tabla1[[#This Row],[Aplicación]],14,1)</f>
        <v>2</v>
      </c>
      <c r="R2951" s="35" t="s">
        <v>495</v>
      </c>
      <c r="S2951" s="35" t="str">
        <f>MID(Tabla1[[#This Row],[Aplicación]],6,2)</f>
        <v>10</v>
      </c>
      <c r="T2951" s="35" t="str">
        <f>VLOOKUP(Tabla1[[#This Row],[AREA]],Hoja1!A:B,2,FALSE)</f>
        <v>10. Servicios sociales y mediación comunitaria</v>
      </c>
      <c r="U2951" s="35" t="str">
        <f>MID(Tabla1[[#This Row],[Aplicación]],9,4)</f>
        <v>2311</v>
      </c>
      <c r="V2951" s="35" t="str">
        <f>VLOOKUP(Tabla1[[#This Row],[PROGRAMA]],Hoja1!A:B,2,FALSE)</f>
        <v>2311. Intervención social</v>
      </c>
      <c r="W2951" s="35" t="str">
        <f>MID(Tabla1[[#This Row],[Aplicación]],14,2)</f>
        <v>21</v>
      </c>
      <c r="X2951" s="35" t="str">
        <f>MID(Tabla1[[#This Row],[Aplicación]],14,6)</f>
        <v>212</v>
      </c>
    </row>
    <row r="2952" spans="1:24" x14ac:dyDescent="0.25">
      <c r="A2952" s="45">
        <v>220210014739</v>
      </c>
      <c r="B2952" s="46" t="s">
        <v>204</v>
      </c>
      <c r="C2952" s="47">
        <v>44299</v>
      </c>
      <c r="D2952" s="45">
        <v>22021002057</v>
      </c>
      <c r="E2952" s="46" t="s">
        <v>1715</v>
      </c>
      <c r="F2952" s="48">
        <v>193.78</v>
      </c>
      <c r="G2952" s="54" t="s">
        <v>150</v>
      </c>
      <c r="H2952" s="54" t="s">
        <v>4516</v>
      </c>
      <c r="I2952" s="53" t="s">
        <v>205</v>
      </c>
      <c r="J2952" s="54" t="s">
        <v>146</v>
      </c>
      <c r="K2952" s="54" t="s">
        <v>146</v>
      </c>
      <c r="L2952" s="54" t="s">
        <v>15</v>
      </c>
      <c r="M2952" s="54" t="s">
        <v>13</v>
      </c>
      <c r="N2952" s="54" t="s">
        <v>14</v>
      </c>
      <c r="O2952" s="49" t="s">
        <v>814</v>
      </c>
      <c r="P2952" s="54" t="s">
        <v>3392</v>
      </c>
      <c r="Q2952" s="35" t="str">
        <f>MID(Tabla1[[#This Row],[Aplicación]],14,1)</f>
        <v>2</v>
      </c>
      <c r="R2952" s="35" t="s">
        <v>495</v>
      </c>
      <c r="S2952" s="35" t="str">
        <f>MID(Tabla1[[#This Row],[Aplicación]],6,2)</f>
        <v>11</v>
      </c>
      <c r="T2952" s="35" t="str">
        <f>VLOOKUP(Tabla1[[#This Row],[AREA]],Hoja1!A:B,2,FALSE)</f>
        <v>11. Salud pública y seguridad ciudadana</v>
      </c>
      <c r="U2952" s="35" t="str">
        <f>MID(Tabla1[[#This Row],[Aplicación]],9,4)</f>
        <v>1631</v>
      </c>
      <c r="V2952" s="35" t="str">
        <f>VLOOKUP(Tabla1[[#This Row],[PROGRAMA]],Hoja1!A:B,2,FALSE)</f>
        <v>1631. Limpieza viaria</v>
      </c>
      <c r="W2952" s="35" t="str">
        <f>MID(Tabla1[[#This Row],[Aplicación]],14,2)</f>
        <v>22</v>
      </c>
      <c r="X2952" s="35" t="str">
        <f>MID(Tabla1[[#This Row],[Aplicación]],14,6)</f>
        <v>22199</v>
      </c>
    </row>
    <row r="2953" spans="1:24" x14ac:dyDescent="0.25">
      <c r="A2953" s="45">
        <v>220210027633</v>
      </c>
      <c r="B2953" s="46" t="s">
        <v>204</v>
      </c>
      <c r="C2953" s="47">
        <v>44348</v>
      </c>
      <c r="D2953" s="45">
        <v>22021002228</v>
      </c>
      <c r="E2953" s="46" t="s">
        <v>1471</v>
      </c>
      <c r="F2953" s="48">
        <v>193.6</v>
      </c>
      <c r="G2953" s="54" t="s">
        <v>286</v>
      </c>
      <c r="H2953" s="54" t="s">
        <v>4517</v>
      </c>
      <c r="I2953" s="53" t="s">
        <v>205</v>
      </c>
      <c r="J2953" s="54" t="s">
        <v>127</v>
      </c>
      <c r="K2953" s="54" t="s">
        <v>127</v>
      </c>
      <c r="L2953" s="54" t="s">
        <v>15</v>
      </c>
      <c r="M2953" s="54" t="s">
        <v>13</v>
      </c>
      <c r="N2953" s="54" t="s">
        <v>14</v>
      </c>
      <c r="O2953" s="49" t="s">
        <v>814</v>
      </c>
      <c r="P2953" s="54" t="s">
        <v>3392</v>
      </c>
      <c r="Q2953" s="35" t="str">
        <f>MID(Tabla1[[#This Row],[Aplicación]],14,1)</f>
        <v>2</v>
      </c>
      <c r="R2953" s="35" t="s">
        <v>495</v>
      </c>
      <c r="S2953" s="35" t="str">
        <f>MID(Tabla1[[#This Row],[Aplicación]],6,2)</f>
        <v>06</v>
      </c>
      <c r="T2953" s="35" t="str">
        <f>VLOOKUP(Tabla1[[#This Row],[AREA]],Hoja1!A:B,2,FALSE)</f>
        <v>06. Educación, infancia, juventud e igualdad</v>
      </c>
      <c r="U2953" s="35" t="str">
        <f>MID(Tabla1[[#This Row],[Aplicación]],9,4)</f>
        <v>3232</v>
      </c>
      <c r="V2953" s="35" t="str">
        <f>VLOOKUP(Tabla1[[#This Row],[PROGRAMA]],Hoja1!A:B,2,FALSE)</f>
        <v>3232. Conservación y mantenimiento centros educación infantil y primaria</v>
      </c>
      <c r="W2953" s="35" t="str">
        <f>MID(Tabla1[[#This Row],[Aplicación]],14,2)</f>
        <v>21</v>
      </c>
      <c r="X2953" s="35" t="str">
        <f>MID(Tabla1[[#This Row],[Aplicación]],14,6)</f>
        <v>212</v>
      </c>
    </row>
    <row r="2954" spans="1:24" x14ac:dyDescent="0.25">
      <c r="A2954" s="45">
        <v>220210030223</v>
      </c>
      <c r="B2954" s="46" t="s">
        <v>204</v>
      </c>
      <c r="C2954" s="47">
        <v>44357</v>
      </c>
      <c r="D2954" s="45">
        <v>22021002051</v>
      </c>
      <c r="E2954" s="46" t="s">
        <v>2049</v>
      </c>
      <c r="F2954" s="48">
        <v>193.6</v>
      </c>
      <c r="G2954" s="54" t="s">
        <v>264</v>
      </c>
      <c r="H2954" s="54" t="s">
        <v>4518</v>
      </c>
      <c r="I2954" s="53" t="s">
        <v>205</v>
      </c>
      <c r="J2954" s="54" t="s">
        <v>127</v>
      </c>
      <c r="K2954" s="54" t="s">
        <v>127</v>
      </c>
      <c r="L2954" s="54" t="s">
        <v>15</v>
      </c>
      <c r="M2954" s="54" t="s">
        <v>13</v>
      </c>
      <c r="N2954" s="54" t="s">
        <v>14</v>
      </c>
      <c r="O2954" s="49" t="s">
        <v>814</v>
      </c>
      <c r="P2954" s="54" t="s">
        <v>3392</v>
      </c>
      <c r="Q2954" s="35" t="str">
        <f>MID(Tabla1[[#This Row],[Aplicación]],14,1)</f>
        <v>2</v>
      </c>
      <c r="R2954" s="35" t="s">
        <v>495</v>
      </c>
      <c r="S2954" s="35" t="str">
        <f>MID(Tabla1[[#This Row],[Aplicación]],6,2)</f>
        <v>11</v>
      </c>
      <c r="T2954" s="35" t="str">
        <f>VLOOKUP(Tabla1[[#This Row],[AREA]],Hoja1!A:B,2,FALSE)</f>
        <v>11. Salud pública y seguridad ciudadana</v>
      </c>
      <c r="U2954" s="35" t="str">
        <f>MID(Tabla1[[#This Row],[Aplicación]],9,4)</f>
        <v>1621</v>
      </c>
      <c r="V2954" s="35" t="str">
        <f>VLOOKUP(Tabla1[[#This Row],[PROGRAMA]],Hoja1!A:B,2,FALSE)</f>
        <v>1621. Servicio de limpieza</v>
      </c>
      <c r="W2954" s="35" t="str">
        <f>MID(Tabla1[[#This Row],[Aplicación]],14,2)</f>
        <v>22</v>
      </c>
      <c r="X2954" s="35" t="str">
        <f>MID(Tabla1[[#This Row],[Aplicación]],14,6)</f>
        <v>22110</v>
      </c>
    </row>
    <row r="2955" spans="1:24" x14ac:dyDescent="0.25">
      <c r="A2955" s="45">
        <v>220210019120</v>
      </c>
      <c r="B2955" s="46" t="s">
        <v>204</v>
      </c>
      <c r="C2955" s="47">
        <v>44319</v>
      </c>
      <c r="D2955" s="45">
        <v>22021001038</v>
      </c>
      <c r="E2955" s="46" t="s">
        <v>844</v>
      </c>
      <c r="F2955" s="48">
        <v>192.12</v>
      </c>
      <c r="G2955" s="54" t="s">
        <v>102</v>
      </c>
      <c r="H2955" s="54" t="s">
        <v>4519</v>
      </c>
      <c r="I2955" s="53" t="s">
        <v>205</v>
      </c>
      <c r="J2955" s="54" t="s">
        <v>127</v>
      </c>
      <c r="K2955" s="54" t="s">
        <v>127</v>
      </c>
      <c r="L2955" s="54" t="s">
        <v>15</v>
      </c>
      <c r="M2955" s="54" t="s">
        <v>13</v>
      </c>
      <c r="N2955" s="54" t="s">
        <v>14</v>
      </c>
      <c r="O2955" s="49" t="s">
        <v>814</v>
      </c>
      <c r="P2955" s="54" t="s">
        <v>3392</v>
      </c>
      <c r="Q2955" s="35" t="str">
        <f>MID(Tabla1[[#This Row],[Aplicación]],14,1)</f>
        <v>2</v>
      </c>
      <c r="R2955" s="35" t="s">
        <v>495</v>
      </c>
      <c r="S2955" s="35" t="str">
        <f>MID(Tabla1[[#This Row],[Aplicación]],6,2)</f>
        <v>10</v>
      </c>
      <c r="T2955" s="35" t="str">
        <f>VLOOKUP(Tabla1[[#This Row],[AREA]],Hoja1!A:B,2,FALSE)</f>
        <v>10. Servicios sociales y mediación comunitaria</v>
      </c>
      <c r="U2955" s="35" t="str">
        <f>MID(Tabla1[[#This Row],[Aplicación]],9,4)</f>
        <v>2312</v>
      </c>
      <c r="V2955" s="35" t="str">
        <f>VLOOKUP(Tabla1[[#This Row],[PROGRAMA]],Hoja1!A:B,2,FALSE)</f>
        <v>2312. Iniciativas sociales</v>
      </c>
      <c r="W2955" s="35" t="str">
        <f>MID(Tabla1[[#This Row],[Aplicación]],14,2)</f>
        <v>21</v>
      </c>
      <c r="X2955" s="35" t="str">
        <f>MID(Tabla1[[#This Row],[Aplicación]],14,6)</f>
        <v>212</v>
      </c>
    </row>
    <row r="2956" spans="1:24" x14ac:dyDescent="0.25">
      <c r="A2956" s="45">
        <v>220210031637</v>
      </c>
      <c r="B2956" s="46" t="s">
        <v>204</v>
      </c>
      <c r="C2956" s="47">
        <v>44369</v>
      </c>
      <c r="D2956" s="45">
        <v>22021001038</v>
      </c>
      <c r="E2956" s="46" t="s">
        <v>844</v>
      </c>
      <c r="F2956" s="48">
        <v>186.62</v>
      </c>
      <c r="G2956" s="54" t="s">
        <v>256</v>
      </c>
      <c r="H2956" s="54" t="s">
        <v>4520</v>
      </c>
      <c r="I2956" s="53" t="s">
        <v>205</v>
      </c>
      <c r="J2956" s="54" t="s">
        <v>127</v>
      </c>
      <c r="K2956" s="54" t="s">
        <v>127</v>
      </c>
      <c r="L2956" s="54" t="s">
        <v>15</v>
      </c>
      <c r="M2956" s="54" t="s">
        <v>13</v>
      </c>
      <c r="N2956" s="54" t="s">
        <v>14</v>
      </c>
      <c r="O2956" s="49" t="s">
        <v>814</v>
      </c>
      <c r="P2956" s="54" t="s">
        <v>3392</v>
      </c>
      <c r="Q2956" s="35" t="str">
        <f>MID(Tabla1[[#This Row],[Aplicación]],14,1)</f>
        <v>2</v>
      </c>
      <c r="R2956" s="35" t="s">
        <v>495</v>
      </c>
      <c r="S2956" s="35" t="str">
        <f>MID(Tabla1[[#This Row],[Aplicación]],6,2)</f>
        <v>10</v>
      </c>
      <c r="T2956" s="35" t="str">
        <f>VLOOKUP(Tabla1[[#This Row],[AREA]],Hoja1!A:B,2,FALSE)</f>
        <v>10. Servicios sociales y mediación comunitaria</v>
      </c>
      <c r="U2956" s="35" t="str">
        <f>MID(Tabla1[[#This Row],[Aplicación]],9,4)</f>
        <v>2312</v>
      </c>
      <c r="V2956" s="35" t="str">
        <f>VLOOKUP(Tabla1[[#This Row],[PROGRAMA]],Hoja1!A:B,2,FALSE)</f>
        <v>2312. Iniciativas sociales</v>
      </c>
      <c r="W2956" s="35" t="str">
        <f>MID(Tabla1[[#This Row],[Aplicación]],14,2)</f>
        <v>21</v>
      </c>
      <c r="X2956" s="35" t="str">
        <f>MID(Tabla1[[#This Row],[Aplicación]],14,6)</f>
        <v>212</v>
      </c>
    </row>
    <row r="2957" spans="1:24" x14ac:dyDescent="0.25">
      <c r="A2957" s="45">
        <v>220210023555</v>
      </c>
      <c r="B2957" s="46" t="s">
        <v>9</v>
      </c>
      <c r="C2957" s="47">
        <v>44337</v>
      </c>
      <c r="D2957" s="45">
        <v>22021002372</v>
      </c>
      <c r="E2957" s="46" t="s">
        <v>1550</v>
      </c>
      <c r="F2957" s="48">
        <v>151.25</v>
      </c>
      <c r="G2957" s="54" t="s">
        <v>249</v>
      </c>
      <c r="H2957" s="54" t="s">
        <v>4521</v>
      </c>
      <c r="I2957" s="53" t="s">
        <v>125</v>
      </c>
      <c r="J2957" s="54" t="s">
        <v>127</v>
      </c>
      <c r="K2957" s="54" t="s">
        <v>127</v>
      </c>
      <c r="L2957" s="54" t="s">
        <v>12</v>
      </c>
      <c r="M2957" s="54" t="s">
        <v>10</v>
      </c>
      <c r="N2957" s="54" t="s">
        <v>11</v>
      </c>
      <c r="O2957" s="49" t="s">
        <v>815</v>
      </c>
      <c r="P2957" s="54" t="s">
        <v>3392</v>
      </c>
      <c r="Q2957" s="35" t="str">
        <f>MID(Tabla1[[#This Row],[Aplicación]],14,1)</f>
        <v>2</v>
      </c>
      <c r="R2957" s="35" t="s">
        <v>495</v>
      </c>
      <c r="S2957" s="35" t="str">
        <f>MID(Tabla1[[#This Row],[Aplicación]],6,2)</f>
        <v>06</v>
      </c>
      <c r="T2957" s="35" t="str">
        <f>VLOOKUP(Tabla1[[#This Row],[AREA]],Hoja1!A:B,2,FALSE)</f>
        <v>06. Educación, infancia, juventud e igualdad</v>
      </c>
      <c r="U2957" s="35" t="str">
        <f>MID(Tabla1[[#This Row],[Aplicación]],9,4)</f>
        <v>2315</v>
      </c>
      <c r="V2957" s="35" t="str">
        <f>VLOOKUP(Tabla1[[#This Row],[PROGRAMA]],Hoja1!A:B,2,FALSE)</f>
        <v>2315. Políticas de Igualdad e infancia</v>
      </c>
      <c r="W2957" s="35" t="str">
        <f>MID(Tabla1[[#This Row],[Aplicación]],14,2)</f>
        <v>22</v>
      </c>
      <c r="X2957" s="35" t="str">
        <f>MID(Tabla1[[#This Row],[Aplicación]],14,6)</f>
        <v>22799</v>
      </c>
    </row>
    <row r="2958" spans="1:24" x14ac:dyDescent="0.25">
      <c r="A2958" s="45">
        <v>220210023242</v>
      </c>
      <c r="B2958" s="46" t="s">
        <v>204</v>
      </c>
      <c r="C2958" s="47">
        <v>44335</v>
      </c>
      <c r="D2958" s="45">
        <v>22021002088</v>
      </c>
      <c r="E2958" s="46" t="s">
        <v>1478</v>
      </c>
      <c r="F2958" s="48">
        <v>186.28</v>
      </c>
      <c r="G2958" s="54" t="s">
        <v>1475</v>
      </c>
      <c r="H2958" s="54" t="s">
        <v>4522</v>
      </c>
      <c r="I2958" s="53" t="s">
        <v>205</v>
      </c>
      <c r="J2958" s="54" t="s">
        <v>127</v>
      </c>
      <c r="K2958" s="54" t="s">
        <v>127</v>
      </c>
      <c r="L2958" s="54" t="s">
        <v>15</v>
      </c>
      <c r="M2958" s="54" t="s">
        <v>13</v>
      </c>
      <c r="N2958" s="54" t="s">
        <v>16</v>
      </c>
      <c r="O2958" s="49" t="s">
        <v>814</v>
      </c>
      <c r="P2958" s="54" t="s">
        <v>3392</v>
      </c>
      <c r="Q2958" s="35" t="str">
        <f>MID(Tabla1[[#This Row],[Aplicación]],14,1)</f>
        <v>2</v>
      </c>
      <c r="R2958" s="35" t="s">
        <v>495</v>
      </c>
      <c r="S2958" s="35" t="str">
        <f>MID(Tabla1[[#This Row],[Aplicación]],6,2)</f>
        <v>03</v>
      </c>
      <c r="T2958" s="35" t="str">
        <f>VLOOKUP(Tabla1[[#This Row],[AREA]],Hoja1!A:B,2,FALSE)</f>
        <v>03. Participación ciudadana y deportes</v>
      </c>
      <c r="U2958" s="35" t="str">
        <f>MID(Tabla1[[#This Row],[Aplicación]],9,4)</f>
        <v>9241</v>
      </c>
      <c r="V2958" s="35" t="str">
        <f>VLOOKUP(Tabla1[[#This Row],[PROGRAMA]],Hoja1!A:B,2,FALSE)</f>
        <v>9241. Participación ciudadana</v>
      </c>
      <c r="W2958" s="35" t="str">
        <f>MID(Tabla1[[#This Row],[Aplicación]],14,2)</f>
        <v>21</v>
      </c>
      <c r="X2958" s="35" t="str">
        <f>MID(Tabla1[[#This Row],[Aplicación]],14,6)</f>
        <v>212</v>
      </c>
    </row>
    <row r="2959" spans="1:24" x14ac:dyDescent="0.25">
      <c r="A2959" s="45">
        <v>220210015890</v>
      </c>
      <c r="B2959" s="46" t="s">
        <v>9</v>
      </c>
      <c r="C2959" s="47">
        <v>44305</v>
      </c>
      <c r="D2959" s="45">
        <v>22021003862</v>
      </c>
      <c r="E2959" s="46" t="s">
        <v>836</v>
      </c>
      <c r="F2959" s="48">
        <v>150.77000000000001</v>
      </c>
      <c r="G2959" s="54" t="s">
        <v>3770</v>
      </c>
      <c r="H2959" s="54" t="s">
        <v>4523</v>
      </c>
      <c r="I2959" s="53" t="s">
        <v>125</v>
      </c>
      <c r="J2959" s="54" t="s">
        <v>127</v>
      </c>
      <c r="K2959" s="54" t="s">
        <v>127</v>
      </c>
      <c r="L2959" s="54" t="s">
        <v>15</v>
      </c>
      <c r="M2959" s="54" t="s">
        <v>10</v>
      </c>
      <c r="N2959" s="54" t="s">
        <v>11</v>
      </c>
      <c r="O2959" s="49" t="s">
        <v>815</v>
      </c>
      <c r="P2959" s="54" t="s">
        <v>3392</v>
      </c>
      <c r="Q2959" s="35" t="str">
        <f>MID(Tabla1[[#This Row],[Aplicación]],14,1)</f>
        <v>2</v>
      </c>
      <c r="R2959" s="35" t="s">
        <v>495</v>
      </c>
      <c r="S2959" s="35" t="str">
        <f>MID(Tabla1[[#This Row],[Aplicación]],6,2)</f>
        <v>05</v>
      </c>
      <c r="T2959" s="35" t="str">
        <f>VLOOKUP(Tabla1[[#This Row],[AREA]],Hoja1!A:B,2,FALSE)</f>
        <v>05. Innovación, desarrollo económico, empleo y comercio</v>
      </c>
      <c r="U2959" s="35" t="str">
        <f>MID(Tabla1[[#This Row],[Aplicación]],9,4)</f>
        <v>4331</v>
      </c>
      <c r="V2959" s="35" t="str">
        <f>VLOOKUP(Tabla1[[#This Row],[PROGRAMA]],Hoja1!A:B,2,FALSE)</f>
        <v>4331. Desarrollo empresarial</v>
      </c>
      <c r="W2959" s="35" t="str">
        <f>MID(Tabla1[[#This Row],[Aplicación]],14,2)</f>
        <v>22</v>
      </c>
      <c r="X2959" s="35" t="str">
        <f>MID(Tabla1[[#This Row],[Aplicación]],14,6)</f>
        <v>22699</v>
      </c>
    </row>
    <row r="2960" spans="1:24" x14ac:dyDescent="0.25">
      <c r="A2960" s="45">
        <v>220210015901</v>
      </c>
      <c r="B2960" s="46" t="s">
        <v>204</v>
      </c>
      <c r="C2960" s="47">
        <v>44305</v>
      </c>
      <c r="D2960" s="45">
        <v>22021001038</v>
      </c>
      <c r="E2960" s="46" t="s">
        <v>844</v>
      </c>
      <c r="F2960" s="48">
        <v>186.27</v>
      </c>
      <c r="G2960" s="54" t="s">
        <v>235</v>
      </c>
      <c r="H2960" s="54" t="s">
        <v>4524</v>
      </c>
      <c r="I2960" s="53" t="s">
        <v>205</v>
      </c>
      <c r="J2960" s="54" t="s">
        <v>742</v>
      </c>
      <c r="K2960" s="54" t="s">
        <v>165</v>
      </c>
      <c r="L2960" s="54" t="s">
        <v>15</v>
      </c>
      <c r="M2960" s="54" t="s">
        <v>13</v>
      </c>
      <c r="N2960" s="54" t="s">
        <v>14</v>
      </c>
      <c r="O2960" s="49" t="s">
        <v>814</v>
      </c>
      <c r="P2960" s="54" t="s">
        <v>3392</v>
      </c>
      <c r="Q2960" s="35" t="str">
        <f>MID(Tabla1[[#This Row],[Aplicación]],14,1)</f>
        <v>2</v>
      </c>
      <c r="R2960" s="35" t="s">
        <v>495</v>
      </c>
      <c r="S2960" s="35" t="str">
        <f>MID(Tabla1[[#This Row],[Aplicación]],6,2)</f>
        <v>10</v>
      </c>
      <c r="T2960" s="35" t="str">
        <f>VLOOKUP(Tabla1[[#This Row],[AREA]],Hoja1!A:B,2,FALSE)</f>
        <v>10. Servicios sociales y mediación comunitaria</v>
      </c>
      <c r="U2960" s="35" t="str">
        <f>MID(Tabla1[[#This Row],[Aplicación]],9,4)</f>
        <v>2312</v>
      </c>
      <c r="V2960" s="35" t="str">
        <f>VLOOKUP(Tabla1[[#This Row],[PROGRAMA]],Hoja1!A:B,2,FALSE)</f>
        <v>2312. Iniciativas sociales</v>
      </c>
      <c r="W2960" s="35" t="str">
        <f>MID(Tabla1[[#This Row],[Aplicación]],14,2)</f>
        <v>21</v>
      </c>
      <c r="X2960" s="35" t="str">
        <f>MID(Tabla1[[#This Row],[Aplicación]],14,6)</f>
        <v>212</v>
      </c>
    </row>
    <row r="2961" spans="1:24" x14ac:dyDescent="0.25">
      <c r="A2961" s="45">
        <v>220210030054</v>
      </c>
      <c r="B2961" s="46" t="s">
        <v>204</v>
      </c>
      <c r="C2961" s="47">
        <v>44356</v>
      </c>
      <c r="D2961" s="45">
        <v>22021002055</v>
      </c>
      <c r="E2961" s="46" t="s">
        <v>1613</v>
      </c>
      <c r="F2961" s="48">
        <v>184.31</v>
      </c>
      <c r="G2961" s="54" t="s">
        <v>270</v>
      </c>
      <c r="H2961" s="54" t="s">
        <v>4525</v>
      </c>
      <c r="I2961" s="53" t="s">
        <v>205</v>
      </c>
      <c r="J2961" s="54" t="s">
        <v>127</v>
      </c>
      <c r="K2961" s="54" t="s">
        <v>127</v>
      </c>
      <c r="L2961" s="54" t="s">
        <v>15</v>
      </c>
      <c r="M2961" s="54" t="s">
        <v>13</v>
      </c>
      <c r="N2961" s="54" t="s">
        <v>14</v>
      </c>
      <c r="O2961" s="49" t="s">
        <v>814</v>
      </c>
      <c r="P2961" s="54" t="s">
        <v>3392</v>
      </c>
      <c r="Q2961" s="35" t="str">
        <f>MID(Tabla1[[#This Row],[Aplicación]],14,1)</f>
        <v>2</v>
      </c>
      <c r="R2961" s="35" t="s">
        <v>495</v>
      </c>
      <c r="S2961" s="35" t="str">
        <f>MID(Tabla1[[#This Row],[Aplicación]],6,2)</f>
        <v>11</v>
      </c>
      <c r="T2961" s="35" t="str">
        <f>VLOOKUP(Tabla1[[#This Row],[AREA]],Hoja1!A:B,2,FALSE)</f>
        <v>11. Salud pública y seguridad ciudadana</v>
      </c>
      <c r="U2961" s="35" t="str">
        <f>MID(Tabla1[[#This Row],[Aplicación]],9,4)</f>
        <v>1631</v>
      </c>
      <c r="V2961" s="35" t="str">
        <f>VLOOKUP(Tabla1[[#This Row],[PROGRAMA]],Hoja1!A:B,2,FALSE)</f>
        <v>1631. Limpieza viaria</v>
      </c>
      <c r="W2961" s="35" t="str">
        <f>MID(Tabla1[[#This Row],[Aplicación]],14,2)</f>
        <v>22</v>
      </c>
      <c r="X2961" s="35" t="str">
        <f>MID(Tabla1[[#This Row],[Aplicación]],14,6)</f>
        <v>22104</v>
      </c>
    </row>
    <row r="2962" spans="1:24" x14ac:dyDescent="0.25">
      <c r="A2962" s="45">
        <v>220210024838</v>
      </c>
      <c r="B2962" s="46" t="s">
        <v>9</v>
      </c>
      <c r="C2962" s="47">
        <v>44341</v>
      </c>
      <c r="D2962" s="45">
        <v>22021004481</v>
      </c>
      <c r="E2962" s="46" t="s">
        <v>1438</v>
      </c>
      <c r="F2962" s="48">
        <v>150</v>
      </c>
      <c r="G2962" s="54" t="s">
        <v>4526</v>
      </c>
      <c r="H2962" s="54" t="s">
        <v>4527</v>
      </c>
      <c r="I2962" s="53" t="s">
        <v>125</v>
      </c>
      <c r="J2962" s="54" t="s">
        <v>714</v>
      </c>
      <c r="K2962" s="54" t="s">
        <v>126</v>
      </c>
      <c r="L2962" s="54" t="s">
        <v>15</v>
      </c>
      <c r="M2962" s="54" t="s">
        <v>10</v>
      </c>
      <c r="N2962" s="54" t="s">
        <v>11</v>
      </c>
      <c r="O2962" s="49" t="s">
        <v>815</v>
      </c>
      <c r="P2962" s="54" t="s">
        <v>3392</v>
      </c>
      <c r="Q2962" s="35" t="str">
        <f>MID(Tabla1[[#This Row],[Aplicación]],14,1)</f>
        <v>2</v>
      </c>
      <c r="R2962" s="35" t="s">
        <v>495</v>
      </c>
      <c r="S2962" s="35" t="str">
        <f>MID(Tabla1[[#This Row],[Aplicación]],6,2)</f>
        <v>01</v>
      </c>
      <c r="T2962" s="35" t="str">
        <f>VLOOKUP(Tabla1[[#This Row],[AREA]],Hoja1!A:B,2,FALSE)</f>
        <v>01. Alcaldía</v>
      </c>
      <c r="U2962" s="35" t="str">
        <f>MID(Tabla1[[#This Row],[Aplicación]],9,4)</f>
        <v>9206</v>
      </c>
      <c r="V2962" s="35" t="str">
        <f>VLOOKUP(Tabla1[[#This Row],[PROGRAMA]],Hoja1!A:B,2,FALSE)</f>
        <v>9206. Archivo municipal</v>
      </c>
      <c r="W2962" s="35" t="str">
        <f>MID(Tabla1[[#This Row],[Aplicación]],14,2)</f>
        <v>22</v>
      </c>
      <c r="X2962" s="35" t="str">
        <f>MID(Tabla1[[#This Row],[Aplicación]],14,6)</f>
        <v>22001</v>
      </c>
    </row>
    <row r="2963" spans="1:24" x14ac:dyDescent="0.25">
      <c r="A2963" s="45">
        <v>220210015701</v>
      </c>
      <c r="B2963" s="46" t="s">
        <v>204</v>
      </c>
      <c r="C2963" s="47">
        <v>44302</v>
      </c>
      <c r="D2963" s="45">
        <v>22021002374</v>
      </c>
      <c r="E2963" s="46" t="s">
        <v>1336</v>
      </c>
      <c r="F2963" s="48">
        <v>175.26</v>
      </c>
      <c r="G2963" s="54" t="s">
        <v>266</v>
      </c>
      <c r="H2963" s="54" t="s">
        <v>4528</v>
      </c>
      <c r="I2963" s="53" t="s">
        <v>205</v>
      </c>
      <c r="J2963" s="54" t="s">
        <v>127</v>
      </c>
      <c r="K2963" s="54" t="s">
        <v>127</v>
      </c>
      <c r="L2963" s="54" t="s">
        <v>15</v>
      </c>
      <c r="M2963" s="54" t="s">
        <v>13</v>
      </c>
      <c r="N2963" s="54" t="s">
        <v>14</v>
      </c>
      <c r="O2963" s="49" t="s">
        <v>814</v>
      </c>
      <c r="P2963" s="54" t="s">
        <v>3392</v>
      </c>
      <c r="Q2963" s="35" t="str">
        <f>MID(Tabla1[[#This Row],[Aplicación]],14,1)</f>
        <v>2</v>
      </c>
      <c r="R2963" s="35" t="s">
        <v>495</v>
      </c>
      <c r="S2963" s="35" t="str">
        <f>MID(Tabla1[[#This Row],[Aplicación]],6,2)</f>
        <v>02</v>
      </c>
      <c r="T2963" s="35" t="str">
        <f>VLOOKUP(Tabla1[[#This Row],[AREA]],Hoja1!A:B,2,FALSE)</f>
        <v>02. Planeamiento urbanístico y vivienda</v>
      </c>
      <c r="U2963" s="35" t="str">
        <f>MID(Tabla1[[#This Row],[Aplicación]],9,4)</f>
        <v>9332</v>
      </c>
      <c r="V2963" s="35" t="str">
        <f>VLOOKUP(Tabla1[[#This Row],[PROGRAMA]],Hoja1!A:B,2,FALSE)</f>
        <v>9332. Mantenimiento de edificios e instalaciones municipales</v>
      </c>
      <c r="W2963" s="35" t="str">
        <f>MID(Tabla1[[#This Row],[Aplicación]],14,2)</f>
        <v>21</v>
      </c>
      <c r="X2963" s="35" t="str">
        <f>MID(Tabla1[[#This Row],[Aplicación]],14,6)</f>
        <v>212</v>
      </c>
    </row>
    <row r="2964" spans="1:24" x14ac:dyDescent="0.25">
      <c r="A2964" s="45">
        <v>220210031405</v>
      </c>
      <c r="B2964" s="46" t="s">
        <v>204</v>
      </c>
      <c r="C2964" s="47">
        <v>44365</v>
      </c>
      <c r="D2964" s="45">
        <v>22021002369</v>
      </c>
      <c r="E2964" s="46" t="s">
        <v>1336</v>
      </c>
      <c r="F2964" s="48">
        <v>174.87</v>
      </c>
      <c r="G2964" s="54" t="s">
        <v>235</v>
      </c>
      <c r="H2964" s="54" t="s">
        <v>4529</v>
      </c>
      <c r="I2964" s="53" t="s">
        <v>205</v>
      </c>
      <c r="J2964" s="54" t="s">
        <v>742</v>
      </c>
      <c r="K2964" s="54" t="s">
        <v>165</v>
      </c>
      <c r="L2964" s="54" t="s">
        <v>15</v>
      </c>
      <c r="M2964" s="54" t="s">
        <v>13</v>
      </c>
      <c r="N2964" s="54" t="s">
        <v>14</v>
      </c>
      <c r="O2964" s="49" t="s">
        <v>814</v>
      </c>
      <c r="P2964" s="54" t="s">
        <v>3392</v>
      </c>
      <c r="Q2964" s="35" t="str">
        <f>MID(Tabla1[[#This Row],[Aplicación]],14,1)</f>
        <v>2</v>
      </c>
      <c r="R2964" s="35" t="s">
        <v>495</v>
      </c>
      <c r="S2964" s="35" t="str">
        <f>MID(Tabla1[[#This Row],[Aplicación]],6,2)</f>
        <v>02</v>
      </c>
      <c r="T2964" s="35" t="str">
        <f>VLOOKUP(Tabla1[[#This Row],[AREA]],Hoja1!A:B,2,FALSE)</f>
        <v>02. Planeamiento urbanístico y vivienda</v>
      </c>
      <c r="U2964" s="35" t="str">
        <f>MID(Tabla1[[#This Row],[Aplicación]],9,4)</f>
        <v>9332</v>
      </c>
      <c r="V2964" s="35" t="str">
        <f>VLOOKUP(Tabla1[[#This Row],[PROGRAMA]],Hoja1!A:B,2,FALSE)</f>
        <v>9332. Mantenimiento de edificios e instalaciones municipales</v>
      </c>
      <c r="W2964" s="35" t="str">
        <f>MID(Tabla1[[#This Row],[Aplicación]],14,2)</f>
        <v>21</v>
      </c>
      <c r="X2964" s="35" t="str">
        <f>MID(Tabla1[[#This Row],[Aplicación]],14,6)</f>
        <v>212</v>
      </c>
    </row>
    <row r="2965" spans="1:24" x14ac:dyDescent="0.25">
      <c r="A2965" s="45">
        <v>220210031385</v>
      </c>
      <c r="B2965" s="46" t="s">
        <v>204</v>
      </c>
      <c r="C2965" s="47">
        <v>44365</v>
      </c>
      <c r="D2965" s="45">
        <v>22021002088</v>
      </c>
      <c r="E2965" s="46" t="s">
        <v>1478</v>
      </c>
      <c r="F2965" s="48">
        <v>174.85</v>
      </c>
      <c r="G2965" s="54" t="s">
        <v>266</v>
      </c>
      <c r="H2965" s="54" t="s">
        <v>4530</v>
      </c>
      <c r="I2965" s="53" t="s">
        <v>205</v>
      </c>
      <c r="J2965" s="54" t="s">
        <v>127</v>
      </c>
      <c r="K2965" s="54" t="s">
        <v>127</v>
      </c>
      <c r="L2965" s="54" t="s">
        <v>15</v>
      </c>
      <c r="M2965" s="54" t="s">
        <v>13</v>
      </c>
      <c r="N2965" s="54" t="s">
        <v>16</v>
      </c>
      <c r="O2965" s="49" t="s">
        <v>814</v>
      </c>
      <c r="P2965" s="54" t="s">
        <v>3392</v>
      </c>
      <c r="Q2965" s="35" t="str">
        <f>MID(Tabla1[[#This Row],[Aplicación]],14,1)</f>
        <v>2</v>
      </c>
      <c r="R2965" s="35" t="s">
        <v>495</v>
      </c>
      <c r="S2965" s="35" t="str">
        <f>MID(Tabla1[[#This Row],[Aplicación]],6,2)</f>
        <v>03</v>
      </c>
      <c r="T2965" s="35" t="str">
        <f>VLOOKUP(Tabla1[[#This Row],[AREA]],Hoja1!A:B,2,FALSE)</f>
        <v>03. Participación ciudadana y deportes</v>
      </c>
      <c r="U2965" s="35" t="str">
        <f>MID(Tabla1[[#This Row],[Aplicación]],9,4)</f>
        <v>9241</v>
      </c>
      <c r="V2965" s="35" t="str">
        <f>VLOOKUP(Tabla1[[#This Row],[PROGRAMA]],Hoja1!A:B,2,FALSE)</f>
        <v>9241. Participación ciudadana</v>
      </c>
      <c r="W2965" s="35" t="str">
        <f>MID(Tabla1[[#This Row],[Aplicación]],14,2)</f>
        <v>21</v>
      </c>
      <c r="X2965" s="35" t="str">
        <f>MID(Tabla1[[#This Row],[Aplicación]],14,6)</f>
        <v>212</v>
      </c>
    </row>
    <row r="2966" spans="1:24" x14ac:dyDescent="0.25">
      <c r="A2966" s="45">
        <v>220210030115</v>
      </c>
      <c r="B2966" s="46" t="s">
        <v>204</v>
      </c>
      <c r="C2966" s="47">
        <v>44356</v>
      </c>
      <c r="D2966" s="45">
        <v>22021002228</v>
      </c>
      <c r="E2966" s="46" t="s">
        <v>1471</v>
      </c>
      <c r="F2966" s="48">
        <v>173.72</v>
      </c>
      <c r="G2966" s="54" t="s">
        <v>263</v>
      </c>
      <c r="H2966" s="54" t="s">
        <v>4531</v>
      </c>
      <c r="I2966" s="53" t="s">
        <v>205</v>
      </c>
      <c r="J2966" s="54" t="s">
        <v>127</v>
      </c>
      <c r="K2966" s="54" t="s">
        <v>127</v>
      </c>
      <c r="L2966" s="54" t="s">
        <v>15</v>
      </c>
      <c r="M2966" s="54" t="s">
        <v>13</v>
      </c>
      <c r="N2966" s="54" t="s">
        <v>14</v>
      </c>
      <c r="O2966" s="49" t="s">
        <v>814</v>
      </c>
      <c r="P2966" s="54" t="s">
        <v>3392</v>
      </c>
      <c r="Q2966" s="35" t="str">
        <f>MID(Tabla1[[#This Row],[Aplicación]],14,1)</f>
        <v>2</v>
      </c>
      <c r="R2966" s="35" t="s">
        <v>495</v>
      </c>
      <c r="S2966" s="35" t="str">
        <f>MID(Tabla1[[#This Row],[Aplicación]],6,2)</f>
        <v>06</v>
      </c>
      <c r="T2966" s="35" t="str">
        <f>VLOOKUP(Tabla1[[#This Row],[AREA]],Hoja1!A:B,2,FALSE)</f>
        <v>06. Educación, infancia, juventud e igualdad</v>
      </c>
      <c r="U2966" s="35" t="str">
        <f>MID(Tabla1[[#This Row],[Aplicación]],9,4)</f>
        <v>3232</v>
      </c>
      <c r="V2966" s="35" t="str">
        <f>VLOOKUP(Tabla1[[#This Row],[PROGRAMA]],Hoja1!A:B,2,FALSE)</f>
        <v>3232. Conservación y mantenimiento centros educación infantil y primaria</v>
      </c>
      <c r="W2966" s="35" t="str">
        <f>MID(Tabla1[[#This Row],[Aplicación]],14,2)</f>
        <v>21</v>
      </c>
      <c r="X2966" s="35" t="str">
        <f>MID(Tabla1[[#This Row],[Aplicación]],14,6)</f>
        <v>212</v>
      </c>
    </row>
    <row r="2967" spans="1:24" x14ac:dyDescent="0.25">
      <c r="A2967" s="45">
        <v>220210022739</v>
      </c>
      <c r="B2967" s="46" t="s">
        <v>204</v>
      </c>
      <c r="C2967" s="47">
        <v>44333</v>
      </c>
      <c r="D2967" s="45">
        <v>22021002048</v>
      </c>
      <c r="E2967" s="46" t="s">
        <v>890</v>
      </c>
      <c r="F2967" s="48">
        <v>172.79</v>
      </c>
      <c r="G2967" s="54" t="s">
        <v>265</v>
      </c>
      <c r="H2967" s="54" t="s">
        <v>4532</v>
      </c>
      <c r="I2967" s="53" t="s">
        <v>205</v>
      </c>
      <c r="J2967" s="54" t="s">
        <v>157</v>
      </c>
      <c r="K2967" s="54" t="s">
        <v>157</v>
      </c>
      <c r="L2967" s="54" t="s">
        <v>15</v>
      </c>
      <c r="M2967" s="54" t="s">
        <v>13</v>
      </c>
      <c r="N2967" s="54" t="s">
        <v>14</v>
      </c>
      <c r="O2967" s="49" t="s">
        <v>814</v>
      </c>
      <c r="P2967" s="54" t="s">
        <v>3392</v>
      </c>
      <c r="Q2967" s="35" t="str">
        <f>MID(Tabla1[[#This Row],[Aplicación]],14,1)</f>
        <v>2</v>
      </c>
      <c r="R2967" s="35" t="s">
        <v>495</v>
      </c>
      <c r="S2967" s="35" t="str">
        <f>MID(Tabla1[[#This Row],[Aplicación]],6,2)</f>
        <v>11</v>
      </c>
      <c r="T2967" s="35" t="str">
        <f>VLOOKUP(Tabla1[[#This Row],[AREA]],Hoja1!A:B,2,FALSE)</f>
        <v>11. Salud pública y seguridad ciudadana</v>
      </c>
      <c r="U2967" s="35" t="str">
        <f>MID(Tabla1[[#This Row],[Aplicación]],9,4)</f>
        <v>1621</v>
      </c>
      <c r="V2967" s="35" t="str">
        <f>VLOOKUP(Tabla1[[#This Row],[PROGRAMA]],Hoja1!A:B,2,FALSE)</f>
        <v>1621. Servicio de limpieza</v>
      </c>
      <c r="W2967" s="35" t="str">
        <f>MID(Tabla1[[#This Row],[Aplicación]],14,2)</f>
        <v>21</v>
      </c>
      <c r="X2967" s="35" t="str">
        <f>MID(Tabla1[[#This Row],[Aplicación]],14,6)</f>
        <v>214</v>
      </c>
    </row>
    <row r="2968" spans="1:24" x14ac:dyDescent="0.25">
      <c r="A2968" s="45">
        <v>220210021018</v>
      </c>
      <c r="B2968" s="46" t="s">
        <v>9</v>
      </c>
      <c r="C2968" s="47">
        <v>44323</v>
      </c>
      <c r="D2968" s="45">
        <v>22021004336</v>
      </c>
      <c r="E2968" s="46" t="s">
        <v>886</v>
      </c>
      <c r="F2968" s="48">
        <v>145.19999999999999</v>
      </c>
      <c r="G2968" s="54" t="s">
        <v>4533</v>
      </c>
      <c r="H2968" s="54" t="s">
        <v>4534</v>
      </c>
      <c r="I2968" s="53" t="s">
        <v>125</v>
      </c>
      <c r="J2968" s="54" t="s">
        <v>127</v>
      </c>
      <c r="K2968" s="54" t="s">
        <v>127</v>
      </c>
      <c r="L2968" s="54" t="s">
        <v>12</v>
      </c>
      <c r="M2968" s="54" t="s">
        <v>10</v>
      </c>
      <c r="N2968" s="54" t="s">
        <v>11</v>
      </c>
      <c r="O2968" s="49" t="s">
        <v>815</v>
      </c>
      <c r="P2968" s="54" t="s">
        <v>3392</v>
      </c>
      <c r="Q2968" s="35" t="str">
        <f>MID(Tabla1[[#This Row],[Aplicación]],14,1)</f>
        <v>2</v>
      </c>
      <c r="R2968" s="35" t="s">
        <v>495</v>
      </c>
      <c r="S2968" s="35" t="str">
        <f>MID(Tabla1[[#This Row],[Aplicación]],6,2)</f>
        <v>10</v>
      </c>
      <c r="T2968" s="35" t="str">
        <f>VLOOKUP(Tabla1[[#This Row],[AREA]],Hoja1!A:B,2,FALSE)</f>
        <v>10. Servicios sociales y mediación comunitaria</v>
      </c>
      <c r="U2968" s="35" t="str">
        <f>MID(Tabla1[[#This Row],[Aplicación]],9,4)</f>
        <v>2311</v>
      </c>
      <c r="V2968" s="35" t="str">
        <f>VLOOKUP(Tabla1[[#This Row],[PROGRAMA]],Hoja1!A:B,2,FALSE)</f>
        <v>2311. Intervención social</v>
      </c>
      <c r="W2968" s="35" t="str">
        <f>MID(Tabla1[[#This Row],[Aplicación]],14,2)</f>
        <v>21</v>
      </c>
      <c r="X2968" s="35" t="str">
        <f>MID(Tabla1[[#This Row],[Aplicación]],14,6)</f>
        <v>213</v>
      </c>
    </row>
    <row r="2969" spans="1:24" x14ac:dyDescent="0.25">
      <c r="A2969" s="45">
        <v>220210014696</v>
      </c>
      <c r="B2969" s="46" t="s">
        <v>9</v>
      </c>
      <c r="C2969" s="47">
        <v>44299</v>
      </c>
      <c r="D2969" s="45">
        <v>22021003788</v>
      </c>
      <c r="E2969" s="46" t="s">
        <v>1304</v>
      </c>
      <c r="F2969" s="48">
        <v>145.19999999999999</v>
      </c>
      <c r="G2969" s="54" t="s">
        <v>2330</v>
      </c>
      <c r="H2969" s="54" t="s">
        <v>4535</v>
      </c>
      <c r="I2969" s="53" t="s">
        <v>125</v>
      </c>
      <c r="J2969" s="54" t="s">
        <v>127</v>
      </c>
      <c r="K2969" s="54" t="s">
        <v>127</v>
      </c>
      <c r="L2969" s="54" t="s">
        <v>12</v>
      </c>
      <c r="M2969" s="54" t="s">
        <v>10</v>
      </c>
      <c r="N2969" s="54" t="s">
        <v>11</v>
      </c>
      <c r="O2969" s="49" t="s">
        <v>815</v>
      </c>
      <c r="P2969" s="54" t="s">
        <v>3392</v>
      </c>
      <c r="Q2969" s="35" t="str">
        <f>MID(Tabla1[[#This Row],[Aplicación]],14,1)</f>
        <v>2</v>
      </c>
      <c r="R2969" s="35" t="s">
        <v>495</v>
      </c>
      <c r="S2969" s="35" t="str">
        <f>MID(Tabla1[[#This Row],[Aplicación]],6,2)</f>
        <v>07</v>
      </c>
      <c r="T2969" s="35" t="str">
        <f>VLOOKUP(Tabla1[[#This Row],[AREA]],Hoja1!A:B,2,FALSE)</f>
        <v>07. Medio ambiente y desarrollo sostenible</v>
      </c>
      <c r="U2969" s="35" t="str">
        <f>MID(Tabla1[[#This Row],[Aplicación]],9,4)</f>
        <v>1721</v>
      </c>
      <c r="V2969" s="35" t="str">
        <f>VLOOKUP(Tabla1[[#This Row],[PROGRAMA]],Hoja1!A:B,2,FALSE)</f>
        <v>1721. Protección del medio ambiente</v>
      </c>
      <c r="W2969" s="35" t="str">
        <f>MID(Tabla1[[#This Row],[Aplicación]],14,2)</f>
        <v>22</v>
      </c>
      <c r="X2969" s="35" t="str">
        <f>MID(Tabla1[[#This Row],[Aplicación]],14,6)</f>
        <v>22799</v>
      </c>
    </row>
    <row r="2970" spans="1:24" x14ac:dyDescent="0.25">
      <c r="A2970" s="45">
        <v>220210029255</v>
      </c>
      <c r="B2970" s="46" t="s">
        <v>9</v>
      </c>
      <c r="C2970" s="47">
        <v>44354</v>
      </c>
      <c r="D2970" s="45">
        <v>22021004766</v>
      </c>
      <c r="E2970" s="46" t="s">
        <v>2159</v>
      </c>
      <c r="F2970" s="48">
        <v>168.55</v>
      </c>
      <c r="G2970" s="54" t="s">
        <v>2011</v>
      </c>
      <c r="H2970" s="54" t="s">
        <v>4536</v>
      </c>
      <c r="I2970" s="53" t="s">
        <v>125</v>
      </c>
      <c r="J2970" s="54" t="s">
        <v>127</v>
      </c>
      <c r="K2970" s="54" t="s">
        <v>127</v>
      </c>
      <c r="L2970" s="54" t="s">
        <v>12</v>
      </c>
      <c r="M2970" s="54" t="s">
        <v>13</v>
      </c>
      <c r="N2970" s="54" t="s">
        <v>14</v>
      </c>
      <c r="O2970" s="49" t="s">
        <v>814</v>
      </c>
      <c r="P2970" s="54" t="s">
        <v>3392</v>
      </c>
      <c r="Q2970" s="35" t="str">
        <f>MID(Tabla1[[#This Row],[Aplicación]],14,1)</f>
        <v>2</v>
      </c>
      <c r="R2970" s="35" t="s">
        <v>495</v>
      </c>
      <c r="S2970" s="35" t="str">
        <f>MID(Tabla1[[#This Row],[Aplicación]],6,2)</f>
        <v>11</v>
      </c>
      <c r="T2970" s="35" t="str">
        <f>VLOOKUP(Tabla1[[#This Row],[AREA]],Hoja1!A:B,2,FALSE)</f>
        <v>11. Salud pública y seguridad ciudadana</v>
      </c>
      <c r="U2970" s="35" t="str">
        <f>MID(Tabla1[[#This Row],[Aplicación]],9,4)</f>
        <v>3111</v>
      </c>
      <c r="V2970" s="35" t="str">
        <f>VLOOKUP(Tabla1[[#This Row],[PROGRAMA]],Hoja1!A:B,2,FALSE)</f>
        <v>3111. Protección de la salubridad pública</v>
      </c>
      <c r="W2970" s="35" t="str">
        <f>MID(Tabla1[[#This Row],[Aplicación]],14,2)</f>
        <v>21</v>
      </c>
      <c r="X2970" s="35" t="str">
        <f>MID(Tabla1[[#This Row],[Aplicación]],14,6)</f>
        <v>214</v>
      </c>
    </row>
    <row r="2971" spans="1:24" x14ac:dyDescent="0.25">
      <c r="A2971" s="45">
        <v>220210020442</v>
      </c>
      <c r="B2971" s="46" t="s">
        <v>9</v>
      </c>
      <c r="C2971" s="47">
        <v>44322</v>
      </c>
      <c r="D2971" s="45">
        <v>22021004296</v>
      </c>
      <c r="E2971" s="46" t="s">
        <v>3366</v>
      </c>
      <c r="F2971" s="48">
        <v>168.37</v>
      </c>
      <c r="G2971" s="54" t="s">
        <v>266</v>
      </c>
      <c r="H2971" s="54" t="s">
        <v>4537</v>
      </c>
      <c r="I2971" s="53" t="s">
        <v>125</v>
      </c>
      <c r="J2971" s="54" t="s">
        <v>127</v>
      </c>
      <c r="K2971" s="54" t="s">
        <v>127</v>
      </c>
      <c r="L2971" s="54" t="s">
        <v>15</v>
      </c>
      <c r="M2971" s="54" t="s">
        <v>13</v>
      </c>
      <c r="N2971" s="54" t="s">
        <v>14</v>
      </c>
      <c r="O2971" s="49" t="s">
        <v>814</v>
      </c>
      <c r="P2971" s="54" t="s">
        <v>3392</v>
      </c>
      <c r="Q2971" s="35" t="str">
        <f>MID(Tabla1[[#This Row],[Aplicación]],14,1)</f>
        <v>2</v>
      </c>
      <c r="R2971" s="35" t="s">
        <v>495</v>
      </c>
      <c r="S2971" s="35" t="str">
        <f>MID(Tabla1[[#This Row],[Aplicación]],6,2)</f>
        <v>04</v>
      </c>
      <c r="T2971" s="35" t="str">
        <f>VLOOKUP(Tabla1[[#This Row],[AREA]],Hoja1!A:B,2,FALSE)</f>
        <v>04. Planificación y recursos</v>
      </c>
      <c r="U2971" s="35" t="str">
        <f>MID(Tabla1[[#This Row],[Aplicación]],9,4)</f>
        <v>3121</v>
      </c>
      <c r="V2971" s="35" t="str">
        <f>VLOOKUP(Tabla1[[#This Row],[PROGRAMA]],Hoja1!A:B,2,FALSE)</f>
        <v>3121. Prevención y salud laboral</v>
      </c>
      <c r="W2971" s="35" t="str">
        <f>MID(Tabla1[[#This Row],[Aplicación]],14,2)</f>
        <v>22</v>
      </c>
      <c r="X2971" s="35" t="str">
        <f>MID(Tabla1[[#This Row],[Aplicación]],14,6)</f>
        <v>22000</v>
      </c>
    </row>
    <row r="2972" spans="1:24" x14ac:dyDescent="0.25">
      <c r="A2972" s="45">
        <v>220210015616</v>
      </c>
      <c r="B2972" s="46" t="s">
        <v>204</v>
      </c>
      <c r="C2972" s="47">
        <v>44302</v>
      </c>
      <c r="D2972" s="45">
        <v>22021002052</v>
      </c>
      <c r="E2972" s="46" t="s">
        <v>1340</v>
      </c>
      <c r="F2972" s="48">
        <v>164.08</v>
      </c>
      <c r="G2972" s="54" t="s">
        <v>264</v>
      </c>
      <c r="H2972" s="54" t="s">
        <v>4538</v>
      </c>
      <c r="I2972" s="53" t="s">
        <v>205</v>
      </c>
      <c r="J2972" s="54" t="s">
        <v>127</v>
      </c>
      <c r="K2972" s="54" t="s">
        <v>127</v>
      </c>
      <c r="L2972" s="54" t="s">
        <v>15</v>
      </c>
      <c r="M2972" s="54" t="s">
        <v>13</v>
      </c>
      <c r="N2972" s="54" t="s">
        <v>14</v>
      </c>
      <c r="O2972" s="49" t="s">
        <v>814</v>
      </c>
      <c r="P2972" s="54" t="s">
        <v>3392</v>
      </c>
      <c r="Q2972" s="35" t="str">
        <f>MID(Tabla1[[#This Row],[Aplicación]],14,1)</f>
        <v>2</v>
      </c>
      <c r="R2972" s="35" t="s">
        <v>495</v>
      </c>
      <c r="S2972" s="35" t="str">
        <f>MID(Tabla1[[#This Row],[Aplicación]],6,2)</f>
        <v>11</v>
      </c>
      <c r="T2972" s="35" t="str">
        <f>VLOOKUP(Tabla1[[#This Row],[AREA]],Hoja1!A:B,2,FALSE)</f>
        <v>11. Salud pública y seguridad ciudadana</v>
      </c>
      <c r="U2972" s="35" t="str">
        <f>MID(Tabla1[[#This Row],[Aplicación]],9,4)</f>
        <v>1621</v>
      </c>
      <c r="V2972" s="35" t="str">
        <f>VLOOKUP(Tabla1[[#This Row],[PROGRAMA]],Hoja1!A:B,2,FALSE)</f>
        <v>1621. Servicio de limpieza</v>
      </c>
      <c r="W2972" s="35" t="str">
        <f>MID(Tabla1[[#This Row],[Aplicación]],14,2)</f>
        <v>22</v>
      </c>
      <c r="X2972" s="35" t="str">
        <f>MID(Tabla1[[#This Row],[Aplicación]],14,6)</f>
        <v>22199</v>
      </c>
    </row>
    <row r="2973" spans="1:24" x14ac:dyDescent="0.25">
      <c r="A2973" s="45">
        <v>220210025675</v>
      </c>
      <c r="B2973" s="46" t="s">
        <v>204</v>
      </c>
      <c r="C2973" s="47">
        <v>44343</v>
      </c>
      <c r="D2973" s="45">
        <v>22021003381</v>
      </c>
      <c r="E2973" s="46" t="s">
        <v>1183</v>
      </c>
      <c r="F2973" s="48">
        <v>39.93</v>
      </c>
      <c r="G2973" s="54" t="s">
        <v>264</v>
      </c>
      <c r="H2973" s="54" t="s">
        <v>4539</v>
      </c>
      <c r="I2973" s="53" t="s">
        <v>205</v>
      </c>
      <c r="J2973" s="54" t="s">
        <v>127</v>
      </c>
      <c r="K2973" s="54" t="s">
        <v>127</v>
      </c>
      <c r="L2973" s="54" t="s">
        <v>15</v>
      </c>
      <c r="M2973" s="54" t="s">
        <v>13</v>
      </c>
      <c r="N2973" s="54" t="s">
        <v>14</v>
      </c>
      <c r="O2973" s="49" t="s">
        <v>814</v>
      </c>
      <c r="P2973" s="54" t="s">
        <v>3392</v>
      </c>
      <c r="Q2973" s="35" t="str">
        <f>MID(Tabla1[[#This Row],[Aplicación]],14,1)</f>
        <v>2</v>
      </c>
      <c r="R2973" s="35" t="s">
        <v>495</v>
      </c>
      <c r="S2973" s="35" t="str">
        <f>MID(Tabla1[[#This Row],[Aplicación]],6,2)</f>
        <v>11</v>
      </c>
      <c r="T2973" s="35" t="str">
        <f>VLOOKUP(Tabla1[[#This Row],[AREA]],Hoja1!A:B,2,FALSE)</f>
        <v>11. Salud pública y seguridad ciudadana</v>
      </c>
      <c r="U2973" s="35" t="str">
        <f>MID(Tabla1[[#This Row],[Aplicación]],9,4)</f>
        <v>1361</v>
      </c>
      <c r="V2973" s="35" t="str">
        <f>VLOOKUP(Tabla1[[#This Row],[PROGRAMA]],Hoja1!A:B,2,FALSE)</f>
        <v>1361. Prevención y extinción de incencios</v>
      </c>
      <c r="W2973" s="35" t="str">
        <f>MID(Tabla1[[#This Row],[Aplicación]],14,2)</f>
        <v>22</v>
      </c>
      <c r="X2973" s="35" t="str">
        <f>MID(Tabla1[[#This Row],[Aplicación]],14,6)</f>
        <v>22199</v>
      </c>
    </row>
    <row r="2974" spans="1:24" x14ac:dyDescent="0.25">
      <c r="A2974" s="45">
        <v>220210020452</v>
      </c>
      <c r="B2974" s="46" t="s">
        <v>9</v>
      </c>
      <c r="C2974" s="47">
        <v>44322</v>
      </c>
      <c r="D2974" s="45">
        <v>22021004210</v>
      </c>
      <c r="E2974" s="46" t="s">
        <v>2414</v>
      </c>
      <c r="F2974" s="48">
        <v>140.36000000000001</v>
      </c>
      <c r="G2974" s="54" t="s">
        <v>294</v>
      </c>
      <c r="H2974" s="54" t="s">
        <v>4540</v>
      </c>
      <c r="I2974" s="53" t="s">
        <v>125</v>
      </c>
      <c r="J2974" s="54" t="s">
        <v>127</v>
      </c>
      <c r="K2974" s="54" t="s">
        <v>127</v>
      </c>
      <c r="L2974" s="54" t="s">
        <v>15</v>
      </c>
      <c r="M2974" s="54" t="s">
        <v>10</v>
      </c>
      <c r="N2974" s="54" t="s">
        <v>11</v>
      </c>
      <c r="O2974" s="49" t="s">
        <v>815</v>
      </c>
      <c r="P2974" s="54" t="s">
        <v>3392</v>
      </c>
      <c r="Q2974" s="35" t="str">
        <f>MID(Tabla1[[#This Row],[Aplicación]],14,1)</f>
        <v>2</v>
      </c>
      <c r="R2974" s="35" t="s">
        <v>495</v>
      </c>
      <c r="S2974" s="35" t="str">
        <f>MID(Tabla1[[#This Row],[Aplicación]],6,2)</f>
        <v>10</v>
      </c>
      <c r="T2974" s="35" t="str">
        <f>VLOOKUP(Tabla1[[#This Row],[AREA]],Hoja1!A:B,2,FALSE)</f>
        <v>10. Servicios sociales y mediación comunitaria</v>
      </c>
      <c r="U2974" s="35" t="str">
        <f>MID(Tabla1[[#This Row],[Aplicación]],9,4)</f>
        <v>2311</v>
      </c>
      <c r="V2974" s="35" t="str">
        <f>VLOOKUP(Tabla1[[#This Row],[PROGRAMA]],Hoja1!A:B,2,FALSE)</f>
        <v>2311. Intervención social</v>
      </c>
      <c r="W2974" s="35" t="str">
        <f>MID(Tabla1[[#This Row],[Aplicación]],14,2)</f>
        <v>22</v>
      </c>
      <c r="X2974" s="35" t="str">
        <f>MID(Tabla1[[#This Row],[Aplicación]],14,6)</f>
        <v>22199</v>
      </c>
    </row>
    <row r="2975" spans="1:24" x14ac:dyDescent="0.25">
      <c r="A2975" s="45">
        <v>220210029252</v>
      </c>
      <c r="B2975" s="46" t="s">
        <v>9</v>
      </c>
      <c r="C2975" s="47">
        <v>44354</v>
      </c>
      <c r="D2975" s="45">
        <v>22021004747</v>
      </c>
      <c r="E2975" s="46" t="s">
        <v>3333</v>
      </c>
      <c r="F2975" s="48">
        <v>140</v>
      </c>
      <c r="G2975" s="54" t="s">
        <v>4541</v>
      </c>
      <c r="H2975" s="54" t="s">
        <v>4542</v>
      </c>
      <c r="I2975" s="53" t="s">
        <v>125</v>
      </c>
      <c r="J2975" s="54" t="s">
        <v>127</v>
      </c>
      <c r="K2975" s="54" t="s">
        <v>127</v>
      </c>
      <c r="L2975" s="54" t="s">
        <v>12</v>
      </c>
      <c r="M2975" s="54" t="s">
        <v>10</v>
      </c>
      <c r="N2975" s="54" t="s">
        <v>11</v>
      </c>
      <c r="O2975" s="49" t="s">
        <v>815</v>
      </c>
      <c r="P2975" s="54" t="s">
        <v>3392</v>
      </c>
      <c r="Q2975" s="35" t="str">
        <f>MID(Tabla1[[#This Row],[Aplicación]],14,1)</f>
        <v>2</v>
      </c>
      <c r="R2975" s="35" t="s">
        <v>495</v>
      </c>
      <c r="S2975" s="35" t="str">
        <f>MID(Tabla1[[#This Row],[Aplicación]],6,2)</f>
        <v>10</v>
      </c>
      <c r="T2975" s="35" t="str">
        <f>VLOOKUP(Tabla1[[#This Row],[AREA]],Hoja1!A:B,2,FALSE)</f>
        <v>10. Servicios sociales y mediación comunitaria</v>
      </c>
      <c r="U2975" s="35" t="str">
        <f>MID(Tabla1[[#This Row],[Aplicación]],9,4)</f>
        <v>2316</v>
      </c>
      <c r="V2975" s="35" t="str">
        <f>VLOOKUP(Tabla1[[#This Row],[PROGRAMA]],Hoja1!A:B,2,FALSE)</f>
        <v>2316. Mediación comunitaria</v>
      </c>
      <c r="W2975" s="35" t="str">
        <f>MID(Tabla1[[#This Row],[Aplicación]],14,2)</f>
        <v>22</v>
      </c>
      <c r="X2975" s="35" t="str">
        <f>MID(Tabla1[[#This Row],[Aplicación]],14,6)</f>
        <v>22616</v>
      </c>
    </row>
    <row r="2976" spans="1:24" x14ac:dyDescent="0.25">
      <c r="A2976" s="45">
        <v>220210024752</v>
      </c>
      <c r="B2976" s="46" t="s">
        <v>204</v>
      </c>
      <c r="C2976" s="47">
        <v>44340</v>
      </c>
      <c r="D2976" s="45">
        <v>22021002146</v>
      </c>
      <c r="E2976" s="46" t="s">
        <v>1410</v>
      </c>
      <c r="F2976" s="48">
        <v>169.88</v>
      </c>
      <c r="G2976" s="54" t="s">
        <v>264</v>
      </c>
      <c r="H2976" s="54" t="s">
        <v>3269</v>
      </c>
      <c r="I2976" s="53" t="s">
        <v>205</v>
      </c>
      <c r="J2976" s="54" t="s">
        <v>127</v>
      </c>
      <c r="K2976" s="54" t="s">
        <v>127</v>
      </c>
      <c r="L2976" s="54" t="s">
        <v>15</v>
      </c>
      <c r="M2976" s="54" t="s">
        <v>13</v>
      </c>
      <c r="N2976" s="54" t="s">
        <v>14</v>
      </c>
      <c r="O2976" s="49" t="s">
        <v>814</v>
      </c>
      <c r="P2976" s="54" t="s">
        <v>3392</v>
      </c>
      <c r="Q2976" s="35" t="str">
        <f>MID(Tabla1[[#This Row],[Aplicación]],14,1)</f>
        <v>2</v>
      </c>
      <c r="R2976" s="35" t="s">
        <v>495</v>
      </c>
      <c r="S2976" s="35" t="str">
        <f>MID(Tabla1[[#This Row],[Aplicación]],6,2)</f>
        <v>07</v>
      </c>
      <c r="T2976" s="35" t="str">
        <f>VLOOKUP(Tabla1[[#This Row],[AREA]],Hoja1!A:B,2,FALSE)</f>
        <v>07. Medio ambiente y desarrollo sostenible</v>
      </c>
      <c r="U2976" s="35" t="str">
        <f>MID(Tabla1[[#This Row],[Aplicación]],9,4)</f>
        <v>1711</v>
      </c>
      <c r="V2976" s="35" t="str">
        <f>VLOOKUP(Tabla1[[#This Row],[PROGRAMA]],Hoja1!A:B,2,FALSE)</f>
        <v>1711. Parques y jardines</v>
      </c>
      <c r="W2976" s="35" t="str">
        <f>MID(Tabla1[[#This Row],[Aplicación]],14,2)</f>
        <v>21</v>
      </c>
      <c r="X2976" s="35" t="str">
        <f>MID(Tabla1[[#This Row],[Aplicación]],14,6)</f>
        <v>214</v>
      </c>
    </row>
    <row r="2977" spans="1:24" x14ac:dyDescent="0.25">
      <c r="A2977" s="45">
        <v>220210028400</v>
      </c>
      <c r="B2977" s="46" t="s">
        <v>204</v>
      </c>
      <c r="C2977" s="47">
        <v>44350</v>
      </c>
      <c r="D2977" s="45">
        <v>22021002225</v>
      </c>
      <c r="E2977" s="46" t="s">
        <v>1574</v>
      </c>
      <c r="F2977" s="48">
        <v>139.72999999999999</v>
      </c>
      <c r="G2977" s="54" t="s">
        <v>4543</v>
      </c>
      <c r="H2977" s="54" t="s">
        <v>4544</v>
      </c>
      <c r="I2977" s="53" t="s">
        <v>205</v>
      </c>
      <c r="J2977" s="54" t="s">
        <v>127</v>
      </c>
      <c r="K2977" s="54" t="s">
        <v>127</v>
      </c>
      <c r="L2977" s="54" t="s">
        <v>15</v>
      </c>
      <c r="M2977" s="54" t="s">
        <v>10</v>
      </c>
      <c r="N2977" s="54" t="s">
        <v>11</v>
      </c>
      <c r="O2977" s="49" t="s">
        <v>815</v>
      </c>
      <c r="P2977" s="54" t="s">
        <v>3392</v>
      </c>
      <c r="Q2977" s="35" t="str">
        <f>MID(Tabla1[[#This Row],[Aplicación]],14,1)</f>
        <v>2</v>
      </c>
      <c r="R2977" s="35" t="s">
        <v>495</v>
      </c>
      <c r="S2977" s="35" t="str">
        <f>MID(Tabla1[[#This Row],[Aplicación]],6,2)</f>
        <v>06</v>
      </c>
      <c r="T2977" s="35" t="str">
        <f>VLOOKUP(Tabla1[[#This Row],[AREA]],Hoja1!A:B,2,FALSE)</f>
        <v>06. Educación, infancia, juventud e igualdad</v>
      </c>
      <c r="U2977" s="35" t="str">
        <f>MID(Tabla1[[#This Row],[Aplicación]],9,4)</f>
        <v>3231</v>
      </c>
      <c r="V2977" s="35" t="str">
        <f>VLOOKUP(Tabla1[[#This Row],[PROGRAMA]],Hoja1!A:B,2,FALSE)</f>
        <v>3231. Escuelas infantiles</v>
      </c>
      <c r="W2977" s="35" t="str">
        <f>MID(Tabla1[[#This Row],[Aplicación]],14,2)</f>
        <v>21</v>
      </c>
      <c r="X2977" s="35" t="str">
        <f>MID(Tabla1[[#This Row],[Aplicación]],14,6)</f>
        <v>212</v>
      </c>
    </row>
    <row r="2978" spans="1:24" x14ac:dyDescent="0.25">
      <c r="A2978" s="45">
        <v>220210023270</v>
      </c>
      <c r="B2978" s="46" t="s">
        <v>204</v>
      </c>
      <c r="C2978" s="47">
        <v>44335</v>
      </c>
      <c r="D2978" s="45">
        <v>22021001275</v>
      </c>
      <c r="E2978" s="46" t="s">
        <v>1334</v>
      </c>
      <c r="F2978" s="48">
        <v>271.56</v>
      </c>
      <c r="G2978" s="54" t="s">
        <v>270</v>
      </c>
      <c r="H2978" s="54" t="s">
        <v>1461</v>
      </c>
      <c r="I2978" s="53" t="s">
        <v>205</v>
      </c>
      <c r="J2978" s="54" t="s">
        <v>127</v>
      </c>
      <c r="K2978" s="54" t="s">
        <v>127</v>
      </c>
      <c r="L2978" s="54" t="s">
        <v>15</v>
      </c>
      <c r="M2978" s="54" t="s">
        <v>13</v>
      </c>
      <c r="N2978" s="54" t="s">
        <v>14</v>
      </c>
      <c r="O2978" s="49" t="s">
        <v>814</v>
      </c>
      <c r="P2978" s="54" t="s">
        <v>3392</v>
      </c>
      <c r="Q2978" s="35" t="str">
        <f>MID(Tabla1[[#This Row],[Aplicación]],14,1)</f>
        <v>2</v>
      </c>
      <c r="R2978" s="35" t="s">
        <v>495</v>
      </c>
      <c r="S2978" s="35" t="str">
        <f>MID(Tabla1[[#This Row],[Aplicación]],6,2)</f>
        <v>07</v>
      </c>
      <c r="T2978" s="35" t="str">
        <f>VLOOKUP(Tabla1[[#This Row],[AREA]],Hoja1!A:B,2,FALSE)</f>
        <v>07. Medio ambiente y desarrollo sostenible</v>
      </c>
      <c r="U2978" s="35" t="str">
        <f>MID(Tabla1[[#This Row],[Aplicación]],9,4)</f>
        <v>1711</v>
      </c>
      <c r="V2978" s="35" t="str">
        <f>VLOOKUP(Tabla1[[#This Row],[PROGRAMA]],Hoja1!A:B,2,FALSE)</f>
        <v>1711. Parques y jardines</v>
      </c>
      <c r="W2978" s="35" t="str">
        <f>MID(Tabla1[[#This Row],[Aplicación]],14,2)</f>
        <v>22</v>
      </c>
      <c r="X2978" s="35" t="str">
        <f>MID(Tabla1[[#This Row],[Aplicación]],14,6)</f>
        <v>22199</v>
      </c>
    </row>
    <row r="2979" spans="1:24" x14ac:dyDescent="0.25">
      <c r="A2979" s="45">
        <v>220210014371</v>
      </c>
      <c r="B2979" s="46" t="s">
        <v>9</v>
      </c>
      <c r="C2979" s="47">
        <v>44295</v>
      </c>
      <c r="D2979" s="45">
        <v>22021003704</v>
      </c>
      <c r="E2979" s="46" t="s">
        <v>1761</v>
      </c>
      <c r="F2979" s="48">
        <v>139.15</v>
      </c>
      <c r="G2979" s="54" t="s">
        <v>3684</v>
      </c>
      <c r="H2979" s="54" t="s">
        <v>4545</v>
      </c>
      <c r="I2979" s="53" t="s">
        <v>125</v>
      </c>
      <c r="J2979" s="54" t="s">
        <v>127</v>
      </c>
      <c r="K2979" s="54" t="s">
        <v>127</v>
      </c>
      <c r="L2979" s="54" t="s">
        <v>15</v>
      </c>
      <c r="M2979" s="54" t="s">
        <v>10</v>
      </c>
      <c r="N2979" s="54" t="s">
        <v>11</v>
      </c>
      <c r="O2979" s="49" t="s">
        <v>815</v>
      </c>
      <c r="P2979" s="54" t="s">
        <v>3392</v>
      </c>
      <c r="Q2979" s="35" t="str">
        <f>MID(Tabla1[[#This Row],[Aplicación]],14,1)</f>
        <v>2</v>
      </c>
      <c r="R2979" s="35" t="s">
        <v>495</v>
      </c>
      <c r="S2979" s="35" t="str">
        <f>MID(Tabla1[[#This Row],[Aplicación]],6,2)</f>
        <v>03</v>
      </c>
      <c r="T2979" s="35" t="str">
        <f>VLOOKUP(Tabla1[[#This Row],[AREA]],Hoja1!A:B,2,FALSE)</f>
        <v>03. Participación ciudadana y deportes</v>
      </c>
      <c r="U2979" s="35" t="str">
        <f>MID(Tabla1[[#This Row],[Aplicación]],9,4)</f>
        <v>9241</v>
      </c>
      <c r="V2979" s="35" t="str">
        <f>VLOOKUP(Tabla1[[#This Row],[PROGRAMA]],Hoja1!A:B,2,FALSE)</f>
        <v>9241. Participación ciudadana</v>
      </c>
      <c r="W2979" s="35" t="str">
        <f>MID(Tabla1[[#This Row],[Aplicación]],14,2)</f>
        <v>22</v>
      </c>
      <c r="X2979" s="35" t="str">
        <f>MID(Tabla1[[#This Row],[Aplicación]],14,6)</f>
        <v>22199</v>
      </c>
    </row>
    <row r="2980" spans="1:24" x14ac:dyDescent="0.25">
      <c r="A2980" s="45">
        <v>220210017103</v>
      </c>
      <c r="B2980" s="46" t="s">
        <v>204</v>
      </c>
      <c r="C2980" s="47">
        <v>44312</v>
      </c>
      <c r="D2980" s="45">
        <v>22021002088</v>
      </c>
      <c r="E2980" s="46" t="s">
        <v>1478</v>
      </c>
      <c r="F2980" s="48">
        <v>161.22999999999999</v>
      </c>
      <c r="G2980" s="54" t="s">
        <v>235</v>
      </c>
      <c r="H2980" s="54" t="s">
        <v>4546</v>
      </c>
      <c r="I2980" s="53" t="s">
        <v>205</v>
      </c>
      <c r="J2980" s="54" t="s">
        <v>742</v>
      </c>
      <c r="K2980" s="54" t="s">
        <v>165</v>
      </c>
      <c r="L2980" s="54" t="s">
        <v>15</v>
      </c>
      <c r="M2980" s="54" t="s">
        <v>13</v>
      </c>
      <c r="N2980" s="54" t="s">
        <v>16</v>
      </c>
      <c r="O2980" s="49" t="s">
        <v>814</v>
      </c>
      <c r="P2980" s="54" t="s">
        <v>3392</v>
      </c>
      <c r="Q2980" s="35" t="str">
        <f>MID(Tabla1[[#This Row],[Aplicación]],14,1)</f>
        <v>2</v>
      </c>
      <c r="R2980" s="35" t="s">
        <v>495</v>
      </c>
      <c r="S2980" s="35" t="str">
        <f>MID(Tabla1[[#This Row],[Aplicación]],6,2)</f>
        <v>03</v>
      </c>
      <c r="T2980" s="35" t="str">
        <f>VLOOKUP(Tabla1[[#This Row],[AREA]],Hoja1!A:B,2,FALSE)</f>
        <v>03. Participación ciudadana y deportes</v>
      </c>
      <c r="U2980" s="35" t="str">
        <f>MID(Tabla1[[#This Row],[Aplicación]],9,4)</f>
        <v>9241</v>
      </c>
      <c r="V2980" s="35" t="str">
        <f>VLOOKUP(Tabla1[[#This Row],[PROGRAMA]],Hoja1!A:B,2,FALSE)</f>
        <v>9241. Participación ciudadana</v>
      </c>
      <c r="W2980" s="35" t="str">
        <f>MID(Tabla1[[#This Row],[Aplicación]],14,2)</f>
        <v>21</v>
      </c>
      <c r="X2980" s="35" t="str">
        <f>MID(Tabla1[[#This Row],[Aplicación]],14,6)</f>
        <v>212</v>
      </c>
    </row>
    <row r="2981" spans="1:24" x14ac:dyDescent="0.25">
      <c r="A2981" s="45">
        <v>220210033092</v>
      </c>
      <c r="B2981" s="46" t="s">
        <v>9</v>
      </c>
      <c r="C2981" s="47">
        <v>44376</v>
      </c>
      <c r="D2981" s="45">
        <v>22021005071</v>
      </c>
      <c r="E2981" s="46" t="s">
        <v>3308</v>
      </c>
      <c r="F2981" s="48">
        <v>160.38999999999999</v>
      </c>
      <c r="G2981" s="54" t="s">
        <v>764</v>
      </c>
      <c r="H2981" s="54" t="s">
        <v>4547</v>
      </c>
      <c r="I2981" s="53" t="s">
        <v>125</v>
      </c>
      <c r="J2981" s="54" t="s">
        <v>127</v>
      </c>
      <c r="K2981" s="54" t="s">
        <v>127</v>
      </c>
      <c r="L2981" s="54" t="s">
        <v>12</v>
      </c>
      <c r="M2981" s="54" t="s">
        <v>13</v>
      </c>
      <c r="N2981" s="54" t="s">
        <v>14</v>
      </c>
      <c r="O2981" s="49" t="s">
        <v>814</v>
      </c>
      <c r="P2981" s="54" t="s">
        <v>3392</v>
      </c>
      <c r="Q2981" s="35" t="str">
        <f>MID(Tabla1[[#This Row],[Aplicación]],14,1)</f>
        <v>6</v>
      </c>
      <c r="R2981" s="35" t="s">
        <v>496</v>
      </c>
      <c r="S2981" s="35" t="str">
        <f>MID(Tabla1[[#This Row],[Aplicación]],6,2)</f>
        <v>06</v>
      </c>
      <c r="T2981" s="35" t="str">
        <f>VLOOKUP(Tabla1[[#This Row],[AREA]],Hoja1!A:B,2,FALSE)</f>
        <v>06. Educación, infancia, juventud e igualdad</v>
      </c>
      <c r="U2981" s="35" t="str">
        <f>MID(Tabla1[[#This Row],[Aplicación]],9,4)</f>
        <v>3232</v>
      </c>
      <c r="V2981" s="35" t="str">
        <f>VLOOKUP(Tabla1[[#This Row],[PROGRAMA]],Hoja1!A:B,2,FALSE)</f>
        <v>3232. Conservación y mantenimiento centros educación infantil y primaria</v>
      </c>
      <c r="W2981" s="35" t="str">
        <f>MID(Tabla1[[#This Row],[Aplicación]],14,2)</f>
        <v>63</v>
      </c>
      <c r="X2981" s="35" t="str">
        <f>MID(Tabla1[[#This Row],[Aplicación]],14,6)</f>
        <v>632</v>
      </c>
    </row>
    <row r="2982" spans="1:24" x14ac:dyDescent="0.25">
      <c r="A2982" s="45">
        <v>220210030078</v>
      </c>
      <c r="B2982" s="46" t="s">
        <v>204</v>
      </c>
      <c r="C2982" s="47">
        <v>44356</v>
      </c>
      <c r="D2982" s="45">
        <v>22021001275</v>
      </c>
      <c r="E2982" s="46" t="s">
        <v>1334</v>
      </c>
      <c r="F2982" s="48">
        <v>419.05</v>
      </c>
      <c r="G2982" s="54" t="s">
        <v>270</v>
      </c>
      <c r="H2982" s="54" t="s">
        <v>4548</v>
      </c>
      <c r="I2982" s="53" t="s">
        <v>205</v>
      </c>
      <c r="J2982" s="54" t="s">
        <v>127</v>
      </c>
      <c r="K2982" s="54" t="s">
        <v>127</v>
      </c>
      <c r="L2982" s="54" t="s">
        <v>15</v>
      </c>
      <c r="M2982" s="54" t="s">
        <v>13</v>
      </c>
      <c r="N2982" s="54" t="s">
        <v>14</v>
      </c>
      <c r="O2982" s="49" t="s">
        <v>814</v>
      </c>
      <c r="P2982" s="54" t="s">
        <v>3392</v>
      </c>
      <c r="Q2982" s="35" t="str">
        <f>MID(Tabla1[[#This Row],[Aplicación]],14,1)</f>
        <v>2</v>
      </c>
      <c r="R2982" s="35" t="s">
        <v>495</v>
      </c>
      <c r="S2982" s="35" t="str">
        <f>MID(Tabla1[[#This Row],[Aplicación]],6,2)</f>
        <v>07</v>
      </c>
      <c r="T2982" s="35" t="str">
        <f>VLOOKUP(Tabla1[[#This Row],[AREA]],Hoja1!A:B,2,FALSE)</f>
        <v>07. Medio ambiente y desarrollo sostenible</v>
      </c>
      <c r="U2982" s="35" t="str">
        <f>MID(Tabla1[[#This Row],[Aplicación]],9,4)</f>
        <v>1711</v>
      </c>
      <c r="V2982" s="35" t="str">
        <f>VLOOKUP(Tabla1[[#This Row],[PROGRAMA]],Hoja1!A:B,2,FALSE)</f>
        <v>1711. Parques y jardines</v>
      </c>
      <c r="W2982" s="35" t="str">
        <f>MID(Tabla1[[#This Row],[Aplicación]],14,2)</f>
        <v>22</v>
      </c>
      <c r="X2982" s="35" t="str">
        <f>MID(Tabla1[[#This Row],[Aplicación]],14,6)</f>
        <v>22199</v>
      </c>
    </row>
    <row r="2983" spans="1:24" x14ac:dyDescent="0.25">
      <c r="A2983" s="45">
        <v>220210014467</v>
      </c>
      <c r="B2983" s="46" t="s">
        <v>204</v>
      </c>
      <c r="C2983" s="47">
        <v>44295</v>
      </c>
      <c r="D2983" s="45">
        <v>22021001968</v>
      </c>
      <c r="E2983" s="46" t="s">
        <v>1388</v>
      </c>
      <c r="F2983" s="48">
        <v>21.95</v>
      </c>
      <c r="G2983" s="54" t="s">
        <v>235</v>
      </c>
      <c r="H2983" s="54" t="s">
        <v>4549</v>
      </c>
      <c r="I2983" s="53" t="s">
        <v>205</v>
      </c>
      <c r="J2983" s="54" t="s">
        <v>742</v>
      </c>
      <c r="K2983" s="54" t="s">
        <v>165</v>
      </c>
      <c r="L2983" s="54" t="s">
        <v>15</v>
      </c>
      <c r="M2983" s="54" t="s">
        <v>13</v>
      </c>
      <c r="N2983" s="54" t="s">
        <v>14</v>
      </c>
      <c r="O2983" s="49" t="s">
        <v>814</v>
      </c>
      <c r="P2983" s="54" t="s">
        <v>3392</v>
      </c>
      <c r="Q2983" s="35" t="str">
        <f>MID(Tabla1[[#This Row],[Aplicación]],14,1)</f>
        <v>2</v>
      </c>
      <c r="R2983" s="35" t="s">
        <v>495</v>
      </c>
      <c r="S2983" s="35" t="str">
        <f>MID(Tabla1[[#This Row],[Aplicación]],6,2)</f>
        <v>11</v>
      </c>
      <c r="T2983" s="35" t="str">
        <f>VLOOKUP(Tabla1[[#This Row],[AREA]],Hoja1!A:B,2,FALSE)</f>
        <v>11. Salud pública y seguridad ciudadana</v>
      </c>
      <c r="U2983" s="35" t="str">
        <f>MID(Tabla1[[#This Row],[Aplicación]],9,4)</f>
        <v>1321</v>
      </c>
      <c r="V2983" s="35" t="str">
        <f>VLOOKUP(Tabla1[[#This Row],[PROGRAMA]],Hoja1!A:B,2,FALSE)</f>
        <v>1321. Policía municipal</v>
      </c>
      <c r="W2983" s="35" t="str">
        <f>MID(Tabla1[[#This Row],[Aplicación]],14,2)</f>
        <v>22</v>
      </c>
      <c r="X2983" s="35" t="str">
        <f>MID(Tabla1[[#This Row],[Aplicación]],14,6)</f>
        <v>22199</v>
      </c>
    </row>
    <row r="2984" spans="1:24" x14ac:dyDescent="0.25">
      <c r="A2984" s="45">
        <v>220210029614</v>
      </c>
      <c r="B2984" s="46" t="s">
        <v>204</v>
      </c>
      <c r="C2984" s="47">
        <v>44355</v>
      </c>
      <c r="D2984" s="45">
        <v>22021002057</v>
      </c>
      <c r="E2984" s="46" t="s">
        <v>1715</v>
      </c>
      <c r="F2984" s="48">
        <v>158.61000000000001</v>
      </c>
      <c r="G2984" s="54" t="s">
        <v>266</v>
      </c>
      <c r="H2984" s="54" t="s">
        <v>4550</v>
      </c>
      <c r="I2984" s="53" t="s">
        <v>205</v>
      </c>
      <c r="J2984" s="54" t="s">
        <v>127</v>
      </c>
      <c r="K2984" s="54" t="s">
        <v>127</v>
      </c>
      <c r="L2984" s="54" t="s">
        <v>15</v>
      </c>
      <c r="M2984" s="54" t="s">
        <v>13</v>
      </c>
      <c r="N2984" s="54" t="s">
        <v>14</v>
      </c>
      <c r="O2984" s="49" t="s">
        <v>814</v>
      </c>
      <c r="P2984" s="54" t="s">
        <v>3392</v>
      </c>
      <c r="Q2984" s="35" t="str">
        <f>MID(Tabla1[[#This Row],[Aplicación]],14,1)</f>
        <v>2</v>
      </c>
      <c r="R2984" s="35" t="s">
        <v>495</v>
      </c>
      <c r="S2984" s="35" t="str">
        <f>MID(Tabla1[[#This Row],[Aplicación]],6,2)</f>
        <v>11</v>
      </c>
      <c r="T2984" s="35" t="str">
        <f>VLOOKUP(Tabla1[[#This Row],[AREA]],Hoja1!A:B,2,FALSE)</f>
        <v>11. Salud pública y seguridad ciudadana</v>
      </c>
      <c r="U2984" s="35" t="str">
        <f>MID(Tabla1[[#This Row],[Aplicación]],9,4)</f>
        <v>1631</v>
      </c>
      <c r="V2984" s="35" t="str">
        <f>VLOOKUP(Tabla1[[#This Row],[PROGRAMA]],Hoja1!A:B,2,FALSE)</f>
        <v>1631. Limpieza viaria</v>
      </c>
      <c r="W2984" s="35" t="str">
        <f>MID(Tabla1[[#This Row],[Aplicación]],14,2)</f>
        <v>22</v>
      </c>
      <c r="X2984" s="35" t="str">
        <f>MID(Tabla1[[#This Row],[Aplicación]],14,6)</f>
        <v>22199</v>
      </c>
    </row>
    <row r="2985" spans="1:24" x14ac:dyDescent="0.25">
      <c r="A2985" s="45">
        <v>220210016839</v>
      </c>
      <c r="B2985" s="46" t="s">
        <v>204</v>
      </c>
      <c r="C2985" s="47">
        <v>44308</v>
      </c>
      <c r="D2985" s="45">
        <v>22021002369</v>
      </c>
      <c r="E2985" s="46" t="s">
        <v>1336</v>
      </c>
      <c r="F2985" s="48">
        <v>156.25</v>
      </c>
      <c r="G2985" s="54" t="s">
        <v>257</v>
      </c>
      <c r="H2985" s="54" t="s">
        <v>4551</v>
      </c>
      <c r="I2985" s="53" t="s">
        <v>205</v>
      </c>
      <c r="J2985" s="54" t="s">
        <v>127</v>
      </c>
      <c r="K2985" s="54" t="s">
        <v>127</v>
      </c>
      <c r="L2985" s="54" t="s">
        <v>15</v>
      </c>
      <c r="M2985" s="54" t="s">
        <v>13</v>
      </c>
      <c r="N2985" s="54" t="s">
        <v>14</v>
      </c>
      <c r="O2985" s="49" t="s">
        <v>814</v>
      </c>
      <c r="P2985" s="54" t="s">
        <v>3392</v>
      </c>
      <c r="Q2985" s="35" t="str">
        <f>MID(Tabla1[[#This Row],[Aplicación]],14,1)</f>
        <v>2</v>
      </c>
      <c r="R2985" s="35" t="s">
        <v>495</v>
      </c>
      <c r="S2985" s="35" t="str">
        <f>MID(Tabla1[[#This Row],[Aplicación]],6,2)</f>
        <v>02</v>
      </c>
      <c r="T2985" s="35" t="str">
        <f>VLOOKUP(Tabla1[[#This Row],[AREA]],Hoja1!A:B,2,FALSE)</f>
        <v>02. Planeamiento urbanístico y vivienda</v>
      </c>
      <c r="U2985" s="35" t="str">
        <f>MID(Tabla1[[#This Row],[Aplicación]],9,4)</f>
        <v>9332</v>
      </c>
      <c r="V2985" s="35" t="str">
        <f>VLOOKUP(Tabla1[[#This Row],[PROGRAMA]],Hoja1!A:B,2,FALSE)</f>
        <v>9332. Mantenimiento de edificios e instalaciones municipales</v>
      </c>
      <c r="W2985" s="35" t="str">
        <f>MID(Tabla1[[#This Row],[Aplicación]],14,2)</f>
        <v>21</v>
      </c>
      <c r="X2985" s="35" t="str">
        <f>MID(Tabla1[[#This Row],[Aplicación]],14,6)</f>
        <v>212</v>
      </c>
    </row>
    <row r="2986" spans="1:24" x14ac:dyDescent="0.25">
      <c r="A2986" s="45">
        <v>220210019094</v>
      </c>
      <c r="B2986" s="46" t="s">
        <v>204</v>
      </c>
      <c r="C2986" s="47">
        <v>44319</v>
      </c>
      <c r="D2986" s="45">
        <v>22021002006</v>
      </c>
      <c r="E2986" s="46" t="s">
        <v>1310</v>
      </c>
      <c r="F2986" s="48">
        <v>155.72999999999999</v>
      </c>
      <c r="G2986" s="54" t="s">
        <v>257</v>
      </c>
      <c r="H2986" s="54" t="s">
        <v>4552</v>
      </c>
      <c r="I2986" s="53" t="s">
        <v>205</v>
      </c>
      <c r="J2986" s="54" t="s">
        <v>127</v>
      </c>
      <c r="K2986" s="54" t="s">
        <v>127</v>
      </c>
      <c r="L2986" s="54" t="s">
        <v>15</v>
      </c>
      <c r="M2986" s="54" t="s">
        <v>13</v>
      </c>
      <c r="N2986" s="54" t="s">
        <v>14</v>
      </c>
      <c r="O2986" s="49" t="s">
        <v>814</v>
      </c>
      <c r="P2986" s="54" t="s">
        <v>3392</v>
      </c>
      <c r="Q2986" s="35" t="str">
        <f>MID(Tabla1[[#This Row],[Aplicación]],14,1)</f>
        <v>2</v>
      </c>
      <c r="R2986" s="35" t="s">
        <v>495</v>
      </c>
      <c r="S2986" s="35" t="str">
        <f>MID(Tabla1[[#This Row],[Aplicación]],6,2)</f>
        <v>11</v>
      </c>
      <c r="T2986" s="35" t="str">
        <f>VLOOKUP(Tabla1[[#This Row],[AREA]],Hoja1!A:B,2,FALSE)</f>
        <v>11. Salud pública y seguridad ciudadana</v>
      </c>
      <c r="U2986" s="35" t="str">
        <f>MID(Tabla1[[#This Row],[Aplicación]],9,4)</f>
        <v>3111</v>
      </c>
      <c r="V2986" s="35" t="str">
        <f>VLOOKUP(Tabla1[[#This Row],[PROGRAMA]],Hoja1!A:B,2,FALSE)</f>
        <v>3111. Protección de la salubridad pública</v>
      </c>
      <c r="W2986" s="35" t="str">
        <f>MID(Tabla1[[#This Row],[Aplicación]],14,2)</f>
        <v>22</v>
      </c>
      <c r="X2986" s="35" t="str">
        <f>MID(Tabla1[[#This Row],[Aplicación]],14,6)</f>
        <v>22199</v>
      </c>
    </row>
    <row r="2987" spans="1:24" x14ac:dyDescent="0.25">
      <c r="A2987" s="45">
        <v>220210015517</v>
      </c>
      <c r="B2987" s="46" t="s">
        <v>9</v>
      </c>
      <c r="C2987" s="47">
        <v>44301</v>
      </c>
      <c r="D2987" s="45">
        <v>22021003865</v>
      </c>
      <c r="E2987" s="46" t="s">
        <v>3369</v>
      </c>
      <c r="F2987" s="48">
        <v>132.07</v>
      </c>
      <c r="G2987" s="54" t="s">
        <v>209</v>
      </c>
      <c r="H2987" s="54" t="s">
        <v>4553</v>
      </c>
      <c r="I2987" s="53" t="s">
        <v>125</v>
      </c>
      <c r="J2987" s="54" t="s">
        <v>127</v>
      </c>
      <c r="K2987" s="54" t="s">
        <v>127</v>
      </c>
      <c r="L2987" s="54" t="s">
        <v>15</v>
      </c>
      <c r="M2987" s="54" t="s">
        <v>10</v>
      </c>
      <c r="N2987" s="54" t="s">
        <v>16</v>
      </c>
      <c r="O2987" s="49" t="s">
        <v>815</v>
      </c>
      <c r="P2987" s="54" t="s">
        <v>3392</v>
      </c>
      <c r="Q2987" s="35" t="str">
        <f>MID(Tabla1[[#This Row],[Aplicación]],14,1)</f>
        <v>2</v>
      </c>
      <c r="R2987" s="35" t="s">
        <v>495</v>
      </c>
      <c r="S2987" s="35" t="str">
        <f>MID(Tabla1[[#This Row],[Aplicación]],6,2)</f>
        <v>06</v>
      </c>
      <c r="T2987" s="35" t="str">
        <f>VLOOKUP(Tabla1[[#This Row],[AREA]],Hoja1!A:B,2,FALSE)</f>
        <v>06. Educación, infancia, juventud e igualdad</v>
      </c>
      <c r="U2987" s="35" t="str">
        <f>MID(Tabla1[[#This Row],[Aplicación]],9,4)</f>
        <v>3321</v>
      </c>
      <c r="V2987" s="35" t="str">
        <f>VLOOKUP(Tabla1[[#This Row],[PROGRAMA]],Hoja1!A:B,2,FALSE)</f>
        <v>3321. Bibliotecas públicas</v>
      </c>
      <c r="W2987" s="35" t="str">
        <f>MID(Tabla1[[#This Row],[Aplicación]],14,2)</f>
        <v>22</v>
      </c>
      <c r="X2987" s="35" t="str">
        <f>MID(Tabla1[[#This Row],[Aplicación]],14,6)</f>
        <v>22699</v>
      </c>
    </row>
    <row r="2988" spans="1:24" x14ac:dyDescent="0.25">
      <c r="A2988" s="45">
        <v>220210022797</v>
      </c>
      <c r="B2988" s="46" t="s">
        <v>9</v>
      </c>
      <c r="C2988" s="47">
        <v>44333</v>
      </c>
      <c r="D2988" s="45">
        <v>22021004417</v>
      </c>
      <c r="E2988" s="46" t="s">
        <v>1401</v>
      </c>
      <c r="F2988" s="48">
        <v>130.68</v>
      </c>
      <c r="G2988" s="54" t="s">
        <v>81</v>
      </c>
      <c r="H2988" s="54" t="s">
        <v>4554</v>
      </c>
      <c r="I2988" s="53" t="s">
        <v>125</v>
      </c>
      <c r="J2988" s="54" t="s">
        <v>127</v>
      </c>
      <c r="K2988" s="54" t="s">
        <v>127</v>
      </c>
      <c r="L2988" s="54" t="s">
        <v>12</v>
      </c>
      <c r="M2988" s="54" t="s">
        <v>10</v>
      </c>
      <c r="N2988" s="54" t="s">
        <v>11</v>
      </c>
      <c r="O2988" s="49" t="s">
        <v>815</v>
      </c>
      <c r="P2988" s="54" t="s">
        <v>3392</v>
      </c>
      <c r="Q2988" s="35" t="str">
        <f>MID(Tabla1[[#This Row],[Aplicación]],14,1)</f>
        <v>2</v>
      </c>
      <c r="R2988" s="35" t="s">
        <v>495</v>
      </c>
      <c r="S2988" s="35" t="str">
        <f>MID(Tabla1[[#This Row],[Aplicación]],6,2)</f>
        <v>10</v>
      </c>
      <c r="T2988" s="35" t="str">
        <f>VLOOKUP(Tabla1[[#This Row],[AREA]],Hoja1!A:B,2,FALSE)</f>
        <v>10. Servicios sociales y mediación comunitaria</v>
      </c>
      <c r="U2988" s="35" t="str">
        <f>MID(Tabla1[[#This Row],[Aplicación]],9,4)</f>
        <v>2312</v>
      </c>
      <c r="V2988" s="35" t="str">
        <f>VLOOKUP(Tabla1[[#This Row],[PROGRAMA]],Hoja1!A:B,2,FALSE)</f>
        <v>2312. Iniciativas sociales</v>
      </c>
      <c r="W2988" s="35" t="str">
        <f>MID(Tabla1[[#This Row],[Aplicación]],14,2)</f>
        <v>22</v>
      </c>
      <c r="X2988" s="35" t="str">
        <f>MID(Tabla1[[#This Row],[Aplicación]],14,6)</f>
        <v>22699</v>
      </c>
    </row>
    <row r="2989" spans="1:24" x14ac:dyDescent="0.25">
      <c r="A2989" s="45">
        <v>220210014546</v>
      </c>
      <c r="B2989" s="46" t="s">
        <v>204</v>
      </c>
      <c r="C2989" s="47">
        <v>44295</v>
      </c>
      <c r="D2989" s="45">
        <v>22021003381</v>
      </c>
      <c r="E2989" s="46" t="s">
        <v>1183</v>
      </c>
      <c r="F2989" s="48">
        <v>112.57</v>
      </c>
      <c r="G2989" s="54" t="s">
        <v>235</v>
      </c>
      <c r="H2989" s="54" t="s">
        <v>4555</v>
      </c>
      <c r="I2989" s="53" t="s">
        <v>205</v>
      </c>
      <c r="J2989" s="54" t="s">
        <v>742</v>
      </c>
      <c r="K2989" s="54" t="s">
        <v>165</v>
      </c>
      <c r="L2989" s="54" t="s">
        <v>15</v>
      </c>
      <c r="M2989" s="54" t="s">
        <v>13</v>
      </c>
      <c r="N2989" s="54" t="s">
        <v>14</v>
      </c>
      <c r="O2989" s="49" t="s">
        <v>814</v>
      </c>
      <c r="P2989" s="54" t="s">
        <v>3392</v>
      </c>
      <c r="Q2989" s="35" t="str">
        <f>MID(Tabla1[[#This Row],[Aplicación]],14,1)</f>
        <v>2</v>
      </c>
      <c r="R2989" s="35" t="s">
        <v>495</v>
      </c>
      <c r="S2989" s="35" t="str">
        <f>MID(Tabla1[[#This Row],[Aplicación]],6,2)</f>
        <v>11</v>
      </c>
      <c r="T2989" s="35" t="str">
        <f>VLOOKUP(Tabla1[[#This Row],[AREA]],Hoja1!A:B,2,FALSE)</f>
        <v>11. Salud pública y seguridad ciudadana</v>
      </c>
      <c r="U2989" s="35" t="str">
        <f>MID(Tabla1[[#This Row],[Aplicación]],9,4)</f>
        <v>1361</v>
      </c>
      <c r="V2989" s="35" t="str">
        <f>VLOOKUP(Tabla1[[#This Row],[PROGRAMA]],Hoja1!A:B,2,FALSE)</f>
        <v>1361. Prevención y extinción de incencios</v>
      </c>
      <c r="W2989" s="35" t="str">
        <f>MID(Tabla1[[#This Row],[Aplicación]],14,2)</f>
        <v>22</v>
      </c>
      <c r="X2989" s="35" t="str">
        <f>MID(Tabla1[[#This Row],[Aplicación]],14,6)</f>
        <v>22199</v>
      </c>
    </row>
    <row r="2990" spans="1:24" x14ac:dyDescent="0.25">
      <c r="A2990" s="45">
        <v>220210031457</v>
      </c>
      <c r="B2990" s="46" t="s">
        <v>9</v>
      </c>
      <c r="C2990" s="47">
        <v>44368</v>
      </c>
      <c r="D2990" s="45">
        <v>22021004927</v>
      </c>
      <c r="E2990" s="46" t="s">
        <v>1183</v>
      </c>
      <c r="F2990" s="48">
        <v>129.97</v>
      </c>
      <c r="G2990" s="54" t="s">
        <v>87</v>
      </c>
      <c r="H2990" s="54" t="s">
        <v>4556</v>
      </c>
      <c r="I2990" s="53" t="s">
        <v>125</v>
      </c>
      <c r="J2990" s="54" t="s">
        <v>127</v>
      </c>
      <c r="K2990" s="54" t="s">
        <v>127</v>
      </c>
      <c r="L2990" s="54" t="s">
        <v>15</v>
      </c>
      <c r="M2990" s="54" t="s">
        <v>10</v>
      </c>
      <c r="N2990" s="54" t="s">
        <v>11</v>
      </c>
      <c r="O2990" s="49" t="s">
        <v>815</v>
      </c>
      <c r="P2990" s="54" t="s">
        <v>3392</v>
      </c>
      <c r="Q2990" s="35" t="str">
        <f>MID(Tabla1[[#This Row],[Aplicación]],14,1)</f>
        <v>2</v>
      </c>
      <c r="R2990" s="35" t="s">
        <v>495</v>
      </c>
      <c r="S2990" s="35" t="str">
        <f>MID(Tabla1[[#This Row],[Aplicación]],6,2)</f>
        <v>11</v>
      </c>
      <c r="T2990" s="35" t="str">
        <f>VLOOKUP(Tabla1[[#This Row],[AREA]],Hoja1!A:B,2,FALSE)</f>
        <v>11. Salud pública y seguridad ciudadana</v>
      </c>
      <c r="U2990" s="35" t="str">
        <f>MID(Tabla1[[#This Row],[Aplicación]],9,4)</f>
        <v>1361</v>
      </c>
      <c r="V2990" s="35" t="str">
        <f>VLOOKUP(Tabla1[[#This Row],[PROGRAMA]],Hoja1!A:B,2,FALSE)</f>
        <v>1361. Prevención y extinción de incencios</v>
      </c>
      <c r="W2990" s="35" t="str">
        <f>MID(Tabla1[[#This Row],[Aplicación]],14,2)</f>
        <v>22</v>
      </c>
      <c r="X2990" s="35" t="str">
        <f>MID(Tabla1[[#This Row],[Aplicación]],14,6)</f>
        <v>22199</v>
      </c>
    </row>
    <row r="2991" spans="1:24" x14ac:dyDescent="0.25">
      <c r="A2991" s="45">
        <v>220210030860</v>
      </c>
      <c r="B2991" s="46" t="s">
        <v>9</v>
      </c>
      <c r="C2991" s="47">
        <v>44361</v>
      </c>
      <c r="D2991" s="45">
        <v>22021004839</v>
      </c>
      <c r="E2991" s="46" t="s">
        <v>890</v>
      </c>
      <c r="F2991" s="48">
        <v>152.79</v>
      </c>
      <c r="G2991" s="54" t="s">
        <v>315</v>
      </c>
      <c r="H2991" s="54" t="s">
        <v>4557</v>
      </c>
      <c r="I2991" s="53" t="s">
        <v>125</v>
      </c>
      <c r="J2991" s="54" t="s">
        <v>127</v>
      </c>
      <c r="K2991" s="54" t="s">
        <v>127</v>
      </c>
      <c r="L2991" s="54" t="s">
        <v>12</v>
      </c>
      <c r="M2991" s="54" t="s">
        <v>13</v>
      </c>
      <c r="N2991" s="54" t="s">
        <v>14</v>
      </c>
      <c r="O2991" s="49" t="s">
        <v>814</v>
      </c>
      <c r="P2991" s="54" t="s">
        <v>3392</v>
      </c>
      <c r="Q2991" s="35" t="str">
        <f>MID(Tabla1[[#This Row],[Aplicación]],14,1)</f>
        <v>2</v>
      </c>
      <c r="R2991" s="35" t="s">
        <v>495</v>
      </c>
      <c r="S2991" s="35" t="str">
        <f>MID(Tabla1[[#This Row],[Aplicación]],6,2)</f>
        <v>11</v>
      </c>
      <c r="T2991" s="35" t="str">
        <f>VLOOKUP(Tabla1[[#This Row],[AREA]],Hoja1!A:B,2,FALSE)</f>
        <v>11. Salud pública y seguridad ciudadana</v>
      </c>
      <c r="U2991" s="35" t="str">
        <f>MID(Tabla1[[#This Row],[Aplicación]],9,4)</f>
        <v>1621</v>
      </c>
      <c r="V2991" s="35" t="str">
        <f>VLOOKUP(Tabla1[[#This Row],[PROGRAMA]],Hoja1!A:B,2,FALSE)</f>
        <v>1621. Servicio de limpieza</v>
      </c>
      <c r="W2991" s="35" t="str">
        <f>MID(Tabla1[[#This Row],[Aplicación]],14,2)</f>
        <v>21</v>
      </c>
      <c r="X2991" s="35" t="str">
        <f>MID(Tabla1[[#This Row],[Aplicación]],14,6)</f>
        <v>214</v>
      </c>
    </row>
    <row r="2992" spans="1:24" x14ac:dyDescent="0.25">
      <c r="A2992" s="45">
        <v>220210030176</v>
      </c>
      <c r="B2992" s="46" t="s">
        <v>204</v>
      </c>
      <c r="C2992" s="47">
        <v>44356</v>
      </c>
      <c r="D2992" s="45">
        <v>22021002225</v>
      </c>
      <c r="E2992" s="46" t="s">
        <v>1574</v>
      </c>
      <c r="F2992" s="48">
        <v>151.56</v>
      </c>
      <c r="G2992" s="54" t="s">
        <v>150</v>
      </c>
      <c r="H2992" s="54" t="s">
        <v>4558</v>
      </c>
      <c r="I2992" s="53" t="s">
        <v>205</v>
      </c>
      <c r="J2992" s="54" t="s">
        <v>146</v>
      </c>
      <c r="K2992" s="54" t="s">
        <v>146</v>
      </c>
      <c r="L2992" s="54" t="s">
        <v>15</v>
      </c>
      <c r="M2992" s="54" t="s">
        <v>13</v>
      </c>
      <c r="N2992" s="54" t="s">
        <v>16</v>
      </c>
      <c r="O2992" s="49" t="s">
        <v>814</v>
      </c>
      <c r="P2992" s="54" t="s">
        <v>3392</v>
      </c>
      <c r="Q2992" s="35" t="str">
        <f>MID(Tabla1[[#This Row],[Aplicación]],14,1)</f>
        <v>2</v>
      </c>
      <c r="R2992" s="35" t="s">
        <v>495</v>
      </c>
      <c r="S2992" s="35" t="str">
        <f>MID(Tabla1[[#This Row],[Aplicación]],6,2)</f>
        <v>06</v>
      </c>
      <c r="T2992" s="35" t="str">
        <f>VLOOKUP(Tabla1[[#This Row],[AREA]],Hoja1!A:B,2,FALSE)</f>
        <v>06. Educación, infancia, juventud e igualdad</v>
      </c>
      <c r="U2992" s="35" t="str">
        <f>MID(Tabla1[[#This Row],[Aplicación]],9,4)</f>
        <v>3231</v>
      </c>
      <c r="V2992" s="35" t="str">
        <f>VLOOKUP(Tabla1[[#This Row],[PROGRAMA]],Hoja1!A:B,2,FALSE)</f>
        <v>3231. Escuelas infantiles</v>
      </c>
      <c r="W2992" s="35" t="str">
        <f>MID(Tabla1[[#This Row],[Aplicación]],14,2)</f>
        <v>21</v>
      </c>
      <c r="X2992" s="35" t="str">
        <f>MID(Tabla1[[#This Row],[Aplicación]],14,6)</f>
        <v>212</v>
      </c>
    </row>
    <row r="2993" spans="1:24" x14ac:dyDescent="0.25">
      <c r="A2993" s="45">
        <v>220210014378</v>
      </c>
      <c r="B2993" s="46" t="s">
        <v>9</v>
      </c>
      <c r="C2993" s="47">
        <v>44295</v>
      </c>
      <c r="D2993" s="45">
        <v>22021003729</v>
      </c>
      <c r="E2993" s="46" t="s">
        <v>1397</v>
      </c>
      <c r="F2993" s="48">
        <v>151.13</v>
      </c>
      <c r="G2993" s="54" t="s">
        <v>239</v>
      </c>
      <c r="H2993" s="54" t="s">
        <v>4559</v>
      </c>
      <c r="I2993" s="53" t="s">
        <v>125</v>
      </c>
      <c r="J2993" s="54" t="s">
        <v>127</v>
      </c>
      <c r="K2993" s="54" t="s">
        <v>127</v>
      </c>
      <c r="L2993" s="54" t="s">
        <v>15</v>
      </c>
      <c r="M2993" s="54" t="s">
        <v>13</v>
      </c>
      <c r="N2993" s="54" t="s">
        <v>14</v>
      </c>
      <c r="O2993" s="49" t="s">
        <v>814</v>
      </c>
      <c r="P2993" s="54" t="s">
        <v>3392</v>
      </c>
      <c r="Q2993" s="35" t="str">
        <f>MID(Tabla1[[#This Row],[Aplicación]],14,1)</f>
        <v>2</v>
      </c>
      <c r="R2993" s="35" t="s">
        <v>495</v>
      </c>
      <c r="S2993" s="35" t="str">
        <f>MID(Tabla1[[#This Row],[Aplicación]],6,2)</f>
        <v>11</v>
      </c>
      <c r="T2993" s="35" t="str">
        <f>VLOOKUP(Tabla1[[#This Row],[AREA]],Hoja1!A:B,2,FALSE)</f>
        <v>11. Salud pública y seguridad ciudadana</v>
      </c>
      <c r="U2993" s="35" t="str">
        <f>MID(Tabla1[[#This Row],[Aplicación]],9,4)</f>
        <v>1361</v>
      </c>
      <c r="V2993" s="35" t="str">
        <f>VLOOKUP(Tabla1[[#This Row],[PROGRAMA]],Hoja1!A:B,2,FALSE)</f>
        <v>1361. Prevención y extinción de incencios</v>
      </c>
      <c r="W2993" s="35" t="str">
        <f>MID(Tabla1[[#This Row],[Aplicación]],14,2)</f>
        <v>21</v>
      </c>
      <c r="X2993" s="35" t="str">
        <f>MID(Tabla1[[#This Row],[Aplicación]],14,6)</f>
        <v>214</v>
      </c>
    </row>
    <row r="2994" spans="1:24" x14ac:dyDescent="0.25">
      <c r="A2994" s="45">
        <v>220210026008</v>
      </c>
      <c r="B2994" s="46" t="s">
        <v>204</v>
      </c>
      <c r="C2994" s="47">
        <v>44344</v>
      </c>
      <c r="D2994" s="45">
        <v>22021002133</v>
      </c>
      <c r="E2994" s="46" t="s">
        <v>1326</v>
      </c>
      <c r="F2994" s="48">
        <v>150.65</v>
      </c>
      <c r="G2994" s="54" t="s">
        <v>102</v>
      </c>
      <c r="H2994" s="54" t="s">
        <v>4560</v>
      </c>
      <c r="I2994" s="53" t="s">
        <v>205</v>
      </c>
      <c r="J2994" s="54" t="s">
        <v>127</v>
      </c>
      <c r="K2994" s="54" t="s">
        <v>127</v>
      </c>
      <c r="L2994" s="54" t="s">
        <v>15</v>
      </c>
      <c r="M2994" s="54" t="s">
        <v>13</v>
      </c>
      <c r="N2994" s="54" t="s">
        <v>14</v>
      </c>
      <c r="O2994" s="49" t="s">
        <v>814</v>
      </c>
      <c r="P2994" s="54" t="s">
        <v>3392</v>
      </c>
      <c r="Q2994" s="35" t="str">
        <f>MID(Tabla1[[#This Row],[Aplicación]],14,1)</f>
        <v>2</v>
      </c>
      <c r="R2994" s="35" t="s">
        <v>495</v>
      </c>
      <c r="S2994" s="35" t="str">
        <f>MID(Tabla1[[#This Row],[Aplicación]],6,2)</f>
        <v>08</v>
      </c>
      <c r="T2994" s="35" t="str">
        <f>VLOOKUP(Tabla1[[#This Row],[AREA]],Hoja1!A:B,2,FALSE)</f>
        <v>08. Movilidad y espacio urbano</v>
      </c>
      <c r="U2994" s="35" t="str">
        <f>MID(Tabla1[[#This Row],[Aplicación]],9,4)</f>
        <v>1651</v>
      </c>
      <c r="V2994" s="35" t="str">
        <f>VLOOKUP(Tabla1[[#This Row],[PROGRAMA]],Hoja1!A:B,2,FALSE)</f>
        <v>1651. Alumbrado público</v>
      </c>
      <c r="W2994" s="35" t="str">
        <f>MID(Tabla1[[#This Row],[Aplicación]],14,2)</f>
        <v>22</v>
      </c>
      <c r="X2994" s="35" t="str">
        <f>MID(Tabla1[[#This Row],[Aplicación]],14,6)</f>
        <v>22199</v>
      </c>
    </row>
    <row r="2995" spans="1:24" x14ac:dyDescent="0.25">
      <c r="A2995" s="45">
        <v>220210031323</v>
      </c>
      <c r="B2995" s="46" t="s">
        <v>9</v>
      </c>
      <c r="C2995" s="47">
        <v>44364</v>
      </c>
      <c r="D2995" s="45">
        <v>22021004788</v>
      </c>
      <c r="E2995" s="46" t="s">
        <v>1163</v>
      </c>
      <c r="F2995" s="48">
        <v>128</v>
      </c>
      <c r="G2995" s="54" t="s">
        <v>4561</v>
      </c>
      <c r="H2995" s="54" t="s">
        <v>4562</v>
      </c>
      <c r="I2995" s="53" t="s">
        <v>125</v>
      </c>
      <c r="J2995" s="54" t="s">
        <v>126</v>
      </c>
      <c r="K2995" s="54" t="s">
        <v>126</v>
      </c>
      <c r="L2995" s="54" t="s">
        <v>15</v>
      </c>
      <c r="M2995" s="54" t="s">
        <v>10</v>
      </c>
      <c r="N2995" s="54" t="s">
        <v>11</v>
      </c>
      <c r="O2995" s="49" t="s">
        <v>815</v>
      </c>
      <c r="P2995" s="54" t="s">
        <v>3392</v>
      </c>
      <c r="Q2995" s="35" t="str">
        <f>MID(Tabla1[[#This Row],[Aplicación]],14,1)</f>
        <v>2</v>
      </c>
      <c r="R2995" s="35" t="s">
        <v>495</v>
      </c>
      <c r="S2995" s="35" t="str">
        <f>MID(Tabla1[[#This Row],[Aplicación]],6,2)</f>
        <v>06</v>
      </c>
      <c r="T2995" s="35" t="str">
        <f>VLOOKUP(Tabla1[[#This Row],[AREA]],Hoja1!A:B,2,FALSE)</f>
        <v>06. Educación, infancia, juventud e igualdad</v>
      </c>
      <c r="U2995" s="35" t="str">
        <f>MID(Tabla1[[#This Row],[Aplicación]],9,4)</f>
        <v>3321</v>
      </c>
      <c r="V2995" s="35" t="str">
        <f>VLOOKUP(Tabla1[[#This Row],[PROGRAMA]],Hoja1!A:B,2,FALSE)</f>
        <v>3321. Bibliotecas públicas</v>
      </c>
      <c r="W2995" s="35" t="str">
        <f>MID(Tabla1[[#This Row],[Aplicación]],14,2)</f>
        <v>22</v>
      </c>
      <c r="X2995" s="35" t="str">
        <f>MID(Tabla1[[#This Row],[Aplicación]],14,6)</f>
        <v>22001</v>
      </c>
    </row>
    <row r="2996" spans="1:24" x14ac:dyDescent="0.25">
      <c r="A2996" s="45">
        <v>220210014677</v>
      </c>
      <c r="B2996" s="46" t="s">
        <v>9</v>
      </c>
      <c r="C2996" s="47">
        <v>44298</v>
      </c>
      <c r="D2996" s="45">
        <v>22021003810</v>
      </c>
      <c r="E2996" s="46" t="s">
        <v>2346</v>
      </c>
      <c r="F2996" s="48">
        <v>150</v>
      </c>
      <c r="G2996" s="54" t="s">
        <v>39</v>
      </c>
      <c r="H2996" s="54" t="s">
        <v>4563</v>
      </c>
      <c r="I2996" s="53" t="s">
        <v>125</v>
      </c>
      <c r="J2996" s="54" t="s">
        <v>126</v>
      </c>
      <c r="K2996" s="54" t="s">
        <v>126</v>
      </c>
      <c r="L2996" s="54" t="s">
        <v>15</v>
      </c>
      <c r="M2996" s="54" t="s">
        <v>13</v>
      </c>
      <c r="N2996" s="54" t="s">
        <v>14</v>
      </c>
      <c r="O2996" s="49" t="s">
        <v>814</v>
      </c>
      <c r="P2996" s="54" t="s">
        <v>3392</v>
      </c>
      <c r="Q2996" s="35" t="str">
        <f>MID(Tabla1[[#This Row],[Aplicación]],14,1)</f>
        <v>2</v>
      </c>
      <c r="R2996" s="35" t="s">
        <v>495</v>
      </c>
      <c r="S2996" s="35" t="str">
        <f>MID(Tabla1[[#This Row],[Aplicación]],6,2)</f>
        <v>11</v>
      </c>
      <c r="T2996" s="35" t="str">
        <f>VLOOKUP(Tabla1[[#This Row],[AREA]],Hoja1!A:B,2,FALSE)</f>
        <v>11. Salud pública y seguridad ciudadana</v>
      </c>
      <c r="U2996" s="35" t="str">
        <f>MID(Tabla1[[#This Row],[Aplicación]],9,4)</f>
        <v>3111</v>
      </c>
      <c r="V2996" s="35" t="str">
        <f>VLOOKUP(Tabla1[[#This Row],[PROGRAMA]],Hoja1!A:B,2,FALSE)</f>
        <v>3111. Protección de la salubridad pública</v>
      </c>
      <c r="W2996" s="35" t="str">
        <f>MID(Tabla1[[#This Row],[Aplicación]],14,2)</f>
        <v>22</v>
      </c>
      <c r="X2996" s="35" t="str">
        <f>MID(Tabla1[[#This Row],[Aplicación]],14,6)</f>
        <v>22103</v>
      </c>
    </row>
    <row r="2997" spans="1:24" x14ac:dyDescent="0.25">
      <c r="A2997" s="45">
        <v>220210020815</v>
      </c>
      <c r="B2997" s="46" t="s">
        <v>204</v>
      </c>
      <c r="C2997" s="47">
        <v>44323</v>
      </c>
      <c r="D2997" s="45">
        <v>22021002052</v>
      </c>
      <c r="E2997" s="46" t="s">
        <v>1340</v>
      </c>
      <c r="F2997" s="48">
        <v>148.38</v>
      </c>
      <c r="G2997" s="54" t="s">
        <v>272</v>
      </c>
      <c r="H2997" s="54" t="s">
        <v>4564</v>
      </c>
      <c r="I2997" s="53" t="s">
        <v>205</v>
      </c>
      <c r="J2997" s="54" t="s">
        <v>127</v>
      </c>
      <c r="K2997" s="54" t="s">
        <v>127</v>
      </c>
      <c r="L2997" s="54" t="s">
        <v>15</v>
      </c>
      <c r="M2997" s="54" t="s">
        <v>13</v>
      </c>
      <c r="N2997" s="54" t="s">
        <v>14</v>
      </c>
      <c r="O2997" s="49" t="s">
        <v>814</v>
      </c>
      <c r="P2997" s="54" t="s">
        <v>3392</v>
      </c>
      <c r="Q2997" s="35" t="str">
        <f>MID(Tabla1[[#This Row],[Aplicación]],14,1)</f>
        <v>2</v>
      </c>
      <c r="R2997" s="35" t="s">
        <v>495</v>
      </c>
      <c r="S2997" s="35" t="str">
        <f>MID(Tabla1[[#This Row],[Aplicación]],6,2)</f>
        <v>11</v>
      </c>
      <c r="T2997" s="35" t="str">
        <f>VLOOKUP(Tabla1[[#This Row],[AREA]],Hoja1!A:B,2,FALSE)</f>
        <v>11. Salud pública y seguridad ciudadana</v>
      </c>
      <c r="U2997" s="35" t="str">
        <f>MID(Tabla1[[#This Row],[Aplicación]],9,4)</f>
        <v>1621</v>
      </c>
      <c r="V2997" s="35" t="str">
        <f>VLOOKUP(Tabla1[[#This Row],[PROGRAMA]],Hoja1!A:B,2,FALSE)</f>
        <v>1621. Servicio de limpieza</v>
      </c>
      <c r="W2997" s="35" t="str">
        <f>MID(Tabla1[[#This Row],[Aplicación]],14,2)</f>
        <v>22</v>
      </c>
      <c r="X2997" s="35" t="str">
        <f>MID(Tabla1[[#This Row],[Aplicación]],14,6)</f>
        <v>22199</v>
      </c>
    </row>
    <row r="2998" spans="1:24" x14ac:dyDescent="0.25">
      <c r="A2998" s="45">
        <v>220210024835</v>
      </c>
      <c r="B2998" s="46" t="s">
        <v>9</v>
      </c>
      <c r="C2998" s="47">
        <v>44341</v>
      </c>
      <c r="D2998" s="45">
        <v>22021004473</v>
      </c>
      <c r="E2998" s="46" t="s">
        <v>1380</v>
      </c>
      <c r="F2998" s="48">
        <v>124.35</v>
      </c>
      <c r="G2998" s="54" t="s">
        <v>4383</v>
      </c>
      <c r="H2998" s="54" t="s">
        <v>4565</v>
      </c>
      <c r="I2998" s="53" t="s">
        <v>125</v>
      </c>
      <c r="J2998" s="54" t="s">
        <v>127</v>
      </c>
      <c r="K2998" s="54" t="s">
        <v>127</v>
      </c>
      <c r="L2998" s="54" t="s">
        <v>15</v>
      </c>
      <c r="M2998" s="54" t="s">
        <v>10</v>
      </c>
      <c r="N2998" s="54" t="s">
        <v>11</v>
      </c>
      <c r="O2998" s="49" t="s">
        <v>815</v>
      </c>
      <c r="P2998" s="54" t="s">
        <v>3392</v>
      </c>
      <c r="Q2998" s="35" t="str">
        <f>MID(Tabla1[[#This Row],[Aplicación]],14,1)</f>
        <v>2</v>
      </c>
      <c r="R2998" s="35" t="s">
        <v>495</v>
      </c>
      <c r="S2998" s="35" t="str">
        <f>MID(Tabla1[[#This Row],[Aplicación]],6,2)</f>
        <v>03</v>
      </c>
      <c r="T2998" s="35" t="str">
        <f>VLOOKUP(Tabla1[[#This Row],[AREA]],Hoja1!A:B,2,FALSE)</f>
        <v>03. Participación ciudadana y deportes</v>
      </c>
      <c r="U2998" s="35" t="str">
        <f>MID(Tabla1[[#This Row],[Aplicación]],9,4)</f>
        <v>9241</v>
      </c>
      <c r="V2998" s="35" t="str">
        <f>VLOOKUP(Tabla1[[#This Row],[PROGRAMA]],Hoja1!A:B,2,FALSE)</f>
        <v>9241. Participación ciudadana</v>
      </c>
      <c r="W2998" s="35" t="str">
        <f>MID(Tabla1[[#This Row],[Aplicación]],14,2)</f>
        <v>22</v>
      </c>
      <c r="X2998" s="35" t="str">
        <f>MID(Tabla1[[#This Row],[Aplicación]],14,6)</f>
        <v>22699</v>
      </c>
    </row>
    <row r="2999" spans="1:24" x14ac:dyDescent="0.25">
      <c r="A2999" s="45">
        <v>220210024831</v>
      </c>
      <c r="B2999" s="46" t="s">
        <v>9</v>
      </c>
      <c r="C2999" s="47">
        <v>44341</v>
      </c>
      <c r="D2999" s="45">
        <v>22021004432</v>
      </c>
      <c r="E2999" s="46" t="s">
        <v>2643</v>
      </c>
      <c r="F2999" s="48">
        <v>123.9</v>
      </c>
      <c r="G2999" s="54" t="s">
        <v>3824</v>
      </c>
      <c r="H2999" s="54" t="s">
        <v>4566</v>
      </c>
      <c r="I2999" s="53" t="s">
        <v>125</v>
      </c>
      <c r="J2999" s="54" t="s">
        <v>127</v>
      </c>
      <c r="K2999" s="54" t="s">
        <v>127</v>
      </c>
      <c r="L2999" s="54" t="s">
        <v>15</v>
      </c>
      <c r="M2999" s="54" t="s">
        <v>10</v>
      </c>
      <c r="N2999" s="54" t="s">
        <v>11</v>
      </c>
      <c r="O2999" s="49" t="s">
        <v>815</v>
      </c>
      <c r="P2999" s="54" t="s">
        <v>3392</v>
      </c>
      <c r="Q2999" s="35" t="str">
        <f>MID(Tabla1[[#This Row],[Aplicación]],14,1)</f>
        <v>2</v>
      </c>
      <c r="R2999" s="35" t="s">
        <v>495</v>
      </c>
      <c r="S2999" s="35" t="str">
        <f>MID(Tabla1[[#This Row],[Aplicación]],6,2)</f>
        <v>01</v>
      </c>
      <c r="T2999" s="35" t="str">
        <f>VLOOKUP(Tabla1[[#This Row],[AREA]],Hoja1!A:B,2,FALSE)</f>
        <v>01. Alcaldía</v>
      </c>
      <c r="U2999" s="35" t="str">
        <f>MID(Tabla1[[#This Row],[Aplicación]],9,4)</f>
        <v>9203</v>
      </c>
      <c r="V2999" s="35" t="str">
        <f>VLOOKUP(Tabla1[[#This Row],[PROGRAMA]],Hoja1!A:B,2,FALSE)</f>
        <v>9203. Unidad de régimen interior</v>
      </c>
      <c r="W2999" s="35" t="str">
        <f>MID(Tabla1[[#This Row],[Aplicación]],14,2)</f>
        <v>22</v>
      </c>
      <c r="X2999" s="35" t="str">
        <f>MID(Tabla1[[#This Row],[Aplicación]],14,6)</f>
        <v>22699</v>
      </c>
    </row>
    <row r="3000" spans="1:24" x14ac:dyDescent="0.25">
      <c r="A3000" s="45">
        <v>220210028770</v>
      </c>
      <c r="B3000" s="46" t="s">
        <v>204</v>
      </c>
      <c r="C3000" s="47">
        <v>44351</v>
      </c>
      <c r="D3000" s="45">
        <v>22021004276</v>
      </c>
      <c r="E3000" s="46" t="s">
        <v>1678</v>
      </c>
      <c r="F3000" s="48">
        <v>147.37</v>
      </c>
      <c r="G3000" s="54" t="s">
        <v>4378</v>
      </c>
      <c r="H3000" s="54" t="s">
        <v>4567</v>
      </c>
      <c r="I3000" s="53" t="s">
        <v>205</v>
      </c>
      <c r="J3000" s="54" t="s">
        <v>664</v>
      </c>
      <c r="K3000" s="54" t="s">
        <v>127</v>
      </c>
      <c r="L3000" s="54" t="s">
        <v>15</v>
      </c>
      <c r="M3000" s="54" t="s">
        <v>13</v>
      </c>
      <c r="N3000" s="54" t="s">
        <v>14</v>
      </c>
      <c r="O3000" s="49" t="s">
        <v>814</v>
      </c>
      <c r="P3000" s="54" t="s">
        <v>3392</v>
      </c>
      <c r="Q3000" s="35" t="str">
        <f>MID(Tabla1[[#This Row],[Aplicación]],14,1)</f>
        <v>2</v>
      </c>
      <c r="R3000" s="35" t="s">
        <v>495</v>
      </c>
      <c r="S3000" s="35" t="str">
        <f>MID(Tabla1[[#This Row],[Aplicación]],6,2)</f>
        <v>09</v>
      </c>
      <c r="T3000" s="35" t="str">
        <f>VLOOKUP(Tabla1[[#This Row],[AREA]],Hoja1!A:B,2,FALSE)</f>
        <v>09. Cultura y turismo</v>
      </c>
      <c r="U3000" s="35" t="str">
        <f>MID(Tabla1[[#This Row],[Aplicación]],9,4)</f>
        <v>3341</v>
      </c>
      <c r="V3000" s="35" t="str">
        <f>VLOOKUP(Tabla1[[#This Row],[PROGRAMA]],Hoja1!A:B,2,FALSE)</f>
        <v>3341. Coordinación de políticas culturales</v>
      </c>
      <c r="W3000" s="35" t="str">
        <f>MID(Tabla1[[#This Row],[Aplicación]],14,2)</f>
        <v>21</v>
      </c>
      <c r="X3000" s="35" t="str">
        <f>MID(Tabla1[[#This Row],[Aplicación]],14,6)</f>
        <v>213</v>
      </c>
    </row>
    <row r="3001" spans="1:24" x14ac:dyDescent="0.25">
      <c r="A3001" s="45">
        <v>220210019124</v>
      </c>
      <c r="B3001" s="46" t="s">
        <v>204</v>
      </c>
      <c r="C3001" s="47">
        <v>44319</v>
      </c>
      <c r="D3001" s="45">
        <v>22021001183</v>
      </c>
      <c r="E3001" s="46" t="s">
        <v>873</v>
      </c>
      <c r="F3001" s="48">
        <v>146.63999999999999</v>
      </c>
      <c r="G3001" s="54" t="s">
        <v>257</v>
      </c>
      <c r="H3001" s="54" t="s">
        <v>4568</v>
      </c>
      <c r="I3001" s="53" t="s">
        <v>205</v>
      </c>
      <c r="J3001" s="54" t="s">
        <v>127</v>
      </c>
      <c r="K3001" s="54" t="s">
        <v>127</v>
      </c>
      <c r="L3001" s="54" t="s">
        <v>15</v>
      </c>
      <c r="M3001" s="54" t="s">
        <v>13</v>
      </c>
      <c r="N3001" s="54" t="s">
        <v>14</v>
      </c>
      <c r="O3001" s="49" t="s">
        <v>814</v>
      </c>
      <c r="P3001" s="54" t="s">
        <v>3392</v>
      </c>
      <c r="Q3001" s="35" t="str">
        <f>MID(Tabla1[[#This Row],[Aplicación]],14,1)</f>
        <v>2</v>
      </c>
      <c r="R3001" s="35" t="s">
        <v>495</v>
      </c>
      <c r="S3001" s="35" t="str">
        <f>MID(Tabla1[[#This Row],[Aplicación]],6,2)</f>
        <v>10</v>
      </c>
      <c r="T3001" s="35" t="str">
        <f>VLOOKUP(Tabla1[[#This Row],[AREA]],Hoja1!A:B,2,FALSE)</f>
        <v>10. Servicios sociales y mediación comunitaria</v>
      </c>
      <c r="U3001" s="35" t="str">
        <f>MID(Tabla1[[#This Row],[Aplicación]],9,4)</f>
        <v>2412</v>
      </c>
      <c r="V3001" s="35" t="str">
        <f>VLOOKUP(Tabla1[[#This Row],[PROGRAMA]],Hoja1!A:B,2,FALSE)</f>
        <v>2412. Formación para el empleo</v>
      </c>
      <c r="W3001" s="35" t="str">
        <f>MID(Tabla1[[#This Row],[Aplicación]],14,2)</f>
        <v>22</v>
      </c>
      <c r="X3001" s="35" t="str">
        <f>MID(Tabla1[[#This Row],[Aplicación]],14,6)</f>
        <v>22199</v>
      </c>
    </row>
    <row r="3002" spans="1:24" x14ac:dyDescent="0.25">
      <c r="A3002" s="45">
        <v>220210029631</v>
      </c>
      <c r="B3002" s="46" t="s">
        <v>204</v>
      </c>
      <c r="C3002" s="47">
        <v>44355</v>
      </c>
      <c r="D3002" s="45">
        <v>22021002047</v>
      </c>
      <c r="E3002" s="46" t="s">
        <v>944</v>
      </c>
      <c r="F3002" s="48">
        <v>146</v>
      </c>
      <c r="G3002" s="54" t="s">
        <v>238</v>
      </c>
      <c r="H3002" s="54" t="s">
        <v>4569</v>
      </c>
      <c r="I3002" s="53" t="s">
        <v>205</v>
      </c>
      <c r="J3002" s="54" t="s">
        <v>127</v>
      </c>
      <c r="K3002" s="54" t="s">
        <v>127</v>
      </c>
      <c r="L3002" s="54" t="s">
        <v>15</v>
      </c>
      <c r="M3002" s="54" t="s">
        <v>13</v>
      </c>
      <c r="N3002" s="54" t="s">
        <v>14</v>
      </c>
      <c r="O3002" s="49" t="s">
        <v>814</v>
      </c>
      <c r="P3002" s="54" t="s">
        <v>3392</v>
      </c>
      <c r="Q3002" s="35" t="str">
        <f>MID(Tabla1[[#This Row],[Aplicación]],14,1)</f>
        <v>2</v>
      </c>
      <c r="R3002" s="35" t="s">
        <v>495</v>
      </c>
      <c r="S3002" s="35" t="str">
        <f>MID(Tabla1[[#This Row],[Aplicación]],6,2)</f>
        <v>11</v>
      </c>
      <c r="T3002" s="35" t="str">
        <f>VLOOKUP(Tabla1[[#This Row],[AREA]],Hoja1!A:B,2,FALSE)</f>
        <v>11. Salud pública y seguridad ciudadana</v>
      </c>
      <c r="U3002" s="35" t="str">
        <f>MID(Tabla1[[#This Row],[Aplicación]],9,4)</f>
        <v>1621</v>
      </c>
      <c r="V3002" s="35" t="str">
        <f>VLOOKUP(Tabla1[[#This Row],[PROGRAMA]],Hoja1!A:B,2,FALSE)</f>
        <v>1621. Servicio de limpieza</v>
      </c>
      <c r="W3002" s="35" t="str">
        <f>MID(Tabla1[[#This Row],[Aplicación]],14,2)</f>
        <v>21</v>
      </c>
      <c r="X3002" s="35" t="str">
        <f>MID(Tabla1[[#This Row],[Aplicación]],14,6)</f>
        <v>213</v>
      </c>
    </row>
    <row r="3003" spans="1:24" x14ac:dyDescent="0.25">
      <c r="A3003" s="45">
        <v>220210015833</v>
      </c>
      <c r="B3003" s="46" t="s">
        <v>204</v>
      </c>
      <c r="C3003" s="47">
        <v>44302</v>
      </c>
      <c r="D3003" s="45">
        <v>22020001574</v>
      </c>
      <c r="E3003" s="46" t="s">
        <v>3362</v>
      </c>
      <c r="F3003" s="48">
        <v>142.97</v>
      </c>
      <c r="G3003" s="54" t="s">
        <v>2307</v>
      </c>
      <c r="H3003" s="54" t="s">
        <v>4570</v>
      </c>
      <c r="I3003" s="53" t="s">
        <v>205</v>
      </c>
      <c r="J3003" s="54" t="s">
        <v>127</v>
      </c>
      <c r="K3003" s="54" t="s">
        <v>127</v>
      </c>
      <c r="L3003" s="54" t="s">
        <v>15</v>
      </c>
      <c r="M3003" s="54" t="s">
        <v>13</v>
      </c>
      <c r="N3003" s="54" t="s">
        <v>14</v>
      </c>
      <c r="O3003" s="49" t="s">
        <v>814</v>
      </c>
      <c r="P3003" s="54" t="s">
        <v>3392</v>
      </c>
      <c r="Q3003" s="35" t="str">
        <f>MID(Tabla1[[#This Row],[Aplicación]],14,1)</f>
        <v>6</v>
      </c>
      <c r="R3003" s="35" t="s">
        <v>496</v>
      </c>
      <c r="S3003" s="35" t="str">
        <f>MID(Tabla1[[#This Row],[Aplicación]],6,2)</f>
        <v>06</v>
      </c>
      <c r="T3003" s="35" t="str">
        <f>VLOOKUP(Tabla1[[#This Row],[AREA]],Hoja1!A:B,2,FALSE)</f>
        <v>06. Educación, infancia, juventud e igualdad</v>
      </c>
      <c r="U3003" s="35" t="str">
        <f>MID(Tabla1[[#This Row],[Aplicación]],9,4)</f>
        <v>3321</v>
      </c>
      <c r="V3003" s="35" t="str">
        <f>VLOOKUP(Tabla1[[#This Row],[PROGRAMA]],Hoja1!A:B,2,FALSE)</f>
        <v>3321. Bibliotecas públicas</v>
      </c>
      <c r="W3003" s="35" t="str">
        <f>MID(Tabla1[[#This Row],[Aplicación]],14,2)</f>
        <v>62</v>
      </c>
      <c r="X3003" s="35" t="str">
        <f>MID(Tabla1[[#This Row],[Aplicación]],14,6)</f>
        <v>629</v>
      </c>
    </row>
    <row r="3004" spans="1:24" x14ac:dyDescent="0.25">
      <c r="A3004" s="45">
        <v>220210027639</v>
      </c>
      <c r="B3004" s="46" t="s">
        <v>204</v>
      </c>
      <c r="C3004" s="47">
        <v>44348</v>
      </c>
      <c r="D3004" s="45">
        <v>22021001038</v>
      </c>
      <c r="E3004" s="46" t="s">
        <v>844</v>
      </c>
      <c r="F3004" s="48">
        <v>142.30000000000001</v>
      </c>
      <c r="G3004" s="54" t="s">
        <v>223</v>
      </c>
      <c r="H3004" s="54" t="s">
        <v>4571</v>
      </c>
      <c r="I3004" s="53" t="s">
        <v>205</v>
      </c>
      <c r="J3004" s="54" t="s">
        <v>127</v>
      </c>
      <c r="K3004" s="54" t="s">
        <v>127</v>
      </c>
      <c r="L3004" s="54" t="s">
        <v>15</v>
      </c>
      <c r="M3004" s="54" t="s">
        <v>13</v>
      </c>
      <c r="N3004" s="54" t="s">
        <v>14</v>
      </c>
      <c r="O3004" s="49" t="s">
        <v>814</v>
      </c>
      <c r="P3004" s="54" t="s">
        <v>3392</v>
      </c>
      <c r="Q3004" s="35" t="str">
        <f>MID(Tabla1[[#This Row],[Aplicación]],14,1)</f>
        <v>2</v>
      </c>
      <c r="R3004" s="35" t="s">
        <v>495</v>
      </c>
      <c r="S3004" s="35" t="str">
        <f>MID(Tabla1[[#This Row],[Aplicación]],6,2)</f>
        <v>10</v>
      </c>
      <c r="T3004" s="35" t="str">
        <f>VLOOKUP(Tabla1[[#This Row],[AREA]],Hoja1!A:B,2,FALSE)</f>
        <v>10. Servicios sociales y mediación comunitaria</v>
      </c>
      <c r="U3004" s="35" t="str">
        <f>MID(Tabla1[[#This Row],[Aplicación]],9,4)</f>
        <v>2312</v>
      </c>
      <c r="V3004" s="35" t="str">
        <f>VLOOKUP(Tabla1[[#This Row],[PROGRAMA]],Hoja1!A:B,2,FALSE)</f>
        <v>2312. Iniciativas sociales</v>
      </c>
      <c r="W3004" s="35" t="str">
        <f>MID(Tabla1[[#This Row],[Aplicación]],14,2)</f>
        <v>21</v>
      </c>
      <c r="X3004" s="35" t="str">
        <f>MID(Tabla1[[#This Row],[Aplicación]],14,6)</f>
        <v>212</v>
      </c>
    </row>
    <row r="3005" spans="1:24" x14ac:dyDescent="0.25">
      <c r="A3005" s="45">
        <v>220210030477</v>
      </c>
      <c r="B3005" s="46" t="s">
        <v>204</v>
      </c>
      <c r="C3005" s="47">
        <v>44358</v>
      </c>
      <c r="D3005" s="45">
        <v>22021002055</v>
      </c>
      <c r="E3005" s="46" t="s">
        <v>1613</v>
      </c>
      <c r="F3005" s="48">
        <v>141.57</v>
      </c>
      <c r="G3005" s="54" t="s">
        <v>272</v>
      </c>
      <c r="H3005" s="54" t="s">
        <v>4572</v>
      </c>
      <c r="I3005" s="53" t="s">
        <v>205</v>
      </c>
      <c r="J3005" s="54" t="s">
        <v>127</v>
      </c>
      <c r="K3005" s="54" t="s">
        <v>127</v>
      </c>
      <c r="L3005" s="54" t="s">
        <v>15</v>
      </c>
      <c r="M3005" s="54" t="s">
        <v>13</v>
      </c>
      <c r="N3005" s="54" t="s">
        <v>14</v>
      </c>
      <c r="O3005" s="49" t="s">
        <v>814</v>
      </c>
      <c r="P3005" s="54" t="s">
        <v>3392</v>
      </c>
      <c r="Q3005" s="35" t="str">
        <f>MID(Tabla1[[#This Row],[Aplicación]],14,1)</f>
        <v>2</v>
      </c>
      <c r="R3005" s="35" t="s">
        <v>495</v>
      </c>
      <c r="S3005" s="35" t="str">
        <f>MID(Tabla1[[#This Row],[Aplicación]],6,2)</f>
        <v>11</v>
      </c>
      <c r="T3005" s="35" t="str">
        <f>VLOOKUP(Tabla1[[#This Row],[AREA]],Hoja1!A:B,2,FALSE)</f>
        <v>11. Salud pública y seguridad ciudadana</v>
      </c>
      <c r="U3005" s="35" t="str">
        <f>MID(Tabla1[[#This Row],[Aplicación]],9,4)</f>
        <v>1631</v>
      </c>
      <c r="V3005" s="35" t="str">
        <f>VLOOKUP(Tabla1[[#This Row],[PROGRAMA]],Hoja1!A:B,2,FALSE)</f>
        <v>1631. Limpieza viaria</v>
      </c>
      <c r="W3005" s="35" t="str">
        <f>MID(Tabla1[[#This Row],[Aplicación]],14,2)</f>
        <v>22</v>
      </c>
      <c r="X3005" s="35" t="str">
        <f>MID(Tabla1[[#This Row],[Aplicación]],14,6)</f>
        <v>22104</v>
      </c>
    </row>
    <row r="3006" spans="1:24" x14ac:dyDescent="0.25">
      <c r="A3006" s="45">
        <v>220210028171</v>
      </c>
      <c r="B3006" s="46" t="s">
        <v>9</v>
      </c>
      <c r="C3006" s="47">
        <v>44349</v>
      </c>
      <c r="D3006" s="45">
        <v>22021004700</v>
      </c>
      <c r="E3006" s="46" t="s">
        <v>1578</v>
      </c>
      <c r="F3006" s="48">
        <v>121</v>
      </c>
      <c r="G3006" s="54" t="s">
        <v>79</v>
      </c>
      <c r="H3006" s="54" t="s">
        <v>4573</v>
      </c>
      <c r="I3006" s="53" t="s">
        <v>125</v>
      </c>
      <c r="J3006" s="54" t="s">
        <v>127</v>
      </c>
      <c r="K3006" s="54" t="s">
        <v>127</v>
      </c>
      <c r="L3006" s="54" t="s">
        <v>12</v>
      </c>
      <c r="M3006" s="54" t="s">
        <v>10</v>
      </c>
      <c r="N3006" s="54" t="s">
        <v>11</v>
      </c>
      <c r="O3006" s="49" t="s">
        <v>815</v>
      </c>
      <c r="P3006" s="54" t="s">
        <v>3392</v>
      </c>
      <c r="Q3006" s="35" t="str">
        <f>MID(Tabla1[[#This Row],[Aplicación]],14,1)</f>
        <v>2</v>
      </c>
      <c r="R3006" s="35" t="s">
        <v>495</v>
      </c>
      <c r="S3006" s="35" t="str">
        <f>MID(Tabla1[[#This Row],[Aplicación]],6,2)</f>
        <v>06</v>
      </c>
      <c r="T3006" s="35" t="str">
        <f>VLOOKUP(Tabla1[[#This Row],[AREA]],Hoja1!A:B,2,FALSE)</f>
        <v>06. Educación, infancia, juventud e igualdad</v>
      </c>
      <c r="U3006" s="35" t="str">
        <f>MID(Tabla1[[#This Row],[Aplicación]],9,4)</f>
        <v>3231</v>
      </c>
      <c r="V3006" s="35" t="str">
        <f>VLOOKUP(Tabla1[[#This Row],[PROGRAMA]],Hoja1!A:B,2,FALSE)</f>
        <v>3231. Escuelas infantiles</v>
      </c>
      <c r="W3006" s="35" t="str">
        <f>MID(Tabla1[[#This Row],[Aplicación]],14,2)</f>
        <v>22</v>
      </c>
      <c r="X3006" s="35" t="str">
        <f>MID(Tabla1[[#This Row],[Aplicación]],14,6)</f>
        <v>22602</v>
      </c>
    </row>
    <row r="3007" spans="1:24" x14ac:dyDescent="0.25">
      <c r="A3007" s="45">
        <v>220210023403</v>
      </c>
      <c r="B3007" s="46" t="s">
        <v>204</v>
      </c>
      <c r="C3007" s="47">
        <v>44335</v>
      </c>
      <c r="D3007" s="45">
        <v>22021002601</v>
      </c>
      <c r="E3007" s="46" t="s">
        <v>3362</v>
      </c>
      <c r="F3007" s="48">
        <v>141.53</v>
      </c>
      <c r="G3007" s="54" t="s">
        <v>3954</v>
      </c>
      <c r="H3007" s="54" t="s">
        <v>4574</v>
      </c>
      <c r="I3007" s="53" t="s">
        <v>205</v>
      </c>
      <c r="J3007" s="54" t="s">
        <v>127</v>
      </c>
      <c r="K3007" s="54" t="s">
        <v>127</v>
      </c>
      <c r="L3007" s="54" t="s">
        <v>15</v>
      </c>
      <c r="M3007" s="54" t="s">
        <v>13</v>
      </c>
      <c r="N3007" s="54" t="s">
        <v>14</v>
      </c>
      <c r="O3007" s="49" t="s">
        <v>814</v>
      </c>
      <c r="P3007" s="54" t="s">
        <v>3392</v>
      </c>
      <c r="Q3007" s="35" t="str">
        <f>MID(Tabla1[[#This Row],[Aplicación]],14,1)</f>
        <v>6</v>
      </c>
      <c r="R3007" s="35" t="s">
        <v>496</v>
      </c>
      <c r="S3007" s="35" t="str">
        <f>MID(Tabla1[[#This Row],[Aplicación]],6,2)</f>
        <v>06</v>
      </c>
      <c r="T3007" s="35" t="str">
        <f>VLOOKUP(Tabla1[[#This Row],[AREA]],Hoja1!A:B,2,FALSE)</f>
        <v>06. Educación, infancia, juventud e igualdad</v>
      </c>
      <c r="U3007" s="35" t="str">
        <f>MID(Tabla1[[#This Row],[Aplicación]],9,4)</f>
        <v>3321</v>
      </c>
      <c r="V3007" s="35" t="str">
        <f>VLOOKUP(Tabla1[[#This Row],[PROGRAMA]],Hoja1!A:B,2,FALSE)</f>
        <v>3321. Bibliotecas públicas</v>
      </c>
      <c r="W3007" s="35" t="str">
        <f>MID(Tabla1[[#This Row],[Aplicación]],14,2)</f>
        <v>62</v>
      </c>
      <c r="X3007" s="35" t="str">
        <f>MID(Tabla1[[#This Row],[Aplicación]],14,6)</f>
        <v>629</v>
      </c>
    </row>
    <row r="3008" spans="1:24" x14ac:dyDescent="0.25">
      <c r="A3008" s="45">
        <v>220210030163</v>
      </c>
      <c r="B3008" s="46" t="s">
        <v>204</v>
      </c>
      <c r="C3008" s="47">
        <v>44356</v>
      </c>
      <c r="D3008" s="45">
        <v>22021002088</v>
      </c>
      <c r="E3008" s="46" t="s">
        <v>1478</v>
      </c>
      <c r="F3008" s="48">
        <v>139.88999999999999</v>
      </c>
      <c r="G3008" s="54" t="s">
        <v>238</v>
      </c>
      <c r="H3008" s="54" t="s">
        <v>4575</v>
      </c>
      <c r="I3008" s="53" t="s">
        <v>205</v>
      </c>
      <c r="J3008" s="54" t="s">
        <v>127</v>
      </c>
      <c r="K3008" s="54" t="s">
        <v>127</v>
      </c>
      <c r="L3008" s="54" t="s">
        <v>15</v>
      </c>
      <c r="M3008" s="54" t="s">
        <v>13</v>
      </c>
      <c r="N3008" s="54" t="s">
        <v>16</v>
      </c>
      <c r="O3008" s="49" t="s">
        <v>814</v>
      </c>
      <c r="P3008" s="54" t="s">
        <v>3392</v>
      </c>
      <c r="Q3008" s="35" t="str">
        <f>MID(Tabla1[[#This Row],[Aplicación]],14,1)</f>
        <v>2</v>
      </c>
      <c r="R3008" s="35" t="s">
        <v>495</v>
      </c>
      <c r="S3008" s="35" t="str">
        <f>MID(Tabla1[[#This Row],[Aplicación]],6,2)</f>
        <v>03</v>
      </c>
      <c r="T3008" s="35" t="str">
        <f>VLOOKUP(Tabla1[[#This Row],[AREA]],Hoja1!A:B,2,FALSE)</f>
        <v>03. Participación ciudadana y deportes</v>
      </c>
      <c r="U3008" s="35" t="str">
        <f>MID(Tabla1[[#This Row],[Aplicación]],9,4)</f>
        <v>9241</v>
      </c>
      <c r="V3008" s="35" t="str">
        <f>VLOOKUP(Tabla1[[#This Row],[PROGRAMA]],Hoja1!A:B,2,FALSE)</f>
        <v>9241. Participación ciudadana</v>
      </c>
      <c r="W3008" s="35" t="str">
        <f>MID(Tabla1[[#This Row],[Aplicación]],14,2)</f>
        <v>21</v>
      </c>
      <c r="X3008" s="35" t="str">
        <f>MID(Tabla1[[#This Row],[Aplicación]],14,6)</f>
        <v>212</v>
      </c>
    </row>
    <row r="3009" spans="1:24" x14ac:dyDescent="0.25">
      <c r="A3009" s="45">
        <v>220210022417</v>
      </c>
      <c r="B3009" s="46" t="s">
        <v>9</v>
      </c>
      <c r="C3009" s="47">
        <v>44330</v>
      </c>
      <c r="D3009" s="45">
        <v>22021004402</v>
      </c>
      <c r="E3009" s="46" t="s">
        <v>1336</v>
      </c>
      <c r="F3009" s="48">
        <v>120.02</v>
      </c>
      <c r="G3009" s="54" t="s">
        <v>4576</v>
      </c>
      <c r="H3009" s="54" t="s">
        <v>4577</v>
      </c>
      <c r="I3009" s="53" t="s">
        <v>125</v>
      </c>
      <c r="J3009" s="54" t="s">
        <v>127</v>
      </c>
      <c r="K3009" s="54" t="s">
        <v>127</v>
      </c>
      <c r="L3009" s="54" t="s">
        <v>15</v>
      </c>
      <c r="M3009" s="54" t="s">
        <v>10</v>
      </c>
      <c r="N3009" s="54" t="s">
        <v>11</v>
      </c>
      <c r="O3009" s="49" t="s">
        <v>815</v>
      </c>
      <c r="P3009" s="54" t="s">
        <v>3392</v>
      </c>
      <c r="Q3009" s="35" t="str">
        <f>MID(Tabla1[[#This Row],[Aplicación]],14,1)</f>
        <v>2</v>
      </c>
      <c r="R3009" s="35" t="s">
        <v>495</v>
      </c>
      <c r="S3009" s="35" t="str">
        <f>MID(Tabla1[[#This Row],[Aplicación]],6,2)</f>
        <v>02</v>
      </c>
      <c r="T3009" s="35" t="str">
        <f>VLOOKUP(Tabla1[[#This Row],[AREA]],Hoja1!A:B,2,FALSE)</f>
        <v>02. Planeamiento urbanístico y vivienda</v>
      </c>
      <c r="U3009" s="35" t="str">
        <f>MID(Tabla1[[#This Row],[Aplicación]],9,4)</f>
        <v>9332</v>
      </c>
      <c r="V3009" s="35" t="str">
        <f>VLOOKUP(Tabla1[[#This Row],[PROGRAMA]],Hoja1!A:B,2,FALSE)</f>
        <v>9332. Mantenimiento de edificios e instalaciones municipales</v>
      </c>
      <c r="W3009" s="35" t="str">
        <f>MID(Tabla1[[#This Row],[Aplicación]],14,2)</f>
        <v>21</v>
      </c>
      <c r="X3009" s="35" t="str">
        <f>MID(Tabla1[[#This Row],[Aplicación]],14,6)</f>
        <v>212</v>
      </c>
    </row>
    <row r="3010" spans="1:24" x14ac:dyDescent="0.25">
      <c r="A3010" s="45">
        <v>220210020772</v>
      </c>
      <c r="B3010" s="46" t="s">
        <v>204</v>
      </c>
      <c r="C3010" s="47">
        <v>44323</v>
      </c>
      <c r="D3010" s="45">
        <v>22021002088</v>
      </c>
      <c r="E3010" s="46" t="s">
        <v>1478</v>
      </c>
      <c r="F3010" s="48">
        <v>139.57</v>
      </c>
      <c r="G3010" s="54" t="s">
        <v>263</v>
      </c>
      <c r="H3010" s="54" t="s">
        <v>4578</v>
      </c>
      <c r="I3010" s="53" t="s">
        <v>205</v>
      </c>
      <c r="J3010" s="54" t="s">
        <v>127</v>
      </c>
      <c r="K3010" s="54" t="s">
        <v>127</v>
      </c>
      <c r="L3010" s="54" t="s">
        <v>15</v>
      </c>
      <c r="M3010" s="54" t="s">
        <v>13</v>
      </c>
      <c r="N3010" s="54" t="s">
        <v>16</v>
      </c>
      <c r="O3010" s="49" t="s">
        <v>814</v>
      </c>
      <c r="P3010" s="54" t="s">
        <v>3392</v>
      </c>
      <c r="Q3010" s="35" t="str">
        <f>MID(Tabla1[[#This Row],[Aplicación]],14,1)</f>
        <v>2</v>
      </c>
      <c r="R3010" s="35" t="s">
        <v>495</v>
      </c>
      <c r="S3010" s="35" t="str">
        <f>MID(Tabla1[[#This Row],[Aplicación]],6,2)</f>
        <v>03</v>
      </c>
      <c r="T3010" s="35" t="str">
        <f>VLOOKUP(Tabla1[[#This Row],[AREA]],Hoja1!A:B,2,FALSE)</f>
        <v>03. Participación ciudadana y deportes</v>
      </c>
      <c r="U3010" s="35" t="str">
        <f>MID(Tabla1[[#This Row],[Aplicación]],9,4)</f>
        <v>9241</v>
      </c>
      <c r="V3010" s="35" t="str">
        <f>VLOOKUP(Tabla1[[#This Row],[PROGRAMA]],Hoja1!A:B,2,FALSE)</f>
        <v>9241. Participación ciudadana</v>
      </c>
      <c r="W3010" s="35" t="str">
        <f>MID(Tabla1[[#This Row],[Aplicación]],14,2)</f>
        <v>21</v>
      </c>
      <c r="X3010" s="35" t="str">
        <f>MID(Tabla1[[#This Row],[Aplicación]],14,6)</f>
        <v>212</v>
      </c>
    </row>
    <row r="3011" spans="1:24" x14ac:dyDescent="0.25">
      <c r="A3011" s="45">
        <v>220210027643</v>
      </c>
      <c r="B3011" s="46" t="s">
        <v>204</v>
      </c>
      <c r="C3011" s="47">
        <v>44348</v>
      </c>
      <c r="D3011" s="45">
        <v>22021001039</v>
      </c>
      <c r="E3011" s="46" t="s">
        <v>844</v>
      </c>
      <c r="F3011" s="48">
        <v>138.93</v>
      </c>
      <c r="G3011" s="54" t="s">
        <v>4378</v>
      </c>
      <c r="H3011" s="54" t="s">
        <v>4579</v>
      </c>
      <c r="I3011" s="53" t="s">
        <v>205</v>
      </c>
      <c r="J3011" s="54" t="s">
        <v>664</v>
      </c>
      <c r="K3011" s="54" t="s">
        <v>127</v>
      </c>
      <c r="L3011" s="54" t="s">
        <v>15</v>
      </c>
      <c r="M3011" s="54" t="s">
        <v>13</v>
      </c>
      <c r="N3011" s="54" t="s">
        <v>14</v>
      </c>
      <c r="O3011" s="49" t="s">
        <v>814</v>
      </c>
      <c r="P3011" s="54" t="s">
        <v>3392</v>
      </c>
      <c r="Q3011" s="35" t="str">
        <f>MID(Tabla1[[#This Row],[Aplicación]],14,1)</f>
        <v>2</v>
      </c>
      <c r="R3011" s="35" t="s">
        <v>495</v>
      </c>
      <c r="S3011" s="35" t="str">
        <f>MID(Tabla1[[#This Row],[Aplicación]],6,2)</f>
        <v>10</v>
      </c>
      <c r="T3011" s="35" t="str">
        <f>VLOOKUP(Tabla1[[#This Row],[AREA]],Hoja1!A:B,2,FALSE)</f>
        <v>10. Servicios sociales y mediación comunitaria</v>
      </c>
      <c r="U3011" s="35" t="str">
        <f>MID(Tabla1[[#This Row],[Aplicación]],9,4)</f>
        <v>2312</v>
      </c>
      <c r="V3011" s="35" t="str">
        <f>VLOOKUP(Tabla1[[#This Row],[PROGRAMA]],Hoja1!A:B,2,FALSE)</f>
        <v>2312. Iniciativas sociales</v>
      </c>
      <c r="W3011" s="35" t="str">
        <f>MID(Tabla1[[#This Row],[Aplicación]],14,2)</f>
        <v>21</v>
      </c>
      <c r="X3011" s="35" t="str">
        <f>MID(Tabla1[[#This Row],[Aplicación]],14,6)</f>
        <v>212</v>
      </c>
    </row>
    <row r="3012" spans="1:24" x14ac:dyDescent="0.25">
      <c r="A3012" s="45">
        <v>220210031223</v>
      </c>
      <c r="B3012" s="46" t="s">
        <v>9</v>
      </c>
      <c r="C3012" s="47">
        <v>44362</v>
      </c>
      <c r="D3012" s="45">
        <v>22021004900</v>
      </c>
      <c r="E3012" s="46" t="s">
        <v>2824</v>
      </c>
      <c r="F3012" s="48">
        <v>138.82</v>
      </c>
      <c r="G3012" s="54" t="s">
        <v>243</v>
      </c>
      <c r="H3012" s="54" t="s">
        <v>4580</v>
      </c>
      <c r="I3012" s="53" t="s">
        <v>125</v>
      </c>
      <c r="J3012" s="54" t="s">
        <v>650</v>
      </c>
      <c r="K3012" s="54" t="s">
        <v>127</v>
      </c>
      <c r="L3012" s="54" t="s">
        <v>12</v>
      </c>
      <c r="M3012" s="54" t="s">
        <v>13</v>
      </c>
      <c r="N3012" s="54" t="s">
        <v>14</v>
      </c>
      <c r="O3012" s="49" t="s">
        <v>814</v>
      </c>
      <c r="P3012" s="54" t="s">
        <v>3392</v>
      </c>
      <c r="Q3012" s="35" t="str">
        <f>MID(Tabla1[[#This Row],[Aplicación]],14,1)</f>
        <v>2</v>
      </c>
      <c r="R3012" s="35" t="s">
        <v>495</v>
      </c>
      <c r="S3012" s="35" t="str">
        <f>MID(Tabla1[[#This Row],[Aplicación]],6,2)</f>
        <v>05</v>
      </c>
      <c r="T3012" s="35" t="str">
        <f>VLOOKUP(Tabla1[[#This Row],[AREA]],Hoja1!A:B,2,FALSE)</f>
        <v>05. Innovación, desarrollo económico, empleo y comercio</v>
      </c>
      <c r="U3012" s="35" t="str">
        <f>MID(Tabla1[[#This Row],[Aplicación]],9,4)</f>
        <v>4331</v>
      </c>
      <c r="V3012" s="35" t="str">
        <f>VLOOKUP(Tabla1[[#This Row],[PROGRAMA]],Hoja1!A:B,2,FALSE)</f>
        <v>4331. Desarrollo empresarial</v>
      </c>
      <c r="W3012" s="35" t="str">
        <f>MID(Tabla1[[#This Row],[Aplicación]],14,2)</f>
        <v>21</v>
      </c>
      <c r="X3012" s="35" t="str">
        <f>MID(Tabla1[[#This Row],[Aplicación]],14,6)</f>
        <v>214</v>
      </c>
    </row>
    <row r="3013" spans="1:24" x14ac:dyDescent="0.25">
      <c r="A3013" s="45">
        <v>220210016553</v>
      </c>
      <c r="B3013" s="46" t="s">
        <v>204</v>
      </c>
      <c r="C3013" s="47">
        <v>44306</v>
      </c>
      <c r="D3013" s="45">
        <v>22021001039</v>
      </c>
      <c r="E3013" s="46" t="s">
        <v>844</v>
      </c>
      <c r="F3013" s="48">
        <v>137.47999999999999</v>
      </c>
      <c r="G3013" s="54" t="s">
        <v>238</v>
      </c>
      <c r="H3013" s="54" t="s">
        <v>4581</v>
      </c>
      <c r="I3013" s="53" t="s">
        <v>205</v>
      </c>
      <c r="J3013" s="54" t="s">
        <v>127</v>
      </c>
      <c r="K3013" s="54" t="s">
        <v>127</v>
      </c>
      <c r="L3013" s="54" t="s">
        <v>15</v>
      </c>
      <c r="M3013" s="54" t="s">
        <v>13</v>
      </c>
      <c r="N3013" s="54" t="s">
        <v>14</v>
      </c>
      <c r="O3013" s="49" t="s">
        <v>814</v>
      </c>
      <c r="P3013" s="54" t="s">
        <v>3392</v>
      </c>
      <c r="Q3013" s="35" t="str">
        <f>MID(Tabla1[[#This Row],[Aplicación]],14,1)</f>
        <v>2</v>
      </c>
      <c r="R3013" s="35" t="s">
        <v>495</v>
      </c>
      <c r="S3013" s="35" t="str">
        <f>MID(Tabla1[[#This Row],[Aplicación]],6,2)</f>
        <v>10</v>
      </c>
      <c r="T3013" s="35" t="str">
        <f>VLOOKUP(Tabla1[[#This Row],[AREA]],Hoja1!A:B,2,FALSE)</f>
        <v>10. Servicios sociales y mediación comunitaria</v>
      </c>
      <c r="U3013" s="35" t="str">
        <f>MID(Tabla1[[#This Row],[Aplicación]],9,4)</f>
        <v>2312</v>
      </c>
      <c r="V3013" s="35" t="str">
        <f>VLOOKUP(Tabla1[[#This Row],[PROGRAMA]],Hoja1!A:B,2,FALSE)</f>
        <v>2312. Iniciativas sociales</v>
      </c>
      <c r="W3013" s="35" t="str">
        <f>MID(Tabla1[[#This Row],[Aplicación]],14,2)</f>
        <v>21</v>
      </c>
      <c r="X3013" s="35" t="str">
        <f>MID(Tabla1[[#This Row],[Aplicación]],14,6)</f>
        <v>212</v>
      </c>
    </row>
    <row r="3014" spans="1:24" x14ac:dyDescent="0.25">
      <c r="A3014" s="45">
        <v>220210015745</v>
      </c>
      <c r="B3014" s="46" t="s">
        <v>204</v>
      </c>
      <c r="C3014" s="47">
        <v>44302</v>
      </c>
      <c r="D3014" s="45">
        <v>22021002048</v>
      </c>
      <c r="E3014" s="46" t="s">
        <v>890</v>
      </c>
      <c r="F3014" s="48">
        <v>137.24</v>
      </c>
      <c r="G3014" s="54" t="s">
        <v>273</v>
      </c>
      <c r="H3014" s="54" t="s">
        <v>4582</v>
      </c>
      <c r="I3014" s="53" t="s">
        <v>205</v>
      </c>
      <c r="J3014" s="54" t="s">
        <v>127</v>
      </c>
      <c r="K3014" s="54" t="s">
        <v>127</v>
      </c>
      <c r="L3014" s="54" t="s">
        <v>15</v>
      </c>
      <c r="M3014" s="54" t="s">
        <v>13</v>
      </c>
      <c r="N3014" s="54" t="s">
        <v>14</v>
      </c>
      <c r="O3014" s="49" t="s">
        <v>814</v>
      </c>
      <c r="P3014" s="54" t="s">
        <v>3392</v>
      </c>
      <c r="Q3014" s="35" t="str">
        <f>MID(Tabla1[[#This Row],[Aplicación]],14,1)</f>
        <v>2</v>
      </c>
      <c r="R3014" s="35" t="s">
        <v>495</v>
      </c>
      <c r="S3014" s="35" t="str">
        <f>MID(Tabla1[[#This Row],[Aplicación]],6,2)</f>
        <v>11</v>
      </c>
      <c r="T3014" s="35" t="str">
        <f>VLOOKUP(Tabla1[[#This Row],[AREA]],Hoja1!A:B,2,FALSE)</f>
        <v>11. Salud pública y seguridad ciudadana</v>
      </c>
      <c r="U3014" s="35" t="str">
        <f>MID(Tabla1[[#This Row],[Aplicación]],9,4)</f>
        <v>1621</v>
      </c>
      <c r="V3014" s="35" t="str">
        <f>VLOOKUP(Tabla1[[#This Row],[PROGRAMA]],Hoja1!A:B,2,FALSE)</f>
        <v>1621. Servicio de limpieza</v>
      </c>
      <c r="W3014" s="35" t="str">
        <f>MID(Tabla1[[#This Row],[Aplicación]],14,2)</f>
        <v>21</v>
      </c>
      <c r="X3014" s="35" t="str">
        <f>MID(Tabla1[[#This Row],[Aplicación]],14,6)</f>
        <v>214</v>
      </c>
    </row>
    <row r="3015" spans="1:24" x14ac:dyDescent="0.25">
      <c r="A3015" s="45">
        <v>220210030119</v>
      </c>
      <c r="B3015" s="46" t="s">
        <v>204</v>
      </c>
      <c r="C3015" s="47">
        <v>44356</v>
      </c>
      <c r="D3015" s="45">
        <v>22021002228</v>
      </c>
      <c r="E3015" s="46" t="s">
        <v>1471</v>
      </c>
      <c r="F3015" s="48">
        <v>117.38</v>
      </c>
      <c r="G3015" s="54" t="s">
        <v>87</v>
      </c>
      <c r="H3015" s="54" t="s">
        <v>4583</v>
      </c>
      <c r="I3015" s="53" t="s">
        <v>205</v>
      </c>
      <c r="J3015" s="54" t="s">
        <v>127</v>
      </c>
      <c r="K3015" s="54" t="s">
        <v>127</v>
      </c>
      <c r="L3015" s="54" t="s">
        <v>15</v>
      </c>
      <c r="M3015" s="54" t="s">
        <v>10</v>
      </c>
      <c r="N3015" s="54" t="s">
        <v>11</v>
      </c>
      <c r="O3015" s="49" t="s">
        <v>815</v>
      </c>
      <c r="P3015" s="54" t="s">
        <v>3392</v>
      </c>
      <c r="Q3015" s="35" t="str">
        <f>MID(Tabla1[[#This Row],[Aplicación]],14,1)</f>
        <v>2</v>
      </c>
      <c r="R3015" s="35" t="s">
        <v>495</v>
      </c>
      <c r="S3015" s="35" t="str">
        <f>MID(Tabla1[[#This Row],[Aplicación]],6,2)</f>
        <v>06</v>
      </c>
      <c r="T3015" s="35" t="str">
        <f>VLOOKUP(Tabla1[[#This Row],[AREA]],Hoja1!A:B,2,FALSE)</f>
        <v>06. Educación, infancia, juventud e igualdad</v>
      </c>
      <c r="U3015" s="35" t="str">
        <f>MID(Tabla1[[#This Row],[Aplicación]],9,4)</f>
        <v>3232</v>
      </c>
      <c r="V3015" s="35" t="str">
        <f>VLOOKUP(Tabla1[[#This Row],[PROGRAMA]],Hoja1!A:B,2,FALSE)</f>
        <v>3232. Conservación y mantenimiento centros educación infantil y primaria</v>
      </c>
      <c r="W3015" s="35" t="str">
        <f>MID(Tabla1[[#This Row],[Aplicación]],14,2)</f>
        <v>21</v>
      </c>
      <c r="X3015" s="35" t="str">
        <f>MID(Tabla1[[#This Row],[Aplicación]],14,6)</f>
        <v>212</v>
      </c>
    </row>
    <row r="3016" spans="1:24" x14ac:dyDescent="0.25">
      <c r="A3016" s="45">
        <v>220210022678</v>
      </c>
      <c r="B3016" s="46" t="s">
        <v>204</v>
      </c>
      <c r="C3016" s="47">
        <v>44333</v>
      </c>
      <c r="D3016" s="45">
        <v>22021001039</v>
      </c>
      <c r="E3016" s="46" t="s">
        <v>844</v>
      </c>
      <c r="F3016" s="48">
        <v>136.09</v>
      </c>
      <c r="G3016" s="54" t="s">
        <v>238</v>
      </c>
      <c r="H3016" s="54" t="s">
        <v>4584</v>
      </c>
      <c r="I3016" s="53" t="s">
        <v>205</v>
      </c>
      <c r="J3016" s="54" t="s">
        <v>127</v>
      </c>
      <c r="K3016" s="54" t="s">
        <v>127</v>
      </c>
      <c r="L3016" s="54" t="s">
        <v>15</v>
      </c>
      <c r="M3016" s="54" t="s">
        <v>13</v>
      </c>
      <c r="N3016" s="54" t="s">
        <v>14</v>
      </c>
      <c r="O3016" s="49" t="s">
        <v>814</v>
      </c>
      <c r="P3016" s="54" t="s">
        <v>3392</v>
      </c>
      <c r="Q3016" s="35" t="str">
        <f>MID(Tabla1[[#This Row],[Aplicación]],14,1)</f>
        <v>2</v>
      </c>
      <c r="R3016" s="35" t="s">
        <v>495</v>
      </c>
      <c r="S3016" s="35" t="str">
        <f>MID(Tabla1[[#This Row],[Aplicación]],6,2)</f>
        <v>10</v>
      </c>
      <c r="T3016" s="35" t="str">
        <f>VLOOKUP(Tabla1[[#This Row],[AREA]],Hoja1!A:B,2,FALSE)</f>
        <v>10. Servicios sociales y mediación comunitaria</v>
      </c>
      <c r="U3016" s="35" t="str">
        <f>MID(Tabla1[[#This Row],[Aplicación]],9,4)</f>
        <v>2312</v>
      </c>
      <c r="V3016" s="35" t="str">
        <f>VLOOKUP(Tabla1[[#This Row],[PROGRAMA]],Hoja1!A:B,2,FALSE)</f>
        <v>2312. Iniciativas sociales</v>
      </c>
      <c r="W3016" s="35" t="str">
        <f>MID(Tabla1[[#This Row],[Aplicación]],14,2)</f>
        <v>21</v>
      </c>
      <c r="X3016" s="35" t="str">
        <f>MID(Tabla1[[#This Row],[Aplicación]],14,6)</f>
        <v>212</v>
      </c>
    </row>
    <row r="3017" spans="1:24" x14ac:dyDescent="0.25">
      <c r="A3017" s="45">
        <v>220210016386</v>
      </c>
      <c r="B3017" s="46" t="s">
        <v>9</v>
      </c>
      <c r="C3017" s="47">
        <v>44306</v>
      </c>
      <c r="D3017" s="45">
        <v>22021003975</v>
      </c>
      <c r="E3017" s="46" t="s">
        <v>2543</v>
      </c>
      <c r="F3017" s="48">
        <v>112.8</v>
      </c>
      <c r="G3017" s="54" t="s">
        <v>298</v>
      </c>
      <c r="H3017" s="54" t="s">
        <v>4585</v>
      </c>
      <c r="I3017" s="53" t="s">
        <v>125</v>
      </c>
      <c r="J3017" s="54" t="s">
        <v>127</v>
      </c>
      <c r="K3017" s="54" t="s">
        <v>127</v>
      </c>
      <c r="L3017" s="54" t="s">
        <v>15</v>
      </c>
      <c r="M3017" s="54" t="s">
        <v>10</v>
      </c>
      <c r="N3017" s="54" t="s">
        <v>11</v>
      </c>
      <c r="O3017" s="49" t="s">
        <v>815</v>
      </c>
      <c r="P3017" s="54" t="s">
        <v>3392</v>
      </c>
      <c r="Q3017" s="35" t="str">
        <f>MID(Tabla1[[#This Row],[Aplicación]],14,1)</f>
        <v>2</v>
      </c>
      <c r="R3017" s="35" t="s">
        <v>495</v>
      </c>
      <c r="S3017" s="35" t="str">
        <f>MID(Tabla1[[#This Row],[Aplicación]],6,2)</f>
        <v>03</v>
      </c>
      <c r="T3017" s="35" t="str">
        <f>VLOOKUP(Tabla1[[#This Row],[AREA]],Hoja1!A:B,2,FALSE)</f>
        <v>03. Participación ciudadana y deportes</v>
      </c>
      <c r="U3017" s="35" t="str">
        <f>MID(Tabla1[[#This Row],[Aplicación]],9,4)</f>
        <v>9241</v>
      </c>
      <c r="V3017" s="35" t="str">
        <f>VLOOKUP(Tabla1[[#This Row],[PROGRAMA]],Hoja1!A:B,2,FALSE)</f>
        <v>9241. Participación ciudadana</v>
      </c>
      <c r="W3017" s="35" t="str">
        <f>MID(Tabla1[[#This Row],[Aplicación]],14,2)</f>
        <v>22</v>
      </c>
      <c r="X3017" s="35" t="str">
        <f>MID(Tabla1[[#This Row],[Aplicación]],14,6)</f>
        <v>22110</v>
      </c>
    </row>
    <row r="3018" spans="1:24" x14ac:dyDescent="0.25">
      <c r="A3018" s="45">
        <v>220210027611</v>
      </c>
      <c r="B3018" s="46" t="s">
        <v>204</v>
      </c>
      <c r="C3018" s="47">
        <v>44348</v>
      </c>
      <c r="D3018" s="45">
        <v>22021002088</v>
      </c>
      <c r="E3018" s="46" t="s">
        <v>1478</v>
      </c>
      <c r="F3018" s="48">
        <v>134.69999999999999</v>
      </c>
      <c r="G3018" s="54" t="s">
        <v>238</v>
      </c>
      <c r="H3018" s="54" t="s">
        <v>4586</v>
      </c>
      <c r="I3018" s="53" t="s">
        <v>205</v>
      </c>
      <c r="J3018" s="54" t="s">
        <v>127</v>
      </c>
      <c r="K3018" s="54" t="s">
        <v>127</v>
      </c>
      <c r="L3018" s="54" t="s">
        <v>15</v>
      </c>
      <c r="M3018" s="54" t="s">
        <v>13</v>
      </c>
      <c r="N3018" s="54" t="s">
        <v>16</v>
      </c>
      <c r="O3018" s="49" t="s">
        <v>814</v>
      </c>
      <c r="P3018" s="54" t="s">
        <v>3392</v>
      </c>
      <c r="Q3018" s="35" t="str">
        <f>MID(Tabla1[[#This Row],[Aplicación]],14,1)</f>
        <v>2</v>
      </c>
      <c r="R3018" s="35" t="s">
        <v>495</v>
      </c>
      <c r="S3018" s="35" t="str">
        <f>MID(Tabla1[[#This Row],[Aplicación]],6,2)</f>
        <v>03</v>
      </c>
      <c r="T3018" s="35" t="str">
        <f>VLOOKUP(Tabla1[[#This Row],[AREA]],Hoja1!A:B,2,FALSE)</f>
        <v>03. Participación ciudadana y deportes</v>
      </c>
      <c r="U3018" s="35" t="str">
        <f>MID(Tabla1[[#This Row],[Aplicación]],9,4)</f>
        <v>9241</v>
      </c>
      <c r="V3018" s="35" t="str">
        <f>VLOOKUP(Tabla1[[#This Row],[PROGRAMA]],Hoja1!A:B,2,FALSE)</f>
        <v>9241. Participación ciudadana</v>
      </c>
      <c r="W3018" s="35" t="str">
        <f>MID(Tabla1[[#This Row],[Aplicación]],14,2)</f>
        <v>21</v>
      </c>
      <c r="X3018" s="35" t="str">
        <f>MID(Tabla1[[#This Row],[Aplicación]],14,6)</f>
        <v>212</v>
      </c>
    </row>
    <row r="3019" spans="1:24" x14ac:dyDescent="0.25">
      <c r="A3019" s="45">
        <v>220210020780</v>
      </c>
      <c r="B3019" s="46" t="s">
        <v>204</v>
      </c>
      <c r="C3019" s="47">
        <v>44323</v>
      </c>
      <c r="D3019" s="45">
        <v>22021002088</v>
      </c>
      <c r="E3019" s="46" t="s">
        <v>1478</v>
      </c>
      <c r="F3019" s="48">
        <v>134.52000000000001</v>
      </c>
      <c r="G3019" s="54" t="s">
        <v>266</v>
      </c>
      <c r="H3019" s="54" t="s">
        <v>4587</v>
      </c>
      <c r="I3019" s="53" t="s">
        <v>205</v>
      </c>
      <c r="J3019" s="54" t="s">
        <v>127</v>
      </c>
      <c r="K3019" s="54" t="s">
        <v>127</v>
      </c>
      <c r="L3019" s="54" t="s">
        <v>15</v>
      </c>
      <c r="M3019" s="54" t="s">
        <v>13</v>
      </c>
      <c r="N3019" s="54" t="s">
        <v>16</v>
      </c>
      <c r="O3019" s="49" t="s">
        <v>814</v>
      </c>
      <c r="P3019" s="54" t="s">
        <v>3392</v>
      </c>
      <c r="Q3019" s="35" t="str">
        <f>MID(Tabla1[[#This Row],[Aplicación]],14,1)</f>
        <v>2</v>
      </c>
      <c r="R3019" s="35" t="s">
        <v>495</v>
      </c>
      <c r="S3019" s="35" t="str">
        <f>MID(Tabla1[[#This Row],[Aplicación]],6,2)</f>
        <v>03</v>
      </c>
      <c r="T3019" s="35" t="str">
        <f>VLOOKUP(Tabla1[[#This Row],[AREA]],Hoja1!A:B,2,FALSE)</f>
        <v>03. Participación ciudadana y deportes</v>
      </c>
      <c r="U3019" s="35" t="str">
        <f>MID(Tabla1[[#This Row],[Aplicación]],9,4)</f>
        <v>9241</v>
      </c>
      <c r="V3019" s="35" t="str">
        <f>VLOOKUP(Tabla1[[#This Row],[PROGRAMA]],Hoja1!A:B,2,FALSE)</f>
        <v>9241. Participación ciudadana</v>
      </c>
      <c r="W3019" s="35" t="str">
        <f>MID(Tabla1[[#This Row],[Aplicación]],14,2)</f>
        <v>21</v>
      </c>
      <c r="X3019" s="35" t="str">
        <f>MID(Tabla1[[#This Row],[Aplicación]],14,6)</f>
        <v>212</v>
      </c>
    </row>
    <row r="3020" spans="1:24" x14ac:dyDescent="0.25">
      <c r="A3020" s="45">
        <v>220210018891</v>
      </c>
      <c r="B3020" s="46" t="s">
        <v>204</v>
      </c>
      <c r="C3020" s="47">
        <v>44314</v>
      </c>
      <c r="D3020" s="45">
        <v>22021002046</v>
      </c>
      <c r="E3020" s="46" t="s">
        <v>2155</v>
      </c>
      <c r="F3020" s="48">
        <v>130.05000000000001</v>
      </c>
      <c r="G3020" s="54" t="s">
        <v>235</v>
      </c>
      <c r="H3020" s="54" t="s">
        <v>4588</v>
      </c>
      <c r="I3020" s="53" t="s">
        <v>205</v>
      </c>
      <c r="J3020" s="54" t="s">
        <v>742</v>
      </c>
      <c r="K3020" s="54" t="s">
        <v>165</v>
      </c>
      <c r="L3020" s="54" t="s">
        <v>15</v>
      </c>
      <c r="M3020" s="54" t="s">
        <v>13</v>
      </c>
      <c r="N3020" s="54" t="s">
        <v>16</v>
      </c>
      <c r="O3020" s="49" t="s">
        <v>814</v>
      </c>
      <c r="P3020" s="54" t="s">
        <v>3392</v>
      </c>
      <c r="Q3020" s="35" t="str">
        <f>MID(Tabla1[[#This Row],[Aplicación]],14,1)</f>
        <v>2</v>
      </c>
      <c r="R3020" s="35" t="s">
        <v>495</v>
      </c>
      <c r="S3020" s="35" t="str">
        <f>MID(Tabla1[[#This Row],[Aplicación]],6,2)</f>
        <v>11</v>
      </c>
      <c r="T3020" s="35" t="str">
        <f>VLOOKUP(Tabla1[[#This Row],[AREA]],Hoja1!A:B,2,FALSE)</f>
        <v>11. Salud pública y seguridad ciudadana</v>
      </c>
      <c r="U3020" s="35" t="str">
        <f>MID(Tabla1[[#This Row],[Aplicación]],9,4)</f>
        <v>1621</v>
      </c>
      <c r="V3020" s="35" t="str">
        <f>VLOOKUP(Tabla1[[#This Row],[PROGRAMA]],Hoja1!A:B,2,FALSE)</f>
        <v>1621. Servicio de limpieza</v>
      </c>
      <c r="W3020" s="35" t="str">
        <f>MID(Tabla1[[#This Row],[Aplicación]],14,2)</f>
        <v>21</v>
      </c>
      <c r="X3020" s="35" t="str">
        <f>MID(Tabla1[[#This Row],[Aplicación]],14,6)</f>
        <v>212</v>
      </c>
    </row>
    <row r="3021" spans="1:24" x14ac:dyDescent="0.25">
      <c r="A3021" s="45">
        <v>220210020663</v>
      </c>
      <c r="B3021" s="46" t="s">
        <v>204</v>
      </c>
      <c r="C3021" s="47">
        <v>44323</v>
      </c>
      <c r="D3021" s="45">
        <v>22021002374</v>
      </c>
      <c r="E3021" s="46" t="s">
        <v>1336</v>
      </c>
      <c r="F3021" s="48">
        <v>128.94999999999999</v>
      </c>
      <c r="G3021" s="54" t="s">
        <v>238</v>
      </c>
      <c r="H3021" s="54" t="s">
        <v>4589</v>
      </c>
      <c r="I3021" s="53" t="s">
        <v>205</v>
      </c>
      <c r="J3021" s="54" t="s">
        <v>127</v>
      </c>
      <c r="K3021" s="54" t="s">
        <v>127</v>
      </c>
      <c r="L3021" s="54" t="s">
        <v>15</v>
      </c>
      <c r="M3021" s="54" t="s">
        <v>13</v>
      </c>
      <c r="N3021" s="54" t="s">
        <v>14</v>
      </c>
      <c r="O3021" s="49" t="s">
        <v>814</v>
      </c>
      <c r="P3021" s="54" t="s">
        <v>3392</v>
      </c>
      <c r="Q3021" s="35" t="str">
        <f>MID(Tabla1[[#This Row],[Aplicación]],14,1)</f>
        <v>2</v>
      </c>
      <c r="R3021" s="35" t="s">
        <v>495</v>
      </c>
      <c r="S3021" s="35" t="str">
        <f>MID(Tabla1[[#This Row],[Aplicación]],6,2)</f>
        <v>02</v>
      </c>
      <c r="T3021" s="35" t="str">
        <f>VLOOKUP(Tabla1[[#This Row],[AREA]],Hoja1!A:B,2,FALSE)</f>
        <v>02. Planeamiento urbanístico y vivienda</v>
      </c>
      <c r="U3021" s="35" t="str">
        <f>MID(Tabla1[[#This Row],[Aplicación]],9,4)</f>
        <v>9332</v>
      </c>
      <c r="V3021" s="35" t="str">
        <f>VLOOKUP(Tabla1[[#This Row],[PROGRAMA]],Hoja1!A:B,2,FALSE)</f>
        <v>9332. Mantenimiento de edificios e instalaciones municipales</v>
      </c>
      <c r="W3021" s="35" t="str">
        <f>MID(Tabla1[[#This Row],[Aplicación]],14,2)</f>
        <v>21</v>
      </c>
      <c r="X3021" s="35" t="str">
        <f>MID(Tabla1[[#This Row],[Aplicación]],14,6)</f>
        <v>212</v>
      </c>
    </row>
    <row r="3022" spans="1:24" x14ac:dyDescent="0.25">
      <c r="A3022" s="45">
        <v>220210023159</v>
      </c>
      <c r="B3022" s="46" t="s">
        <v>9</v>
      </c>
      <c r="C3022" s="47">
        <v>44335</v>
      </c>
      <c r="D3022" s="45">
        <v>22021004443</v>
      </c>
      <c r="E3022" s="46" t="s">
        <v>1189</v>
      </c>
      <c r="F3022" s="48">
        <v>108.9</v>
      </c>
      <c r="G3022" s="54" t="s">
        <v>1908</v>
      </c>
      <c r="H3022" s="54" t="s">
        <v>4590</v>
      </c>
      <c r="I3022" s="53" t="s">
        <v>125</v>
      </c>
      <c r="J3022" s="54" t="s">
        <v>126</v>
      </c>
      <c r="K3022" s="54" t="s">
        <v>126</v>
      </c>
      <c r="L3022" s="54" t="s">
        <v>12</v>
      </c>
      <c r="M3022" s="54" t="s">
        <v>10</v>
      </c>
      <c r="N3022" s="54" t="s">
        <v>11</v>
      </c>
      <c r="O3022" s="49" t="s">
        <v>815</v>
      </c>
      <c r="P3022" s="54" t="s">
        <v>3392</v>
      </c>
      <c r="Q3022" s="35" t="str">
        <f>MID(Tabla1[[#This Row],[Aplicación]],14,1)</f>
        <v>2</v>
      </c>
      <c r="R3022" s="35" t="s">
        <v>495</v>
      </c>
      <c r="S3022" s="35" t="str">
        <f>MID(Tabla1[[#This Row],[Aplicación]],6,2)</f>
        <v>10</v>
      </c>
      <c r="T3022" s="35" t="str">
        <f>VLOOKUP(Tabla1[[#This Row],[AREA]],Hoja1!A:B,2,FALSE)</f>
        <v>10. Servicios sociales y mediación comunitaria</v>
      </c>
      <c r="U3022" s="35" t="str">
        <f>MID(Tabla1[[#This Row],[Aplicación]],9,4)</f>
        <v>2311</v>
      </c>
      <c r="V3022" s="35" t="str">
        <f>VLOOKUP(Tabla1[[#This Row],[PROGRAMA]],Hoja1!A:B,2,FALSE)</f>
        <v>2311. Intervención social</v>
      </c>
      <c r="W3022" s="35" t="str">
        <f>MID(Tabla1[[#This Row],[Aplicación]],14,2)</f>
        <v>22</v>
      </c>
      <c r="X3022" s="35" t="str">
        <f>MID(Tabla1[[#This Row],[Aplicación]],14,6)</f>
        <v>22700</v>
      </c>
    </row>
    <row r="3023" spans="1:24" x14ac:dyDescent="0.25">
      <c r="A3023" s="45">
        <v>220210018875</v>
      </c>
      <c r="B3023" s="46" t="s">
        <v>204</v>
      </c>
      <c r="C3023" s="47">
        <v>44314</v>
      </c>
      <c r="D3023" s="45">
        <v>22021001968</v>
      </c>
      <c r="E3023" s="46" t="s">
        <v>1388</v>
      </c>
      <c r="F3023" s="48">
        <v>739.49</v>
      </c>
      <c r="G3023" s="54" t="s">
        <v>235</v>
      </c>
      <c r="H3023" s="54" t="s">
        <v>4591</v>
      </c>
      <c r="I3023" s="53" t="s">
        <v>205</v>
      </c>
      <c r="J3023" s="54" t="s">
        <v>742</v>
      </c>
      <c r="K3023" s="54" t="s">
        <v>165</v>
      </c>
      <c r="L3023" s="54" t="s">
        <v>15</v>
      </c>
      <c r="M3023" s="54" t="s">
        <v>13</v>
      </c>
      <c r="N3023" s="54" t="s">
        <v>14</v>
      </c>
      <c r="O3023" s="49" t="s">
        <v>814</v>
      </c>
      <c r="P3023" s="54" t="s">
        <v>3392</v>
      </c>
      <c r="Q3023" s="35" t="str">
        <f>MID(Tabla1[[#This Row],[Aplicación]],14,1)</f>
        <v>2</v>
      </c>
      <c r="R3023" s="35" t="s">
        <v>495</v>
      </c>
      <c r="S3023" s="35" t="str">
        <f>MID(Tabla1[[#This Row],[Aplicación]],6,2)</f>
        <v>11</v>
      </c>
      <c r="T3023" s="35" t="str">
        <f>VLOOKUP(Tabla1[[#This Row],[AREA]],Hoja1!A:B,2,FALSE)</f>
        <v>11. Salud pública y seguridad ciudadana</v>
      </c>
      <c r="U3023" s="35" t="str">
        <f>MID(Tabla1[[#This Row],[Aplicación]],9,4)</f>
        <v>1321</v>
      </c>
      <c r="V3023" s="35" t="str">
        <f>VLOOKUP(Tabla1[[#This Row],[PROGRAMA]],Hoja1!A:B,2,FALSE)</f>
        <v>1321. Policía municipal</v>
      </c>
      <c r="W3023" s="35" t="str">
        <f>MID(Tabla1[[#This Row],[Aplicación]],14,2)</f>
        <v>22</v>
      </c>
      <c r="X3023" s="35" t="str">
        <f>MID(Tabla1[[#This Row],[Aplicación]],14,6)</f>
        <v>22199</v>
      </c>
    </row>
    <row r="3024" spans="1:24" x14ac:dyDescent="0.25">
      <c r="A3024" s="45">
        <v>220210016816</v>
      </c>
      <c r="B3024" s="46" t="s">
        <v>204</v>
      </c>
      <c r="C3024" s="47">
        <v>44308</v>
      </c>
      <c r="D3024" s="45">
        <v>22021001275</v>
      </c>
      <c r="E3024" s="46" t="s">
        <v>1334</v>
      </c>
      <c r="F3024" s="48">
        <v>0.48</v>
      </c>
      <c r="G3024" s="54" t="s">
        <v>277</v>
      </c>
      <c r="H3024" s="54" t="s">
        <v>1461</v>
      </c>
      <c r="I3024" s="53" t="s">
        <v>205</v>
      </c>
      <c r="J3024" s="54" t="s">
        <v>127</v>
      </c>
      <c r="K3024" s="54" t="s">
        <v>127</v>
      </c>
      <c r="L3024" s="54" t="s">
        <v>15</v>
      </c>
      <c r="M3024" s="54" t="s">
        <v>13</v>
      </c>
      <c r="N3024" s="54" t="s">
        <v>14</v>
      </c>
      <c r="O3024" s="49" t="s">
        <v>814</v>
      </c>
      <c r="P3024" s="54" t="s">
        <v>3392</v>
      </c>
      <c r="Q3024" s="35" t="str">
        <f>MID(Tabla1[[#This Row],[Aplicación]],14,1)</f>
        <v>2</v>
      </c>
      <c r="R3024" s="35" t="s">
        <v>495</v>
      </c>
      <c r="S3024" s="35" t="str">
        <f>MID(Tabla1[[#This Row],[Aplicación]],6,2)</f>
        <v>07</v>
      </c>
      <c r="T3024" s="35" t="str">
        <f>VLOOKUP(Tabla1[[#This Row],[AREA]],Hoja1!A:B,2,FALSE)</f>
        <v>07. Medio ambiente y desarrollo sostenible</v>
      </c>
      <c r="U3024" s="35" t="str">
        <f>MID(Tabla1[[#This Row],[Aplicación]],9,4)</f>
        <v>1711</v>
      </c>
      <c r="V3024" s="35" t="str">
        <f>VLOOKUP(Tabla1[[#This Row],[PROGRAMA]],Hoja1!A:B,2,FALSE)</f>
        <v>1711. Parques y jardines</v>
      </c>
      <c r="W3024" s="35" t="str">
        <f>MID(Tabla1[[#This Row],[Aplicación]],14,2)</f>
        <v>22</v>
      </c>
      <c r="X3024" s="35" t="str">
        <f>MID(Tabla1[[#This Row],[Aplicación]],14,6)</f>
        <v>22199</v>
      </c>
    </row>
    <row r="3025" spans="1:24" x14ac:dyDescent="0.25">
      <c r="A3025" s="45">
        <v>220210025657</v>
      </c>
      <c r="B3025" s="46" t="s">
        <v>204</v>
      </c>
      <c r="C3025" s="47">
        <v>44343</v>
      </c>
      <c r="D3025" s="45">
        <v>22021002059</v>
      </c>
      <c r="E3025" s="46" t="s">
        <v>1183</v>
      </c>
      <c r="F3025" s="48">
        <v>6.81</v>
      </c>
      <c r="G3025" s="54" t="s">
        <v>277</v>
      </c>
      <c r="H3025" s="54" t="s">
        <v>4592</v>
      </c>
      <c r="I3025" s="53" t="s">
        <v>205</v>
      </c>
      <c r="J3025" s="54" t="s">
        <v>127</v>
      </c>
      <c r="K3025" s="54" t="s">
        <v>127</v>
      </c>
      <c r="L3025" s="54" t="s">
        <v>15</v>
      </c>
      <c r="M3025" s="54" t="s">
        <v>13</v>
      </c>
      <c r="N3025" s="54" t="s">
        <v>14</v>
      </c>
      <c r="O3025" s="49" t="s">
        <v>814</v>
      </c>
      <c r="P3025" s="54" t="s">
        <v>3392</v>
      </c>
      <c r="Q3025" s="35" t="str">
        <f>MID(Tabla1[[#This Row],[Aplicación]],14,1)</f>
        <v>2</v>
      </c>
      <c r="R3025" s="35" t="s">
        <v>495</v>
      </c>
      <c r="S3025" s="35" t="str">
        <f>MID(Tabla1[[#This Row],[Aplicación]],6,2)</f>
        <v>11</v>
      </c>
      <c r="T3025" s="35" t="str">
        <f>VLOOKUP(Tabla1[[#This Row],[AREA]],Hoja1!A:B,2,FALSE)</f>
        <v>11. Salud pública y seguridad ciudadana</v>
      </c>
      <c r="U3025" s="35" t="str">
        <f>MID(Tabla1[[#This Row],[Aplicación]],9,4)</f>
        <v>1361</v>
      </c>
      <c r="V3025" s="35" t="str">
        <f>VLOOKUP(Tabla1[[#This Row],[PROGRAMA]],Hoja1!A:B,2,FALSE)</f>
        <v>1361. Prevención y extinción de incencios</v>
      </c>
      <c r="W3025" s="35" t="str">
        <f>MID(Tabla1[[#This Row],[Aplicación]],14,2)</f>
        <v>22</v>
      </c>
      <c r="X3025" s="35" t="str">
        <f>MID(Tabla1[[#This Row],[Aplicación]],14,6)</f>
        <v>22199</v>
      </c>
    </row>
    <row r="3026" spans="1:24" x14ac:dyDescent="0.25">
      <c r="A3026" s="45">
        <v>220210030211</v>
      </c>
      <c r="B3026" s="46" t="s">
        <v>204</v>
      </c>
      <c r="C3026" s="47">
        <v>44357</v>
      </c>
      <c r="D3026" s="45">
        <v>22021002048</v>
      </c>
      <c r="E3026" s="46" t="s">
        <v>890</v>
      </c>
      <c r="F3026" s="48">
        <v>125.19</v>
      </c>
      <c r="G3026" s="54" t="s">
        <v>265</v>
      </c>
      <c r="H3026" s="54" t="s">
        <v>4593</v>
      </c>
      <c r="I3026" s="53" t="s">
        <v>205</v>
      </c>
      <c r="J3026" s="54" t="s">
        <v>157</v>
      </c>
      <c r="K3026" s="54" t="s">
        <v>157</v>
      </c>
      <c r="L3026" s="54" t="s">
        <v>15</v>
      </c>
      <c r="M3026" s="54" t="s">
        <v>13</v>
      </c>
      <c r="N3026" s="54" t="s">
        <v>14</v>
      </c>
      <c r="O3026" s="49" t="s">
        <v>814</v>
      </c>
      <c r="P3026" s="54" t="s">
        <v>3392</v>
      </c>
      <c r="Q3026" s="35" t="str">
        <f>MID(Tabla1[[#This Row],[Aplicación]],14,1)</f>
        <v>2</v>
      </c>
      <c r="R3026" s="35" t="s">
        <v>495</v>
      </c>
      <c r="S3026" s="35" t="str">
        <f>MID(Tabla1[[#This Row],[Aplicación]],6,2)</f>
        <v>11</v>
      </c>
      <c r="T3026" s="35" t="str">
        <f>VLOOKUP(Tabla1[[#This Row],[AREA]],Hoja1!A:B,2,FALSE)</f>
        <v>11. Salud pública y seguridad ciudadana</v>
      </c>
      <c r="U3026" s="35" t="str">
        <f>MID(Tabla1[[#This Row],[Aplicación]],9,4)</f>
        <v>1621</v>
      </c>
      <c r="V3026" s="35" t="str">
        <f>VLOOKUP(Tabla1[[#This Row],[PROGRAMA]],Hoja1!A:B,2,FALSE)</f>
        <v>1621. Servicio de limpieza</v>
      </c>
      <c r="W3026" s="35" t="str">
        <f>MID(Tabla1[[#This Row],[Aplicación]],14,2)</f>
        <v>21</v>
      </c>
      <c r="X3026" s="35" t="str">
        <f>MID(Tabla1[[#This Row],[Aplicación]],14,6)</f>
        <v>214</v>
      </c>
    </row>
    <row r="3027" spans="1:24" x14ac:dyDescent="0.25">
      <c r="A3027" s="45">
        <v>220210033146</v>
      </c>
      <c r="B3027" s="46" t="s">
        <v>204</v>
      </c>
      <c r="C3027" s="47">
        <v>44377</v>
      </c>
      <c r="D3027" s="45">
        <v>22021002088</v>
      </c>
      <c r="E3027" s="46" t="s">
        <v>1478</v>
      </c>
      <c r="F3027" s="48">
        <v>124.75</v>
      </c>
      <c r="G3027" s="54" t="s">
        <v>266</v>
      </c>
      <c r="H3027" s="54" t="s">
        <v>4594</v>
      </c>
      <c r="I3027" s="53" t="s">
        <v>205</v>
      </c>
      <c r="J3027" s="54" t="s">
        <v>127</v>
      </c>
      <c r="K3027" s="54" t="s">
        <v>127</v>
      </c>
      <c r="L3027" s="54" t="s">
        <v>15</v>
      </c>
      <c r="M3027" s="54" t="s">
        <v>13</v>
      </c>
      <c r="N3027" s="54" t="s">
        <v>16</v>
      </c>
      <c r="O3027" s="49" t="s">
        <v>814</v>
      </c>
      <c r="P3027" s="54" t="s">
        <v>3392</v>
      </c>
      <c r="Q3027" s="35" t="str">
        <f>MID(Tabla1[[#This Row],[Aplicación]],14,1)</f>
        <v>2</v>
      </c>
      <c r="R3027" s="35" t="s">
        <v>495</v>
      </c>
      <c r="S3027" s="35" t="str">
        <f>MID(Tabla1[[#This Row],[Aplicación]],6,2)</f>
        <v>03</v>
      </c>
      <c r="T3027" s="35" t="str">
        <f>VLOOKUP(Tabla1[[#This Row],[AREA]],Hoja1!A:B,2,FALSE)</f>
        <v>03. Participación ciudadana y deportes</v>
      </c>
      <c r="U3027" s="35" t="str">
        <f>MID(Tabla1[[#This Row],[Aplicación]],9,4)</f>
        <v>9241</v>
      </c>
      <c r="V3027" s="35" t="str">
        <f>VLOOKUP(Tabla1[[#This Row],[PROGRAMA]],Hoja1!A:B,2,FALSE)</f>
        <v>9241. Participación ciudadana</v>
      </c>
      <c r="W3027" s="35" t="str">
        <f>MID(Tabla1[[#This Row],[Aplicación]],14,2)</f>
        <v>21</v>
      </c>
      <c r="X3027" s="35" t="str">
        <f>MID(Tabla1[[#This Row],[Aplicación]],14,6)</f>
        <v>212</v>
      </c>
    </row>
    <row r="3028" spans="1:24" x14ac:dyDescent="0.25">
      <c r="A3028" s="45">
        <v>220210018989</v>
      </c>
      <c r="B3028" s="46" t="s">
        <v>9</v>
      </c>
      <c r="C3028" s="47">
        <v>44316</v>
      </c>
      <c r="D3028" s="45">
        <v>22021004216</v>
      </c>
      <c r="E3028" s="46" t="s">
        <v>1478</v>
      </c>
      <c r="F3028" s="48">
        <v>104.5</v>
      </c>
      <c r="G3028" s="54" t="s">
        <v>302</v>
      </c>
      <c r="H3028" s="54" t="s">
        <v>4595</v>
      </c>
      <c r="I3028" s="53" t="s">
        <v>125</v>
      </c>
      <c r="J3028" s="54" t="s">
        <v>700</v>
      </c>
      <c r="K3028" s="54" t="s">
        <v>127</v>
      </c>
      <c r="L3028" s="54" t="s">
        <v>15</v>
      </c>
      <c r="M3028" s="54" t="s">
        <v>10</v>
      </c>
      <c r="N3028" s="54" t="s">
        <v>11</v>
      </c>
      <c r="O3028" s="49" t="s">
        <v>815</v>
      </c>
      <c r="P3028" s="54" t="s">
        <v>3392</v>
      </c>
      <c r="Q3028" s="35" t="str">
        <f>MID(Tabla1[[#This Row],[Aplicación]],14,1)</f>
        <v>2</v>
      </c>
      <c r="R3028" s="35" t="s">
        <v>495</v>
      </c>
      <c r="S3028" s="35" t="str">
        <f>MID(Tabla1[[#This Row],[Aplicación]],6,2)</f>
        <v>03</v>
      </c>
      <c r="T3028" s="35" t="str">
        <f>VLOOKUP(Tabla1[[#This Row],[AREA]],Hoja1!A:B,2,FALSE)</f>
        <v>03. Participación ciudadana y deportes</v>
      </c>
      <c r="U3028" s="35" t="str">
        <f>MID(Tabla1[[#This Row],[Aplicación]],9,4)</f>
        <v>9241</v>
      </c>
      <c r="V3028" s="35" t="str">
        <f>VLOOKUP(Tabla1[[#This Row],[PROGRAMA]],Hoja1!A:B,2,FALSE)</f>
        <v>9241. Participación ciudadana</v>
      </c>
      <c r="W3028" s="35" t="str">
        <f>MID(Tabla1[[#This Row],[Aplicación]],14,2)</f>
        <v>21</v>
      </c>
      <c r="X3028" s="35" t="str">
        <f>MID(Tabla1[[#This Row],[Aplicación]],14,6)</f>
        <v>212</v>
      </c>
    </row>
    <row r="3029" spans="1:24" x14ac:dyDescent="0.25">
      <c r="A3029" s="45">
        <v>220210018915</v>
      </c>
      <c r="B3029" s="46" t="s">
        <v>204</v>
      </c>
      <c r="C3029" s="47">
        <v>44314</v>
      </c>
      <c r="D3029" s="45">
        <v>22021003187</v>
      </c>
      <c r="E3029" s="46" t="s">
        <v>1884</v>
      </c>
      <c r="F3029" s="48">
        <v>123.5</v>
      </c>
      <c r="G3029" s="54" t="s">
        <v>223</v>
      </c>
      <c r="H3029" s="54" t="s">
        <v>4596</v>
      </c>
      <c r="I3029" s="53" t="s">
        <v>205</v>
      </c>
      <c r="J3029" s="54" t="s">
        <v>127</v>
      </c>
      <c r="K3029" s="54" t="s">
        <v>127</v>
      </c>
      <c r="L3029" s="54" t="s">
        <v>15</v>
      </c>
      <c r="M3029" s="54" t="s">
        <v>13</v>
      </c>
      <c r="N3029" s="54" t="s">
        <v>14</v>
      </c>
      <c r="O3029" s="49" t="s">
        <v>814</v>
      </c>
      <c r="P3029" s="54" t="s">
        <v>3392</v>
      </c>
      <c r="Q3029" s="35" t="str">
        <f>MID(Tabla1[[#This Row],[Aplicación]],14,1)</f>
        <v>2</v>
      </c>
      <c r="R3029" s="35" t="s">
        <v>495</v>
      </c>
      <c r="S3029" s="35" t="str">
        <f>MID(Tabla1[[#This Row],[Aplicación]],6,2)</f>
        <v>06</v>
      </c>
      <c r="T3029" s="35" t="str">
        <f>VLOOKUP(Tabla1[[#This Row],[AREA]],Hoja1!A:B,2,FALSE)</f>
        <v>06. Educación, infancia, juventud e igualdad</v>
      </c>
      <c r="U3029" s="35" t="str">
        <f>MID(Tabla1[[#This Row],[Aplicación]],9,4)</f>
        <v>2314</v>
      </c>
      <c r="V3029" s="35" t="str">
        <f>VLOOKUP(Tabla1[[#This Row],[PROGRAMA]],Hoja1!A:B,2,FALSE)</f>
        <v>2314. Centro de programas juveniles</v>
      </c>
      <c r="W3029" s="35" t="str">
        <f>MID(Tabla1[[#This Row],[Aplicación]],14,2)</f>
        <v>21</v>
      </c>
      <c r="X3029" s="35" t="str">
        <f>MID(Tabla1[[#This Row],[Aplicación]],14,6)</f>
        <v>212</v>
      </c>
    </row>
    <row r="3030" spans="1:24" x14ac:dyDescent="0.25">
      <c r="A3030" s="45">
        <v>220210014525</v>
      </c>
      <c r="B3030" s="46" t="s">
        <v>204</v>
      </c>
      <c r="C3030" s="47">
        <v>44295</v>
      </c>
      <c r="D3030" s="45">
        <v>22021002227</v>
      </c>
      <c r="E3030" s="46" t="s">
        <v>1324</v>
      </c>
      <c r="F3030" s="48">
        <v>122.23</v>
      </c>
      <c r="G3030" s="54" t="s">
        <v>102</v>
      </c>
      <c r="H3030" s="54" t="s">
        <v>4597</v>
      </c>
      <c r="I3030" s="53" t="s">
        <v>205</v>
      </c>
      <c r="J3030" s="54" t="s">
        <v>127</v>
      </c>
      <c r="K3030" s="54" t="s">
        <v>127</v>
      </c>
      <c r="L3030" s="54" t="s">
        <v>15</v>
      </c>
      <c r="M3030" s="54" t="s">
        <v>13</v>
      </c>
      <c r="N3030" s="54" t="s">
        <v>16</v>
      </c>
      <c r="O3030" s="49" t="s">
        <v>814</v>
      </c>
      <c r="P3030" s="54" t="s">
        <v>3392</v>
      </c>
      <c r="Q3030" s="35" t="str">
        <f>MID(Tabla1[[#This Row],[Aplicación]],14,1)</f>
        <v>2</v>
      </c>
      <c r="R3030" s="35" t="s">
        <v>495</v>
      </c>
      <c r="S3030" s="35" t="str">
        <f>MID(Tabla1[[#This Row],[Aplicación]],6,2)</f>
        <v>06</v>
      </c>
      <c r="T3030" s="35" t="str">
        <f>VLOOKUP(Tabla1[[#This Row],[AREA]],Hoja1!A:B,2,FALSE)</f>
        <v>06. Educación, infancia, juventud e igualdad</v>
      </c>
      <c r="U3030" s="35" t="str">
        <f>MID(Tabla1[[#This Row],[Aplicación]],9,4)</f>
        <v>3321</v>
      </c>
      <c r="V3030" s="35" t="str">
        <f>VLOOKUP(Tabla1[[#This Row],[PROGRAMA]],Hoja1!A:B,2,FALSE)</f>
        <v>3321. Bibliotecas públicas</v>
      </c>
      <c r="W3030" s="35" t="str">
        <f>MID(Tabla1[[#This Row],[Aplicación]],14,2)</f>
        <v>21</v>
      </c>
      <c r="X3030" s="35" t="str">
        <f>MID(Tabla1[[#This Row],[Aplicación]],14,6)</f>
        <v>212</v>
      </c>
    </row>
    <row r="3031" spans="1:24" x14ac:dyDescent="0.25">
      <c r="A3031" s="45">
        <v>220210025708</v>
      </c>
      <c r="B3031" s="46" t="s">
        <v>204</v>
      </c>
      <c r="C3031" s="47">
        <v>44343</v>
      </c>
      <c r="D3031" s="45">
        <v>22021002371</v>
      </c>
      <c r="E3031" s="46" t="s">
        <v>1336</v>
      </c>
      <c r="F3031" s="48">
        <v>121.76</v>
      </c>
      <c r="G3031" s="54" t="s">
        <v>102</v>
      </c>
      <c r="H3031" s="54" t="s">
        <v>4598</v>
      </c>
      <c r="I3031" s="53" t="s">
        <v>205</v>
      </c>
      <c r="J3031" s="54" t="s">
        <v>127</v>
      </c>
      <c r="K3031" s="54" t="s">
        <v>127</v>
      </c>
      <c r="L3031" s="54" t="s">
        <v>15</v>
      </c>
      <c r="M3031" s="54" t="s">
        <v>13</v>
      </c>
      <c r="N3031" s="54" t="s">
        <v>14</v>
      </c>
      <c r="O3031" s="49" t="s">
        <v>814</v>
      </c>
      <c r="P3031" s="54" t="s">
        <v>3392</v>
      </c>
      <c r="Q3031" s="35" t="str">
        <f>MID(Tabla1[[#This Row],[Aplicación]],14,1)</f>
        <v>2</v>
      </c>
      <c r="R3031" s="35" t="s">
        <v>495</v>
      </c>
      <c r="S3031" s="35" t="str">
        <f>MID(Tabla1[[#This Row],[Aplicación]],6,2)</f>
        <v>02</v>
      </c>
      <c r="T3031" s="35" t="str">
        <f>VLOOKUP(Tabla1[[#This Row],[AREA]],Hoja1!A:B,2,FALSE)</f>
        <v>02. Planeamiento urbanístico y vivienda</v>
      </c>
      <c r="U3031" s="35" t="str">
        <f>MID(Tabla1[[#This Row],[Aplicación]],9,4)</f>
        <v>9332</v>
      </c>
      <c r="V3031" s="35" t="str">
        <f>VLOOKUP(Tabla1[[#This Row],[PROGRAMA]],Hoja1!A:B,2,FALSE)</f>
        <v>9332. Mantenimiento de edificios e instalaciones municipales</v>
      </c>
      <c r="W3031" s="35" t="str">
        <f>MID(Tabla1[[#This Row],[Aplicación]],14,2)</f>
        <v>21</v>
      </c>
      <c r="X3031" s="35" t="str">
        <f>MID(Tabla1[[#This Row],[Aplicación]],14,6)</f>
        <v>212</v>
      </c>
    </row>
    <row r="3032" spans="1:24" x14ac:dyDescent="0.25">
      <c r="A3032" s="45">
        <v>220210033076</v>
      </c>
      <c r="B3032" s="46" t="s">
        <v>9</v>
      </c>
      <c r="C3032" s="47">
        <v>44376</v>
      </c>
      <c r="D3032" s="45">
        <v>22021005101</v>
      </c>
      <c r="E3032" s="46" t="s">
        <v>1187</v>
      </c>
      <c r="F3032" s="48">
        <v>102.82</v>
      </c>
      <c r="G3032" s="54" t="s">
        <v>4599</v>
      </c>
      <c r="H3032" s="54" t="s">
        <v>4600</v>
      </c>
      <c r="I3032" s="53" t="s">
        <v>125</v>
      </c>
      <c r="J3032" s="54" t="s">
        <v>126</v>
      </c>
      <c r="K3032" s="54" t="s">
        <v>126</v>
      </c>
      <c r="L3032" s="54" t="s">
        <v>12</v>
      </c>
      <c r="M3032" s="54" t="s">
        <v>10</v>
      </c>
      <c r="N3032" s="54" t="s">
        <v>11</v>
      </c>
      <c r="O3032" s="49" t="s">
        <v>815</v>
      </c>
      <c r="P3032" s="54" t="s">
        <v>3392</v>
      </c>
      <c r="Q3032" s="35" t="str">
        <f>MID(Tabla1[[#This Row],[Aplicación]],14,1)</f>
        <v>2</v>
      </c>
      <c r="R3032" s="35" t="s">
        <v>495</v>
      </c>
      <c r="S3032" s="35" t="str">
        <f>MID(Tabla1[[#This Row],[Aplicación]],6,2)</f>
        <v>06</v>
      </c>
      <c r="T3032" s="35" t="str">
        <f>VLOOKUP(Tabla1[[#This Row],[AREA]],Hoja1!A:B,2,FALSE)</f>
        <v>06. Educación, infancia, juventud e igualdad</v>
      </c>
      <c r="U3032" s="35" t="str">
        <f>MID(Tabla1[[#This Row],[Aplicación]],9,4)</f>
        <v>2315</v>
      </c>
      <c r="V3032" s="35" t="str">
        <f>VLOOKUP(Tabla1[[#This Row],[PROGRAMA]],Hoja1!A:B,2,FALSE)</f>
        <v>2315. Políticas de Igualdad e infancia</v>
      </c>
      <c r="W3032" s="35" t="str">
        <f>MID(Tabla1[[#This Row],[Aplicación]],14,2)</f>
        <v>22</v>
      </c>
      <c r="X3032" s="35" t="str">
        <f>MID(Tabla1[[#This Row],[Aplicación]],14,6)</f>
        <v>22611</v>
      </c>
    </row>
    <row r="3033" spans="1:24" x14ac:dyDescent="0.25">
      <c r="A3033" s="45">
        <v>220210023559</v>
      </c>
      <c r="B3033" s="46" t="s">
        <v>9</v>
      </c>
      <c r="C3033" s="47">
        <v>44337</v>
      </c>
      <c r="D3033" s="45">
        <v>22021004476</v>
      </c>
      <c r="E3033" s="46" t="s">
        <v>1392</v>
      </c>
      <c r="F3033" s="48">
        <v>102.73</v>
      </c>
      <c r="G3033" s="54" t="s">
        <v>4143</v>
      </c>
      <c r="H3033" s="54" t="s">
        <v>4601</v>
      </c>
      <c r="I3033" s="53" t="s">
        <v>125</v>
      </c>
      <c r="J3033" s="54" t="s">
        <v>613</v>
      </c>
      <c r="K3033" s="54" t="s">
        <v>127</v>
      </c>
      <c r="L3033" s="54" t="s">
        <v>12</v>
      </c>
      <c r="M3033" s="54" t="s">
        <v>10</v>
      </c>
      <c r="N3033" s="54" t="s">
        <v>11</v>
      </c>
      <c r="O3033" s="49" t="s">
        <v>815</v>
      </c>
      <c r="P3033" s="54" t="s">
        <v>3392</v>
      </c>
      <c r="Q3033" s="35" t="str">
        <f>MID(Tabla1[[#This Row],[Aplicación]],14,1)</f>
        <v>2</v>
      </c>
      <c r="R3033" s="35" t="s">
        <v>495</v>
      </c>
      <c r="S3033" s="35" t="str">
        <f>MID(Tabla1[[#This Row],[Aplicación]],6,2)</f>
        <v>08</v>
      </c>
      <c r="T3033" s="35" t="str">
        <f>VLOOKUP(Tabla1[[#This Row],[AREA]],Hoja1!A:B,2,FALSE)</f>
        <v>08. Movilidad y espacio urbano</v>
      </c>
      <c r="U3033" s="35" t="str">
        <f>MID(Tabla1[[#This Row],[Aplicación]],9,4)</f>
        <v>1532</v>
      </c>
      <c r="V3033" s="35" t="str">
        <f>VLOOKUP(Tabla1[[#This Row],[PROGRAMA]],Hoja1!A:B,2,FALSE)</f>
        <v>1532. Pavimentación vias públicas y otros servicios urbanísticos</v>
      </c>
      <c r="W3033" s="35" t="str">
        <f>MID(Tabla1[[#This Row],[Aplicación]],14,2)</f>
        <v>21</v>
      </c>
      <c r="X3033" s="35" t="str">
        <f>MID(Tabla1[[#This Row],[Aplicación]],14,6)</f>
        <v>214</v>
      </c>
    </row>
    <row r="3034" spans="1:24" x14ac:dyDescent="0.25">
      <c r="A3034" s="45">
        <v>220210027716</v>
      </c>
      <c r="B3034" s="46" t="s">
        <v>204</v>
      </c>
      <c r="C3034" s="47">
        <v>44348</v>
      </c>
      <c r="D3034" s="45">
        <v>22021002374</v>
      </c>
      <c r="E3034" s="46" t="s">
        <v>1336</v>
      </c>
      <c r="F3034" s="48">
        <v>121.68</v>
      </c>
      <c r="G3034" s="54" t="s">
        <v>238</v>
      </c>
      <c r="H3034" s="54" t="s">
        <v>4602</v>
      </c>
      <c r="I3034" s="53" t="s">
        <v>205</v>
      </c>
      <c r="J3034" s="54" t="s">
        <v>127</v>
      </c>
      <c r="K3034" s="54" t="s">
        <v>127</v>
      </c>
      <c r="L3034" s="54" t="s">
        <v>15</v>
      </c>
      <c r="M3034" s="54" t="s">
        <v>13</v>
      </c>
      <c r="N3034" s="54" t="s">
        <v>14</v>
      </c>
      <c r="O3034" s="49" t="s">
        <v>814</v>
      </c>
      <c r="P3034" s="54" t="s">
        <v>3392</v>
      </c>
      <c r="Q3034" s="35" t="str">
        <f>MID(Tabla1[[#This Row],[Aplicación]],14,1)</f>
        <v>2</v>
      </c>
      <c r="R3034" s="35" t="s">
        <v>495</v>
      </c>
      <c r="S3034" s="35" t="str">
        <f>MID(Tabla1[[#This Row],[Aplicación]],6,2)</f>
        <v>02</v>
      </c>
      <c r="T3034" s="35" t="str">
        <f>VLOOKUP(Tabla1[[#This Row],[AREA]],Hoja1!A:B,2,FALSE)</f>
        <v>02. Planeamiento urbanístico y vivienda</v>
      </c>
      <c r="U3034" s="35" t="str">
        <f>MID(Tabla1[[#This Row],[Aplicación]],9,4)</f>
        <v>9332</v>
      </c>
      <c r="V3034" s="35" t="str">
        <f>VLOOKUP(Tabla1[[#This Row],[PROGRAMA]],Hoja1!A:B,2,FALSE)</f>
        <v>9332. Mantenimiento de edificios e instalaciones municipales</v>
      </c>
      <c r="W3034" s="35" t="str">
        <f>MID(Tabla1[[#This Row],[Aplicación]],14,2)</f>
        <v>21</v>
      </c>
      <c r="X3034" s="35" t="str">
        <f>MID(Tabla1[[#This Row],[Aplicación]],14,6)</f>
        <v>212</v>
      </c>
    </row>
    <row r="3035" spans="1:24" x14ac:dyDescent="0.25">
      <c r="A3035" s="45">
        <v>220210031270</v>
      </c>
      <c r="B3035" s="46" t="s">
        <v>204</v>
      </c>
      <c r="C3035" s="47">
        <v>44363</v>
      </c>
      <c r="D3035" s="45">
        <v>22021002601</v>
      </c>
      <c r="E3035" s="46" t="s">
        <v>3362</v>
      </c>
      <c r="F3035" s="48">
        <v>121.39</v>
      </c>
      <c r="G3035" s="54" t="s">
        <v>4009</v>
      </c>
      <c r="H3035" s="54" t="s">
        <v>4603</v>
      </c>
      <c r="I3035" s="53" t="s">
        <v>205</v>
      </c>
      <c r="J3035" s="54" t="s">
        <v>127</v>
      </c>
      <c r="K3035" s="54" t="s">
        <v>127</v>
      </c>
      <c r="L3035" s="54" t="s">
        <v>15</v>
      </c>
      <c r="M3035" s="54" t="s">
        <v>13</v>
      </c>
      <c r="N3035" s="54" t="s">
        <v>14</v>
      </c>
      <c r="O3035" s="49" t="s">
        <v>814</v>
      </c>
      <c r="P3035" s="54" t="s">
        <v>3392</v>
      </c>
      <c r="Q3035" s="35" t="str">
        <f>MID(Tabla1[[#This Row],[Aplicación]],14,1)</f>
        <v>6</v>
      </c>
      <c r="R3035" s="35" t="s">
        <v>496</v>
      </c>
      <c r="S3035" s="35" t="str">
        <f>MID(Tabla1[[#This Row],[Aplicación]],6,2)</f>
        <v>06</v>
      </c>
      <c r="T3035" s="35" t="str">
        <f>VLOOKUP(Tabla1[[#This Row],[AREA]],Hoja1!A:B,2,FALSE)</f>
        <v>06. Educación, infancia, juventud e igualdad</v>
      </c>
      <c r="U3035" s="35" t="str">
        <f>MID(Tabla1[[#This Row],[Aplicación]],9,4)</f>
        <v>3321</v>
      </c>
      <c r="V3035" s="35" t="str">
        <f>VLOOKUP(Tabla1[[#This Row],[PROGRAMA]],Hoja1!A:B,2,FALSE)</f>
        <v>3321. Bibliotecas públicas</v>
      </c>
      <c r="W3035" s="35" t="str">
        <f>MID(Tabla1[[#This Row],[Aplicación]],14,2)</f>
        <v>62</v>
      </c>
      <c r="X3035" s="35" t="str">
        <f>MID(Tabla1[[#This Row],[Aplicación]],14,6)</f>
        <v>629</v>
      </c>
    </row>
    <row r="3036" spans="1:24" x14ac:dyDescent="0.25">
      <c r="A3036" s="45">
        <v>220210026020</v>
      </c>
      <c r="B3036" s="46" t="s">
        <v>204</v>
      </c>
      <c r="C3036" s="47">
        <v>44344</v>
      </c>
      <c r="D3036" s="45">
        <v>22021002227</v>
      </c>
      <c r="E3036" s="46" t="s">
        <v>1324</v>
      </c>
      <c r="F3036" s="48">
        <v>121</v>
      </c>
      <c r="G3036" s="54" t="s">
        <v>102</v>
      </c>
      <c r="H3036" s="54" t="s">
        <v>4604</v>
      </c>
      <c r="I3036" s="53" t="s">
        <v>205</v>
      </c>
      <c r="J3036" s="54" t="s">
        <v>127</v>
      </c>
      <c r="K3036" s="54" t="s">
        <v>127</v>
      </c>
      <c r="L3036" s="54" t="s">
        <v>15</v>
      </c>
      <c r="M3036" s="54" t="s">
        <v>13</v>
      </c>
      <c r="N3036" s="54" t="s">
        <v>14</v>
      </c>
      <c r="O3036" s="49" t="s">
        <v>814</v>
      </c>
      <c r="P3036" s="54" t="s">
        <v>3392</v>
      </c>
      <c r="Q3036" s="35" t="str">
        <f>MID(Tabla1[[#This Row],[Aplicación]],14,1)</f>
        <v>2</v>
      </c>
      <c r="R3036" s="35" t="s">
        <v>495</v>
      </c>
      <c r="S3036" s="35" t="str">
        <f>MID(Tabla1[[#This Row],[Aplicación]],6,2)</f>
        <v>06</v>
      </c>
      <c r="T3036" s="35" t="str">
        <f>VLOOKUP(Tabla1[[#This Row],[AREA]],Hoja1!A:B,2,FALSE)</f>
        <v>06. Educación, infancia, juventud e igualdad</v>
      </c>
      <c r="U3036" s="35" t="str">
        <f>MID(Tabla1[[#This Row],[Aplicación]],9,4)</f>
        <v>3321</v>
      </c>
      <c r="V3036" s="35" t="str">
        <f>VLOOKUP(Tabla1[[#This Row],[PROGRAMA]],Hoja1!A:B,2,FALSE)</f>
        <v>3321. Bibliotecas públicas</v>
      </c>
      <c r="W3036" s="35" t="str">
        <f>MID(Tabla1[[#This Row],[Aplicación]],14,2)</f>
        <v>21</v>
      </c>
      <c r="X3036" s="35" t="str">
        <f>MID(Tabla1[[#This Row],[Aplicación]],14,6)</f>
        <v>212</v>
      </c>
    </row>
    <row r="3037" spans="1:24" x14ac:dyDescent="0.25">
      <c r="A3037" s="45">
        <v>220210016558</v>
      </c>
      <c r="B3037" s="46" t="s">
        <v>32</v>
      </c>
      <c r="C3037" s="47">
        <v>44306</v>
      </c>
      <c r="D3037" s="45">
        <v>22021003928</v>
      </c>
      <c r="E3037" s="46" t="s">
        <v>1660</v>
      </c>
      <c r="F3037" s="48">
        <v>101.2</v>
      </c>
      <c r="G3037" s="54" t="s">
        <v>318</v>
      </c>
      <c r="H3037" s="54" t="s">
        <v>4605</v>
      </c>
      <c r="I3037" s="53" t="s">
        <v>234</v>
      </c>
      <c r="J3037" s="54" t="s">
        <v>127</v>
      </c>
      <c r="K3037" s="54" t="s">
        <v>127</v>
      </c>
      <c r="L3037" s="54" t="s">
        <v>12</v>
      </c>
      <c r="M3037" s="54" t="s">
        <v>10</v>
      </c>
      <c r="N3037" s="54" t="s">
        <v>11</v>
      </c>
      <c r="O3037" s="49" t="s">
        <v>815</v>
      </c>
      <c r="P3037" s="54" t="s">
        <v>3392</v>
      </c>
      <c r="Q3037" s="35" t="str">
        <f>MID(Tabla1[[#This Row],[Aplicación]],14,1)</f>
        <v>2</v>
      </c>
      <c r="R3037" s="35" t="s">
        <v>495</v>
      </c>
      <c r="S3037" s="35" t="str">
        <f>MID(Tabla1[[#This Row],[Aplicación]],6,2)</f>
        <v>04</v>
      </c>
      <c r="T3037" s="35" t="str">
        <f>VLOOKUP(Tabla1[[#This Row],[AREA]],Hoja1!A:B,2,FALSE)</f>
        <v>04. Planificación y recursos</v>
      </c>
      <c r="U3037" s="35" t="str">
        <f>MID(Tabla1[[#This Row],[Aplicación]],9,4)</f>
        <v>9202</v>
      </c>
      <c r="V3037" s="35" t="str">
        <f>VLOOKUP(Tabla1[[#This Row],[PROGRAMA]],Hoja1!A:B,2,FALSE)</f>
        <v>9202. Gestión de recursos humanos</v>
      </c>
      <c r="W3037" s="35" t="str">
        <f>MID(Tabla1[[#This Row],[Aplicación]],14,2)</f>
        <v>22</v>
      </c>
      <c r="X3037" s="35" t="str">
        <f>MID(Tabla1[[#This Row],[Aplicación]],14,6)</f>
        <v>22607</v>
      </c>
    </row>
    <row r="3038" spans="1:24" x14ac:dyDescent="0.25">
      <c r="A3038" s="45">
        <v>220210030387</v>
      </c>
      <c r="B3038" s="46" t="s">
        <v>204</v>
      </c>
      <c r="C3038" s="47">
        <v>44358</v>
      </c>
      <c r="D3038" s="45">
        <v>22021001039</v>
      </c>
      <c r="E3038" s="46" t="s">
        <v>844</v>
      </c>
      <c r="F3038" s="48">
        <v>120.49</v>
      </c>
      <c r="G3038" s="54" t="s">
        <v>150</v>
      </c>
      <c r="H3038" s="54" t="s">
        <v>4606</v>
      </c>
      <c r="I3038" s="53" t="s">
        <v>205</v>
      </c>
      <c r="J3038" s="54" t="s">
        <v>146</v>
      </c>
      <c r="K3038" s="54" t="s">
        <v>146</v>
      </c>
      <c r="L3038" s="54" t="s">
        <v>15</v>
      </c>
      <c r="M3038" s="54" t="s">
        <v>13</v>
      </c>
      <c r="N3038" s="54" t="s">
        <v>14</v>
      </c>
      <c r="O3038" s="49" t="s">
        <v>814</v>
      </c>
      <c r="P3038" s="54" t="s">
        <v>3392</v>
      </c>
      <c r="Q3038" s="35" t="str">
        <f>MID(Tabla1[[#This Row],[Aplicación]],14,1)</f>
        <v>2</v>
      </c>
      <c r="R3038" s="35" t="s">
        <v>495</v>
      </c>
      <c r="S3038" s="35" t="str">
        <f>MID(Tabla1[[#This Row],[Aplicación]],6,2)</f>
        <v>10</v>
      </c>
      <c r="T3038" s="35" t="str">
        <f>VLOOKUP(Tabla1[[#This Row],[AREA]],Hoja1!A:B,2,FALSE)</f>
        <v>10. Servicios sociales y mediación comunitaria</v>
      </c>
      <c r="U3038" s="35" t="str">
        <f>MID(Tabla1[[#This Row],[Aplicación]],9,4)</f>
        <v>2312</v>
      </c>
      <c r="V3038" s="35" t="str">
        <f>VLOOKUP(Tabla1[[#This Row],[PROGRAMA]],Hoja1!A:B,2,FALSE)</f>
        <v>2312. Iniciativas sociales</v>
      </c>
      <c r="W3038" s="35" t="str">
        <f>MID(Tabla1[[#This Row],[Aplicación]],14,2)</f>
        <v>21</v>
      </c>
      <c r="X3038" s="35" t="str">
        <f>MID(Tabla1[[#This Row],[Aplicación]],14,6)</f>
        <v>212</v>
      </c>
    </row>
    <row r="3039" spans="1:24" x14ac:dyDescent="0.25">
      <c r="A3039" s="45">
        <v>220210016944</v>
      </c>
      <c r="B3039" s="46" t="s">
        <v>9</v>
      </c>
      <c r="C3039" s="47">
        <v>44312</v>
      </c>
      <c r="D3039" s="45">
        <v>22021004015</v>
      </c>
      <c r="E3039" s="46" t="s">
        <v>1187</v>
      </c>
      <c r="F3039" s="48">
        <v>100</v>
      </c>
      <c r="G3039" s="54" t="s">
        <v>4607</v>
      </c>
      <c r="H3039" s="54" t="s">
        <v>4608</v>
      </c>
      <c r="I3039" s="53" t="s">
        <v>125</v>
      </c>
      <c r="J3039" s="54" t="s">
        <v>127</v>
      </c>
      <c r="K3039" s="54" t="s">
        <v>127</v>
      </c>
      <c r="L3039" s="54" t="s">
        <v>12</v>
      </c>
      <c r="M3039" s="54" t="s">
        <v>10</v>
      </c>
      <c r="N3039" s="54" t="s">
        <v>11</v>
      </c>
      <c r="O3039" s="49" t="s">
        <v>815</v>
      </c>
      <c r="P3039" s="54" t="s">
        <v>3392</v>
      </c>
      <c r="Q3039" s="35" t="str">
        <f>MID(Tabla1[[#This Row],[Aplicación]],14,1)</f>
        <v>2</v>
      </c>
      <c r="R3039" s="35" t="s">
        <v>495</v>
      </c>
      <c r="S3039" s="35" t="str">
        <f>MID(Tabla1[[#This Row],[Aplicación]],6,2)</f>
        <v>06</v>
      </c>
      <c r="T3039" s="35" t="str">
        <f>VLOOKUP(Tabla1[[#This Row],[AREA]],Hoja1!A:B,2,FALSE)</f>
        <v>06. Educación, infancia, juventud e igualdad</v>
      </c>
      <c r="U3039" s="35" t="str">
        <f>MID(Tabla1[[#This Row],[Aplicación]],9,4)</f>
        <v>2315</v>
      </c>
      <c r="V3039" s="35" t="str">
        <f>VLOOKUP(Tabla1[[#This Row],[PROGRAMA]],Hoja1!A:B,2,FALSE)</f>
        <v>2315. Políticas de Igualdad e infancia</v>
      </c>
      <c r="W3039" s="35" t="str">
        <f>MID(Tabla1[[#This Row],[Aplicación]],14,2)</f>
        <v>22</v>
      </c>
      <c r="X3039" s="35" t="str">
        <f>MID(Tabla1[[#This Row],[Aplicación]],14,6)</f>
        <v>22611</v>
      </c>
    </row>
    <row r="3040" spans="1:24" x14ac:dyDescent="0.25">
      <c r="A3040" s="45">
        <v>220210016943</v>
      </c>
      <c r="B3040" s="46" t="s">
        <v>9</v>
      </c>
      <c r="C3040" s="47">
        <v>44312</v>
      </c>
      <c r="D3040" s="45">
        <v>22021004011</v>
      </c>
      <c r="E3040" s="46" t="s">
        <v>1187</v>
      </c>
      <c r="F3040" s="48">
        <v>100</v>
      </c>
      <c r="G3040" s="54" t="s">
        <v>4609</v>
      </c>
      <c r="H3040" s="54" t="s">
        <v>4608</v>
      </c>
      <c r="I3040" s="53" t="s">
        <v>125</v>
      </c>
      <c r="J3040" s="54" t="s">
        <v>4610</v>
      </c>
      <c r="K3040" s="54" t="s">
        <v>4610</v>
      </c>
      <c r="L3040" s="54" t="s">
        <v>12</v>
      </c>
      <c r="M3040" s="54" t="s">
        <v>10</v>
      </c>
      <c r="N3040" s="54" t="s">
        <v>11</v>
      </c>
      <c r="O3040" s="49" t="s">
        <v>815</v>
      </c>
      <c r="P3040" s="54" t="s">
        <v>3392</v>
      </c>
      <c r="Q3040" s="35" t="str">
        <f>MID(Tabla1[[#This Row],[Aplicación]],14,1)</f>
        <v>2</v>
      </c>
      <c r="R3040" s="35" t="s">
        <v>495</v>
      </c>
      <c r="S3040" s="35" t="str">
        <f>MID(Tabla1[[#This Row],[Aplicación]],6,2)</f>
        <v>06</v>
      </c>
      <c r="T3040" s="35" t="str">
        <f>VLOOKUP(Tabla1[[#This Row],[AREA]],Hoja1!A:B,2,FALSE)</f>
        <v>06. Educación, infancia, juventud e igualdad</v>
      </c>
      <c r="U3040" s="35" t="str">
        <f>MID(Tabla1[[#This Row],[Aplicación]],9,4)</f>
        <v>2315</v>
      </c>
      <c r="V3040" s="35" t="str">
        <f>VLOOKUP(Tabla1[[#This Row],[PROGRAMA]],Hoja1!A:B,2,FALSE)</f>
        <v>2315. Políticas de Igualdad e infancia</v>
      </c>
      <c r="W3040" s="35" t="str">
        <f>MID(Tabla1[[#This Row],[Aplicación]],14,2)</f>
        <v>22</v>
      </c>
      <c r="X3040" s="35" t="str">
        <f>MID(Tabla1[[#This Row],[Aplicación]],14,6)</f>
        <v>22611</v>
      </c>
    </row>
    <row r="3041" spans="1:24" x14ac:dyDescent="0.25">
      <c r="A3041" s="45">
        <v>220210017129</v>
      </c>
      <c r="B3041" s="46" t="s">
        <v>9</v>
      </c>
      <c r="C3041" s="47">
        <v>44312</v>
      </c>
      <c r="D3041" s="45">
        <v>22021004013</v>
      </c>
      <c r="E3041" s="46" t="s">
        <v>1187</v>
      </c>
      <c r="F3041" s="48">
        <v>100</v>
      </c>
      <c r="G3041" s="54" t="s">
        <v>4611</v>
      </c>
      <c r="H3041" s="54" t="s">
        <v>4612</v>
      </c>
      <c r="I3041" s="53" t="s">
        <v>125</v>
      </c>
      <c r="J3041" s="54" t="s">
        <v>127</v>
      </c>
      <c r="K3041" s="54" t="s">
        <v>127</v>
      </c>
      <c r="L3041" s="54" t="s">
        <v>12</v>
      </c>
      <c r="M3041" s="54" t="s">
        <v>10</v>
      </c>
      <c r="N3041" s="54" t="s">
        <v>11</v>
      </c>
      <c r="O3041" s="49" t="s">
        <v>815</v>
      </c>
      <c r="P3041" s="54" t="s">
        <v>3392</v>
      </c>
      <c r="Q3041" s="35" t="str">
        <f>MID(Tabla1[[#This Row],[Aplicación]],14,1)</f>
        <v>2</v>
      </c>
      <c r="R3041" s="35" t="s">
        <v>495</v>
      </c>
      <c r="S3041" s="35" t="str">
        <f>MID(Tabla1[[#This Row],[Aplicación]],6,2)</f>
        <v>06</v>
      </c>
      <c r="T3041" s="35" t="str">
        <f>VLOOKUP(Tabla1[[#This Row],[AREA]],Hoja1!A:B,2,FALSE)</f>
        <v>06. Educación, infancia, juventud e igualdad</v>
      </c>
      <c r="U3041" s="35" t="str">
        <f>MID(Tabla1[[#This Row],[Aplicación]],9,4)</f>
        <v>2315</v>
      </c>
      <c r="V3041" s="35" t="str">
        <f>VLOOKUP(Tabla1[[#This Row],[PROGRAMA]],Hoja1!A:B,2,FALSE)</f>
        <v>2315. Políticas de Igualdad e infancia</v>
      </c>
      <c r="W3041" s="35" t="str">
        <f>MID(Tabla1[[#This Row],[Aplicación]],14,2)</f>
        <v>22</v>
      </c>
      <c r="X3041" s="35" t="str">
        <f>MID(Tabla1[[#This Row],[Aplicación]],14,6)</f>
        <v>22611</v>
      </c>
    </row>
    <row r="3042" spans="1:24" x14ac:dyDescent="0.25">
      <c r="A3042" s="45">
        <v>220210031407</v>
      </c>
      <c r="B3042" s="46" t="s">
        <v>204</v>
      </c>
      <c r="C3042" s="47">
        <v>44365</v>
      </c>
      <c r="D3042" s="45">
        <v>22021002369</v>
      </c>
      <c r="E3042" s="46" t="s">
        <v>1336</v>
      </c>
      <c r="F3042" s="48">
        <v>120.1</v>
      </c>
      <c r="G3042" s="54" t="s">
        <v>235</v>
      </c>
      <c r="H3042" s="54" t="s">
        <v>4613</v>
      </c>
      <c r="I3042" s="53" t="s">
        <v>205</v>
      </c>
      <c r="J3042" s="54" t="s">
        <v>742</v>
      </c>
      <c r="K3042" s="54" t="s">
        <v>165</v>
      </c>
      <c r="L3042" s="54" t="s">
        <v>15</v>
      </c>
      <c r="M3042" s="54" t="s">
        <v>13</v>
      </c>
      <c r="N3042" s="54" t="s">
        <v>14</v>
      </c>
      <c r="O3042" s="49" t="s">
        <v>814</v>
      </c>
      <c r="P3042" s="54" t="s">
        <v>3392</v>
      </c>
      <c r="Q3042" s="35" t="str">
        <f>MID(Tabla1[[#This Row],[Aplicación]],14,1)</f>
        <v>2</v>
      </c>
      <c r="R3042" s="35" t="s">
        <v>495</v>
      </c>
      <c r="S3042" s="35" t="str">
        <f>MID(Tabla1[[#This Row],[Aplicación]],6,2)</f>
        <v>02</v>
      </c>
      <c r="T3042" s="35" t="str">
        <f>VLOOKUP(Tabla1[[#This Row],[AREA]],Hoja1!A:B,2,FALSE)</f>
        <v>02. Planeamiento urbanístico y vivienda</v>
      </c>
      <c r="U3042" s="35" t="str">
        <f>MID(Tabla1[[#This Row],[Aplicación]],9,4)</f>
        <v>9332</v>
      </c>
      <c r="V3042" s="35" t="str">
        <f>VLOOKUP(Tabla1[[#This Row],[PROGRAMA]],Hoja1!A:B,2,FALSE)</f>
        <v>9332. Mantenimiento de edificios e instalaciones municipales</v>
      </c>
      <c r="W3042" s="35" t="str">
        <f>MID(Tabla1[[#This Row],[Aplicación]],14,2)</f>
        <v>21</v>
      </c>
      <c r="X3042" s="35" t="str">
        <f>MID(Tabla1[[#This Row],[Aplicación]],14,6)</f>
        <v>212</v>
      </c>
    </row>
    <row r="3043" spans="1:24" x14ac:dyDescent="0.25">
      <c r="A3043" s="45">
        <v>220210031500</v>
      </c>
      <c r="B3043" s="46" t="s">
        <v>9</v>
      </c>
      <c r="C3043" s="47">
        <v>44369</v>
      </c>
      <c r="D3043" s="45">
        <v>22021004921</v>
      </c>
      <c r="E3043" s="46" t="s">
        <v>1175</v>
      </c>
      <c r="F3043" s="48">
        <v>97.53</v>
      </c>
      <c r="G3043" s="54" t="s">
        <v>1597</v>
      </c>
      <c r="H3043" s="54" t="s">
        <v>4614</v>
      </c>
      <c r="I3043" s="53" t="s">
        <v>125</v>
      </c>
      <c r="J3043" s="54" t="s">
        <v>127</v>
      </c>
      <c r="K3043" s="54" t="s">
        <v>127</v>
      </c>
      <c r="L3043" s="54" t="s">
        <v>12</v>
      </c>
      <c r="M3043" s="54" t="s">
        <v>10</v>
      </c>
      <c r="N3043" s="54" t="s">
        <v>11</v>
      </c>
      <c r="O3043" s="49" t="s">
        <v>815</v>
      </c>
      <c r="P3043" s="54" t="s">
        <v>3392</v>
      </c>
      <c r="Q3043" s="35" t="str">
        <f>MID(Tabla1[[#This Row],[Aplicación]],14,1)</f>
        <v>2</v>
      </c>
      <c r="R3043" s="35" t="s">
        <v>495</v>
      </c>
      <c r="S3043" s="35" t="str">
        <f>MID(Tabla1[[#This Row],[Aplicación]],6,2)</f>
        <v>06</v>
      </c>
      <c r="T3043" s="35" t="str">
        <f>VLOOKUP(Tabla1[[#This Row],[AREA]],Hoja1!A:B,2,FALSE)</f>
        <v>06. Educación, infancia, juventud e igualdad</v>
      </c>
      <c r="U3043" s="35" t="str">
        <f>MID(Tabla1[[#This Row],[Aplicación]],9,4)</f>
        <v>2314</v>
      </c>
      <c r="V3043" s="35" t="str">
        <f>VLOOKUP(Tabla1[[#This Row],[PROGRAMA]],Hoja1!A:B,2,FALSE)</f>
        <v>2314. Centro de programas juveniles</v>
      </c>
      <c r="W3043" s="35" t="str">
        <f>MID(Tabla1[[#This Row],[Aplicación]],14,2)</f>
        <v>22</v>
      </c>
      <c r="X3043" s="35" t="str">
        <f>MID(Tabla1[[#This Row],[Aplicación]],14,6)</f>
        <v>22799</v>
      </c>
    </row>
    <row r="3044" spans="1:24" x14ac:dyDescent="0.25">
      <c r="A3044" s="45">
        <v>220210031305</v>
      </c>
      <c r="B3044" s="46" t="s">
        <v>204</v>
      </c>
      <c r="C3044" s="47">
        <v>44363</v>
      </c>
      <c r="D3044" s="45">
        <v>22021002228</v>
      </c>
      <c r="E3044" s="46" t="s">
        <v>1471</v>
      </c>
      <c r="F3044" s="48">
        <v>119.66</v>
      </c>
      <c r="G3044" s="54" t="s">
        <v>277</v>
      </c>
      <c r="H3044" s="54" t="s">
        <v>4615</v>
      </c>
      <c r="I3044" s="53" t="s">
        <v>205</v>
      </c>
      <c r="J3044" s="54" t="s">
        <v>127</v>
      </c>
      <c r="K3044" s="54" t="s">
        <v>127</v>
      </c>
      <c r="L3044" s="54" t="s">
        <v>15</v>
      </c>
      <c r="M3044" s="54" t="s">
        <v>13</v>
      </c>
      <c r="N3044" s="54" t="s">
        <v>14</v>
      </c>
      <c r="O3044" s="49" t="s">
        <v>814</v>
      </c>
      <c r="P3044" s="54" t="s">
        <v>3392</v>
      </c>
      <c r="Q3044" s="35" t="str">
        <f>MID(Tabla1[[#This Row],[Aplicación]],14,1)</f>
        <v>2</v>
      </c>
      <c r="R3044" s="35" t="s">
        <v>495</v>
      </c>
      <c r="S3044" s="35" t="str">
        <f>MID(Tabla1[[#This Row],[Aplicación]],6,2)</f>
        <v>06</v>
      </c>
      <c r="T3044" s="35" t="str">
        <f>VLOOKUP(Tabla1[[#This Row],[AREA]],Hoja1!A:B,2,FALSE)</f>
        <v>06. Educación, infancia, juventud e igualdad</v>
      </c>
      <c r="U3044" s="35" t="str">
        <f>MID(Tabla1[[#This Row],[Aplicación]],9,4)</f>
        <v>3232</v>
      </c>
      <c r="V3044" s="35" t="str">
        <f>VLOOKUP(Tabla1[[#This Row],[PROGRAMA]],Hoja1!A:B,2,FALSE)</f>
        <v>3232. Conservación y mantenimiento centros educación infantil y primaria</v>
      </c>
      <c r="W3044" s="35" t="str">
        <f>MID(Tabla1[[#This Row],[Aplicación]],14,2)</f>
        <v>21</v>
      </c>
      <c r="X3044" s="35" t="str">
        <f>MID(Tabla1[[#This Row],[Aplicación]],14,6)</f>
        <v>212</v>
      </c>
    </row>
    <row r="3045" spans="1:24" x14ac:dyDescent="0.25">
      <c r="A3045" s="45">
        <v>220210023301</v>
      </c>
      <c r="B3045" s="46" t="s">
        <v>204</v>
      </c>
      <c r="C3045" s="47">
        <v>44335</v>
      </c>
      <c r="D3045" s="45">
        <v>22021002227</v>
      </c>
      <c r="E3045" s="46" t="s">
        <v>1324</v>
      </c>
      <c r="F3045" s="48">
        <v>119.54</v>
      </c>
      <c r="G3045" s="54" t="s">
        <v>102</v>
      </c>
      <c r="H3045" s="54" t="s">
        <v>4616</v>
      </c>
      <c r="I3045" s="53" t="s">
        <v>205</v>
      </c>
      <c r="J3045" s="54" t="s">
        <v>127</v>
      </c>
      <c r="K3045" s="54" t="s">
        <v>127</v>
      </c>
      <c r="L3045" s="54" t="s">
        <v>15</v>
      </c>
      <c r="M3045" s="54" t="s">
        <v>13</v>
      </c>
      <c r="N3045" s="54" t="s">
        <v>14</v>
      </c>
      <c r="O3045" s="49" t="s">
        <v>814</v>
      </c>
      <c r="P3045" s="54" t="s">
        <v>3392</v>
      </c>
      <c r="Q3045" s="35" t="str">
        <f>MID(Tabla1[[#This Row],[Aplicación]],14,1)</f>
        <v>2</v>
      </c>
      <c r="R3045" s="35" t="s">
        <v>495</v>
      </c>
      <c r="S3045" s="35" t="str">
        <f>MID(Tabla1[[#This Row],[Aplicación]],6,2)</f>
        <v>06</v>
      </c>
      <c r="T3045" s="35" t="str">
        <f>VLOOKUP(Tabla1[[#This Row],[AREA]],Hoja1!A:B,2,FALSE)</f>
        <v>06. Educación, infancia, juventud e igualdad</v>
      </c>
      <c r="U3045" s="35" t="str">
        <f>MID(Tabla1[[#This Row],[Aplicación]],9,4)</f>
        <v>3321</v>
      </c>
      <c r="V3045" s="35" t="str">
        <f>VLOOKUP(Tabla1[[#This Row],[PROGRAMA]],Hoja1!A:B,2,FALSE)</f>
        <v>3321. Bibliotecas públicas</v>
      </c>
      <c r="W3045" s="35" t="str">
        <f>MID(Tabla1[[#This Row],[Aplicación]],14,2)</f>
        <v>21</v>
      </c>
      <c r="X3045" s="35" t="str">
        <f>MID(Tabla1[[#This Row],[Aplicación]],14,6)</f>
        <v>212</v>
      </c>
    </row>
    <row r="3046" spans="1:24" x14ac:dyDescent="0.25">
      <c r="A3046" s="45">
        <v>220210030041</v>
      </c>
      <c r="B3046" s="46" t="s">
        <v>204</v>
      </c>
      <c r="C3046" s="47">
        <v>44356</v>
      </c>
      <c r="D3046" s="45">
        <v>22021002052</v>
      </c>
      <c r="E3046" s="46" t="s">
        <v>1340</v>
      </c>
      <c r="F3046" s="48">
        <v>119.17</v>
      </c>
      <c r="G3046" s="54" t="s">
        <v>257</v>
      </c>
      <c r="H3046" s="54" t="s">
        <v>4617</v>
      </c>
      <c r="I3046" s="53" t="s">
        <v>205</v>
      </c>
      <c r="J3046" s="54" t="s">
        <v>127</v>
      </c>
      <c r="K3046" s="54" t="s">
        <v>127</v>
      </c>
      <c r="L3046" s="54" t="s">
        <v>15</v>
      </c>
      <c r="M3046" s="54" t="s">
        <v>13</v>
      </c>
      <c r="N3046" s="54" t="s">
        <v>14</v>
      </c>
      <c r="O3046" s="49" t="s">
        <v>814</v>
      </c>
      <c r="P3046" s="54" t="s">
        <v>3392</v>
      </c>
      <c r="Q3046" s="35" t="str">
        <f>MID(Tabla1[[#This Row],[Aplicación]],14,1)</f>
        <v>2</v>
      </c>
      <c r="R3046" s="35" t="s">
        <v>495</v>
      </c>
      <c r="S3046" s="35" t="str">
        <f>MID(Tabla1[[#This Row],[Aplicación]],6,2)</f>
        <v>11</v>
      </c>
      <c r="T3046" s="35" t="str">
        <f>VLOOKUP(Tabla1[[#This Row],[AREA]],Hoja1!A:B,2,FALSE)</f>
        <v>11. Salud pública y seguridad ciudadana</v>
      </c>
      <c r="U3046" s="35" t="str">
        <f>MID(Tabla1[[#This Row],[Aplicación]],9,4)</f>
        <v>1621</v>
      </c>
      <c r="V3046" s="35" t="str">
        <f>VLOOKUP(Tabla1[[#This Row],[PROGRAMA]],Hoja1!A:B,2,FALSE)</f>
        <v>1621. Servicio de limpieza</v>
      </c>
      <c r="W3046" s="35" t="str">
        <f>MID(Tabla1[[#This Row],[Aplicación]],14,2)</f>
        <v>22</v>
      </c>
      <c r="X3046" s="35" t="str">
        <f>MID(Tabla1[[#This Row],[Aplicación]],14,6)</f>
        <v>22199</v>
      </c>
    </row>
    <row r="3047" spans="1:24" x14ac:dyDescent="0.25">
      <c r="A3047" s="45">
        <v>220210025730</v>
      </c>
      <c r="B3047" s="46" t="s">
        <v>204</v>
      </c>
      <c r="C3047" s="47">
        <v>44343</v>
      </c>
      <c r="D3047" s="45">
        <v>22021002228</v>
      </c>
      <c r="E3047" s="46" t="s">
        <v>1471</v>
      </c>
      <c r="F3047" s="48">
        <v>119</v>
      </c>
      <c r="G3047" s="54" t="s">
        <v>263</v>
      </c>
      <c r="H3047" s="54" t="s">
        <v>4618</v>
      </c>
      <c r="I3047" s="53" t="s">
        <v>205</v>
      </c>
      <c r="J3047" s="54" t="s">
        <v>127</v>
      </c>
      <c r="K3047" s="54" t="s">
        <v>127</v>
      </c>
      <c r="L3047" s="54" t="s">
        <v>15</v>
      </c>
      <c r="M3047" s="54" t="s">
        <v>13</v>
      </c>
      <c r="N3047" s="54" t="s">
        <v>14</v>
      </c>
      <c r="O3047" s="49" t="s">
        <v>814</v>
      </c>
      <c r="P3047" s="54" t="s">
        <v>3392</v>
      </c>
      <c r="Q3047" s="35" t="str">
        <f>MID(Tabla1[[#This Row],[Aplicación]],14,1)</f>
        <v>2</v>
      </c>
      <c r="R3047" s="35" t="s">
        <v>495</v>
      </c>
      <c r="S3047" s="35" t="str">
        <f>MID(Tabla1[[#This Row],[Aplicación]],6,2)</f>
        <v>06</v>
      </c>
      <c r="T3047" s="35" t="str">
        <f>VLOOKUP(Tabla1[[#This Row],[AREA]],Hoja1!A:B,2,FALSE)</f>
        <v>06. Educación, infancia, juventud e igualdad</v>
      </c>
      <c r="U3047" s="35" t="str">
        <f>MID(Tabla1[[#This Row],[Aplicación]],9,4)</f>
        <v>3232</v>
      </c>
      <c r="V3047" s="35" t="str">
        <f>VLOOKUP(Tabla1[[#This Row],[PROGRAMA]],Hoja1!A:B,2,FALSE)</f>
        <v>3232. Conservación y mantenimiento centros educación infantil y primaria</v>
      </c>
      <c r="W3047" s="35" t="str">
        <f>MID(Tabla1[[#This Row],[Aplicación]],14,2)</f>
        <v>21</v>
      </c>
      <c r="X3047" s="35" t="str">
        <f>MID(Tabla1[[#This Row],[Aplicación]],14,6)</f>
        <v>212</v>
      </c>
    </row>
    <row r="3048" spans="1:24" x14ac:dyDescent="0.25">
      <c r="A3048" s="45">
        <v>220210018988</v>
      </c>
      <c r="B3048" s="46" t="s">
        <v>9</v>
      </c>
      <c r="C3048" s="47">
        <v>44316</v>
      </c>
      <c r="D3048" s="45">
        <v>22021004211</v>
      </c>
      <c r="E3048" s="46" t="s">
        <v>1167</v>
      </c>
      <c r="F3048" s="48">
        <v>4788.34</v>
      </c>
      <c r="G3048" s="54" t="s">
        <v>1168</v>
      </c>
      <c r="H3048" s="54" t="s">
        <v>4619</v>
      </c>
      <c r="I3048" s="53" t="s">
        <v>125</v>
      </c>
      <c r="J3048" s="54" t="s">
        <v>127</v>
      </c>
      <c r="K3048" s="54" t="s">
        <v>127</v>
      </c>
      <c r="L3048" s="54" t="s">
        <v>12</v>
      </c>
      <c r="M3048" s="54" t="s">
        <v>10</v>
      </c>
      <c r="N3048" s="54" t="s">
        <v>11</v>
      </c>
      <c r="O3048" s="49" t="s">
        <v>815</v>
      </c>
      <c r="P3048" s="54" t="s">
        <v>3392</v>
      </c>
      <c r="Q3048" s="35" t="str">
        <f>MID(Tabla1[[#This Row],[Aplicación]],14,1)</f>
        <v>2</v>
      </c>
      <c r="R3048" s="35" t="s">
        <v>495</v>
      </c>
      <c r="S3048" s="35" t="str">
        <f>MID(Tabla1[[#This Row],[Aplicación]],6,2)</f>
        <v>11</v>
      </c>
      <c r="T3048" s="35" t="str">
        <f>VLOOKUP(Tabla1[[#This Row],[AREA]],Hoja1!A:B,2,FALSE)</f>
        <v>11. Salud pública y seguridad ciudadana</v>
      </c>
      <c r="U3048" s="35" t="str">
        <f>MID(Tabla1[[#This Row],[Aplicación]],9,4)</f>
        <v>1321</v>
      </c>
      <c r="V3048" s="35" t="str">
        <f>VLOOKUP(Tabla1[[#This Row],[PROGRAMA]],Hoja1!A:B,2,FALSE)</f>
        <v>1321. Policía municipal</v>
      </c>
      <c r="W3048" s="35" t="str">
        <f>MID(Tabla1[[#This Row],[Aplicación]],14,2)</f>
        <v>21</v>
      </c>
      <c r="X3048" s="35" t="str">
        <f>MID(Tabla1[[#This Row],[Aplicación]],14,6)</f>
        <v>214</v>
      </c>
    </row>
    <row r="3049" spans="1:24" x14ac:dyDescent="0.25">
      <c r="A3049" s="45">
        <v>220210029573</v>
      </c>
      <c r="B3049" s="46" t="s">
        <v>9</v>
      </c>
      <c r="C3049" s="47">
        <v>44355</v>
      </c>
      <c r="D3049" s="45">
        <v>22021004750</v>
      </c>
      <c r="E3049" s="46" t="s">
        <v>1167</v>
      </c>
      <c r="F3049" s="48">
        <v>257.23</v>
      </c>
      <c r="G3049" s="54" t="s">
        <v>1168</v>
      </c>
      <c r="H3049" s="54" t="s">
        <v>4620</v>
      </c>
      <c r="I3049" s="53" t="s">
        <v>125</v>
      </c>
      <c r="J3049" s="54" t="s">
        <v>127</v>
      </c>
      <c r="K3049" s="54" t="s">
        <v>127</v>
      </c>
      <c r="L3049" s="54" t="s">
        <v>12</v>
      </c>
      <c r="M3049" s="54" t="s">
        <v>10</v>
      </c>
      <c r="N3049" s="54" t="s">
        <v>11</v>
      </c>
      <c r="O3049" s="49" t="s">
        <v>815</v>
      </c>
      <c r="P3049" s="54" t="s">
        <v>3392</v>
      </c>
      <c r="Q3049" s="35" t="str">
        <f>MID(Tabla1[[#This Row],[Aplicación]],14,1)</f>
        <v>2</v>
      </c>
      <c r="R3049" s="35" t="s">
        <v>495</v>
      </c>
      <c r="S3049" s="35" t="str">
        <f>MID(Tabla1[[#This Row],[Aplicación]],6,2)</f>
        <v>11</v>
      </c>
      <c r="T3049" s="35" t="str">
        <f>VLOOKUP(Tabla1[[#This Row],[AREA]],Hoja1!A:B,2,FALSE)</f>
        <v>11. Salud pública y seguridad ciudadana</v>
      </c>
      <c r="U3049" s="35" t="str">
        <f>MID(Tabla1[[#This Row],[Aplicación]],9,4)</f>
        <v>1321</v>
      </c>
      <c r="V3049" s="35" t="str">
        <f>VLOOKUP(Tabla1[[#This Row],[PROGRAMA]],Hoja1!A:B,2,FALSE)</f>
        <v>1321. Policía municipal</v>
      </c>
      <c r="W3049" s="35" t="str">
        <f>MID(Tabla1[[#This Row],[Aplicación]],14,2)</f>
        <v>21</v>
      </c>
      <c r="X3049" s="35" t="str">
        <f>MID(Tabla1[[#This Row],[Aplicación]],14,6)</f>
        <v>214</v>
      </c>
    </row>
    <row r="3050" spans="1:24" x14ac:dyDescent="0.25">
      <c r="A3050" s="45">
        <v>220210014717</v>
      </c>
      <c r="B3050" s="46" t="s">
        <v>204</v>
      </c>
      <c r="C3050" s="47">
        <v>44299</v>
      </c>
      <c r="D3050" s="45">
        <v>22021001038</v>
      </c>
      <c r="E3050" s="46" t="s">
        <v>844</v>
      </c>
      <c r="F3050" s="48">
        <v>117.77</v>
      </c>
      <c r="G3050" s="54" t="s">
        <v>102</v>
      </c>
      <c r="H3050" s="54" t="s">
        <v>4621</v>
      </c>
      <c r="I3050" s="53" t="s">
        <v>205</v>
      </c>
      <c r="J3050" s="54" t="s">
        <v>127</v>
      </c>
      <c r="K3050" s="54" t="s">
        <v>127</v>
      </c>
      <c r="L3050" s="54" t="s">
        <v>15</v>
      </c>
      <c r="M3050" s="54" t="s">
        <v>13</v>
      </c>
      <c r="N3050" s="54" t="s">
        <v>14</v>
      </c>
      <c r="O3050" s="49" t="s">
        <v>814</v>
      </c>
      <c r="P3050" s="54" t="s">
        <v>3392</v>
      </c>
      <c r="Q3050" s="35" t="str">
        <f>MID(Tabla1[[#This Row],[Aplicación]],14,1)</f>
        <v>2</v>
      </c>
      <c r="R3050" s="35" t="s">
        <v>495</v>
      </c>
      <c r="S3050" s="35" t="str">
        <f>MID(Tabla1[[#This Row],[Aplicación]],6,2)</f>
        <v>10</v>
      </c>
      <c r="T3050" s="35" t="str">
        <f>VLOOKUP(Tabla1[[#This Row],[AREA]],Hoja1!A:B,2,FALSE)</f>
        <v>10. Servicios sociales y mediación comunitaria</v>
      </c>
      <c r="U3050" s="35" t="str">
        <f>MID(Tabla1[[#This Row],[Aplicación]],9,4)</f>
        <v>2312</v>
      </c>
      <c r="V3050" s="35" t="str">
        <f>VLOOKUP(Tabla1[[#This Row],[PROGRAMA]],Hoja1!A:B,2,FALSE)</f>
        <v>2312. Iniciativas sociales</v>
      </c>
      <c r="W3050" s="35" t="str">
        <f>MID(Tabla1[[#This Row],[Aplicación]],14,2)</f>
        <v>21</v>
      </c>
      <c r="X3050" s="35" t="str">
        <f>MID(Tabla1[[#This Row],[Aplicación]],14,6)</f>
        <v>212</v>
      </c>
    </row>
    <row r="3051" spans="1:24" x14ac:dyDescent="0.25">
      <c r="A3051" s="45">
        <v>220210021025</v>
      </c>
      <c r="B3051" s="46" t="s">
        <v>9</v>
      </c>
      <c r="C3051" s="47">
        <v>44323</v>
      </c>
      <c r="D3051" s="45">
        <v>22021004305</v>
      </c>
      <c r="E3051" s="46" t="s">
        <v>1167</v>
      </c>
      <c r="F3051" s="48">
        <v>2193.27</v>
      </c>
      <c r="G3051" s="54" t="s">
        <v>315</v>
      </c>
      <c r="H3051" s="54" t="s">
        <v>4622</v>
      </c>
      <c r="I3051" s="53" t="s">
        <v>125</v>
      </c>
      <c r="J3051" s="54" t="s">
        <v>127</v>
      </c>
      <c r="K3051" s="54" t="s">
        <v>127</v>
      </c>
      <c r="L3051" s="54" t="s">
        <v>12</v>
      </c>
      <c r="M3051" s="54" t="s">
        <v>10</v>
      </c>
      <c r="N3051" s="54" t="s">
        <v>11</v>
      </c>
      <c r="O3051" s="49" t="s">
        <v>815</v>
      </c>
      <c r="P3051" s="54" t="s">
        <v>3392</v>
      </c>
      <c r="Q3051" s="35" t="str">
        <f>MID(Tabla1[[#This Row],[Aplicación]],14,1)</f>
        <v>2</v>
      </c>
      <c r="R3051" s="35" t="s">
        <v>495</v>
      </c>
      <c r="S3051" s="35" t="str">
        <f>MID(Tabla1[[#This Row],[Aplicación]],6,2)</f>
        <v>11</v>
      </c>
      <c r="T3051" s="35" t="str">
        <f>VLOOKUP(Tabla1[[#This Row],[AREA]],Hoja1!A:B,2,FALSE)</f>
        <v>11. Salud pública y seguridad ciudadana</v>
      </c>
      <c r="U3051" s="35" t="str">
        <f>MID(Tabla1[[#This Row],[Aplicación]],9,4)</f>
        <v>1321</v>
      </c>
      <c r="V3051" s="35" t="str">
        <f>VLOOKUP(Tabla1[[#This Row],[PROGRAMA]],Hoja1!A:B,2,FALSE)</f>
        <v>1321. Policía municipal</v>
      </c>
      <c r="W3051" s="35" t="str">
        <f>MID(Tabla1[[#This Row],[Aplicación]],14,2)</f>
        <v>21</v>
      </c>
      <c r="X3051" s="35" t="str">
        <f>MID(Tabla1[[#This Row],[Aplicación]],14,6)</f>
        <v>214</v>
      </c>
    </row>
    <row r="3052" spans="1:24" x14ac:dyDescent="0.25">
      <c r="A3052" s="45">
        <v>220210019247</v>
      </c>
      <c r="B3052" s="46" t="s">
        <v>9</v>
      </c>
      <c r="C3052" s="47">
        <v>44320</v>
      </c>
      <c r="D3052" s="45">
        <v>22021004213</v>
      </c>
      <c r="E3052" s="46" t="s">
        <v>1215</v>
      </c>
      <c r="F3052" s="48">
        <v>97.13</v>
      </c>
      <c r="G3052" s="54" t="s">
        <v>78</v>
      </c>
      <c r="H3052" s="54" t="s">
        <v>4623</v>
      </c>
      <c r="I3052" s="53" t="s">
        <v>125</v>
      </c>
      <c r="J3052" s="54" t="s">
        <v>694</v>
      </c>
      <c r="K3052" s="54" t="s">
        <v>187</v>
      </c>
      <c r="L3052" s="54" t="s">
        <v>12</v>
      </c>
      <c r="M3052" s="54" t="s">
        <v>10</v>
      </c>
      <c r="N3052" s="54" t="s">
        <v>11</v>
      </c>
      <c r="O3052" s="49" t="s">
        <v>815</v>
      </c>
      <c r="P3052" s="54" t="s">
        <v>3392</v>
      </c>
      <c r="Q3052" s="35" t="str">
        <f>MID(Tabla1[[#This Row],[Aplicación]],14,1)</f>
        <v>2</v>
      </c>
      <c r="R3052" s="35" t="s">
        <v>495</v>
      </c>
      <c r="S3052" s="35" t="str">
        <f>MID(Tabla1[[#This Row],[Aplicación]],6,2)</f>
        <v>06</v>
      </c>
      <c r="T3052" s="35" t="str">
        <f>VLOOKUP(Tabla1[[#This Row],[AREA]],Hoja1!A:B,2,FALSE)</f>
        <v>06. Educación, infancia, juventud e igualdad</v>
      </c>
      <c r="U3052" s="35" t="str">
        <f>MID(Tabla1[[#This Row],[Aplicación]],9,4)</f>
        <v>2314</v>
      </c>
      <c r="V3052" s="35" t="str">
        <f>VLOOKUP(Tabla1[[#This Row],[PROGRAMA]],Hoja1!A:B,2,FALSE)</f>
        <v>2314. Centro de programas juveniles</v>
      </c>
      <c r="W3052" s="35" t="str">
        <f>MID(Tabla1[[#This Row],[Aplicación]],14,2)</f>
        <v>21</v>
      </c>
      <c r="X3052" s="35" t="str">
        <f>MID(Tabla1[[#This Row],[Aplicación]],14,6)</f>
        <v>213</v>
      </c>
    </row>
    <row r="3053" spans="1:24" x14ac:dyDescent="0.25">
      <c r="A3053" s="45">
        <v>220210033093</v>
      </c>
      <c r="B3053" s="46" t="s">
        <v>9</v>
      </c>
      <c r="C3053" s="47">
        <v>44376</v>
      </c>
      <c r="D3053" s="45">
        <v>22021005115</v>
      </c>
      <c r="E3053" s="46" t="s">
        <v>2155</v>
      </c>
      <c r="F3053" s="48">
        <v>96.8</v>
      </c>
      <c r="G3053" s="54" t="s">
        <v>66</v>
      </c>
      <c r="H3053" s="54" t="s">
        <v>4624</v>
      </c>
      <c r="I3053" s="53" t="s">
        <v>125</v>
      </c>
      <c r="J3053" s="54" t="s">
        <v>127</v>
      </c>
      <c r="K3053" s="54" t="s">
        <v>127</v>
      </c>
      <c r="L3053" s="54" t="s">
        <v>12</v>
      </c>
      <c r="M3053" s="54" t="s">
        <v>10</v>
      </c>
      <c r="N3053" s="54" t="s">
        <v>11</v>
      </c>
      <c r="O3053" s="49" t="s">
        <v>815</v>
      </c>
      <c r="P3053" s="54" t="s">
        <v>3392</v>
      </c>
      <c r="Q3053" s="35" t="str">
        <f>MID(Tabla1[[#This Row],[Aplicación]],14,1)</f>
        <v>2</v>
      </c>
      <c r="R3053" s="35" t="s">
        <v>495</v>
      </c>
      <c r="S3053" s="35" t="str">
        <f>MID(Tabla1[[#This Row],[Aplicación]],6,2)</f>
        <v>11</v>
      </c>
      <c r="T3053" s="35" t="str">
        <f>VLOOKUP(Tabla1[[#This Row],[AREA]],Hoja1!A:B,2,FALSE)</f>
        <v>11. Salud pública y seguridad ciudadana</v>
      </c>
      <c r="U3053" s="35" t="str">
        <f>MID(Tabla1[[#This Row],[Aplicación]],9,4)</f>
        <v>1621</v>
      </c>
      <c r="V3053" s="35" t="str">
        <f>VLOOKUP(Tabla1[[#This Row],[PROGRAMA]],Hoja1!A:B,2,FALSE)</f>
        <v>1621. Servicio de limpieza</v>
      </c>
      <c r="W3053" s="35" t="str">
        <f>MID(Tabla1[[#This Row],[Aplicación]],14,2)</f>
        <v>21</v>
      </c>
      <c r="X3053" s="35" t="str">
        <f>MID(Tabla1[[#This Row],[Aplicación]],14,6)</f>
        <v>212</v>
      </c>
    </row>
    <row r="3054" spans="1:24" x14ac:dyDescent="0.25">
      <c r="A3054" s="45">
        <v>220210016844</v>
      </c>
      <c r="B3054" s="46" t="s">
        <v>204</v>
      </c>
      <c r="C3054" s="47">
        <v>44308</v>
      </c>
      <c r="D3054" s="45">
        <v>22021002374</v>
      </c>
      <c r="E3054" s="46" t="s">
        <v>1336</v>
      </c>
      <c r="F3054" s="48">
        <v>115.05</v>
      </c>
      <c r="G3054" s="54" t="s">
        <v>266</v>
      </c>
      <c r="H3054" s="54" t="s">
        <v>4625</v>
      </c>
      <c r="I3054" s="53" t="s">
        <v>205</v>
      </c>
      <c r="J3054" s="54" t="s">
        <v>127</v>
      </c>
      <c r="K3054" s="54" t="s">
        <v>127</v>
      </c>
      <c r="L3054" s="54" t="s">
        <v>15</v>
      </c>
      <c r="M3054" s="54" t="s">
        <v>13</v>
      </c>
      <c r="N3054" s="54" t="s">
        <v>14</v>
      </c>
      <c r="O3054" s="49" t="s">
        <v>814</v>
      </c>
      <c r="P3054" s="54" t="s">
        <v>3392</v>
      </c>
      <c r="Q3054" s="35" t="str">
        <f>MID(Tabla1[[#This Row],[Aplicación]],14,1)</f>
        <v>2</v>
      </c>
      <c r="R3054" s="35" t="s">
        <v>495</v>
      </c>
      <c r="S3054" s="35" t="str">
        <f>MID(Tabla1[[#This Row],[Aplicación]],6,2)</f>
        <v>02</v>
      </c>
      <c r="T3054" s="35" t="str">
        <f>VLOOKUP(Tabla1[[#This Row],[AREA]],Hoja1!A:B,2,FALSE)</f>
        <v>02. Planeamiento urbanístico y vivienda</v>
      </c>
      <c r="U3054" s="35" t="str">
        <f>MID(Tabla1[[#This Row],[Aplicación]],9,4)</f>
        <v>9332</v>
      </c>
      <c r="V3054" s="35" t="str">
        <f>VLOOKUP(Tabla1[[#This Row],[PROGRAMA]],Hoja1!A:B,2,FALSE)</f>
        <v>9332. Mantenimiento de edificios e instalaciones municipales</v>
      </c>
      <c r="W3054" s="35" t="str">
        <f>MID(Tabla1[[#This Row],[Aplicación]],14,2)</f>
        <v>21</v>
      </c>
      <c r="X3054" s="35" t="str">
        <f>MID(Tabla1[[#This Row],[Aplicación]],14,6)</f>
        <v>212</v>
      </c>
    </row>
    <row r="3055" spans="1:24" x14ac:dyDescent="0.25">
      <c r="A3055" s="45">
        <v>220210030179</v>
      </c>
      <c r="B3055" s="46" t="s">
        <v>204</v>
      </c>
      <c r="C3055" s="47">
        <v>44356</v>
      </c>
      <c r="D3055" s="45">
        <v>22021002225</v>
      </c>
      <c r="E3055" s="46" t="s">
        <v>1574</v>
      </c>
      <c r="F3055" s="48">
        <v>110.35</v>
      </c>
      <c r="G3055" s="54" t="s">
        <v>1475</v>
      </c>
      <c r="H3055" s="54" t="s">
        <v>4626</v>
      </c>
      <c r="I3055" s="53" t="s">
        <v>205</v>
      </c>
      <c r="J3055" s="54" t="s">
        <v>127</v>
      </c>
      <c r="K3055" s="54" t="s">
        <v>127</v>
      </c>
      <c r="L3055" s="54" t="s">
        <v>15</v>
      </c>
      <c r="M3055" s="54" t="s">
        <v>13</v>
      </c>
      <c r="N3055" s="54" t="s">
        <v>16</v>
      </c>
      <c r="O3055" s="49" t="s">
        <v>814</v>
      </c>
      <c r="P3055" s="54" t="s">
        <v>3392</v>
      </c>
      <c r="Q3055" s="35" t="str">
        <f>MID(Tabla1[[#This Row],[Aplicación]],14,1)</f>
        <v>2</v>
      </c>
      <c r="R3055" s="35" t="s">
        <v>495</v>
      </c>
      <c r="S3055" s="35" t="str">
        <f>MID(Tabla1[[#This Row],[Aplicación]],6,2)</f>
        <v>06</v>
      </c>
      <c r="T3055" s="35" t="str">
        <f>VLOOKUP(Tabla1[[#This Row],[AREA]],Hoja1!A:B,2,FALSE)</f>
        <v>06. Educación, infancia, juventud e igualdad</v>
      </c>
      <c r="U3055" s="35" t="str">
        <f>MID(Tabla1[[#This Row],[Aplicación]],9,4)</f>
        <v>3231</v>
      </c>
      <c r="V3055" s="35" t="str">
        <f>VLOOKUP(Tabla1[[#This Row],[PROGRAMA]],Hoja1!A:B,2,FALSE)</f>
        <v>3231. Escuelas infantiles</v>
      </c>
      <c r="W3055" s="35" t="str">
        <f>MID(Tabla1[[#This Row],[Aplicación]],14,2)</f>
        <v>21</v>
      </c>
      <c r="X3055" s="35" t="str">
        <f>MID(Tabla1[[#This Row],[Aplicación]],14,6)</f>
        <v>212</v>
      </c>
    </row>
    <row r="3056" spans="1:24" x14ac:dyDescent="0.25">
      <c r="A3056" s="45">
        <v>220210033120</v>
      </c>
      <c r="B3056" s="46" t="s">
        <v>9</v>
      </c>
      <c r="C3056" s="47">
        <v>44377</v>
      </c>
      <c r="D3056" s="45">
        <v>22021002231</v>
      </c>
      <c r="E3056" s="46" t="s">
        <v>1599</v>
      </c>
      <c r="F3056" s="48">
        <v>95.95</v>
      </c>
      <c r="G3056" s="54" t="s">
        <v>1597</v>
      </c>
      <c r="H3056" s="54" t="s">
        <v>4170</v>
      </c>
      <c r="I3056" s="53" t="s">
        <v>125</v>
      </c>
      <c r="J3056" s="54" t="s">
        <v>127</v>
      </c>
      <c r="K3056" s="54" t="s">
        <v>127</v>
      </c>
      <c r="L3056" s="54" t="s">
        <v>12</v>
      </c>
      <c r="M3056" s="54" t="s">
        <v>10</v>
      </c>
      <c r="N3056" s="54" t="s">
        <v>11</v>
      </c>
      <c r="O3056" s="49" t="s">
        <v>815</v>
      </c>
      <c r="P3056" s="54" t="s">
        <v>3392</v>
      </c>
      <c r="Q3056" s="35" t="str">
        <f>MID(Tabla1[[#This Row],[Aplicación]],14,1)</f>
        <v>2</v>
      </c>
      <c r="R3056" s="35" t="s">
        <v>495</v>
      </c>
      <c r="S3056" s="35" t="str">
        <f>MID(Tabla1[[#This Row],[Aplicación]],6,2)</f>
        <v>10</v>
      </c>
      <c r="T3056" s="35" t="str">
        <f>VLOOKUP(Tabla1[[#This Row],[AREA]],Hoja1!A:B,2,FALSE)</f>
        <v>10. Servicios sociales y mediación comunitaria</v>
      </c>
      <c r="U3056" s="35" t="str">
        <f>MID(Tabla1[[#This Row],[Aplicación]],9,4)</f>
        <v>2412</v>
      </c>
      <c r="V3056" s="35" t="str">
        <f>VLOOKUP(Tabla1[[#This Row],[PROGRAMA]],Hoja1!A:B,2,FALSE)</f>
        <v>2412. Formación para el empleo</v>
      </c>
      <c r="W3056" s="35" t="str">
        <f>MID(Tabla1[[#This Row],[Aplicación]],14,2)</f>
        <v>22</v>
      </c>
      <c r="X3056" s="35" t="str">
        <f>MID(Tabla1[[#This Row],[Aplicación]],14,6)</f>
        <v>223</v>
      </c>
    </row>
    <row r="3057" spans="1:24" x14ac:dyDescent="0.25">
      <c r="A3057" s="45">
        <v>220210024790</v>
      </c>
      <c r="B3057" s="46" t="s">
        <v>204</v>
      </c>
      <c r="C3057" s="47">
        <v>44340</v>
      </c>
      <c r="D3057" s="45">
        <v>22021002228</v>
      </c>
      <c r="E3057" s="46" t="s">
        <v>1471</v>
      </c>
      <c r="F3057" s="48">
        <v>109.53</v>
      </c>
      <c r="G3057" s="54" t="s">
        <v>238</v>
      </c>
      <c r="H3057" s="54" t="s">
        <v>4627</v>
      </c>
      <c r="I3057" s="53" t="s">
        <v>205</v>
      </c>
      <c r="J3057" s="54" t="s">
        <v>127</v>
      </c>
      <c r="K3057" s="54" t="s">
        <v>127</v>
      </c>
      <c r="L3057" s="54" t="s">
        <v>15</v>
      </c>
      <c r="M3057" s="54" t="s">
        <v>13</v>
      </c>
      <c r="N3057" s="54" t="s">
        <v>14</v>
      </c>
      <c r="O3057" s="49" t="s">
        <v>814</v>
      </c>
      <c r="P3057" s="54" t="s">
        <v>3392</v>
      </c>
      <c r="Q3057" s="35" t="str">
        <f>MID(Tabla1[[#This Row],[Aplicación]],14,1)</f>
        <v>2</v>
      </c>
      <c r="R3057" s="35" t="s">
        <v>495</v>
      </c>
      <c r="S3057" s="35" t="str">
        <f>MID(Tabla1[[#This Row],[Aplicación]],6,2)</f>
        <v>06</v>
      </c>
      <c r="T3057" s="35" t="str">
        <f>VLOOKUP(Tabla1[[#This Row],[AREA]],Hoja1!A:B,2,FALSE)</f>
        <v>06. Educación, infancia, juventud e igualdad</v>
      </c>
      <c r="U3057" s="35" t="str">
        <f>MID(Tabla1[[#This Row],[Aplicación]],9,4)</f>
        <v>3232</v>
      </c>
      <c r="V3057" s="35" t="str">
        <f>VLOOKUP(Tabla1[[#This Row],[PROGRAMA]],Hoja1!A:B,2,FALSE)</f>
        <v>3232. Conservación y mantenimiento centros educación infantil y primaria</v>
      </c>
      <c r="W3057" s="35" t="str">
        <f>MID(Tabla1[[#This Row],[Aplicación]],14,2)</f>
        <v>21</v>
      </c>
      <c r="X3057" s="35" t="str">
        <f>MID(Tabla1[[#This Row],[Aplicación]],14,6)</f>
        <v>212</v>
      </c>
    </row>
    <row r="3058" spans="1:24" x14ac:dyDescent="0.25">
      <c r="A3058" s="45">
        <v>220210026012</v>
      </c>
      <c r="B3058" s="46" t="s">
        <v>204</v>
      </c>
      <c r="C3058" s="47">
        <v>44344</v>
      </c>
      <c r="D3058" s="45">
        <v>22021002228</v>
      </c>
      <c r="E3058" s="46" t="s">
        <v>1471</v>
      </c>
      <c r="F3058" s="48">
        <v>109.07</v>
      </c>
      <c r="G3058" s="54" t="s">
        <v>277</v>
      </c>
      <c r="H3058" s="54" t="s">
        <v>4628</v>
      </c>
      <c r="I3058" s="53" t="s">
        <v>205</v>
      </c>
      <c r="J3058" s="54" t="s">
        <v>127</v>
      </c>
      <c r="K3058" s="54" t="s">
        <v>127</v>
      </c>
      <c r="L3058" s="54" t="s">
        <v>15</v>
      </c>
      <c r="M3058" s="54" t="s">
        <v>13</v>
      </c>
      <c r="N3058" s="54" t="s">
        <v>14</v>
      </c>
      <c r="O3058" s="49" t="s">
        <v>814</v>
      </c>
      <c r="P3058" s="54" t="s">
        <v>3392</v>
      </c>
      <c r="Q3058" s="35" t="str">
        <f>MID(Tabla1[[#This Row],[Aplicación]],14,1)</f>
        <v>2</v>
      </c>
      <c r="R3058" s="35" t="s">
        <v>495</v>
      </c>
      <c r="S3058" s="35" t="str">
        <f>MID(Tabla1[[#This Row],[Aplicación]],6,2)</f>
        <v>06</v>
      </c>
      <c r="T3058" s="35" t="str">
        <f>VLOOKUP(Tabla1[[#This Row],[AREA]],Hoja1!A:B,2,FALSE)</f>
        <v>06. Educación, infancia, juventud e igualdad</v>
      </c>
      <c r="U3058" s="35" t="str">
        <f>MID(Tabla1[[#This Row],[Aplicación]],9,4)</f>
        <v>3232</v>
      </c>
      <c r="V3058" s="35" t="str">
        <f>VLOOKUP(Tabla1[[#This Row],[PROGRAMA]],Hoja1!A:B,2,FALSE)</f>
        <v>3232. Conservación y mantenimiento centros educación infantil y primaria</v>
      </c>
      <c r="W3058" s="35" t="str">
        <f>MID(Tabla1[[#This Row],[Aplicación]],14,2)</f>
        <v>21</v>
      </c>
      <c r="X3058" s="35" t="str">
        <f>MID(Tabla1[[#This Row],[Aplicación]],14,6)</f>
        <v>212</v>
      </c>
    </row>
    <row r="3059" spans="1:24" x14ac:dyDescent="0.25">
      <c r="A3059" s="45">
        <v>220210022816</v>
      </c>
      <c r="B3059" s="46" t="s">
        <v>9</v>
      </c>
      <c r="C3059" s="47">
        <v>44333</v>
      </c>
      <c r="D3059" s="45">
        <v>22021004383</v>
      </c>
      <c r="E3059" s="46" t="s">
        <v>1478</v>
      </c>
      <c r="F3059" s="48">
        <v>94.84</v>
      </c>
      <c r="G3059" s="54" t="s">
        <v>87</v>
      </c>
      <c r="H3059" s="54" t="s">
        <v>4629</v>
      </c>
      <c r="I3059" s="53" t="s">
        <v>125</v>
      </c>
      <c r="J3059" s="54" t="s">
        <v>127</v>
      </c>
      <c r="K3059" s="54" t="s">
        <v>127</v>
      </c>
      <c r="L3059" s="54" t="s">
        <v>15</v>
      </c>
      <c r="M3059" s="54" t="s">
        <v>10</v>
      </c>
      <c r="N3059" s="54" t="s">
        <v>11</v>
      </c>
      <c r="O3059" s="49" t="s">
        <v>815</v>
      </c>
      <c r="P3059" s="54" t="s">
        <v>3392</v>
      </c>
      <c r="Q3059" s="35" t="str">
        <f>MID(Tabla1[[#This Row],[Aplicación]],14,1)</f>
        <v>2</v>
      </c>
      <c r="R3059" s="35" t="s">
        <v>495</v>
      </c>
      <c r="S3059" s="35" t="str">
        <f>MID(Tabla1[[#This Row],[Aplicación]],6,2)</f>
        <v>03</v>
      </c>
      <c r="T3059" s="35" t="str">
        <f>VLOOKUP(Tabla1[[#This Row],[AREA]],Hoja1!A:B,2,FALSE)</f>
        <v>03. Participación ciudadana y deportes</v>
      </c>
      <c r="U3059" s="35" t="str">
        <f>MID(Tabla1[[#This Row],[Aplicación]],9,4)</f>
        <v>9241</v>
      </c>
      <c r="V3059" s="35" t="str">
        <f>VLOOKUP(Tabla1[[#This Row],[PROGRAMA]],Hoja1!A:B,2,FALSE)</f>
        <v>9241. Participación ciudadana</v>
      </c>
      <c r="W3059" s="35" t="str">
        <f>MID(Tabla1[[#This Row],[Aplicación]],14,2)</f>
        <v>21</v>
      </c>
      <c r="X3059" s="35" t="str">
        <f>MID(Tabla1[[#This Row],[Aplicación]],14,6)</f>
        <v>212</v>
      </c>
    </row>
    <row r="3060" spans="1:24" x14ac:dyDescent="0.25">
      <c r="A3060" s="45">
        <v>220210014817</v>
      </c>
      <c r="B3060" s="46" t="s">
        <v>204</v>
      </c>
      <c r="C3060" s="47">
        <v>44299</v>
      </c>
      <c r="D3060" s="45">
        <v>22021002006</v>
      </c>
      <c r="E3060" s="46" t="s">
        <v>1310</v>
      </c>
      <c r="F3060" s="48">
        <v>109.07</v>
      </c>
      <c r="G3060" s="54" t="s">
        <v>277</v>
      </c>
      <c r="H3060" s="54" t="s">
        <v>4630</v>
      </c>
      <c r="I3060" s="53" t="s">
        <v>205</v>
      </c>
      <c r="J3060" s="54" t="s">
        <v>127</v>
      </c>
      <c r="K3060" s="54" t="s">
        <v>127</v>
      </c>
      <c r="L3060" s="54" t="s">
        <v>15</v>
      </c>
      <c r="M3060" s="54" t="s">
        <v>13</v>
      </c>
      <c r="N3060" s="54" t="s">
        <v>14</v>
      </c>
      <c r="O3060" s="49" t="s">
        <v>814</v>
      </c>
      <c r="P3060" s="54" t="s">
        <v>3392</v>
      </c>
      <c r="Q3060" s="35" t="str">
        <f>MID(Tabla1[[#This Row],[Aplicación]],14,1)</f>
        <v>2</v>
      </c>
      <c r="R3060" s="35" t="s">
        <v>495</v>
      </c>
      <c r="S3060" s="35" t="str">
        <f>MID(Tabla1[[#This Row],[Aplicación]],6,2)</f>
        <v>11</v>
      </c>
      <c r="T3060" s="35" t="str">
        <f>VLOOKUP(Tabla1[[#This Row],[AREA]],Hoja1!A:B,2,FALSE)</f>
        <v>11. Salud pública y seguridad ciudadana</v>
      </c>
      <c r="U3060" s="35" t="str">
        <f>MID(Tabla1[[#This Row],[Aplicación]],9,4)</f>
        <v>3111</v>
      </c>
      <c r="V3060" s="35" t="str">
        <f>VLOOKUP(Tabla1[[#This Row],[PROGRAMA]],Hoja1!A:B,2,FALSE)</f>
        <v>3111. Protección de la salubridad pública</v>
      </c>
      <c r="W3060" s="35" t="str">
        <f>MID(Tabla1[[#This Row],[Aplicación]],14,2)</f>
        <v>22</v>
      </c>
      <c r="X3060" s="35" t="str">
        <f>MID(Tabla1[[#This Row],[Aplicación]],14,6)</f>
        <v>22199</v>
      </c>
    </row>
    <row r="3061" spans="1:24" x14ac:dyDescent="0.25">
      <c r="A3061" s="45">
        <v>220210015974</v>
      </c>
      <c r="B3061" s="46" t="s">
        <v>204</v>
      </c>
      <c r="C3061" s="47">
        <v>44305</v>
      </c>
      <c r="D3061" s="45">
        <v>22021001181</v>
      </c>
      <c r="E3061" s="46" t="s">
        <v>873</v>
      </c>
      <c r="F3061" s="48">
        <v>108.19</v>
      </c>
      <c r="G3061" s="54" t="s">
        <v>238</v>
      </c>
      <c r="H3061" s="54" t="s">
        <v>4631</v>
      </c>
      <c r="I3061" s="53" t="s">
        <v>205</v>
      </c>
      <c r="J3061" s="54" t="s">
        <v>127</v>
      </c>
      <c r="K3061" s="54" t="s">
        <v>127</v>
      </c>
      <c r="L3061" s="54" t="s">
        <v>15</v>
      </c>
      <c r="M3061" s="54" t="s">
        <v>13</v>
      </c>
      <c r="N3061" s="54" t="s">
        <v>14</v>
      </c>
      <c r="O3061" s="49" t="s">
        <v>814</v>
      </c>
      <c r="P3061" s="54" t="s">
        <v>3392</v>
      </c>
      <c r="Q3061" s="35" t="str">
        <f>MID(Tabla1[[#This Row],[Aplicación]],14,1)</f>
        <v>2</v>
      </c>
      <c r="R3061" s="35" t="s">
        <v>495</v>
      </c>
      <c r="S3061" s="35" t="str">
        <f>MID(Tabla1[[#This Row],[Aplicación]],6,2)</f>
        <v>10</v>
      </c>
      <c r="T3061" s="35" t="str">
        <f>VLOOKUP(Tabla1[[#This Row],[AREA]],Hoja1!A:B,2,FALSE)</f>
        <v>10. Servicios sociales y mediación comunitaria</v>
      </c>
      <c r="U3061" s="35" t="str">
        <f>MID(Tabla1[[#This Row],[Aplicación]],9,4)</f>
        <v>2412</v>
      </c>
      <c r="V3061" s="35" t="str">
        <f>VLOOKUP(Tabla1[[#This Row],[PROGRAMA]],Hoja1!A:B,2,FALSE)</f>
        <v>2412. Formación para el empleo</v>
      </c>
      <c r="W3061" s="35" t="str">
        <f>MID(Tabla1[[#This Row],[Aplicación]],14,2)</f>
        <v>22</v>
      </c>
      <c r="X3061" s="35" t="str">
        <f>MID(Tabla1[[#This Row],[Aplicación]],14,6)</f>
        <v>22199</v>
      </c>
    </row>
    <row r="3062" spans="1:24" x14ac:dyDescent="0.25">
      <c r="A3062" s="45">
        <v>220210033120</v>
      </c>
      <c r="B3062" s="46" t="s">
        <v>9</v>
      </c>
      <c r="C3062" s="47">
        <v>44377</v>
      </c>
      <c r="D3062" s="45">
        <v>22021002229</v>
      </c>
      <c r="E3062" s="46" t="s">
        <v>1599</v>
      </c>
      <c r="F3062" s="48">
        <v>92</v>
      </c>
      <c r="G3062" s="54" t="s">
        <v>1597</v>
      </c>
      <c r="H3062" s="54" t="s">
        <v>4170</v>
      </c>
      <c r="I3062" s="53" t="s">
        <v>125</v>
      </c>
      <c r="J3062" s="54" t="s">
        <v>127</v>
      </c>
      <c r="K3062" s="54" t="s">
        <v>127</v>
      </c>
      <c r="L3062" s="54" t="s">
        <v>12</v>
      </c>
      <c r="M3062" s="54" t="s">
        <v>10</v>
      </c>
      <c r="N3062" s="54" t="s">
        <v>11</v>
      </c>
      <c r="O3062" s="49" t="s">
        <v>815</v>
      </c>
      <c r="P3062" s="54" t="s">
        <v>3392</v>
      </c>
      <c r="Q3062" s="35" t="str">
        <f>MID(Tabla1[[#This Row],[Aplicación]],14,1)</f>
        <v>2</v>
      </c>
      <c r="R3062" s="35" t="s">
        <v>495</v>
      </c>
      <c r="S3062" s="35" t="str">
        <f>MID(Tabla1[[#This Row],[Aplicación]],6,2)</f>
        <v>10</v>
      </c>
      <c r="T3062" s="35" t="str">
        <f>VLOOKUP(Tabla1[[#This Row],[AREA]],Hoja1!A:B,2,FALSE)</f>
        <v>10. Servicios sociales y mediación comunitaria</v>
      </c>
      <c r="U3062" s="35" t="str">
        <f>MID(Tabla1[[#This Row],[Aplicación]],9,4)</f>
        <v>2412</v>
      </c>
      <c r="V3062" s="35" t="str">
        <f>VLOOKUP(Tabla1[[#This Row],[PROGRAMA]],Hoja1!A:B,2,FALSE)</f>
        <v>2412. Formación para el empleo</v>
      </c>
      <c r="W3062" s="35" t="str">
        <f>MID(Tabla1[[#This Row],[Aplicación]],14,2)</f>
        <v>22</v>
      </c>
      <c r="X3062" s="35" t="str">
        <f>MID(Tabla1[[#This Row],[Aplicación]],14,6)</f>
        <v>223</v>
      </c>
    </row>
    <row r="3063" spans="1:24" x14ac:dyDescent="0.25">
      <c r="A3063" s="45">
        <v>220210015974</v>
      </c>
      <c r="B3063" s="46" t="s">
        <v>204</v>
      </c>
      <c r="C3063" s="47">
        <v>44305</v>
      </c>
      <c r="D3063" s="45">
        <v>22021001183</v>
      </c>
      <c r="E3063" s="46" t="s">
        <v>873</v>
      </c>
      <c r="F3063" s="48">
        <v>108.19</v>
      </c>
      <c r="G3063" s="54" t="s">
        <v>238</v>
      </c>
      <c r="H3063" s="54" t="s">
        <v>4631</v>
      </c>
      <c r="I3063" s="53" t="s">
        <v>205</v>
      </c>
      <c r="J3063" s="54" t="s">
        <v>127</v>
      </c>
      <c r="K3063" s="54" t="s">
        <v>127</v>
      </c>
      <c r="L3063" s="54" t="s">
        <v>15</v>
      </c>
      <c r="M3063" s="54" t="s">
        <v>13</v>
      </c>
      <c r="N3063" s="54" t="s">
        <v>14</v>
      </c>
      <c r="O3063" s="49" t="s">
        <v>814</v>
      </c>
      <c r="P3063" s="54" t="s">
        <v>3392</v>
      </c>
      <c r="Q3063" s="35" t="str">
        <f>MID(Tabla1[[#This Row],[Aplicación]],14,1)</f>
        <v>2</v>
      </c>
      <c r="R3063" s="35" t="s">
        <v>495</v>
      </c>
      <c r="S3063" s="35" t="str">
        <f>MID(Tabla1[[#This Row],[Aplicación]],6,2)</f>
        <v>10</v>
      </c>
      <c r="T3063" s="35" t="str">
        <f>VLOOKUP(Tabla1[[#This Row],[AREA]],Hoja1!A:B,2,FALSE)</f>
        <v>10. Servicios sociales y mediación comunitaria</v>
      </c>
      <c r="U3063" s="35" t="str">
        <f>MID(Tabla1[[#This Row],[Aplicación]],9,4)</f>
        <v>2412</v>
      </c>
      <c r="V3063" s="35" t="str">
        <f>VLOOKUP(Tabla1[[#This Row],[PROGRAMA]],Hoja1!A:B,2,FALSE)</f>
        <v>2412. Formación para el empleo</v>
      </c>
      <c r="W3063" s="35" t="str">
        <f>MID(Tabla1[[#This Row],[Aplicación]],14,2)</f>
        <v>22</v>
      </c>
      <c r="X3063" s="35" t="str">
        <f>MID(Tabla1[[#This Row],[Aplicación]],14,6)</f>
        <v>22199</v>
      </c>
    </row>
    <row r="3064" spans="1:24" x14ac:dyDescent="0.25">
      <c r="A3064" s="45">
        <v>220210031465</v>
      </c>
      <c r="B3064" s="46" t="s">
        <v>9</v>
      </c>
      <c r="C3064" s="47">
        <v>44368</v>
      </c>
      <c r="D3064" s="45">
        <v>22021004818</v>
      </c>
      <c r="E3064" s="46" t="s">
        <v>1487</v>
      </c>
      <c r="F3064" s="48">
        <v>106.6</v>
      </c>
      <c r="G3064" s="54" t="s">
        <v>120</v>
      </c>
      <c r="H3064" s="54" t="s">
        <v>4632</v>
      </c>
      <c r="I3064" s="53" t="s">
        <v>125</v>
      </c>
      <c r="J3064" s="54" t="s">
        <v>126</v>
      </c>
      <c r="K3064" s="54" t="s">
        <v>126</v>
      </c>
      <c r="L3064" s="54" t="s">
        <v>12</v>
      </c>
      <c r="M3064" s="54" t="s">
        <v>13</v>
      </c>
      <c r="N3064" s="54" t="s">
        <v>14</v>
      </c>
      <c r="O3064" s="49" t="s">
        <v>814</v>
      </c>
      <c r="P3064" s="54" t="s">
        <v>3392</v>
      </c>
      <c r="Q3064" s="35" t="str">
        <f>MID(Tabla1[[#This Row],[Aplicación]],14,1)</f>
        <v>6</v>
      </c>
      <c r="R3064" s="35" t="s">
        <v>496</v>
      </c>
      <c r="S3064" s="35" t="str">
        <f>MID(Tabla1[[#This Row],[Aplicación]],6,2)</f>
        <v>08</v>
      </c>
      <c r="T3064" s="35" t="str">
        <f>VLOOKUP(Tabla1[[#This Row],[AREA]],Hoja1!A:B,2,FALSE)</f>
        <v>08. Movilidad y espacio urbano</v>
      </c>
      <c r="U3064" s="35" t="str">
        <f>MID(Tabla1[[#This Row],[Aplicación]],9,4)</f>
        <v>1532</v>
      </c>
      <c r="V3064" s="35" t="str">
        <f>VLOOKUP(Tabla1[[#This Row],[PROGRAMA]],Hoja1!A:B,2,FALSE)</f>
        <v>1532. Pavimentación vias públicas y otros servicios urbanísticos</v>
      </c>
      <c r="W3064" s="35" t="str">
        <f>MID(Tabla1[[#This Row],[Aplicación]],14,2)</f>
        <v>61</v>
      </c>
      <c r="X3064" s="35" t="str">
        <f>MID(Tabla1[[#This Row],[Aplicación]],14,6)</f>
        <v>619</v>
      </c>
    </row>
    <row r="3065" spans="1:24" x14ac:dyDescent="0.25">
      <c r="A3065" s="45">
        <v>220210018990</v>
      </c>
      <c r="B3065" s="46" t="s">
        <v>9</v>
      </c>
      <c r="C3065" s="47">
        <v>44316</v>
      </c>
      <c r="D3065" s="45">
        <v>22021004217</v>
      </c>
      <c r="E3065" s="46" t="s">
        <v>1267</v>
      </c>
      <c r="F3065" s="48">
        <v>90.75</v>
      </c>
      <c r="G3065" s="54" t="s">
        <v>4633</v>
      </c>
      <c r="H3065" s="54" t="s">
        <v>4634</v>
      </c>
      <c r="I3065" s="53" t="s">
        <v>125</v>
      </c>
      <c r="J3065" s="54" t="s">
        <v>127</v>
      </c>
      <c r="K3065" s="54" t="s">
        <v>127</v>
      </c>
      <c r="L3065" s="54" t="s">
        <v>12</v>
      </c>
      <c r="M3065" s="54" t="s">
        <v>10</v>
      </c>
      <c r="N3065" s="54" t="s">
        <v>11</v>
      </c>
      <c r="O3065" s="49" t="s">
        <v>815</v>
      </c>
      <c r="P3065" s="54" t="s">
        <v>3392</v>
      </c>
      <c r="Q3065" s="35" t="str">
        <f>MID(Tabla1[[#This Row],[Aplicación]],14,1)</f>
        <v>2</v>
      </c>
      <c r="R3065" s="35" t="s">
        <v>495</v>
      </c>
      <c r="S3065" s="35" t="str">
        <f>MID(Tabla1[[#This Row],[Aplicación]],6,2)</f>
        <v>03</v>
      </c>
      <c r="T3065" s="35" t="str">
        <f>VLOOKUP(Tabla1[[#This Row],[AREA]],Hoja1!A:B,2,FALSE)</f>
        <v>03. Participación ciudadana y deportes</v>
      </c>
      <c r="U3065" s="35" t="str">
        <f>MID(Tabla1[[#This Row],[Aplicación]],9,4)</f>
        <v>9241</v>
      </c>
      <c r="V3065" s="35" t="str">
        <f>VLOOKUP(Tabla1[[#This Row],[PROGRAMA]],Hoja1!A:B,2,FALSE)</f>
        <v>9241. Participación ciudadana</v>
      </c>
      <c r="W3065" s="35" t="str">
        <f>MID(Tabla1[[#This Row],[Aplicación]],14,2)</f>
        <v>22</v>
      </c>
      <c r="X3065" s="35" t="str">
        <f>MID(Tabla1[[#This Row],[Aplicación]],14,6)</f>
        <v>22602</v>
      </c>
    </row>
    <row r="3066" spans="1:24" x14ac:dyDescent="0.25">
      <c r="A3066" s="45">
        <v>220210026141</v>
      </c>
      <c r="B3066" s="46" t="s">
        <v>9</v>
      </c>
      <c r="C3066" s="47">
        <v>44347</v>
      </c>
      <c r="D3066" s="45">
        <v>22021004579</v>
      </c>
      <c r="E3066" s="46" t="s">
        <v>1267</v>
      </c>
      <c r="F3066" s="48">
        <v>90.75</v>
      </c>
      <c r="G3066" s="54" t="s">
        <v>4633</v>
      </c>
      <c r="H3066" s="54" t="s">
        <v>4635</v>
      </c>
      <c r="I3066" s="53" t="s">
        <v>125</v>
      </c>
      <c r="J3066" s="54" t="s">
        <v>127</v>
      </c>
      <c r="K3066" s="54" t="s">
        <v>127</v>
      </c>
      <c r="L3066" s="54" t="s">
        <v>12</v>
      </c>
      <c r="M3066" s="54" t="s">
        <v>10</v>
      </c>
      <c r="N3066" s="54" t="s">
        <v>11</v>
      </c>
      <c r="O3066" s="49" t="s">
        <v>815</v>
      </c>
      <c r="P3066" s="54" t="s">
        <v>3392</v>
      </c>
      <c r="Q3066" s="35" t="str">
        <f>MID(Tabla1[[#This Row],[Aplicación]],14,1)</f>
        <v>2</v>
      </c>
      <c r="R3066" s="35" t="s">
        <v>495</v>
      </c>
      <c r="S3066" s="35" t="str">
        <f>MID(Tabla1[[#This Row],[Aplicación]],6,2)</f>
        <v>03</v>
      </c>
      <c r="T3066" s="35" t="str">
        <f>VLOOKUP(Tabla1[[#This Row],[AREA]],Hoja1!A:B,2,FALSE)</f>
        <v>03. Participación ciudadana y deportes</v>
      </c>
      <c r="U3066" s="35" t="str">
        <f>MID(Tabla1[[#This Row],[Aplicación]],9,4)</f>
        <v>9241</v>
      </c>
      <c r="V3066" s="35" t="str">
        <f>VLOOKUP(Tabla1[[#This Row],[PROGRAMA]],Hoja1!A:B,2,FALSE)</f>
        <v>9241. Participación ciudadana</v>
      </c>
      <c r="W3066" s="35" t="str">
        <f>MID(Tabla1[[#This Row],[Aplicación]],14,2)</f>
        <v>22</v>
      </c>
      <c r="X3066" s="35" t="str">
        <f>MID(Tabla1[[#This Row],[Aplicación]],14,6)</f>
        <v>22602</v>
      </c>
    </row>
    <row r="3067" spans="1:24" x14ac:dyDescent="0.25">
      <c r="A3067" s="45">
        <v>220210030259</v>
      </c>
      <c r="B3067" s="46" t="s">
        <v>204</v>
      </c>
      <c r="C3067" s="47">
        <v>44357</v>
      </c>
      <c r="D3067" s="45">
        <v>22021002133</v>
      </c>
      <c r="E3067" s="46" t="s">
        <v>1326</v>
      </c>
      <c r="F3067" s="48">
        <v>106.53</v>
      </c>
      <c r="G3067" s="54" t="s">
        <v>266</v>
      </c>
      <c r="H3067" s="54" t="s">
        <v>4636</v>
      </c>
      <c r="I3067" s="53" t="s">
        <v>205</v>
      </c>
      <c r="J3067" s="54" t="s">
        <v>127</v>
      </c>
      <c r="K3067" s="54" t="s">
        <v>127</v>
      </c>
      <c r="L3067" s="54" t="s">
        <v>15</v>
      </c>
      <c r="M3067" s="54" t="s">
        <v>13</v>
      </c>
      <c r="N3067" s="54" t="s">
        <v>14</v>
      </c>
      <c r="O3067" s="49" t="s">
        <v>814</v>
      </c>
      <c r="P3067" s="54" t="s">
        <v>3392</v>
      </c>
      <c r="Q3067" s="35" t="str">
        <f>MID(Tabla1[[#This Row],[Aplicación]],14,1)</f>
        <v>2</v>
      </c>
      <c r="R3067" s="35" t="s">
        <v>495</v>
      </c>
      <c r="S3067" s="35" t="str">
        <f>MID(Tabla1[[#This Row],[Aplicación]],6,2)</f>
        <v>08</v>
      </c>
      <c r="T3067" s="35" t="str">
        <f>VLOOKUP(Tabla1[[#This Row],[AREA]],Hoja1!A:B,2,FALSE)</f>
        <v>08. Movilidad y espacio urbano</v>
      </c>
      <c r="U3067" s="35" t="str">
        <f>MID(Tabla1[[#This Row],[Aplicación]],9,4)</f>
        <v>1651</v>
      </c>
      <c r="V3067" s="35" t="str">
        <f>VLOOKUP(Tabla1[[#This Row],[PROGRAMA]],Hoja1!A:B,2,FALSE)</f>
        <v>1651. Alumbrado público</v>
      </c>
      <c r="W3067" s="35" t="str">
        <f>MID(Tabla1[[#This Row],[Aplicación]],14,2)</f>
        <v>22</v>
      </c>
      <c r="X3067" s="35" t="str">
        <f>MID(Tabla1[[#This Row],[Aplicación]],14,6)</f>
        <v>22199</v>
      </c>
    </row>
    <row r="3068" spans="1:24" x14ac:dyDescent="0.25">
      <c r="A3068" s="45">
        <v>220210021751</v>
      </c>
      <c r="B3068" s="46" t="s">
        <v>204</v>
      </c>
      <c r="C3068" s="47">
        <v>44327</v>
      </c>
      <c r="D3068" s="45">
        <v>22021001181</v>
      </c>
      <c r="E3068" s="46" t="s">
        <v>873</v>
      </c>
      <c r="F3068" s="48">
        <v>105.9</v>
      </c>
      <c r="G3068" s="54" t="s">
        <v>263</v>
      </c>
      <c r="H3068" s="54" t="s">
        <v>4637</v>
      </c>
      <c r="I3068" s="53" t="s">
        <v>205</v>
      </c>
      <c r="J3068" s="54" t="s">
        <v>127</v>
      </c>
      <c r="K3068" s="54" t="s">
        <v>127</v>
      </c>
      <c r="L3068" s="54" t="s">
        <v>15</v>
      </c>
      <c r="M3068" s="54" t="s">
        <v>13</v>
      </c>
      <c r="N3068" s="54" t="s">
        <v>14</v>
      </c>
      <c r="O3068" s="49" t="s">
        <v>814</v>
      </c>
      <c r="P3068" s="54" t="s">
        <v>3392</v>
      </c>
      <c r="Q3068" s="35" t="str">
        <f>MID(Tabla1[[#This Row],[Aplicación]],14,1)</f>
        <v>2</v>
      </c>
      <c r="R3068" s="35" t="s">
        <v>495</v>
      </c>
      <c r="S3068" s="35" t="str">
        <f>MID(Tabla1[[#This Row],[Aplicación]],6,2)</f>
        <v>10</v>
      </c>
      <c r="T3068" s="35" t="str">
        <f>VLOOKUP(Tabla1[[#This Row],[AREA]],Hoja1!A:B,2,FALSE)</f>
        <v>10. Servicios sociales y mediación comunitaria</v>
      </c>
      <c r="U3068" s="35" t="str">
        <f>MID(Tabla1[[#This Row],[Aplicación]],9,4)</f>
        <v>2412</v>
      </c>
      <c r="V3068" s="35" t="str">
        <f>VLOOKUP(Tabla1[[#This Row],[PROGRAMA]],Hoja1!A:B,2,FALSE)</f>
        <v>2412. Formación para el empleo</v>
      </c>
      <c r="W3068" s="35" t="str">
        <f>MID(Tabla1[[#This Row],[Aplicación]],14,2)</f>
        <v>22</v>
      </c>
      <c r="X3068" s="35" t="str">
        <f>MID(Tabla1[[#This Row],[Aplicación]],14,6)</f>
        <v>22199</v>
      </c>
    </row>
    <row r="3069" spans="1:24" x14ac:dyDescent="0.25">
      <c r="A3069" s="45">
        <v>220210018917</v>
      </c>
      <c r="B3069" s="46" t="s">
        <v>204</v>
      </c>
      <c r="C3069" s="47">
        <v>44314</v>
      </c>
      <c r="D3069" s="45">
        <v>22021002132</v>
      </c>
      <c r="E3069" s="46" t="s">
        <v>1180</v>
      </c>
      <c r="F3069" s="48">
        <v>103.98</v>
      </c>
      <c r="G3069" s="54" t="s">
        <v>256</v>
      </c>
      <c r="H3069" s="54" t="s">
        <v>4638</v>
      </c>
      <c r="I3069" s="53" t="s">
        <v>205</v>
      </c>
      <c r="J3069" s="54" t="s">
        <v>127</v>
      </c>
      <c r="K3069" s="54" t="s">
        <v>127</v>
      </c>
      <c r="L3069" s="54" t="s">
        <v>15</v>
      </c>
      <c r="M3069" s="54" t="s">
        <v>13</v>
      </c>
      <c r="N3069" s="54" t="s">
        <v>14</v>
      </c>
      <c r="O3069" s="49" t="s">
        <v>814</v>
      </c>
      <c r="P3069" s="54" t="s">
        <v>3392</v>
      </c>
      <c r="Q3069" s="35" t="str">
        <f>MID(Tabla1[[#This Row],[Aplicación]],14,1)</f>
        <v>2</v>
      </c>
      <c r="R3069" s="35" t="s">
        <v>495</v>
      </c>
      <c r="S3069" s="35" t="str">
        <f>MID(Tabla1[[#This Row],[Aplicación]],6,2)</f>
        <v>08</v>
      </c>
      <c r="T3069" s="35" t="str">
        <f>VLOOKUP(Tabla1[[#This Row],[AREA]],Hoja1!A:B,2,FALSE)</f>
        <v>08. Movilidad y espacio urbano</v>
      </c>
      <c r="U3069" s="35" t="str">
        <f>MID(Tabla1[[#This Row],[Aplicación]],9,4)</f>
        <v>1532</v>
      </c>
      <c r="V3069" s="35" t="str">
        <f>VLOOKUP(Tabla1[[#This Row],[PROGRAMA]],Hoja1!A:B,2,FALSE)</f>
        <v>1532. Pavimentación vias públicas y otros servicios urbanísticos</v>
      </c>
      <c r="W3069" s="35" t="str">
        <f>MID(Tabla1[[#This Row],[Aplicación]],14,2)</f>
        <v>21</v>
      </c>
      <c r="X3069" s="35" t="str">
        <f>MID(Tabla1[[#This Row],[Aplicación]],14,6)</f>
        <v>210</v>
      </c>
    </row>
    <row r="3070" spans="1:24" x14ac:dyDescent="0.25">
      <c r="A3070" s="45">
        <v>220210022675</v>
      </c>
      <c r="B3070" s="46" t="s">
        <v>204</v>
      </c>
      <c r="C3070" s="47">
        <v>44333</v>
      </c>
      <c r="D3070" s="45">
        <v>22021001039</v>
      </c>
      <c r="E3070" s="46" t="s">
        <v>844</v>
      </c>
      <c r="F3070" s="48">
        <v>103.54</v>
      </c>
      <c r="G3070" s="54" t="s">
        <v>266</v>
      </c>
      <c r="H3070" s="54" t="s">
        <v>4639</v>
      </c>
      <c r="I3070" s="53" t="s">
        <v>205</v>
      </c>
      <c r="J3070" s="54" t="s">
        <v>127</v>
      </c>
      <c r="K3070" s="54" t="s">
        <v>127</v>
      </c>
      <c r="L3070" s="54" t="s">
        <v>15</v>
      </c>
      <c r="M3070" s="54" t="s">
        <v>13</v>
      </c>
      <c r="N3070" s="54" t="s">
        <v>14</v>
      </c>
      <c r="O3070" s="49" t="s">
        <v>814</v>
      </c>
      <c r="P3070" s="54" t="s">
        <v>3392</v>
      </c>
      <c r="Q3070" s="35" t="str">
        <f>MID(Tabla1[[#This Row],[Aplicación]],14,1)</f>
        <v>2</v>
      </c>
      <c r="R3070" s="35" t="s">
        <v>495</v>
      </c>
      <c r="S3070" s="35" t="str">
        <f>MID(Tabla1[[#This Row],[Aplicación]],6,2)</f>
        <v>10</v>
      </c>
      <c r="T3070" s="35" t="str">
        <f>VLOOKUP(Tabla1[[#This Row],[AREA]],Hoja1!A:B,2,FALSE)</f>
        <v>10. Servicios sociales y mediación comunitaria</v>
      </c>
      <c r="U3070" s="35" t="str">
        <f>MID(Tabla1[[#This Row],[Aplicación]],9,4)</f>
        <v>2312</v>
      </c>
      <c r="V3070" s="35" t="str">
        <f>VLOOKUP(Tabla1[[#This Row],[PROGRAMA]],Hoja1!A:B,2,FALSE)</f>
        <v>2312. Iniciativas sociales</v>
      </c>
      <c r="W3070" s="35" t="str">
        <f>MID(Tabla1[[#This Row],[Aplicación]],14,2)</f>
        <v>21</v>
      </c>
      <c r="X3070" s="35" t="str">
        <f>MID(Tabla1[[#This Row],[Aplicación]],14,6)</f>
        <v>212</v>
      </c>
    </row>
    <row r="3071" spans="1:24" x14ac:dyDescent="0.25">
      <c r="A3071" s="45">
        <v>220210014590</v>
      </c>
      <c r="B3071" s="46" t="s">
        <v>204</v>
      </c>
      <c r="C3071" s="47">
        <v>44298</v>
      </c>
      <c r="D3071" s="45">
        <v>22021002006</v>
      </c>
      <c r="E3071" s="46" t="s">
        <v>1310</v>
      </c>
      <c r="F3071" s="48">
        <v>102.85</v>
      </c>
      <c r="G3071" s="54" t="s">
        <v>235</v>
      </c>
      <c r="H3071" s="54" t="s">
        <v>4640</v>
      </c>
      <c r="I3071" s="53" t="s">
        <v>205</v>
      </c>
      <c r="J3071" s="54" t="s">
        <v>742</v>
      </c>
      <c r="K3071" s="54" t="s">
        <v>165</v>
      </c>
      <c r="L3071" s="54" t="s">
        <v>15</v>
      </c>
      <c r="M3071" s="54" t="s">
        <v>13</v>
      </c>
      <c r="N3071" s="54" t="s">
        <v>14</v>
      </c>
      <c r="O3071" s="49" t="s">
        <v>814</v>
      </c>
      <c r="P3071" s="54" t="s">
        <v>3392</v>
      </c>
      <c r="Q3071" s="35" t="str">
        <f>MID(Tabla1[[#This Row],[Aplicación]],14,1)</f>
        <v>2</v>
      </c>
      <c r="R3071" s="35" t="s">
        <v>495</v>
      </c>
      <c r="S3071" s="35" t="str">
        <f>MID(Tabla1[[#This Row],[Aplicación]],6,2)</f>
        <v>11</v>
      </c>
      <c r="T3071" s="35" t="str">
        <f>VLOOKUP(Tabla1[[#This Row],[AREA]],Hoja1!A:B,2,FALSE)</f>
        <v>11. Salud pública y seguridad ciudadana</v>
      </c>
      <c r="U3071" s="35" t="str">
        <f>MID(Tabla1[[#This Row],[Aplicación]],9,4)</f>
        <v>3111</v>
      </c>
      <c r="V3071" s="35" t="str">
        <f>VLOOKUP(Tabla1[[#This Row],[PROGRAMA]],Hoja1!A:B,2,FALSE)</f>
        <v>3111. Protección de la salubridad pública</v>
      </c>
      <c r="W3071" s="35" t="str">
        <f>MID(Tabla1[[#This Row],[Aplicación]],14,2)</f>
        <v>22</v>
      </c>
      <c r="X3071" s="35" t="str">
        <f>MID(Tabla1[[#This Row],[Aplicación]],14,6)</f>
        <v>22199</v>
      </c>
    </row>
    <row r="3072" spans="1:24" x14ac:dyDescent="0.25">
      <c r="A3072" s="45">
        <v>220210015520</v>
      </c>
      <c r="B3072" s="46" t="s">
        <v>9</v>
      </c>
      <c r="C3072" s="47">
        <v>44301</v>
      </c>
      <c r="D3072" s="45">
        <v>22021003879</v>
      </c>
      <c r="E3072" s="46" t="s">
        <v>3384</v>
      </c>
      <c r="F3072" s="48">
        <v>87.72</v>
      </c>
      <c r="G3072" s="54" t="s">
        <v>4641</v>
      </c>
      <c r="H3072" s="54" t="s">
        <v>4642</v>
      </c>
      <c r="I3072" s="53" t="s">
        <v>125</v>
      </c>
      <c r="J3072" s="54" t="s">
        <v>127</v>
      </c>
      <c r="K3072" s="54" t="s">
        <v>127</v>
      </c>
      <c r="L3072" s="54" t="s">
        <v>12</v>
      </c>
      <c r="M3072" s="54" t="s">
        <v>10</v>
      </c>
      <c r="N3072" s="54" t="s">
        <v>11</v>
      </c>
      <c r="O3072" s="49" t="s">
        <v>815</v>
      </c>
      <c r="P3072" s="54" t="s">
        <v>3392</v>
      </c>
      <c r="Q3072" s="35" t="str">
        <f>MID(Tabla1[[#This Row],[Aplicación]],14,1)</f>
        <v>2</v>
      </c>
      <c r="R3072" s="35" t="s">
        <v>495</v>
      </c>
      <c r="S3072" s="35" t="str">
        <f>MID(Tabla1[[#This Row],[Aplicación]],6,2)</f>
        <v>06</v>
      </c>
      <c r="T3072" s="35" t="str">
        <f>VLOOKUP(Tabla1[[#This Row],[AREA]],Hoja1!A:B,2,FALSE)</f>
        <v>06. Educación, infancia, juventud e igualdad</v>
      </c>
      <c r="U3072" s="35" t="str">
        <f>MID(Tabla1[[#This Row],[Aplicación]],9,4)</f>
        <v>3232</v>
      </c>
      <c r="V3072" s="35" t="str">
        <f>VLOOKUP(Tabla1[[#This Row],[PROGRAMA]],Hoja1!A:B,2,FALSE)</f>
        <v>3232. Conservación y mantenimiento centros educación infantil y primaria</v>
      </c>
      <c r="W3072" s="35" t="str">
        <f>MID(Tabla1[[#This Row],[Aplicación]],14,2)</f>
        <v>21</v>
      </c>
      <c r="X3072" s="35" t="str">
        <f>MID(Tabla1[[#This Row],[Aplicación]],14,6)</f>
        <v>215</v>
      </c>
    </row>
    <row r="3073" spans="1:24" x14ac:dyDescent="0.25">
      <c r="A3073" s="45">
        <v>220210031355</v>
      </c>
      <c r="B3073" s="46" t="s">
        <v>9</v>
      </c>
      <c r="C3073" s="47">
        <v>44365</v>
      </c>
      <c r="D3073" s="45">
        <v>22021004913</v>
      </c>
      <c r="E3073" s="46" t="s">
        <v>1380</v>
      </c>
      <c r="F3073" s="48">
        <v>87.68</v>
      </c>
      <c r="G3073" s="54" t="s">
        <v>4643</v>
      </c>
      <c r="H3073" s="54" t="s">
        <v>4644</v>
      </c>
      <c r="I3073" s="53" t="s">
        <v>125</v>
      </c>
      <c r="J3073" s="54" t="s">
        <v>127</v>
      </c>
      <c r="K3073" s="54" t="s">
        <v>127</v>
      </c>
      <c r="L3073" s="54" t="s">
        <v>15</v>
      </c>
      <c r="M3073" s="54" t="s">
        <v>10</v>
      </c>
      <c r="N3073" s="54" t="s">
        <v>11</v>
      </c>
      <c r="O3073" s="49" t="s">
        <v>815</v>
      </c>
      <c r="P3073" s="54" t="s">
        <v>3392</v>
      </c>
      <c r="Q3073" s="35" t="str">
        <f>MID(Tabla1[[#This Row],[Aplicación]],14,1)</f>
        <v>2</v>
      </c>
      <c r="R3073" s="35" t="s">
        <v>495</v>
      </c>
      <c r="S3073" s="35" t="str">
        <f>MID(Tabla1[[#This Row],[Aplicación]],6,2)</f>
        <v>03</v>
      </c>
      <c r="T3073" s="35" t="str">
        <f>VLOOKUP(Tabla1[[#This Row],[AREA]],Hoja1!A:B,2,FALSE)</f>
        <v>03. Participación ciudadana y deportes</v>
      </c>
      <c r="U3073" s="35" t="str">
        <f>MID(Tabla1[[#This Row],[Aplicación]],9,4)</f>
        <v>9241</v>
      </c>
      <c r="V3073" s="35" t="str">
        <f>VLOOKUP(Tabla1[[#This Row],[PROGRAMA]],Hoja1!A:B,2,FALSE)</f>
        <v>9241. Participación ciudadana</v>
      </c>
      <c r="W3073" s="35" t="str">
        <f>MID(Tabla1[[#This Row],[Aplicación]],14,2)</f>
        <v>22</v>
      </c>
      <c r="X3073" s="35" t="str">
        <f>MID(Tabla1[[#This Row],[Aplicación]],14,6)</f>
        <v>22699</v>
      </c>
    </row>
    <row r="3074" spans="1:24" x14ac:dyDescent="0.25">
      <c r="A3074" s="45">
        <v>220210028831</v>
      </c>
      <c r="B3074" s="46" t="s">
        <v>9</v>
      </c>
      <c r="C3074" s="47">
        <v>44351</v>
      </c>
      <c r="D3074" s="45">
        <v>22021004754</v>
      </c>
      <c r="E3074" s="46" t="s">
        <v>1167</v>
      </c>
      <c r="F3074" s="48">
        <v>781.14</v>
      </c>
      <c r="G3074" s="54" t="s">
        <v>315</v>
      </c>
      <c r="H3074" s="54" t="s">
        <v>4645</v>
      </c>
      <c r="I3074" s="53" t="s">
        <v>125</v>
      </c>
      <c r="J3074" s="54" t="s">
        <v>127</v>
      </c>
      <c r="K3074" s="54" t="s">
        <v>127</v>
      </c>
      <c r="L3074" s="54" t="s">
        <v>12</v>
      </c>
      <c r="M3074" s="54" t="s">
        <v>10</v>
      </c>
      <c r="N3074" s="54" t="s">
        <v>11</v>
      </c>
      <c r="O3074" s="49" t="s">
        <v>815</v>
      </c>
      <c r="P3074" s="54" t="s">
        <v>3392</v>
      </c>
      <c r="Q3074" s="35" t="str">
        <f>MID(Tabla1[[#This Row],[Aplicación]],14,1)</f>
        <v>2</v>
      </c>
      <c r="R3074" s="35" t="s">
        <v>495</v>
      </c>
      <c r="S3074" s="35" t="str">
        <f>MID(Tabla1[[#This Row],[Aplicación]],6,2)</f>
        <v>11</v>
      </c>
      <c r="T3074" s="35" t="str">
        <f>VLOOKUP(Tabla1[[#This Row],[AREA]],Hoja1!A:B,2,FALSE)</f>
        <v>11. Salud pública y seguridad ciudadana</v>
      </c>
      <c r="U3074" s="35" t="str">
        <f>MID(Tabla1[[#This Row],[Aplicación]],9,4)</f>
        <v>1321</v>
      </c>
      <c r="V3074" s="35" t="str">
        <f>VLOOKUP(Tabla1[[#This Row],[PROGRAMA]],Hoja1!A:B,2,FALSE)</f>
        <v>1321. Policía municipal</v>
      </c>
      <c r="W3074" s="35" t="str">
        <f>MID(Tabla1[[#This Row],[Aplicación]],14,2)</f>
        <v>21</v>
      </c>
      <c r="X3074" s="35" t="str">
        <f>MID(Tabla1[[#This Row],[Aplicación]],14,6)</f>
        <v>214</v>
      </c>
    </row>
    <row r="3075" spans="1:24" x14ac:dyDescent="0.25">
      <c r="A3075" s="45">
        <v>220210031458</v>
      </c>
      <c r="B3075" s="46" t="s">
        <v>9</v>
      </c>
      <c r="C3075" s="47">
        <v>44368</v>
      </c>
      <c r="D3075" s="45">
        <v>22021004929</v>
      </c>
      <c r="E3075" s="46" t="s">
        <v>1183</v>
      </c>
      <c r="F3075" s="48">
        <v>86.35</v>
      </c>
      <c r="G3075" s="54" t="s">
        <v>1848</v>
      </c>
      <c r="H3075" s="54" t="s">
        <v>4646</v>
      </c>
      <c r="I3075" s="53" t="s">
        <v>125</v>
      </c>
      <c r="J3075" s="54" t="s">
        <v>127</v>
      </c>
      <c r="K3075" s="54" t="s">
        <v>127</v>
      </c>
      <c r="L3075" s="54" t="s">
        <v>15</v>
      </c>
      <c r="M3075" s="54" t="s">
        <v>10</v>
      </c>
      <c r="N3075" s="54" t="s">
        <v>11</v>
      </c>
      <c r="O3075" s="49" t="s">
        <v>815</v>
      </c>
      <c r="P3075" s="54" t="s">
        <v>3392</v>
      </c>
      <c r="Q3075" s="35" t="str">
        <f>MID(Tabla1[[#This Row],[Aplicación]],14,1)</f>
        <v>2</v>
      </c>
      <c r="R3075" s="35" t="s">
        <v>495</v>
      </c>
      <c r="S3075" s="35" t="str">
        <f>MID(Tabla1[[#This Row],[Aplicación]],6,2)</f>
        <v>11</v>
      </c>
      <c r="T3075" s="35" t="str">
        <f>VLOOKUP(Tabla1[[#This Row],[AREA]],Hoja1!A:B,2,FALSE)</f>
        <v>11. Salud pública y seguridad ciudadana</v>
      </c>
      <c r="U3075" s="35" t="str">
        <f>MID(Tabla1[[#This Row],[Aplicación]],9,4)</f>
        <v>1361</v>
      </c>
      <c r="V3075" s="35" t="str">
        <f>VLOOKUP(Tabla1[[#This Row],[PROGRAMA]],Hoja1!A:B,2,FALSE)</f>
        <v>1361. Prevención y extinción de incencios</v>
      </c>
      <c r="W3075" s="35" t="str">
        <f>MID(Tabla1[[#This Row],[Aplicación]],14,2)</f>
        <v>22</v>
      </c>
      <c r="X3075" s="35" t="str">
        <f>MID(Tabla1[[#This Row],[Aplicación]],14,6)</f>
        <v>22199</v>
      </c>
    </row>
    <row r="3076" spans="1:24" x14ac:dyDescent="0.25">
      <c r="A3076" s="45">
        <v>220210022709</v>
      </c>
      <c r="B3076" s="46" t="s">
        <v>204</v>
      </c>
      <c r="C3076" s="47">
        <v>44333</v>
      </c>
      <c r="D3076" s="45">
        <v>22021002057</v>
      </c>
      <c r="E3076" s="46" t="s">
        <v>1715</v>
      </c>
      <c r="F3076" s="48">
        <v>102.57</v>
      </c>
      <c r="G3076" s="54" t="s">
        <v>270</v>
      </c>
      <c r="H3076" s="54" t="s">
        <v>4647</v>
      </c>
      <c r="I3076" s="53" t="s">
        <v>205</v>
      </c>
      <c r="J3076" s="54" t="s">
        <v>127</v>
      </c>
      <c r="K3076" s="54" t="s">
        <v>127</v>
      </c>
      <c r="L3076" s="54" t="s">
        <v>15</v>
      </c>
      <c r="M3076" s="54" t="s">
        <v>13</v>
      </c>
      <c r="N3076" s="54" t="s">
        <v>14</v>
      </c>
      <c r="O3076" s="49" t="s">
        <v>814</v>
      </c>
      <c r="P3076" s="54" t="s">
        <v>3392</v>
      </c>
      <c r="Q3076" s="35" t="str">
        <f>MID(Tabla1[[#This Row],[Aplicación]],14,1)</f>
        <v>2</v>
      </c>
      <c r="R3076" s="35" t="s">
        <v>495</v>
      </c>
      <c r="S3076" s="35" t="str">
        <f>MID(Tabla1[[#This Row],[Aplicación]],6,2)</f>
        <v>11</v>
      </c>
      <c r="T3076" s="35" t="str">
        <f>VLOOKUP(Tabla1[[#This Row],[AREA]],Hoja1!A:B,2,FALSE)</f>
        <v>11. Salud pública y seguridad ciudadana</v>
      </c>
      <c r="U3076" s="35" t="str">
        <f>MID(Tabla1[[#This Row],[Aplicación]],9,4)</f>
        <v>1631</v>
      </c>
      <c r="V3076" s="35" t="str">
        <f>VLOOKUP(Tabla1[[#This Row],[PROGRAMA]],Hoja1!A:B,2,FALSE)</f>
        <v>1631. Limpieza viaria</v>
      </c>
      <c r="W3076" s="35" t="str">
        <f>MID(Tabla1[[#This Row],[Aplicación]],14,2)</f>
        <v>22</v>
      </c>
      <c r="X3076" s="35" t="str">
        <f>MID(Tabla1[[#This Row],[Aplicación]],14,6)</f>
        <v>22199</v>
      </c>
    </row>
    <row r="3077" spans="1:24" x14ac:dyDescent="0.25">
      <c r="A3077" s="45">
        <v>220210023278</v>
      </c>
      <c r="B3077" s="46" t="s">
        <v>204</v>
      </c>
      <c r="C3077" s="47">
        <v>44335</v>
      </c>
      <c r="D3077" s="45">
        <v>22021001963</v>
      </c>
      <c r="E3077" s="46" t="s">
        <v>3385</v>
      </c>
      <c r="F3077" s="48">
        <v>101.64</v>
      </c>
      <c r="G3077" s="54" t="s">
        <v>135</v>
      </c>
      <c r="H3077" s="54" t="s">
        <v>4648</v>
      </c>
      <c r="I3077" s="53" t="s">
        <v>205</v>
      </c>
      <c r="J3077" s="54" t="s">
        <v>127</v>
      </c>
      <c r="K3077" s="54" t="s">
        <v>127</v>
      </c>
      <c r="L3077" s="54" t="s">
        <v>15</v>
      </c>
      <c r="M3077" s="54" t="s">
        <v>13</v>
      </c>
      <c r="N3077" s="54" t="s">
        <v>14</v>
      </c>
      <c r="O3077" s="49" t="s">
        <v>814</v>
      </c>
      <c r="P3077" s="54" t="s">
        <v>3392</v>
      </c>
      <c r="Q3077" s="35" t="str">
        <f>MID(Tabla1[[#This Row],[Aplicación]],14,1)</f>
        <v>2</v>
      </c>
      <c r="R3077" s="35" t="s">
        <v>495</v>
      </c>
      <c r="S3077" s="35" t="str">
        <f>MID(Tabla1[[#This Row],[Aplicación]],6,2)</f>
        <v>07</v>
      </c>
      <c r="T3077" s="35" t="str">
        <f>VLOOKUP(Tabla1[[#This Row],[AREA]],Hoja1!A:B,2,FALSE)</f>
        <v>07. Medio ambiente y desarrollo sostenible</v>
      </c>
      <c r="U3077" s="35" t="str">
        <f>MID(Tabla1[[#This Row],[Aplicación]],9,4)</f>
        <v>1721</v>
      </c>
      <c r="V3077" s="35" t="str">
        <f>VLOOKUP(Tabla1[[#This Row],[PROGRAMA]],Hoja1!A:B,2,FALSE)</f>
        <v>1721. Protección del medio ambiente</v>
      </c>
      <c r="W3077" s="35" t="str">
        <f>MID(Tabla1[[#This Row],[Aplicación]],14,2)</f>
        <v>22</v>
      </c>
      <c r="X3077" s="35" t="str">
        <f>MID(Tabla1[[#This Row],[Aplicación]],14,6)</f>
        <v>22104</v>
      </c>
    </row>
    <row r="3078" spans="1:24" x14ac:dyDescent="0.25">
      <c r="A3078" s="45">
        <v>220210015515</v>
      </c>
      <c r="B3078" s="46" t="s">
        <v>9</v>
      </c>
      <c r="C3078" s="47">
        <v>44301</v>
      </c>
      <c r="D3078" s="45">
        <v>22021003830</v>
      </c>
      <c r="E3078" s="46" t="s">
        <v>1167</v>
      </c>
      <c r="F3078" s="48">
        <v>220.22</v>
      </c>
      <c r="G3078" s="54" t="s">
        <v>239</v>
      </c>
      <c r="H3078" s="54" t="s">
        <v>4649</v>
      </c>
      <c r="I3078" s="53" t="s">
        <v>125</v>
      </c>
      <c r="J3078" s="54" t="s">
        <v>127</v>
      </c>
      <c r="K3078" s="54" t="s">
        <v>127</v>
      </c>
      <c r="L3078" s="54" t="s">
        <v>12</v>
      </c>
      <c r="M3078" s="54" t="s">
        <v>10</v>
      </c>
      <c r="N3078" s="54" t="s">
        <v>11</v>
      </c>
      <c r="O3078" s="49" t="s">
        <v>815</v>
      </c>
      <c r="P3078" s="54" t="s">
        <v>3392</v>
      </c>
      <c r="Q3078" s="35" t="str">
        <f>MID(Tabla1[[#This Row],[Aplicación]],14,1)</f>
        <v>2</v>
      </c>
      <c r="R3078" s="35" t="s">
        <v>495</v>
      </c>
      <c r="S3078" s="35" t="str">
        <f>MID(Tabla1[[#This Row],[Aplicación]],6,2)</f>
        <v>11</v>
      </c>
      <c r="T3078" s="35" t="str">
        <f>VLOOKUP(Tabla1[[#This Row],[AREA]],Hoja1!A:B,2,FALSE)</f>
        <v>11. Salud pública y seguridad ciudadana</v>
      </c>
      <c r="U3078" s="35" t="str">
        <f>MID(Tabla1[[#This Row],[Aplicación]],9,4)</f>
        <v>1321</v>
      </c>
      <c r="V3078" s="35" t="str">
        <f>VLOOKUP(Tabla1[[#This Row],[PROGRAMA]],Hoja1!A:B,2,FALSE)</f>
        <v>1321. Policía municipal</v>
      </c>
      <c r="W3078" s="35" t="str">
        <f>MID(Tabla1[[#This Row],[Aplicación]],14,2)</f>
        <v>21</v>
      </c>
      <c r="X3078" s="35" t="str">
        <f>MID(Tabla1[[#This Row],[Aplicación]],14,6)</f>
        <v>214</v>
      </c>
    </row>
    <row r="3079" spans="1:24" x14ac:dyDescent="0.25">
      <c r="A3079" s="45">
        <v>220210015964</v>
      </c>
      <c r="B3079" s="46" t="s">
        <v>204</v>
      </c>
      <c r="C3079" s="47">
        <v>44305</v>
      </c>
      <c r="D3079" s="45">
        <v>22021001038</v>
      </c>
      <c r="E3079" s="46" t="s">
        <v>844</v>
      </c>
      <c r="F3079" s="48">
        <v>101.64</v>
      </c>
      <c r="G3079" s="54" t="s">
        <v>277</v>
      </c>
      <c r="H3079" s="54" t="s">
        <v>4650</v>
      </c>
      <c r="I3079" s="53" t="s">
        <v>205</v>
      </c>
      <c r="J3079" s="54" t="s">
        <v>127</v>
      </c>
      <c r="K3079" s="54" t="s">
        <v>127</v>
      </c>
      <c r="L3079" s="54" t="s">
        <v>15</v>
      </c>
      <c r="M3079" s="54" t="s">
        <v>13</v>
      </c>
      <c r="N3079" s="54" t="s">
        <v>14</v>
      </c>
      <c r="O3079" s="49" t="s">
        <v>814</v>
      </c>
      <c r="P3079" s="54" t="s">
        <v>3392</v>
      </c>
      <c r="Q3079" s="35" t="str">
        <f>MID(Tabla1[[#This Row],[Aplicación]],14,1)</f>
        <v>2</v>
      </c>
      <c r="R3079" s="35" t="s">
        <v>495</v>
      </c>
      <c r="S3079" s="35" t="str">
        <f>MID(Tabla1[[#This Row],[Aplicación]],6,2)</f>
        <v>10</v>
      </c>
      <c r="T3079" s="35" t="str">
        <f>VLOOKUP(Tabla1[[#This Row],[AREA]],Hoja1!A:B,2,FALSE)</f>
        <v>10. Servicios sociales y mediación comunitaria</v>
      </c>
      <c r="U3079" s="35" t="str">
        <f>MID(Tabla1[[#This Row],[Aplicación]],9,4)</f>
        <v>2312</v>
      </c>
      <c r="V3079" s="35" t="str">
        <f>VLOOKUP(Tabla1[[#This Row],[PROGRAMA]],Hoja1!A:B,2,FALSE)</f>
        <v>2312. Iniciativas sociales</v>
      </c>
      <c r="W3079" s="35" t="str">
        <f>MID(Tabla1[[#This Row],[Aplicación]],14,2)</f>
        <v>21</v>
      </c>
      <c r="X3079" s="35" t="str">
        <f>MID(Tabla1[[#This Row],[Aplicación]],14,6)</f>
        <v>212</v>
      </c>
    </row>
    <row r="3080" spans="1:24" x14ac:dyDescent="0.25">
      <c r="A3080" s="45">
        <v>220210027720</v>
      </c>
      <c r="B3080" s="46" t="s">
        <v>204</v>
      </c>
      <c r="C3080" s="47">
        <v>44348</v>
      </c>
      <c r="D3080" s="45">
        <v>22021002374</v>
      </c>
      <c r="E3080" s="46" t="s">
        <v>1336</v>
      </c>
      <c r="F3080" s="48">
        <v>101.02</v>
      </c>
      <c r="G3080" s="54" t="s">
        <v>266</v>
      </c>
      <c r="H3080" s="54" t="s">
        <v>4651</v>
      </c>
      <c r="I3080" s="53" t="s">
        <v>205</v>
      </c>
      <c r="J3080" s="54" t="s">
        <v>127</v>
      </c>
      <c r="K3080" s="54" t="s">
        <v>127</v>
      </c>
      <c r="L3080" s="54" t="s">
        <v>15</v>
      </c>
      <c r="M3080" s="54" t="s">
        <v>13</v>
      </c>
      <c r="N3080" s="54" t="s">
        <v>14</v>
      </c>
      <c r="O3080" s="49" t="s">
        <v>814</v>
      </c>
      <c r="P3080" s="54" t="s">
        <v>3392</v>
      </c>
      <c r="Q3080" s="35" t="str">
        <f>MID(Tabla1[[#This Row],[Aplicación]],14,1)</f>
        <v>2</v>
      </c>
      <c r="R3080" s="35" t="s">
        <v>495</v>
      </c>
      <c r="S3080" s="35" t="str">
        <f>MID(Tabla1[[#This Row],[Aplicación]],6,2)</f>
        <v>02</v>
      </c>
      <c r="T3080" s="35" t="str">
        <f>VLOOKUP(Tabla1[[#This Row],[AREA]],Hoja1!A:B,2,FALSE)</f>
        <v>02. Planeamiento urbanístico y vivienda</v>
      </c>
      <c r="U3080" s="35" t="str">
        <f>MID(Tabla1[[#This Row],[Aplicación]],9,4)</f>
        <v>9332</v>
      </c>
      <c r="V3080" s="35" t="str">
        <f>VLOOKUP(Tabla1[[#This Row],[PROGRAMA]],Hoja1!A:B,2,FALSE)</f>
        <v>9332. Mantenimiento de edificios e instalaciones municipales</v>
      </c>
      <c r="W3080" s="35" t="str">
        <f>MID(Tabla1[[#This Row],[Aplicación]],14,2)</f>
        <v>21</v>
      </c>
      <c r="X3080" s="35" t="str">
        <f>MID(Tabla1[[#This Row],[Aplicación]],14,6)</f>
        <v>212</v>
      </c>
    </row>
    <row r="3081" spans="1:24" x14ac:dyDescent="0.25">
      <c r="A3081" s="45">
        <v>220210032957</v>
      </c>
      <c r="B3081" s="46" t="s">
        <v>204</v>
      </c>
      <c r="C3081" s="47">
        <v>44375</v>
      </c>
      <c r="D3081" s="45">
        <v>22021002050</v>
      </c>
      <c r="E3081" s="46" t="s">
        <v>2002</v>
      </c>
      <c r="F3081" s="48">
        <v>98.31</v>
      </c>
      <c r="G3081" s="54" t="s">
        <v>272</v>
      </c>
      <c r="H3081" s="54" t="s">
        <v>4652</v>
      </c>
      <c r="I3081" s="53" t="s">
        <v>205</v>
      </c>
      <c r="J3081" s="54" t="s">
        <v>127</v>
      </c>
      <c r="K3081" s="54" t="s">
        <v>127</v>
      </c>
      <c r="L3081" s="54" t="s">
        <v>15</v>
      </c>
      <c r="M3081" s="54" t="s">
        <v>13</v>
      </c>
      <c r="N3081" s="54" t="s">
        <v>14</v>
      </c>
      <c r="O3081" s="49" t="s">
        <v>814</v>
      </c>
      <c r="P3081" s="54" t="s">
        <v>3392</v>
      </c>
      <c r="Q3081" s="35" t="str">
        <f>MID(Tabla1[[#This Row],[Aplicación]],14,1)</f>
        <v>2</v>
      </c>
      <c r="R3081" s="35" t="s">
        <v>495</v>
      </c>
      <c r="S3081" s="35" t="str">
        <f>MID(Tabla1[[#This Row],[Aplicación]],6,2)</f>
        <v>11</v>
      </c>
      <c r="T3081" s="35" t="str">
        <f>VLOOKUP(Tabla1[[#This Row],[AREA]],Hoja1!A:B,2,FALSE)</f>
        <v>11. Salud pública y seguridad ciudadana</v>
      </c>
      <c r="U3081" s="35" t="str">
        <f>MID(Tabla1[[#This Row],[Aplicación]],9,4)</f>
        <v>1621</v>
      </c>
      <c r="V3081" s="35" t="str">
        <f>VLOOKUP(Tabla1[[#This Row],[PROGRAMA]],Hoja1!A:B,2,FALSE)</f>
        <v>1621. Servicio de limpieza</v>
      </c>
      <c r="W3081" s="35" t="str">
        <f>MID(Tabla1[[#This Row],[Aplicación]],14,2)</f>
        <v>22</v>
      </c>
      <c r="X3081" s="35" t="str">
        <f>MID(Tabla1[[#This Row],[Aplicación]],14,6)</f>
        <v>22104</v>
      </c>
    </row>
    <row r="3082" spans="1:24" x14ac:dyDescent="0.25">
      <c r="A3082" s="45">
        <v>220210014458</v>
      </c>
      <c r="B3082" s="46" t="s">
        <v>204</v>
      </c>
      <c r="C3082" s="47">
        <v>44295</v>
      </c>
      <c r="D3082" s="45">
        <v>22021003381</v>
      </c>
      <c r="E3082" s="46" t="s">
        <v>1183</v>
      </c>
      <c r="F3082" s="48">
        <v>455.54</v>
      </c>
      <c r="G3082" s="54" t="s">
        <v>272</v>
      </c>
      <c r="H3082" s="54" t="s">
        <v>4653</v>
      </c>
      <c r="I3082" s="53" t="s">
        <v>205</v>
      </c>
      <c r="J3082" s="54" t="s">
        <v>127</v>
      </c>
      <c r="K3082" s="54" t="s">
        <v>127</v>
      </c>
      <c r="L3082" s="54" t="s">
        <v>15</v>
      </c>
      <c r="M3082" s="54" t="s">
        <v>13</v>
      </c>
      <c r="N3082" s="54" t="s">
        <v>14</v>
      </c>
      <c r="O3082" s="49" t="s">
        <v>814</v>
      </c>
      <c r="P3082" s="54" t="s">
        <v>3392</v>
      </c>
      <c r="Q3082" s="35" t="str">
        <f>MID(Tabla1[[#This Row],[Aplicación]],14,1)</f>
        <v>2</v>
      </c>
      <c r="R3082" s="35" t="s">
        <v>495</v>
      </c>
      <c r="S3082" s="35" t="str">
        <f>MID(Tabla1[[#This Row],[Aplicación]],6,2)</f>
        <v>11</v>
      </c>
      <c r="T3082" s="35" t="str">
        <f>VLOOKUP(Tabla1[[#This Row],[AREA]],Hoja1!A:B,2,FALSE)</f>
        <v>11. Salud pública y seguridad ciudadana</v>
      </c>
      <c r="U3082" s="35" t="str">
        <f>MID(Tabla1[[#This Row],[Aplicación]],9,4)</f>
        <v>1361</v>
      </c>
      <c r="V3082" s="35" t="str">
        <f>VLOOKUP(Tabla1[[#This Row],[PROGRAMA]],Hoja1!A:B,2,FALSE)</f>
        <v>1361. Prevención y extinción de incencios</v>
      </c>
      <c r="W3082" s="35" t="str">
        <f>MID(Tabla1[[#This Row],[Aplicación]],14,2)</f>
        <v>22</v>
      </c>
      <c r="X3082" s="35" t="str">
        <f>MID(Tabla1[[#This Row],[Aplicación]],14,6)</f>
        <v>22199</v>
      </c>
    </row>
    <row r="3083" spans="1:24" x14ac:dyDescent="0.25">
      <c r="A3083" s="45">
        <v>220210031431</v>
      </c>
      <c r="B3083" s="46" t="s">
        <v>204</v>
      </c>
      <c r="C3083" s="47">
        <v>44365</v>
      </c>
      <c r="D3083" s="45">
        <v>22021001967</v>
      </c>
      <c r="E3083" s="46" t="s">
        <v>1167</v>
      </c>
      <c r="F3083" s="48">
        <v>90.29</v>
      </c>
      <c r="G3083" s="54" t="s">
        <v>264</v>
      </c>
      <c r="H3083" s="54" t="s">
        <v>2045</v>
      </c>
      <c r="I3083" s="53" t="s">
        <v>205</v>
      </c>
      <c r="J3083" s="54" t="s">
        <v>127</v>
      </c>
      <c r="K3083" s="54" t="s">
        <v>127</v>
      </c>
      <c r="L3083" s="54" t="s">
        <v>15</v>
      </c>
      <c r="M3083" s="54" t="s">
        <v>13</v>
      </c>
      <c r="N3083" s="54" t="s">
        <v>14</v>
      </c>
      <c r="O3083" s="49" t="s">
        <v>814</v>
      </c>
      <c r="P3083" s="54" t="s">
        <v>3392</v>
      </c>
      <c r="Q3083" s="35" t="str">
        <f>MID(Tabla1[[#This Row],[Aplicación]],14,1)</f>
        <v>2</v>
      </c>
      <c r="R3083" s="35" t="s">
        <v>495</v>
      </c>
      <c r="S3083" s="35" t="str">
        <f>MID(Tabla1[[#This Row],[Aplicación]],6,2)</f>
        <v>11</v>
      </c>
      <c r="T3083" s="35" t="str">
        <f>VLOOKUP(Tabla1[[#This Row],[AREA]],Hoja1!A:B,2,FALSE)</f>
        <v>11. Salud pública y seguridad ciudadana</v>
      </c>
      <c r="U3083" s="35" t="str">
        <f>MID(Tabla1[[#This Row],[Aplicación]],9,4)</f>
        <v>1321</v>
      </c>
      <c r="V3083" s="35" t="str">
        <f>VLOOKUP(Tabla1[[#This Row],[PROGRAMA]],Hoja1!A:B,2,FALSE)</f>
        <v>1321. Policía municipal</v>
      </c>
      <c r="W3083" s="35" t="str">
        <f>MID(Tabla1[[#This Row],[Aplicación]],14,2)</f>
        <v>21</v>
      </c>
      <c r="X3083" s="35" t="str">
        <f>MID(Tabla1[[#This Row],[Aplicación]],14,6)</f>
        <v>214</v>
      </c>
    </row>
    <row r="3084" spans="1:24" x14ac:dyDescent="0.25">
      <c r="A3084" s="45">
        <v>220210016824</v>
      </c>
      <c r="B3084" s="46" t="s">
        <v>204</v>
      </c>
      <c r="C3084" s="47">
        <v>44308</v>
      </c>
      <c r="D3084" s="45">
        <v>22021002378</v>
      </c>
      <c r="E3084" s="46" t="s">
        <v>1228</v>
      </c>
      <c r="F3084" s="48">
        <v>1143.04</v>
      </c>
      <c r="G3084" s="54" t="s">
        <v>262</v>
      </c>
      <c r="H3084" s="54" t="s">
        <v>4654</v>
      </c>
      <c r="I3084" s="53" t="s">
        <v>205</v>
      </c>
      <c r="J3084" s="54" t="s">
        <v>127</v>
      </c>
      <c r="K3084" s="54" t="s">
        <v>127</v>
      </c>
      <c r="L3084" s="54" t="s">
        <v>12</v>
      </c>
      <c r="M3084" s="54" t="s">
        <v>13</v>
      </c>
      <c r="N3084" s="54" t="s">
        <v>14</v>
      </c>
      <c r="O3084" s="49" t="s">
        <v>814</v>
      </c>
      <c r="P3084" s="54" t="s">
        <v>3392</v>
      </c>
      <c r="Q3084" s="35" t="str">
        <f>MID(Tabla1[[#This Row],[Aplicación]],14,1)</f>
        <v>2</v>
      </c>
      <c r="R3084" s="35" t="s">
        <v>495</v>
      </c>
      <c r="S3084" s="35" t="str">
        <f>MID(Tabla1[[#This Row],[Aplicación]],6,2)</f>
        <v>02</v>
      </c>
      <c r="T3084" s="35" t="str">
        <f>VLOOKUP(Tabla1[[#This Row],[AREA]],Hoja1!A:B,2,FALSE)</f>
        <v>02. Planeamiento urbanístico y vivienda</v>
      </c>
      <c r="U3084" s="35" t="str">
        <f>MID(Tabla1[[#This Row],[Aplicación]],9,4)</f>
        <v>9332</v>
      </c>
      <c r="V3084" s="35" t="str">
        <f>VLOOKUP(Tabla1[[#This Row],[PROGRAMA]],Hoja1!A:B,2,FALSE)</f>
        <v>9332. Mantenimiento de edificios e instalaciones municipales</v>
      </c>
      <c r="W3084" s="35" t="str">
        <f>MID(Tabla1[[#This Row],[Aplicación]],14,2)</f>
        <v>21</v>
      </c>
      <c r="X3084" s="35" t="str">
        <f>MID(Tabla1[[#This Row],[Aplicación]],14,6)</f>
        <v>214</v>
      </c>
    </row>
    <row r="3085" spans="1:24" x14ac:dyDescent="0.25">
      <c r="A3085" s="45">
        <v>220210024793</v>
      </c>
      <c r="B3085" s="46" t="s">
        <v>204</v>
      </c>
      <c r="C3085" s="47">
        <v>44340</v>
      </c>
      <c r="D3085" s="45">
        <v>22021002378</v>
      </c>
      <c r="E3085" s="46" t="s">
        <v>1228</v>
      </c>
      <c r="F3085" s="48">
        <v>311.74</v>
      </c>
      <c r="G3085" s="54" t="s">
        <v>262</v>
      </c>
      <c r="H3085" s="54" t="s">
        <v>4655</v>
      </c>
      <c r="I3085" s="53" t="s">
        <v>205</v>
      </c>
      <c r="J3085" s="54" t="s">
        <v>127</v>
      </c>
      <c r="K3085" s="54" t="s">
        <v>127</v>
      </c>
      <c r="L3085" s="54" t="s">
        <v>15</v>
      </c>
      <c r="M3085" s="54" t="s">
        <v>13</v>
      </c>
      <c r="N3085" s="54" t="s">
        <v>14</v>
      </c>
      <c r="O3085" s="49" t="s">
        <v>814</v>
      </c>
      <c r="P3085" s="54" t="s">
        <v>3392</v>
      </c>
      <c r="Q3085" s="35" t="str">
        <f>MID(Tabla1[[#This Row],[Aplicación]],14,1)</f>
        <v>2</v>
      </c>
      <c r="R3085" s="35" t="s">
        <v>495</v>
      </c>
      <c r="S3085" s="35" t="str">
        <f>MID(Tabla1[[#This Row],[Aplicación]],6,2)</f>
        <v>02</v>
      </c>
      <c r="T3085" s="35" t="str">
        <f>VLOOKUP(Tabla1[[#This Row],[AREA]],Hoja1!A:B,2,FALSE)</f>
        <v>02. Planeamiento urbanístico y vivienda</v>
      </c>
      <c r="U3085" s="35" t="str">
        <f>MID(Tabla1[[#This Row],[Aplicación]],9,4)</f>
        <v>9332</v>
      </c>
      <c r="V3085" s="35" t="str">
        <f>VLOOKUP(Tabla1[[#This Row],[PROGRAMA]],Hoja1!A:B,2,FALSE)</f>
        <v>9332. Mantenimiento de edificios e instalaciones municipales</v>
      </c>
      <c r="W3085" s="35" t="str">
        <f>MID(Tabla1[[#This Row],[Aplicación]],14,2)</f>
        <v>21</v>
      </c>
      <c r="X3085" s="35" t="str">
        <f>MID(Tabla1[[#This Row],[Aplicación]],14,6)</f>
        <v>214</v>
      </c>
    </row>
    <row r="3086" spans="1:24" x14ac:dyDescent="0.25">
      <c r="A3086" s="45">
        <v>220210022678</v>
      </c>
      <c r="B3086" s="46" t="s">
        <v>204</v>
      </c>
      <c r="C3086" s="47">
        <v>44333</v>
      </c>
      <c r="D3086" s="45">
        <v>22021001038</v>
      </c>
      <c r="E3086" s="46" t="s">
        <v>844</v>
      </c>
      <c r="F3086" s="48">
        <v>97.2</v>
      </c>
      <c r="G3086" s="54" t="s">
        <v>238</v>
      </c>
      <c r="H3086" s="54" t="s">
        <v>4584</v>
      </c>
      <c r="I3086" s="53" t="s">
        <v>205</v>
      </c>
      <c r="J3086" s="54" t="s">
        <v>127</v>
      </c>
      <c r="K3086" s="54" t="s">
        <v>127</v>
      </c>
      <c r="L3086" s="54" t="s">
        <v>15</v>
      </c>
      <c r="M3086" s="54" t="s">
        <v>13</v>
      </c>
      <c r="N3086" s="54" t="s">
        <v>14</v>
      </c>
      <c r="O3086" s="49" t="s">
        <v>814</v>
      </c>
      <c r="P3086" s="54" t="s">
        <v>3392</v>
      </c>
      <c r="Q3086" s="35" t="str">
        <f>MID(Tabla1[[#This Row],[Aplicación]],14,1)</f>
        <v>2</v>
      </c>
      <c r="R3086" s="35" t="s">
        <v>495</v>
      </c>
      <c r="S3086" s="35" t="str">
        <f>MID(Tabla1[[#This Row],[Aplicación]],6,2)</f>
        <v>10</v>
      </c>
      <c r="T3086" s="35" t="str">
        <f>VLOOKUP(Tabla1[[#This Row],[AREA]],Hoja1!A:B,2,FALSE)</f>
        <v>10. Servicios sociales y mediación comunitaria</v>
      </c>
      <c r="U3086" s="35" t="str">
        <f>MID(Tabla1[[#This Row],[Aplicación]],9,4)</f>
        <v>2312</v>
      </c>
      <c r="V3086" s="35" t="str">
        <f>VLOOKUP(Tabla1[[#This Row],[PROGRAMA]],Hoja1!A:B,2,FALSE)</f>
        <v>2312. Iniciativas sociales</v>
      </c>
      <c r="W3086" s="35" t="str">
        <f>MID(Tabla1[[#This Row],[Aplicación]],14,2)</f>
        <v>21</v>
      </c>
      <c r="X3086" s="35" t="str">
        <f>MID(Tabla1[[#This Row],[Aplicación]],14,6)</f>
        <v>212</v>
      </c>
    </row>
    <row r="3087" spans="1:24" x14ac:dyDescent="0.25">
      <c r="A3087" s="45">
        <v>220210025996</v>
      </c>
      <c r="B3087" s="46" t="s">
        <v>204</v>
      </c>
      <c r="C3087" s="47">
        <v>44344</v>
      </c>
      <c r="D3087" s="45">
        <v>22021002006</v>
      </c>
      <c r="E3087" s="46" t="s">
        <v>1310</v>
      </c>
      <c r="F3087" s="48">
        <v>96.57</v>
      </c>
      <c r="G3087" s="54" t="s">
        <v>135</v>
      </c>
      <c r="H3087" s="54" t="s">
        <v>4656</v>
      </c>
      <c r="I3087" s="53" t="s">
        <v>205</v>
      </c>
      <c r="J3087" s="54" t="s">
        <v>127</v>
      </c>
      <c r="K3087" s="54" t="s">
        <v>127</v>
      </c>
      <c r="L3087" s="54" t="s">
        <v>15</v>
      </c>
      <c r="M3087" s="54" t="s">
        <v>13</v>
      </c>
      <c r="N3087" s="54" t="s">
        <v>14</v>
      </c>
      <c r="O3087" s="49" t="s">
        <v>814</v>
      </c>
      <c r="P3087" s="54" t="s">
        <v>3392</v>
      </c>
      <c r="Q3087" s="35" t="str">
        <f>MID(Tabla1[[#This Row],[Aplicación]],14,1)</f>
        <v>2</v>
      </c>
      <c r="R3087" s="35" t="s">
        <v>495</v>
      </c>
      <c r="S3087" s="35" t="str">
        <f>MID(Tabla1[[#This Row],[Aplicación]],6,2)</f>
        <v>11</v>
      </c>
      <c r="T3087" s="35" t="str">
        <f>VLOOKUP(Tabla1[[#This Row],[AREA]],Hoja1!A:B,2,FALSE)</f>
        <v>11. Salud pública y seguridad ciudadana</v>
      </c>
      <c r="U3087" s="35" t="str">
        <f>MID(Tabla1[[#This Row],[Aplicación]],9,4)</f>
        <v>3111</v>
      </c>
      <c r="V3087" s="35" t="str">
        <f>VLOOKUP(Tabla1[[#This Row],[PROGRAMA]],Hoja1!A:B,2,FALSE)</f>
        <v>3111. Protección de la salubridad pública</v>
      </c>
      <c r="W3087" s="35" t="str">
        <f>MID(Tabla1[[#This Row],[Aplicación]],14,2)</f>
        <v>22</v>
      </c>
      <c r="X3087" s="35" t="str">
        <f>MID(Tabla1[[#This Row],[Aplicación]],14,6)</f>
        <v>22199</v>
      </c>
    </row>
    <row r="3088" spans="1:24" x14ac:dyDescent="0.25">
      <c r="A3088" s="45">
        <v>220210020784</v>
      </c>
      <c r="B3088" s="46" t="s">
        <v>204</v>
      </c>
      <c r="C3088" s="47">
        <v>44323</v>
      </c>
      <c r="D3088" s="45">
        <v>22021002088</v>
      </c>
      <c r="E3088" s="46" t="s">
        <v>1478</v>
      </c>
      <c r="F3088" s="48">
        <v>96.21</v>
      </c>
      <c r="G3088" s="54" t="s">
        <v>266</v>
      </c>
      <c r="H3088" s="54" t="s">
        <v>4657</v>
      </c>
      <c r="I3088" s="53" t="s">
        <v>205</v>
      </c>
      <c r="J3088" s="54" t="s">
        <v>127</v>
      </c>
      <c r="K3088" s="54" t="s">
        <v>127</v>
      </c>
      <c r="L3088" s="54" t="s">
        <v>15</v>
      </c>
      <c r="M3088" s="54" t="s">
        <v>13</v>
      </c>
      <c r="N3088" s="54" t="s">
        <v>16</v>
      </c>
      <c r="O3088" s="49" t="s">
        <v>814</v>
      </c>
      <c r="P3088" s="54" t="s">
        <v>3392</v>
      </c>
      <c r="Q3088" s="35" t="str">
        <f>MID(Tabla1[[#This Row],[Aplicación]],14,1)</f>
        <v>2</v>
      </c>
      <c r="R3088" s="35" t="s">
        <v>495</v>
      </c>
      <c r="S3088" s="35" t="str">
        <f>MID(Tabla1[[#This Row],[Aplicación]],6,2)</f>
        <v>03</v>
      </c>
      <c r="T3088" s="35" t="str">
        <f>VLOOKUP(Tabla1[[#This Row],[AREA]],Hoja1!A:B,2,FALSE)</f>
        <v>03. Participación ciudadana y deportes</v>
      </c>
      <c r="U3088" s="35" t="str">
        <f>MID(Tabla1[[#This Row],[Aplicación]],9,4)</f>
        <v>9241</v>
      </c>
      <c r="V3088" s="35" t="str">
        <f>VLOOKUP(Tabla1[[#This Row],[PROGRAMA]],Hoja1!A:B,2,FALSE)</f>
        <v>9241. Participación ciudadana</v>
      </c>
      <c r="W3088" s="35" t="str">
        <f>MID(Tabla1[[#This Row],[Aplicación]],14,2)</f>
        <v>21</v>
      </c>
      <c r="X3088" s="35" t="str">
        <f>MID(Tabla1[[#This Row],[Aplicación]],14,6)</f>
        <v>212</v>
      </c>
    </row>
    <row r="3089" spans="1:24" x14ac:dyDescent="0.25">
      <c r="A3089" s="45">
        <v>220210014695</v>
      </c>
      <c r="B3089" s="46" t="s">
        <v>9</v>
      </c>
      <c r="C3089" s="47">
        <v>44299</v>
      </c>
      <c r="D3089" s="45">
        <v>22021003822</v>
      </c>
      <c r="E3089" s="46" t="s">
        <v>1183</v>
      </c>
      <c r="F3089" s="48">
        <v>77</v>
      </c>
      <c r="G3089" s="54" t="s">
        <v>248</v>
      </c>
      <c r="H3089" s="54" t="s">
        <v>4658</v>
      </c>
      <c r="I3089" s="53" t="s">
        <v>125</v>
      </c>
      <c r="J3089" s="54" t="s">
        <v>146</v>
      </c>
      <c r="K3089" s="54" t="s">
        <v>146</v>
      </c>
      <c r="L3089" s="54" t="s">
        <v>15</v>
      </c>
      <c r="M3089" s="54" t="s">
        <v>10</v>
      </c>
      <c r="N3089" s="54" t="s">
        <v>11</v>
      </c>
      <c r="O3089" s="49" t="s">
        <v>815</v>
      </c>
      <c r="P3089" s="54" t="s">
        <v>3392</v>
      </c>
      <c r="Q3089" s="35" t="str">
        <f>MID(Tabla1[[#This Row],[Aplicación]],14,1)</f>
        <v>2</v>
      </c>
      <c r="R3089" s="35" t="s">
        <v>495</v>
      </c>
      <c r="S3089" s="35" t="str">
        <f>MID(Tabla1[[#This Row],[Aplicación]],6,2)</f>
        <v>11</v>
      </c>
      <c r="T3089" s="35" t="str">
        <f>VLOOKUP(Tabla1[[#This Row],[AREA]],Hoja1!A:B,2,FALSE)</f>
        <v>11. Salud pública y seguridad ciudadana</v>
      </c>
      <c r="U3089" s="35" t="str">
        <f>MID(Tabla1[[#This Row],[Aplicación]],9,4)</f>
        <v>1361</v>
      </c>
      <c r="V3089" s="35" t="str">
        <f>VLOOKUP(Tabla1[[#This Row],[PROGRAMA]],Hoja1!A:B,2,FALSE)</f>
        <v>1361. Prevención y extinción de incencios</v>
      </c>
      <c r="W3089" s="35" t="str">
        <f>MID(Tabla1[[#This Row],[Aplicación]],14,2)</f>
        <v>22</v>
      </c>
      <c r="X3089" s="35" t="str">
        <f>MID(Tabla1[[#This Row],[Aplicación]],14,6)</f>
        <v>22199</v>
      </c>
    </row>
    <row r="3090" spans="1:24" x14ac:dyDescent="0.25">
      <c r="A3090" s="45">
        <v>220210020774</v>
      </c>
      <c r="B3090" s="46" t="s">
        <v>204</v>
      </c>
      <c r="C3090" s="47">
        <v>44323</v>
      </c>
      <c r="D3090" s="45">
        <v>22021002088</v>
      </c>
      <c r="E3090" s="46" t="s">
        <v>1478</v>
      </c>
      <c r="F3090" s="48">
        <v>95.83</v>
      </c>
      <c r="G3090" s="54" t="s">
        <v>263</v>
      </c>
      <c r="H3090" s="54" t="s">
        <v>4659</v>
      </c>
      <c r="I3090" s="53" t="s">
        <v>205</v>
      </c>
      <c r="J3090" s="54" t="s">
        <v>127</v>
      </c>
      <c r="K3090" s="54" t="s">
        <v>127</v>
      </c>
      <c r="L3090" s="54" t="s">
        <v>15</v>
      </c>
      <c r="M3090" s="54" t="s">
        <v>13</v>
      </c>
      <c r="N3090" s="54" t="s">
        <v>16</v>
      </c>
      <c r="O3090" s="49" t="s">
        <v>814</v>
      </c>
      <c r="P3090" s="54" t="s">
        <v>3392</v>
      </c>
      <c r="Q3090" s="35" t="str">
        <f>MID(Tabla1[[#This Row],[Aplicación]],14,1)</f>
        <v>2</v>
      </c>
      <c r="R3090" s="35" t="s">
        <v>495</v>
      </c>
      <c r="S3090" s="35" t="str">
        <f>MID(Tabla1[[#This Row],[Aplicación]],6,2)</f>
        <v>03</v>
      </c>
      <c r="T3090" s="35" t="str">
        <f>VLOOKUP(Tabla1[[#This Row],[AREA]],Hoja1!A:B,2,FALSE)</f>
        <v>03. Participación ciudadana y deportes</v>
      </c>
      <c r="U3090" s="35" t="str">
        <f>MID(Tabla1[[#This Row],[Aplicación]],9,4)</f>
        <v>9241</v>
      </c>
      <c r="V3090" s="35" t="str">
        <f>VLOOKUP(Tabla1[[#This Row],[PROGRAMA]],Hoja1!A:B,2,FALSE)</f>
        <v>9241. Participación ciudadana</v>
      </c>
      <c r="W3090" s="35" t="str">
        <f>MID(Tabla1[[#This Row],[Aplicación]],14,2)</f>
        <v>21</v>
      </c>
      <c r="X3090" s="35" t="str">
        <f>MID(Tabla1[[#This Row],[Aplicación]],14,6)</f>
        <v>212</v>
      </c>
    </row>
    <row r="3091" spans="1:24" x14ac:dyDescent="0.25">
      <c r="A3091" s="45">
        <v>220210031411</v>
      </c>
      <c r="B3091" s="46" t="s">
        <v>204</v>
      </c>
      <c r="C3091" s="47">
        <v>44365</v>
      </c>
      <c r="D3091" s="45">
        <v>22021002371</v>
      </c>
      <c r="E3091" s="46" t="s">
        <v>1336</v>
      </c>
      <c r="F3091" s="48">
        <v>94.9</v>
      </c>
      <c r="G3091" s="54" t="s">
        <v>150</v>
      </c>
      <c r="H3091" s="54" t="s">
        <v>4660</v>
      </c>
      <c r="I3091" s="53" t="s">
        <v>205</v>
      </c>
      <c r="J3091" s="54" t="s">
        <v>146</v>
      </c>
      <c r="K3091" s="54" t="s">
        <v>146</v>
      </c>
      <c r="L3091" s="54" t="s">
        <v>15</v>
      </c>
      <c r="M3091" s="54" t="s">
        <v>13</v>
      </c>
      <c r="N3091" s="54" t="s">
        <v>14</v>
      </c>
      <c r="O3091" s="49" t="s">
        <v>814</v>
      </c>
      <c r="P3091" s="54" t="s">
        <v>3392</v>
      </c>
      <c r="Q3091" s="35" t="str">
        <f>MID(Tabla1[[#This Row],[Aplicación]],14,1)</f>
        <v>2</v>
      </c>
      <c r="R3091" s="35" t="s">
        <v>495</v>
      </c>
      <c r="S3091" s="35" t="str">
        <f>MID(Tabla1[[#This Row],[Aplicación]],6,2)</f>
        <v>02</v>
      </c>
      <c r="T3091" s="35" t="str">
        <f>VLOOKUP(Tabla1[[#This Row],[AREA]],Hoja1!A:B,2,FALSE)</f>
        <v>02. Planeamiento urbanístico y vivienda</v>
      </c>
      <c r="U3091" s="35" t="str">
        <f>MID(Tabla1[[#This Row],[Aplicación]],9,4)</f>
        <v>9332</v>
      </c>
      <c r="V3091" s="35" t="str">
        <f>VLOOKUP(Tabla1[[#This Row],[PROGRAMA]],Hoja1!A:B,2,FALSE)</f>
        <v>9332. Mantenimiento de edificios e instalaciones municipales</v>
      </c>
      <c r="W3091" s="35" t="str">
        <f>MID(Tabla1[[#This Row],[Aplicación]],14,2)</f>
        <v>21</v>
      </c>
      <c r="X3091" s="35" t="str">
        <f>MID(Tabla1[[#This Row],[Aplicación]],14,6)</f>
        <v>212</v>
      </c>
    </row>
    <row r="3092" spans="1:24" x14ac:dyDescent="0.25">
      <c r="A3092" s="45">
        <v>220210022776</v>
      </c>
      <c r="B3092" s="46" t="s">
        <v>204</v>
      </c>
      <c r="C3092" s="47">
        <v>44333</v>
      </c>
      <c r="D3092" s="45">
        <v>22021002228</v>
      </c>
      <c r="E3092" s="46" t="s">
        <v>1471</v>
      </c>
      <c r="F3092" s="48">
        <v>93.65</v>
      </c>
      <c r="G3092" s="54" t="s">
        <v>256</v>
      </c>
      <c r="H3092" s="54" t="s">
        <v>4661</v>
      </c>
      <c r="I3092" s="53" t="s">
        <v>205</v>
      </c>
      <c r="J3092" s="54" t="s">
        <v>127</v>
      </c>
      <c r="K3092" s="54" t="s">
        <v>127</v>
      </c>
      <c r="L3092" s="54" t="s">
        <v>15</v>
      </c>
      <c r="M3092" s="54" t="s">
        <v>13</v>
      </c>
      <c r="N3092" s="54" t="s">
        <v>14</v>
      </c>
      <c r="O3092" s="49" t="s">
        <v>814</v>
      </c>
      <c r="P3092" s="54" t="s">
        <v>3392</v>
      </c>
      <c r="Q3092" s="35" t="str">
        <f>MID(Tabla1[[#This Row],[Aplicación]],14,1)</f>
        <v>2</v>
      </c>
      <c r="R3092" s="35" t="s">
        <v>495</v>
      </c>
      <c r="S3092" s="35" t="str">
        <f>MID(Tabla1[[#This Row],[Aplicación]],6,2)</f>
        <v>06</v>
      </c>
      <c r="T3092" s="35" t="str">
        <f>VLOOKUP(Tabla1[[#This Row],[AREA]],Hoja1!A:B,2,FALSE)</f>
        <v>06. Educación, infancia, juventud e igualdad</v>
      </c>
      <c r="U3092" s="35" t="str">
        <f>MID(Tabla1[[#This Row],[Aplicación]],9,4)</f>
        <v>3232</v>
      </c>
      <c r="V3092" s="35" t="str">
        <f>VLOOKUP(Tabla1[[#This Row],[PROGRAMA]],Hoja1!A:B,2,FALSE)</f>
        <v>3232. Conservación y mantenimiento centros educación infantil y primaria</v>
      </c>
      <c r="W3092" s="35" t="str">
        <f>MID(Tabla1[[#This Row],[Aplicación]],14,2)</f>
        <v>21</v>
      </c>
      <c r="X3092" s="35" t="str">
        <f>MID(Tabla1[[#This Row],[Aplicación]],14,6)</f>
        <v>212</v>
      </c>
    </row>
    <row r="3093" spans="1:24" x14ac:dyDescent="0.25">
      <c r="A3093" s="45">
        <v>220210023378</v>
      </c>
      <c r="B3093" s="46" t="s">
        <v>204</v>
      </c>
      <c r="C3093" s="47">
        <v>44335</v>
      </c>
      <c r="D3093" s="45">
        <v>22021001181</v>
      </c>
      <c r="E3093" s="46" t="s">
        <v>873</v>
      </c>
      <c r="F3093" s="48">
        <v>92.4</v>
      </c>
      <c r="G3093" s="54" t="s">
        <v>574</v>
      </c>
      <c r="H3093" s="54" t="s">
        <v>4662</v>
      </c>
      <c r="I3093" s="53" t="s">
        <v>205</v>
      </c>
      <c r="J3093" s="54" t="s">
        <v>127</v>
      </c>
      <c r="K3093" s="54" t="s">
        <v>127</v>
      </c>
      <c r="L3093" s="54" t="s">
        <v>15</v>
      </c>
      <c r="M3093" s="54" t="s">
        <v>13</v>
      </c>
      <c r="N3093" s="54" t="s">
        <v>14</v>
      </c>
      <c r="O3093" s="49" t="s">
        <v>814</v>
      </c>
      <c r="P3093" s="54" t="s">
        <v>3392</v>
      </c>
      <c r="Q3093" s="35" t="str">
        <f>MID(Tabla1[[#This Row],[Aplicación]],14,1)</f>
        <v>2</v>
      </c>
      <c r="R3093" s="35" t="s">
        <v>495</v>
      </c>
      <c r="S3093" s="35" t="str">
        <f>MID(Tabla1[[#This Row],[Aplicación]],6,2)</f>
        <v>10</v>
      </c>
      <c r="T3093" s="35" t="str">
        <f>VLOOKUP(Tabla1[[#This Row],[AREA]],Hoja1!A:B,2,FALSE)</f>
        <v>10. Servicios sociales y mediación comunitaria</v>
      </c>
      <c r="U3093" s="35" t="str">
        <f>MID(Tabla1[[#This Row],[Aplicación]],9,4)</f>
        <v>2412</v>
      </c>
      <c r="V3093" s="35" t="str">
        <f>VLOOKUP(Tabla1[[#This Row],[PROGRAMA]],Hoja1!A:B,2,FALSE)</f>
        <v>2412. Formación para el empleo</v>
      </c>
      <c r="W3093" s="35" t="str">
        <f>MID(Tabla1[[#This Row],[Aplicación]],14,2)</f>
        <v>22</v>
      </c>
      <c r="X3093" s="35" t="str">
        <f>MID(Tabla1[[#This Row],[Aplicación]],14,6)</f>
        <v>22199</v>
      </c>
    </row>
    <row r="3094" spans="1:24" x14ac:dyDescent="0.25">
      <c r="A3094" s="45">
        <v>220210017122</v>
      </c>
      <c r="B3094" s="46" t="s">
        <v>9</v>
      </c>
      <c r="C3094" s="47">
        <v>44312</v>
      </c>
      <c r="D3094" s="45">
        <v>22021004059</v>
      </c>
      <c r="E3094" s="46" t="s">
        <v>1183</v>
      </c>
      <c r="F3094" s="48">
        <v>75.02</v>
      </c>
      <c r="G3094" s="54" t="s">
        <v>4663</v>
      </c>
      <c r="H3094" s="54" t="s">
        <v>4664</v>
      </c>
      <c r="I3094" s="53" t="s">
        <v>125</v>
      </c>
      <c r="J3094" s="54" t="s">
        <v>4665</v>
      </c>
      <c r="K3094" s="54" t="s">
        <v>822</v>
      </c>
      <c r="L3094" s="54" t="s">
        <v>15</v>
      </c>
      <c r="M3094" s="54" t="s">
        <v>10</v>
      </c>
      <c r="N3094" s="54" t="s">
        <v>11</v>
      </c>
      <c r="O3094" s="49" t="s">
        <v>815</v>
      </c>
      <c r="P3094" s="54" t="s">
        <v>3392</v>
      </c>
      <c r="Q3094" s="35" t="str">
        <f>MID(Tabla1[[#This Row],[Aplicación]],14,1)</f>
        <v>2</v>
      </c>
      <c r="R3094" s="35" t="s">
        <v>495</v>
      </c>
      <c r="S3094" s="35" t="str">
        <f>MID(Tabla1[[#This Row],[Aplicación]],6,2)</f>
        <v>11</v>
      </c>
      <c r="T3094" s="35" t="str">
        <f>VLOOKUP(Tabla1[[#This Row],[AREA]],Hoja1!A:B,2,FALSE)</f>
        <v>11. Salud pública y seguridad ciudadana</v>
      </c>
      <c r="U3094" s="35" t="str">
        <f>MID(Tabla1[[#This Row],[Aplicación]],9,4)</f>
        <v>1361</v>
      </c>
      <c r="V3094" s="35" t="str">
        <f>VLOOKUP(Tabla1[[#This Row],[PROGRAMA]],Hoja1!A:B,2,FALSE)</f>
        <v>1361. Prevención y extinción de incencios</v>
      </c>
      <c r="W3094" s="35" t="str">
        <f>MID(Tabla1[[#This Row],[Aplicación]],14,2)</f>
        <v>22</v>
      </c>
      <c r="X3094" s="35" t="str">
        <f>MID(Tabla1[[#This Row],[Aplicación]],14,6)</f>
        <v>22199</v>
      </c>
    </row>
    <row r="3095" spans="1:24" x14ac:dyDescent="0.25">
      <c r="A3095" s="45">
        <v>220210025555</v>
      </c>
      <c r="B3095" s="46" t="s">
        <v>9</v>
      </c>
      <c r="C3095" s="47">
        <v>44342</v>
      </c>
      <c r="D3095" s="45">
        <v>22021004425</v>
      </c>
      <c r="E3095" s="46" t="s">
        <v>1183</v>
      </c>
      <c r="F3095" s="48">
        <v>73.209999999999994</v>
      </c>
      <c r="G3095" s="54" t="s">
        <v>3770</v>
      </c>
      <c r="H3095" s="54" t="s">
        <v>4666</v>
      </c>
      <c r="I3095" s="53" t="s">
        <v>125</v>
      </c>
      <c r="J3095" s="54" t="s">
        <v>127</v>
      </c>
      <c r="K3095" s="54" t="s">
        <v>127</v>
      </c>
      <c r="L3095" s="54" t="s">
        <v>15</v>
      </c>
      <c r="M3095" s="54" t="s">
        <v>10</v>
      </c>
      <c r="N3095" s="54" t="s">
        <v>11</v>
      </c>
      <c r="O3095" s="49" t="s">
        <v>815</v>
      </c>
      <c r="P3095" s="54" t="s">
        <v>3392</v>
      </c>
      <c r="Q3095" s="35" t="str">
        <f>MID(Tabla1[[#This Row],[Aplicación]],14,1)</f>
        <v>2</v>
      </c>
      <c r="R3095" s="35" t="s">
        <v>495</v>
      </c>
      <c r="S3095" s="35" t="str">
        <f>MID(Tabla1[[#This Row],[Aplicación]],6,2)</f>
        <v>11</v>
      </c>
      <c r="T3095" s="35" t="str">
        <f>VLOOKUP(Tabla1[[#This Row],[AREA]],Hoja1!A:B,2,FALSE)</f>
        <v>11. Salud pública y seguridad ciudadana</v>
      </c>
      <c r="U3095" s="35" t="str">
        <f>MID(Tabla1[[#This Row],[Aplicación]],9,4)</f>
        <v>1361</v>
      </c>
      <c r="V3095" s="35" t="str">
        <f>VLOOKUP(Tabla1[[#This Row],[PROGRAMA]],Hoja1!A:B,2,FALSE)</f>
        <v>1361. Prevención y extinción de incencios</v>
      </c>
      <c r="W3095" s="35" t="str">
        <f>MID(Tabla1[[#This Row],[Aplicación]],14,2)</f>
        <v>22</v>
      </c>
      <c r="X3095" s="35" t="str">
        <f>MID(Tabla1[[#This Row],[Aplicación]],14,6)</f>
        <v>22199</v>
      </c>
    </row>
    <row r="3096" spans="1:24" x14ac:dyDescent="0.25">
      <c r="A3096" s="45">
        <v>220210022457</v>
      </c>
      <c r="B3096" s="46" t="s">
        <v>204</v>
      </c>
      <c r="C3096" s="47">
        <v>44330</v>
      </c>
      <c r="D3096" s="45">
        <v>22021002088</v>
      </c>
      <c r="E3096" s="46" t="s">
        <v>1478</v>
      </c>
      <c r="F3096" s="48">
        <v>92</v>
      </c>
      <c r="G3096" s="54" t="s">
        <v>235</v>
      </c>
      <c r="H3096" s="54" t="s">
        <v>4667</v>
      </c>
      <c r="I3096" s="53" t="s">
        <v>205</v>
      </c>
      <c r="J3096" s="54" t="s">
        <v>742</v>
      </c>
      <c r="K3096" s="54" t="s">
        <v>165</v>
      </c>
      <c r="L3096" s="54" t="s">
        <v>15</v>
      </c>
      <c r="M3096" s="54" t="s">
        <v>13</v>
      </c>
      <c r="N3096" s="54" t="s">
        <v>16</v>
      </c>
      <c r="O3096" s="49" t="s">
        <v>814</v>
      </c>
      <c r="P3096" s="54" t="s">
        <v>3392</v>
      </c>
      <c r="Q3096" s="35" t="str">
        <f>MID(Tabla1[[#This Row],[Aplicación]],14,1)</f>
        <v>2</v>
      </c>
      <c r="R3096" s="35" t="s">
        <v>495</v>
      </c>
      <c r="S3096" s="35" t="str">
        <f>MID(Tabla1[[#This Row],[Aplicación]],6,2)</f>
        <v>03</v>
      </c>
      <c r="T3096" s="35" t="str">
        <f>VLOOKUP(Tabla1[[#This Row],[AREA]],Hoja1!A:B,2,FALSE)</f>
        <v>03. Participación ciudadana y deportes</v>
      </c>
      <c r="U3096" s="35" t="str">
        <f>MID(Tabla1[[#This Row],[Aplicación]],9,4)</f>
        <v>9241</v>
      </c>
      <c r="V3096" s="35" t="str">
        <f>VLOOKUP(Tabla1[[#This Row],[PROGRAMA]],Hoja1!A:B,2,FALSE)</f>
        <v>9241. Participación ciudadana</v>
      </c>
      <c r="W3096" s="35" t="str">
        <f>MID(Tabla1[[#This Row],[Aplicación]],14,2)</f>
        <v>21</v>
      </c>
      <c r="X3096" s="35" t="str">
        <f>MID(Tabla1[[#This Row],[Aplicación]],14,6)</f>
        <v>212</v>
      </c>
    </row>
    <row r="3097" spans="1:24" x14ac:dyDescent="0.25">
      <c r="A3097" s="45">
        <v>220210023190</v>
      </c>
      <c r="B3097" s="46" t="s">
        <v>204</v>
      </c>
      <c r="C3097" s="47">
        <v>44335</v>
      </c>
      <c r="D3097" s="45">
        <v>22021003187</v>
      </c>
      <c r="E3097" s="46" t="s">
        <v>1884</v>
      </c>
      <c r="F3097" s="48">
        <v>92</v>
      </c>
      <c r="G3097" s="54" t="s">
        <v>235</v>
      </c>
      <c r="H3097" s="54" t="s">
        <v>4668</v>
      </c>
      <c r="I3097" s="53" t="s">
        <v>205</v>
      </c>
      <c r="J3097" s="54" t="s">
        <v>742</v>
      </c>
      <c r="K3097" s="54" t="s">
        <v>165</v>
      </c>
      <c r="L3097" s="54" t="s">
        <v>15</v>
      </c>
      <c r="M3097" s="54" t="s">
        <v>13</v>
      </c>
      <c r="N3097" s="54" t="s">
        <v>11</v>
      </c>
      <c r="O3097" s="49" t="s">
        <v>814</v>
      </c>
      <c r="P3097" s="54" t="s">
        <v>3392</v>
      </c>
      <c r="Q3097" s="35" t="str">
        <f>MID(Tabla1[[#This Row],[Aplicación]],14,1)</f>
        <v>2</v>
      </c>
      <c r="R3097" s="35" t="s">
        <v>495</v>
      </c>
      <c r="S3097" s="35" t="str">
        <f>MID(Tabla1[[#This Row],[Aplicación]],6,2)</f>
        <v>06</v>
      </c>
      <c r="T3097" s="35" t="str">
        <f>VLOOKUP(Tabla1[[#This Row],[AREA]],Hoja1!A:B,2,FALSE)</f>
        <v>06. Educación, infancia, juventud e igualdad</v>
      </c>
      <c r="U3097" s="35" t="str">
        <f>MID(Tabla1[[#This Row],[Aplicación]],9,4)</f>
        <v>2314</v>
      </c>
      <c r="V3097" s="35" t="str">
        <f>VLOOKUP(Tabla1[[#This Row],[PROGRAMA]],Hoja1!A:B,2,FALSE)</f>
        <v>2314. Centro de programas juveniles</v>
      </c>
      <c r="W3097" s="35" t="str">
        <f>MID(Tabla1[[#This Row],[Aplicación]],14,2)</f>
        <v>21</v>
      </c>
      <c r="X3097" s="35" t="str">
        <f>MID(Tabla1[[#This Row],[Aplicación]],14,6)</f>
        <v>212</v>
      </c>
    </row>
    <row r="3098" spans="1:24" x14ac:dyDescent="0.25">
      <c r="A3098" s="45">
        <v>220210023520</v>
      </c>
      <c r="B3098" s="46" t="s">
        <v>9</v>
      </c>
      <c r="C3098" s="47">
        <v>44336</v>
      </c>
      <c r="D3098" s="45">
        <v>22021004450</v>
      </c>
      <c r="E3098" s="46" t="s">
        <v>1220</v>
      </c>
      <c r="F3098" s="48">
        <v>90.75</v>
      </c>
      <c r="G3098" s="54" t="s">
        <v>286</v>
      </c>
      <c r="H3098" s="54" t="s">
        <v>4669</v>
      </c>
      <c r="I3098" s="53" t="s">
        <v>125</v>
      </c>
      <c r="J3098" s="54" t="s">
        <v>127</v>
      </c>
      <c r="K3098" s="54" t="s">
        <v>127</v>
      </c>
      <c r="L3098" s="54" t="s">
        <v>15</v>
      </c>
      <c r="M3098" s="54" t="s">
        <v>13</v>
      </c>
      <c r="N3098" s="54" t="s">
        <v>14</v>
      </c>
      <c r="O3098" s="49" t="s">
        <v>814</v>
      </c>
      <c r="P3098" s="54" t="s">
        <v>3392</v>
      </c>
      <c r="Q3098" s="35" t="str">
        <f>MID(Tabla1[[#This Row],[Aplicación]],14,1)</f>
        <v>2</v>
      </c>
      <c r="R3098" s="35" t="s">
        <v>495</v>
      </c>
      <c r="S3098" s="35" t="str">
        <f>MID(Tabla1[[#This Row],[Aplicación]],6,2)</f>
        <v>03</v>
      </c>
      <c r="T3098" s="35" t="str">
        <f>VLOOKUP(Tabla1[[#This Row],[AREA]],Hoja1!A:B,2,FALSE)</f>
        <v>03. Participación ciudadana y deportes</v>
      </c>
      <c r="U3098" s="35" t="str">
        <f>MID(Tabla1[[#This Row],[Aplicación]],9,4)</f>
        <v>9241</v>
      </c>
      <c r="V3098" s="35" t="str">
        <f>VLOOKUP(Tabla1[[#This Row],[PROGRAMA]],Hoja1!A:B,2,FALSE)</f>
        <v>9241. Participación ciudadana</v>
      </c>
      <c r="W3098" s="35" t="str">
        <f>MID(Tabla1[[#This Row],[Aplicación]],14,2)</f>
        <v>21</v>
      </c>
      <c r="X3098" s="35" t="str">
        <f>MID(Tabla1[[#This Row],[Aplicación]],14,6)</f>
        <v>213</v>
      </c>
    </row>
    <row r="3099" spans="1:24" x14ac:dyDescent="0.25">
      <c r="A3099" s="45">
        <v>220210016571</v>
      </c>
      <c r="B3099" s="46" t="s">
        <v>204</v>
      </c>
      <c r="C3099" s="47">
        <v>44306</v>
      </c>
      <c r="D3099" s="45">
        <v>22021003187</v>
      </c>
      <c r="E3099" s="46" t="s">
        <v>1884</v>
      </c>
      <c r="F3099" s="48">
        <v>89.23</v>
      </c>
      <c r="G3099" s="54" t="s">
        <v>266</v>
      </c>
      <c r="H3099" s="54" t="s">
        <v>4670</v>
      </c>
      <c r="I3099" s="53" t="s">
        <v>205</v>
      </c>
      <c r="J3099" s="54" t="s">
        <v>127</v>
      </c>
      <c r="K3099" s="54" t="s">
        <v>127</v>
      </c>
      <c r="L3099" s="54" t="s">
        <v>15</v>
      </c>
      <c r="M3099" s="54" t="s">
        <v>13</v>
      </c>
      <c r="N3099" s="54" t="s">
        <v>14</v>
      </c>
      <c r="O3099" s="49" t="s">
        <v>814</v>
      </c>
      <c r="P3099" s="54" t="s">
        <v>3392</v>
      </c>
      <c r="Q3099" s="35" t="str">
        <f>MID(Tabla1[[#This Row],[Aplicación]],14,1)</f>
        <v>2</v>
      </c>
      <c r="R3099" s="35" t="s">
        <v>495</v>
      </c>
      <c r="S3099" s="35" t="str">
        <f>MID(Tabla1[[#This Row],[Aplicación]],6,2)</f>
        <v>06</v>
      </c>
      <c r="T3099" s="35" t="str">
        <f>VLOOKUP(Tabla1[[#This Row],[AREA]],Hoja1!A:B,2,FALSE)</f>
        <v>06. Educación, infancia, juventud e igualdad</v>
      </c>
      <c r="U3099" s="35" t="str">
        <f>MID(Tabla1[[#This Row],[Aplicación]],9,4)</f>
        <v>2314</v>
      </c>
      <c r="V3099" s="35" t="str">
        <f>VLOOKUP(Tabla1[[#This Row],[PROGRAMA]],Hoja1!A:B,2,FALSE)</f>
        <v>2314. Centro de programas juveniles</v>
      </c>
      <c r="W3099" s="35" t="str">
        <f>MID(Tabla1[[#This Row],[Aplicación]],14,2)</f>
        <v>21</v>
      </c>
      <c r="X3099" s="35" t="str">
        <f>MID(Tabla1[[#This Row],[Aplicación]],14,6)</f>
        <v>212</v>
      </c>
    </row>
    <row r="3100" spans="1:24" x14ac:dyDescent="0.25">
      <c r="A3100" s="45">
        <v>220210028717</v>
      </c>
      <c r="B3100" s="46" t="s">
        <v>204</v>
      </c>
      <c r="C3100" s="47">
        <v>44351</v>
      </c>
      <c r="D3100" s="45">
        <v>22021004482</v>
      </c>
      <c r="E3100" s="46" t="s">
        <v>921</v>
      </c>
      <c r="F3100" s="48">
        <v>89.06</v>
      </c>
      <c r="G3100" s="54" t="s">
        <v>102</v>
      </c>
      <c r="H3100" s="54" t="s">
        <v>4671</v>
      </c>
      <c r="I3100" s="53" t="s">
        <v>205</v>
      </c>
      <c r="J3100" s="54" t="s">
        <v>127</v>
      </c>
      <c r="K3100" s="54" t="s">
        <v>127</v>
      </c>
      <c r="L3100" s="54" t="s">
        <v>15</v>
      </c>
      <c r="M3100" s="54" t="s">
        <v>13</v>
      </c>
      <c r="N3100" s="54" t="s">
        <v>14</v>
      </c>
      <c r="O3100" s="49" t="s">
        <v>814</v>
      </c>
      <c r="P3100" s="54" t="s">
        <v>3392</v>
      </c>
      <c r="Q3100" s="35" t="str">
        <f>MID(Tabla1[[#This Row],[Aplicación]],14,1)</f>
        <v>2</v>
      </c>
      <c r="R3100" s="35" t="s">
        <v>495</v>
      </c>
      <c r="S3100" s="35" t="str">
        <f>MID(Tabla1[[#This Row],[Aplicación]],6,2)</f>
        <v>04</v>
      </c>
      <c r="T3100" s="35" t="str">
        <f>VLOOKUP(Tabla1[[#This Row],[AREA]],Hoja1!A:B,2,FALSE)</f>
        <v>04. Planificación y recursos</v>
      </c>
      <c r="U3100" s="35" t="str">
        <f>MID(Tabla1[[#This Row],[Aplicación]],9,4)</f>
        <v>9204</v>
      </c>
      <c r="V3100" s="35" t="str">
        <f>VLOOKUP(Tabla1[[#This Row],[PROGRAMA]],Hoja1!A:B,2,FALSE)</f>
        <v>9204. Tecnologías de la información y comunicación</v>
      </c>
      <c r="W3100" s="35" t="str">
        <f>MID(Tabla1[[#This Row],[Aplicación]],14,2)</f>
        <v>21</v>
      </c>
      <c r="X3100" s="35" t="str">
        <f>MID(Tabla1[[#This Row],[Aplicación]],14,6)</f>
        <v>213</v>
      </c>
    </row>
    <row r="3101" spans="1:24" x14ac:dyDescent="0.25">
      <c r="A3101" s="45">
        <v>220210032781</v>
      </c>
      <c r="B3101" s="46" t="s">
        <v>204</v>
      </c>
      <c r="C3101" s="47">
        <v>44371</v>
      </c>
      <c r="D3101" s="45">
        <v>22021002374</v>
      </c>
      <c r="E3101" s="46" t="s">
        <v>1336</v>
      </c>
      <c r="F3101" s="48">
        <v>88.69</v>
      </c>
      <c r="G3101" s="54" t="s">
        <v>256</v>
      </c>
      <c r="H3101" s="54" t="s">
        <v>4672</v>
      </c>
      <c r="I3101" s="53" t="s">
        <v>205</v>
      </c>
      <c r="J3101" s="54" t="s">
        <v>127</v>
      </c>
      <c r="K3101" s="54" t="s">
        <v>127</v>
      </c>
      <c r="L3101" s="54" t="s">
        <v>15</v>
      </c>
      <c r="M3101" s="54" t="s">
        <v>13</v>
      </c>
      <c r="N3101" s="54" t="s">
        <v>14</v>
      </c>
      <c r="O3101" s="49" t="s">
        <v>814</v>
      </c>
      <c r="P3101" s="54" t="s">
        <v>3392</v>
      </c>
      <c r="Q3101" s="35" t="str">
        <f>MID(Tabla1[[#This Row],[Aplicación]],14,1)</f>
        <v>2</v>
      </c>
      <c r="R3101" s="35" t="s">
        <v>495</v>
      </c>
      <c r="S3101" s="35" t="str">
        <f>MID(Tabla1[[#This Row],[Aplicación]],6,2)</f>
        <v>02</v>
      </c>
      <c r="T3101" s="35" t="str">
        <f>VLOOKUP(Tabla1[[#This Row],[AREA]],Hoja1!A:B,2,FALSE)</f>
        <v>02. Planeamiento urbanístico y vivienda</v>
      </c>
      <c r="U3101" s="35" t="str">
        <f>MID(Tabla1[[#This Row],[Aplicación]],9,4)</f>
        <v>9332</v>
      </c>
      <c r="V3101" s="35" t="str">
        <f>VLOOKUP(Tabla1[[#This Row],[PROGRAMA]],Hoja1!A:B,2,FALSE)</f>
        <v>9332. Mantenimiento de edificios e instalaciones municipales</v>
      </c>
      <c r="W3101" s="35" t="str">
        <f>MID(Tabla1[[#This Row],[Aplicación]],14,2)</f>
        <v>21</v>
      </c>
      <c r="X3101" s="35" t="str">
        <f>MID(Tabla1[[#This Row],[Aplicación]],14,6)</f>
        <v>212</v>
      </c>
    </row>
    <row r="3102" spans="1:24" x14ac:dyDescent="0.25">
      <c r="A3102" s="45">
        <v>220210015513</v>
      </c>
      <c r="B3102" s="46" t="s">
        <v>9</v>
      </c>
      <c r="C3102" s="47">
        <v>44300</v>
      </c>
      <c r="D3102" s="45">
        <v>22021003868</v>
      </c>
      <c r="E3102" s="46" t="s">
        <v>869</v>
      </c>
      <c r="F3102" s="48">
        <v>70.72</v>
      </c>
      <c r="G3102" s="54" t="s">
        <v>50</v>
      </c>
      <c r="H3102" s="54" t="s">
        <v>4673</v>
      </c>
      <c r="I3102" s="53" t="s">
        <v>125</v>
      </c>
      <c r="J3102" s="54" t="s">
        <v>127</v>
      </c>
      <c r="K3102" s="54" t="s">
        <v>127</v>
      </c>
      <c r="L3102" s="54" t="s">
        <v>12</v>
      </c>
      <c r="M3102" s="54" t="s">
        <v>10</v>
      </c>
      <c r="N3102" s="54" t="s">
        <v>11</v>
      </c>
      <c r="O3102" s="49" t="s">
        <v>815</v>
      </c>
      <c r="P3102" s="54" t="s">
        <v>3392</v>
      </c>
      <c r="Q3102" s="35" t="str">
        <f>MID(Tabla1[[#This Row],[Aplicación]],14,1)</f>
        <v>2</v>
      </c>
      <c r="R3102" s="35" t="s">
        <v>495</v>
      </c>
      <c r="S3102" s="35" t="str">
        <f>MID(Tabla1[[#This Row],[Aplicación]],6,2)</f>
        <v>07</v>
      </c>
      <c r="T3102" s="35" t="str">
        <f>VLOOKUP(Tabla1[[#This Row],[AREA]],Hoja1!A:B,2,FALSE)</f>
        <v>07. Medio ambiente y desarrollo sostenible</v>
      </c>
      <c r="U3102" s="35" t="str">
        <f>MID(Tabla1[[#This Row],[Aplicación]],9,4)</f>
        <v>1721</v>
      </c>
      <c r="V3102" s="35" t="str">
        <f>VLOOKUP(Tabla1[[#This Row],[PROGRAMA]],Hoja1!A:B,2,FALSE)</f>
        <v>1721. Protección del medio ambiente</v>
      </c>
      <c r="W3102" s="35" t="str">
        <f>MID(Tabla1[[#This Row],[Aplicación]],14,2)</f>
        <v>21</v>
      </c>
      <c r="X3102" s="35" t="str">
        <f>MID(Tabla1[[#This Row],[Aplicación]],14,6)</f>
        <v>213</v>
      </c>
    </row>
    <row r="3103" spans="1:24" x14ac:dyDescent="0.25">
      <c r="A3103" s="45">
        <v>220210030521</v>
      </c>
      <c r="B3103" s="46" t="s">
        <v>9</v>
      </c>
      <c r="C3103" s="47">
        <v>44358</v>
      </c>
      <c r="D3103" s="45">
        <v>22021004816</v>
      </c>
      <c r="E3103" s="46" t="s">
        <v>954</v>
      </c>
      <c r="F3103" s="48">
        <v>70.58</v>
      </c>
      <c r="G3103" s="54" t="s">
        <v>275</v>
      </c>
      <c r="H3103" s="54" t="s">
        <v>4674</v>
      </c>
      <c r="I3103" s="53" t="s">
        <v>125</v>
      </c>
      <c r="J3103" s="54" t="s">
        <v>127</v>
      </c>
      <c r="K3103" s="54" t="s">
        <v>127</v>
      </c>
      <c r="L3103" s="54" t="s">
        <v>15</v>
      </c>
      <c r="M3103" s="54" t="s">
        <v>10</v>
      </c>
      <c r="N3103" s="54" t="s">
        <v>11</v>
      </c>
      <c r="O3103" s="49" t="s">
        <v>815</v>
      </c>
      <c r="P3103" s="54" t="s">
        <v>3392</v>
      </c>
      <c r="Q3103" s="35" t="str">
        <f>MID(Tabla1[[#This Row],[Aplicación]],14,1)</f>
        <v>2</v>
      </c>
      <c r="R3103" s="35" t="s">
        <v>495</v>
      </c>
      <c r="S3103" s="35" t="str">
        <f>MID(Tabla1[[#This Row],[Aplicación]],6,2)</f>
        <v>03</v>
      </c>
      <c r="T3103" s="35" t="str">
        <f>VLOOKUP(Tabla1[[#This Row],[AREA]],Hoja1!A:B,2,FALSE)</f>
        <v>03. Participación ciudadana y deportes</v>
      </c>
      <c r="U3103" s="35" t="str">
        <f>MID(Tabla1[[#This Row],[Aplicación]],9,4)</f>
        <v>9241</v>
      </c>
      <c r="V3103" s="35" t="str">
        <f>VLOOKUP(Tabla1[[#This Row],[PROGRAMA]],Hoja1!A:B,2,FALSE)</f>
        <v>9241. Participación ciudadana</v>
      </c>
      <c r="W3103" s="35" t="str">
        <f>MID(Tabla1[[#This Row],[Aplicación]],14,2)</f>
        <v>20</v>
      </c>
      <c r="X3103" s="35" t="str">
        <f>MID(Tabla1[[#This Row],[Aplicación]],14,6)</f>
        <v>203</v>
      </c>
    </row>
    <row r="3104" spans="1:24" x14ac:dyDescent="0.25">
      <c r="A3104" s="45">
        <v>220210016739</v>
      </c>
      <c r="B3104" s="46" t="s">
        <v>9</v>
      </c>
      <c r="C3104" s="47">
        <v>44307</v>
      </c>
      <c r="D3104" s="45">
        <v>22021003926</v>
      </c>
      <c r="E3104" s="46" t="s">
        <v>3368</v>
      </c>
      <c r="F3104" s="48">
        <v>69.8</v>
      </c>
      <c r="G3104" s="54" t="s">
        <v>314</v>
      </c>
      <c r="H3104" s="54" t="s">
        <v>4675</v>
      </c>
      <c r="I3104" s="53" t="s">
        <v>125</v>
      </c>
      <c r="J3104" s="54" t="s">
        <v>127</v>
      </c>
      <c r="K3104" s="54" t="s">
        <v>127</v>
      </c>
      <c r="L3104" s="54" t="s">
        <v>15</v>
      </c>
      <c r="M3104" s="54" t="s">
        <v>10</v>
      </c>
      <c r="N3104" s="54" t="s">
        <v>11</v>
      </c>
      <c r="O3104" s="49" t="s">
        <v>815</v>
      </c>
      <c r="P3104" s="54" t="s">
        <v>3392</v>
      </c>
      <c r="Q3104" s="35" t="str">
        <f>MID(Tabla1[[#This Row],[Aplicación]],14,1)</f>
        <v>2</v>
      </c>
      <c r="R3104" s="35" t="s">
        <v>495</v>
      </c>
      <c r="S3104" s="35" t="str">
        <f>MID(Tabla1[[#This Row],[Aplicación]],6,2)</f>
        <v>01</v>
      </c>
      <c r="T3104" s="35" t="str">
        <f>VLOOKUP(Tabla1[[#This Row],[AREA]],Hoja1!A:B,2,FALSE)</f>
        <v>01. Alcaldía</v>
      </c>
      <c r="U3104" s="35" t="str">
        <f>MID(Tabla1[[#This Row],[Aplicación]],9,4)</f>
        <v>9207</v>
      </c>
      <c r="V3104" s="35" t="str">
        <f>VLOOKUP(Tabla1[[#This Row],[PROGRAMA]],Hoja1!A:B,2,FALSE)</f>
        <v>9207. Gobierno y relaciones</v>
      </c>
      <c r="W3104" s="35" t="str">
        <f>MID(Tabla1[[#This Row],[Aplicación]],14,2)</f>
        <v>22</v>
      </c>
      <c r="X3104" s="35" t="str">
        <f>MID(Tabla1[[#This Row],[Aplicación]],14,6)</f>
        <v>22699</v>
      </c>
    </row>
    <row r="3105" spans="1:24" x14ac:dyDescent="0.25">
      <c r="A3105" s="45">
        <v>220210033149</v>
      </c>
      <c r="B3105" s="46" t="s">
        <v>204</v>
      </c>
      <c r="C3105" s="47">
        <v>44377</v>
      </c>
      <c r="D3105" s="45">
        <v>22021002089</v>
      </c>
      <c r="E3105" s="46" t="s">
        <v>1220</v>
      </c>
      <c r="F3105" s="48">
        <v>85.67</v>
      </c>
      <c r="G3105" s="54" t="s">
        <v>223</v>
      </c>
      <c r="H3105" s="54" t="s">
        <v>4676</v>
      </c>
      <c r="I3105" s="53" t="s">
        <v>205</v>
      </c>
      <c r="J3105" s="54" t="s">
        <v>127</v>
      </c>
      <c r="K3105" s="54" t="s">
        <v>127</v>
      </c>
      <c r="L3105" s="54" t="s">
        <v>15</v>
      </c>
      <c r="M3105" s="54" t="s">
        <v>13</v>
      </c>
      <c r="N3105" s="54" t="s">
        <v>16</v>
      </c>
      <c r="O3105" s="49" t="s">
        <v>814</v>
      </c>
      <c r="P3105" s="54" t="s">
        <v>3392</v>
      </c>
      <c r="Q3105" s="35" t="str">
        <f>MID(Tabla1[[#This Row],[Aplicación]],14,1)</f>
        <v>2</v>
      </c>
      <c r="R3105" s="35" t="s">
        <v>495</v>
      </c>
      <c r="S3105" s="35" t="str">
        <f>MID(Tabla1[[#This Row],[Aplicación]],6,2)</f>
        <v>03</v>
      </c>
      <c r="T3105" s="35" t="str">
        <f>VLOOKUP(Tabla1[[#This Row],[AREA]],Hoja1!A:B,2,FALSE)</f>
        <v>03. Participación ciudadana y deportes</v>
      </c>
      <c r="U3105" s="35" t="str">
        <f>MID(Tabla1[[#This Row],[Aplicación]],9,4)</f>
        <v>9241</v>
      </c>
      <c r="V3105" s="35" t="str">
        <f>VLOOKUP(Tabla1[[#This Row],[PROGRAMA]],Hoja1!A:B,2,FALSE)</f>
        <v>9241. Participación ciudadana</v>
      </c>
      <c r="W3105" s="35" t="str">
        <f>MID(Tabla1[[#This Row],[Aplicación]],14,2)</f>
        <v>21</v>
      </c>
      <c r="X3105" s="35" t="str">
        <f>MID(Tabla1[[#This Row],[Aplicación]],14,6)</f>
        <v>213</v>
      </c>
    </row>
    <row r="3106" spans="1:24" x14ac:dyDescent="0.25">
      <c r="A3106" s="45">
        <v>220210031222</v>
      </c>
      <c r="B3106" s="46" t="s">
        <v>9</v>
      </c>
      <c r="C3106" s="47">
        <v>44362</v>
      </c>
      <c r="D3106" s="45">
        <v>22021004894</v>
      </c>
      <c r="E3106" s="46" t="s">
        <v>1623</v>
      </c>
      <c r="F3106" s="48">
        <v>69</v>
      </c>
      <c r="G3106" s="54" t="s">
        <v>4677</v>
      </c>
      <c r="H3106" s="54" t="s">
        <v>4678</v>
      </c>
      <c r="I3106" s="53" t="s">
        <v>125</v>
      </c>
      <c r="J3106" s="54" t="s">
        <v>126</v>
      </c>
      <c r="K3106" s="54" t="s">
        <v>126</v>
      </c>
      <c r="L3106" s="54" t="s">
        <v>15</v>
      </c>
      <c r="M3106" s="54" t="s">
        <v>10</v>
      </c>
      <c r="N3106" s="54" t="s">
        <v>11</v>
      </c>
      <c r="O3106" s="49" t="s">
        <v>815</v>
      </c>
      <c r="P3106" s="54" t="s">
        <v>3392</v>
      </c>
      <c r="Q3106" s="35" t="str">
        <f>MID(Tabla1[[#This Row],[Aplicación]],14,1)</f>
        <v>2</v>
      </c>
      <c r="R3106" s="35" t="s">
        <v>495</v>
      </c>
      <c r="S3106" s="35" t="str">
        <f>MID(Tabla1[[#This Row],[Aplicación]],6,2)</f>
        <v>01</v>
      </c>
      <c r="T3106" s="35" t="str">
        <f>VLOOKUP(Tabla1[[#This Row],[AREA]],Hoja1!A:B,2,FALSE)</f>
        <v>01. Alcaldía</v>
      </c>
      <c r="U3106" s="35" t="str">
        <f>MID(Tabla1[[#This Row],[Aplicación]],9,4)</f>
        <v>9207</v>
      </c>
      <c r="V3106" s="35" t="str">
        <f>VLOOKUP(Tabla1[[#This Row],[PROGRAMA]],Hoja1!A:B,2,FALSE)</f>
        <v>9207. Gobierno y relaciones</v>
      </c>
      <c r="W3106" s="35" t="str">
        <f>MID(Tabla1[[#This Row],[Aplicación]],14,2)</f>
        <v>22</v>
      </c>
      <c r="X3106" s="35" t="str">
        <f>MID(Tabla1[[#This Row],[Aplicación]],14,6)</f>
        <v>22001</v>
      </c>
    </row>
    <row r="3107" spans="1:24" x14ac:dyDescent="0.25">
      <c r="A3107" s="45">
        <v>220210016520</v>
      </c>
      <c r="B3107" s="46" t="s">
        <v>204</v>
      </c>
      <c r="C3107" s="47">
        <v>44306</v>
      </c>
      <c r="D3107" s="45">
        <v>22021002144</v>
      </c>
      <c r="E3107" s="46" t="s">
        <v>1328</v>
      </c>
      <c r="F3107" s="48">
        <v>84.68</v>
      </c>
      <c r="G3107" s="54" t="s">
        <v>235</v>
      </c>
      <c r="H3107" s="54" t="s">
        <v>4679</v>
      </c>
      <c r="I3107" s="53" t="s">
        <v>205</v>
      </c>
      <c r="J3107" s="54" t="s">
        <v>742</v>
      </c>
      <c r="K3107" s="54" t="s">
        <v>165</v>
      </c>
      <c r="L3107" s="54" t="s">
        <v>15</v>
      </c>
      <c r="M3107" s="54" t="s">
        <v>13</v>
      </c>
      <c r="N3107" s="54" t="s">
        <v>14</v>
      </c>
      <c r="O3107" s="49" t="s">
        <v>814</v>
      </c>
      <c r="P3107" s="54" t="s">
        <v>3392</v>
      </c>
      <c r="Q3107" s="35" t="str">
        <f>MID(Tabla1[[#This Row],[Aplicación]],14,1)</f>
        <v>2</v>
      </c>
      <c r="R3107" s="35" t="s">
        <v>495</v>
      </c>
      <c r="S3107" s="35" t="str">
        <f>MID(Tabla1[[#This Row],[Aplicación]],6,2)</f>
        <v>10</v>
      </c>
      <c r="T3107" s="35" t="str">
        <f>VLOOKUP(Tabla1[[#This Row],[AREA]],Hoja1!A:B,2,FALSE)</f>
        <v>10. Servicios sociales y mediación comunitaria</v>
      </c>
      <c r="U3107" s="35" t="str">
        <f>MID(Tabla1[[#This Row],[Aplicación]],9,4)</f>
        <v>2311</v>
      </c>
      <c r="V3107" s="35" t="str">
        <f>VLOOKUP(Tabla1[[#This Row],[PROGRAMA]],Hoja1!A:B,2,FALSE)</f>
        <v>2311. Intervención social</v>
      </c>
      <c r="W3107" s="35" t="str">
        <f>MID(Tabla1[[#This Row],[Aplicación]],14,2)</f>
        <v>21</v>
      </c>
      <c r="X3107" s="35" t="str">
        <f>MID(Tabla1[[#This Row],[Aplicación]],14,6)</f>
        <v>212</v>
      </c>
    </row>
    <row r="3108" spans="1:24" x14ac:dyDescent="0.25">
      <c r="A3108" s="45">
        <v>220210016746</v>
      </c>
      <c r="B3108" s="46" t="s">
        <v>9</v>
      </c>
      <c r="C3108" s="47">
        <v>44308</v>
      </c>
      <c r="D3108" s="45">
        <v>22021000676</v>
      </c>
      <c r="E3108" s="46" t="s">
        <v>983</v>
      </c>
      <c r="F3108" s="48">
        <v>68.239999999999995</v>
      </c>
      <c r="G3108" s="54" t="s">
        <v>53</v>
      </c>
      <c r="H3108" s="54" t="s">
        <v>4208</v>
      </c>
      <c r="I3108" s="53" t="s">
        <v>125</v>
      </c>
      <c r="J3108" s="54" t="s">
        <v>127</v>
      </c>
      <c r="K3108" s="54" t="s">
        <v>127</v>
      </c>
      <c r="L3108" s="54" t="s">
        <v>12</v>
      </c>
      <c r="M3108" s="54" t="s">
        <v>10</v>
      </c>
      <c r="N3108" s="54" t="s">
        <v>11</v>
      </c>
      <c r="O3108" s="49" t="s">
        <v>815</v>
      </c>
      <c r="P3108" s="54" t="s">
        <v>3392</v>
      </c>
      <c r="Q3108" s="35" t="str">
        <f>MID(Tabla1[[#This Row],[Aplicación]],14,1)</f>
        <v>2</v>
      </c>
      <c r="R3108" s="35" t="s">
        <v>495</v>
      </c>
      <c r="S3108" s="35" t="str">
        <f>MID(Tabla1[[#This Row],[Aplicación]],6,2)</f>
        <v>10</v>
      </c>
      <c r="T3108" s="35" t="str">
        <f>VLOOKUP(Tabla1[[#This Row],[AREA]],Hoja1!A:B,2,FALSE)</f>
        <v>10. Servicios sociales y mediación comunitaria</v>
      </c>
      <c r="U3108" s="35" t="str">
        <f>MID(Tabla1[[#This Row],[Aplicación]],9,4)</f>
        <v>2412</v>
      </c>
      <c r="V3108" s="35" t="str">
        <f>VLOOKUP(Tabla1[[#This Row],[PROGRAMA]],Hoja1!A:B,2,FALSE)</f>
        <v>2412. Formación para el empleo</v>
      </c>
      <c r="W3108" s="35" t="str">
        <f>MID(Tabla1[[#This Row],[Aplicación]],14,2)</f>
        <v>21</v>
      </c>
      <c r="X3108" s="35" t="str">
        <f>MID(Tabla1[[#This Row],[Aplicación]],14,6)</f>
        <v>213</v>
      </c>
    </row>
    <row r="3109" spans="1:24" x14ac:dyDescent="0.25">
      <c r="A3109" s="45">
        <v>220210030861</v>
      </c>
      <c r="B3109" s="46" t="s">
        <v>9</v>
      </c>
      <c r="C3109" s="47">
        <v>44361</v>
      </c>
      <c r="D3109" s="45">
        <v>22021004847</v>
      </c>
      <c r="E3109" s="46" t="s">
        <v>2336</v>
      </c>
      <c r="F3109" s="48">
        <v>67.760000000000005</v>
      </c>
      <c r="G3109" s="54" t="s">
        <v>4100</v>
      </c>
      <c r="H3109" s="54" t="s">
        <v>4680</v>
      </c>
      <c r="I3109" s="53" t="s">
        <v>125</v>
      </c>
      <c r="J3109" s="54" t="s">
        <v>127</v>
      </c>
      <c r="K3109" s="54" t="s">
        <v>127</v>
      </c>
      <c r="L3109" s="54" t="s">
        <v>15</v>
      </c>
      <c r="M3109" s="54" t="s">
        <v>10</v>
      </c>
      <c r="N3109" s="54" t="s">
        <v>11</v>
      </c>
      <c r="O3109" s="49" t="s">
        <v>815</v>
      </c>
      <c r="P3109" s="54" t="s">
        <v>3392</v>
      </c>
      <c r="Q3109" s="35" t="str">
        <f>MID(Tabla1[[#This Row],[Aplicación]],14,1)</f>
        <v>2</v>
      </c>
      <c r="R3109" s="35" t="s">
        <v>495</v>
      </c>
      <c r="S3109" s="35" t="str">
        <f>MID(Tabla1[[#This Row],[Aplicación]],6,2)</f>
        <v>11</v>
      </c>
      <c r="T3109" s="35" t="str">
        <f>VLOOKUP(Tabla1[[#This Row],[AREA]],Hoja1!A:B,2,FALSE)</f>
        <v>11. Salud pública y seguridad ciudadana</v>
      </c>
      <c r="U3109" s="35" t="str">
        <f>MID(Tabla1[[#This Row],[Aplicación]],9,4)</f>
        <v>1361</v>
      </c>
      <c r="V3109" s="35" t="str">
        <f>VLOOKUP(Tabla1[[#This Row],[PROGRAMA]],Hoja1!A:B,2,FALSE)</f>
        <v>1361. Prevención y extinción de incencios</v>
      </c>
      <c r="W3109" s="35" t="str">
        <f>MID(Tabla1[[#This Row],[Aplicación]],14,2)</f>
        <v>22</v>
      </c>
      <c r="X3109" s="35" t="str">
        <f>MID(Tabla1[[#This Row],[Aplicación]],14,6)</f>
        <v>22104</v>
      </c>
    </row>
    <row r="3110" spans="1:24" x14ac:dyDescent="0.25">
      <c r="A3110" s="45">
        <v>220210030453</v>
      </c>
      <c r="B3110" s="46" t="s">
        <v>204</v>
      </c>
      <c r="C3110" s="47">
        <v>44358</v>
      </c>
      <c r="D3110" s="45">
        <v>22021003187</v>
      </c>
      <c r="E3110" s="46" t="s">
        <v>1884</v>
      </c>
      <c r="F3110" s="48">
        <v>82.66</v>
      </c>
      <c r="G3110" s="54" t="s">
        <v>150</v>
      </c>
      <c r="H3110" s="54" t="s">
        <v>4681</v>
      </c>
      <c r="I3110" s="53" t="s">
        <v>205</v>
      </c>
      <c r="J3110" s="54" t="s">
        <v>146</v>
      </c>
      <c r="K3110" s="54" t="s">
        <v>146</v>
      </c>
      <c r="L3110" s="54" t="s">
        <v>15</v>
      </c>
      <c r="M3110" s="54" t="s">
        <v>13</v>
      </c>
      <c r="N3110" s="54" t="s">
        <v>14</v>
      </c>
      <c r="O3110" s="49" t="s">
        <v>814</v>
      </c>
      <c r="P3110" s="54" t="s">
        <v>3392</v>
      </c>
      <c r="Q3110" s="35" t="str">
        <f>MID(Tabla1[[#This Row],[Aplicación]],14,1)</f>
        <v>2</v>
      </c>
      <c r="R3110" s="35" t="s">
        <v>495</v>
      </c>
      <c r="S3110" s="35" t="str">
        <f>MID(Tabla1[[#This Row],[Aplicación]],6,2)</f>
        <v>06</v>
      </c>
      <c r="T3110" s="35" t="str">
        <f>VLOOKUP(Tabla1[[#This Row],[AREA]],Hoja1!A:B,2,FALSE)</f>
        <v>06. Educación, infancia, juventud e igualdad</v>
      </c>
      <c r="U3110" s="35" t="str">
        <f>MID(Tabla1[[#This Row],[Aplicación]],9,4)</f>
        <v>2314</v>
      </c>
      <c r="V3110" s="35" t="str">
        <f>VLOOKUP(Tabla1[[#This Row],[PROGRAMA]],Hoja1!A:B,2,FALSE)</f>
        <v>2314. Centro de programas juveniles</v>
      </c>
      <c r="W3110" s="35" t="str">
        <f>MID(Tabla1[[#This Row],[Aplicación]],14,2)</f>
        <v>21</v>
      </c>
      <c r="X3110" s="35" t="str">
        <f>MID(Tabla1[[#This Row],[Aplicación]],14,6)</f>
        <v>212</v>
      </c>
    </row>
    <row r="3111" spans="1:24" x14ac:dyDescent="0.25">
      <c r="A3111" s="45">
        <v>220210014595</v>
      </c>
      <c r="B3111" s="46" t="s">
        <v>204</v>
      </c>
      <c r="C3111" s="47">
        <v>44298</v>
      </c>
      <c r="D3111" s="45">
        <v>22021002228</v>
      </c>
      <c r="E3111" s="46" t="s">
        <v>1471</v>
      </c>
      <c r="F3111" s="48">
        <v>82.5</v>
      </c>
      <c r="G3111" s="54" t="s">
        <v>574</v>
      </c>
      <c r="H3111" s="54" t="s">
        <v>4682</v>
      </c>
      <c r="I3111" s="53" t="s">
        <v>205</v>
      </c>
      <c r="J3111" s="54" t="s">
        <v>127</v>
      </c>
      <c r="K3111" s="54" t="s">
        <v>127</v>
      </c>
      <c r="L3111" s="54" t="s">
        <v>15</v>
      </c>
      <c r="M3111" s="54" t="s">
        <v>13</v>
      </c>
      <c r="N3111" s="54" t="s">
        <v>14</v>
      </c>
      <c r="O3111" s="49" t="s">
        <v>814</v>
      </c>
      <c r="P3111" s="54" t="s">
        <v>3392</v>
      </c>
      <c r="Q3111" s="35" t="str">
        <f>MID(Tabla1[[#This Row],[Aplicación]],14,1)</f>
        <v>2</v>
      </c>
      <c r="R3111" s="35" t="s">
        <v>495</v>
      </c>
      <c r="S3111" s="35" t="str">
        <f>MID(Tabla1[[#This Row],[Aplicación]],6,2)</f>
        <v>06</v>
      </c>
      <c r="T3111" s="35" t="str">
        <f>VLOOKUP(Tabla1[[#This Row],[AREA]],Hoja1!A:B,2,FALSE)</f>
        <v>06. Educación, infancia, juventud e igualdad</v>
      </c>
      <c r="U3111" s="35" t="str">
        <f>MID(Tabla1[[#This Row],[Aplicación]],9,4)</f>
        <v>3232</v>
      </c>
      <c r="V3111" s="35" t="str">
        <f>VLOOKUP(Tabla1[[#This Row],[PROGRAMA]],Hoja1!A:B,2,FALSE)</f>
        <v>3232. Conservación y mantenimiento centros educación infantil y primaria</v>
      </c>
      <c r="W3111" s="35" t="str">
        <f>MID(Tabla1[[#This Row],[Aplicación]],14,2)</f>
        <v>21</v>
      </c>
      <c r="X3111" s="35" t="str">
        <f>MID(Tabla1[[#This Row],[Aplicación]],14,6)</f>
        <v>212</v>
      </c>
    </row>
    <row r="3112" spans="1:24" x14ac:dyDescent="0.25">
      <c r="A3112" s="45">
        <v>220210018987</v>
      </c>
      <c r="B3112" s="46" t="s">
        <v>9</v>
      </c>
      <c r="C3112" s="47">
        <v>44316</v>
      </c>
      <c r="D3112" s="45">
        <v>22021004201</v>
      </c>
      <c r="E3112" s="46" t="s">
        <v>982</v>
      </c>
      <c r="F3112" s="48">
        <v>82.28</v>
      </c>
      <c r="G3112" s="54" t="s">
        <v>59</v>
      </c>
      <c r="H3112" s="54" t="s">
        <v>4683</v>
      </c>
      <c r="I3112" s="53" t="s">
        <v>125</v>
      </c>
      <c r="J3112" s="54" t="s">
        <v>127</v>
      </c>
      <c r="K3112" s="54" t="s">
        <v>127</v>
      </c>
      <c r="L3112" s="54" t="s">
        <v>15</v>
      </c>
      <c r="M3112" s="54" t="s">
        <v>13</v>
      </c>
      <c r="N3112" s="54" t="s">
        <v>14</v>
      </c>
      <c r="O3112" s="49" t="s">
        <v>814</v>
      </c>
      <c r="P3112" s="54" t="s">
        <v>3392</v>
      </c>
      <c r="Q3112" s="35" t="str">
        <f>MID(Tabla1[[#This Row],[Aplicación]],14,1)</f>
        <v>2</v>
      </c>
      <c r="R3112" s="35" t="s">
        <v>495</v>
      </c>
      <c r="S3112" s="35" t="str">
        <f>MID(Tabla1[[#This Row],[Aplicación]],6,2)</f>
        <v>10</v>
      </c>
      <c r="T3112" s="35" t="str">
        <f>VLOOKUP(Tabla1[[#This Row],[AREA]],Hoja1!A:B,2,FALSE)</f>
        <v>10. Servicios sociales y mediación comunitaria</v>
      </c>
      <c r="U3112" s="35" t="str">
        <f>MID(Tabla1[[#This Row],[Aplicación]],9,4)</f>
        <v>2312</v>
      </c>
      <c r="V3112" s="35" t="str">
        <f>VLOOKUP(Tabla1[[#This Row],[PROGRAMA]],Hoja1!A:B,2,FALSE)</f>
        <v>2312. Iniciativas sociales</v>
      </c>
      <c r="W3112" s="35" t="str">
        <f>MID(Tabla1[[#This Row],[Aplicación]],14,2)</f>
        <v>21</v>
      </c>
      <c r="X3112" s="35" t="str">
        <f>MID(Tabla1[[#This Row],[Aplicación]],14,6)</f>
        <v>213</v>
      </c>
    </row>
    <row r="3113" spans="1:24" x14ac:dyDescent="0.25">
      <c r="A3113" s="45">
        <v>220210017131</v>
      </c>
      <c r="B3113" s="46" t="s">
        <v>9</v>
      </c>
      <c r="C3113" s="47">
        <v>44312</v>
      </c>
      <c r="D3113" s="45">
        <v>22021000494</v>
      </c>
      <c r="E3113" s="46" t="s">
        <v>983</v>
      </c>
      <c r="F3113" s="48">
        <v>67.16</v>
      </c>
      <c r="G3113" s="54" t="s">
        <v>43</v>
      </c>
      <c r="H3113" s="54" t="s">
        <v>3425</v>
      </c>
      <c r="I3113" s="53" t="s">
        <v>125</v>
      </c>
      <c r="J3113" s="54" t="s">
        <v>127</v>
      </c>
      <c r="K3113" s="54" t="s">
        <v>127</v>
      </c>
      <c r="L3113" s="54" t="s">
        <v>12</v>
      </c>
      <c r="M3113" s="54" t="s">
        <v>10</v>
      </c>
      <c r="N3113" s="54" t="s">
        <v>11</v>
      </c>
      <c r="O3113" s="49" t="s">
        <v>815</v>
      </c>
      <c r="P3113" s="54" t="s">
        <v>3392</v>
      </c>
      <c r="Q3113" s="35" t="str">
        <f>MID(Tabla1[[#This Row],[Aplicación]],14,1)</f>
        <v>2</v>
      </c>
      <c r="R3113" s="35" t="s">
        <v>495</v>
      </c>
      <c r="S3113" s="35" t="str">
        <f>MID(Tabla1[[#This Row],[Aplicación]],6,2)</f>
        <v>10</v>
      </c>
      <c r="T3113" s="35" t="str">
        <f>VLOOKUP(Tabla1[[#This Row],[AREA]],Hoja1!A:B,2,FALSE)</f>
        <v>10. Servicios sociales y mediación comunitaria</v>
      </c>
      <c r="U3113" s="35" t="str">
        <f>MID(Tabla1[[#This Row],[Aplicación]],9,4)</f>
        <v>2412</v>
      </c>
      <c r="V3113" s="35" t="str">
        <f>VLOOKUP(Tabla1[[#This Row],[PROGRAMA]],Hoja1!A:B,2,FALSE)</f>
        <v>2412. Formación para el empleo</v>
      </c>
      <c r="W3113" s="35" t="str">
        <f>MID(Tabla1[[#This Row],[Aplicación]],14,2)</f>
        <v>21</v>
      </c>
      <c r="X3113" s="35" t="str">
        <f>MID(Tabla1[[#This Row],[Aplicación]],14,6)</f>
        <v>213</v>
      </c>
    </row>
    <row r="3114" spans="1:24" x14ac:dyDescent="0.25">
      <c r="A3114" s="45">
        <v>220210014488</v>
      </c>
      <c r="B3114" s="46" t="s">
        <v>204</v>
      </c>
      <c r="C3114" s="47">
        <v>44295</v>
      </c>
      <c r="D3114" s="45">
        <v>22021002371</v>
      </c>
      <c r="E3114" s="46" t="s">
        <v>1336</v>
      </c>
      <c r="F3114" s="48">
        <v>79.86</v>
      </c>
      <c r="G3114" s="54" t="s">
        <v>102</v>
      </c>
      <c r="H3114" s="54" t="s">
        <v>4684</v>
      </c>
      <c r="I3114" s="53" t="s">
        <v>205</v>
      </c>
      <c r="J3114" s="54" t="s">
        <v>127</v>
      </c>
      <c r="K3114" s="54" t="s">
        <v>127</v>
      </c>
      <c r="L3114" s="54" t="s">
        <v>15</v>
      </c>
      <c r="M3114" s="54" t="s">
        <v>13</v>
      </c>
      <c r="N3114" s="54" t="s">
        <v>14</v>
      </c>
      <c r="O3114" s="49" t="s">
        <v>814</v>
      </c>
      <c r="P3114" s="54" t="s">
        <v>3392</v>
      </c>
      <c r="Q3114" s="35" t="str">
        <f>MID(Tabla1[[#This Row],[Aplicación]],14,1)</f>
        <v>2</v>
      </c>
      <c r="R3114" s="35" t="s">
        <v>495</v>
      </c>
      <c r="S3114" s="35" t="str">
        <f>MID(Tabla1[[#This Row],[Aplicación]],6,2)</f>
        <v>02</v>
      </c>
      <c r="T3114" s="35" t="str">
        <f>VLOOKUP(Tabla1[[#This Row],[AREA]],Hoja1!A:B,2,FALSE)</f>
        <v>02. Planeamiento urbanístico y vivienda</v>
      </c>
      <c r="U3114" s="35" t="str">
        <f>MID(Tabla1[[#This Row],[Aplicación]],9,4)</f>
        <v>9332</v>
      </c>
      <c r="V3114" s="35" t="str">
        <f>VLOOKUP(Tabla1[[#This Row],[PROGRAMA]],Hoja1!A:B,2,FALSE)</f>
        <v>9332. Mantenimiento de edificios e instalaciones municipales</v>
      </c>
      <c r="W3114" s="35" t="str">
        <f>MID(Tabla1[[#This Row],[Aplicación]],14,2)</f>
        <v>21</v>
      </c>
      <c r="X3114" s="35" t="str">
        <f>MID(Tabla1[[#This Row],[Aplicación]],14,6)</f>
        <v>212</v>
      </c>
    </row>
    <row r="3115" spans="1:24" x14ac:dyDescent="0.25">
      <c r="A3115" s="45">
        <v>220210031322</v>
      </c>
      <c r="B3115" s="46" t="s">
        <v>9</v>
      </c>
      <c r="C3115" s="47">
        <v>44364</v>
      </c>
      <c r="D3115" s="45">
        <v>22021004781</v>
      </c>
      <c r="E3115" s="46" t="s">
        <v>1348</v>
      </c>
      <c r="F3115" s="48">
        <v>66.010000000000005</v>
      </c>
      <c r="G3115" s="54" t="s">
        <v>1419</v>
      </c>
      <c r="H3115" s="54" t="s">
        <v>4685</v>
      </c>
      <c r="I3115" s="53" t="s">
        <v>125</v>
      </c>
      <c r="J3115" s="54" t="s">
        <v>127</v>
      </c>
      <c r="K3115" s="54" t="s">
        <v>127</v>
      </c>
      <c r="L3115" s="54" t="s">
        <v>15</v>
      </c>
      <c r="M3115" s="54" t="s">
        <v>10</v>
      </c>
      <c r="N3115" s="54" t="s">
        <v>11</v>
      </c>
      <c r="O3115" s="49" t="s">
        <v>815</v>
      </c>
      <c r="P3115" s="54" t="s">
        <v>3392</v>
      </c>
      <c r="Q3115" s="35" t="str">
        <f>MID(Tabla1[[#This Row],[Aplicación]],14,1)</f>
        <v>2</v>
      </c>
      <c r="R3115" s="35" t="s">
        <v>495</v>
      </c>
      <c r="S3115" s="35" t="str">
        <f>MID(Tabla1[[#This Row],[Aplicación]],6,2)</f>
        <v>06</v>
      </c>
      <c r="T3115" s="35" t="str">
        <f>VLOOKUP(Tabla1[[#This Row],[AREA]],Hoja1!A:B,2,FALSE)</f>
        <v>06. Educación, infancia, juventud e igualdad</v>
      </c>
      <c r="U3115" s="35" t="str">
        <f>MID(Tabla1[[#This Row],[Aplicación]],9,4)</f>
        <v>3321</v>
      </c>
      <c r="V3115" s="35" t="str">
        <f>VLOOKUP(Tabla1[[#This Row],[PROGRAMA]],Hoja1!A:B,2,FALSE)</f>
        <v>3321. Bibliotecas públicas</v>
      </c>
      <c r="W3115" s="35" t="str">
        <f>MID(Tabla1[[#This Row],[Aplicación]],14,2)</f>
        <v>21</v>
      </c>
      <c r="X3115" s="35" t="str">
        <f>MID(Tabla1[[#This Row],[Aplicación]],14,6)</f>
        <v>213</v>
      </c>
    </row>
    <row r="3116" spans="1:24" x14ac:dyDescent="0.25">
      <c r="A3116" s="45">
        <v>220210021016</v>
      </c>
      <c r="B3116" s="46" t="s">
        <v>9</v>
      </c>
      <c r="C3116" s="47">
        <v>44323</v>
      </c>
      <c r="D3116" s="45">
        <v>22021004341</v>
      </c>
      <c r="E3116" s="46" t="s">
        <v>1220</v>
      </c>
      <c r="F3116" s="48">
        <v>65.760000000000005</v>
      </c>
      <c r="G3116" s="54" t="s">
        <v>101</v>
      </c>
      <c r="H3116" s="54" t="s">
        <v>4686</v>
      </c>
      <c r="I3116" s="53" t="s">
        <v>125</v>
      </c>
      <c r="J3116" s="54" t="s">
        <v>127</v>
      </c>
      <c r="K3116" s="54" t="s">
        <v>127</v>
      </c>
      <c r="L3116" s="54" t="s">
        <v>15</v>
      </c>
      <c r="M3116" s="54" t="s">
        <v>10</v>
      </c>
      <c r="N3116" s="54" t="s">
        <v>11</v>
      </c>
      <c r="O3116" s="49" t="s">
        <v>815</v>
      </c>
      <c r="P3116" s="54" t="s">
        <v>3392</v>
      </c>
      <c r="Q3116" s="35" t="str">
        <f>MID(Tabla1[[#This Row],[Aplicación]],14,1)</f>
        <v>2</v>
      </c>
      <c r="R3116" s="35" t="s">
        <v>495</v>
      </c>
      <c r="S3116" s="35" t="str">
        <f>MID(Tabla1[[#This Row],[Aplicación]],6,2)</f>
        <v>03</v>
      </c>
      <c r="T3116" s="35" t="str">
        <f>VLOOKUP(Tabla1[[#This Row],[AREA]],Hoja1!A:B,2,FALSE)</f>
        <v>03. Participación ciudadana y deportes</v>
      </c>
      <c r="U3116" s="35" t="str">
        <f>MID(Tabla1[[#This Row],[Aplicación]],9,4)</f>
        <v>9241</v>
      </c>
      <c r="V3116" s="35" t="str">
        <f>VLOOKUP(Tabla1[[#This Row],[PROGRAMA]],Hoja1!A:B,2,FALSE)</f>
        <v>9241. Participación ciudadana</v>
      </c>
      <c r="W3116" s="35" t="str">
        <f>MID(Tabla1[[#This Row],[Aplicación]],14,2)</f>
        <v>21</v>
      </c>
      <c r="X3116" s="35" t="str">
        <f>MID(Tabla1[[#This Row],[Aplicación]],14,6)</f>
        <v>213</v>
      </c>
    </row>
    <row r="3117" spans="1:24" x14ac:dyDescent="0.25">
      <c r="A3117" s="45">
        <v>220210025558</v>
      </c>
      <c r="B3117" s="46" t="s">
        <v>9</v>
      </c>
      <c r="C3117" s="47">
        <v>44342</v>
      </c>
      <c r="D3117" s="45">
        <v>22021004497</v>
      </c>
      <c r="E3117" s="46" t="s">
        <v>1401</v>
      </c>
      <c r="F3117" s="48">
        <v>65.58</v>
      </c>
      <c r="G3117" s="54" t="s">
        <v>1576</v>
      </c>
      <c r="H3117" s="54" t="s">
        <v>4687</v>
      </c>
      <c r="I3117" s="53" t="s">
        <v>125</v>
      </c>
      <c r="J3117" s="54" t="s">
        <v>127</v>
      </c>
      <c r="K3117" s="54" t="s">
        <v>127</v>
      </c>
      <c r="L3117" s="54" t="s">
        <v>15</v>
      </c>
      <c r="M3117" s="54" t="s">
        <v>10</v>
      </c>
      <c r="N3117" s="54" t="s">
        <v>11</v>
      </c>
      <c r="O3117" s="49" t="s">
        <v>815</v>
      </c>
      <c r="P3117" s="54" t="s">
        <v>3392</v>
      </c>
      <c r="Q3117" s="35" t="str">
        <f>MID(Tabla1[[#This Row],[Aplicación]],14,1)</f>
        <v>2</v>
      </c>
      <c r="R3117" s="35" t="s">
        <v>495</v>
      </c>
      <c r="S3117" s="35" t="str">
        <f>MID(Tabla1[[#This Row],[Aplicación]],6,2)</f>
        <v>10</v>
      </c>
      <c r="T3117" s="35" t="str">
        <f>VLOOKUP(Tabla1[[#This Row],[AREA]],Hoja1!A:B,2,FALSE)</f>
        <v>10. Servicios sociales y mediación comunitaria</v>
      </c>
      <c r="U3117" s="35" t="str">
        <f>MID(Tabla1[[#This Row],[Aplicación]],9,4)</f>
        <v>2312</v>
      </c>
      <c r="V3117" s="35" t="str">
        <f>VLOOKUP(Tabla1[[#This Row],[PROGRAMA]],Hoja1!A:B,2,FALSE)</f>
        <v>2312. Iniciativas sociales</v>
      </c>
      <c r="W3117" s="35" t="str">
        <f>MID(Tabla1[[#This Row],[Aplicación]],14,2)</f>
        <v>22</v>
      </c>
      <c r="X3117" s="35" t="str">
        <f>MID(Tabla1[[#This Row],[Aplicación]],14,6)</f>
        <v>22699</v>
      </c>
    </row>
    <row r="3118" spans="1:24" x14ac:dyDescent="0.25">
      <c r="A3118" s="45">
        <v>220210027718</v>
      </c>
      <c r="B3118" s="46" t="s">
        <v>204</v>
      </c>
      <c r="C3118" s="47">
        <v>44348</v>
      </c>
      <c r="D3118" s="45">
        <v>22021002374</v>
      </c>
      <c r="E3118" s="46" t="s">
        <v>1336</v>
      </c>
      <c r="F3118" s="48">
        <v>79.38</v>
      </c>
      <c r="G3118" s="54" t="s">
        <v>238</v>
      </c>
      <c r="H3118" s="54" t="s">
        <v>4688</v>
      </c>
      <c r="I3118" s="53" t="s">
        <v>205</v>
      </c>
      <c r="J3118" s="54" t="s">
        <v>127</v>
      </c>
      <c r="K3118" s="54" t="s">
        <v>127</v>
      </c>
      <c r="L3118" s="54" t="s">
        <v>15</v>
      </c>
      <c r="M3118" s="54" t="s">
        <v>13</v>
      </c>
      <c r="N3118" s="54" t="s">
        <v>14</v>
      </c>
      <c r="O3118" s="49" t="s">
        <v>814</v>
      </c>
      <c r="P3118" s="54" t="s">
        <v>3392</v>
      </c>
      <c r="Q3118" s="35" t="str">
        <f>MID(Tabla1[[#This Row],[Aplicación]],14,1)</f>
        <v>2</v>
      </c>
      <c r="R3118" s="35" t="s">
        <v>495</v>
      </c>
      <c r="S3118" s="35" t="str">
        <f>MID(Tabla1[[#This Row],[Aplicación]],6,2)</f>
        <v>02</v>
      </c>
      <c r="T3118" s="35" t="str">
        <f>VLOOKUP(Tabla1[[#This Row],[AREA]],Hoja1!A:B,2,FALSE)</f>
        <v>02. Planeamiento urbanístico y vivienda</v>
      </c>
      <c r="U3118" s="35" t="str">
        <f>MID(Tabla1[[#This Row],[Aplicación]],9,4)</f>
        <v>9332</v>
      </c>
      <c r="V3118" s="35" t="str">
        <f>VLOOKUP(Tabla1[[#This Row],[PROGRAMA]],Hoja1!A:B,2,FALSE)</f>
        <v>9332. Mantenimiento de edificios e instalaciones municipales</v>
      </c>
      <c r="W3118" s="35" t="str">
        <f>MID(Tabla1[[#This Row],[Aplicación]],14,2)</f>
        <v>21</v>
      </c>
      <c r="X3118" s="35" t="str">
        <f>MID(Tabla1[[#This Row],[Aplicación]],14,6)</f>
        <v>212</v>
      </c>
    </row>
    <row r="3119" spans="1:24" x14ac:dyDescent="0.25">
      <c r="A3119" s="45">
        <v>220210016440</v>
      </c>
      <c r="B3119" s="46" t="s">
        <v>9</v>
      </c>
      <c r="C3119" s="47">
        <v>44306</v>
      </c>
      <c r="D3119" s="45">
        <v>22021003870</v>
      </c>
      <c r="E3119" s="46" t="s">
        <v>980</v>
      </c>
      <c r="F3119" s="48">
        <v>78.53</v>
      </c>
      <c r="G3119" s="54" t="s">
        <v>239</v>
      </c>
      <c r="H3119" s="54" t="s">
        <v>4689</v>
      </c>
      <c r="I3119" s="53" t="s">
        <v>125</v>
      </c>
      <c r="J3119" s="54" t="s">
        <v>127</v>
      </c>
      <c r="K3119" s="54" t="s">
        <v>127</v>
      </c>
      <c r="L3119" s="54" t="s">
        <v>12</v>
      </c>
      <c r="M3119" s="54" t="s">
        <v>13</v>
      </c>
      <c r="N3119" s="54" t="s">
        <v>14</v>
      </c>
      <c r="O3119" s="49" t="s">
        <v>814</v>
      </c>
      <c r="P3119" s="54" t="s">
        <v>3392</v>
      </c>
      <c r="Q3119" s="35" t="str">
        <f>MID(Tabla1[[#This Row],[Aplicación]],14,1)</f>
        <v>2</v>
      </c>
      <c r="R3119" s="35" t="s">
        <v>495</v>
      </c>
      <c r="S3119" s="35" t="str">
        <f>MID(Tabla1[[#This Row],[Aplicación]],6,2)</f>
        <v>11</v>
      </c>
      <c r="T3119" s="35" t="str">
        <f>VLOOKUP(Tabla1[[#This Row],[AREA]],Hoja1!A:B,2,FALSE)</f>
        <v>11. Salud pública y seguridad ciudadana</v>
      </c>
      <c r="U3119" s="35" t="str">
        <f>MID(Tabla1[[#This Row],[Aplicación]],9,4)</f>
        <v>1361</v>
      </c>
      <c r="V3119" s="35" t="str">
        <f>VLOOKUP(Tabla1[[#This Row],[PROGRAMA]],Hoja1!A:B,2,FALSE)</f>
        <v>1361. Prevención y extinción de incencios</v>
      </c>
      <c r="W3119" s="35" t="str">
        <f>MID(Tabla1[[#This Row],[Aplicación]],14,2)</f>
        <v>21</v>
      </c>
      <c r="X3119" s="35" t="str">
        <f>MID(Tabla1[[#This Row],[Aplicación]],14,6)</f>
        <v>213</v>
      </c>
    </row>
    <row r="3120" spans="1:24" x14ac:dyDescent="0.25">
      <c r="A3120" s="45">
        <v>220210019132</v>
      </c>
      <c r="B3120" s="46" t="s">
        <v>204</v>
      </c>
      <c r="C3120" s="47">
        <v>44319</v>
      </c>
      <c r="D3120" s="45">
        <v>22021002144</v>
      </c>
      <c r="E3120" s="46" t="s">
        <v>1328</v>
      </c>
      <c r="F3120" s="48">
        <v>77.5</v>
      </c>
      <c r="G3120" s="54" t="s">
        <v>235</v>
      </c>
      <c r="H3120" s="54" t="s">
        <v>4690</v>
      </c>
      <c r="I3120" s="53" t="s">
        <v>205</v>
      </c>
      <c r="J3120" s="54" t="s">
        <v>742</v>
      </c>
      <c r="K3120" s="54" t="s">
        <v>165</v>
      </c>
      <c r="L3120" s="54" t="s">
        <v>15</v>
      </c>
      <c r="M3120" s="54" t="s">
        <v>13</v>
      </c>
      <c r="N3120" s="54" t="s">
        <v>14</v>
      </c>
      <c r="O3120" s="49" t="s">
        <v>814</v>
      </c>
      <c r="P3120" s="54" t="s">
        <v>3392</v>
      </c>
      <c r="Q3120" s="35" t="str">
        <f>MID(Tabla1[[#This Row],[Aplicación]],14,1)</f>
        <v>2</v>
      </c>
      <c r="R3120" s="35" t="s">
        <v>495</v>
      </c>
      <c r="S3120" s="35" t="str">
        <f>MID(Tabla1[[#This Row],[Aplicación]],6,2)</f>
        <v>10</v>
      </c>
      <c r="T3120" s="35" t="str">
        <f>VLOOKUP(Tabla1[[#This Row],[AREA]],Hoja1!A:B,2,FALSE)</f>
        <v>10. Servicios sociales y mediación comunitaria</v>
      </c>
      <c r="U3120" s="35" t="str">
        <f>MID(Tabla1[[#This Row],[Aplicación]],9,4)</f>
        <v>2311</v>
      </c>
      <c r="V3120" s="35" t="str">
        <f>VLOOKUP(Tabla1[[#This Row],[PROGRAMA]],Hoja1!A:B,2,FALSE)</f>
        <v>2311. Intervención social</v>
      </c>
      <c r="W3120" s="35" t="str">
        <f>MID(Tabla1[[#This Row],[Aplicación]],14,2)</f>
        <v>21</v>
      </c>
      <c r="X3120" s="35" t="str">
        <f>MID(Tabla1[[#This Row],[Aplicación]],14,6)</f>
        <v>212</v>
      </c>
    </row>
    <row r="3121" spans="1:24" x14ac:dyDescent="0.25">
      <c r="A3121" s="45">
        <v>220210019198</v>
      </c>
      <c r="B3121" s="46" t="s">
        <v>204</v>
      </c>
      <c r="C3121" s="47">
        <v>44319</v>
      </c>
      <c r="D3121" s="45">
        <v>22021002371</v>
      </c>
      <c r="E3121" s="46" t="s">
        <v>1336</v>
      </c>
      <c r="F3121" s="48">
        <v>77.42</v>
      </c>
      <c r="G3121" s="54" t="s">
        <v>223</v>
      </c>
      <c r="H3121" s="54" t="s">
        <v>4691</v>
      </c>
      <c r="I3121" s="53" t="s">
        <v>205</v>
      </c>
      <c r="J3121" s="54" t="s">
        <v>127</v>
      </c>
      <c r="K3121" s="54" t="s">
        <v>127</v>
      </c>
      <c r="L3121" s="54" t="s">
        <v>15</v>
      </c>
      <c r="M3121" s="54" t="s">
        <v>13</v>
      </c>
      <c r="N3121" s="54" t="s">
        <v>14</v>
      </c>
      <c r="O3121" s="49" t="s">
        <v>814</v>
      </c>
      <c r="P3121" s="54" t="s">
        <v>3392</v>
      </c>
      <c r="Q3121" s="35" t="str">
        <f>MID(Tabla1[[#This Row],[Aplicación]],14,1)</f>
        <v>2</v>
      </c>
      <c r="R3121" s="35" t="s">
        <v>495</v>
      </c>
      <c r="S3121" s="35" t="str">
        <f>MID(Tabla1[[#This Row],[Aplicación]],6,2)</f>
        <v>02</v>
      </c>
      <c r="T3121" s="35" t="str">
        <f>VLOOKUP(Tabla1[[#This Row],[AREA]],Hoja1!A:B,2,FALSE)</f>
        <v>02. Planeamiento urbanístico y vivienda</v>
      </c>
      <c r="U3121" s="35" t="str">
        <f>MID(Tabla1[[#This Row],[Aplicación]],9,4)</f>
        <v>9332</v>
      </c>
      <c r="V3121" s="35" t="str">
        <f>VLOOKUP(Tabla1[[#This Row],[PROGRAMA]],Hoja1!A:B,2,FALSE)</f>
        <v>9332. Mantenimiento de edificios e instalaciones municipales</v>
      </c>
      <c r="W3121" s="35" t="str">
        <f>MID(Tabla1[[#This Row],[Aplicación]],14,2)</f>
        <v>21</v>
      </c>
      <c r="X3121" s="35" t="str">
        <f>MID(Tabla1[[#This Row],[Aplicación]],14,6)</f>
        <v>212</v>
      </c>
    </row>
    <row r="3122" spans="1:24" x14ac:dyDescent="0.25">
      <c r="A3122" s="45">
        <v>220210020754</v>
      </c>
      <c r="B3122" s="46" t="s">
        <v>204</v>
      </c>
      <c r="C3122" s="47">
        <v>44323</v>
      </c>
      <c r="D3122" s="45">
        <v>22021002227</v>
      </c>
      <c r="E3122" s="46" t="s">
        <v>1324</v>
      </c>
      <c r="F3122" s="48">
        <v>76.53</v>
      </c>
      <c r="G3122" s="54" t="s">
        <v>266</v>
      </c>
      <c r="H3122" s="54" t="s">
        <v>4692</v>
      </c>
      <c r="I3122" s="53" t="s">
        <v>205</v>
      </c>
      <c r="J3122" s="54" t="s">
        <v>127</v>
      </c>
      <c r="K3122" s="54" t="s">
        <v>127</v>
      </c>
      <c r="L3122" s="54" t="s">
        <v>15</v>
      </c>
      <c r="M3122" s="54" t="s">
        <v>13</v>
      </c>
      <c r="N3122" s="54" t="s">
        <v>16</v>
      </c>
      <c r="O3122" s="49" t="s">
        <v>814</v>
      </c>
      <c r="P3122" s="54" t="s">
        <v>3392</v>
      </c>
      <c r="Q3122" s="35" t="str">
        <f>MID(Tabla1[[#This Row],[Aplicación]],14,1)</f>
        <v>2</v>
      </c>
      <c r="R3122" s="35" t="s">
        <v>495</v>
      </c>
      <c r="S3122" s="35" t="str">
        <f>MID(Tabla1[[#This Row],[Aplicación]],6,2)</f>
        <v>06</v>
      </c>
      <c r="T3122" s="35" t="str">
        <f>VLOOKUP(Tabla1[[#This Row],[AREA]],Hoja1!A:B,2,FALSE)</f>
        <v>06. Educación, infancia, juventud e igualdad</v>
      </c>
      <c r="U3122" s="35" t="str">
        <f>MID(Tabla1[[#This Row],[Aplicación]],9,4)</f>
        <v>3321</v>
      </c>
      <c r="V3122" s="35" t="str">
        <f>VLOOKUP(Tabla1[[#This Row],[PROGRAMA]],Hoja1!A:B,2,FALSE)</f>
        <v>3321. Bibliotecas públicas</v>
      </c>
      <c r="W3122" s="35" t="str">
        <f>MID(Tabla1[[#This Row],[Aplicación]],14,2)</f>
        <v>21</v>
      </c>
      <c r="X3122" s="35" t="str">
        <f>MID(Tabla1[[#This Row],[Aplicación]],14,6)</f>
        <v>212</v>
      </c>
    </row>
    <row r="3123" spans="1:24" x14ac:dyDescent="0.25">
      <c r="A3123" s="45">
        <v>220210021026</v>
      </c>
      <c r="B3123" s="46" t="s">
        <v>9</v>
      </c>
      <c r="C3123" s="47">
        <v>44323</v>
      </c>
      <c r="D3123" s="45">
        <v>22021004259</v>
      </c>
      <c r="E3123" s="46" t="s">
        <v>1503</v>
      </c>
      <c r="F3123" s="48">
        <v>62.92</v>
      </c>
      <c r="G3123" s="54" t="s">
        <v>50</v>
      </c>
      <c r="H3123" s="54" t="s">
        <v>4693</v>
      </c>
      <c r="I3123" s="53" t="s">
        <v>125</v>
      </c>
      <c r="J3123" s="54" t="s">
        <v>127</v>
      </c>
      <c r="K3123" s="54" t="s">
        <v>127</v>
      </c>
      <c r="L3123" s="54" t="s">
        <v>12</v>
      </c>
      <c r="M3123" s="54" t="s">
        <v>10</v>
      </c>
      <c r="N3123" s="54" t="s">
        <v>11</v>
      </c>
      <c r="O3123" s="49" t="s">
        <v>815</v>
      </c>
      <c r="P3123" s="54" t="s">
        <v>3392</v>
      </c>
      <c r="Q3123" s="35" t="str">
        <f>MID(Tabla1[[#This Row],[Aplicación]],14,1)</f>
        <v>2</v>
      </c>
      <c r="R3123" s="35" t="s">
        <v>495</v>
      </c>
      <c r="S3123" s="35" t="str">
        <f>MID(Tabla1[[#This Row],[Aplicación]],6,2)</f>
        <v>05</v>
      </c>
      <c r="T3123" s="35" t="str">
        <f>VLOOKUP(Tabla1[[#This Row],[AREA]],Hoja1!A:B,2,FALSE)</f>
        <v>05. Innovación, desarrollo económico, empleo y comercio</v>
      </c>
      <c r="U3123" s="35" t="str">
        <f>MID(Tabla1[[#This Row],[Aplicación]],9,4)</f>
        <v>4331</v>
      </c>
      <c r="V3123" s="35" t="str">
        <f>VLOOKUP(Tabla1[[#This Row],[PROGRAMA]],Hoja1!A:B,2,FALSE)</f>
        <v>4331. Desarrollo empresarial</v>
      </c>
      <c r="W3123" s="35" t="str">
        <f>MID(Tabla1[[#This Row],[Aplicación]],14,2)</f>
        <v>21</v>
      </c>
      <c r="X3123" s="35" t="str">
        <f>MID(Tabla1[[#This Row],[Aplicación]],14,6)</f>
        <v>213</v>
      </c>
    </row>
    <row r="3124" spans="1:24" x14ac:dyDescent="0.25">
      <c r="A3124" s="45">
        <v>220210033220</v>
      </c>
      <c r="B3124" s="46" t="s">
        <v>9</v>
      </c>
      <c r="C3124" s="47">
        <v>44377</v>
      </c>
      <c r="D3124" s="45">
        <v>22021004559</v>
      </c>
      <c r="E3124" s="46" t="s">
        <v>1487</v>
      </c>
      <c r="F3124" s="48">
        <v>11000.58</v>
      </c>
      <c r="G3124" s="54" t="s">
        <v>121</v>
      </c>
      <c r="H3124" s="54" t="s">
        <v>4694</v>
      </c>
      <c r="I3124" s="53" t="s">
        <v>125</v>
      </c>
      <c r="J3124" s="54" t="s">
        <v>664</v>
      </c>
      <c r="K3124" s="54" t="s">
        <v>127</v>
      </c>
      <c r="L3124" s="54" t="s">
        <v>12</v>
      </c>
      <c r="M3124" s="54" t="s">
        <v>10</v>
      </c>
      <c r="N3124" s="54" t="s">
        <v>11</v>
      </c>
      <c r="O3124" s="49" t="s">
        <v>815</v>
      </c>
      <c r="P3124" s="54" t="s">
        <v>3392</v>
      </c>
      <c r="Q3124" s="35" t="str">
        <f>MID(Tabla1[[#This Row],[Aplicación]],14,1)</f>
        <v>6</v>
      </c>
      <c r="R3124" s="35" t="s">
        <v>496</v>
      </c>
      <c r="S3124" s="35" t="str">
        <f>MID(Tabla1[[#This Row],[Aplicación]],6,2)</f>
        <v>08</v>
      </c>
      <c r="T3124" s="35" t="str">
        <f>VLOOKUP(Tabla1[[#This Row],[AREA]],Hoja1!A:B,2,FALSE)</f>
        <v>08. Movilidad y espacio urbano</v>
      </c>
      <c r="U3124" s="35" t="str">
        <f>MID(Tabla1[[#This Row],[Aplicación]],9,4)</f>
        <v>1532</v>
      </c>
      <c r="V3124" s="35" t="str">
        <f>VLOOKUP(Tabla1[[#This Row],[PROGRAMA]],Hoja1!A:B,2,FALSE)</f>
        <v>1532. Pavimentación vias públicas y otros servicios urbanísticos</v>
      </c>
      <c r="W3124" s="35" t="str">
        <f>MID(Tabla1[[#This Row],[Aplicación]],14,2)</f>
        <v>61</v>
      </c>
      <c r="X3124" s="35" t="str">
        <f>MID(Tabla1[[#This Row],[Aplicación]],14,6)</f>
        <v>619</v>
      </c>
    </row>
    <row r="3125" spans="1:24" x14ac:dyDescent="0.25">
      <c r="A3125" s="45">
        <v>220210020882</v>
      </c>
      <c r="B3125" s="46" t="s">
        <v>32</v>
      </c>
      <c r="C3125" s="47">
        <v>44323</v>
      </c>
      <c r="D3125" s="45">
        <v>22021004289</v>
      </c>
      <c r="E3125" s="46" t="s">
        <v>895</v>
      </c>
      <c r="F3125" s="48">
        <v>60.98</v>
      </c>
      <c r="G3125" s="54" t="s">
        <v>303</v>
      </c>
      <c r="H3125" s="54" t="s">
        <v>4695</v>
      </c>
      <c r="I3125" s="53" t="s">
        <v>234</v>
      </c>
      <c r="J3125" s="54" t="s">
        <v>127</v>
      </c>
      <c r="K3125" s="54" t="s">
        <v>127</v>
      </c>
      <c r="L3125" s="54" t="s">
        <v>15</v>
      </c>
      <c r="M3125" s="54" t="s">
        <v>10</v>
      </c>
      <c r="N3125" s="54" t="s">
        <v>11</v>
      </c>
      <c r="O3125" s="49" t="s">
        <v>815</v>
      </c>
      <c r="P3125" s="54" t="s">
        <v>3392</v>
      </c>
      <c r="Q3125" s="35" t="str">
        <f>MID(Tabla1[[#This Row],[Aplicación]],14,1)</f>
        <v>2</v>
      </c>
      <c r="R3125" s="35" t="s">
        <v>495</v>
      </c>
      <c r="S3125" s="35" t="str">
        <f>MID(Tabla1[[#This Row],[Aplicación]],6,2)</f>
        <v>08</v>
      </c>
      <c r="T3125" s="35" t="str">
        <f>VLOOKUP(Tabla1[[#This Row],[AREA]],Hoja1!A:B,2,FALSE)</f>
        <v>08. Movilidad y espacio urbano</v>
      </c>
      <c r="U3125" s="35" t="str">
        <f>MID(Tabla1[[#This Row],[Aplicación]],9,4)</f>
        <v>1532</v>
      </c>
      <c r="V3125" s="35" t="str">
        <f>VLOOKUP(Tabla1[[#This Row],[PROGRAMA]],Hoja1!A:B,2,FALSE)</f>
        <v>1532. Pavimentación vias públicas y otros servicios urbanísticos</v>
      </c>
      <c r="W3125" s="35" t="str">
        <f>MID(Tabla1[[#This Row],[Aplicación]],14,2)</f>
        <v>22</v>
      </c>
      <c r="X3125" s="35" t="str">
        <f>MID(Tabla1[[#This Row],[Aplicación]],14,6)</f>
        <v>22199</v>
      </c>
    </row>
    <row r="3126" spans="1:24" x14ac:dyDescent="0.25">
      <c r="A3126" s="45">
        <v>220210016389</v>
      </c>
      <c r="B3126" s="46" t="s">
        <v>9</v>
      </c>
      <c r="C3126" s="47">
        <v>44306</v>
      </c>
      <c r="D3126" s="45">
        <v>22021003978</v>
      </c>
      <c r="E3126" s="46" t="s">
        <v>1267</v>
      </c>
      <c r="F3126" s="48">
        <v>60.5</v>
      </c>
      <c r="G3126" s="54" t="s">
        <v>1576</v>
      </c>
      <c r="H3126" s="54" t="s">
        <v>4696</v>
      </c>
      <c r="I3126" s="53" t="s">
        <v>125</v>
      </c>
      <c r="J3126" s="54" t="s">
        <v>127</v>
      </c>
      <c r="K3126" s="54" t="s">
        <v>127</v>
      </c>
      <c r="L3126" s="54" t="s">
        <v>15</v>
      </c>
      <c r="M3126" s="54" t="s">
        <v>10</v>
      </c>
      <c r="N3126" s="54" t="s">
        <v>11</v>
      </c>
      <c r="O3126" s="49" t="s">
        <v>815</v>
      </c>
      <c r="P3126" s="54" t="s">
        <v>3392</v>
      </c>
      <c r="Q3126" s="35" t="str">
        <f>MID(Tabla1[[#This Row],[Aplicación]],14,1)</f>
        <v>2</v>
      </c>
      <c r="R3126" s="35" t="s">
        <v>495</v>
      </c>
      <c r="S3126" s="35" t="str">
        <f>MID(Tabla1[[#This Row],[Aplicación]],6,2)</f>
        <v>03</v>
      </c>
      <c r="T3126" s="35" t="str">
        <f>VLOOKUP(Tabla1[[#This Row],[AREA]],Hoja1!A:B,2,FALSE)</f>
        <v>03. Participación ciudadana y deportes</v>
      </c>
      <c r="U3126" s="35" t="str">
        <f>MID(Tabla1[[#This Row],[Aplicación]],9,4)</f>
        <v>9241</v>
      </c>
      <c r="V3126" s="35" t="str">
        <f>VLOOKUP(Tabla1[[#This Row],[PROGRAMA]],Hoja1!A:B,2,FALSE)</f>
        <v>9241. Participación ciudadana</v>
      </c>
      <c r="W3126" s="35" t="str">
        <f>MID(Tabla1[[#This Row],[Aplicación]],14,2)</f>
        <v>22</v>
      </c>
      <c r="X3126" s="35" t="str">
        <f>MID(Tabla1[[#This Row],[Aplicación]],14,6)</f>
        <v>22602</v>
      </c>
    </row>
    <row r="3127" spans="1:24" x14ac:dyDescent="0.25">
      <c r="A3127" s="45">
        <v>220210024837</v>
      </c>
      <c r="B3127" s="46" t="s">
        <v>9</v>
      </c>
      <c r="C3127" s="47">
        <v>44341</v>
      </c>
      <c r="D3127" s="45">
        <v>22021004475</v>
      </c>
      <c r="E3127" s="46" t="s">
        <v>1267</v>
      </c>
      <c r="F3127" s="48">
        <v>60.5</v>
      </c>
      <c r="G3127" s="54" t="s">
        <v>1576</v>
      </c>
      <c r="H3127" s="54" t="s">
        <v>4697</v>
      </c>
      <c r="I3127" s="53" t="s">
        <v>125</v>
      </c>
      <c r="J3127" s="54" t="s">
        <v>127</v>
      </c>
      <c r="K3127" s="54" t="s">
        <v>127</v>
      </c>
      <c r="L3127" s="54" t="s">
        <v>15</v>
      </c>
      <c r="M3127" s="54" t="s">
        <v>10</v>
      </c>
      <c r="N3127" s="54" t="s">
        <v>11</v>
      </c>
      <c r="O3127" s="49" t="s">
        <v>815</v>
      </c>
      <c r="P3127" s="54" t="s">
        <v>3392</v>
      </c>
      <c r="Q3127" s="35" t="str">
        <f>MID(Tabla1[[#This Row],[Aplicación]],14,1)</f>
        <v>2</v>
      </c>
      <c r="R3127" s="35" t="s">
        <v>495</v>
      </c>
      <c r="S3127" s="35" t="str">
        <f>MID(Tabla1[[#This Row],[Aplicación]],6,2)</f>
        <v>03</v>
      </c>
      <c r="T3127" s="35" t="str">
        <f>VLOOKUP(Tabla1[[#This Row],[AREA]],Hoja1!A:B,2,FALSE)</f>
        <v>03. Participación ciudadana y deportes</v>
      </c>
      <c r="U3127" s="35" t="str">
        <f>MID(Tabla1[[#This Row],[Aplicación]],9,4)</f>
        <v>9241</v>
      </c>
      <c r="V3127" s="35" t="str">
        <f>VLOOKUP(Tabla1[[#This Row],[PROGRAMA]],Hoja1!A:B,2,FALSE)</f>
        <v>9241. Participación ciudadana</v>
      </c>
      <c r="W3127" s="35" t="str">
        <f>MID(Tabla1[[#This Row],[Aplicación]],14,2)</f>
        <v>22</v>
      </c>
      <c r="X3127" s="35" t="str">
        <f>MID(Tabla1[[#This Row],[Aplicación]],14,6)</f>
        <v>22602</v>
      </c>
    </row>
    <row r="3128" spans="1:24" x14ac:dyDescent="0.25">
      <c r="A3128" s="45">
        <v>220210025557</v>
      </c>
      <c r="B3128" s="46" t="s">
        <v>9</v>
      </c>
      <c r="C3128" s="47">
        <v>44342</v>
      </c>
      <c r="D3128" s="45">
        <v>22021004496</v>
      </c>
      <c r="E3128" s="46" t="s">
        <v>1533</v>
      </c>
      <c r="F3128" s="48">
        <v>60.5</v>
      </c>
      <c r="G3128" s="54" t="s">
        <v>4335</v>
      </c>
      <c r="H3128" s="54" t="s">
        <v>4698</v>
      </c>
      <c r="I3128" s="53" t="s">
        <v>125</v>
      </c>
      <c r="J3128" s="54" t="s">
        <v>165</v>
      </c>
      <c r="K3128" s="54" t="s">
        <v>165</v>
      </c>
      <c r="L3128" s="54" t="s">
        <v>15</v>
      </c>
      <c r="M3128" s="54" t="s">
        <v>10</v>
      </c>
      <c r="N3128" s="54" t="s">
        <v>11</v>
      </c>
      <c r="O3128" s="49" t="s">
        <v>815</v>
      </c>
      <c r="P3128" s="54" t="s">
        <v>3392</v>
      </c>
      <c r="Q3128" s="35" t="str">
        <f>MID(Tabla1[[#This Row],[Aplicación]],14,1)</f>
        <v>2</v>
      </c>
      <c r="R3128" s="35" t="s">
        <v>495</v>
      </c>
      <c r="S3128" s="35" t="str">
        <f>MID(Tabla1[[#This Row],[Aplicación]],6,2)</f>
        <v>10</v>
      </c>
      <c r="T3128" s="35" t="str">
        <f>VLOOKUP(Tabla1[[#This Row],[AREA]],Hoja1!A:B,2,FALSE)</f>
        <v>10. Servicios sociales y mediación comunitaria</v>
      </c>
      <c r="U3128" s="35" t="str">
        <f>MID(Tabla1[[#This Row],[Aplicación]],9,4)</f>
        <v>2312</v>
      </c>
      <c r="V3128" s="35" t="str">
        <f>VLOOKUP(Tabla1[[#This Row],[PROGRAMA]],Hoja1!A:B,2,FALSE)</f>
        <v>2312. Iniciativas sociales</v>
      </c>
      <c r="W3128" s="35" t="str">
        <f>MID(Tabla1[[#This Row],[Aplicación]],14,2)</f>
        <v>22</v>
      </c>
      <c r="X3128" s="35" t="str">
        <f>MID(Tabla1[[#This Row],[Aplicación]],14,6)</f>
        <v>22615</v>
      </c>
    </row>
    <row r="3129" spans="1:24" x14ac:dyDescent="0.25">
      <c r="A3129" s="45">
        <v>220210016385</v>
      </c>
      <c r="B3129" s="46" t="s">
        <v>9</v>
      </c>
      <c r="C3129" s="47">
        <v>44306</v>
      </c>
      <c r="D3129" s="45">
        <v>22021003974</v>
      </c>
      <c r="E3129" s="46" t="s">
        <v>1380</v>
      </c>
      <c r="F3129" s="48">
        <v>60.26</v>
      </c>
      <c r="G3129" s="54" t="s">
        <v>4383</v>
      </c>
      <c r="H3129" s="54" t="s">
        <v>4699</v>
      </c>
      <c r="I3129" s="53" t="s">
        <v>125</v>
      </c>
      <c r="J3129" s="54" t="s">
        <v>127</v>
      </c>
      <c r="K3129" s="54" t="s">
        <v>127</v>
      </c>
      <c r="L3129" s="54" t="s">
        <v>15</v>
      </c>
      <c r="M3129" s="54" t="s">
        <v>10</v>
      </c>
      <c r="N3129" s="54" t="s">
        <v>11</v>
      </c>
      <c r="O3129" s="49" t="s">
        <v>815</v>
      </c>
      <c r="P3129" s="54" t="s">
        <v>3392</v>
      </c>
      <c r="Q3129" s="35" t="str">
        <f>MID(Tabla1[[#This Row],[Aplicación]],14,1)</f>
        <v>2</v>
      </c>
      <c r="R3129" s="35" t="s">
        <v>495</v>
      </c>
      <c r="S3129" s="35" t="str">
        <f>MID(Tabla1[[#This Row],[Aplicación]],6,2)</f>
        <v>03</v>
      </c>
      <c r="T3129" s="35" t="str">
        <f>VLOOKUP(Tabla1[[#This Row],[AREA]],Hoja1!A:B,2,FALSE)</f>
        <v>03. Participación ciudadana y deportes</v>
      </c>
      <c r="U3129" s="35" t="str">
        <f>MID(Tabla1[[#This Row],[Aplicación]],9,4)</f>
        <v>9241</v>
      </c>
      <c r="V3129" s="35" t="str">
        <f>VLOOKUP(Tabla1[[#This Row],[PROGRAMA]],Hoja1!A:B,2,FALSE)</f>
        <v>9241. Participación ciudadana</v>
      </c>
      <c r="W3129" s="35" t="str">
        <f>MID(Tabla1[[#This Row],[Aplicación]],14,2)</f>
        <v>22</v>
      </c>
      <c r="X3129" s="35" t="str">
        <f>MID(Tabla1[[#This Row],[Aplicación]],14,6)</f>
        <v>22699</v>
      </c>
    </row>
    <row r="3130" spans="1:24" x14ac:dyDescent="0.25">
      <c r="A3130" s="45">
        <v>220210025717</v>
      </c>
      <c r="B3130" s="46" t="s">
        <v>204</v>
      </c>
      <c r="C3130" s="47">
        <v>44343</v>
      </c>
      <c r="D3130" s="45">
        <v>22021001181</v>
      </c>
      <c r="E3130" s="46" t="s">
        <v>873</v>
      </c>
      <c r="F3130" s="48">
        <v>76.290000000000006</v>
      </c>
      <c r="G3130" s="54" t="s">
        <v>1407</v>
      </c>
      <c r="H3130" s="54" t="s">
        <v>4700</v>
      </c>
      <c r="I3130" s="53" t="s">
        <v>205</v>
      </c>
      <c r="J3130" s="54" t="s">
        <v>127</v>
      </c>
      <c r="K3130" s="54" t="s">
        <v>127</v>
      </c>
      <c r="L3130" s="54" t="s">
        <v>15</v>
      </c>
      <c r="M3130" s="54" t="s">
        <v>13</v>
      </c>
      <c r="N3130" s="54" t="s">
        <v>14</v>
      </c>
      <c r="O3130" s="49" t="s">
        <v>814</v>
      </c>
      <c r="P3130" s="54" t="s">
        <v>3392</v>
      </c>
      <c r="Q3130" s="35" t="str">
        <f>MID(Tabla1[[#This Row],[Aplicación]],14,1)</f>
        <v>2</v>
      </c>
      <c r="R3130" s="35" t="s">
        <v>495</v>
      </c>
      <c r="S3130" s="35" t="str">
        <f>MID(Tabla1[[#This Row],[Aplicación]],6,2)</f>
        <v>10</v>
      </c>
      <c r="T3130" s="35" t="str">
        <f>VLOOKUP(Tabla1[[#This Row],[AREA]],Hoja1!A:B,2,FALSE)</f>
        <v>10. Servicios sociales y mediación comunitaria</v>
      </c>
      <c r="U3130" s="35" t="str">
        <f>MID(Tabla1[[#This Row],[Aplicación]],9,4)</f>
        <v>2412</v>
      </c>
      <c r="V3130" s="35" t="str">
        <f>VLOOKUP(Tabla1[[#This Row],[PROGRAMA]],Hoja1!A:B,2,FALSE)</f>
        <v>2412. Formación para el empleo</v>
      </c>
      <c r="W3130" s="35" t="str">
        <f>MID(Tabla1[[#This Row],[Aplicación]],14,2)</f>
        <v>22</v>
      </c>
      <c r="X3130" s="35" t="str">
        <f>MID(Tabla1[[#This Row],[Aplicación]],14,6)</f>
        <v>22199</v>
      </c>
    </row>
    <row r="3131" spans="1:24" x14ac:dyDescent="0.25">
      <c r="A3131" s="45">
        <v>220210032790</v>
      </c>
      <c r="B3131" s="46" t="s">
        <v>204</v>
      </c>
      <c r="C3131" s="47">
        <v>44371</v>
      </c>
      <c r="D3131" s="45">
        <v>22021002052</v>
      </c>
      <c r="E3131" s="46" t="s">
        <v>1340</v>
      </c>
      <c r="F3131" s="48">
        <v>76.02</v>
      </c>
      <c r="G3131" s="54" t="s">
        <v>235</v>
      </c>
      <c r="H3131" s="54" t="s">
        <v>4701</v>
      </c>
      <c r="I3131" s="53" t="s">
        <v>205</v>
      </c>
      <c r="J3131" s="54" t="s">
        <v>742</v>
      </c>
      <c r="K3131" s="54" t="s">
        <v>165</v>
      </c>
      <c r="L3131" s="54" t="s">
        <v>15</v>
      </c>
      <c r="M3131" s="54" t="s">
        <v>13</v>
      </c>
      <c r="N3131" s="54" t="s">
        <v>14</v>
      </c>
      <c r="O3131" s="49" t="s">
        <v>814</v>
      </c>
      <c r="P3131" s="54" t="s">
        <v>3392</v>
      </c>
      <c r="Q3131" s="35" t="str">
        <f>MID(Tabla1[[#This Row],[Aplicación]],14,1)</f>
        <v>2</v>
      </c>
      <c r="R3131" s="35" t="s">
        <v>495</v>
      </c>
      <c r="S3131" s="35" t="str">
        <f>MID(Tabla1[[#This Row],[Aplicación]],6,2)</f>
        <v>11</v>
      </c>
      <c r="T3131" s="35" t="str">
        <f>VLOOKUP(Tabla1[[#This Row],[AREA]],Hoja1!A:B,2,FALSE)</f>
        <v>11. Salud pública y seguridad ciudadana</v>
      </c>
      <c r="U3131" s="35" t="str">
        <f>MID(Tabla1[[#This Row],[Aplicación]],9,4)</f>
        <v>1621</v>
      </c>
      <c r="V3131" s="35" t="str">
        <f>VLOOKUP(Tabla1[[#This Row],[PROGRAMA]],Hoja1!A:B,2,FALSE)</f>
        <v>1621. Servicio de limpieza</v>
      </c>
      <c r="W3131" s="35" t="str">
        <f>MID(Tabla1[[#This Row],[Aplicación]],14,2)</f>
        <v>22</v>
      </c>
      <c r="X3131" s="35" t="str">
        <f>MID(Tabla1[[#This Row],[Aplicación]],14,6)</f>
        <v>22199</v>
      </c>
    </row>
    <row r="3132" spans="1:24" x14ac:dyDescent="0.25">
      <c r="A3132" s="45">
        <v>220210015905</v>
      </c>
      <c r="B3132" s="46" t="s">
        <v>204</v>
      </c>
      <c r="C3132" s="47">
        <v>44305</v>
      </c>
      <c r="D3132" s="45">
        <v>22021001181</v>
      </c>
      <c r="E3132" s="46" t="s">
        <v>873</v>
      </c>
      <c r="F3132" s="48">
        <v>75.27</v>
      </c>
      <c r="G3132" s="54" t="s">
        <v>257</v>
      </c>
      <c r="H3132" s="54" t="s">
        <v>4702</v>
      </c>
      <c r="I3132" s="53" t="s">
        <v>205</v>
      </c>
      <c r="J3132" s="54" t="s">
        <v>127</v>
      </c>
      <c r="K3132" s="54" t="s">
        <v>127</v>
      </c>
      <c r="L3132" s="54" t="s">
        <v>15</v>
      </c>
      <c r="M3132" s="54" t="s">
        <v>13</v>
      </c>
      <c r="N3132" s="54" t="s">
        <v>14</v>
      </c>
      <c r="O3132" s="49" t="s">
        <v>814</v>
      </c>
      <c r="P3132" s="54" t="s">
        <v>3392</v>
      </c>
      <c r="Q3132" s="35" t="str">
        <f>MID(Tabla1[[#This Row],[Aplicación]],14,1)</f>
        <v>2</v>
      </c>
      <c r="R3132" s="35" t="s">
        <v>495</v>
      </c>
      <c r="S3132" s="35" t="str">
        <f>MID(Tabla1[[#This Row],[Aplicación]],6,2)</f>
        <v>10</v>
      </c>
      <c r="T3132" s="35" t="str">
        <f>VLOOKUP(Tabla1[[#This Row],[AREA]],Hoja1!A:B,2,FALSE)</f>
        <v>10. Servicios sociales y mediación comunitaria</v>
      </c>
      <c r="U3132" s="35" t="str">
        <f>MID(Tabla1[[#This Row],[Aplicación]],9,4)</f>
        <v>2412</v>
      </c>
      <c r="V3132" s="35" t="str">
        <f>VLOOKUP(Tabla1[[#This Row],[PROGRAMA]],Hoja1!A:B,2,FALSE)</f>
        <v>2412. Formación para el empleo</v>
      </c>
      <c r="W3132" s="35" t="str">
        <f>MID(Tabla1[[#This Row],[Aplicación]],14,2)</f>
        <v>22</v>
      </c>
      <c r="X3132" s="35" t="str">
        <f>MID(Tabla1[[#This Row],[Aplicación]],14,6)</f>
        <v>22199</v>
      </c>
    </row>
    <row r="3133" spans="1:24" x14ac:dyDescent="0.25">
      <c r="A3133" s="45">
        <v>220210026998</v>
      </c>
      <c r="B3133" s="46" t="s">
        <v>9</v>
      </c>
      <c r="C3133" s="47">
        <v>44348</v>
      </c>
      <c r="D3133" s="45">
        <v>22021004646</v>
      </c>
      <c r="E3133" s="46" t="s">
        <v>3333</v>
      </c>
      <c r="F3133" s="48">
        <v>55.66</v>
      </c>
      <c r="G3133" s="54" t="s">
        <v>3596</v>
      </c>
      <c r="H3133" s="54" t="s">
        <v>4703</v>
      </c>
      <c r="I3133" s="53" t="s">
        <v>125</v>
      </c>
      <c r="J3133" s="54" t="s">
        <v>127</v>
      </c>
      <c r="K3133" s="54" t="s">
        <v>127</v>
      </c>
      <c r="L3133" s="54" t="s">
        <v>12</v>
      </c>
      <c r="M3133" s="54" t="s">
        <v>10</v>
      </c>
      <c r="N3133" s="54" t="s">
        <v>11</v>
      </c>
      <c r="O3133" s="49" t="s">
        <v>815</v>
      </c>
      <c r="P3133" s="54" t="s">
        <v>3392</v>
      </c>
      <c r="Q3133" s="35" t="str">
        <f>MID(Tabla1[[#This Row],[Aplicación]],14,1)</f>
        <v>2</v>
      </c>
      <c r="R3133" s="35" t="s">
        <v>495</v>
      </c>
      <c r="S3133" s="35" t="str">
        <f>MID(Tabla1[[#This Row],[Aplicación]],6,2)</f>
        <v>10</v>
      </c>
      <c r="T3133" s="35" t="str">
        <f>VLOOKUP(Tabla1[[#This Row],[AREA]],Hoja1!A:B,2,FALSE)</f>
        <v>10. Servicios sociales y mediación comunitaria</v>
      </c>
      <c r="U3133" s="35" t="str">
        <f>MID(Tabla1[[#This Row],[Aplicación]],9,4)</f>
        <v>2316</v>
      </c>
      <c r="V3133" s="35" t="str">
        <f>VLOOKUP(Tabla1[[#This Row],[PROGRAMA]],Hoja1!A:B,2,FALSE)</f>
        <v>2316. Mediación comunitaria</v>
      </c>
      <c r="W3133" s="35" t="str">
        <f>MID(Tabla1[[#This Row],[Aplicación]],14,2)</f>
        <v>22</v>
      </c>
      <c r="X3133" s="35" t="str">
        <f>MID(Tabla1[[#This Row],[Aplicación]],14,6)</f>
        <v>22616</v>
      </c>
    </row>
    <row r="3134" spans="1:24" x14ac:dyDescent="0.25">
      <c r="A3134" s="45">
        <v>220210031221</v>
      </c>
      <c r="B3134" s="46" t="s">
        <v>9</v>
      </c>
      <c r="C3134" s="47">
        <v>44362</v>
      </c>
      <c r="D3134" s="45">
        <v>22021004880</v>
      </c>
      <c r="E3134" s="46" t="s">
        <v>2430</v>
      </c>
      <c r="F3134" s="48">
        <v>55.25</v>
      </c>
      <c r="G3134" s="54" t="s">
        <v>277</v>
      </c>
      <c r="H3134" s="54" t="s">
        <v>4704</v>
      </c>
      <c r="I3134" s="53" t="s">
        <v>125</v>
      </c>
      <c r="J3134" s="54" t="s">
        <v>127</v>
      </c>
      <c r="K3134" s="54" t="s">
        <v>127</v>
      </c>
      <c r="L3134" s="54" t="s">
        <v>15</v>
      </c>
      <c r="M3134" s="54" t="s">
        <v>10</v>
      </c>
      <c r="N3134" s="54" t="s">
        <v>11</v>
      </c>
      <c r="O3134" s="49" t="s">
        <v>815</v>
      </c>
      <c r="P3134" s="54" t="s">
        <v>3392</v>
      </c>
      <c r="Q3134" s="35" t="str">
        <f>MID(Tabla1[[#This Row],[Aplicación]],14,1)</f>
        <v>2</v>
      </c>
      <c r="R3134" s="35" t="s">
        <v>495</v>
      </c>
      <c r="S3134" s="35" t="str">
        <f>MID(Tabla1[[#This Row],[Aplicación]],6,2)</f>
        <v>04</v>
      </c>
      <c r="T3134" s="35" t="str">
        <f>VLOOKUP(Tabla1[[#This Row],[AREA]],Hoja1!A:B,2,FALSE)</f>
        <v>04. Planificación y recursos</v>
      </c>
      <c r="U3134" s="35" t="str">
        <f>MID(Tabla1[[#This Row],[Aplicación]],9,4)</f>
        <v>9231</v>
      </c>
      <c r="V3134" s="35" t="str">
        <f>VLOOKUP(Tabla1[[#This Row],[PROGRAMA]],Hoja1!A:B,2,FALSE)</f>
        <v>9231. Información, registro y gestión del padrón</v>
      </c>
      <c r="W3134" s="35" t="str">
        <f>MID(Tabla1[[#This Row],[Aplicación]],14,2)</f>
        <v>22</v>
      </c>
      <c r="X3134" s="35" t="str">
        <f>MID(Tabla1[[#This Row],[Aplicación]],14,6)</f>
        <v>22199</v>
      </c>
    </row>
    <row r="3135" spans="1:24" x14ac:dyDescent="0.25">
      <c r="A3135" s="45">
        <v>220210031729</v>
      </c>
      <c r="B3135" s="46" t="s">
        <v>32</v>
      </c>
      <c r="C3135" s="47">
        <v>44369</v>
      </c>
      <c r="D3135" s="45">
        <v>22021004981</v>
      </c>
      <c r="E3135" s="46" t="s">
        <v>3386</v>
      </c>
      <c r="F3135" s="48">
        <v>55.23</v>
      </c>
      <c r="G3135" s="54" t="s">
        <v>4705</v>
      </c>
      <c r="H3135" s="54" t="s">
        <v>4706</v>
      </c>
      <c r="I3135" s="53" t="s">
        <v>234</v>
      </c>
      <c r="J3135" s="54" t="s">
        <v>600</v>
      </c>
      <c r="K3135" s="54" t="s">
        <v>126</v>
      </c>
      <c r="L3135" s="54" t="s">
        <v>12</v>
      </c>
      <c r="M3135" s="54" t="s">
        <v>10</v>
      </c>
      <c r="N3135" s="54" t="s">
        <v>11</v>
      </c>
      <c r="O3135" s="49" t="s">
        <v>815</v>
      </c>
      <c r="P3135" s="54" t="s">
        <v>3392</v>
      </c>
      <c r="Q3135" s="35" t="str">
        <f>MID(Tabla1[[#This Row],[Aplicación]],14,1)</f>
        <v>2</v>
      </c>
      <c r="R3135" s="35" t="s">
        <v>495</v>
      </c>
      <c r="S3135" s="35" t="str">
        <f>MID(Tabla1[[#This Row],[Aplicación]],6,2)</f>
        <v>11</v>
      </c>
      <c r="T3135" s="35" t="str">
        <f>VLOOKUP(Tabla1[[#This Row],[AREA]],Hoja1!A:B,2,FALSE)</f>
        <v>11. Salud pública y seguridad ciudadana</v>
      </c>
      <c r="U3135" s="35" t="str">
        <f>MID(Tabla1[[#This Row],[Aplicación]],9,4)</f>
        <v>1321</v>
      </c>
      <c r="V3135" s="35" t="str">
        <f>VLOOKUP(Tabla1[[#This Row],[PROGRAMA]],Hoja1!A:B,2,FALSE)</f>
        <v>1321. Policía municipal</v>
      </c>
      <c r="W3135" s="35" t="str">
        <f>MID(Tabla1[[#This Row],[Aplicación]],14,2)</f>
        <v>22</v>
      </c>
      <c r="X3135" s="35" t="str">
        <f>MID(Tabla1[[#This Row],[Aplicación]],14,6)</f>
        <v>224</v>
      </c>
    </row>
    <row r="3136" spans="1:24" x14ac:dyDescent="0.25">
      <c r="A3136" s="45">
        <v>220210032705</v>
      </c>
      <c r="B3136" s="46" t="s">
        <v>204</v>
      </c>
      <c r="C3136" s="47">
        <v>44371</v>
      </c>
      <c r="D3136" s="45">
        <v>22021003381</v>
      </c>
      <c r="E3136" s="46" t="s">
        <v>1183</v>
      </c>
      <c r="F3136" s="48">
        <v>73.08</v>
      </c>
      <c r="G3136" s="54" t="s">
        <v>256</v>
      </c>
      <c r="H3136" s="54" t="s">
        <v>4707</v>
      </c>
      <c r="I3136" s="53" t="s">
        <v>205</v>
      </c>
      <c r="J3136" s="54" t="s">
        <v>127</v>
      </c>
      <c r="K3136" s="54" t="s">
        <v>127</v>
      </c>
      <c r="L3136" s="54" t="s">
        <v>15</v>
      </c>
      <c r="M3136" s="54" t="s">
        <v>13</v>
      </c>
      <c r="N3136" s="54" t="s">
        <v>14</v>
      </c>
      <c r="O3136" s="49" t="s">
        <v>814</v>
      </c>
      <c r="P3136" s="54" t="s">
        <v>3392</v>
      </c>
      <c r="Q3136" s="35" t="str">
        <f>MID(Tabla1[[#This Row],[Aplicación]],14,1)</f>
        <v>2</v>
      </c>
      <c r="R3136" s="35" t="s">
        <v>495</v>
      </c>
      <c r="S3136" s="35" t="str">
        <f>MID(Tabla1[[#This Row],[Aplicación]],6,2)</f>
        <v>11</v>
      </c>
      <c r="T3136" s="35" t="str">
        <f>VLOOKUP(Tabla1[[#This Row],[AREA]],Hoja1!A:B,2,FALSE)</f>
        <v>11. Salud pública y seguridad ciudadana</v>
      </c>
      <c r="U3136" s="35" t="str">
        <f>MID(Tabla1[[#This Row],[Aplicación]],9,4)</f>
        <v>1361</v>
      </c>
      <c r="V3136" s="35" t="str">
        <f>VLOOKUP(Tabla1[[#This Row],[PROGRAMA]],Hoja1!A:B,2,FALSE)</f>
        <v>1361. Prevención y extinción de incencios</v>
      </c>
      <c r="W3136" s="35" t="str">
        <f>MID(Tabla1[[#This Row],[Aplicación]],14,2)</f>
        <v>22</v>
      </c>
      <c r="X3136" s="35" t="str">
        <f>MID(Tabla1[[#This Row],[Aplicación]],14,6)</f>
        <v>22199</v>
      </c>
    </row>
    <row r="3137" spans="1:24" x14ac:dyDescent="0.25">
      <c r="A3137" s="45">
        <v>220210031747</v>
      </c>
      <c r="B3137" s="46" t="s">
        <v>204</v>
      </c>
      <c r="C3137" s="47">
        <v>44369</v>
      </c>
      <c r="D3137" s="45">
        <v>22021001181</v>
      </c>
      <c r="E3137" s="46" t="s">
        <v>873</v>
      </c>
      <c r="F3137" s="48">
        <v>72.13</v>
      </c>
      <c r="G3137" s="54" t="s">
        <v>257</v>
      </c>
      <c r="H3137" s="54" t="s">
        <v>4708</v>
      </c>
      <c r="I3137" s="53" t="s">
        <v>205</v>
      </c>
      <c r="J3137" s="54" t="s">
        <v>127</v>
      </c>
      <c r="K3137" s="54" t="s">
        <v>127</v>
      </c>
      <c r="L3137" s="54" t="s">
        <v>15</v>
      </c>
      <c r="M3137" s="54" t="s">
        <v>13</v>
      </c>
      <c r="N3137" s="54" t="s">
        <v>14</v>
      </c>
      <c r="O3137" s="49" t="s">
        <v>814</v>
      </c>
      <c r="P3137" s="54" t="s">
        <v>3392</v>
      </c>
      <c r="Q3137" s="35" t="str">
        <f>MID(Tabla1[[#This Row],[Aplicación]],14,1)</f>
        <v>2</v>
      </c>
      <c r="R3137" s="35" t="s">
        <v>495</v>
      </c>
      <c r="S3137" s="35" t="str">
        <f>MID(Tabla1[[#This Row],[Aplicación]],6,2)</f>
        <v>10</v>
      </c>
      <c r="T3137" s="35" t="str">
        <f>VLOOKUP(Tabla1[[#This Row],[AREA]],Hoja1!A:B,2,FALSE)</f>
        <v>10. Servicios sociales y mediación comunitaria</v>
      </c>
      <c r="U3137" s="35" t="str">
        <f>MID(Tabla1[[#This Row],[Aplicación]],9,4)</f>
        <v>2412</v>
      </c>
      <c r="V3137" s="35" t="str">
        <f>VLOOKUP(Tabla1[[#This Row],[PROGRAMA]],Hoja1!A:B,2,FALSE)</f>
        <v>2412. Formación para el empleo</v>
      </c>
      <c r="W3137" s="35" t="str">
        <f>MID(Tabla1[[#This Row],[Aplicación]],14,2)</f>
        <v>22</v>
      </c>
      <c r="X3137" s="35" t="str">
        <f>MID(Tabla1[[#This Row],[Aplicación]],14,6)</f>
        <v>22199</v>
      </c>
    </row>
    <row r="3138" spans="1:24" x14ac:dyDescent="0.25">
      <c r="A3138" s="45">
        <v>220210031202</v>
      </c>
      <c r="B3138" s="46" t="s">
        <v>32</v>
      </c>
      <c r="C3138" s="47">
        <v>44361</v>
      </c>
      <c r="D3138" s="45">
        <v>22021004890</v>
      </c>
      <c r="E3138" s="46" t="s">
        <v>1660</v>
      </c>
      <c r="F3138" s="48">
        <v>54.85</v>
      </c>
      <c r="G3138" s="54" t="s">
        <v>318</v>
      </c>
      <c r="H3138" s="54" t="s">
        <v>4709</v>
      </c>
      <c r="I3138" s="53" t="s">
        <v>234</v>
      </c>
      <c r="J3138" s="54" t="s">
        <v>127</v>
      </c>
      <c r="K3138" s="54" t="s">
        <v>127</v>
      </c>
      <c r="L3138" s="54" t="s">
        <v>12</v>
      </c>
      <c r="M3138" s="54" t="s">
        <v>10</v>
      </c>
      <c r="N3138" s="54" t="s">
        <v>11</v>
      </c>
      <c r="O3138" s="49" t="s">
        <v>815</v>
      </c>
      <c r="P3138" s="54" t="s">
        <v>3392</v>
      </c>
      <c r="Q3138" s="35" t="str">
        <f>MID(Tabla1[[#This Row],[Aplicación]],14,1)</f>
        <v>2</v>
      </c>
      <c r="R3138" s="35" t="s">
        <v>495</v>
      </c>
      <c r="S3138" s="35" t="str">
        <f>MID(Tabla1[[#This Row],[Aplicación]],6,2)</f>
        <v>04</v>
      </c>
      <c r="T3138" s="35" t="str">
        <f>VLOOKUP(Tabla1[[#This Row],[AREA]],Hoja1!A:B,2,FALSE)</f>
        <v>04. Planificación y recursos</v>
      </c>
      <c r="U3138" s="35" t="str">
        <f>MID(Tabla1[[#This Row],[Aplicación]],9,4)</f>
        <v>9202</v>
      </c>
      <c r="V3138" s="35" t="str">
        <f>VLOOKUP(Tabla1[[#This Row],[PROGRAMA]],Hoja1!A:B,2,FALSE)</f>
        <v>9202. Gestión de recursos humanos</v>
      </c>
      <c r="W3138" s="35" t="str">
        <f>MID(Tabla1[[#This Row],[Aplicación]],14,2)</f>
        <v>22</v>
      </c>
      <c r="X3138" s="35" t="str">
        <f>MID(Tabla1[[#This Row],[Aplicación]],14,6)</f>
        <v>22607</v>
      </c>
    </row>
    <row r="3139" spans="1:24" x14ac:dyDescent="0.25">
      <c r="A3139" s="45">
        <v>220210022692</v>
      </c>
      <c r="B3139" s="46" t="s">
        <v>204</v>
      </c>
      <c r="C3139" s="47">
        <v>44333</v>
      </c>
      <c r="D3139" s="45">
        <v>22021001038</v>
      </c>
      <c r="E3139" s="46" t="s">
        <v>844</v>
      </c>
      <c r="F3139" s="48">
        <v>71.34</v>
      </c>
      <c r="G3139" s="54" t="s">
        <v>1475</v>
      </c>
      <c r="H3139" s="54" t="s">
        <v>4710</v>
      </c>
      <c r="I3139" s="53" t="s">
        <v>205</v>
      </c>
      <c r="J3139" s="54" t="s">
        <v>127</v>
      </c>
      <c r="K3139" s="54" t="s">
        <v>127</v>
      </c>
      <c r="L3139" s="54" t="s">
        <v>15</v>
      </c>
      <c r="M3139" s="54" t="s">
        <v>13</v>
      </c>
      <c r="N3139" s="54" t="s">
        <v>14</v>
      </c>
      <c r="O3139" s="49" t="s">
        <v>814</v>
      </c>
      <c r="P3139" s="54" t="s">
        <v>3392</v>
      </c>
      <c r="Q3139" s="35" t="str">
        <f>MID(Tabla1[[#This Row],[Aplicación]],14,1)</f>
        <v>2</v>
      </c>
      <c r="R3139" s="35" t="s">
        <v>495</v>
      </c>
      <c r="S3139" s="35" t="str">
        <f>MID(Tabla1[[#This Row],[Aplicación]],6,2)</f>
        <v>10</v>
      </c>
      <c r="T3139" s="35" t="str">
        <f>VLOOKUP(Tabla1[[#This Row],[AREA]],Hoja1!A:B,2,FALSE)</f>
        <v>10. Servicios sociales y mediación comunitaria</v>
      </c>
      <c r="U3139" s="35" t="str">
        <f>MID(Tabla1[[#This Row],[Aplicación]],9,4)</f>
        <v>2312</v>
      </c>
      <c r="V3139" s="35" t="str">
        <f>VLOOKUP(Tabla1[[#This Row],[PROGRAMA]],Hoja1!A:B,2,FALSE)</f>
        <v>2312. Iniciativas sociales</v>
      </c>
      <c r="W3139" s="35" t="str">
        <f>MID(Tabla1[[#This Row],[Aplicación]],14,2)</f>
        <v>21</v>
      </c>
      <c r="X3139" s="35" t="str">
        <f>MID(Tabla1[[#This Row],[Aplicación]],14,6)</f>
        <v>212</v>
      </c>
    </row>
    <row r="3140" spans="1:24" x14ac:dyDescent="0.25">
      <c r="A3140" s="45">
        <v>220210023188</v>
      </c>
      <c r="B3140" s="46" t="s">
        <v>204</v>
      </c>
      <c r="C3140" s="47">
        <v>44335</v>
      </c>
      <c r="D3140" s="45">
        <v>22021003187</v>
      </c>
      <c r="E3140" s="46" t="s">
        <v>1884</v>
      </c>
      <c r="F3140" s="48">
        <v>71.239999999999995</v>
      </c>
      <c r="G3140" s="54" t="s">
        <v>235</v>
      </c>
      <c r="H3140" s="54" t="s">
        <v>4711</v>
      </c>
      <c r="I3140" s="53" t="s">
        <v>205</v>
      </c>
      <c r="J3140" s="54" t="s">
        <v>742</v>
      </c>
      <c r="K3140" s="54" t="s">
        <v>165</v>
      </c>
      <c r="L3140" s="54" t="s">
        <v>15</v>
      </c>
      <c r="M3140" s="54" t="s">
        <v>13</v>
      </c>
      <c r="N3140" s="54" t="s">
        <v>14</v>
      </c>
      <c r="O3140" s="49" t="s">
        <v>814</v>
      </c>
      <c r="P3140" s="54" t="s">
        <v>3392</v>
      </c>
      <c r="Q3140" s="35" t="str">
        <f>MID(Tabla1[[#This Row],[Aplicación]],14,1)</f>
        <v>2</v>
      </c>
      <c r="R3140" s="35" t="s">
        <v>495</v>
      </c>
      <c r="S3140" s="35" t="str">
        <f>MID(Tabla1[[#This Row],[Aplicación]],6,2)</f>
        <v>06</v>
      </c>
      <c r="T3140" s="35" t="str">
        <f>VLOOKUP(Tabla1[[#This Row],[AREA]],Hoja1!A:B,2,FALSE)</f>
        <v>06. Educación, infancia, juventud e igualdad</v>
      </c>
      <c r="U3140" s="35" t="str">
        <f>MID(Tabla1[[#This Row],[Aplicación]],9,4)</f>
        <v>2314</v>
      </c>
      <c r="V3140" s="35" t="str">
        <f>VLOOKUP(Tabla1[[#This Row],[PROGRAMA]],Hoja1!A:B,2,FALSE)</f>
        <v>2314. Centro de programas juveniles</v>
      </c>
      <c r="W3140" s="35" t="str">
        <f>MID(Tabla1[[#This Row],[Aplicación]],14,2)</f>
        <v>21</v>
      </c>
      <c r="X3140" s="35" t="str">
        <f>MID(Tabla1[[#This Row],[Aplicación]],14,6)</f>
        <v>212</v>
      </c>
    </row>
    <row r="3141" spans="1:24" x14ac:dyDescent="0.25">
      <c r="A3141" s="45">
        <v>220210024832</v>
      </c>
      <c r="B3141" s="46" t="s">
        <v>9</v>
      </c>
      <c r="C3141" s="47">
        <v>44341</v>
      </c>
      <c r="D3141" s="45">
        <v>22021004433</v>
      </c>
      <c r="E3141" s="46" t="s">
        <v>3383</v>
      </c>
      <c r="F3141" s="48">
        <v>53.52</v>
      </c>
      <c r="G3141" s="54" t="s">
        <v>100</v>
      </c>
      <c r="H3141" s="54" t="s">
        <v>4712</v>
      </c>
      <c r="I3141" s="53" t="s">
        <v>125</v>
      </c>
      <c r="J3141" s="54" t="s">
        <v>730</v>
      </c>
      <c r="K3141" s="54" t="s">
        <v>126</v>
      </c>
      <c r="L3141" s="54" t="s">
        <v>12</v>
      </c>
      <c r="M3141" s="54" t="s">
        <v>10</v>
      </c>
      <c r="N3141" s="54" t="s">
        <v>11</v>
      </c>
      <c r="O3141" s="49" t="s">
        <v>815</v>
      </c>
      <c r="P3141" s="54" t="s">
        <v>3392</v>
      </c>
      <c r="Q3141" s="35" t="str">
        <f>MID(Tabla1[[#This Row],[Aplicación]],14,1)</f>
        <v>2</v>
      </c>
      <c r="R3141" s="35" t="s">
        <v>495</v>
      </c>
      <c r="S3141" s="35" t="str">
        <f>MID(Tabla1[[#This Row],[Aplicación]],6,2)</f>
        <v>05</v>
      </c>
      <c r="T3141" s="35" t="str">
        <f>VLOOKUP(Tabla1[[#This Row],[AREA]],Hoja1!A:B,2,FALSE)</f>
        <v>05. Innovación, desarrollo económico, empleo y comercio</v>
      </c>
      <c r="U3141" s="35" t="str">
        <f>MID(Tabla1[[#This Row],[Aplicación]],9,4)</f>
        <v>4315</v>
      </c>
      <c r="V3141" s="35" t="str">
        <f>VLOOKUP(Tabla1[[#This Row],[PROGRAMA]],Hoja1!A:B,2,FALSE)</f>
        <v>4315. Actuaciones en materia de consumo</v>
      </c>
      <c r="W3141" s="35" t="str">
        <f>MID(Tabla1[[#This Row],[Aplicación]],14,2)</f>
        <v>22</v>
      </c>
      <c r="X3141" s="35" t="str">
        <f>MID(Tabla1[[#This Row],[Aplicación]],14,6)</f>
        <v>22199</v>
      </c>
    </row>
    <row r="3142" spans="1:24" x14ac:dyDescent="0.25">
      <c r="A3142" s="45">
        <v>220210027650</v>
      </c>
      <c r="B3142" s="46" t="s">
        <v>204</v>
      </c>
      <c r="C3142" s="47">
        <v>44348</v>
      </c>
      <c r="D3142" s="45">
        <v>22021002057</v>
      </c>
      <c r="E3142" s="46" t="s">
        <v>1715</v>
      </c>
      <c r="F3142" s="48">
        <v>71.22</v>
      </c>
      <c r="G3142" s="54" t="s">
        <v>263</v>
      </c>
      <c r="H3142" s="54" t="s">
        <v>4713</v>
      </c>
      <c r="I3142" s="53" t="s">
        <v>205</v>
      </c>
      <c r="J3142" s="54" t="s">
        <v>127</v>
      </c>
      <c r="K3142" s="54" t="s">
        <v>127</v>
      </c>
      <c r="L3142" s="54" t="s">
        <v>15</v>
      </c>
      <c r="M3142" s="54" t="s">
        <v>13</v>
      </c>
      <c r="N3142" s="54" t="s">
        <v>14</v>
      </c>
      <c r="O3142" s="49" t="s">
        <v>814</v>
      </c>
      <c r="P3142" s="54" t="s">
        <v>3392</v>
      </c>
      <c r="Q3142" s="35" t="str">
        <f>MID(Tabla1[[#This Row],[Aplicación]],14,1)</f>
        <v>2</v>
      </c>
      <c r="R3142" s="35" t="s">
        <v>495</v>
      </c>
      <c r="S3142" s="35" t="str">
        <f>MID(Tabla1[[#This Row],[Aplicación]],6,2)</f>
        <v>11</v>
      </c>
      <c r="T3142" s="35" t="str">
        <f>VLOOKUP(Tabla1[[#This Row],[AREA]],Hoja1!A:B,2,FALSE)</f>
        <v>11. Salud pública y seguridad ciudadana</v>
      </c>
      <c r="U3142" s="35" t="str">
        <f>MID(Tabla1[[#This Row],[Aplicación]],9,4)</f>
        <v>1631</v>
      </c>
      <c r="V3142" s="35" t="str">
        <f>VLOOKUP(Tabla1[[#This Row],[PROGRAMA]],Hoja1!A:B,2,FALSE)</f>
        <v>1631. Limpieza viaria</v>
      </c>
      <c r="W3142" s="35" t="str">
        <f>MID(Tabla1[[#This Row],[Aplicación]],14,2)</f>
        <v>22</v>
      </c>
      <c r="X3142" s="35" t="str">
        <f>MID(Tabla1[[#This Row],[Aplicación]],14,6)</f>
        <v>22199</v>
      </c>
    </row>
    <row r="3143" spans="1:24" x14ac:dyDescent="0.25">
      <c r="A3143" s="45">
        <v>220210020746</v>
      </c>
      <c r="B3143" s="46" t="s">
        <v>204</v>
      </c>
      <c r="C3143" s="47">
        <v>44323</v>
      </c>
      <c r="D3143" s="45">
        <v>22021002228</v>
      </c>
      <c r="E3143" s="46" t="s">
        <v>1471</v>
      </c>
      <c r="F3143" s="48">
        <v>69.03</v>
      </c>
      <c r="G3143" s="54" t="s">
        <v>277</v>
      </c>
      <c r="H3143" s="54" t="s">
        <v>4714</v>
      </c>
      <c r="I3143" s="53" t="s">
        <v>205</v>
      </c>
      <c r="J3143" s="54" t="s">
        <v>127</v>
      </c>
      <c r="K3143" s="54" t="s">
        <v>127</v>
      </c>
      <c r="L3143" s="54" t="s">
        <v>15</v>
      </c>
      <c r="M3143" s="54" t="s">
        <v>13</v>
      </c>
      <c r="N3143" s="54" t="s">
        <v>16</v>
      </c>
      <c r="O3143" s="49" t="s">
        <v>814</v>
      </c>
      <c r="P3143" s="54" t="s">
        <v>3392</v>
      </c>
      <c r="Q3143" s="35" t="str">
        <f>MID(Tabla1[[#This Row],[Aplicación]],14,1)</f>
        <v>2</v>
      </c>
      <c r="R3143" s="35" t="s">
        <v>495</v>
      </c>
      <c r="S3143" s="35" t="str">
        <f>MID(Tabla1[[#This Row],[Aplicación]],6,2)</f>
        <v>06</v>
      </c>
      <c r="T3143" s="35" t="str">
        <f>VLOOKUP(Tabla1[[#This Row],[AREA]],Hoja1!A:B,2,FALSE)</f>
        <v>06. Educación, infancia, juventud e igualdad</v>
      </c>
      <c r="U3143" s="35" t="str">
        <f>MID(Tabla1[[#This Row],[Aplicación]],9,4)</f>
        <v>3232</v>
      </c>
      <c r="V3143" s="35" t="str">
        <f>VLOOKUP(Tabla1[[#This Row],[PROGRAMA]],Hoja1!A:B,2,FALSE)</f>
        <v>3232. Conservación y mantenimiento centros educación infantil y primaria</v>
      </c>
      <c r="W3143" s="35" t="str">
        <f>MID(Tabla1[[#This Row],[Aplicación]],14,2)</f>
        <v>21</v>
      </c>
      <c r="X3143" s="35" t="str">
        <f>MID(Tabla1[[#This Row],[Aplicación]],14,6)</f>
        <v>212</v>
      </c>
    </row>
    <row r="3144" spans="1:24" x14ac:dyDescent="0.25">
      <c r="A3144" s="45">
        <v>220210033144</v>
      </c>
      <c r="B3144" s="46" t="s">
        <v>204</v>
      </c>
      <c r="C3144" s="47">
        <v>44377</v>
      </c>
      <c r="D3144" s="45">
        <v>22021002088</v>
      </c>
      <c r="E3144" s="46" t="s">
        <v>1478</v>
      </c>
      <c r="F3144" s="48">
        <v>68.5</v>
      </c>
      <c r="G3144" s="54" t="s">
        <v>266</v>
      </c>
      <c r="H3144" s="54" t="s">
        <v>4715</v>
      </c>
      <c r="I3144" s="53" t="s">
        <v>205</v>
      </c>
      <c r="J3144" s="54" t="s">
        <v>127</v>
      </c>
      <c r="K3144" s="54" t="s">
        <v>127</v>
      </c>
      <c r="L3144" s="54" t="s">
        <v>15</v>
      </c>
      <c r="M3144" s="54" t="s">
        <v>13</v>
      </c>
      <c r="N3144" s="54" t="s">
        <v>16</v>
      </c>
      <c r="O3144" s="49" t="s">
        <v>814</v>
      </c>
      <c r="P3144" s="54" t="s">
        <v>3392</v>
      </c>
      <c r="Q3144" s="35" t="str">
        <f>MID(Tabla1[[#This Row],[Aplicación]],14,1)</f>
        <v>2</v>
      </c>
      <c r="R3144" s="35" t="s">
        <v>495</v>
      </c>
      <c r="S3144" s="35" t="str">
        <f>MID(Tabla1[[#This Row],[Aplicación]],6,2)</f>
        <v>03</v>
      </c>
      <c r="T3144" s="35" t="str">
        <f>VLOOKUP(Tabla1[[#This Row],[AREA]],Hoja1!A:B,2,FALSE)</f>
        <v>03. Participación ciudadana y deportes</v>
      </c>
      <c r="U3144" s="35" t="str">
        <f>MID(Tabla1[[#This Row],[Aplicación]],9,4)</f>
        <v>9241</v>
      </c>
      <c r="V3144" s="35" t="str">
        <f>VLOOKUP(Tabla1[[#This Row],[PROGRAMA]],Hoja1!A:B,2,FALSE)</f>
        <v>9241. Participación ciudadana</v>
      </c>
      <c r="W3144" s="35" t="str">
        <f>MID(Tabla1[[#This Row],[Aplicación]],14,2)</f>
        <v>21</v>
      </c>
      <c r="X3144" s="35" t="str">
        <f>MID(Tabla1[[#This Row],[Aplicación]],14,6)</f>
        <v>212</v>
      </c>
    </row>
    <row r="3145" spans="1:24" x14ac:dyDescent="0.25">
      <c r="A3145" s="45">
        <v>220210020786</v>
      </c>
      <c r="B3145" s="46" t="s">
        <v>204</v>
      </c>
      <c r="C3145" s="47">
        <v>44323</v>
      </c>
      <c r="D3145" s="45">
        <v>22021002088</v>
      </c>
      <c r="E3145" s="46" t="s">
        <v>1478</v>
      </c>
      <c r="F3145" s="48">
        <v>67.7</v>
      </c>
      <c r="G3145" s="54" t="s">
        <v>266</v>
      </c>
      <c r="H3145" s="54" t="s">
        <v>4716</v>
      </c>
      <c r="I3145" s="53" t="s">
        <v>205</v>
      </c>
      <c r="J3145" s="54" t="s">
        <v>127</v>
      </c>
      <c r="K3145" s="54" t="s">
        <v>127</v>
      </c>
      <c r="L3145" s="54" t="s">
        <v>15</v>
      </c>
      <c r="M3145" s="54" t="s">
        <v>13</v>
      </c>
      <c r="N3145" s="54" t="s">
        <v>16</v>
      </c>
      <c r="O3145" s="49" t="s">
        <v>814</v>
      </c>
      <c r="P3145" s="54" t="s">
        <v>3392</v>
      </c>
      <c r="Q3145" s="35" t="str">
        <f>MID(Tabla1[[#This Row],[Aplicación]],14,1)</f>
        <v>2</v>
      </c>
      <c r="R3145" s="35" t="s">
        <v>495</v>
      </c>
      <c r="S3145" s="35" t="str">
        <f>MID(Tabla1[[#This Row],[Aplicación]],6,2)</f>
        <v>03</v>
      </c>
      <c r="T3145" s="35" t="str">
        <f>VLOOKUP(Tabla1[[#This Row],[AREA]],Hoja1!A:B,2,FALSE)</f>
        <v>03. Participación ciudadana y deportes</v>
      </c>
      <c r="U3145" s="35" t="str">
        <f>MID(Tabla1[[#This Row],[Aplicación]],9,4)</f>
        <v>9241</v>
      </c>
      <c r="V3145" s="35" t="str">
        <f>VLOOKUP(Tabla1[[#This Row],[PROGRAMA]],Hoja1!A:B,2,FALSE)</f>
        <v>9241. Participación ciudadana</v>
      </c>
      <c r="W3145" s="35" t="str">
        <f>MID(Tabla1[[#This Row],[Aplicación]],14,2)</f>
        <v>21</v>
      </c>
      <c r="X3145" s="35" t="str">
        <f>MID(Tabla1[[#This Row],[Aplicación]],14,6)</f>
        <v>212</v>
      </c>
    </row>
    <row r="3146" spans="1:24" x14ac:dyDescent="0.25">
      <c r="A3146" s="45">
        <v>220210029576</v>
      </c>
      <c r="B3146" s="46" t="s">
        <v>9</v>
      </c>
      <c r="C3146" s="47">
        <v>44355</v>
      </c>
      <c r="D3146" s="45">
        <v>22021004745</v>
      </c>
      <c r="E3146" s="46" t="s">
        <v>1183</v>
      </c>
      <c r="F3146" s="48">
        <v>50.82</v>
      </c>
      <c r="G3146" s="54" t="s">
        <v>4717</v>
      </c>
      <c r="H3146" s="54" t="s">
        <v>4718</v>
      </c>
      <c r="I3146" s="53" t="s">
        <v>125</v>
      </c>
      <c r="J3146" s="54" t="s">
        <v>4719</v>
      </c>
      <c r="K3146" s="54" t="s">
        <v>2175</v>
      </c>
      <c r="L3146" s="54" t="s">
        <v>12</v>
      </c>
      <c r="M3146" s="54" t="s">
        <v>10</v>
      </c>
      <c r="N3146" s="54" t="s">
        <v>11</v>
      </c>
      <c r="O3146" s="49" t="s">
        <v>815</v>
      </c>
      <c r="P3146" s="54" t="s">
        <v>3392</v>
      </c>
      <c r="Q3146" s="35" t="str">
        <f>MID(Tabla1[[#This Row],[Aplicación]],14,1)</f>
        <v>2</v>
      </c>
      <c r="R3146" s="35" t="s">
        <v>495</v>
      </c>
      <c r="S3146" s="35" t="str">
        <f>MID(Tabla1[[#This Row],[Aplicación]],6,2)</f>
        <v>11</v>
      </c>
      <c r="T3146" s="35" t="str">
        <f>VLOOKUP(Tabla1[[#This Row],[AREA]],Hoja1!A:B,2,FALSE)</f>
        <v>11. Salud pública y seguridad ciudadana</v>
      </c>
      <c r="U3146" s="35" t="str">
        <f>MID(Tabla1[[#This Row],[Aplicación]],9,4)</f>
        <v>1361</v>
      </c>
      <c r="V3146" s="35" t="str">
        <f>VLOOKUP(Tabla1[[#This Row],[PROGRAMA]],Hoja1!A:B,2,FALSE)</f>
        <v>1361. Prevención y extinción de incencios</v>
      </c>
      <c r="W3146" s="35" t="str">
        <f>MID(Tabla1[[#This Row],[Aplicación]],14,2)</f>
        <v>22</v>
      </c>
      <c r="X3146" s="35" t="str">
        <f>MID(Tabla1[[#This Row],[Aplicación]],14,6)</f>
        <v>22199</v>
      </c>
    </row>
    <row r="3147" spans="1:24" x14ac:dyDescent="0.25">
      <c r="A3147" s="45">
        <v>220210031752</v>
      </c>
      <c r="B3147" s="46" t="s">
        <v>204</v>
      </c>
      <c r="C3147" s="47">
        <v>44369</v>
      </c>
      <c r="D3147" s="45">
        <v>22021002006</v>
      </c>
      <c r="E3147" s="46" t="s">
        <v>1310</v>
      </c>
      <c r="F3147" s="48">
        <v>67.349999999999994</v>
      </c>
      <c r="G3147" s="54" t="s">
        <v>266</v>
      </c>
      <c r="H3147" s="54" t="s">
        <v>4720</v>
      </c>
      <c r="I3147" s="53" t="s">
        <v>205</v>
      </c>
      <c r="J3147" s="54" t="s">
        <v>127</v>
      </c>
      <c r="K3147" s="54" t="s">
        <v>127</v>
      </c>
      <c r="L3147" s="54" t="s">
        <v>15</v>
      </c>
      <c r="M3147" s="54" t="s">
        <v>13</v>
      </c>
      <c r="N3147" s="54" t="s">
        <v>14</v>
      </c>
      <c r="O3147" s="49" t="s">
        <v>814</v>
      </c>
      <c r="P3147" s="54" t="s">
        <v>3392</v>
      </c>
      <c r="Q3147" s="35" t="str">
        <f>MID(Tabla1[[#This Row],[Aplicación]],14,1)</f>
        <v>2</v>
      </c>
      <c r="R3147" s="35" t="s">
        <v>495</v>
      </c>
      <c r="S3147" s="35" t="str">
        <f>MID(Tabla1[[#This Row],[Aplicación]],6,2)</f>
        <v>11</v>
      </c>
      <c r="T3147" s="35" t="str">
        <f>VLOOKUP(Tabla1[[#This Row],[AREA]],Hoja1!A:B,2,FALSE)</f>
        <v>11. Salud pública y seguridad ciudadana</v>
      </c>
      <c r="U3147" s="35" t="str">
        <f>MID(Tabla1[[#This Row],[Aplicación]],9,4)</f>
        <v>3111</v>
      </c>
      <c r="V3147" s="35" t="str">
        <f>VLOOKUP(Tabla1[[#This Row],[PROGRAMA]],Hoja1!A:B,2,FALSE)</f>
        <v>3111. Protección de la salubridad pública</v>
      </c>
      <c r="W3147" s="35" t="str">
        <f>MID(Tabla1[[#This Row],[Aplicación]],14,2)</f>
        <v>22</v>
      </c>
      <c r="X3147" s="35" t="str">
        <f>MID(Tabla1[[#This Row],[Aplicación]],14,6)</f>
        <v>22199</v>
      </c>
    </row>
    <row r="3148" spans="1:24" x14ac:dyDescent="0.25">
      <c r="A3148" s="45">
        <v>220210033157</v>
      </c>
      <c r="B3148" s="46" t="s">
        <v>204</v>
      </c>
      <c r="C3148" s="47">
        <v>44377</v>
      </c>
      <c r="D3148" s="45">
        <v>22021004482</v>
      </c>
      <c r="E3148" s="46" t="s">
        <v>921</v>
      </c>
      <c r="F3148" s="48">
        <v>67.349999999999994</v>
      </c>
      <c r="G3148" s="54" t="s">
        <v>266</v>
      </c>
      <c r="H3148" s="54" t="s">
        <v>4721</v>
      </c>
      <c r="I3148" s="53" t="s">
        <v>205</v>
      </c>
      <c r="J3148" s="54" t="s">
        <v>127</v>
      </c>
      <c r="K3148" s="54" t="s">
        <v>127</v>
      </c>
      <c r="L3148" s="54" t="s">
        <v>15</v>
      </c>
      <c r="M3148" s="54" t="s">
        <v>13</v>
      </c>
      <c r="N3148" s="54" t="s">
        <v>14</v>
      </c>
      <c r="O3148" s="49" t="s">
        <v>814</v>
      </c>
      <c r="P3148" s="54" t="s">
        <v>3392</v>
      </c>
      <c r="Q3148" s="35" t="str">
        <f>MID(Tabla1[[#This Row],[Aplicación]],14,1)</f>
        <v>2</v>
      </c>
      <c r="R3148" s="35" t="s">
        <v>495</v>
      </c>
      <c r="S3148" s="35" t="str">
        <f>MID(Tabla1[[#This Row],[Aplicación]],6,2)</f>
        <v>04</v>
      </c>
      <c r="T3148" s="35" t="str">
        <f>VLOOKUP(Tabla1[[#This Row],[AREA]],Hoja1!A:B,2,FALSE)</f>
        <v>04. Planificación y recursos</v>
      </c>
      <c r="U3148" s="35" t="str">
        <f>MID(Tabla1[[#This Row],[Aplicación]],9,4)</f>
        <v>9204</v>
      </c>
      <c r="V3148" s="35" t="str">
        <f>VLOOKUP(Tabla1[[#This Row],[PROGRAMA]],Hoja1!A:B,2,FALSE)</f>
        <v>9204. Tecnologías de la información y comunicación</v>
      </c>
      <c r="W3148" s="35" t="str">
        <f>MID(Tabla1[[#This Row],[Aplicación]],14,2)</f>
        <v>21</v>
      </c>
      <c r="X3148" s="35" t="str">
        <f>MID(Tabla1[[#This Row],[Aplicación]],14,6)</f>
        <v>213</v>
      </c>
    </row>
    <row r="3149" spans="1:24" x14ac:dyDescent="0.25">
      <c r="A3149" s="45">
        <v>220210031146</v>
      </c>
      <c r="B3149" s="46" t="s">
        <v>204</v>
      </c>
      <c r="C3149" s="47">
        <v>44361</v>
      </c>
      <c r="D3149" s="45">
        <v>22021001169</v>
      </c>
      <c r="E3149" s="46" t="s">
        <v>1319</v>
      </c>
      <c r="F3149" s="48">
        <v>66.790000000000006</v>
      </c>
      <c r="G3149" s="54" t="s">
        <v>257</v>
      </c>
      <c r="H3149" s="54" t="s">
        <v>4722</v>
      </c>
      <c r="I3149" s="53" t="s">
        <v>205</v>
      </c>
      <c r="J3149" s="54" t="s">
        <v>127</v>
      </c>
      <c r="K3149" s="54" t="s">
        <v>127</v>
      </c>
      <c r="L3149" s="54" t="s">
        <v>15</v>
      </c>
      <c r="M3149" s="54" t="s">
        <v>13</v>
      </c>
      <c r="N3149" s="54" t="s">
        <v>14</v>
      </c>
      <c r="O3149" s="49" t="s">
        <v>814</v>
      </c>
      <c r="P3149" s="54" t="s">
        <v>3392</v>
      </c>
      <c r="Q3149" s="35" t="str">
        <f>MID(Tabla1[[#This Row],[Aplicación]],14,1)</f>
        <v>2</v>
      </c>
      <c r="R3149" s="35" t="s">
        <v>495</v>
      </c>
      <c r="S3149" s="35" t="str">
        <f>MID(Tabla1[[#This Row],[Aplicación]],6,2)</f>
        <v>10</v>
      </c>
      <c r="T3149" s="35" t="str">
        <f>VLOOKUP(Tabla1[[#This Row],[AREA]],Hoja1!A:B,2,FALSE)</f>
        <v>10. Servicios sociales y mediación comunitaria</v>
      </c>
      <c r="U3149" s="35" t="str">
        <f>MID(Tabla1[[#This Row],[Aplicación]],9,4)</f>
        <v>2412</v>
      </c>
      <c r="V3149" s="35" t="str">
        <f>VLOOKUP(Tabla1[[#This Row],[PROGRAMA]],Hoja1!A:B,2,FALSE)</f>
        <v>2412. Formación para el empleo</v>
      </c>
      <c r="W3149" s="35" t="str">
        <f>MID(Tabla1[[#This Row],[Aplicación]],14,2)</f>
        <v>21</v>
      </c>
      <c r="X3149" s="35" t="str">
        <f>MID(Tabla1[[#This Row],[Aplicación]],14,6)</f>
        <v>212</v>
      </c>
    </row>
    <row r="3150" spans="1:24" x14ac:dyDescent="0.25">
      <c r="A3150" s="45">
        <v>220210022706</v>
      </c>
      <c r="B3150" s="46" t="s">
        <v>204</v>
      </c>
      <c r="C3150" s="47">
        <v>44333</v>
      </c>
      <c r="D3150" s="45">
        <v>22021002057</v>
      </c>
      <c r="E3150" s="46" t="s">
        <v>1715</v>
      </c>
      <c r="F3150" s="48">
        <v>65.05</v>
      </c>
      <c r="G3150" s="54" t="s">
        <v>270</v>
      </c>
      <c r="H3150" s="54" t="s">
        <v>4723</v>
      </c>
      <c r="I3150" s="53" t="s">
        <v>205</v>
      </c>
      <c r="J3150" s="54" t="s">
        <v>127</v>
      </c>
      <c r="K3150" s="54" t="s">
        <v>127</v>
      </c>
      <c r="L3150" s="54" t="s">
        <v>15</v>
      </c>
      <c r="M3150" s="54" t="s">
        <v>13</v>
      </c>
      <c r="N3150" s="54" t="s">
        <v>14</v>
      </c>
      <c r="O3150" s="49" t="s">
        <v>814</v>
      </c>
      <c r="P3150" s="54" t="s">
        <v>3392</v>
      </c>
      <c r="Q3150" s="35" t="str">
        <f>MID(Tabla1[[#This Row],[Aplicación]],14,1)</f>
        <v>2</v>
      </c>
      <c r="R3150" s="35" t="s">
        <v>495</v>
      </c>
      <c r="S3150" s="35" t="str">
        <f>MID(Tabla1[[#This Row],[Aplicación]],6,2)</f>
        <v>11</v>
      </c>
      <c r="T3150" s="35" t="str">
        <f>VLOOKUP(Tabla1[[#This Row],[AREA]],Hoja1!A:B,2,FALSE)</f>
        <v>11. Salud pública y seguridad ciudadana</v>
      </c>
      <c r="U3150" s="35" t="str">
        <f>MID(Tabla1[[#This Row],[Aplicación]],9,4)</f>
        <v>1631</v>
      </c>
      <c r="V3150" s="35" t="str">
        <f>VLOOKUP(Tabla1[[#This Row],[PROGRAMA]],Hoja1!A:B,2,FALSE)</f>
        <v>1631. Limpieza viaria</v>
      </c>
      <c r="W3150" s="35" t="str">
        <f>MID(Tabla1[[#This Row],[Aplicación]],14,2)</f>
        <v>22</v>
      </c>
      <c r="X3150" s="35" t="str">
        <f>MID(Tabla1[[#This Row],[Aplicación]],14,6)</f>
        <v>22199</v>
      </c>
    </row>
    <row r="3151" spans="1:24" x14ac:dyDescent="0.25">
      <c r="A3151" s="45">
        <v>220210014423</v>
      </c>
      <c r="B3151" s="46" t="s">
        <v>204</v>
      </c>
      <c r="C3151" s="47">
        <v>44295</v>
      </c>
      <c r="D3151" s="45">
        <v>22021001962</v>
      </c>
      <c r="E3151" s="46" t="s">
        <v>866</v>
      </c>
      <c r="F3151" s="48">
        <v>49.01</v>
      </c>
      <c r="G3151" s="54" t="s">
        <v>135</v>
      </c>
      <c r="H3151" s="54" t="s">
        <v>4724</v>
      </c>
      <c r="I3151" s="53" t="s">
        <v>205</v>
      </c>
      <c r="J3151" s="54" t="s">
        <v>127</v>
      </c>
      <c r="K3151" s="54" t="s">
        <v>127</v>
      </c>
      <c r="L3151" s="54" t="s">
        <v>15</v>
      </c>
      <c r="M3151" s="54" t="s">
        <v>10</v>
      </c>
      <c r="N3151" s="54" t="s">
        <v>11</v>
      </c>
      <c r="O3151" s="49" t="s">
        <v>814</v>
      </c>
      <c r="P3151" s="54" t="s">
        <v>3392</v>
      </c>
      <c r="Q3151" s="35" t="str">
        <f>MID(Tabla1[[#This Row],[Aplicación]],14,1)</f>
        <v>2</v>
      </c>
      <c r="R3151" s="35" t="s">
        <v>495</v>
      </c>
      <c r="S3151" s="35" t="str">
        <f>MID(Tabla1[[#This Row],[Aplicación]],6,2)</f>
        <v>07</v>
      </c>
      <c r="T3151" s="35" t="str">
        <f>VLOOKUP(Tabla1[[#This Row],[AREA]],Hoja1!A:B,2,FALSE)</f>
        <v>07. Medio ambiente y desarrollo sostenible</v>
      </c>
      <c r="U3151" s="35" t="str">
        <f>MID(Tabla1[[#This Row],[Aplicación]],9,4)</f>
        <v>1721</v>
      </c>
      <c r="V3151" s="35" t="str">
        <f>VLOOKUP(Tabla1[[#This Row],[PROGRAMA]],Hoja1!A:B,2,FALSE)</f>
        <v>1721. Protección del medio ambiente</v>
      </c>
      <c r="W3151" s="35" t="str">
        <f>MID(Tabla1[[#This Row],[Aplicación]],14,2)</f>
        <v>22</v>
      </c>
      <c r="X3151" s="35" t="str">
        <f>MID(Tabla1[[#This Row],[Aplicación]],14,6)</f>
        <v>22199</v>
      </c>
    </row>
    <row r="3152" spans="1:24" x14ac:dyDescent="0.25">
      <c r="A3152" s="45">
        <v>220210020094</v>
      </c>
      <c r="B3152" s="46" t="s">
        <v>9</v>
      </c>
      <c r="C3152" s="47">
        <v>44321</v>
      </c>
      <c r="D3152" s="45">
        <v>22021004272</v>
      </c>
      <c r="E3152" s="46" t="s">
        <v>1471</v>
      </c>
      <c r="F3152" s="48">
        <v>64.98</v>
      </c>
      <c r="G3152" s="54" t="s">
        <v>1825</v>
      </c>
      <c r="H3152" s="54" t="s">
        <v>4725</v>
      </c>
      <c r="I3152" s="53" t="s">
        <v>125</v>
      </c>
      <c r="J3152" s="54" t="s">
        <v>609</v>
      </c>
      <c r="K3152" s="54" t="s">
        <v>127</v>
      </c>
      <c r="L3152" s="54" t="s">
        <v>15</v>
      </c>
      <c r="M3152" s="54" t="s">
        <v>13</v>
      </c>
      <c r="N3152" s="54" t="s">
        <v>16</v>
      </c>
      <c r="O3152" s="49" t="s">
        <v>814</v>
      </c>
      <c r="P3152" s="54" t="s">
        <v>3392</v>
      </c>
      <c r="Q3152" s="35" t="str">
        <f>MID(Tabla1[[#This Row],[Aplicación]],14,1)</f>
        <v>2</v>
      </c>
      <c r="R3152" s="35" t="s">
        <v>495</v>
      </c>
      <c r="S3152" s="35" t="str">
        <f>MID(Tabla1[[#This Row],[Aplicación]],6,2)</f>
        <v>06</v>
      </c>
      <c r="T3152" s="35" t="str">
        <f>VLOOKUP(Tabla1[[#This Row],[AREA]],Hoja1!A:B,2,FALSE)</f>
        <v>06. Educación, infancia, juventud e igualdad</v>
      </c>
      <c r="U3152" s="35" t="str">
        <f>MID(Tabla1[[#This Row],[Aplicación]],9,4)</f>
        <v>3232</v>
      </c>
      <c r="V3152" s="35" t="str">
        <f>VLOOKUP(Tabla1[[#This Row],[PROGRAMA]],Hoja1!A:B,2,FALSE)</f>
        <v>3232. Conservación y mantenimiento centros educación infantil y primaria</v>
      </c>
      <c r="W3152" s="35" t="str">
        <f>MID(Tabla1[[#This Row],[Aplicación]],14,2)</f>
        <v>21</v>
      </c>
      <c r="X3152" s="35" t="str">
        <f>MID(Tabla1[[#This Row],[Aplicación]],14,6)</f>
        <v>212</v>
      </c>
    </row>
    <row r="3153" spans="1:24" x14ac:dyDescent="0.25">
      <c r="A3153" s="45">
        <v>220210014430</v>
      </c>
      <c r="B3153" s="46" t="s">
        <v>204</v>
      </c>
      <c r="C3153" s="47">
        <v>44295</v>
      </c>
      <c r="D3153" s="45">
        <v>22021002228</v>
      </c>
      <c r="E3153" s="46" t="s">
        <v>1471</v>
      </c>
      <c r="F3153" s="48">
        <v>63.84</v>
      </c>
      <c r="G3153" s="54" t="s">
        <v>266</v>
      </c>
      <c r="H3153" s="54" t="s">
        <v>4726</v>
      </c>
      <c r="I3153" s="53" t="s">
        <v>205</v>
      </c>
      <c r="J3153" s="54" t="s">
        <v>127</v>
      </c>
      <c r="K3153" s="54" t="s">
        <v>127</v>
      </c>
      <c r="L3153" s="54" t="s">
        <v>15</v>
      </c>
      <c r="M3153" s="54" t="s">
        <v>13</v>
      </c>
      <c r="N3153" s="54" t="s">
        <v>14</v>
      </c>
      <c r="O3153" s="49" t="s">
        <v>814</v>
      </c>
      <c r="P3153" s="54" t="s">
        <v>3392</v>
      </c>
      <c r="Q3153" s="35" t="str">
        <f>MID(Tabla1[[#This Row],[Aplicación]],14,1)</f>
        <v>2</v>
      </c>
      <c r="R3153" s="35" t="s">
        <v>495</v>
      </c>
      <c r="S3153" s="35" t="str">
        <f>MID(Tabla1[[#This Row],[Aplicación]],6,2)</f>
        <v>06</v>
      </c>
      <c r="T3153" s="35" t="str">
        <f>VLOOKUP(Tabla1[[#This Row],[AREA]],Hoja1!A:B,2,FALSE)</f>
        <v>06. Educación, infancia, juventud e igualdad</v>
      </c>
      <c r="U3153" s="35" t="str">
        <f>MID(Tabla1[[#This Row],[Aplicación]],9,4)</f>
        <v>3232</v>
      </c>
      <c r="V3153" s="35" t="str">
        <f>VLOOKUP(Tabla1[[#This Row],[PROGRAMA]],Hoja1!A:B,2,FALSE)</f>
        <v>3232. Conservación y mantenimiento centros educación infantil y primaria</v>
      </c>
      <c r="W3153" s="35" t="str">
        <f>MID(Tabla1[[#This Row],[Aplicación]],14,2)</f>
        <v>21</v>
      </c>
      <c r="X3153" s="35" t="str">
        <f>MID(Tabla1[[#This Row],[Aplicación]],14,6)</f>
        <v>212</v>
      </c>
    </row>
    <row r="3154" spans="1:24" x14ac:dyDescent="0.25">
      <c r="A3154" s="45">
        <v>220210023518</v>
      </c>
      <c r="B3154" s="46" t="s">
        <v>9</v>
      </c>
      <c r="C3154" s="47">
        <v>44336</v>
      </c>
      <c r="D3154" s="45">
        <v>22021004465</v>
      </c>
      <c r="E3154" s="46" t="s">
        <v>1167</v>
      </c>
      <c r="F3154" s="48">
        <v>151.13</v>
      </c>
      <c r="G3154" s="54" t="s">
        <v>239</v>
      </c>
      <c r="H3154" s="54" t="s">
        <v>4727</v>
      </c>
      <c r="I3154" s="53" t="s">
        <v>125</v>
      </c>
      <c r="J3154" s="54" t="s">
        <v>127</v>
      </c>
      <c r="K3154" s="54" t="s">
        <v>127</v>
      </c>
      <c r="L3154" s="54" t="s">
        <v>12</v>
      </c>
      <c r="M3154" s="54" t="s">
        <v>10</v>
      </c>
      <c r="N3154" s="54" t="s">
        <v>11</v>
      </c>
      <c r="O3154" s="49" t="s">
        <v>815</v>
      </c>
      <c r="P3154" s="54" t="s">
        <v>3392</v>
      </c>
      <c r="Q3154" s="35" t="str">
        <f>MID(Tabla1[[#This Row],[Aplicación]],14,1)</f>
        <v>2</v>
      </c>
      <c r="R3154" s="35" t="s">
        <v>495</v>
      </c>
      <c r="S3154" s="35" t="str">
        <f>MID(Tabla1[[#This Row],[Aplicación]],6,2)</f>
        <v>11</v>
      </c>
      <c r="T3154" s="35" t="str">
        <f>VLOOKUP(Tabla1[[#This Row],[AREA]],Hoja1!A:B,2,FALSE)</f>
        <v>11. Salud pública y seguridad ciudadana</v>
      </c>
      <c r="U3154" s="35" t="str">
        <f>MID(Tabla1[[#This Row],[Aplicación]],9,4)</f>
        <v>1321</v>
      </c>
      <c r="V3154" s="35" t="str">
        <f>VLOOKUP(Tabla1[[#This Row],[PROGRAMA]],Hoja1!A:B,2,FALSE)</f>
        <v>1321. Policía municipal</v>
      </c>
      <c r="W3154" s="35" t="str">
        <f>MID(Tabla1[[#This Row],[Aplicación]],14,2)</f>
        <v>21</v>
      </c>
      <c r="X3154" s="35" t="str">
        <f>MID(Tabla1[[#This Row],[Aplicación]],14,6)</f>
        <v>214</v>
      </c>
    </row>
    <row r="3155" spans="1:24" x14ac:dyDescent="0.25">
      <c r="A3155" s="45">
        <v>220210023560</v>
      </c>
      <c r="B3155" s="46" t="s">
        <v>9</v>
      </c>
      <c r="C3155" s="47">
        <v>44337</v>
      </c>
      <c r="D3155" s="45">
        <v>22021004509</v>
      </c>
      <c r="E3155" s="46" t="s">
        <v>1392</v>
      </c>
      <c r="F3155" s="48">
        <v>45.98</v>
      </c>
      <c r="G3155" s="54" t="s">
        <v>4143</v>
      </c>
      <c r="H3155" s="54" t="s">
        <v>4728</v>
      </c>
      <c r="I3155" s="53" t="s">
        <v>125</v>
      </c>
      <c r="J3155" s="54" t="s">
        <v>613</v>
      </c>
      <c r="K3155" s="54" t="s">
        <v>127</v>
      </c>
      <c r="L3155" s="54" t="s">
        <v>12</v>
      </c>
      <c r="M3155" s="54" t="s">
        <v>10</v>
      </c>
      <c r="N3155" s="54" t="s">
        <v>11</v>
      </c>
      <c r="O3155" s="49" t="s">
        <v>815</v>
      </c>
      <c r="P3155" s="54" t="s">
        <v>3392</v>
      </c>
      <c r="Q3155" s="35" t="str">
        <f>MID(Tabla1[[#This Row],[Aplicación]],14,1)</f>
        <v>2</v>
      </c>
      <c r="R3155" s="35" t="s">
        <v>495</v>
      </c>
      <c r="S3155" s="35" t="str">
        <f>MID(Tabla1[[#This Row],[Aplicación]],6,2)</f>
        <v>08</v>
      </c>
      <c r="T3155" s="35" t="str">
        <f>VLOOKUP(Tabla1[[#This Row],[AREA]],Hoja1!A:B,2,FALSE)</f>
        <v>08. Movilidad y espacio urbano</v>
      </c>
      <c r="U3155" s="35" t="str">
        <f>MID(Tabla1[[#This Row],[Aplicación]],9,4)</f>
        <v>1532</v>
      </c>
      <c r="V3155" s="35" t="str">
        <f>VLOOKUP(Tabla1[[#This Row],[PROGRAMA]],Hoja1!A:B,2,FALSE)</f>
        <v>1532. Pavimentación vias públicas y otros servicios urbanísticos</v>
      </c>
      <c r="W3155" s="35" t="str">
        <f>MID(Tabla1[[#This Row],[Aplicación]],14,2)</f>
        <v>21</v>
      </c>
      <c r="X3155" s="35" t="str">
        <f>MID(Tabla1[[#This Row],[Aplicación]],14,6)</f>
        <v>214</v>
      </c>
    </row>
    <row r="3156" spans="1:24" x14ac:dyDescent="0.25">
      <c r="A3156" s="45">
        <v>220210017124</v>
      </c>
      <c r="B3156" s="46" t="s">
        <v>9</v>
      </c>
      <c r="C3156" s="47">
        <v>44312</v>
      </c>
      <c r="D3156" s="45">
        <v>22021004120</v>
      </c>
      <c r="E3156" s="46" t="s">
        <v>1167</v>
      </c>
      <c r="F3156" s="48">
        <v>197.81</v>
      </c>
      <c r="G3156" s="54" t="s">
        <v>4088</v>
      </c>
      <c r="H3156" s="54" t="s">
        <v>4729</v>
      </c>
      <c r="I3156" s="53" t="s">
        <v>125</v>
      </c>
      <c r="J3156" s="54" t="s">
        <v>127</v>
      </c>
      <c r="K3156" s="54" t="s">
        <v>127</v>
      </c>
      <c r="L3156" s="54" t="s">
        <v>12</v>
      </c>
      <c r="M3156" s="54" t="s">
        <v>10</v>
      </c>
      <c r="N3156" s="54" t="s">
        <v>11</v>
      </c>
      <c r="O3156" s="49" t="s">
        <v>815</v>
      </c>
      <c r="P3156" s="54" t="s">
        <v>3392</v>
      </c>
      <c r="Q3156" s="35" t="str">
        <f>MID(Tabla1[[#This Row],[Aplicación]],14,1)</f>
        <v>2</v>
      </c>
      <c r="R3156" s="35" t="s">
        <v>495</v>
      </c>
      <c r="S3156" s="35" t="str">
        <f>MID(Tabla1[[#This Row],[Aplicación]],6,2)</f>
        <v>11</v>
      </c>
      <c r="T3156" s="35" t="str">
        <f>VLOOKUP(Tabla1[[#This Row],[AREA]],Hoja1!A:B,2,FALSE)</f>
        <v>11. Salud pública y seguridad ciudadana</v>
      </c>
      <c r="U3156" s="35" t="str">
        <f>MID(Tabla1[[#This Row],[Aplicación]],9,4)</f>
        <v>1321</v>
      </c>
      <c r="V3156" s="35" t="str">
        <f>VLOOKUP(Tabla1[[#This Row],[PROGRAMA]],Hoja1!A:B,2,FALSE)</f>
        <v>1321. Policía municipal</v>
      </c>
      <c r="W3156" s="35" t="str">
        <f>MID(Tabla1[[#This Row],[Aplicación]],14,2)</f>
        <v>21</v>
      </c>
      <c r="X3156" s="35" t="str">
        <f>MID(Tabla1[[#This Row],[Aplicación]],14,6)</f>
        <v>214</v>
      </c>
    </row>
    <row r="3157" spans="1:24" x14ac:dyDescent="0.25">
      <c r="A3157" s="45">
        <v>220210030218</v>
      </c>
      <c r="B3157" s="46" t="s">
        <v>204</v>
      </c>
      <c r="C3157" s="47">
        <v>44357</v>
      </c>
      <c r="D3157" s="45">
        <v>22021002052</v>
      </c>
      <c r="E3157" s="46" t="s">
        <v>1340</v>
      </c>
      <c r="F3157" s="48">
        <v>63.37</v>
      </c>
      <c r="G3157" s="54" t="s">
        <v>102</v>
      </c>
      <c r="H3157" s="54" t="s">
        <v>2001</v>
      </c>
      <c r="I3157" s="53" t="s">
        <v>205</v>
      </c>
      <c r="J3157" s="54" t="s">
        <v>127</v>
      </c>
      <c r="K3157" s="54" t="s">
        <v>127</v>
      </c>
      <c r="L3157" s="54" t="s">
        <v>15</v>
      </c>
      <c r="M3157" s="54" t="s">
        <v>13</v>
      </c>
      <c r="N3157" s="54" t="s">
        <v>14</v>
      </c>
      <c r="O3157" s="49" t="s">
        <v>814</v>
      </c>
      <c r="P3157" s="54" t="s">
        <v>3392</v>
      </c>
      <c r="Q3157" s="35" t="str">
        <f>MID(Tabla1[[#This Row],[Aplicación]],14,1)</f>
        <v>2</v>
      </c>
      <c r="R3157" s="35" t="s">
        <v>495</v>
      </c>
      <c r="S3157" s="35" t="str">
        <f>MID(Tabla1[[#This Row],[Aplicación]],6,2)</f>
        <v>11</v>
      </c>
      <c r="T3157" s="35" t="str">
        <f>VLOOKUP(Tabla1[[#This Row],[AREA]],Hoja1!A:B,2,FALSE)</f>
        <v>11. Salud pública y seguridad ciudadana</v>
      </c>
      <c r="U3157" s="35" t="str">
        <f>MID(Tabla1[[#This Row],[Aplicación]],9,4)</f>
        <v>1621</v>
      </c>
      <c r="V3157" s="35" t="str">
        <f>VLOOKUP(Tabla1[[#This Row],[PROGRAMA]],Hoja1!A:B,2,FALSE)</f>
        <v>1621. Servicio de limpieza</v>
      </c>
      <c r="W3157" s="35" t="str">
        <f>MID(Tabla1[[#This Row],[Aplicación]],14,2)</f>
        <v>22</v>
      </c>
      <c r="X3157" s="35" t="str">
        <f>MID(Tabla1[[#This Row],[Aplicación]],14,6)</f>
        <v>22199</v>
      </c>
    </row>
    <row r="3158" spans="1:24" x14ac:dyDescent="0.25">
      <c r="A3158" s="45">
        <v>220210019117</v>
      </c>
      <c r="B3158" s="46" t="s">
        <v>204</v>
      </c>
      <c r="C3158" s="47">
        <v>44319</v>
      </c>
      <c r="D3158" s="45">
        <v>22021001038</v>
      </c>
      <c r="E3158" s="46" t="s">
        <v>844</v>
      </c>
      <c r="F3158" s="48">
        <v>63.16</v>
      </c>
      <c r="G3158" s="54" t="s">
        <v>235</v>
      </c>
      <c r="H3158" s="54" t="s">
        <v>4730</v>
      </c>
      <c r="I3158" s="53" t="s">
        <v>205</v>
      </c>
      <c r="J3158" s="54" t="s">
        <v>742</v>
      </c>
      <c r="K3158" s="54" t="s">
        <v>165</v>
      </c>
      <c r="L3158" s="54" t="s">
        <v>15</v>
      </c>
      <c r="M3158" s="54" t="s">
        <v>13</v>
      </c>
      <c r="N3158" s="54" t="s">
        <v>14</v>
      </c>
      <c r="O3158" s="49" t="s">
        <v>814</v>
      </c>
      <c r="P3158" s="54" t="s">
        <v>3392</v>
      </c>
      <c r="Q3158" s="35" t="str">
        <f>MID(Tabla1[[#This Row],[Aplicación]],14,1)</f>
        <v>2</v>
      </c>
      <c r="R3158" s="35" t="s">
        <v>495</v>
      </c>
      <c r="S3158" s="35" t="str">
        <f>MID(Tabla1[[#This Row],[Aplicación]],6,2)</f>
        <v>10</v>
      </c>
      <c r="T3158" s="35" t="str">
        <f>VLOOKUP(Tabla1[[#This Row],[AREA]],Hoja1!A:B,2,FALSE)</f>
        <v>10. Servicios sociales y mediación comunitaria</v>
      </c>
      <c r="U3158" s="35" t="str">
        <f>MID(Tabla1[[#This Row],[Aplicación]],9,4)</f>
        <v>2312</v>
      </c>
      <c r="V3158" s="35" t="str">
        <f>VLOOKUP(Tabla1[[#This Row],[PROGRAMA]],Hoja1!A:B,2,FALSE)</f>
        <v>2312. Iniciativas sociales</v>
      </c>
      <c r="W3158" s="35" t="str">
        <f>MID(Tabla1[[#This Row],[Aplicación]],14,2)</f>
        <v>21</v>
      </c>
      <c r="X3158" s="35" t="str">
        <f>MID(Tabla1[[#This Row],[Aplicación]],14,6)</f>
        <v>212</v>
      </c>
    </row>
    <row r="3159" spans="1:24" x14ac:dyDescent="0.25">
      <c r="A3159" s="45">
        <v>220210023272</v>
      </c>
      <c r="B3159" s="46" t="s">
        <v>204</v>
      </c>
      <c r="C3159" s="47">
        <v>44335</v>
      </c>
      <c r="D3159" s="45">
        <v>22021001963</v>
      </c>
      <c r="E3159" s="46" t="s">
        <v>3385</v>
      </c>
      <c r="F3159" s="48">
        <v>45.5</v>
      </c>
      <c r="G3159" s="54" t="s">
        <v>135</v>
      </c>
      <c r="H3159" s="54" t="s">
        <v>4731</v>
      </c>
      <c r="I3159" s="53" t="s">
        <v>205</v>
      </c>
      <c r="J3159" s="54" t="s">
        <v>127</v>
      </c>
      <c r="K3159" s="54" t="s">
        <v>127</v>
      </c>
      <c r="L3159" s="54" t="s">
        <v>15</v>
      </c>
      <c r="M3159" s="54" t="s">
        <v>10</v>
      </c>
      <c r="N3159" s="54" t="s">
        <v>11</v>
      </c>
      <c r="O3159" s="49" t="s">
        <v>814</v>
      </c>
      <c r="P3159" s="54" t="s">
        <v>3392</v>
      </c>
      <c r="Q3159" s="35" t="str">
        <f>MID(Tabla1[[#This Row],[Aplicación]],14,1)</f>
        <v>2</v>
      </c>
      <c r="R3159" s="35" t="s">
        <v>495</v>
      </c>
      <c r="S3159" s="35" t="str">
        <f>MID(Tabla1[[#This Row],[Aplicación]],6,2)</f>
        <v>07</v>
      </c>
      <c r="T3159" s="35" t="str">
        <f>VLOOKUP(Tabla1[[#This Row],[AREA]],Hoja1!A:B,2,FALSE)</f>
        <v>07. Medio ambiente y desarrollo sostenible</v>
      </c>
      <c r="U3159" s="35" t="str">
        <f>MID(Tabla1[[#This Row],[Aplicación]],9,4)</f>
        <v>1721</v>
      </c>
      <c r="V3159" s="35" t="str">
        <f>VLOOKUP(Tabla1[[#This Row],[PROGRAMA]],Hoja1!A:B,2,FALSE)</f>
        <v>1721. Protección del medio ambiente</v>
      </c>
      <c r="W3159" s="35" t="str">
        <f>MID(Tabla1[[#This Row],[Aplicación]],14,2)</f>
        <v>22</v>
      </c>
      <c r="X3159" s="35" t="str">
        <f>MID(Tabla1[[#This Row],[Aplicación]],14,6)</f>
        <v>22104</v>
      </c>
    </row>
    <row r="3160" spans="1:24" x14ac:dyDescent="0.25">
      <c r="A3160" s="45">
        <v>220210023258</v>
      </c>
      <c r="B3160" s="46" t="s">
        <v>204</v>
      </c>
      <c r="C3160" s="47">
        <v>44335</v>
      </c>
      <c r="D3160" s="45">
        <v>22021002088</v>
      </c>
      <c r="E3160" s="46" t="s">
        <v>1478</v>
      </c>
      <c r="F3160" s="48">
        <v>60.16</v>
      </c>
      <c r="G3160" s="54" t="s">
        <v>256</v>
      </c>
      <c r="H3160" s="54" t="s">
        <v>4732</v>
      </c>
      <c r="I3160" s="53" t="s">
        <v>205</v>
      </c>
      <c r="J3160" s="54" t="s">
        <v>127</v>
      </c>
      <c r="K3160" s="54" t="s">
        <v>127</v>
      </c>
      <c r="L3160" s="54" t="s">
        <v>15</v>
      </c>
      <c r="M3160" s="54" t="s">
        <v>13</v>
      </c>
      <c r="N3160" s="54" t="s">
        <v>16</v>
      </c>
      <c r="O3160" s="49" t="s">
        <v>814</v>
      </c>
      <c r="P3160" s="54" t="s">
        <v>3392</v>
      </c>
      <c r="Q3160" s="35" t="str">
        <f>MID(Tabla1[[#This Row],[Aplicación]],14,1)</f>
        <v>2</v>
      </c>
      <c r="R3160" s="35" t="s">
        <v>495</v>
      </c>
      <c r="S3160" s="35" t="str">
        <f>MID(Tabla1[[#This Row],[Aplicación]],6,2)</f>
        <v>03</v>
      </c>
      <c r="T3160" s="35" t="str">
        <f>VLOOKUP(Tabla1[[#This Row],[AREA]],Hoja1!A:B,2,FALSE)</f>
        <v>03. Participación ciudadana y deportes</v>
      </c>
      <c r="U3160" s="35" t="str">
        <f>MID(Tabla1[[#This Row],[Aplicación]],9,4)</f>
        <v>9241</v>
      </c>
      <c r="V3160" s="35" t="str">
        <f>VLOOKUP(Tabla1[[#This Row],[PROGRAMA]],Hoja1!A:B,2,FALSE)</f>
        <v>9241. Participación ciudadana</v>
      </c>
      <c r="W3160" s="35" t="str">
        <f>MID(Tabla1[[#This Row],[Aplicación]],14,2)</f>
        <v>21</v>
      </c>
      <c r="X3160" s="35" t="str">
        <f>MID(Tabla1[[#This Row],[Aplicación]],14,6)</f>
        <v>212</v>
      </c>
    </row>
    <row r="3161" spans="1:24" x14ac:dyDescent="0.25">
      <c r="A3161" s="45">
        <v>220210032981</v>
      </c>
      <c r="B3161" s="46" t="s">
        <v>204</v>
      </c>
      <c r="C3161" s="47">
        <v>44375</v>
      </c>
      <c r="D3161" s="45">
        <v>22021002228</v>
      </c>
      <c r="E3161" s="46" t="s">
        <v>1471</v>
      </c>
      <c r="F3161" s="48">
        <v>58.55</v>
      </c>
      <c r="G3161" s="54" t="s">
        <v>238</v>
      </c>
      <c r="H3161" s="54" t="s">
        <v>4733</v>
      </c>
      <c r="I3161" s="53" t="s">
        <v>205</v>
      </c>
      <c r="J3161" s="54" t="s">
        <v>127</v>
      </c>
      <c r="K3161" s="54" t="s">
        <v>127</v>
      </c>
      <c r="L3161" s="54" t="s">
        <v>15</v>
      </c>
      <c r="M3161" s="54" t="s">
        <v>13</v>
      </c>
      <c r="N3161" s="54" t="s">
        <v>16</v>
      </c>
      <c r="O3161" s="49" t="s">
        <v>814</v>
      </c>
      <c r="P3161" s="54" t="s">
        <v>3392</v>
      </c>
      <c r="Q3161" s="35" t="str">
        <f>MID(Tabla1[[#This Row],[Aplicación]],14,1)</f>
        <v>2</v>
      </c>
      <c r="R3161" s="35" t="s">
        <v>495</v>
      </c>
      <c r="S3161" s="35" t="str">
        <f>MID(Tabla1[[#This Row],[Aplicación]],6,2)</f>
        <v>06</v>
      </c>
      <c r="T3161" s="35" t="str">
        <f>VLOOKUP(Tabla1[[#This Row],[AREA]],Hoja1!A:B,2,FALSE)</f>
        <v>06. Educación, infancia, juventud e igualdad</v>
      </c>
      <c r="U3161" s="35" t="str">
        <f>MID(Tabla1[[#This Row],[Aplicación]],9,4)</f>
        <v>3232</v>
      </c>
      <c r="V3161" s="35" t="str">
        <f>VLOOKUP(Tabla1[[#This Row],[PROGRAMA]],Hoja1!A:B,2,FALSE)</f>
        <v>3232. Conservación y mantenimiento centros educación infantil y primaria</v>
      </c>
      <c r="W3161" s="35" t="str">
        <f>MID(Tabla1[[#This Row],[Aplicación]],14,2)</f>
        <v>21</v>
      </c>
      <c r="X3161" s="35" t="str">
        <f>MID(Tabla1[[#This Row],[Aplicación]],14,6)</f>
        <v>212</v>
      </c>
    </row>
    <row r="3162" spans="1:24" x14ac:dyDescent="0.25">
      <c r="A3162" s="45">
        <v>220210025703</v>
      </c>
      <c r="B3162" s="46" t="s">
        <v>204</v>
      </c>
      <c r="C3162" s="47">
        <v>44343</v>
      </c>
      <c r="D3162" s="45">
        <v>22021002373</v>
      </c>
      <c r="E3162" s="46" t="s">
        <v>1336</v>
      </c>
      <c r="F3162" s="48">
        <v>55.85</v>
      </c>
      <c r="G3162" s="54" t="s">
        <v>1475</v>
      </c>
      <c r="H3162" s="54" t="s">
        <v>4734</v>
      </c>
      <c r="I3162" s="53" t="s">
        <v>205</v>
      </c>
      <c r="J3162" s="54" t="s">
        <v>127</v>
      </c>
      <c r="K3162" s="54" t="s">
        <v>127</v>
      </c>
      <c r="L3162" s="54" t="s">
        <v>15</v>
      </c>
      <c r="M3162" s="54" t="s">
        <v>13</v>
      </c>
      <c r="N3162" s="54" t="s">
        <v>14</v>
      </c>
      <c r="O3162" s="49" t="s">
        <v>814</v>
      </c>
      <c r="P3162" s="54" t="s">
        <v>3392</v>
      </c>
      <c r="Q3162" s="35" t="str">
        <f>MID(Tabla1[[#This Row],[Aplicación]],14,1)</f>
        <v>2</v>
      </c>
      <c r="R3162" s="35" t="s">
        <v>495</v>
      </c>
      <c r="S3162" s="35" t="str">
        <f>MID(Tabla1[[#This Row],[Aplicación]],6,2)</f>
        <v>02</v>
      </c>
      <c r="T3162" s="35" t="str">
        <f>VLOOKUP(Tabla1[[#This Row],[AREA]],Hoja1!A:B,2,FALSE)</f>
        <v>02. Planeamiento urbanístico y vivienda</v>
      </c>
      <c r="U3162" s="35" t="str">
        <f>MID(Tabla1[[#This Row],[Aplicación]],9,4)</f>
        <v>9332</v>
      </c>
      <c r="V3162" s="35" t="str">
        <f>VLOOKUP(Tabla1[[#This Row],[PROGRAMA]],Hoja1!A:B,2,FALSE)</f>
        <v>9332. Mantenimiento de edificios e instalaciones municipales</v>
      </c>
      <c r="W3162" s="35" t="str">
        <f>MID(Tabla1[[#This Row],[Aplicación]],14,2)</f>
        <v>21</v>
      </c>
      <c r="X3162" s="35" t="str">
        <f>MID(Tabla1[[#This Row],[Aplicación]],14,6)</f>
        <v>212</v>
      </c>
    </row>
    <row r="3163" spans="1:24" x14ac:dyDescent="0.25">
      <c r="A3163" s="45">
        <v>220210016797</v>
      </c>
      <c r="B3163" s="46" t="s">
        <v>204</v>
      </c>
      <c r="C3163" s="47">
        <v>44308</v>
      </c>
      <c r="D3163" s="45">
        <v>22021001181</v>
      </c>
      <c r="E3163" s="46" t="s">
        <v>873</v>
      </c>
      <c r="F3163" s="48">
        <v>55.13</v>
      </c>
      <c r="G3163" s="54" t="s">
        <v>263</v>
      </c>
      <c r="H3163" s="54" t="s">
        <v>4735</v>
      </c>
      <c r="I3163" s="53" t="s">
        <v>205</v>
      </c>
      <c r="J3163" s="54" t="s">
        <v>127</v>
      </c>
      <c r="K3163" s="54" t="s">
        <v>127</v>
      </c>
      <c r="L3163" s="54" t="s">
        <v>15</v>
      </c>
      <c r="M3163" s="54" t="s">
        <v>13</v>
      </c>
      <c r="N3163" s="54" t="s">
        <v>14</v>
      </c>
      <c r="O3163" s="49" t="s">
        <v>814</v>
      </c>
      <c r="P3163" s="54" t="s">
        <v>3392</v>
      </c>
      <c r="Q3163" s="35" t="str">
        <f>MID(Tabla1[[#This Row],[Aplicación]],14,1)</f>
        <v>2</v>
      </c>
      <c r="R3163" s="35" t="s">
        <v>495</v>
      </c>
      <c r="S3163" s="35" t="str">
        <f>MID(Tabla1[[#This Row],[Aplicación]],6,2)</f>
        <v>10</v>
      </c>
      <c r="T3163" s="35" t="str">
        <f>VLOOKUP(Tabla1[[#This Row],[AREA]],Hoja1!A:B,2,FALSE)</f>
        <v>10. Servicios sociales y mediación comunitaria</v>
      </c>
      <c r="U3163" s="35" t="str">
        <f>MID(Tabla1[[#This Row],[Aplicación]],9,4)</f>
        <v>2412</v>
      </c>
      <c r="V3163" s="35" t="str">
        <f>VLOOKUP(Tabla1[[#This Row],[PROGRAMA]],Hoja1!A:B,2,FALSE)</f>
        <v>2412. Formación para el empleo</v>
      </c>
      <c r="W3163" s="35" t="str">
        <f>MID(Tabla1[[#This Row],[Aplicación]],14,2)</f>
        <v>22</v>
      </c>
      <c r="X3163" s="35" t="str">
        <f>MID(Tabla1[[#This Row],[Aplicación]],14,6)</f>
        <v>22199</v>
      </c>
    </row>
    <row r="3164" spans="1:24" x14ac:dyDescent="0.25">
      <c r="A3164" s="45">
        <v>220210030052</v>
      </c>
      <c r="B3164" s="46" t="s">
        <v>204</v>
      </c>
      <c r="C3164" s="47">
        <v>44356</v>
      </c>
      <c r="D3164" s="45">
        <v>22021002055</v>
      </c>
      <c r="E3164" s="46" t="s">
        <v>1613</v>
      </c>
      <c r="F3164" s="48">
        <v>55.06</v>
      </c>
      <c r="G3164" s="54" t="s">
        <v>257</v>
      </c>
      <c r="H3164" s="54" t="s">
        <v>4736</v>
      </c>
      <c r="I3164" s="53" t="s">
        <v>205</v>
      </c>
      <c r="J3164" s="54" t="s">
        <v>127</v>
      </c>
      <c r="K3164" s="54" t="s">
        <v>127</v>
      </c>
      <c r="L3164" s="54" t="s">
        <v>15</v>
      </c>
      <c r="M3164" s="54" t="s">
        <v>13</v>
      </c>
      <c r="N3164" s="54" t="s">
        <v>14</v>
      </c>
      <c r="O3164" s="49" t="s">
        <v>814</v>
      </c>
      <c r="P3164" s="54" t="s">
        <v>3392</v>
      </c>
      <c r="Q3164" s="35" t="str">
        <f>MID(Tabla1[[#This Row],[Aplicación]],14,1)</f>
        <v>2</v>
      </c>
      <c r="R3164" s="35" t="s">
        <v>495</v>
      </c>
      <c r="S3164" s="35" t="str">
        <f>MID(Tabla1[[#This Row],[Aplicación]],6,2)</f>
        <v>11</v>
      </c>
      <c r="T3164" s="35" t="str">
        <f>VLOOKUP(Tabla1[[#This Row],[AREA]],Hoja1!A:B,2,FALSE)</f>
        <v>11. Salud pública y seguridad ciudadana</v>
      </c>
      <c r="U3164" s="35" t="str">
        <f>MID(Tabla1[[#This Row],[Aplicación]],9,4)</f>
        <v>1631</v>
      </c>
      <c r="V3164" s="35" t="str">
        <f>VLOOKUP(Tabla1[[#This Row],[PROGRAMA]],Hoja1!A:B,2,FALSE)</f>
        <v>1631. Limpieza viaria</v>
      </c>
      <c r="W3164" s="35" t="str">
        <f>MID(Tabla1[[#This Row],[Aplicación]],14,2)</f>
        <v>22</v>
      </c>
      <c r="X3164" s="35" t="str">
        <f>MID(Tabla1[[#This Row],[Aplicación]],14,6)</f>
        <v>22104</v>
      </c>
    </row>
    <row r="3165" spans="1:24" x14ac:dyDescent="0.25">
      <c r="A3165" s="45">
        <v>220210015922</v>
      </c>
      <c r="B3165" s="46" t="s">
        <v>204</v>
      </c>
      <c r="C3165" s="47">
        <v>44305</v>
      </c>
      <c r="D3165" s="45">
        <v>22021002144</v>
      </c>
      <c r="E3165" s="46" t="s">
        <v>1328</v>
      </c>
      <c r="F3165" s="48">
        <v>54.72</v>
      </c>
      <c r="G3165" s="54" t="s">
        <v>266</v>
      </c>
      <c r="H3165" s="54" t="s">
        <v>4737</v>
      </c>
      <c r="I3165" s="53" t="s">
        <v>205</v>
      </c>
      <c r="J3165" s="54" t="s">
        <v>127</v>
      </c>
      <c r="K3165" s="54" t="s">
        <v>127</v>
      </c>
      <c r="L3165" s="54" t="s">
        <v>15</v>
      </c>
      <c r="M3165" s="54" t="s">
        <v>13</v>
      </c>
      <c r="N3165" s="54" t="s">
        <v>14</v>
      </c>
      <c r="O3165" s="49" t="s">
        <v>814</v>
      </c>
      <c r="P3165" s="54" t="s">
        <v>3392</v>
      </c>
      <c r="Q3165" s="35" t="str">
        <f>MID(Tabla1[[#This Row],[Aplicación]],14,1)</f>
        <v>2</v>
      </c>
      <c r="R3165" s="35" t="s">
        <v>495</v>
      </c>
      <c r="S3165" s="35" t="str">
        <f>MID(Tabla1[[#This Row],[Aplicación]],6,2)</f>
        <v>10</v>
      </c>
      <c r="T3165" s="35" t="str">
        <f>VLOOKUP(Tabla1[[#This Row],[AREA]],Hoja1!A:B,2,FALSE)</f>
        <v>10. Servicios sociales y mediación comunitaria</v>
      </c>
      <c r="U3165" s="35" t="str">
        <f>MID(Tabla1[[#This Row],[Aplicación]],9,4)</f>
        <v>2311</v>
      </c>
      <c r="V3165" s="35" t="str">
        <f>VLOOKUP(Tabla1[[#This Row],[PROGRAMA]],Hoja1!A:B,2,FALSE)</f>
        <v>2311. Intervención social</v>
      </c>
      <c r="W3165" s="35" t="str">
        <f>MID(Tabla1[[#This Row],[Aplicación]],14,2)</f>
        <v>21</v>
      </c>
      <c r="X3165" s="35" t="str">
        <f>MID(Tabla1[[#This Row],[Aplicación]],14,6)</f>
        <v>212</v>
      </c>
    </row>
    <row r="3166" spans="1:24" x14ac:dyDescent="0.25">
      <c r="A3166" s="45">
        <v>220210031409</v>
      </c>
      <c r="B3166" s="46" t="s">
        <v>204</v>
      </c>
      <c r="C3166" s="47">
        <v>44365</v>
      </c>
      <c r="D3166" s="45">
        <v>22021002369</v>
      </c>
      <c r="E3166" s="46" t="s">
        <v>1336</v>
      </c>
      <c r="F3166" s="48">
        <v>53.87</v>
      </c>
      <c r="G3166" s="54" t="s">
        <v>257</v>
      </c>
      <c r="H3166" s="54" t="s">
        <v>4738</v>
      </c>
      <c r="I3166" s="53" t="s">
        <v>205</v>
      </c>
      <c r="J3166" s="54" t="s">
        <v>127</v>
      </c>
      <c r="K3166" s="54" t="s">
        <v>127</v>
      </c>
      <c r="L3166" s="54" t="s">
        <v>15</v>
      </c>
      <c r="M3166" s="54" t="s">
        <v>13</v>
      </c>
      <c r="N3166" s="54" t="s">
        <v>14</v>
      </c>
      <c r="O3166" s="49" t="s">
        <v>814</v>
      </c>
      <c r="P3166" s="54" t="s">
        <v>3392</v>
      </c>
      <c r="Q3166" s="35" t="str">
        <f>MID(Tabla1[[#This Row],[Aplicación]],14,1)</f>
        <v>2</v>
      </c>
      <c r="R3166" s="35" t="s">
        <v>495</v>
      </c>
      <c r="S3166" s="35" t="str">
        <f>MID(Tabla1[[#This Row],[Aplicación]],6,2)</f>
        <v>02</v>
      </c>
      <c r="T3166" s="35" t="str">
        <f>VLOOKUP(Tabla1[[#This Row],[AREA]],Hoja1!A:B,2,FALSE)</f>
        <v>02. Planeamiento urbanístico y vivienda</v>
      </c>
      <c r="U3166" s="35" t="str">
        <f>MID(Tabla1[[#This Row],[Aplicación]],9,4)</f>
        <v>9332</v>
      </c>
      <c r="V3166" s="35" t="str">
        <f>VLOOKUP(Tabla1[[#This Row],[PROGRAMA]],Hoja1!A:B,2,FALSE)</f>
        <v>9332. Mantenimiento de edificios e instalaciones municipales</v>
      </c>
      <c r="W3166" s="35" t="str">
        <f>MID(Tabla1[[#This Row],[Aplicación]],14,2)</f>
        <v>21</v>
      </c>
      <c r="X3166" s="35" t="str">
        <f>MID(Tabla1[[#This Row],[Aplicación]],14,6)</f>
        <v>212</v>
      </c>
    </row>
    <row r="3167" spans="1:24" x14ac:dyDescent="0.25">
      <c r="A3167" s="45">
        <v>220210018984</v>
      </c>
      <c r="B3167" s="46" t="s">
        <v>9</v>
      </c>
      <c r="C3167" s="47">
        <v>44316</v>
      </c>
      <c r="D3167" s="45">
        <v>22021004175</v>
      </c>
      <c r="E3167" s="46" t="s">
        <v>1167</v>
      </c>
      <c r="F3167" s="48">
        <v>2678.77</v>
      </c>
      <c r="G3167" s="54" t="s">
        <v>4088</v>
      </c>
      <c r="H3167" s="54" t="s">
        <v>4739</v>
      </c>
      <c r="I3167" s="53" t="s">
        <v>125</v>
      </c>
      <c r="J3167" s="54" t="s">
        <v>127</v>
      </c>
      <c r="K3167" s="54" t="s">
        <v>127</v>
      </c>
      <c r="L3167" s="54" t="s">
        <v>12</v>
      </c>
      <c r="M3167" s="54" t="s">
        <v>10</v>
      </c>
      <c r="N3167" s="54" t="s">
        <v>11</v>
      </c>
      <c r="O3167" s="49" t="s">
        <v>815</v>
      </c>
      <c r="P3167" s="54" t="s">
        <v>3392</v>
      </c>
      <c r="Q3167" s="35" t="str">
        <f>MID(Tabla1[[#This Row],[Aplicación]],14,1)</f>
        <v>2</v>
      </c>
      <c r="R3167" s="35" t="s">
        <v>495</v>
      </c>
      <c r="S3167" s="35" t="str">
        <f>MID(Tabla1[[#This Row],[Aplicación]],6,2)</f>
        <v>11</v>
      </c>
      <c r="T3167" s="35" t="str">
        <f>VLOOKUP(Tabla1[[#This Row],[AREA]],Hoja1!A:B,2,FALSE)</f>
        <v>11. Salud pública y seguridad ciudadana</v>
      </c>
      <c r="U3167" s="35" t="str">
        <f>MID(Tabla1[[#This Row],[Aplicación]],9,4)</f>
        <v>1321</v>
      </c>
      <c r="V3167" s="35" t="str">
        <f>VLOOKUP(Tabla1[[#This Row],[PROGRAMA]],Hoja1!A:B,2,FALSE)</f>
        <v>1321. Policía municipal</v>
      </c>
      <c r="W3167" s="35" t="str">
        <f>MID(Tabla1[[#This Row],[Aplicación]],14,2)</f>
        <v>21</v>
      </c>
      <c r="X3167" s="35" t="str">
        <f>MID(Tabla1[[#This Row],[Aplicación]],14,6)</f>
        <v>214</v>
      </c>
    </row>
    <row r="3168" spans="1:24" x14ac:dyDescent="0.25">
      <c r="A3168" s="45">
        <v>220210014447</v>
      </c>
      <c r="B3168" s="46" t="s">
        <v>204</v>
      </c>
      <c r="C3168" s="47">
        <v>44295</v>
      </c>
      <c r="D3168" s="45">
        <v>22021002088</v>
      </c>
      <c r="E3168" s="46" t="s">
        <v>1478</v>
      </c>
      <c r="F3168" s="48">
        <v>53.39</v>
      </c>
      <c r="G3168" s="54" t="s">
        <v>235</v>
      </c>
      <c r="H3168" s="54" t="s">
        <v>4740</v>
      </c>
      <c r="I3168" s="53" t="s">
        <v>205</v>
      </c>
      <c r="J3168" s="54" t="s">
        <v>742</v>
      </c>
      <c r="K3168" s="54" t="s">
        <v>165</v>
      </c>
      <c r="L3168" s="54" t="s">
        <v>15</v>
      </c>
      <c r="M3168" s="54" t="s">
        <v>13</v>
      </c>
      <c r="N3168" s="54" t="s">
        <v>16</v>
      </c>
      <c r="O3168" s="49" t="s">
        <v>814</v>
      </c>
      <c r="P3168" s="54" t="s">
        <v>3392</v>
      </c>
      <c r="Q3168" s="35" t="str">
        <f>MID(Tabla1[[#This Row],[Aplicación]],14,1)</f>
        <v>2</v>
      </c>
      <c r="R3168" s="35" t="s">
        <v>495</v>
      </c>
      <c r="S3168" s="35" t="str">
        <f>MID(Tabla1[[#This Row],[Aplicación]],6,2)</f>
        <v>03</v>
      </c>
      <c r="T3168" s="35" t="str">
        <f>VLOOKUP(Tabla1[[#This Row],[AREA]],Hoja1!A:B,2,FALSE)</f>
        <v>03. Participación ciudadana y deportes</v>
      </c>
      <c r="U3168" s="35" t="str">
        <f>MID(Tabla1[[#This Row],[Aplicación]],9,4)</f>
        <v>9241</v>
      </c>
      <c r="V3168" s="35" t="str">
        <f>VLOOKUP(Tabla1[[#This Row],[PROGRAMA]],Hoja1!A:B,2,FALSE)</f>
        <v>9241. Participación ciudadana</v>
      </c>
      <c r="W3168" s="35" t="str">
        <f>MID(Tabla1[[#This Row],[Aplicación]],14,2)</f>
        <v>21</v>
      </c>
      <c r="X3168" s="35" t="str">
        <f>MID(Tabla1[[#This Row],[Aplicación]],14,6)</f>
        <v>212</v>
      </c>
    </row>
    <row r="3169" spans="1:24" x14ac:dyDescent="0.25">
      <c r="A3169" s="45">
        <v>220210015625</v>
      </c>
      <c r="B3169" s="46" t="s">
        <v>204</v>
      </c>
      <c r="C3169" s="47">
        <v>44302</v>
      </c>
      <c r="D3169" s="45">
        <v>22021002055</v>
      </c>
      <c r="E3169" s="46" t="s">
        <v>1613</v>
      </c>
      <c r="F3169" s="48">
        <v>53.26</v>
      </c>
      <c r="G3169" s="54" t="s">
        <v>270</v>
      </c>
      <c r="H3169" s="54" t="s">
        <v>4741</v>
      </c>
      <c r="I3169" s="53" t="s">
        <v>205</v>
      </c>
      <c r="J3169" s="54" t="s">
        <v>127</v>
      </c>
      <c r="K3169" s="54" t="s">
        <v>127</v>
      </c>
      <c r="L3169" s="54" t="s">
        <v>15</v>
      </c>
      <c r="M3169" s="54" t="s">
        <v>13</v>
      </c>
      <c r="N3169" s="54" t="s">
        <v>14</v>
      </c>
      <c r="O3169" s="49" t="s">
        <v>814</v>
      </c>
      <c r="P3169" s="54" t="s">
        <v>3392</v>
      </c>
      <c r="Q3169" s="35" t="str">
        <f>MID(Tabla1[[#This Row],[Aplicación]],14,1)</f>
        <v>2</v>
      </c>
      <c r="R3169" s="35" t="s">
        <v>495</v>
      </c>
      <c r="S3169" s="35" t="str">
        <f>MID(Tabla1[[#This Row],[Aplicación]],6,2)</f>
        <v>11</v>
      </c>
      <c r="T3169" s="35" t="str">
        <f>VLOOKUP(Tabla1[[#This Row],[AREA]],Hoja1!A:B,2,FALSE)</f>
        <v>11. Salud pública y seguridad ciudadana</v>
      </c>
      <c r="U3169" s="35" t="str">
        <f>MID(Tabla1[[#This Row],[Aplicación]],9,4)</f>
        <v>1631</v>
      </c>
      <c r="V3169" s="35" t="str">
        <f>VLOOKUP(Tabla1[[#This Row],[PROGRAMA]],Hoja1!A:B,2,FALSE)</f>
        <v>1631. Limpieza viaria</v>
      </c>
      <c r="W3169" s="35" t="str">
        <f>MID(Tabla1[[#This Row],[Aplicación]],14,2)</f>
        <v>22</v>
      </c>
      <c r="X3169" s="35" t="str">
        <f>MID(Tabla1[[#This Row],[Aplicación]],14,6)</f>
        <v>22104</v>
      </c>
    </row>
    <row r="3170" spans="1:24" x14ac:dyDescent="0.25">
      <c r="A3170" s="45">
        <v>220210015771</v>
      </c>
      <c r="B3170" s="46" t="s">
        <v>204</v>
      </c>
      <c r="C3170" s="47">
        <v>44302</v>
      </c>
      <c r="D3170" s="45">
        <v>22021002228</v>
      </c>
      <c r="E3170" s="46" t="s">
        <v>1471</v>
      </c>
      <c r="F3170" s="48">
        <v>51.65</v>
      </c>
      <c r="G3170" s="54" t="s">
        <v>263</v>
      </c>
      <c r="H3170" s="54" t="s">
        <v>4742</v>
      </c>
      <c r="I3170" s="53" t="s">
        <v>205</v>
      </c>
      <c r="J3170" s="54" t="s">
        <v>127</v>
      </c>
      <c r="K3170" s="54" t="s">
        <v>127</v>
      </c>
      <c r="L3170" s="54" t="s">
        <v>15</v>
      </c>
      <c r="M3170" s="54" t="s">
        <v>13</v>
      </c>
      <c r="N3170" s="54" t="s">
        <v>14</v>
      </c>
      <c r="O3170" s="49" t="s">
        <v>814</v>
      </c>
      <c r="P3170" s="54" t="s">
        <v>3392</v>
      </c>
      <c r="Q3170" s="35" t="str">
        <f>MID(Tabla1[[#This Row],[Aplicación]],14,1)</f>
        <v>2</v>
      </c>
      <c r="R3170" s="35" t="s">
        <v>495</v>
      </c>
      <c r="S3170" s="35" t="str">
        <f>MID(Tabla1[[#This Row],[Aplicación]],6,2)</f>
        <v>06</v>
      </c>
      <c r="T3170" s="35" t="str">
        <f>VLOOKUP(Tabla1[[#This Row],[AREA]],Hoja1!A:B,2,FALSE)</f>
        <v>06. Educación, infancia, juventud e igualdad</v>
      </c>
      <c r="U3170" s="35" t="str">
        <f>MID(Tabla1[[#This Row],[Aplicación]],9,4)</f>
        <v>3232</v>
      </c>
      <c r="V3170" s="35" t="str">
        <f>VLOOKUP(Tabla1[[#This Row],[PROGRAMA]],Hoja1!A:B,2,FALSE)</f>
        <v>3232. Conservación y mantenimiento centros educación infantil y primaria</v>
      </c>
      <c r="W3170" s="35" t="str">
        <f>MID(Tabla1[[#This Row],[Aplicación]],14,2)</f>
        <v>21</v>
      </c>
      <c r="X3170" s="35" t="str">
        <f>MID(Tabla1[[#This Row],[Aplicación]],14,6)</f>
        <v>212</v>
      </c>
    </row>
    <row r="3171" spans="1:24" x14ac:dyDescent="0.25">
      <c r="A3171" s="45">
        <v>220210023255</v>
      </c>
      <c r="B3171" s="46" t="s">
        <v>204</v>
      </c>
      <c r="C3171" s="47">
        <v>44335</v>
      </c>
      <c r="D3171" s="45">
        <v>22021002089</v>
      </c>
      <c r="E3171" s="46" t="s">
        <v>1220</v>
      </c>
      <c r="F3171" s="48">
        <v>51.64</v>
      </c>
      <c r="G3171" s="54" t="s">
        <v>277</v>
      </c>
      <c r="H3171" s="54" t="s">
        <v>4743</v>
      </c>
      <c r="I3171" s="53" t="s">
        <v>205</v>
      </c>
      <c r="J3171" s="54" t="s">
        <v>127</v>
      </c>
      <c r="K3171" s="54" t="s">
        <v>127</v>
      </c>
      <c r="L3171" s="54" t="s">
        <v>15</v>
      </c>
      <c r="M3171" s="54" t="s">
        <v>13</v>
      </c>
      <c r="N3171" s="54" t="s">
        <v>16</v>
      </c>
      <c r="O3171" s="49" t="s">
        <v>814</v>
      </c>
      <c r="P3171" s="54" t="s">
        <v>3392</v>
      </c>
      <c r="Q3171" s="35" t="str">
        <f>MID(Tabla1[[#This Row],[Aplicación]],14,1)</f>
        <v>2</v>
      </c>
      <c r="R3171" s="35" t="s">
        <v>495</v>
      </c>
      <c r="S3171" s="35" t="str">
        <f>MID(Tabla1[[#This Row],[Aplicación]],6,2)</f>
        <v>03</v>
      </c>
      <c r="T3171" s="35" t="str">
        <f>VLOOKUP(Tabla1[[#This Row],[AREA]],Hoja1!A:B,2,FALSE)</f>
        <v>03. Participación ciudadana y deportes</v>
      </c>
      <c r="U3171" s="35" t="str">
        <f>MID(Tabla1[[#This Row],[Aplicación]],9,4)</f>
        <v>9241</v>
      </c>
      <c r="V3171" s="35" t="str">
        <f>VLOOKUP(Tabla1[[#This Row],[PROGRAMA]],Hoja1!A:B,2,FALSE)</f>
        <v>9241. Participación ciudadana</v>
      </c>
      <c r="W3171" s="35" t="str">
        <f>MID(Tabla1[[#This Row],[Aplicación]],14,2)</f>
        <v>21</v>
      </c>
      <c r="X3171" s="35" t="str">
        <f>MID(Tabla1[[#This Row],[Aplicación]],14,6)</f>
        <v>213</v>
      </c>
    </row>
    <row r="3172" spans="1:24" x14ac:dyDescent="0.25">
      <c r="A3172" s="45">
        <v>220210016579</v>
      </c>
      <c r="B3172" s="46" t="s">
        <v>32</v>
      </c>
      <c r="C3172" s="47">
        <v>44306</v>
      </c>
      <c r="D3172" s="45">
        <v>22021003970</v>
      </c>
      <c r="E3172" s="46" t="s">
        <v>878</v>
      </c>
      <c r="F3172" s="48">
        <v>39.81</v>
      </c>
      <c r="G3172" s="54" t="s">
        <v>98</v>
      </c>
      <c r="H3172" s="54" t="s">
        <v>4744</v>
      </c>
      <c r="I3172" s="53" t="s">
        <v>234</v>
      </c>
      <c r="J3172" s="54" t="s">
        <v>126</v>
      </c>
      <c r="K3172" s="54" t="s">
        <v>126</v>
      </c>
      <c r="L3172" s="54" t="s">
        <v>12</v>
      </c>
      <c r="M3172" s="54" t="s">
        <v>10</v>
      </c>
      <c r="N3172" s="54" t="s">
        <v>11</v>
      </c>
      <c r="O3172" s="49" t="s">
        <v>815</v>
      </c>
      <c r="P3172" s="54" t="s">
        <v>3392</v>
      </c>
      <c r="Q3172" s="35" t="str">
        <f>MID(Tabla1[[#This Row],[Aplicación]],14,1)</f>
        <v>2</v>
      </c>
      <c r="R3172" s="35" t="s">
        <v>495</v>
      </c>
      <c r="S3172" s="35" t="str">
        <f>MID(Tabla1[[#This Row],[Aplicación]],6,2)</f>
        <v>05</v>
      </c>
      <c r="T3172" s="35" t="str">
        <f>VLOOKUP(Tabla1[[#This Row],[AREA]],Hoja1!A:B,2,FALSE)</f>
        <v>05. Innovación, desarrollo económico, empleo y comercio</v>
      </c>
      <c r="U3172" s="35" t="str">
        <f>MID(Tabla1[[#This Row],[Aplicación]],9,4)</f>
        <v>4331</v>
      </c>
      <c r="V3172" s="35" t="str">
        <f>VLOOKUP(Tabla1[[#This Row],[PROGRAMA]],Hoja1!A:B,2,FALSE)</f>
        <v>4331. Desarrollo empresarial</v>
      </c>
      <c r="W3172" s="35" t="str">
        <f>MID(Tabla1[[#This Row],[Aplicación]],14,2)</f>
        <v>20</v>
      </c>
      <c r="X3172" s="35" t="str">
        <f>MID(Tabla1[[#This Row],[Aplicación]],14,6)</f>
        <v>203</v>
      </c>
    </row>
    <row r="3173" spans="1:24" x14ac:dyDescent="0.25">
      <c r="A3173" s="45">
        <v>220210027680</v>
      </c>
      <c r="B3173" s="46" t="s">
        <v>204</v>
      </c>
      <c r="C3173" s="47">
        <v>44348</v>
      </c>
      <c r="D3173" s="45">
        <v>22021002052</v>
      </c>
      <c r="E3173" s="46" t="s">
        <v>1340</v>
      </c>
      <c r="F3173" s="48">
        <v>50.82</v>
      </c>
      <c r="G3173" s="54" t="s">
        <v>235</v>
      </c>
      <c r="H3173" s="54" t="s">
        <v>4745</v>
      </c>
      <c r="I3173" s="53" t="s">
        <v>205</v>
      </c>
      <c r="J3173" s="54" t="s">
        <v>742</v>
      </c>
      <c r="K3173" s="54" t="s">
        <v>165</v>
      </c>
      <c r="L3173" s="54" t="s">
        <v>15</v>
      </c>
      <c r="M3173" s="54" t="s">
        <v>13</v>
      </c>
      <c r="N3173" s="54" t="s">
        <v>14</v>
      </c>
      <c r="O3173" s="49" t="s">
        <v>814</v>
      </c>
      <c r="P3173" s="54" t="s">
        <v>3392</v>
      </c>
      <c r="Q3173" s="35" t="str">
        <f>MID(Tabla1[[#This Row],[Aplicación]],14,1)</f>
        <v>2</v>
      </c>
      <c r="R3173" s="35" t="s">
        <v>495</v>
      </c>
      <c r="S3173" s="35" t="str">
        <f>MID(Tabla1[[#This Row],[Aplicación]],6,2)</f>
        <v>11</v>
      </c>
      <c r="T3173" s="35" t="str">
        <f>VLOOKUP(Tabla1[[#This Row],[AREA]],Hoja1!A:B,2,FALSE)</f>
        <v>11. Salud pública y seguridad ciudadana</v>
      </c>
      <c r="U3173" s="35" t="str">
        <f>MID(Tabla1[[#This Row],[Aplicación]],9,4)</f>
        <v>1621</v>
      </c>
      <c r="V3173" s="35" t="str">
        <f>VLOOKUP(Tabla1[[#This Row],[PROGRAMA]],Hoja1!A:B,2,FALSE)</f>
        <v>1621. Servicio de limpieza</v>
      </c>
      <c r="W3173" s="35" t="str">
        <f>MID(Tabla1[[#This Row],[Aplicación]],14,2)</f>
        <v>22</v>
      </c>
      <c r="X3173" s="35" t="str">
        <f>MID(Tabla1[[#This Row],[Aplicación]],14,6)</f>
        <v>22199</v>
      </c>
    </row>
    <row r="3174" spans="1:24" x14ac:dyDescent="0.25">
      <c r="A3174" s="45">
        <v>220210016516</v>
      </c>
      <c r="B3174" s="46" t="s">
        <v>204</v>
      </c>
      <c r="C3174" s="47">
        <v>44306</v>
      </c>
      <c r="D3174" s="45">
        <v>22021002144</v>
      </c>
      <c r="E3174" s="46" t="s">
        <v>1328</v>
      </c>
      <c r="F3174" s="48">
        <v>50.58</v>
      </c>
      <c r="G3174" s="54" t="s">
        <v>1475</v>
      </c>
      <c r="H3174" s="54" t="s">
        <v>4746</v>
      </c>
      <c r="I3174" s="53" t="s">
        <v>205</v>
      </c>
      <c r="J3174" s="54" t="s">
        <v>127</v>
      </c>
      <c r="K3174" s="54" t="s">
        <v>127</v>
      </c>
      <c r="L3174" s="54" t="s">
        <v>15</v>
      </c>
      <c r="M3174" s="54" t="s">
        <v>13</v>
      </c>
      <c r="N3174" s="54" t="s">
        <v>14</v>
      </c>
      <c r="O3174" s="49" t="s">
        <v>814</v>
      </c>
      <c r="P3174" s="54" t="s">
        <v>3392</v>
      </c>
      <c r="Q3174" s="35" t="str">
        <f>MID(Tabla1[[#This Row],[Aplicación]],14,1)</f>
        <v>2</v>
      </c>
      <c r="R3174" s="35" t="s">
        <v>495</v>
      </c>
      <c r="S3174" s="35" t="str">
        <f>MID(Tabla1[[#This Row],[Aplicación]],6,2)</f>
        <v>10</v>
      </c>
      <c r="T3174" s="35" t="str">
        <f>VLOOKUP(Tabla1[[#This Row],[AREA]],Hoja1!A:B,2,FALSE)</f>
        <v>10. Servicios sociales y mediación comunitaria</v>
      </c>
      <c r="U3174" s="35" t="str">
        <f>MID(Tabla1[[#This Row],[Aplicación]],9,4)</f>
        <v>2311</v>
      </c>
      <c r="V3174" s="35" t="str">
        <f>VLOOKUP(Tabla1[[#This Row],[PROGRAMA]],Hoja1!A:B,2,FALSE)</f>
        <v>2311. Intervención social</v>
      </c>
      <c r="W3174" s="35" t="str">
        <f>MID(Tabla1[[#This Row],[Aplicación]],14,2)</f>
        <v>21</v>
      </c>
      <c r="X3174" s="35" t="str">
        <f>MID(Tabla1[[#This Row],[Aplicación]],14,6)</f>
        <v>212</v>
      </c>
    </row>
    <row r="3175" spans="1:24" x14ac:dyDescent="0.25">
      <c r="A3175" s="45">
        <v>220210026018</v>
      </c>
      <c r="B3175" s="46" t="s">
        <v>204</v>
      </c>
      <c r="C3175" s="47">
        <v>44344</v>
      </c>
      <c r="D3175" s="45">
        <v>22021002228</v>
      </c>
      <c r="E3175" s="46" t="s">
        <v>1471</v>
      </c>
      <c r="F3175" s="48">
        <v>49.31</v>
      </c>
      <c r="G3175" s="54" t="s">
        <v>277</v>
      </c>
      <c r="H3175" s="54" t="s">
        <v>4747</v>
      </c>
      <c r="I3175" s="53" t="s">
        <v>205</v>
      </c>
      <c r="J3175" s="54" t="s">
        <v>127</v>
      </c>
      <c r="K3175" s="54" t="s">
        <v>127</v>
      </c>
      <c r="L3175" s="54" t="s">
        <v>15</v>
      </c>
      <c r="M3175" s="54" t="s">
        <v>13</v>
      </c>
      <c r="N3175" s="54" t="s">
        <v>14</v>
      </c>
      <c r="O3175" s="49" t="s">
        <v>814</v>
      </c>
      <c r="P3175" s="54" t="s">
        <v>3392</v>
      </c>
      <c r="Q3175" s="35" t="str">
        <f>MID(Tabla1[[#This Row],[Aplicación]],14,1)</f>
        <v>2</v>
      </c>
      <c r="R3175" s="35" t="s">
        <v>495</v>
      </c>
      <c r="S3175" s="35" t="str">
        <f>MID(Tabla1[[#This Row],[Aplicación]],6,2)</f>
        <v>06</v>
      </c>
      <c r="T3175" s="35" t="str">
        <f>VLOOKUP(Tabla1[[#This Row],[AREA]],Hoja1!A:B,2,FALSE)</f>
        <v>06. Educación, infancia, juventud e igualdad</v>
      </c>
      <c r="U3175" s="35" t="str">
        <f>MID(Tabla1[[#This Row],[Aplicación]],9,4)</f>
        <v>3232</v>
      </c>
      <c r="V3175" s="35" t="str">
        <f>VLOOKUP(Tabla1[[#This Row],[PROGRAMA]],Hoja1!A:B,2,FALSE)</f>
        <v>3232. Conservación y mantenimiento centros educación infantil y primaria</v>
      </c>
      <c r="W3175" s="35" t="str">
        <f>MID(Tabla1[[#This Row],[Aplicación]],14,2)</f>
        <v>21</v>
      </c>
      <c r="X3175" s="35" t="str">
        <f>MID(Tabla1[[#This Row],[Aplicación]],14,6)</f>
        <v>212</v>
      </c>
    </row>
    <row r="3176" spans="1:24" x14ac:dyDescent="0.25">
      <c r="A3176" s="45">
        <v>220210033188</v>
      </c>
      <c r="B3176" s="46" t="s">
        <v>204</v>
      </c>
      <c r="C3176" s="47">
        <v>44377</v>
      </c>
      <c r="D3176" s="45">
        <v>22021001038</v>
      </c>
      <c r="E3176" s="46" t="s">
        <v>844</v>
      </c>
      <c r="F3176" s="48">
        <v>49.13</v>
      </c>
      <c r="G3176" s="54" t="s">
        <v>223</v>
      </c>
      <c r="H3176" s="54" t="s">
        <v>4748</v>
      </c>
      <c r="I3176" s="53" t="s">
        <v>205</v>
      </c>
      <c r="J3176" s="54" t="s">
        <v>127</v>
      </c>
      <c r="K3176" s="54" t="s">
        <v>127</v>
      </c>
      <c r="L3176" s="54" t="s">
        <v>15</v>
      </c>
      <c r="M3176" s="54" t="s">
        <v>13</v>
      </c>
      <c r="N3176" s="54" t="s">
        <v>14</v>
      </c>
      <c r="O3176" s="49" t="s">
        <v>814</v>
      </c>
      <c r="P3176" s="54" t="s">
        <v>3392</v>
      </c>
      <c r="Q3176" s="35" t="str">
        <f>MID(Tabla1[[#This Row],[Aplicación]],14,1)</f>
        <v>2</v>
      </c>
      <c r="R3176" s="35" t="s">
        <v>495</v>
      </c>
      <c r="S3176" s="35" t="str">
        <f>MID(Tabla1[[#This Row],[Aplicación]],6,2)</f>
        <v>10</v>
      </c>
      <c r="T3176" s="35" t="str">
        <f>VLOOKUP(Tabla1[[#This Row],[AREA]],Hoja1!A:B,2,FALSE)</f>
        <v>10. Servicios sociales y mediación comunitaria</v>
      </c>
      <c r="U3176" s="35" t="str">
        <f>MID(Tabla1[[#This Row],[Aplicación]],9,4)</f>
        <v>2312</v>
      </c>
      <c r="V3176" s="35" t="str">
        <f>VLOOKUP(Tabla1[[#This Row],[PROGRAMA]],Hoja1!A:B,2,FALSE)</f>
        <v>2312. Iniciativas sociales</v>
      </c>
      <c r="W3176" s="35" t="str">
        <f>MID(Tabla1[[#This Row],[Aplicación]],14,2)</f>
        <v>21</v>
      </c>
      <c r="X3176" s="35" t="str">
        <f>MID(Tabla1[[#This Row],[Aplicación]],14,6)</f>
        <v>212</v>
      </c>
    </row>
    <row r="3177" spans="1:24" x14ac:dyDescent="0.25">
      <c r="A3177" s="45">
        <v>220210031434</v>
      </c>
      <c r="B3177" s="46" t="s">
        <v>204</v>
      </c>
      <c r="C3177" s="47">
        <v>44365</v>
      </c>
      <c r="D3177" s="45">
        <v>22021002228</v>
      </c>
      <c r="E3177" s="46" t="s">
        <v>1471</v>
      </c>
      <c r="F3177" s="48">
        <v>48.4</v>
      </c>
      <c r="G3177" s="54" t="s">
        <v>286</v>
      </c>
      <c r="H3177" s="54" t="s">
        <v>4749</v>
      </c>
      <c r="I3177" s="53" t="s">
        <v>205</v>
      </c>
      <c r="J3177" s="54" t="s">
        <v>127</v>
      </c>
      <c r="K3177" s="54" t="s">
        <v>127</v>
      </c>
      <c r="L3177" s="54" t="s">
        <v>15</v>
      </c>
      <c r="M3177" s="54" t="s">
        <v>13</v>
      </c>
      <c r="N3177" s="54" t="s">
        <v>14</v>
      </c>
      <c r="O3177" s="49" t="s">
        <v>814</v>
      </c>
      <c r="P3177" s="54" t="s">
        <v>3392</v>
      </c>
      <c r="Q3177" s="35" t="str">
        <f>MID(Tabla1[[#This Row],[Aplicación]],14,1)</f>
        <v>2</v>
      </c>
      <c r="R3177" s="35" t="s">
        <v>495</v>
      </c>
      <c r="S3177" s="35" t="str">
        <f>MID(Tabla1[[#This Row],[Aplicación]],6,2)</f>
        <v>06</v>
      </c>
      <c r="T3177" s="35" t="str">
        <f>VLOOKUP(Tabla1[[#This Row],[AREA]],Hoja1!A:B,2,FALSE)</f>
        <v>06. Educación, infancia, juventud e igualdad</v>
      </c>
      <c r="U3177" s="35" t="str">
        <f>MID(Tabla1[[#This Row],[Aplicación]],9,4)</f>
        <v>3232</v>
      </c>
      <c r="V3177" s="35" t="str">
        <f>VLOOKUP(Tabla1[[#This Row],[PROGRAMA]],Hoja1!A:B,2,FALSE)</f>
        <v>3232. Conservación y mantenimiento centros educación infantil y primaria</v>
      </c>
      <c r="W3177" s="35" t="str">
        <f>MID(Tabla1[[#This Row],[Aplicación]],14,2)</f>
        <v>21</v>
      </c>
      <c r="X3177" s="35" t="str">
        <f>MID(Tabla1[[#This Row],[Aplicación]],14,6)</f>
        <v>212</v>
      </c>
    </row>
    <row r="3178" spans="1:24" x14ac:dyDescent="0.25">
      <c r="A3178" s="45">
        <v>220210031738</v>
      </c>
      <c r="B3178" s="46" t="s">
        <v>204</v>
      </c>
      <c r="C3178" s="47">
        <v>44369</v>
      </c>
      <c r="D3178" s="45">
        <v>22021002225</v>
      </c>
      <c r="E3178" s="46" t="s">
        <v>1574</v>
      </c>
      <c r="F3178" s="48">
        <v>48.16</v>
      </c>
      <c r="G3178" s="54" t="s">
        <v>266</v>
      </c>
      <c r="H3178" s="54" t="s">
        <v>4750</v>
      </c>
      <c r="I3178" s="53" t="s">
        <v>205</v>
      </c>
      <c r="J3178" s="54" t="s">
        <v>127</v>
      </c>
      <c r="K3178" s="54" t="s">
        <v>127</v>
      </c>
      <c r="L3178" s="54" t="s">
        <v>15</v>
      </c>
      <c r="M3178" s="54" t="s">
        <v>13</v>
      </c>
      <c r="N3178" s="54" t="s">
        <v>16</v>
      </c>
      <c r="O3178" s="49" t="s">
        <v>814</v>
      </c>
      <c r="P3178" s="54" t="s">
        <v>3392</v>
      </c>
      <c r="Q3178" s="35" t="str">
        <f>MID(Tabla1[[#This Row],[Aplicación]],14,1)</f>
        <v>2</v>
      </c>
      <c r="R3178" s="35" t="s">
        <v>495</v>
      </c>
      <c r="S3178" s="35" t="str">
        <f>MID(Tabla1[[#This Row],[Aplicación]],6,2)</f>
        <v>06</v>
      </c>
      <c r="T3178" s="35" t="str">
        <f>VLOOKUP(Tabla1[[#This Row],[AREA]],Hoja1!A:B,2,FALSE)</f>
        <v>06. Educación, infancia, juventud e igualdad</v>
      </c>
      <c r="U3178" s="35" t="str">
        <f>MID(Tabla1[[#This Row],[Aplicación]],9,4)</f>
        <v>3231</v>
      </c>
      <c r="V3178" s="35" t="str">
        <f>VLOOKUP(Tabla1[[#This Row],[PROGRAMA]],Hoja1!A:B,2,FALSE)</f>
        <v>3231. Escuelas infantiles</v>
      </c>
      <c r="W3178" s="35" t="str">
        <f>MID(Tabla1[[#This Row],[Aplicación]],14,2)</f>
        <v>21</v>
      </c>
      <c r="X3178" s="35" t="str">
        <f>MID(Tabla1[[#This Row],[Aplicación]],14,6)</f>
        <v>212</v>
      </c>
    </row>
    <row r="3179" spans="1:24" x14ac:dyDescent="0.25">
      <c r="A3179" s="45">
        <v>220210015648</v>
      </c>
      <c r="B3179" s="46" t="s">
        <v>204</v>
      </c>
      <c r="C3179" s="47">
        <v>44302</v>
      </c>
      <c r="D3179" s="45">
        <v>22021002228</v>
      </c>
      <c r="E3179" s="46" t="s">
        <v>1471</v>
      </c>
      <c r="F3179" s="48">
        <v>45.74</v>
      </c>
      <c r="G3179" s="54" t="s">
        <v>277</v>
      </c>
      <c r="H3179" s="54" t="s">
        <v>4751</v>
      </c>
      <c r="I3179" s="53" t="s">
        <v>205</v>
      </c>
      <c r="J3179" s="54" t="s">
        <v>127</v>
      </c>
      <c r="K3179" s="54" t="s">
        <v>127</v>
      </c>
      <c r="L3179" s="54" t="s">
        <v>15</v>
      </c>
      <c r="M3179" s="54" t="s">
        <v>13</v>
      </c>
      <c r="N3179" s="54" t="s">
        <v>14</v>
      </c>
      <c r="O3179" s="49" t="s">
        <v>814</v>
      </c>
      <c r="P3179" s="54" t="s">
        <v>3392</v>
      </c>
      <c r="Q3179" s="35" t="str">
        <f>MID(Tabla1[[#This Row],[Aplicación]],14,1)</f>
        <v>2</v>
      </c>
      <c r="R3179" s="35" t="s">
        <v>495</v>
      </c>
      <c r="S3179" s="35" t="str">
        <f>MID(Tabla1[[#This Row],[Aplicación]],6,2)</f>
        <v>06</v>
      </c>
      <c r="T3179" s="35" t="str">
        <f>VLOOKUP(Tabla1[[#This Row],[AREA]],Hoja1!A:B,2,FALSE)</f>
        <v>06. Educación, infancia, juventud e igualdad</v>
      </c>
      <c r="U3179" s="35" t="str">
        <f>MID(Tabla1[[#This Row],[Aplicación]],9,4)</f>
        <v>3232</v>
      </c>
      <c r="V3179" s="35" t="str">
        <f>VLOOKUP(Tabla1[[#This Row],[PROGRAMA]],Hoja1!A:B,2,FALSE)</f>
        <v>3232. Conservación y mantenimiento centros educación infantil y primaria</v>
      </c>
      <c r="W3179" s="35" t="str">
        <f>MID(Tabla1[[#This Row],[Aplicación]],14,2)</f>
        <v>21</v>
      </c>
      <c r="X3179" s="35" t="str">
        <f>MID(Tabla1[[#This Row],[Aplicación]],14,6)</f>
        <v>212</v>
      </c>
    </row>
    <row r="3180" spans="1:24" x14ac:dyDescent="0.25">
      <c r="A3180" s="45">
        <v>220210032793</v>
      </c>
      <c r="B3180" s="46" t="s">
        <v>204</v>
      </c>
      <c r="C3180" s="47">
        <v>44371</v>
      </c>
      <c r="D3180" s="45">
        <v>22021002056</v>
      </c>
      <c r="E3180" s="46" t="s">
        <v>876</v>
      </c>
      <c r="F3180" s="48">
        <v>45.62</v>
      </c>
      <c r="G3180" s="54" t="s">
        <v>272</v>
      </c>
      <c r="H3180" s="54" t="s">
        <v>4752</v>
      </c>
      <c r="I3180" s="53" t="s">
        <v>205</v>
      </c>
      <c r="J3180" s="54" t="s">
        <v>127</v>
      </c>
      <c r="K3180" s="54" t="s">
        <v>127</v>
      </c>
      <c r="L3180" s="54" t="s">
        <v>15</v>
      </c>
      <c r="M3180" s="54" t="s">
        <v>13</v>
      </c>
      <c r="N3180" s="54" t="s">
        <v>14</v>
      </c>
      <c r="O3180" s="49" t="s">
        <v>814</v>
      </c>
      <c r="P3180" s="54" t="s">
        <v>3392</v>
      </c>
      <c r="Q3180" s="35" t="str">
        <f>MID(Tabla1[[#This Row],[Aplicación]],14,1)</f>
        <v>2</v>
      </c>
      <c r="R3180" s="35" t="s">
        <v>495</v>
      </c>
      <c r="S3180" s="35" t="str">
        <f>MID(Tabla1[[#This Row],[Aplicación]],6,2)</f>
        <v>11</v>
      </c>
      <c r="T3180" s="35" t="str">
        <f>VLOOKUP(Tabla1[[#This Row],[AREA]],Hoja1!A:B,2,FALSE)</f>
        <v>11. Salud pública y seguridad ciudadana</v>
      </c>
      <c r="U3180" s="35" t="str">
        <f>MID(Tabla1[[#This Row],[Aplicación]],9,4)</f>
        <v>1631</v>
      </c>
      <c r="V3180" s="35" t="str">
        <f>VLOOKUP(Tabla1[[#This Row],[PROGRAMA]],Hoja1!A:B,2,FALSE)</f>
        <v>1631. Limpieza viaria</v>
      </c>
      <c r="W3180" s="35" t="str">
        <f>MID(Tabla1[[#This Row],[Aplicación]],14,2)</f>
        <v>22</v>
      </c>
      <c r="X3180" s="35" t="str">
        <f>MID(Tabla1[[#This Row],[Aplicación]],14,6)</f>
        <v>22110</v>
      </c>
    </row>
    <row r="3181" spans="1:24" x14ac:dyDescent="0.25">
      <c r="A3181" s="45">
        <v>220210029579</v>
      </c>
      <c r="B3181" s="46" t="s">
        <v>204</v>
      </c>
      <c r="C3181" s="47">
        <v>44355</v>
      </c>
      <c r="D3181" s="45">
        <v>22021002144</v>
      </c>
      <c r="E3181" s="46" t="s">
        <v>1328</v>
      </c>
      <c r="F3181" s="48">
        <v>45.47</v>
      </c>
      <c r="G3181" s="54" t="s">
        <v>150</v>
      </c>
      <c r="H3181" s="54" t="s">
        <v>4753</v>
      </c>
      <c r="I3181" s="53" t="s">
        <v>205</v>
      </c>
      <c r="J3181" s="54" t="s">
        <v>146</v>
      </c>
      <c r="K3181" s="54" t="s">
        <v>146</v>
      </c>
      <c r="L3181" s="54" t="s">
        <v>15</v>
      </c>
      <c r="M3181" s="54" t="s">
        <v>13</v>
      </c>
      <c r="N3181" s="54" t="s">
        <v>14</v>
      </c>
      <c r="O3181" s="49" t="s">
        <v>814</v>
      </c>
      <c r="P3181" s="54" t="s">
        <v>3392</v>
      </c>
      <c r="Q3181" s="35" t="str">
        <f>MID(Tabla1[[#This Row],[Aplicación]],14,1)</f>
        <v>2</v>
      </c>
      <c r="R3181" s="35" t="s">
        <v>495</v>
      </c>
      <c r="S3181" s="35" t="str">
        <f>MID(Tabla1[[#This Row],[Aplicación]],6,2)</f>
        <v>10</v>
      </c>
      <c r="T3181" s="35" t="str">
        <f>VLOOKUP(Tabla1[[#This Row],[AREA]],Hoja1!A:B,2,FALSE)</f>
        <v>10. Servicios sociales y mediación comunitaria</v>
      </c>
      <c r="U3181" s="35" t="str">
        <f>MID(Tabla1[[#This Row],[Aplicación]],9,4)</f>
        <v>2311</v>
      </c>
      <c r="V3181" s="35" t="str">
        <f>VLOOKUP(Tabla1[[#This Row],[PROGRAMA]],Hoja1!A:B,2,FALSE)</f>
        <v>2311. Intervención social</v>
      </c>
      <c r="W3181" s="35" t="str">
        <f>MID(Tabla1[[#This Row],[Aplicación]],14,2)</f>
        <v>21</v>
      </c>
      <c r="X3181" s="35" t="str">
        <f>MID(Tabla1[[#This Row],[Aplicación]],14,6)</f>
        <v>212</v>
      </c>
    </row>
    <row r="3182" spans="1:24" x14ac:dyDescent="0.25">
      <c r="A3182" s="45">
        <v>220210033210</v>
      </c>
      <c r="B3182" s="46" t="s">
        <v>204</v>
      </c>
      <c r="C3182" s="47">
        <v>44377</v>
      </c>
      <c r="D3182" s="45">
        <v>22021002057</v>
      </c>
      <c r="E3182" s="46" t="s">
        <v>1715</v>
      </c>
      <c r="F3182" s="48">
        <v>44.79</v>
      </c>
      <c r="G3182" s="54" t="s">
        <v>3265</v>
      </c>
      <c r="H3182" s="54" t="s">
        <v>4754</v>
      </c>
      <c r="I3182" s="53" t="s">
        <v>205</v>
      </c>
      <c r="J3182" s="54" t="s">
        <v>127</v>
      </c>
      <c r="K3182" s="54" t="s">
        <v>127</v>
      </c>
      <c r="L3182" s="54" t="s">
        <v>15</v>
      </c>
      <c r="M3182" s="54" t="s">
        <v>13</v>
      </c>
      <c r="N3182" s="54" t="s">
        <v>14</v>
      </c>
      <c r="O3182" s="49" t="s">
        <v>814</v>
      </c>
      <c r="P3182" s="54" t="s">
        <v>3392</v>
      </c>
      <c r="Q3182" s="35" t="str">
        <f>MID(Tabla1[[#This Row],[Aplicación]],14,1)</f>
        <v>2</v>
      </c>
      <c r="R3182" s="35" t="s">
        <v>495</v>
      </c>
      <c r="S3182" s="35" t="str">
        <f>MID(Tabla1[[#This Row],[Aplicación]],6,2)</f>
        <v>11</v>
      </c>
      <c r="T3182" s="35" t="str">
        <f>VLOOKUP(Tabla1[[#This Row],[AREA]],Hoja1!A:B,2,FALSE)</f>
        <v>11. Salud pública y seguridad ciudadana</v>
      </c>
      <c r="U3182" s="35" t="str">
        <f>MID(Tabla1[[#This Row],[Aplicación]],9,4)</f>
        <v>1631</v>
      </c>
      <c r="V3182" s="35" t="str">
        <f>VLOOKUP(Tabla1[[#This Row],[PROGRAMA]],Hoja1!A:B,2,FALSE)</f>
        <v>1631. Limpieza viaria</v>
      </c>
      <c r="W3182" s="35" t="str">
        <f>MID(Tabla1[[#This Row],[Aplicación]],14,2)</f>
        <v>22</v>
      </c>
      <c r="X3182" s="35" t="str">
        <f>MID(Tabla1[[#This Row],[Aplicación]],14,6)</f>
        <v>22199</v>
      </c>
    </row>
    <row r="3183" spans="1:24" x14ac:dyDescent="0.25">
      <c r="A3183" s="45">
        <v>220210021023</v>
      </c>
      <c r="B3183" s="46" t="s">
        <v>9</v>
      </c>
      <c r="C3183" s="47">
        <v>44323</v>
      </c>
      <c r="D3183" s="45">
        <v>22021004307</v>
      </c>
      <c r="E3183" s="46" t="s">
        <v>1167</v>
      </c>
      <c r="F3183" s="48">
        <v>1483.95</v>
      </c>
      <c r="G3183" s="54" t="s">
        <v>4088</v>
      </c>
      <c r="H3183" s="54" t="s">
        <v>4755</v>
      </c>
      <c r="I3183" s="53" t="s">
        <v>125</v>
      </c>
      <c r="J3183" s="54" t="s">
        <v>127</v>
      </c>
      <c r="K3183" s="54" t="s">
        <v>127</v>
      </c>
      <c r="L3183" s="54" t="s">
        <v>12</v>
      </c>
      <c r="M3183" s="54" t="s">
        <v>10</v>
      </c>
      <c r="N3183" s="54" t="s">
        <v>11</v>
      </c>
      <c r="O3183" s="49" t="s">
        <v>815</v>
      </c>
      <c r="P3183" s="54" t="s">
        <v>3392</v>
      </c>
      <c r="Q3183" s="35" t="str">
        <f>MID(Tabla1[[#This Row],[Aplicación]],14,1)</f>
        <v>2</v>
      </c>
      <c r="R3183" s="35" t="s">
        <v>495</v>
      </c>
      <c r="S3183" s="35" t="str">
        <f>MID(Tabla1[[#This Row],[Aplicación]],6,2)</f>
        <v>11</v>
      </c>
      <c r="T3183" s="35" t="str">
        <f>VLOOKUP(Tabla1[[#This Row],[AREA]],Hoja1!A:B,2,FALSE)</f>
        <v>11. Salud pública y seguridad ciudadana</v>
      </c>
      <c r="U3183" s="35" t="str">
        <f>MID(Tabla1[[#This Row],[Aplicación]],9,4)</f>
        <v>1321</v>
      </c>
      <c r="V3183" s="35" t="str">
        <f>VLOOKUP(Tabla1[[#This Row],[PROGRAMA]],Hoja1!A:B,2,FALSE)</f>
        <v>1321. Policía municipal</v>
      </c>
      <c r="W3183" s="35" t="str">
        <f>MID(Tabla1[[#This Row],[Aplicación]],14,2)</f>
        <v>21</v>
      </c>
      <c r="X3183" s="35" t="str">
        <f>MID(Tabla1[[#This Row],[Aplicación]],14,6)</f>
        <v>214</v>
      </c>
    </row>
    <row r="3184" spans="1:24" x14ac:dyDescent="0.25">
      <c r="A3184" s="45">
        <v>220210030117</v>
      </c>
      <c r="B3184" s="46" t="s">
        <v>204</v>
      </c>
      <c r="C3184" s="47">
        <v>44356</v>
      </c>
      <c r="D3184" s="45">
        <v>22021002228</v>
      </c>
      <c r="E3184" s="46" t="s">
        <v>1471</v>
      </c>
      <c r="F3184" s="48">
        <v>44.75</v>
      </c>
      <c r="G3184" s="54" t="s">
        <v>283</v>
      </c>
      <c r="H3184" s="54" t="s">
        <v>4756</v>
      </c>
      <c r="I3184" s="53" t="s">
        <v>205</v>
      </c>
      <c r="J3184" s="54" t="s">
        <v>127</v>
      </c>
      <c r="K3184" s="54" t="s">
        <v>127</v>
      </c>
      <c r="L3184" s="54" t="s">
        <v>15</v>
      </c>
      <c r="M3184" s="54" t="s">
        <v>13</v>
      </c>
      <c r="N3184" s="54" t="s">
        <v>14</v>
      </c>
      <c r="O3184" s="49" t="s">
        <v>814</v>
      </c>
      <c r="P3184" s="54" t="s">
        <v>3392</v>
      </c>
      <c r="Q3184" s="35" t="str">
        <f>MID(Tabla1[[#This Row],[Aplicación]],14,1)</f>
        <v>2</v>
      </c>
      <c r="R3184" s="35" t="s">
        <v>495</v>
      </c>
      <c r="S3184" s="35" t="str">
        <f>MID(Tabla1[[#This Row],[Aplicación]],6,2)</f>
        <v>06</v>
      </c>
      <c r="T3184" s="35" t="str">
        <f>VLOOKUP(Tabla1[[#This Row],[AREA]],Hoja1!A:B,2,FALSE)</f>
        <v>06. Educación, infancia, juventud e igualdad</v>
      </c>
      <c r="U3184" s="35" t="str">
        <f>MID(Tabla1[[#This Row],[Aplicación]],9,4)</f>
        <v>3232</v>
      </c>
      <c r="V3184" s="35" t="str">
        <f>VLOOKUP(Tabla1[[#This Row],[PROGRAMA]],Hoja1!A:B,2,FALSE)</f>
        <v>3232. Conservación y mantenimiento centros educación infantil y primaria</v>
      </c>
      <c r="W3184" s="35" t="str">
        <f>MID(Tabla1[[#This Row],[Aplicación]],14,2)</f>
        <v>21</v>
      </c>
      <c r="X3184" s="35" t="str">
        <f>MID(Tabla1[[#This Row],[Aplicación]],14,6)</f>
        <v>212</v>
      </c>
    </row>
    <row r="3185" spans="1:24" x14ac:dyDescent="0.25">
      <c r="A3185" s="45">
        <v>220210014374</v>
      </c>
      <c r="B3185" s="46" t="s">
        <v>9</v>
      </c>
      <c r="C3185" s="47">
        <v>44295</v>
      </c>
      <c r="D3185" s="45">
        <v>22021003727</v>
      </c>
      <c r="E3185" s="46" t="s">
        <v>1183</v>
      </c>
      <c r="F3185" s="48">
        <v>36.299999999999997</v>
      </c>
      <c r="G3185" s="54" t="s">
        <v>4757</v>
      </c>
      <c r="H3185" s="54" t="s">
        <v>4758</v>
      </c>
      <c r="I3185" s="53" t="s">
        <v>125</v>
      </c>
      <c r="J3185" s="54" t="s">
        <v>127</v>
      </c>
      <c r="K3185" s="54" t="s">
        <v>127</v>
      </c>
      <c r="L3185" s="54" t="s">
        <v>15</v>
      </c>
      <c r="M3185" s="54" t="s">
        <v>10</v>
      </c>
      <c r="N3185" s="54" t="s">
        <v>11</v>
      </c>
      <c r="O3185" s="49" t="s">
        <v>815</v>
      </c>
      <c r="P3185" s="54" t="s">
        <v>3392</v>
      </c>
      <c r="Q3185" s="35" t="str">
        <f>MID(Tabla1[[#This Row],[Aplicación]],14,1)</f>
        <v>2</v>
      </c>
      <c r="R3185" s="35" t="s">
        <v>495</v>
      </c>
      <c r="S3185" s="35" t="str">
        <f>MID(Tabla1[[#This Row],[Aplicación]],6,2)</f>
        <v>11</v>
      </c>
      <c r="T3185" s="35" t="str">
        <f>VLOOKUP(Tabla1[[#This Row],[AREA]],Hoja1!A:B,2,FALSE)</f>
        <v>11. Salud pública y seguridad ciudadana</v>
      </c>
      <c r="U3185" s="35" t="str">
        <f>MID(Tabla1[[#This Row],[Aplicación]],9,4)</f>
        <v>1361</v>
      </c>
      <c r="V3185" s="35" t="str">
        <f>VLOOKUP(Tabla1[[#This Row],[PROGRAMA]],Hoja1!A:B,2,FALSE)</f>
        <v>1361. Prevención y extinción de incencios</v>
      </c>
      <c r="W3185" s="35" t="str">
        <f>MID(Tabla1[[#This Row],[Aplicación]],14,2)</f>
        <v>22</v>
      </c>
      <c r="X3185" s="35" t="str">
        <f>MID(Tabla1[[#This Row],[Aplicación]],14,6)</f>
        <v>22199</v>
      </c>
    </row>
    <row r="3186" spans="1:24" x14ac:dyDescent="0.25">
      <c r="A3186" s="45">
        <v>220210015302</v>
      </c>
      <c r="B3186" s="46" t="s">
        <v>9</v>
      </c>
      <c r="C3186" s="47">
        <v>44300</v>
      </c>
      <c r="D3186" s="45">
        <v>22021003821</v>
      </c>
      <c r="E3186" s="46" t="s">
        <v>1487</v>
      </c>
      <c r="F3186" s="48">
        <v>36.299999999999997</v>
      </c>
      <c r="G3186" s="54" t="s">
        <v>120</v>
      </c>
      <c r="H3186" s="54" t="s">
        <v>4759</v>
      </c>
      <c r="I3186" s="53" t="s">
        <v>125</v>
      </c>
      <c r="J3186" s="54" t="s">
        <v>126</v>
      </c>
      <c r="K3186" s="54" t="s">
        <v>126</v>
      </c>
      <c r="L3186" s="54" t="s">
        <v>12</v>
      </c>
      <c r="M3186" s="54" t="s">
        <v>10</v>
      </c>
      <c r="N3186" s="54" t="s">
        <v>11</v>
      </c>
      <c r="O3186" s="49" t="s">
        <v>815</v>
      </c>
      <c r="P3186" s="54" t="s">
        <v>3392</v>
      </c>
      <c r="Q3186" s="35" t="str">
        <f>MID(Tabla1[[#This Row],[Aplicación]],14,1)</f>
        <v>6</v>
      </c>
      <c r="R3186" s="35" t="s">
        <v>496</v>
      </c>
      <c r="S3186" s="35" t="str">
        <f>MID(Tabla1[[#This Row],[Aplicación]],6,2)</f>
        <v>08</v>
      </c>
      <c r="T3186" s="35" t="str">
        <f>VLOOKUP(Tabla1[[#This Row],[AREA]],Hoja1!A:B,2,FALSE)</f>
        <v>08. Movilidad y espacio urbano</v>
      </c>
      <c r="U3186" s="35" t="str">
        <f>MID(Tabla1[[#This Row],[Aplicación]],9,4)</f>
        <v>1532</v>
      </c>
      <c r="V3186" s="35" t="str">
        <f>VLOOKUP(Tabla1[[#This Row],[PROGRAMA]],Hoja1!A:B,2,FALSE)</f>
        <v>1532. Pavimentación vias públicas y otros servicios urbanísticos</v>
      </c>
      <c r="W3186" s="35" t="str">
        <f>MID(Tabla1[[#This Row],[Aplicación]],14,2)</f>
        <v>61</v>
      </c>
      <c r="X3186" s="35" t="str">
        <f>MID(Tabla1[[#This Row],[Aplicación]],14,6)</f>
        <v>619</v>
      </c>
    </row>
    <row r="3187" spans="1:24" x14ac:dyDescent="0.25">
      <c r="A3187" s="45">
        <v>220210016555</v>
      </c>
      <c r="B3187" s="46" t="s">
        <v>204</v>
      </c>
      <c r="C3187" s="47">
        <v>44306</v>
      </c>
      <c r="D3187" s="45">
        <v>22021001039</v>
      </c>
      <c r="E3187" s="46" t="s">
        <v>844</v>
      </c>
      <c r="F3187" s="48">
        <v>44.65</v>
      </c>
      <c r="G3187" s="54" t="s">
        <v>102</v>
      </c>
      <c r="H3187" s="54" t="s">
        <v>4760</v>
      </c>
      <c r="I3187" s="53" t="s">
        <v>205</v>
      </c>
      <c r="J3187" s="54" t="s">
        <v>127</v>
      </c>
      <c r="K3187" s="54" t="s">
        <v>127</v>
      </c>
      <c r="L3187" s="54" t="s">
        <v>15</v>
      </c>
      <c r="M3187" s="54" t="s">
        <v>13</v>
      </c>
      <c r="N3187" s="54" t="s">
        <v>14</v>
      </c>
      <c r="O3187" s="49" t="s">
        <v>814</v>
      </c>
      <c r="P3187" s="54" t="s">
        <v>3392</v>
      </c>
      <c r="Q3187" s="35" t="str">
        <f>MID(Tabla1[[#This Row],[Aplicación]],14,1)</f>
        <v>2</v>
      </c>
      <c r="R3187" s="35" t="s">
        <v>495</v>
      </c>
      <c r="S3187" s="35" t="str">
        <f>MID(Tabla1[[#This Row],[Aplicación]],6,2)</f>
        <v>10</v>
      </c>
      <c r="T3187" s="35" t="str">
        <f>VLOOKUP(Tabla1[[#This Row],[AREA]],Hoja1!A:B,2,FALSE)</f>
        <v>10. Servicios sociales y mediación comunitaria</v>
      </c>
      <c r="U3187" s="35" t="str">
        <f>MID(Tabla1[[#This Row],[Aplicación]],9,4)</f>
        <v>2312</v>
      </c>
      <c r="V3187" s="35" t="str">
        <f>VLOOKUP(Tabla1[[#This Row],[PROGRAMA]],Hoja1!A:B,2,FALSE)</f>
        <v>2312. Iniciativas sociales</v>
      </c>
      <c r="W3187" s="35" t="str">
        <f>MID(Tabla1[[#This Row],[Aplicación]],14,2)</f>
        <v>21</v>
      </c>
      <c r="X3187" s="35" t="str">
        <f>MID(Tabla1[[#This Row],[Aplicación]],14,6)</f>
        <v>212</v>
      </c>
    </row>
    <row r="3188" spans="1:24" x14ac:dyDescent="0.25">
      <c r="A3188" s="45">
        <v>220210024800</v>
      </c>
      <c r="B3188" s="46" t="s">
        <v>204</v>
      </c>
      <c r="C3188" s="47">
        <v>44340</v>
      </c>
      <c r="D3188" s="45">
        <v>22021002369</v>
      </c>
      <c r="E3188" s="46" t="s">
        <v>1336</v>
      </c>
      <c r="F3188" s="48">
        <v>44.04</v>
      </c>
      <c r="G3188" s="54" t="s">
        <v>257</v>
      </c>
      <c r="H3188" s="54" t="s">
        <v>4761</v>
      </c>
      <c r="I3188" s="53" t="s">
        <v>205</v>
      </c>
      <c r="J3188" s="54" t="s">
        <v>127</v>
      </c>
      <c r="K3188" s="54" t="s">
        <v>127</v>
      </c>
      <c r="L3188" s="54" t="s">
        <v>15</v>
      </c>
      <c r="M3188" s="54" t="s">
        <v>13</v>
      </c>
      <c r="N3188" s="54" t="s">
        <v>14</v>
      </c>
      <c r="O3188" s="49" t="s">
        <v>814</v>
      </c>
      <c r="P3188" s="54" t="s">
        <v>3392</v>
      </c>
      <c r="Q3188" s="35" t="str">
        <f>MID(Tabla1[[#This Row],[Aplicación]],14,1)</f>
        <v>2</v>
      </c>
      <c r="R3188" s="35" t="s">
        <v>495</v>
      </c>
      <c r="S3188" s="35" t="str">
        <f>MID(Tabla1[[#This Row],[Aplicación]],6,2)</f>
        <v>02</v>
      </c>
      <c r="T3188" s="35" t="str">
        <f>VLOOKUP(Tabla1[[#This Row],[AREA]],Hoja1!A:B,2,FALSE)</f>
        <v>02. Planeamiento urbanístico y vivienda</v>
      </c>
      <c r="U3188" s="35" t="str">
        <f>MID(Tabla1[[#This Row],[Aplicación]],9,4)</f>
        <v>9332</v>
      </c>
      <c r="V3188" s="35" t="str">
        <f>VLOOKUP(Tabla1[[#This Row],[PROGRAMA]],Hoja1!A:B,2,FALSE)</f>
        <v>9332. Mantenimiento de edificios e instalaciones municipales</v>
      </c>
      <c r="W3188" s="35" t="str">
        <f>MID(Tabla1[[#This Row],[Aplicación]],14,2)</f>
        <v>21</v>
      </c>
      <c r="X3188" s="35" t="str">
        <f>MID(Tabla1[[#This Row],[Aplicación]],14,6)</f>
        <v>212</v>
      </c>
    </row>
    <row r="3189" spans="1:24" x14ac:dyDescent="0.25">
      <c r="A3189" s="45">
        <v>220210020665</v>
      </c>
      <c r="B3189" s="46" t="s">
        <v>204</v>
      </c>
      <c r="C3189" s="47">
        <v>44323</v>
      </c>
      <c r="D3189" s="45">
        <v>22021002371</v>
      </c>
      <c r="E3189" s="46" t="s">
        <v>1336</v>
      </c>
      <c r="F3189" s="48">
        <v>43.92</v>
      </c>
      <c r="G3189" s="54" t="s">
        <v>102</v>
      </c>
      <c r="H3189" s="54" t="s">
        <v>4762</v>
      </c>
      <c r="I3189" s="53" t="s">
        <v>205</v>
      </c>
      <c r="J3189" s="54" t="s">
        <v>127</v>
      </c>
      <c r="K3189" s="54" t="s">
        <v>127</v>
      </c>
      <c r="L3189" s="54" t="s">
        <v>15</v>
      </c>
      <c r="M3189" s="54" t="s">
        <v>13</v>
      </c>
      <c r="N3189" s="54" t="s">
        <v>14</v>
      </c>
      <c r="O3189" s="49" t="s">
        <v>814</v>
      </c>
      <c r="P3189" s="54" t="s">
        <v>3392</v>
      </c>
      <c r="Q3189" s="35" t="str">
        <f>MID(Tabla1[[#This Row],[Aplicación]],14,1)</f>
        <v>2</v>
      </c>
      <c r="R3189" s="35" t="s">
        <v>495</v>
      </c>
      <c r="S3189" s="35" t="str">
        <f>MID(Tabla1[[#This Row],[Aplicación]],6,2)</f>
        <v>02</v>
      </c>
      <c r="T3189" s="35" t="str">
        <f>VLOOKUP(Tabla1[[#This Row],[AREA]],Hoja1!A:B,2,FALSE)</f>
        <v>02. Planeamiento urbanístico y vivienda</v>
      </c>
      <c r="U3189" s="35" t="str">
        <f>MID(Tabla1[[#This Row],[Aplicación]],9,4)</f>
        <v>9332</v>
      </c>
      <c r="V3189" s="35" t="str">
        <f>VLOOKUP(Tabla1[[#This Row],[PROGRAMA]],Hoja1!A:B,2,FALSE)</f>
        <v>9332. Mantenimiento de edificios e instalaciones municipales</v>
      </c>
      <c r="W3189" s="35" t="str">
        <f>MID(Tabla1[[#This Row],[Aplicación]],14,2)</f>
        <v>21</v>
      </c>
      <c r="X3189" s="35" t="str">
        <f>MID(Tabla1[[#This Row],[Aplicación]],14,6)</f>
        <v>212</v>
      </c>
    </row>
    <row r="3190" spans="1:24" x14ac:dyDescent="0.25">
      <c r="A3190" s="45">
        <v>220210017105</v>
      </c>
      <c r="B3190" s="46" t="s">
        <v>204</v>
      </c>
      <c r="C3190" s="47">
        <v>44312</v>
      </c>
      <c r="D3190" s="45">
        <v>22021002088</v>
      </c>
      <c r="E3190" s="46" t="s">
        <v>1478</v>
      </c>
      <c r="F3190" s="48">
        <v>43.51</v>
      </c>
      <c r="G3190" s="54" t="s">
        <v>238</v>
      </c>
      <c r="H3190" s="54" t="s">
        <v>4763</v>
      </c>
      <c r="I3190" s="53" t="s">
        <v>205</v>
      </c>
      <c r="J3190" s="54" t="s">
        <v>127</v>
      </c>
      <c r="K3190" s="54" t="s">
        <v>127</v>
      </c>
      <c r="L3190" s="54" t="s">
        <v>15</v>
      </c>
      <c r="M3190" s="54" t="s">
        <v>13</v>
      </c>
      <c r="N3190" s="54" t="s">
        <v>16</v>
      </c>
      <c r="O3190" s="49" t="s">
        <v>814</v>
      </c>
      <c r="P3190" s="54" t="s">
        <v>3392</v>
      </c>
      <c r="Q3190" s="35" t="str">
        <f>MID(Tabla1[[#This Row],[Aplicación]],14,1)</f>
        <v>2</v>
      </c>
      <c r="R3190" s="35" t="s">
        <v>495</v>
      </c>
      <c r="S3190" s="35" t="str">
        <f>MID(Tabla1[[#This Row],[Aplicación]],6,2)</f>
        <v>03</v>
      </c>
      <c r="T3190" s="35" t="str">
        <f>VLOOKUP(Tabla1[[#This Row],[AREA]],Hoja1!A:B,2,FALSE)</f>
        <v>03. Participación ciudadana y deportes</v>
      </c>
      <c r="U3190" s="35" t="str">
        <f>MID(Tabla1[[#This Row],[Aplicación]],9,4)</f>
        <v>9241</v>
      </c>
      <c r="V3190" s="35" t="str">
        <f>VLOOKUP(Tabla1[[#This Row],[PROGRAMA]],Hoja1!A:B,2,FALSE)</f>
        <v>9241. Participación ciudadana</v>
      </c>
      <c r="W3190" s="35" t="str">
        <f>MID(Tabla1[[#This Row],[Aplicación]],14,2)</f>
        <v>21</v>
      </c>
      <c r="X3190" s="35" t="str">
        <f>MID(Tabla1[[#This Row],[Aplicación]],14,6)</f>
        <v>212</v>
      </c>
    </row>
    <row r="3191" spans="1:24" x14ac:dyDescent="0.25">
      <c r="A3191" s="45">
        <v>220210020788</v>
      </c>
      <c r="B3191" s="46" t="s">
        <v>204</v>
      </c>
      <c r="C3191" s="47">
        <v>44323</v>
      </c>
      <c r="D3191" s="45">
        <v>22021002089</v>
      </c>
      <c r="E3191" s="46" t="s">
        <v>1220</v>
      </c>
      <c r="F3191" s="48">
        <v>42.77</v>
      </c>
      <c r="G3191" s="54" t="s">
        <v>102</v>
      </c>
      <c r="H3191" s="54" t="s">
        <v>4764</v>
      </c>
      <c r="I3191" s="53" t="s">
        <v>205</v>
      </c>
      <c r="J3191" s="54" t="s">
        <v>127</v>
      </c>
      <c r="K3191" s="54" t="s">
        <v>127</v>
      </c>
      <c r="L3191" s="54" t="s">
        <v>15</v>
      </c>
      <c r="M3191" s="54" t="s">
        <v>13</v>
      </c>
      <c r="N3191" s="54" t="s">
        <v>16</v>
      </c>
      <c r="O3191" s="49" t="s">
        <v>814</v>
      </c>
      <c r="P3191" s="54" t="s">
        <v>3392</v>
      </c>
      <c r="Q3191" s="35" t="str">
        <f>MID(Tabla1[[#This Row],[Aplicación]],14,1)</f>
        <v>2</v>
      </c>
      <c r="R3191" s="35" t="s">
        <v>495</v>
      </c>
      <c r="S3191" s="35" t="str">
        <f>MID(Tabla1[[#This Row],[Aplicación]],6,2)</f>
        <v>03</v>
      </c>
      <c r="T3191" s="35" t="str">
        <f>VLOOKUP(Tabla1[[#This Row],[AREA]],Hoja1!A:B,2,FALSE)</f>
        <v>03. Participación ciudadana y deportes</v>
      </c>
      <c r="U3191" s="35" t="str">
        <f>MID(Tabla1[[#This Row],[Aplicación]],9,4)</f>
        <v>9241</v>
      </c>
      <c r="V3191" s="35" t="str">
        <f>VLOOKUP(Tabla1[[#This Row],[PROGRAMA]],Hoja1!A:B,2,FALSE)</f>
        <v>9241. Participación ciudadana</v>
      </c>
      <c r="W3191" s="35" t="str">
        <f>MID(Tabla1[[#This Row],[Aplicación]],14,2)</f>
        <v>21</v>
      </c>
      <c r="X3191" s="35" t="str">
        <f>MID(Tabla1[[#This Row],[Aplicación]],14,6)</f>
        <v>213</v>
      </c>
    </row>
    <row r="3192" spans="1:24" x14ac:dyDescent="0.25">
      <c r="A3192" s="45">
        <v>220210023286</v>
      </c>
      <c r="B3192" s="46" t="s">
        <v>204</v>
      </c>
      <c r="C3192" s="47">
        <v>44335</v>
      </c>
      <c r="D3192" s="45">
        <v>22021001968</v>
      </c>
      <c r="E3192" s="46" t="s">
        <v>1388</v>
      </c>
      <c r="F3192" s="48">
        <v>42.58</v>
      </c>
      <c r="G3192" s="54" t="s">
        <v>135</v>
      </c>
      <c r="H3192" s="54" t="s">
        <v>4765</v>
      </c>
      <c r="I3192" s="53" t="s">
        <v>205</v>
      </c>
      <c r="J3192" s="54" t="s">
        <v>127</v>
      </c>
      <c r="K3192" s="54" t="s">
        <v>127</v>
      </c>
      <c r="L3192" s="54" t="s">
        <v>15</v>
      </c>
      <c r="M3192" s="54" t="s">
        <v>13</v>
      </c>
      <c r="N3192" s="54" t="s">
        <v>14</v>
      </c>
      <c r="O3192" s="49" t="s">
        <v>814</v>
      </c>
      <c r="P3192" s="54" t="s">
        <v>3392</v>
      </c>
      <c r="Q3192" s="35" t="str">
        <f>MID(Tabla1[[#This Row],[Aplicación]],14,1)</f>
        <v>2</v>
      </c>
      <c r="R3192" s="35" t="s">
        <v>495</v>
      </c>
      <c r="S3192" s="35" t="str">
        <f>MID(Tabla1[[#This Row],[Aplicación]],6,2)</f>
        <v>11</v>
      </c>
      <c r="T3192" s="35" t="str">
        <f>VLOOKUP(Tabla1[[#This Row],[AREA]],Hoja1!A:B,2,FALSE)</f>
        <v>11. Salud pública y seguridad ciudadana</v>
      </c>
      <c r="U3192" s="35" t="str">
        <f>MID(Tabla1[[#This Row],[Aplicación]],9,4)</f>
        <v>1321</v>
      </c>
      <c r="V3192" s="35" t="str">
        <f>VLOOKUP(Tabla1[[#This Row],[PROGRAMA]],Hoja1!A:B,2,FALSE)</f>
        <v>1321. Policía municipal</v>
      </c>
      <c r="W3192" s="35" t="str">
        <f>MID(Tabla1[[#This Row],[Aplicación]],14,2)</f>
        <v>22</v>
      </c>
      <c r="X3192" s="35" t="str">
        <f>MID(Tabla1[[#This Row],[Aplicación]],14,6)</f>
        <v>22199</v>
      </c>
    </row>
    <row r="3193" spans="1:24" x14ac:dyDescent="0.25">
      <c r="A3193" s="45">
        <v>220210031148</v>
      </c>
      <c r="B3193" s="46" t="s">
        <v>204</v>
      </c>
      <c r="C3193" s="47">
        <v>44361</v>
      </c>
      <c r="D3193" s="45">
        <v>22021001183</v>
      </c>
      <c r="E3193" s="46" t="s">
        <v>873</v>
      </c>
      <c r="F3193" s="48">
        <v>41.68</v>
      </c>
      <c r="G3193" s="54" t="s">
        <v>257</v>
      </c>
      <c r="H3193" s="54" t="s">
        <v>4766</v>
      </c>
      <c r="I3193" s="53" t="s">
        <v>205</v>
      </c>
      <c r="J3193" s="54" t="s">
        <v>127</v>
      </c>
      <c r="K3193" s="54" t="s">
        <v>127</v>
      </c>
      <c r="L3193" s="54" t="s">
        <v>15</v>
      </c>
      <c r="M3193" s="54" t="s">
        <v>13</v>
      </c>
      <c r="N3193" s="54" t="s">
        <v>14</v>
      </c>
      <c r="O3193" s="49" t="s">
        <v>814</v>
      </c>
      <c r="P3193" s="54" t="s">
        <v>3392</v>
      </c>
      <c r="Q3193" s="35" t="str">
        <f>MID(Tabla1[[#This Row],[Aplicación]],14,1)</f>
        <v>2</v>
      </c>
      <c r="R3193" s="35" t="s">
        <v>495</v>
      </c>
      <c r="S3193" s="35" t="str">
        <f>MID(Tabla1[[#This Row],[Aplicación]],6,2)</f>
        <v>10</v>
      </c>
      <c r="T3193" s="35" t="str">
        <f>VLOOKUP(Tabla1[[#This Row],[AREA]],Hoja1!A:B,2,FALSE)</f>
        <v>10. Servicios sociales y mediación comunitaria</v>
      </c>
      <c r="U3193" s="35" t="str">
        <f>MID(Tabla1[[#This Row],[Aplicación]],9,4)</f>
        <v>2412</v>
      </c>
      <c r="V3193" s="35" t="str">
        <f>VLOOKUP(Tabla1[[#This Row],[PROGRAMA]],Hoja1!A:B,2,FALSE)</f>
        <v>2412. Formación para el empleo</v>
      </c>
      <c r="W3193" s="35" t="str">
        <f>MID(Tabla1[[#This Row],[Aplicación]],14,2)</f>
        <v>22</v>
      </c>
      <c r="X3193" s="35" t="str">
        <f>MID(Tabla1[[#This Row],[Aplicación]],14,6)</f>
        <v>22199</v>
      </c>
    </row>
    <row r="3194" spans="1:24" x14ac:dyDescent="0.25">
      <c r="A3194" s="45">
        <v>220210015657</v>
      </c>
      <c r="B3194" s="46" t="s">
        <v>204</v>
      </c>
      <c r="C3194" s="47">
        <v>44302</v>
      </c>
      <c r="D3194" s="45">
        <v>22021002228</v>
      </c>
      <c r="E3194" s="46" t="s">
        <v>1471</v>
      </c>
      <c r="F3194" s="48">
        <v>40.43</v>
      </c>
      <c r="G3194" s="54" t="s">
        <v>257</v>
      </c>
      <c r="H3194" s="54" t="s">
        <v>4767</v>
      </c>
      <c r="I3194" s="53" t="s">
        <v>205</v>
      </c>
      <c r="J3194" s="54" t="s">
        <v>127</v>
      </c>
      <c r="K3194" s="54" t="s">
        <v>127</v>
      </c>
      <c r="L3194" s="54" t="s">
        <v>15</v>
      </c>
      <c r="M3194" s="54" t="s">
        <v>13</v>
      </c>
      <c r="N3194" s="54" t="s">
        <v>14</v>
      </c>
      <c r="O3194" s="49" t="s">
        <v>814</v>
      </c>
      <c r="P3194" s="54" t="s">
        <v>3392</v>
      </c>
      <c r="Q3194" s="35" t="str">
        <f>MID(Tabla1[[#This Row],[Aplicación]],14,1)</f>
        <v>2</v>
      </c>
      <c r="R3194" s="35" t="s">
        <v>495</v>
      </c>
      <c r="S3194" s="35" t="str">
        <f>MID(Tabla1[[#This Row],[Aplicación]],6,2)</f>
        <v>06</v>
      </c>
      <c r="T3194" s="35" t="str">
        <f>VLOOKUP(Tabla1[[#This Row],[AREA]],Hoja1!A:B,2,FALSE)</f>
        <v>06. Educación, infancia, juventud e igualdad</v>
      </c>
      <c r="U3194" s="35" t="str">
        <f>MID(Tabla1[[#This Row],[Aplicación]],9,4)</f>
        <v>3232</v>
      </c>
      <c r="V3194" s="35" t="str">
        <f>VLOOKUP(Tabla1[[#This Row],[PROGRAMA]],Hoja1!A:B,2,FALSE)</f>
        <v>3232. Conservación y mantenimiento centros educación infantil y primaria</v>
      </c>
      <c r="W3194" s="35" t="str">
        <f>MID(Tabla1[[#This Row],[Aplicación]],14,2)</f>
        <v>21</v>
      </c>
      <c r="X3194" s="35" t="str">
        <f>MID(Tabla1[[#This Row],[Aplicación]],14,6)</f>
        <v>212</v>
      </c>
    </row>
    <row r="3195" spans="1:24" x14ac:dyDescent="0.25">
      <c r="A3195" s="45">
        <v>220210025560</v>
      </c>
      <c r="B3195" s="46" t="s">
        <v>9</v>
      </c>
      <c r="C3195" s="47">
        <v>44342</v>
      </c>
      <c r="D3195" s="45">
        <v>22021004567</v>
      </c>
      <c r="E3195" s="46" t="s">
        <v>1167</v>
      </c>
      <c r="F3195" s="48">
        <v>33.75</v>
      </c>
      <c r="G3195" s="54" t="s">
        <v>528</v>
      </c>
      <c r="H3195" s="54" t="s">
        <v>4768</v>
      </c>
      <c r="I3195" s="53" t="s">
        <v>125</v>
      </c>
      <c r="J3195" s="54" t="s">
        <v>127</v>
      </c>
      <c r="K3195" s="54" t="s">
        <v>127</v>
      </c>
      <c r="L3195" s="54" t="s">
        <v>12</v>
      </c>
      <c r="M3195" s="54" t="s">
        <v>10</v>
      </c>
      <c r="N3195" s="54" t="s">
        <v>11</v>
      </c>
      <c r="O3195" s="49" t="s">
        <v>815</v>
      </c>
      <c r="P3195" s="54" t="s">
        <v>3392</v>
      </c>
      <c r="Q3195" s="35" t="str">
        <f>MID(Tabla1[[#This Row],[Aplicación]],14,1)</f>
        <v>2</v>
      </c>
      <c r="R3195" s="35" t="s">
        <v>495</v>
      </c>
      <c r="S3195" s="35" t="str">
        <f>MID(Tabla1[[#This Row],[Aplicación]],6,2)</f>
        <v>11</v>
      </c>
      <c r="T3195" s="35" t="str">
        <f>VLOOKUP(Tabla1[[#This Row],[AREA]],Hoja1!A:B,2,FALSE)</f>
        <v>11. Salud pública y seguridad ciudadana</v>
      </c>
      <c r="U3195" s="35" t="str">
        <f>MID(Tabla1[[#This Row],[Aplicación]],9,4)</f>
        <v>1321</v>
      </c>
      <c r="V3195" s="35" t="str">
        <f>VLOOKUP(Tabla1[[#This Row],[PROGRAMA]],Hoja1!A:B,2,FALSE)</f>
        <v>1321. Policía municipal</v>
      </c>
      <c r="W3195" s="35" t="str">
        <f>MID(Tabla1[[#This Row],[Aplicación]],14,2)</f>
        <v>21</v>
      </c>
      <c r="X3195" s="35" t="str">
        <f>MID(Tabla1[[#This Row],[Aplicación]],14,6)</f>
        <v>214</v>
      </c>
    </row>
    <row r="3196" spans="1:24" x14ac:dyDescent="0.25">
      <c r="A3196" s="45">
        <v>220210022818</v>
      </c>
      <c r="B3196" s="46" t="s">
        <v>9</v>
      </c>
      <c r="C3196" s="47">
        <v>44333</v>
      </c>
      <c r="D3196" s="45">
        <v>22021004406</v>
      </c>
      <c r="E3196" s="46" t="s">
        <v>1167</v>
      </c>
      <c r="F3196" s="48">
        <v>869.76</v>
      </c>
      <c r="G3196" s="54" t="s">
        <v>4088</v>
      </c>
      <c r="H3196" s="54" t="s">
        <v>4739</v>
      </c>
      <c r="I3196" s="53" t="s">
        <v>125</v>
      </c>
      <c r="J3196" s="54" t="s">
        <v>127</v>
      </c>
      <c r="K3196" s="54" t="s">
        <v>127</v>
      </c>
      <c r="L3196" s="54" t="s">
        <v>12</v>
      </c>
      <c r="M3196" s="54" t="s">
        <v>10</v>
      </c>
      <c r="N3196" s="54" t="s">
        <v>11</v>
      </c>
      <c r="O3196" s="49" t="s">
        <v>815</v>
      </c>
      <c r="P3196" s="54" t="s">
        <v>3392</v>
      </c>
      <c r="Q3196" s="35" t="str">
        <f>MID(Tabla1[[#This Row],[Aplicación]],14,1)</f>
        <v>2</v>
      </c>
      <c r="R3196" s="35" t="s">
        <v>495</v>
      </c>
      <c r="S3196" s="35" t="str">
        <f>MID(Tabla1[[#This Row],[Aplicación]],6,2)</f>
        <v>11</v>
      </c>
      <c r="T3196" s="35" t="str">
        <f>VLOOKUP(Tabla1[[#This Row],[AREA]],Hoja1!A:B,2,FALSE)</f>
        <v>11. Salud pública y seguridad ciudadana</v>
      </c>
      <c r="U3196" s="35" t="str">
        <f>MID(Tabla1[[#This Row],[Aplicación]],9,4)</f>
        <v>1321</v>
      </c>
      <c r="V3196" s="35" t="str">
        <f>VLOOKUP(Tabla1[[#This Row],[PROGRAMA]],Hoja1!A:B,2,FALSE)</f>
        <v>1321. Policía municipal</v>
      </c>
      <c r="W3196" s="35" t="str">
        <f>MID(Tabla1[[#This Row],[Aplicación]],14,2)</f>
        <v>21</v>
      </c>
      <c r="X3196" s="35" t="str">
        <f>MID(Tabla1[[#This Row],[Aplicación]],14,6)</f>
        <v>214</v>
      </c>
    </row>
    <row r="3197" spans="1:24" x14ac:dyDescent="0.25">
      <c r="A3197" s="45">
        <v>220210026016</v>
      </c>
      <c r="B3197" s="46" t="s">
        <v>204</v>
      </c>
      <c r="C3197" s="47">
        <v>44344</v>
      </c>
      <c r="D3197" s="45">
        <v>22021002228</v>
      </c>
      <c r="E3197" s="46" t="s">
        <v>1471</v>
      </c>
      <c r="F3197" s="48">
        <v>39.450000000000003</v>
      </c>
      <c r="G3197" s="54" t="s">
        <v>277</v>
      </c>
      <c r="H3197" s="54" t="s">
        <v>4769</v>
      </c>
      <c r="I3197" s="53" t="s">
        <v>205</v>
      </c>
      <c r="J3197" s="54" t="s">
        <v>127</v>
      </c>
      <c r="K3197" s="54" t="s">
        <v>127</v>
      </c>
      <c r="L3197" s="54" t="s">
        <v>15</v>
      </c>
      <c r="M3197" s="54" t="s">
        <v>13</v>
      </c>
      <c r="N3197" s="54" t="s">
        <v>14</v>
      </c>
      <c r="O3197" s="49" t="s">
        <v>814</v>
      </c>
      <c r="P3197" s="54" t="s">
        <v>3392</v>
      </c>
      <c r="Q3197" s="35" t="str">
        <f>MID(Tabla1[[#This Row],[Aplicación]],14,1)</f>
        <v>2</v>
      </c>
      <c r="R3197" s="35" t="s">
        <v>495</v>
      </c>
      <c r="S3197" s="35" t="str">
        <f>MID(Tabla1[[#This Row],[Aplicación]],6,2)</f>
        <v>06</v>
      </c>
      <c r="T3197" s="35" t="str">
        <f>VLOOKUP(Tabla1[[#This Row],[AREA]],Hoja1!A:B,2,FALSE)</f>
        <v>06. Educación, infancia, juventud e igualdad</v>
      </c>
      <c r="U3197" s="35" t="str">
        <f>MID(Tabla1[[#This Row],[Aplicación]],9,4)</f>
        <v>3232</v>
      </c>
      <c r="V3197" s="35" t="str">
        <f>VLOOKUP(Tabla1[[#This Row],[PROGRAMA]],Hoja1!A:B,2,FALSE)</f>
        <v>3232. Conservación y mantenimiento centros educación infantil y primaria</v>
      </c>
      <c r="W3197" s="35" t="str">
        <f>MID(Tabla1[[#This Row],[Aplicación]],14,2)</f>
        <v>21</v>
      </c>
      <c r="X3197" s="35" t="str">
        <f>MID(Tabla1[[#This Row],[Aplicación]],14,6)</f>
        <v>212</v>
      </c>
    </row>
    <row r="3198" spans="1:24" x14ac:dyDescent="0.25">
      <c r="A3198" s="45">
        <v>220210015974</v>
      </c>
      <c r="B3198" s="46" t="s">
        <v>204</v>
      </c>
      <c r="C3198" s="47">
        <v>44305</v>
      </c>
      <c r="D3198" s="45">
        <v>22021001182</v>
      </c>
      <c r="E3198" s="46" t="s">
        <v>873</v>
      </c>
      <c r="F3198" s="48">
        <v>39.229999999999997</v>
      </c>
      <c r="G3198" s="54" t="s">
        <v>238</v>
      </c>
      <c r="H3198" s="54" t="s">
        <v>4631</v>
      </c>
      <c r="I3198" s="53" t="s">
        <v>205</v>
      </c>
      <c r="J3198" s="54" t="s">
        <v>127</v>
      </c>
      <c r="K3198" s="54" t="s">
        <v>127</v>
      </c>
      <c r="L3198" s="54" t="s">
        <v>15</v>
      </c>
      <c r="M3198" s="54" t="s">
        <v>13</v>
      </c>
      <c r="N3198" s="54" t="s">
        <v>14</v>
      </c>
      <c r="O3198" s="49" t="s">
        <v>814</v>
      </c>
      <c r="P3198" s="54" t="s">
        <v>3392</v>
      </c>
      <c r="Q3198" s="35" t="str">
        <f>MID(Tabla1[[#This Row],[Aplicación]],14,1)</f>
        <v>2</v>
      </c>
      <c r="R3198" s="35" t="s">
        <v>495</v>
      </c>
      <c r="S3198" s="35" t="str">
        <f>MID(Tabla1[[#This Row],[Aplicación]],6,2)</f>
        <v>10</v>
      </c>
      <c r="T3198" s="35" t="str">
        <f>VLOOKUP(Tabla1[[#This Row],[AREA]],Hoja1!A:B,2,FALSE)</f>
        <v>10. Servicios sociales y mediación comunitaria</v>
      </c>
      <c r="U3198" s="35" t="str">
        <f>MID(Tabla1[[#This Row],[Aplicación]],9,4)</f>
        <v>2412</v>
      </c>
      <c r="V3198" s="35" t="str">
        <f>VLOOKUP(Tabla1[[#This Row],[PROGRAMA]],Hoja1!A:B,2,FALSE)</f>
        <v>2412. Formación para el empleo</v>
      </c>
      <c r="W3198" s="35" t="str">
        <f>MID(Tabla1[[#This Row],[Aplicación]],14,2)</f>
        <v>22</v>
      </c>
      <c r="X3198" s="35" t="str">
        <f>MID(Tabla1[[#This Row],[Aplicación]],14,6)</f>
        <v>22199</v>
      </c>
    </row>
    <row r="3199" spans="1:24" x14ac:dyDescent="0.25">
      <c r="A3199" s="45">
        <v>220210016036</v>
      </c>
      <c r="B3199" s="46" t="s">
        <v>204</v>
      </c>
      <c r="C3199" s="47">
        <v>44305</v>
      </c>
      <c r="D3199" s="45">
        <v>22021002006</v>
      </c>
      <c r="E3199" s="46" t="s">
        <v>1310</v>
      </c>
      <c r="F3199" s="48">
        <v>38.99</v>
      </c>
      <c r="G3199" s="54" t="s">
        <v>1825</v>
      </c>
      <c r="H3199" s="54" t="s">
        <v>4770</v>
      </c>
      <c r="I3199" s="53" t="s">
        <v>205</v>
      </c>
      <c r="J3199" s="54" t="s">
        <v>609</v>
      </c>
      <c r="K3199" s="54" t="s">
        <v>127</v>
      </c>
      <c r="L3199" s="54" t="s">
        <v>15</v>
      </c>
      <c r="M3199" s="54" t="s">
        <v>13</v>
      </c>
      <c r="N3199" s="54" t="s">
        <v>14</v>
      </c>
      <c r="O3199" s="49" t="s">
        <v>814</v>
      </c>
      <c r="P3199" s="54" t="s">
        <v>3392</v>
      </c>
      <c r="Q3199" s="35" t="str">
        <f>MID(Tabla1[[#This Row],[Aplicación]],14,1)</f>
        <v>2</v>
      </c>
      <c r="R3199" s="35" t="s">
        <v>495</v>
      </c>
      <c r="S3199" s="35" t="str">
        <f>MID(Tabla1[[#This Row],[Aplicación]],6,2)</f>
        <v>11</v>
      </c>
      <c r="T3199" s="35" t="str">
        <f>VLOOKUP(Tabla1[[#This Row],[AREA]],Hoja1!A:B,2,FALSE)</f>
        <v>11. Salud pública y seguridad ciudadana</v>
      </c>
      <c r="U3199" s="35" t="str">
        <f>MID(Tabla1[[#This Row],[Aplicación]],9,4)</f>
        <v>3111</v>
      </c>
      <c r="V3199" s="35" t="str">
        <f>VLOOKUP(Tabla1[[#This Row],[PROGRAMA]],Hoja1!A:B,2,FALSE)</f>
        <v>3111. Protección de la salubridad pública</v>
      </c>
      <c r="W3199" s="35" t="str">
        <f>MID(Tabla1[[#This Row],[Aplicación]],14,2)</f>
        <v>22</v>
      </c>
      <c r="X3199" s="35" t="str">
        <f>MID(Tabla1[[#This Row],[Aplicación]],14,6)</f>
        <v>22199</v>
      </c>
    </row>
    <row r="3200" spans="1:24" x14ac:dyDescent="0.25">
      <c r="A3200" s="45">
        <v>220210022714</v>
      </c>
      <c r="B3200" s="46" t="s">
        <v>204</v>
      </c>
      <c r="C3200" s="47">
        <v>44333</v>
      </c>
      <c r="D3200" s="45">
        <v>22021002055</v>
      </c>
      <c r="E3200" s="46" t="s">
        <v>1613</v>
      </c>
      <c r="F3200" s="48">
        <v>38.94</v>
      </c>
      <c r="G3200" s="54" t="s">
        <v>257</v>
      </c>
      <c r="H3200" s="54" t="s">
        <v>4771</v>
      </c>
      <c r="I3200" s="53" t="s">
        <v>205</v>
      </c>
      <c r="J3200" s="54" t="s">
        <v>127</v>
      </c>
      <c r="K3200" s="54" t="s">
        <v>127</v>
      </c>
      <c r="L3200" s="54" t="s">
        <v>15</v>
      </c>
      <c r="M3200" s="54" t="s">
        <v>13</v>
      </c>
      <c r="N3200" s="54" t="s">
        <v>14</v>
      </c>
      <c r="O3200" s="49" t="s">
        <v>814</v>
      </c>
      <c r="P3200" s="54" t="s">
        <v>3392</v>
      </c>
      <c r="Q3200" s="35" t="str">
        <f>MID(Tabla1[[#This Row],[Aplicación]],14,1)</f>
        <v>2</v>
      </c>
      <c r="R3200" s="35" t="s">
        <v>495</v>
      </c>
      <c r="S3200" s="35" t="str">
        <f>MID(Tabla1[[#This Row],[Aplicación]],6,2)</f>
        <v>11</v>
      </c>
      <c r="T3200" s="35" t="str">
        <f>VLOOKUP(Tabla1[[#This Row],[AREA]],Hoja1!A:B,2,FALSE)</f>
        <v>11. Salud pública y seguridad ciudadana</v>
      </c>
      <c r="U3200" s="35" t="str">
        <f>MID(Tabla1[[#This Row],[Aplicación]],9,4)</f>
        <v>1631</v>
      </c>
      <c r="V3200" s="35" t="str">
        <f>VLOOKUP(Tabla1[[#This Row],[PROGRAMA]],Hoja1!A:B,2,FALSE)</f>
        <v>1631. Limpieza viaria</v>
      </c>
      <c r="W3200" s="35" t="str">
        <f>MID(Tabla1[[#This Row],[Aplicación]],14,2)</f>
        <v>22</v>
      </c>
      <c r="X3200" s="35" t="str">
        <f>MID(Tabla1[[#This Row],[Aplicación]],14,6)</f>
        <v>22104</v>
      </c>
    </row>
    <row r="3201" spans="1:24" x14ac:dyDescent="0.25">
      <c r="A3201" s="45">
        <v>220210014523</v>
      </c>
      <c r="B3201" s="46" t="s">
        <v>204</v>
      </c>
      <c r="C3201" s="47">
        <v>44295</v>
      </c>
      <c r="D3201" s="45">
        <v>22021002227</v>
      </c>
      <c r="E3201" s="46" t="s">
        <v>1324</v>
      </c>
      <c r="F3201" s="48">
        <v>38.71</v>
      </c>
      <c r="G3201" s="54" t="s">
        <v>266</v>
      </c>
      <c r="H3201" s="54" t="s">
        <v>4772</v>
      </c>
      <c r="I3201" s="53" t="s">
        <v>205</v>
      </c>
      <c r="J3201" s="54" t="s">
        <v>127</v>
      </c>
      <c r="K3201" s="54" t="s">
        <v>127</v>
      </c>
      <c r="L3201" s="54" t="s">
        <v>15</v>
      </c>
      <c r="M3201" s="54" t="s">
        <v>13</v>
      </c>
      <c r="N3201" s="54" t="s">
        <v>14</v>
      </c>
      <c r="O3201" s="49" t="s">
        <v>814</v>
      </c>
      <c r="P3201" s="54" t="s">
        <v>3392</v>
      </c>
      <c r="Q3201" s="35" t="str">
        <f>MID(Tabla1[[#This Row],[Aplicación]],14,1)</f>
        <v>2</v>
      </c>
      <c r="R3201" s="35" t="s">
        <v>495</v>
      </c>
      <c r="S3201" s="35" t="str">
        <f>MID(Tabla1[[#This Row],[Aplicación]],6,2)</f>
        <v>06</v>
      </c>
      <c r="T3201" s="35" t="str">
        <f>VLOOKUP(Tabla1[[#This Row],[AREA]],Hoja1!A:B,2,FALSE)</f>
        <v>06. Educación, infancia, juventud e igualdad</v>
      </c>
      <c r="U3201" s="35" t="str">
        <f>MID(Tabla1[[#This Row],[Aplicación]],9,4)</f>
        <v>3321</v>
      </c>
      <c r="V3201" s="35" t="str">
        <f>VLOOKUP(Tabla1[[#This Row],[PROGRAMA]],Hoja1!A:B,2,FALSE)</f>
        <v>3321. Bibliotecas públicas</v>
      </c>
      <c r="W3201" s="35" t="str">
        <f>MID(Tabla1[[#This Row],[Aplicación]],14,2)</f>
        <v>21</v>
      </c>
      <c r="X3201" s="35" t="str">
        <f>MID(Tabla1[[#This Row],[Aplicación]],14,6)</f>
        <v>212</v>
      </c>
    </row>
    <row r="3202" spans="1:24" x14ac:dyDescent="0.25">
      <c r="A3202" s="45">
        <v>220210028763</v>
      </c>
      <c r="B3202" s="46" t="s">
        <v>204</v>
      </c>
      <c r="C3202" s="47">
        <v>44351</v>
      </c>
      <c r="D3202" s="45">
        <v>22021002228</v>
      </c>
      <c r="E3202" s="46" t="s">
        <v>1471</v>
      </c>
      <c r="F3202" s="48">
        <v>38.6</v>
      </c>
      <c r="G3202" s="54" t="s">
        <v>266</v>
      </c>
      <c r="H3202" s="54" t="s">
        <v>4773</v>
      </c>
      <c r="I3202" s="53" t="s">
        <v>205</v>
      </c>
      <c r="J3202" s="54" t="s">
        <v>127</v>
      </c>
      <c r="K3202" s="54" t="s">
        <v>127</v>
      </c>
      <c r="L3202" s="54" t="s">
        <v>15</v>
      </c>
      <c r="M3202" s="54" t="s">
        <v>13</v>
      </c>
      <c r="N3202" s="54" t="s">
        <v>14</v>
      </c>
      <c r="O3202" s="49" t="s">
        <v>814</v>
      </c>
      <c r="P3202" s="54" t="s">
        <v>3392</v>
      </c>
      <c r="Q3202" s="35" t="str">
        <f>MID(Tabla1[[#This Row],[Aplicación]],14,1)</f>
        <v>2</v>
      </c>
      <c r="R3202" s="35" t="s">
        <v>495</v>
      </c>
      <c r="S3202" s="35" t="str">
        <f>MID(Tabla1[[#This Row],[Aplicación]],6,2)</f>
        <v>06</v>
      </c>
      <c r="T3202" s="35" t="str">
        <f>VLOOKUP(Tabla1[[#This Row],[AREA]],Hoja1!A:B,2,FALSE)</f>
        <v>06. Educación, infancia, juventud e igualdad</v>
      </c>
      <c r="U3202" s="35" t="str">
        <f>MID(Tabla1[[#This Row],[Aplicación]],9,4)</f>
        <v>3232</v>
      </c>
      <c r="V3202" s="35" t="str">
        <f>VLOOKUP(Tabla1[[#This Row],[PROGRAMA]],Hoja1!A:B,2,FALSE)</f>
        <v>3232. Conservación y mantenimiento centros educación infantil y primaria</v>
      </c>
      <c r="W3202" s="35" t="str">
        <f>MID(Tabla1[[#This Row],[Aplicación]],14,2)</f>
        <v>21</v>
      </c>
      <c r="X3202" s="35" t="str">
        <f>MID(Tabla1[[#This Row],[Aplicación]],14,6)</f>
        <v>212</v>
      </c>
    </row>
    <row r="3203" spans="1:24" x14ac:dyDescent="0.25">
      <c r="A3203" s="45">
        <v>220210014800</v>
      </c>
      <c r="B3203" s="46" t="s">
        <v>204</v>
      </c>
      <c r="C3203" s="47">
        <v>44299</v>
      </c>
      <c r="D3203" s="45">
        <v>22021002089</v>
      </c>
      <c r="E3203" s="46" t="s">
        <v>1220</v>
      </c>
      <c r="F3203" s="48">
        <v>38.33</v>
      </c>
      <c r="G3203" s="54" t="s">
        <v>277</v>
      </c>
      <c r="H3203" s="54" t="s">
        <v>4774</v>
      </c>
      <c r="I3203" s="53" t="s">
        <v>205</v>
      </c>
      <c r="J3203" s="54" t="s">
        <v>127</v>
      </c>
      <c r="K3203" s="54" t="s">
        <v>127</v>
      </c>
      <c r="L3203" s="54" t="s">
        <v>15</v>
      </c>
      <c r="M3203" s="54" t="s">
        <v>13</v>
      </c>
      <c r="N3203" s="54" t="s">
        <v>16</v>
      </c>
      <c r="O3203" s="49" t="s">
        <v>814</v>
      </c>
      <c r="P3203" s="54" t="s">
        <v>3392</v>
      </c>
      <c r="Q3203" s="35" t="str">
        <f>MID(Tabla1[[#This Row],[Aplicación]],14,1)</f>
        <v>2</v>
      </c>
      <c r="R3203" s="35" t="s">
        <v>495</v>
      </c>
      <c r="S3203" s="35" t="str">
        <f>MID(Tabla1[[#This Row],[Aplicación]],6,2)</f>
        <v>03</v>
      </c>
      <c r="T3203" s="35" t="str">
        <f>VLOOKUP(Tabla1[[#This Row],[AREA]],Hoja1!A:B,2,FALSE)</f>
        <v>03. Participación ciudadana y deportes</v>
      </c>
      <c r="U3203" s="35" t="str">
        <f>MID(Tabla1[[#This Row],[Aplicación]],9,4)</f>
        <v>9241</v>
      </c>
      <c r="V3203" s="35" t="str">
        <f>VLOOKUP(Tabla1[[#This Row],[PROGRAMA]],Hoja1!A:B,2,FALSE)</f>
        <v>9241. Participación ciudadana</v>
      </c>
      <c r="W3203" s="35" t="str">
        <f>MID(Tabla1[[#This Row],[Aplicación]],14,2)</f>
        <v>21</v>
      </c>
      <c r="X3203" s="35" t="str">
        <f>MID(Tabla1[[#This Row],[Aplicación]],14,6)</f>
        <v>213</v>
      </c>
    </row>
    <row r="3204" spans="1:24" x14ac:dyDescent="0.25">
      <c r="A3204" s="45">
        <v>220210032783</v>
      </c>
      <c r="B3204" s="46" t="s">
        <v>204</v>
      </c>
      <c r="C3204" s="47">
        <v>44371</v>
      </c>
      <c r="D3204" s="45">
        <v>22021002371</v>
      </c>
      <c r="E3204" s="46" t="s">
        <v>1336</v>
      </c>
      <c r="F3204" s="48">
        <v>38.25</v>
      </c>
      <c r="G3204" s="54" t="s">
        <v>102</v>
      </c>
      <c r="H3204" s="54" t="s">
        <v>4775</v>
      </c>
      <c r="I3204" s="53" t="s">
        <v>205</v>
      </c>
      <c r="J3204" s="54" t="s">
        <v>127</v>
      </c>
      <c r="K3204" s="54" t="s">
        <v>127</v>
      </c>
      <c r="L3204" s="54" t="s">
        <v>15</v>
      </c>
      <c r="M3204" s="54" t="s">
        <v>13</v>
      </c>
      <c r="N3204" s="54" t="s">
        <v>14</v>
      </c>
      <c r="O3204" s="49" t="s">
        <v>814</v>
      </c>
      <c r="P3204" s="54" t="s">
        <v>3392</v>
      </c>
      <c r="Q3204" s="35" t="str">
        <f>MID(Tabla1[[#This Row],[Aplicación]],14,1)</f>
        <v>2</v>
      </c>
      <c r="R3204" s="35" t="s">
        <v>495</v>
      </c>
      <c r="S3204" s="35" t="str">
        <f>MID(Tabla1[[#This Row],[Aplicación]],6,2)</f>
        <v>02</v>
      </c>
      <c r="T3204" s="35" t="str">
        <f>VLOOKUP(Tabla1[[#This Row],[AREA]],Hoja1!A:B,2,FALSE)</f>
        <v>02. Planeamiento urbanístico y vivienda</v>
      </c>
      <c r="U3204" s="35" t="str">
        <f>MID(Tabla1[[#This Row],[Aplicación]],9,4)</f>
        <v>9332</v>
      </c>
      <c r="V3204" s="35" t="str">
        <f>VLOOKUP(Tabla1[[#This Row],[PROGRAMA]],Hoja1!A:B,2,FALSE)</f>
        <v>9332. Mantenimiento de edificios e instalaciones municipales</v>
      </c>
      <c r="W3204" s="35" t="str">
        <f>MID(Tabla1[[#This Row],[Aplicación]],14,2)</f>
        <v>21</v>
      </c>
      <c r="X3204" s="35" t="str">
        <f>MID(Tabla1[[#This Row],[Aplicación]],14,6)</f>
        <v>212</v>
      </c>
    </row>
    <row r="3205" spans="1:24" x14ac:dyDescent="0.25">
      <c r="A3205" s="45">
        <v>220210023376</v>
      </c>
      <c r="B3205" s="46" t="s">
        <v>204</v>
      </c>
      <c r="C3205" s="47">
        <v>44335</v>
      </c>
      <c r="D3205" s="45">
        <v>22021001181</v>
      </c>
      <c r="E3205" s="46" t="s">
        <v>873</v>
      </c>
      <c r="F3205" s="48">
        <v>38.159999999999997</v>
      </c>
      <c r="G3205" s="54" t="s">
        <v>263</v>
      </c>
      <c r="H3205" s="54" t="s">
        <v>4776</v>
      </c>
      <c r="I3205" s="53" t="s">
        <v>205</v>
      </c>
      <c r="J3205" s="54" t="s">
        <v>127</v>
      </c>
      <c r="K3205" s="54" t="s">
        <v>127</v>
      </c>
      <c r="L3205" s="54" t="s">
        <v>15</v>
      </c>
      <c r="M3205" s="54" t="s">
        <v>13</v>
      </c>
      <c r="N3205" s="54" t="s">
        <v>14</v>
      </c>
      <c r="O3205" s="49" t="s">
        <v>814</v>
      </c>
      <c r="P3205" s="54" t="s">
        <v>3392</v>
      </c>
      <c r="Q3205" s="35" t="str">
        <f>MID(Tabla1[[#This Row],[Aplicación]],14,1)</f>
        <v>2</v>
      </c>
      <c r="R3205" s="35" t="s">
        <v>495</v>
      </c>
      <c r="S3205" s="35" t="str">
        <f>MID(Tabla1[[#This Row],[Aplicación]],6,2)</f>
        <v>10</v>
      </c>
      <c r="T3205" s="35" t="str">
        <f>VLOOKUP(Tabla1[[#This Row],[AREA]],Hoja1!A:B,2,FALSE)</f>
        <v>10. Servicios sociales y mediación comunitaria</v>
      </c>
      <c r="U3205" s="35" t="str">
        <f>MID(Tabla1[[#This Row],[Aplicación]],9,4)</f>
        <v>2412</v>
      </c>
      <c r="V3205" s="35" t="str">
        <f>VLOOKUP(Tabla1[[#This Row],[PROGRAMA]],Hoja1!A:B,2,FALSE)</f>
        <v>2412. Formación para el empleo</v>
      </c>
      <c r="W3205" s="35" t="str">
        <f>MID(Tabla1[[#This Row],[Aplicación]],14,2)</f>
        <v>22</v>
      </c>
      <c r="X3205" s="35" t="str">
        <f>MID(Tabla1[[#This Row],[Aplicación]],14,6)</f>
        <v>22199</v>
      </c>
    </row>
    <row r="3206" spans="1:24" x14ac:dyDescent="0.25">
      <c r="A3206" s="45">
        <v>220210028829</v>
      </c>
      <c r="B3206" s="46" t="s">
        <v>9</v>
      </c>
      <c r="C3206" s="47">
        <v>44351</v>
      </c>
      <c r="D3206" s="45">
        <v>22021004749</v>
      </c>
      <c r="E3206" s="46" t="s">
        <v>1167</v>
      </c>
      <c r="F3206" s="48">
        <v>955.92</v>
      </c>
      <c r="G3206" s="54" t="s">
        <v>4088</v>
      </c>
      <c r="H3206" s="54" t="s">
        <v>4777</v>
      </c>
      <c r="I3206" s="53" t="s">
        <v>125</v>
      </c>
      <c r="J3206" s="54" t="s">
        <v>127</v>
      </c>
      <c r="K3206" s="54" t="s">
        <v>127</v>
      </c>
      <c r="L3206" s="54" t="s">
        <v>12</v>
      </c>
      <c r="M3206" s="54" t="s">
        <v>10</v>
      </c>
      <c r="N3206" s="54" t="s">
        <v>11</v>
      </c>
      <c r="O3206" s="49" t="s">
        <v>815</v>
      </c>
      <c r="P3206" s="54" t="s">
        <v>3392</v>
      </c>
      <c r="Q3206" s="35" t="str">
        <f>MID(Tabla1[[#This Row],[Aplicación]],14,1)</f>
        <v>2</v>
      </c>
      <c r="R3206" s="35" t="s">
        <v>495</v>
      </c>
      <c r="S3206" s="35" t="str">
        <f>MID(Tabla1[[#This Row],[Aplicación]],6,2)</f>
        <v>11</v>
      </c>
      <c r="T3206" s="35" t="str">
        <f>VLOOKUP(Tabla1[[#This Row],[AREA]],Hoja1!A:B,2,FALSE)</f>
        <v>11. Salud pública y seguridad ciudadana</v>
      </c>
      <c r="U3206" s="35" t="str">
        <f>MID(Tabla1[[#This Row],[Aplicación]],9,4)</f>
        <v>1321</v>
      </c>
      <c r="V3206" s="35" t="str">
        <f>VLOOKUP(Tabla1[[#This Row],[PROGRAMA]],Hoja1!A:B,2,FALSE)</f>
        <v>1321. Policía municipal</v>
      </c>
      <c r="W3206" s="35" t="str">
        <f>MID(Tabla1[[#This Row],[Aplicación]],14,2)</f>
        <v>21</v>
      </c>
      <c r="X3206" s="35" t="str">
        <f>MID(Tabla1[[#This Row],[Aplicación]],14,6)</f>
        <v>214</v>
      </c>
    </row>
    <row r="3207" spans="1:24" x14ac:dyDescent="0.25">
      <c r="A3207" s="45">
        <v>220210025684</v>
      </c>
      <c r="B3207" s="46" t="s">
        <v>204</v>
      </c>
      <c r="C3207" s="47">
        <v>44343</v>
      </c>
      <c r="D3207" s="45">
        <v>22021001039</v>
      </c>
      <c r="E3207" s="46" t="s">
        <v>844</v>
      </c>
      <c r="F3207" s="48">
        <v>37.46</v>
      </c>
      <c r="G3207" s="54" t="s">
        <v>256</v>
      </c>
      <c r="H3207" s="54" t="s">
        <v>4778</v>
      </c>
      <c r="I3207" s="53" t="s">
        <v>205</v>
      </c>
      <c r="J3207" s="54" t="s">
        <v>127</v>
      </c>
      <c r="K3207" s="54" t="s">
        <v>127</v>
      </c>
      <c r="L3207" s="54" t="s">
        <v>15</v>
      </c>
      <c r="M3207" s="54" t="s">
        <v>13</v>
      </c>
      <c r="N3207" s="54" t="s">
        <v>14</v>
      </c>
      <c r="O3207" s="49" t="s">
        <v>814</v>
      </c>
      <c r="P3207" s="54" t="s">
        <v>3392</v>
      </c>
      <c r="Q3207" s="35" t="str">
        <f>MID(Tabla1[[#This Row],[Aplicación]],14,1)</f>
        <v>2</v>
      </c>
      <c r="R3207" s="35" t="s">
        <v>495</v>
      </c>
      <c r="S3207" s="35" t="str">
        <f>MID(Tabla1[[#This Row],[Aplicación]],6,2)</f>
        <v>10</v>
      </c>
      <c r="T3207" s="35" t="str">
        <f>VLOOKUP(Tabla1[[#This Row],[AREA]],Hoja1!A:B,2,FALSE)</f>
        <v>10. Servicios sociales y mediación comunitaria</v>
      </c>
      <c r="U3207" s="35" t="str">
        <f>MID(Tabla1[[#This Row],[Aplicación]],9,4)</f>
        <v>2312</v>
      </c>
      <c r="V3207" s="35" t="str">
        <f>VLOOKUP(Tabla1[[#This Row],[PROGRAMA]],Hoja1!A:B,2,FALSE)</f>
        <v>2312. Iniciativas sociales</v>
      </c>
      <c r="W3207" s="35" t="str">
        <f>MID(Tabla1[[#This Row],[Aplicación]],14,2)</f>
        <v>21</v>
      </c>
      <c r="X3207" s="35" t="str">
        <f>MID(Tabla1[[#This Row],[Aplicación]],14,6)</f>
        <v>212</v>
      </c>
    </row>
    <row r="3208" spans="1:24" x14ac:dyDescent="0.25">
      <c r="A3208" s="45">
        <v>220210016003</v>
      </c>
      <c r="B3208" s="46" t="s">
        <v>204</v>
      </c>
      <c r="C3208" s="47">
        <v>44305</v>
      </c>
      <c r="D3208" s="45">
        <v>22021002006</v>
      </c>
      <c r="E3208" s="46" t="s">
        <v>1310</v>
      </c>
      <c r="F3208" s="48">
        <v>36.81</v>
      </c>
      <c r="G3208" s="54" t="s">
        <v>135</v>
      </c>
      <c r="H3208" s="54" t="s">
        <v>4779</v>
      </c>
      <c r="I3208" s="53" t="s">
        <v>205</v>
      </c>
      <c r="J3208" s="54" t="s">
        <v>127</v>
      </c>
      <c r="K3208" s="54" t="s">
        <v>127</v>
      </c>
      <c r="L3208" s="54" t="s">
        <v>15</v>
      </c>
      <c r="M3208" s="54" t="s">
        <v>13</v>
      </c>
      <c r="N3208" s="54" t="s">
        <v>14</v>
      </c>
      <c r="O3208" s="49" t="s">
        <v>814</v>
      </c>
      <c r="P3208" s="54" t="s">
        <v>3392</v>
      </c>
      <c r="Q3208" s="35" t="str">
        <f>MID(Tabla1[[#This Row],[Aplicación]],14,1)</f>
        <v>2</v>
      </c>
      <c r="R3208" s="35" t="s">
        <v>495</v>
      </c>
      <c r="S3208" s="35" t="str">
        <f>MID(Tabla1[[#This Row],[Aplicación]],6,2)</f>
        <v>11</v>
      </c>
      <c r="T3208" s="35" t="str">
        <f>VLOOKUP(Tabla1[[#This Row],[AREA]],Hoja1!A:B,2,FALSE)</f>
        <v>11. Salud pública y seguridad ciudadana</v>
      </c>
      <c r="U3208" s="35" t="str">
        <f>MID(Tabla1[[#This Row],[Aplicación]],9,4)</f>
        <v>3111</v>
      </c>
      <c r="V3208" s="35" t="str">
        <f>VLOOKUP(Tabla1[[#This Row],[PROGRAMA]],Hoja1!A:B,2,FALSE)</f>
        <v>3111. Protección de la salubridad pública</v>
      </c>
      <c r="W3208" s="35" t="str">
        <f>MID(Tabla1[[#This Row],[Aplicación]],14,2)</f>
        <v>22</v>
      </c>
      <c r="X3208" s="35" t="str">
        <f>MID(Tabla1[[#This Row],[Aplicación]],14,6)</f>
        <v>22199</v>
      </c>
    </row>
    <row r="3209" spans="1:24" x14ac:dyDescent="0.25">
      <c r="A3209" s="45">
        <v>220210033190</v>
      </c>
      <c r="B3209" s="46" t="s">
        <v>204</v>
      </c>
      <c r="C3209" s="47">
        <v>44377</v>
      </c>
      <c r="D3209" s="45">
        <v>22021001038</v>
      </c>
      <c r="E3209" s="46" t="s">
        <v>844</v>
      </c>
      <c r="F3209" s="48">
        <v>36.17</v>
      </c>
      <c r="G3209" s="54" t="s">
        <v>277</v>
      </c>
      <c r="H3209" s="54" t="s">
        <v>4780</v>
      </c>
      <c r="I3209" s="53" t="s">
        <v>205</v>
      </c>
      <c r="J3209" s="54" t="s">
        <v>127</v>
      </c>
      <c r="K3209" s="54" t="s">
        <v>127</v>
      </c>
      <c r="L3209" s="54" t="s">
        <v>15</v>
      </c>
      <c r="M3209" s="54" t="s">
        <v>13</v>
      </c>
      <c r="N3209" s="54" t="s">
        <v>14</v>
      </c>
      <c r="O3209" s="49" t="s">
        <v>814</v>
      </c>
      <c r="P3209" s="54" t="s">
        <v>3392</v>
      </c>
      <c r="Q3209" s="35" t="str">
        <f>MID(Tabla1[[#This Row],[Aplicación]],14,1)</f>
        <v>2</v>
      </c>
      <c r="R3209" s="35" t="s">
        <v>495</v>
      </c>
      <c r="S3209" s="35" t="str">
        <f>MID(Tabla1[[#This Row],[Aplicación]],6,2)</f>
        <v>10</v>
      </c>
      <c r="T3209" s="35" t="str">
        <f>VLOOKUP(Tabla1[[#This Row],[AREA]],Hoja1!A:B,2,FALSE)</f>
        <v>10. Servicios sociales y mediación comunitaria</v>
      </c>
      <c r="U3209" s="35" t="str">
        <f>MID(Tabla1[[#This Row],[Aplicación]],9,4)</f>
        <v>2312</v>
      </c>
      <c r="V3209" s="35" t="str">
        <f>VLOOKUP(Tabla1[[#This Row],[PROGRAMA]],Hoja1!A:B,2,FALSE)</f>
        <v>2312. Iniciativas sociales</v>
      </c>
      <c r="W3209" s="35" t="str">
        <f>MID(Tabla1[[#This Row],[Aplicación]],14,2)</f>
        <v>21</v>
      </c>
      <c r="X3209" s="35" t="str">
        <f>MID(Tabla1[[#This Row],[Aplicación]],14,6)</f>
        <v>212</v>
      </c>
    </row>
    <row r="3210" spans="1:24" x14ac:dyDescent="0.25">
      <c r="A3210" s="45">
        <v>220210031674</v>
      </c>
      <c r="B3210" s="46" t="s">
        <v>204</v>
      </c>
      <c r="C3210" s="47">
        <v>44369</v>
      </c>
      <c r="D3210" s="45">
        <v>22021002006</v>
      </c>
      <c r="E3210" s="46" t="s">
        <v>1310</v>
      </c>
      <c r="F3210" s="48">
        <v>36.08</v>
      </c>
      <c r="G3210" s="54" t="s">
        <v>135</v>
      </c>
      <c r="H3210" s="54" t="s">
        <v>4781</v>
      </c>
      <c r="I3210" s="53" t="s">
        <v>205</v>
      </c>
      <c r="J3210" s="54" t="s">
        <v>127</v>
      </c>
      <c r="K3210" s="54" t="s">
        <v>127</v>
      </c>
      <c r="L3210" s="54" t="s">
        <v>15</v>
      </c>
      <c r="M3210" s="54" t="s">
        <v>13</v>
      </c>
      <c r="N3210" s="54" t="s">
        <v>14</v>
      </c>
      <c r="O3210" s="49" t="s">
        <v>814</v>
      </c>
      <c r="P3210" s="54" t="s">
        <v>3392</v>
      </c>
      <c r="Q3210" s="35" t="str">
        <f>MID(Tabla1[[#This Row],[Aplicación]],14,1)</f>
        <v>2</v>
      </c>
      <c r="R3210" s="35" t="s">
        <v>495</v>
      </c>
      <c r="S3210" s="35" t="str">
        <f>MID(Tabla1[[#This Row],[Aplicación]],6,2)</f>
        <v>11</v>
      </c>
      <c r="T3210" s="35" t="str">
        <f>VLOOKUP(Tabla1[[#This Row],[AREA]],Hoja1!A:B,2,FALSE)</f>
        <v>11. Salud pública y seguridad ciudadana</v>
      </c>
      <c r="U3210" s="35" t="str">
        <f>MID(Tabla1[[#This Row],[Aplicación]],9,4)</f>
        <v>3111</v>
      </c>
      <c r="V3210" s="35" t="str">
        <f>VLOOKUP(Tabla1[[#This Row],[PROGRAMA]],Hoja1!A:B,2,FALSE)</f>
        <v>3111. Protección de la salubridad pública</v>
      </c>
      <c r="W3210" s="35" t="str">
        <f>MID(Tabla1[[#This Row],[Aplicación]],14,2)</f>
        <v>22</v>
      </c>
      <c r="X3210" s="35" t="str">
        <f>MID(Tabla1[[#This Row],[Aplicación]],14,6)</f>
        <v>22199</v>
      </c>
    </row>
    <row r="3211" spans="1:24" x14ac:dyDescent="0.25">
      <c r="A3211" s="45">
        <v>220210023374</v>
      </c>
      <c r="B3211" s="46" t="s">
        <v>204</v>
      </c>
      <c r="C3211" s="47">
        <v>44335</v>
      </c>
      <c r="D3211" s="45">
        <v>22021001169</v>
      </c>
      <c r="E3211" s="46" t="s">
        <v>1319</v>
      </c>
      <c r="F3211" s="48">
        <v>36.03</v>
      </c>
      <c r="G3211" s="54" t="s">
        <v>263</v>
      </c>
      <c r="H3211" s="54" t="s">
        <v>4782</v>
      </c>
      <c r="I3211" s="53" t="s">
        <v>205</v>
      </c>
      <c r="J3211" s="54" t="s">
        <v>127</v>
      </c>
      <c r="K3211" s="54" t="s">
        <v>127</v>
      </c>
      <c r="L3211" s="54" t="s">
        <v>15</v>
      </c>
      <c r="M3211" s="54" t="s">
        <v>13</v>
      </c>
      <c r="N3211" s="54" t="s">
        <v>14</v>
      </c>
      <c r="O3211" s="49" t="s">
        <v>814</v>
      </c>
      <c r="P3211" s="54" t="s">
        <v>3392</v>
      </c>
      <c r="Q3211" s="35" t="str">
        <f>MID(Tabla1[[#This Row],[Aplicación]],14,1)</f>
        <v>2</v>
      </c>
      <c r="R3211" s="35" t="s">
        <v>495</v>
      </c>
      <c r="S3211" s="35" t="str">
        <f>MID(Tabla1[[#This Row],[Aplicación]],6,2)</f>
        <v>10</v>
      </c>
      <c r="T3211" s="35" t="str">
        <f>VLOOKUP(Tabla1[[#This Row],[AREA]],Hoja1!A:B,2,FALSE)</f>
        <v>10. Servicios sociales y mediación comunitaria</v>
      </c>
      <c r="U3211" s="35" t="str">
        <f>MID(Tabla1[[#This Row],[Aplicación]],9,4)</f>
        <v>2412</v>
      </c>
      <c r="V3211" s="35" t="str">
        <f>VLOOKUP(Tabla1[[#This Row],[PROGRAMA]],Hoja1!A:B,2,FALSE)</f>
        <v>2412. Formación para el empleo</v>
      </c>
      <c r="W3211" s="35" t="str">
        <f>MID(Tabla1[[#This Row],[Aplicación]],14,2)</f>
        <v>21</v>
      </c>
      <c r="X3211" s="35" t="str">
        <f>MID(Tabla1[[#This Row],[Aplicación]],14,6)</f>
        <v>212</v>
      </c>
    </row>
    <row r="3212" spans="1:24" x14ac:dyDescent="0.25">
      <c r="A3212" s="45">
        <v>220210020469</v>
      </c>
      <c r="B3212" s="46" t="s">
        <v>32</v>
      </c>
      <c r="C3212" s="47">
        <v>44322</v>
      </c>
      <c r="D3212" s="45">
        <v>22021004271</v>
      </c>
      <c r="E3212" s="46" t="s">
        <v>3311</v>
      </c>
      <c r="F3212" s="48">
        <v>29.78</v>
      </c>
      <c r="G3212" s="54" t="s">
        <v>764</v>
      </c>
      <c r="H3212" s="54" t="s">
        <v>4783</v>
      </c>
      <c r="I3212" s="53" t="s">
        <v>234</v>
      </c>
      <c r="J3212" s="54" t="s">
        <v>127</v>
      </c>
      <c r="K3212" s="54" t="s">
        <v>127</v>
      </c>
      <c r="L3212" s="54" t="s">
        <v>12</v>
      </c>
      <c r="M3212" s="54" t="s">
        <v>10</v>
      </c>
      <c r="N3212" s="54" t="s">
        <v>11</v>
      </c>
      <c r="O3212" s="49" t="s">
        <v>815</v>
      </c>
      <c r="P3212" s="54" t="s">
        <v>3392</v>
      </c>
      <c r="Q3212" s="35" t="str">
        <f>MID(Tabla1[[#This Row],[Aplicación]],14,1)</f>
        <v>8</v>
      </c>
      <c r="R3212" s="35" t="s">
        <v>497</v>
      </c>
      <c r="S3212" s="35" t="str">
        <f>MID(Tabla1[[#This Row],[Aplicación]],6,2)</f>
        <v>08</v>
      </c>
      <c r="T3212" s="35" t="str">
        <f>VLOOKUP(Tabla1[[#This Row],[AREA]],Hoja1!A:B,2,FALSE)</f>
        <v>08. Movilidad y espacio urbano</v>
      </c>
      <c r="U3212" s="35" t="str">
        <f>MID(Tabla1[[#This Row],[Aplicación]],9,4)</f>
        <v>1513</v>
      </c>
      <c r="V3212" s="35" t="str">
        <f>VLOOKUP(Tabla1[[#This Row],[PROGRAMA]],Hoja1!A:B,2,FALSE)</f>
        <v>1513. Licencias urbanísticas</v>
      </c>
      <c r="W3212" s="35" t="str">
        <f>MID(Tabla1[[#This Row],[Aplicación]],14,2)</f>
        <v>83</v>
      </c>
      <c r="X3212" s="35" t="str">
        <f>MID(Tabla1[[#This Row],[Aplicación]],14,6)</f>
        <v>83100</v>
      </c>
    </row>
    <row r="3213" spans="1:24" x14ac:dyDescent="0.25">
      <c r="A3213" s="45">
        <v>220210028715</v>
      </c>
      <c r="B3213" s="46" t="s">
        <v>204</v>
      </c>
      <c r="C3213" s="47">
        <v>44351</v>
      </c>
      <c r="D3213" s="45">
        <v>22021004482</v>
      </c>
      <c r="E3213" s="46" t="s">
        <v>921</v>
      </c>
      <c r="F3213" s="48">
        <v>35.86</v>
      </c>
      <c r="G3213" s="54" t="s">
        <v>102</v>
      </c>
      <c r="H3213" s="54" t="s">
        <v>4784</v>
      </c>
      <c r="I3213" s="53" t="s">
        <v>205</v>
      </c>
      <c r="J3213" s="54" t="s">
        <v>127</v>
      </c>
      <c r="K3213" s="54" t="s">
        <v>127</v>
      </c>
      <c r="L3213" s="54" t="s">
        <v>15</v>
      </c>
      <c r="M3213" s="54" t="s">
        <v>13</v>
      </c>
      <c r="N3213" s="54" t="s">
        <v>14</v>
      </c>
      <c r="O3213" s="49" t="s">
        <v>814</v>
      </c>
      <c r="P3213" s="54" t="s">
        <v>3392</v>
      </c>
      <c r="Q3213" s="35" t="str">
        <f>MID(Tabla1[[#This Row],[Aplicación]],14,1)</f>
        <v>2</v>
      </c>
      <c r="R3213" s="35" t="s">
        <v>495</v>
      </c>
      <c r="S3213" s="35" t="str">
        <f>MID(Tabla1[[#This Row],[Aplicación]],6,2)</f>
        <v>04</v>
      </c>
      <c r="T3213" s="35" t="str">
        <f>VLOOKUP(Tabla1[[#This Row],[AREA]],Hoja1!A:B,2,FALSE)</f>
        <v>04. Planificación y recursos</v>
      </c>
      <c r="U3213" s="35" t="str">
        <f>MID(Tabla1[[#This Row],[Aplicación]],9,4)</f>
        <v>9204</v>
      </c>
      <c r="V3213" s="35" t="str">
        <f>VLOOKUP(Tabla1[[#This Row],[PROGRAMA]],Hoja1!A:B,2,FALSE)</f>
        <v>9204. Tecnologías de la información y comunicación</v>
      </c>
      <c r="W3213" s="35" t="str">
        <f>MID(Tabla1[[#This Row],[Aplicación]],14,2)</f>
        <v>21</v>
      </c>
      <c r="X3213" s="35" t="str">
        <f>MID(Tabla1[[#This Row],[Aplicación]],14,6)</f>
        <v>213</v>
      </c>
    </row>
    <row r="3214" spans="1:24" x14ac:dyDescent="0.25">
      <c r="A3214" s="45">
        <v>220210023364</v>
      </c>
      <c r="B3214" s="46" t="s">
        <v>204</v>
      </c>
      <c r="C3214" s="47">
        <v>44335</v>
      </c>
      <c r="D3214" s="45">
        <v>22021001169</v>
      </c>
      <c r="E3214" s="46" t="s">
        <v>1319</v>
      </c>
      <c r="F3214" s="48">
        <v>35.630000000000003</v>
      </c>
      <c r="G3214" s="54" t="s">
        <v>257</v>
      </c>
      <c r="H3214" s="54" t="s">
        <v>4785</v>
      </c>
      <c r="I3214" s="53" t="s">
        <v>205</v>
      </c>
      <c r="J3214" s="54" t="s">
        <v>127</v>
      </c>
      <c r="K3214" s="54" t="s">
        <v>127</v>
      </c>
      <c r="L3214" s="54" t="s">
        <v>15</v>
      </c>
      <c r="M3214" s="54" t="s">
        <v>13</v>
      </c>
      <c r="N3214" s="54" t="s">
        <v>14</v>
      </c>
      <c r="O3214" s="49" t="s">
        <v>814</v>
      </c>
      <c r="P3214" s="54" t="s">
        <v>3392</v>
      </c>
      <c r="Q3214" s="35" t="str">
        <f>MID(Tabla1[[#This Row],[Aplicación]],14,1)</f>
        <v>2</v>
      </c>
      <c r="R3214" s="35" t="s">
        <v>495</v>
      </c>
      <c r="S3214" s="35" t="str">
        <f>MID(Tabla1[[#This Row],[Aplicación]],6,2)</f>
        <v>10</v>
      </c>
      <c r="T3214" s="35" t="str">
        <f>VLOOKUP(Tabla1[[#This Row],[AREA]],Hoja1!A:B,2,FALSE)</f>
        <v>10. Servicios sociales y mediación comunitaria</v>
      </c>
      <c r="U3214" s="35" t="str">
        <f>MID(Tabla1[[#This Row],[Aplicación]],9,4)</f>
        <v>2412</v>
      </c>
      <c r="V3214" s="35" t="str">
        <f>VLOOKUP(Tabla1[[#This Row],[PROGRAMA]],Hoja1!A:B,2,FALSE)</f>
        <v>2412. Formación para el empleo</v>
      </c>
      <c r="W3214" s="35" t="str">
        <f>MID(Tabla1[[#This Row],[Aplicación]],14,2)</f>
        <v>21</v>
      </c>
      <c r="X3214" s="35" t="str">
        <f>MID(Tabla1[[#This Row],[Aplicación]],14,6)</f>
        <v>212</v>
      </c>
    </row>
    <row r="3215" spans="1:24" x14ac:dyDescent="0.25">
      <c r="A3215" s="45">
        <v>220210015894</v>
      </c>
      <c r="B3215" s="46" t="s">
        <v>9</v>
      </c>
      <c r="C3215" s="47">
        <v>44305</v>
      </c>
      <c r="D3215" s="45">
        <v>22021003923</v>
      </c>
      <c r="E3215" s="46" t="s">
        <v>1220</v>
      </c>
      <c r="F3215" s="48">
        <v>29.23</v>
      </c>
      <c r="G3215" s="54" t="s">
        <v>53</v>
      </c>
      <c r="H3215" s="54" t="s">
        <v>4786</v>
      </c>
      <c r="I3215" s="53" t="s">
        <v>125</v>
      </c>
      <c r="J3215" s="54" t="s">
        <v>127</v>
      </c>
      <c r="K3215" s="54" t="s">
        <v>127</v>
      </c>
      <c r="L3215" s="54" t="s">
        <v>15</v>
      </c>
      <c r="M3215" s="54" t="s">
        <v>10</v>
      </c>
      <c r="N3215" s="54" t="s">
        <v>11</v>
      </c>
      <c r="O3215" s="49" t="s">
        <v>815</v>
      </c>
      <c r="P3215" s="54" t="s">
        <v>3392</v>
      </c>
      <c r="Q3215" s="35" t="str">
        <f>MID(Tabla1[[#This Row],[Aplicación]],14,1)</f>
        <v>2</v>
      </c>
      <c r="R3215" s="35" t="s">
        <v>495</v>
      </c>
      <c r="S3215" s="35" t="str">
        <f>MID(Tabla1[[#This Row],[Aplicación]],6,2)</f>
        <v>03</v>
      </c>
      <c r="T3215" s="35" t="str">
        <f>VLOOKUP(Tabla1[[#This Row],[AREA]],Hoja1!A:B,2,FALSE)</f>
        <v>03. Participación ciudadana y deportes</v>
      </c>
      <c r="U3215" s="35" t="str">
        <f>MID(Tabla1[[#This Row],[Aplicación]],9,4)</f>
        <v>9241</v>
      </c>
      <c r="V3215" s="35" t="str">
        <f>VLOOKUP(Tabla1[[#This Row],[PROGRAMA]],Hoja1!A:B,2,FALSE)</f>
        <v>9241. Participación ciudadana</v>
      </c>
      <c r="W3215" s="35" t="str">
        <f>MID(Tabla1[[#This Row],[Aplicación]],14,2)</f>
        <v>21</v>
      </c>
      <c r="X3215" s="35" t="str">
        <f>MID(Tabla1[[#This Row],[Aplicación]],14,6)</f>
        <v>213</v>
      </c>
    </row>
    <row r="3216" spans="1:24" x14ac:dyDescent="0.25">
      <c r="A3216" s="45">
        <v>220210020741</v>
      </c>
      <c r="B3216" s="46" t="s">
        <v>204</v>
      </c>
      <c r="C3216" s="47">
        <v>44323</v>
      </c>
      <c r="D3216" s="45">
        <v>22021002228</v>
      </c>
      <c r="E3216" s="46" t="s">
        <v>1471</v>
      </c>
      <c r="F3216" s="48">
        <v>34.19</v>
      </c>
      <c r="G3216" s="54" t="s">
        <v>3265</v>
      </c>
      <c r="H3216" s="54" t="s">
        <v>4787</v>
      </c>
      <c r="I3216" s="53" t="s">
        <v>205</v>
      </c>
      <c r="J3216" s="54" t="s">
        <v>127</v>
      </c>
      <c r="K3216" s="54" t="s">
        <v>127</v>
      </c>
      <c r="L3216" s="54" t="s">
        <v>15</v>
      </c>
      <c r="M3216" s="54" t="s">
        <v>13</v>
      </c>
      <c r="N3216" s="54" t="s">
        <v>16</v>
      </c>
      <c r="O3216" s="49" t="s">
        <v>814</v>
      </c>
      <c r="P3216" s="54" t="s">
        <v>3392</v>
      </c>
      <c r="Q3216" s="35" t="str">
        <f>MID(Tabla1[[#This Row],[Aplicación]],14,1)</f>
        <v>2</v>
      </c>
      <c r="R3216" s="35" t="s">
        <v>495</v>
      </c>
      <c r="S3216" s="35" t="str">
        <f>MID(Tabla1[[#This Row],[Aplicación]],6,2)</f>
        <v>06</v>
      </c>
      <c r="T3216" s="35" t="str">
        <f>VLOOKUP(Tabla1[[#This Row],[AREA]],Hoja1!A:B,2,FALSE)</f>
        <v>06. Educación, infancia, juventud e igualdad</v>
      </c>
      <c r="U3216" s="35" t="str">
        <f>MID(Tabla1[[#This Row],[Aplicación]],9,4)</f>
        <v>3232</v>
      </c>
      <c r="V3216" s="35" t="str">
        <f>VLOOKUP(Tabla1[[#This Row],[PROGRAMA]],Hoja1!A:B,2,FALSE)</f>
        <v>3232. Conservación y mantenimiento centros educación infantil y primaria</v>
      </c>
      <c r="W3216" s="35" t="str">
        <f>MID(Tabla1[[#This Row],[Aplicación]],14,2)</f>
        <v>21</v>
      </c>
      <c r="X3216" s="35" t="str">
        <f>MID(Tabla1[[#This Row],[Aplicación]],14,6)</f>
        <v>212</v>
      </c>
    </row>
    <row r="3217" spans="1:24" x14ac:dyDescent="0.25">
      <c r="A3217" s="45">
        <v>220210016826</v>
      </c>
      <c r="B3217" s="46" t="s">
        <v>204</v>
      </c>
      <c r="C3217" s="47">
        <v>44308</v>
      </c>
      <c r="D3217" s="45">
        <v>22021002369</v>
      </c>
      <c r="E3217" s="46" t="s">
        <v>1336</v>
      </c>
      <c r="F3217" s="48">
        <v>34.130000000000003</v>
      </c>
      <c r="G3217" s="54" t="s">
        <v>235</v>
      </c>
      <c r="H3217" s="54" t="s">
        <v>4788</v>
      </c>
      <c r="I3217" s="53" t="s">
        <v>205</v>
      </c>
      <c r="J3217" s="54" t="s">
        <v>742</v>
      </c>
      <c r="K3217" s="54" t="s">
        <v>165</v>
      </c>
      <c r="L3217" s="54" t="s">
        <v>15</v>
      </c>
      <c r="M3217" s="54" t="s">
        <v>13</v>
      </c>
      <c r="N3217" s="54" t="s">
        <v>14</v>
      </c>
      <c r="O3217" s="49" t="s">
        <v>814</v>
      </c>
      <c r="P3217" s="54" t="s">
        <v>3392</v>
      </c>
      <c r="Q3217" s="35" t="str">
        <f>MID(Tabla1[[#This Row],[Aplicación]],14,1)</f>
        <v>2</v>
      </c>
      <c r="R3217" s="35" t="s">
        <v>495</v>
      </c>
      <c r="S3217" s="35" t="str">
        <f>MID(Tabla1[[#This Row],[Aplicación]],6,2)</f>
        <v>02</v>
      </c>
      <c r="T3217" s="35" t="str">
        <f>VLOOKUP(Tabla1[[#This Row],[AREA]],Hoja1!A:B,2,FALSE)</f>
        <v>02. Planeamiento urbanístico y vivienda</v>
      </c>
      <c r="U3217" s="35" t="str">
        <f>MID(Tabla1[[#This Row],[Aplicación]],9,4)</f>
        <v>9332</v>
      </c>
      <c r="V3217" s="35" t="str">
        <f>VLOOKUP(Tabla1[[#This Row],[PROGRAMA]],Hoja1!A:B,2,FALSE)</f>
        <v>9332. Mantenimiento de edificios e instalaciones municipales</v>
      </c>
      <c r="W3217" s="35" t="str">
        <f>MID(Tabla1[[#This Row],[Aplicación]],14,2)</f>
        <v>21</v>
      </c>
      <c r="X3217" s="35" t="str">
        <f>MID(Tabla1[[#This Row],[Aplicación]],14,6)</f>
        <v>212</v>
      </c>
    </row>
    <row r="3218" spans="1:24" x14ac:dyDescent="0.25">
      <c r="A3218" s="45">
        <v>220210015892</v>
      </c>
      <c r="B3218" s="46" t="s">
        <v>9</v>
      </c>
      <c r="C3218" s="47">
        <v>44305</v>
      </c>
      <c r="D3218" s="45">
        <v>22021003877</v>
      </c>
      <c r="E3218" s="46" t="s">
        <v>3387</v>
      </c>
      <c r="F3218" s="48">
        <v>28.2</v>
      </c>
      <c r="G3218" s="54" t="s">
        <v>3596</v>
      </c>
      <c r="H3218" s="54" t="s">
        <v>4789</v>
      </c>
      <c r="I3218" s="53" t="s">
        <v>125</v>
      </c>
      <c r="J3218" s="54" t="s">
        <v>127</v>
      </c>
      <c r="K3218" s="54" t="s">
        <v>127</v>
      </c>
      <c r="L3218" s="54" t="s">
        <v>12</v>
      </c>
      <c r="M3218" s="54" t="s">
        <v>10</v>
      </c>
      <c r="N3218" s="54" t="s">
        <v>11</v>
      </c>
      <c r="O3218" s="49" t="s">
        <v>815</v>
      </c>
      <c r="P3218" s="54" t="s">
        <v>3392</v>
      </c>
      <c r="Q3218" s="35" t="str">
        <f>MID(Tabla1[[#This Row],[Aplicación]],14,1)</f>
        <v>2</v>
      </c>
      <c r="R3218" s="35" t="s">
        <v>495</v>
      </c>
      <c r="S3218" s="35" t="str">
        <f>MID(Tabla1[[#This Row],[Aplicación]],6,2)</f>
        <v>05</v>
      </c>
      <c r="T3218" s="35" t="str">
        <f>VLOOKUP(Tabla1[[#This Row],[AREA]],Hoja1!A:B,2,FALSE)</f>
        <v>05. Innovación, desarrollo económico, empleo y comercio</v>
      </c>
      <c r="U3218" s="35" t="str">
        <f>MID(Tabla1[[#This Row],[Aplicación]],9,4)</f>
        <v>4315</v>
      </c>
      <c r="V3218" s="35" t="str">
        <f>VLOOKUP(Tabla1[[#This Row],[PROGRAMA]],Hoja1!A:B,2,FALSE)</f>
        <v>4315. Actuaciones en materia de consumo</v>
      </c>
      <c r="W3218" s="35" t="str">
        <f>MID(Tabla1[[#This Row],[Aplicación]],14,2)</f>
        <v>22</v>
      </c>
      <c r="X3218" s="35" t="str">
        <f>MID(Tabla1[[#This Row],[Aplicación]],14,6)</f>
        <v>22799</v>
      </c>
    </row>
    <row r="3219" spans="1:24" x14ac:dyDescent="0.25">
      <c r="A3219" s="45">
        <v>220210027619</v>
      </c>
      <c r="B3219" s="46" t="s">
        <v>204</v>
      </c>
      <c r="C3219" s="47">
        <v>44348</v>
      </c>
      <c r="D3219" s="45">
        <v>22021002089</v>
      </c>
      <c r="E3219" s="46" t="s">
        <v>1220</v>
      </c>
      <c r="F3219" s="48">
        <v>34.130000000000003</v>
      </c>
      <c r="G3219" s="54" t="s">
        <v>235</v>
      </c>
      <c r="H3219" s="54" t="s">
        <v>4790</v>
      </c>
      <c r="I3219" s="53" t="s">
        <v>205</v>
      </c>
      <c r="J3219" s="54" t="s">
        <v>742</v>
      </c>
      <c r="K3219" s="54" t="s">
        <v>165</v>
      </c>
      <c r="L3219" s="54" t="s">
        <v>15</v>
      </c>
      <c r="M3219" s="54" t="s">
        <v>13</v>
      </c>
      <c r="N3219" s="54" t="s">
        <v>16</v>
      </c>
      <c r="O3219" s="49" t="s">
        <v>814</v>
      </c>
      <c r="P3219" s="54" t="s">
        <v>3392</v>
      </c>
      <c r="Q3219" s="35" t="str">
        <f>MID(Tabla1[[#This Row],[Aplicación]],14,1)</f>
        <v>2</v>
      </c>
      <c r="R3219" s="35" t="s">
        <v>495</v>
      </c>
      <c r="S3219" s="35" t="str">
        <f>MID(Tabla1[[#This Row],[Aplicación]],6,2)</f>
        <v>03</v>
      </c>
      <c r="T3219" s="35" t="str">
        <f>VLOOKUP(Tabla1[[#This Row],[AREA]],Hoja1!A:B,2,FALSE)</f>
        <v>03. Participación ciudadana y deportes</v>
      </c>
      <c r="U3219" s="35" t="str">
        <f>MID(Tabla1[[#This Row],[Aplicación]],9,4)</f>
        <v>9241</v>
      </c>
      <c r="V3219" s="35" t="str">
        <f>VLOOKUP(Tabla1[[#This Row],[PROGRAMA]],Hoja1!A:B,2,FALSE)</f>
        <v>9241. Participación ciudadana</v>
      </c>
      <c r="W3219" s="35" t="str">
        <f>MID(Tabla1[[#This Row],[Aplicación]],14,2)</f>
        <v>21</v>
      </c>
      <c r="X3219" s="35" t="str">
        <f>MID(Tabla1[[#This Row],[Aplicación]],14,6)</f>
        <v>213</v>
      </c>
    </row>
    <row r="3220" spans="1:24" x14ac:dyDescent="0.25">
      <c r="A3220" s="45">
        <v>220210030481</v>
      </c>
      <c r="B3220" s="46" t="s">
        <v>204</v>
      </c>
      <c r="C3220" s="47">
        <v>44358</v>
      </c>
      <c r="D3220" s="45">
        <v>22021002057</v>
      </c>
      <c r="E3220" s="46" t="s">
        <v>1715</v>
      </c>
      <c r="F3220" s="48">
        <v>33.64</v>
      </c>
      <c r="G3220" s="54" t="s">
        <v>102</v>
      </c>
      <c r="H3220" s="54" t="s">
        <v>4791</v>
      </c>
      <c r="I3220" s="53" t="s">
        <v>205</v>
      </c>
      <c r="J3220" s="54" t="s">
        <v>127</v>
      </c>
      <c r="K3220" s="54" t="s">
        <v>127</v>
      </c>
      <c r="L3220" s="54" t="s">
        <v>15</v>
      </c>
      <c r="M3220" s="54" t="s">
        <v>13</v>
      </c>
      <c r="N3220" s="54" t="s">
        <v>14</v>
      </c>
      <c r="O3220" s="49" t="s">
        <v>814</v>
      </c>
      <c r="P3220" s="54" t="s">
        <v>3392</v>
      </c>
      <c r="Q3220" s="35" t="str">
        <f>MID(Tabla1[[#This Row],[Aplicación]],14,1)</f>
        <v>2</v>
      </c>
      <c r="R3220" s="35" t="s">
        <v>495</v>
      </c>
      <c r="S3220" s="35" t="str">
        <f>MID(Tabla1[[#This Row],[Aplicación]],6,2)</f>
        <v>11</v>
      </c>
      <c r="T3220" s="35" t="str">
        <f>VLOOKUP(Tabla1[[#This Row],[AREA]],Hoja1!A:B,2,FALSE)</f>
        <v>11. Salud pública y seguridad ciudadana</v>
      </c>
      <c r="U3220" s="35" t="str">
        <f>MID(Tabla1[[#This Row],[Aplicación]],9,4)</f>
        <v>1631</v>
      </c>
      <c r="V3220" s="35" t="str">
        <f>VLOOKUP(Tabla1[[#This Row],[PROGRAMA]],Hoja1!A:B,2,FALSE)</f>
        <v>1631. Limpieza viaria</v>
      </c>
      <c r="W3220" s="35" t="str">
        <f>MID(Tabla1[[#This Row],[Aplicación]],14,2)</f>
        <v>22</v>
      </c>
      <c r="X3220" s="35" t="str">
        <f>MID(Tabla1[[#This Row],[Aplicación]],14,6)</f>
        <v>22199</v>
      </c>
    </row>
    <row r="3221" spans="1:24" x14ac:dyDescent="0.25">
      <c r="A3221" s="45">
        <v>220210028279</v>
      </c>
      <c r="B3221" s="46" t="s">
        <v>9</v>
      </c>
      <c r="C3221" s="47">
        <v>44350</v>
      </c>
      <c r="D3221" s="45">
        <v>22021004635</v>
      </c>
      <c r="E3221" s="46" t="s">
        <v>1758</v>
      </c>
      <c r="F3221" s="48">
        <v>27.58</v>
      </c>
      <c r="G3221" s="54" t="s">
        <v>3596</v>
      </c>
      <c r="H3221" s="54" t="s">
        <v>4792</v>
      </c>
      <c r="I3221" s="53" t="s">
        <v>125</v>
      </c>
      <c r="J3221" s="54" t="s">
        <v>127</v>
      </c>
      <c r="K3221" s="54" t="s">
        <v>127</v>
      </c>
      <c r="L3221" s="54" t="s">
        <v>15</v>
      </c>
      <c r="M3221" s="54" t="s">
        <v>10</v>
      </c>
      <c r="N3221" s="54" t="s">
        <v>11</v>
      </c>
      <c r="O3221" s="49" t="s">
        <v>815</v>
      </c>
      <c r="P3221" s="54" t="s">
        <v>3392</v>
      </c>
      <c r="Q3221" s="35" t="str">
        <f>MID(Tabla1[[#This Row],[Aplicación]],14,1)</f>
        <v>2</v>
      </c>
      <c r="R3221" s="35" t="s">
        <v>495</v>
      </c>
      <c r="S3221" s="35" t="str">
        <f>MID(Tabla1[[#This Row],[Aplicación]],6,2)</f>
        <v>06</v>
      </c>
      <c r="T3221" s="35" t="str">
        <f>VLOOKUP(Tabla1[[#This Row],[AREA]],Hoja1!A:B,2,FALSE)</f>
        <v>06. Educación, infancia, juventud e igualdad</v>
      </c>
      <c r="U3221" s="35" t="str">
        <f>MID(Tabla1[[#This Row],[Aplicación]],9,4)</f>
        <v>3321</v>
      </c>
      <c r="V3221" s="35" t="str">
        <f>VLOOKUP(Tabla1[[#This Row],[PROGRAMA]],Hoja1!A:B,2,FALSE)</f>
        <v>3321. Bibliotecas públicas</v>
      </c>
      <c r="W3221" s="35" t="str">
        <f>MID(Tabla1[[#This Row],[Aplicación]],14,2)</f>
        <v>22</v>
      </c>
      <c r="X3221" s="35" t="str">
        <f>MID(Tabla1[[#This Row],[Aplicación]],14,6)</f>
        <v>22199</v>
      </c>
    </row>
    <row r="3222" spans="1:24" x14ac:dyDescent="0.25">
      <c r="A3222" s="45">
        <v>220210019162</v>
      </c>
      <c r="B3222" s="46" t="s">
        <v>204</v>
      </c>
      <c r="C3222" s="47">
        <v>44319</v>
      </c>
      <c r="D3222" s="45">
        <v>22021003170</v>
      </c>
      <c r="E3222" s="46" t="s">
        <v>3388</v>
      </c>
      <c r="F3222" s="48">
        <v>33.15</v>
      </c>
      <c r="G3222" s="54" t="s">
        <v>266</v>
      </c>
      <c r="H3222" s="54" t="s">
        <v>4793</v>
      </c>
      <c r="I3222" s="53" t="s">
        <v>205</v>
      </c>
      <c r="J3222" s="54" t="s">
        <v>127</v>
      </c>
      <c r="K3222" s="54" t="s">
        <v>127</v>
      </c>
      <c r="L3222" s="54" t="s">
        <v>12</v>
      </c>
      <c r="M3222" s="54" t="s">
        <v>13</v>
      </c>
      <c r="N3222" s="54" t="s">
        <v>14</v>
      </c>
      <c r="O3222" s="49" t="s">
        <v>814</v>
      </c>
      <c r="P3222" s="54" t="s">
        <v>3392</v>
      </c>
      <c r="Q3222" s="35" t="str">
        <f>MID(Tabla1[[#This Row],[Aplicación]],14,1)</f>
        <v>2</v>
      </c>
      <c r="R3222" s="35" t="s">
        <v>495</v>
      </c>
      <c r="S3222" s="35" t="str">
        <f>MID(Tabla1[[#This Row],[Aplicación]],6,2)</f>
        <v>05</v>
      </c>
      <c r="T3222" s="35" t="str">
        <f>VLOOKUP(Tabla1[[#This Row],[AREA]],Hoja1!A:B,2,FALSE)</f>
        <v>05. Innovación, desarrollo económico, empleo y comercio</v>
      </c>
      <c r="U3222" s="35" t="str">
        <f>MID(Tabla1[[#This Row],[Aplicación]],9,4)</f>
        <v>4314</v>
      </c>
      <c r="V3222" s="35" t="str">
        <f>VLOOKUP(Tabla1[[#This Row],[PROGRAMA]],Hoja1!A:B,2,FALSE)</f>
        <v>4314. Fomento del comercio</v>
      </c>
      <c r="W3222" s="35" t="str">
        <f>MID(Tabla1[[#This Row],[Aplicación]],14,2)</f>
        <v>22</v>
      </c>
      <c r="X3222" s="35" t="str">
        <f>MID(Tabla1[[#This Row],[Aplicación]],14,6)</f>
        <v>22199</v>
      </c>
    </row>
    <row r="3223" spans="1:24" x14ac:dyDescent="0.25">
      <c r="A3223" s="45">
        <v>220210023184</v>
      </c>
      <c r="B3223" s="46" t="s">
        <v>204</v>
      </c>
      <c r="C3223" s="47">
        <v>44335</v>
      </c>
      <c r="D3223" s="45">
        <v>22021002369</v>
      </c>
      <c r="E3223" s="46" t="s">
        <v>1336</v>
      </c>
      <c r="F3223" s="48">
        <v>33.01</v>
      </c>
      <c r="G3223" s="54" t="s">
        <v>277</v>
      </c>
      <c r="H3223" s="54" t="s">
        <v>4794</v>
      </c>
      <c r="I3223" s="53" t="s">
        <v>205</v>
      </c>
      <c r="J3223" s="54" t="s">
        <v>127</v>
      </c>
      <c r="K3223" s="54" t="s">
        <v>127</v>
      </c>
      <c r="L3223" s="54" t="s">
        <v>15</v>
      </c>
      <c r="M3223" s="54" t="s">
        <v>13</v>
      </c>
      <c r="N3223" s="54" t="s">
        <v>14</v>
      </c>
      <c r="O3223" s="49" t="s">
        <v>814</v>
      </c>
      <c r="P3223" s="54" t="s">
        <v>3392</v>
      </c>
      <c r="Q3223" s="35" t="str">
        <f>MID(Tabla1[[#This Row],[Aplicación]],14,1)</f>
        <v>2</v>
      </c>
      <c r="R3223" s="35" t="s">
        <v>495</v>
      </c>
      <c r="S3223" s="35" t="str">
        <f>MID(Tabla1[[#This Row],[Aplicación]],6,2)</f>
        <v>02</v>
      </c>
      <c r="T3223" s="35" t="str">
        <f>VLOOKUP(Tabla1[[#This Row],[AREA]],Hoja1!A:B,2,FALSE)</f>
        <v>02. Planeamiento urbanístico y vivienda</v>
      </c>
      <c r="U3223" s="35" t="str">
        <f>MID(Tabla1[[#This Row],[Aplicación]],9,4)</f>
        <v>9332</v>
      </c>
      <c r="V3223" s="35" t="str">
        <f>VLOOKUP(Tabla1[[#This Row],[PROGRAMA]],Hoja1!A:B,2,FALSE)</f>
        <v>9332. Mantenimiento de edificios e instalaciones municipales</v>
      </c>
      <c r="W3223" s="35" t="str">
        <f>MID(Tabla1[[#This Row],[Aplicación]],14,2)</f>
        <v>21</v>
      </c>
      <c r="X3223" s="35" t="str">
        <f>MID(Tabla1[[#This Row],[Aplicación]],14,6)</f>
        <v>212</v>
      </c>
    </row>
    <row r="3224" spans="1:24" x14ac:dyDescent="0.25">
      <c r="A3224" s="45">
        <v>220210019228</v>
      </c>
      <c r="B3224" s="46" t="s">
        <v>204</v>
      </c>
      <c r="C3224" s="47">
        <v>44319</v>
      </c>
      <c r="D3224" s="45">
        <v>22021000542</v>
      </c>
      <c r="E3224" s="46" t="s">
        <v>2913</v>
      </c>
      <c r="F3224" s="48">
        <v>32.880000000000003</v>
      </c>
      <c r="G3224" s="54" t="s">
        <v>135</v>
      </c>
      <c r="H3224" s="54" t="s">
        <v>4795</v>
      </c>
      <c r="I3224" s="53" t="s">
        <v>205</v>
      </c>
      <c r="J3224" s="54" t="s">
        <v>127</v>
      </c>
      <c r="K3224" s="54" t="s">
        <v>127</v>
      </c>
      <c r="L3224" s="54" t="s">
        <v>15</v>
      </c>
      <c r="M3224" s="54" t="s">
        <v>13</v>
      </c>
      <c r="N3224" s="54" t="s">
        <v>14</v>
      </c>
      <c r="O3224" s="49" t="s">
        <v>814</v>
      </c>
      <c r="P3224" s="54" t="s">
        <v>3392</v>
      </c>
      <c r="Q3224" s="35" t="str">
        <f>MID(Tabla1[[#This Row],[Aplicación]],14,1)</f>
        <v>2</v>
      </c>
      <c r="R3224" s="35" t="s">
        <v>495</v>
      </c>
      <c r="S3224" s="35" t="str">
        <f>MID(Tabla1[[#This Row],[Aplicación]],6,2)</f>
        <v>08</v>
      </c>
      <c r="T3224" s="35" t="str">
        <f>VLOOKUP(Tabla1[[#This Row],[AREA]],Hoja1!A:B,2,FALSE)</f>
        <v>08. Movilidad y espacio urbano</v>
      </c>
      <c r="U3224" s="35" t="str">
        <f>MID(Tabla1[[#This Row],[Aplicación]],9,4)</f>
        <v>1341</v>
      </c>
      <c r="V3224" s="35" t="str">
        <f>VLOOKUP(Tabla1[[#This Row],[PROGRAMA]],Hoja1!A:B,2,FALSE)</f>
        <v>1341. Movilidad</v>
      </c>
      <c r="W3224" s="35" t="str">
        <f>MID(Tabla1[[#This Row],[Aplicación]],14,2)</f>
        <v>22</v>
      </c>
      <c r="X3224" s="35" t="str">
        <f>MID(Tabla1[[#This Row],[Aplicación]],14,6)</f>
        <v>22699</v>
      </c>
    </row>
    <row r="3225" spans="1:24" x14ac:dyDescent="0.25">
      <c r="A3225" s="45">
        <v>220210031194</v>
      </c>
      <c r="B3225" s="46" t="s">
        <v>204</v>
      </c>
      <c r="C3225" s="47">
        <v>44361</v>
      </c>
      <c r="D3225" s="45">
        <v>22021002057</v>
      </c>
      <c r="E3225" s="46" t="s">
        <v>1715</v>
      </c>
      <c r="F3225" s="48">
        <v>32.61</v>
      </c>
      <c r="G3225" s="54" t="s">
        <v>263</v>
      </c>
      <c r="H3225" s="54" t="s">
        <v>4796</v>
      </c>
      <c r="I3225" s="53" t="s">
        <v>205</v>
      </c>
      <c r="J3225" s="54" t="s">
        <v>127</v>
      </c>
      <c r="K3225" s="54" t="s">
        <v>127</v>
      </c>
      <c r="L3225" s="54" t="s">
        <v>15</v>
      </c>
      <c r="M3225" s="54" t="s">
        <v>13</v>
      </c>
      <c r="N3225" s="54" t="s">
        <v>14</v>
      </c>
      <c r="O3225" s="49" t="s">
        <v>814</v>
      </c>
      <c r="P3225" s="54" t="s">
        <v>3392</v>
      </c>
      <c r="Q3225" s="35" t="str">
        <f>MID(Tabla1[[#This Row],[Aplicación]],14,1)</f>
        <v>2</v>
      </c>
      <c r="R3225" s="35" t="s">
        <v>495</v>
      </c>
      <c r="S3225" s="35" t="str">
        <f>MID(Tabla1[[#This Row],[Aplicación]],6,2)</f>
        <v>11</v>
      </c>
      <c r="T3225" s="35" t="str">
        <f>VLOOKUP(Tabla1[[#This Row],[AREA]],Hoja1!A:B,2,FALSE)</f>
        <v>11. Salud pública y seguridad ciudadana</v>
      </c>
      <c r="U3225" s="35" t="str">
        <f>MID(Tabla1[[#This Row],[Aplicación]],9,4)</f>
        <v>1631</v>
      </c>
      <c r="V3225" s="35" t="str">
        <f>VLOOKUP(Tabla1[[#This Row],[PROGRAMA]],Hoja1!A:B,2,FALSE)</f>
        <v>1631. Limpieza viaria</v>
      </c>
      <c r="W3225" s="35" t="str">
        <f>MID(Tabla1[[#This Row],[Aplicación]],14,2)</f>
        <v>22</v>
      </c>
      <c r="X3225" s="35" t="str">
        <f>MID(Tabla1[[#This Row],[Aplicación]],14,6)</f>
        <v>22199</v>
      </c>
    </row>
    <row r="3226" spans="1:24" x14ac:dyDescent="0.25">
      <c r="A3226" s="45">
        <v>220210014826</v>
      </c>
      <c r="B3226" s="46" t="s">
        <v>204</v>
      </c>
      <c r="C3226" s="47">
        <v>44299</v>
      </c>
      <c r="D3226" s="45">
        <v>22021002052</v>
      </c>
      <c r="E3226" s="46" t="s">
        <v>1340</v>
      </c>
      <c r="F3226" s="48">
        <v>32.6</v>
      </c>
      <c r="G3226" s="54" t="s">
        <v>102</v>
      </c>
      <c r="H3226" s="54" t="s">
        <v>4797</v>
      </c>
      <c r="I3226" s="53" t="s">
        <v>205</v>
      </c>
      <c r="J3226" s="54" t="s">
        <v>127</v>
      </c>
      <c r="K3226" s="54" t="s">
        <v>127</v>
      </c>
      <c r="L3226" s="54" t="s">
        <v>15</v>
      </c>
      <c r="M3226" s="54" t="s">
        <v>13</v>
      </c>
      <c r="N3226" s="54" t="s">
        <v>14</v>
      </c>
      <c r="O3226" s="49" t="s">
        <v>814</v>
      </c>
      <c r="P3226" s="54" t="s">
        <v>3392</v>
      </c>
      <c r="Q3226" s="35" t="str">
        <f>MID(Tabla1[[#This Row],[Aplicación]],14,1)</f>
        <v>2</v>
      </c>
      <c r="R3226" s="35" t="s">
        <v>495</v>
      </c>
      <c r="S3226" s="35" t="str">
        <f>MID(Tabla1[[#This Row],[Aplicación]],6,2)</f>
        <v>11</v>
      </c>
      <c r="T3226" s="35" t="str">
        <f>VLOOKUP(Tabla1[[#This Row],[AREA]],Hoja1!A:B,2,FALSE)</f>
        <v>11. Salud pública y seguridad ciudadana</v>
      </c>
      <c r="U3226" s="35" t="str">
        <f>MID(Tabla1[[#This Row],[Aplicación]],9,4)</f>
        <v>1621</v>
      </c>
      <c r="V3226" s="35" t="str">
        <f>VLOOKUP(Tabla1[[#This Row],[PROGRAMA]],Hoja1!A:B,2,FALSE)</f>
        <v>1621. Servicio de limpieza</v>
      </c>
      <c r="W3226" s="35" t="str">
        <f>MID(Tabla1[[#This Row],[Aplicación]],14,2)</f>
        <v>22</v>
      </c>
      <c r="X3226" s="35" t="str">
        <f>MID(Tabla1[[#This Row],[Aplicación]],14,6)</f>
        <v>22199</v>
      </c>
    </row>
    <row r="3227" spans="1:24" x14ac:dyDescent="0.25">
      <c r="A3227" s="45">
        <v>220210023390</v>
      </c>
      <c r="B3227" s="46" t="s">
        <v>204</v>
      </c>
      <c r="C3227" s="47">
        <v>44335</v>
      </c>
      <c r="D3227" s="45">
        <v>22021002144</v>
      </c>
      <c r="E3227" s="46" t="s">
        <v>1328</v>
      </c>
      <c r="F3227" s="48">
        <v>32.6</v>
      </c>
      <c r="G3227" s="54" t="s">
        <v>102</v>
      </c>
      <c r="H3227" s="54" t="s">
        <v>4798</v>
      </c>
      <c r="I3227" s="53" t="s">
        <v>205</v>
      </c>
      <c r="J3227" s="54" t="s">
        <v>127</v>
      </c>
      <c r="K3227" s="54" t="s">
        <v>127</v>
      </c>
      <c r="L3227" s="54" t="s">
        <v>15</v>
      </c>
      <c r="M3227" s="54" t="s">
        <v>13</v>
      </c>
      <c r="N3227" s="54" t="s">
        <v>14</v>
      </c>
      <c r="O3227" s="49" t="s">
        <v>814</v>
      </c>
      <c r="P3227" s="54" t="s">
        <v>3392</v>
      </c>
      <c r="Q3227" s="35" t="str">
        <f>MID(Tabla1[[#This Row],[Aplicación]],14,1)</f>
        <v>2</v>
      </c>
      <c r="R3227" s="35" t="s">
        <v>495</v>
      </c>
      <c r="S3227" s="35" t="str">
        <f>MID(Tabla1[[#This Row],[Aplicación]],6,2)</f>
        <v>10</v>
      </c>
      <c r="T3227" s="35" t="str">
        <f>VLOOKUP(Tabla1[[#This Row],[AREA]],Hoja1!A:B,2,FALSE)</f>
        <v>10. Servicios sociales y mediación comunitaria</v>
      </c>
      <c r="U3227" s="35" t="str">
        <f>MID(Tabla1[[#This Row],[Aplicación]],9,4)</f>
        <v>2311</v>
      </c>
      <c r="V3227" s="35" t="str">
        <f>VLOOKUP(Tabla1[[#This Row],[PROGRAMA]],Hoja1!A:B,2,FALSE)</f>
        <v>2311. Intervención social</v>
      </c>
      <c r="W3227" s="35" t="str">
        <f>MID(Tabla1[[#This Row],[Aplicación]],14,2)</f>
        <v>21</v>
      </c>
      <c r="X3227" s="35" t="str">
        <f>MID(Tabla1[[#This Row],[Aplicación]],14,6)</f>
        <v>212</v>
      </c>
    </row>
    <row r="3228" spans="1:24" x14ac:dyDescent="0.25">
      <c r="A3228" s="45">
        <v>220210031703</v>
      </c>
      <c r="B3228" s="46" t="s">
        <v>204</v>
      </c>
      <c r="C3228" s="47">
        <v>44369</v>
      </c>
      <c r="D3228" s="45">
        <v>22021002144</v>
      </c>
      <c r="E3228" s="46" t="s">
        <v>1328</v>
      </c>
      <c r="F3228" s="48">
        <v>32.29</v>
      </c>
      <c r="G3228" s="54" t="s">
        <v>256</v>
      </c>
      <c r="H3228" s="54" t="s">
        <v>4799</v>
      </c>
      <c r="I3228" s="53" t="s">
        <v>205</v>
      </c>
      <c r="J3228" s="54" t="s">
        <v>127</v>
      </c>
      <c r="K3228" s="54" t="s">
        <v>127</v>
      </c>
      <c r="L3228" s="54" t="s">
        <v>15</v>
      </c>
      <c r="M3228" s="54" t="s">
        <v>13</v>
      </c>
      <c r="N3228" s="54" t="s">
        <v>14</v>
      </c>
      <c r="O3228" s="49" t="s">
        <v>814</v>
      </c>
      <c r="P3228" s="54" t="s">
        <v>3392</v>
      </c>
      <c r="Q3228" s="35" t="str">
        <f>MID(Tabla1[[#This Row],[Aplicación]],14,1)</f>
        <v>2</v>
      </c>
      <c r="R3228" s="35" t="s">
        <v>495</v>
      </c>
      <c r="S3228" s="35" t="str">
        <f>MID(Tabla1[[#This Row],[Aplicación]],6,2)</f>
        <v>10</v>
      </c>
      <c r="T3228" s="35" t="str">
        <f>VLOOKUP(Tabla1[[#This Row],[AREA]],Hoja1!A:B,2,FALSE)</f>
        <v>10. Servicios sociales y mediación comunitaria</v>
      </c>
      <c r="U3228" s="35" t="str">
        <f>MID(Tabla1[[#This Row],[Aplicación]],9,4)</f>
        <v>2311</v>
      </c>
      <c r="V3228" s="35" t="str">
        <f>VLOOKUP(Tabla1[[#This Row],[PROGRAMA]],Hoja1!A:B,2,FALSE)</f>
        <v>2311. Intervención social</v>
      </c>
      <c r="W3228" s="35" t="str">
        <f>MID(Tabla1[[#This Row],[Aplicación]],14,2)</f>
        <v>21</v>
      </c>
      <c r="X3228" s="35" t="str">
        <f>MID(Tabla1[[#This Row],[Aplicación]],14,6)</f>
        <v>212</v>
      </c>
    </row>
    <row r="3229" spans="1:24" x14ac:dyDescent="0.25">
      <c r="A3229" s="45">
        <v>220210032701</v>
      </c>
      <c r="B3229" s="46" t="s">
        <v>204</v>
      </c>
      <c r="C3229" s="47">
        <v>44371</v>
      </c>
      <c r="D3229" s="45">
        <v>22021003381</v>
      </c>
      <c r="E3229" s="46" t="s">
        <v>1183</v>
      </c>
      <c r="F3229" s="48">
        <v>32.1</v>
      </c>
      <c r="G3229" s="54" t="s">
        <v>238</v>
      </c>
      <c r="H3229" s="54" t="s">
        <v>4800</v>
      </c>
      <c r="I3229" s="53" t="s">
        <v>205</v>
      </c>
      <c r="J3229" s="54" t="s">
        <v>127</v>
      </c>
      <c r="K3229" s="54" t="s">
        <v>127</v>
      </c>
      <c r="L3229" s="54" t="s">
        <v>15</v>
      </c>
      <c r="M3229" s="54" t="s">
        <v>13</v>
      </c>
      <c r="N3229" s="54" t="s">
        <v>14</v>
      </c>
      <c r="O3229" s="49" t="s">
        <v>814</v>
      </c>
      <c r="P3229" s="54" t="s">
        <v>3392</v>
      </c>
      <c r="Q3229" s="35" t="str">
        <f>MID(Tabla1[[#This Row],[Aplicación]],14,1)</f>
        <v>2</v>
      </c>
      <c r="R3229" s="35" t="s">
        <v>495</v>
      </c>
      <c r="S3229" s="35" t="str">
        <f>MID(Tabla1[[#This Row],[Aplicación]],6,2)</f>
        <v>11</v>
      </c>
      <c r="T3229" s="35" t="str">
        <f>VLOOKUP(Tabla1[[#This Row],[AREA]],Hoja1!A:B,2,FALSE)</f>
        <v>11. Salud pública y seguridad ciudadana</v>
      </c>
      <c r="U3229" s="35" t="str">
        <f>MID(Tabla1[[#This Row],[Aplicación]],9,4)</f>
        <v>1361</v>
      </c>
      <c r="V3229" s="35" t="str">
        <f>VLOOKUP(Tabla1[[#This Row],[PROGRAMA]],Hoja1!A:B,2,FALSE)</f>
        <v>1361. Prevención y extinción de incencios</v>
      </c>
      <c r="W3229" s="35" t="str">
        <f>MID(Tabla1[[#This Row],[Aplicación]],14,2)</f>
        <v>22</v>
      </c>
      <c r="X3229" s="35" t="str">
        <f>MID(Tabla1[[#This Row],[Aplicación]],14,6)</f>
        <v>22199</v>
      </c>
    </row>
    <row r="3230" spans="1:24" x14ac:dyDescent="0.25">
      <c r="A3230" s="45">
        <v>220210029638</v>
      </c>
      <c r="B3230" s="46" t="s">
        <v>204</v>
      </c>
      <c r="C3230" s="47">
        <v>44355</v>
      </c>
      <c r="D3230" s="45">
        <v>22021002369</v>
      </c>
      <c r="E3230" s="46" t="s">
        <v>1336</v>
      </c>
      <c r="F3230" s="48">
        <v>31.62</v>
      </c>
      <c r="G3230" s="54" t="s">
        <v>277</v>
      </c>
      <c r="H3230" s="54" t="s">
        <v>4801</v>
      </c>
      <c r="I3230" s="53" t="s">
        <v>205</v>
      </c>
      <c r="J3230" s="54" t="s">
        <v>127</v>
      </c>
      <c r="K3230" s="54" t="s">
        <v>127</v>
      </c>
      <c r="L3230" s="54" t="s">
        <v>15</v>
      </c>
      <c r="M3230" s="54" t="s">
        <v>13</v>
      </c>
      <c r="N3230" s="54" t="s">
        <v>14</v>
      </c>
      <c r="O3230" s="49" t="s">
        <v>814</v>
      </c>
      <c r="P3230" s="54" t="s">
        <v>3392</v>
      </c>
      <c r="Q3230" s="35" t="str">
        <f>MID(Tabla1[[#This Row],[Aplicación]],14,1)</f>
        <v>2</v>
      </c>
      <c r="R3230" s="35" t="s">
        <v>495</v>
      </c>
      <c r="S3230" s="35" t="str">
        <f>MID(Tabla1[[#This Row],[Aplicación]],6,2)</f>
        <v>02</v>
      </c>
      <c r="T3230" s="35" t="str">
        <f>VLOOKUP(Tabla1[[#This Row],[AREA]],Hoja1!A:B,2,FALSE)</f>
        <v>02. Planeamiento urbanístico y vivienda</v>
      </c>
      <c r="U3230" s="35" t="str">
        <f>MID(Tabla1[[#This Row],[Aplicación]],9,4)</f>
        <v>9332</v>
      </c>
      <c r="V3230" s="35" t="str">
        <f>VLOOKUP(Tabla1[[#This Row],[PROGRAMA]],Hoja1!A:B,2,FALSE)</f>
        <v>9332. Mantenimiento de edificios e instalaciones municipales</v>
      </c>
      <c r="W3230" s="35" t="str">
        <f>MID(Tabla1[[#This Row],[Aplicación]],14,2)</f>
        <v>21</v>
      </c>
      <c r="X3230" s="35" t="str">
        <f>MID(Tabla1[[#This Row],[Aplicación]],14,6)</f>
        <v>212</v>
      </c>
    </row>
    <row r="3231" spans="1:24" x14ac:dyDescent="0.25">
      <c r="A3231" s="45">
        <v>220210030862</v>
      </c>
      <c r="B3231" s="46" t="s">
        <v>9</v>
      </c>
      <c r="C3231" s="47">
        <v>44361</v>
      </c>
      <c r="D3231" s="45">
        <v>22021003909</v>
      </c>
      <c r="E3231" s="46" t="s">
        <v>1542</v>
      </c>
      <c r="F3231" s="48">
        <v>31.5</v>
      </c>
      <c r="G3231" s="54" t="s">
        <v>4200</v>
      </c>
      <c r="H3231" s="54" t="s">
        <v>4802</v>
      </c>
      <c r="I3231" s="53" t="s">
        <v>216</v>
      </c>
      <c r="J3231" s="54" t="s">
        <v>4202</v>
      </c>
      <c r="K3231" s="54" t="s">
        <v>146</v>
      </c>
      <c r="L3231" s="54" t="s">
        <v>31</v>
      </c>
      <c r="M3231" s="54" t="s">
        <v>13</v>
      </c>
      <c r="N3231" s="54" t="s">
        <v>14</v>
      </c>
      <c r="O3231" s="49" t="s">
        <v>814</v>
      </c>
      <c r="P3231" s="54" t="s">
        <v>3392</v>
      </c>
      <c r="Q3231" s="35" t="str">
        <f>MID(Tabla1[[#This Row],[Aplicación]],14,1)</f>
        <v>6</v>
      </c>
      <c r="R3231" s="35" t="s">
        <v>496</v>
      </c>
      <c r="S3231" s="35" t="str">
        <f>MID(Tabla1[[#This Row],[Aplicación]],6,2)</f>
        <v>05</v>
      </c>
      <c r="T3231" s="35" t="str">
        <f>VLOOKUP(Tabla1[[#This Row],[AREA]],Hoja1!A:B,2,FALSE)</f>
        <v>05. Innovación, desarrollo económico, empleo y comercio</v>
      </c>
      <c r="U3231" s="35" t="str">
        <f>MID(Tabla1[[#This Row],[Aplicación]],9,4)</f>
        <v>4331</v>
      </c>
      <c r="V3231" s="35" t="str">
        <f>VLOOKUP(Tabla1[[#This Row],[PROGRAMA]],Hoja1!A:B,2,FALSE)</f>
        <v>4331. Desarrollo empresarial</v>
      </c>
      <c r="W3231" s="35" t="str">
        <f>MID(Tabla1[[#This Row],[Aplicación]],14,2)</f>
        <v>60</v>
      </c>
      <c r="X3231" s="35" t="str">
        <f>MID(Tabla1[[#This Row],[Aplicación]],14,6)</f>
        <v>609</v>
      </c>
    </row>
    <row r="3232" spans="1:24" x14ac:dyDescent="0.25">
      <c r="A3232" s="45">
        <v>220210015922</v>
      </c>
      <c r="B3232" s="46" t="s">
        <v>204</v>
      </c>
      <c r="C3232" s="47">
        <v>44305</v>
      </c>
      <c r="D3232" s="45">
        <v>22021002143</v>
      </c>
      <c r="E3232" s="46" t="s">
        <v>1328</v>
      </c>
      <c r="F3232" s="48">
        <v>31.49</v>
      </c>
      <c r="G3232" s="54" t="s">
        <v>266</v>
      </c>
      <c r="H3232" s="54" t="s">
        <v>4737</v>
      </c>
      <c r="I3232" s="53" t="s">
        <v>205</v>
      </c>
      <c r="J3232" s="54" t="s">
        <v>127</v>
      </c>
      <c r="K3232" s="54" t="s">
        <v>127</v>
      </c>
      <c r="L3232" s="54" t="s">
        <v>15</v>
      </c>
      <c r="M3232" s="54" t="s">
        <v>13</v>
      </c>
      <c r="N3232" s="54" t="s">
        <v>14</v>
      </c>
      <c r="O3232" s="49" t="s">
        <v>814</v>
      </c>
      <c r="P3232" s="54" t="s">
        <v>3392</v>
      </c>
      <c r="Q3232" s="35" t="str">
        <f>MID(Tabla1[[#This Row],[Aplicación]],14,1)</f>
        <v>2</v>
      </c>
      <c r="R3232" s="35" t="s">
        <v>495</v>
      </c>
      <c r="S3232" s="35" t="str">
        <f>MID(Tabla1[[#This Row],[Aplicación]],6,2)</f>
        <v>10</v>
      </c>
      <c r="T3232" s="35" t="str">
        <f>VLOOKUP(Tabla1[[#This Row],[AREA]],Hoja1!A:B,2,FALSE)</f>
        <v>10. Servicios sociales y mediación comunitaria</v>
      </c>
      <c r="U3232" s="35" t="str">
        <f>MID(Tabla1[[#This Row],[Aplicación]],9,4)</f>
        <v>2311</v>
      </c>
      <c r="V3232" s="35" t="str">
        <f>VLOOKUP(Tabla1[[#This Row],[PROGRAMA]],Hoja1!A:B,2,FALSE)</f>
        <v>2311. Intervención social</v>
      </c>
      <c r="W3232" s="35" t="str">
        <f>MID(Tabla1[[#This Row],[Aplicación]],14,2)</f>
        <v>21</v>
      </c>
      <c r="X3232" s="35" t="str">
        <f>MID(Tabla1[[#This Row],[Aplicación]],14,6)</f>
        <v>212</v>
      </c>
    </row>
    <row r="3233" spans="1:24" x14ac:dyDescent="0.25">
      <c r="A3233" s="45">
        <v>220210030123</v>
      </c>
      <c r="B3233" s="46" t="s">
        <v>204</v>
      </c>
      <c r="C3233" s="47">
        <v>44356</v>
      </c>
      <c r="D3233" s="45">
        <v>22021002228</v>
      </c>
      <c r="E3233" s="46" t="s">
        <v>1471</v>
      </c>
      <c r="F3233" s="48">
        <v>29.94</v>
      </c>
      <c r="G3233" s="54" t="s">
        <v>257</v>
      </c>
      <c r="H3233" s="54" t="s">
        <v>4803</v>
      </c>
      <c r="I3233" s="53" t="s">
        <v>205</v>
      </c>
      <c r="J3233" s="54" t="s">
        <v>127</v>
      </c>
      <c r="K3233" s="54" t="s">
        <v>127</v>
      </c>
      <c r="L3233" s="54" t="s">
        <v>15</v>
      </c>
      <c r="M3233" s="54" t="s">
        <v>13</v>
      </c>
      <c r="N3233" s="54" t="s">
        <v>14</v>
      </c>
      <c r="O3233" s="49" t="s">
        <v>814</v>
      </c>
      <c r="P3233" s="54" t="s">
        <v>3392</v>
      </c>
      <c r="Q3233" s="35" t="str">
        <f>MID(Tabla1[[#This Row],[Aplicación]],14,1)</f>
        <v>2</v>
      </c>
      <c r="R3233" s="35" t="s">
        <v>495</v>
      </c>
      <c r="S3233" s="35" t="str">
        <f>MID(Tabla1[[#This Row],[Aplicación]],6,2)</f>
        <v>06</v>
      </c>
      <c r="T3233" s="35" t="str">
        <f>VLOOKUP(Tabla1[[#This Row],[AREA]],Hoja1!A:B,2,FALSE)</f>
        <v>06. Educación, infancia, juventud e igualdad</v>
      </c>
      <c r="U3233" s="35" t="str">
        <f>MID(Tabla1[[#This Row],[Aplicación]],9,4)</f>
        <v>3232</v>
      </c>
      <c r="V3233" s="35" t="str">
        <f>VLOOKUP(Tabla1[[#This Row],[PROGRAMA]],Hoja1!A:B,2,FALSE)</f>
        <v>3232. Conservación y mantenimiento centros educación infantil y primaria</v>
      </c>
      <c r="W3233" s="35" t="str">
        <f>MID(Tabla1[[#This Row],[Aplicación]],14,2)</f>
        <v>21</v>
      </c>
      <c r="X3233" s="35" t="str">
        <f>MID(Tabla1[[#This Row],[Aplicación]],14,6)</f>
        <v>212</v>
      </c>
    </row>
    <row r="3234" spans="1:24" x14ac:dyDescent="0.25">
      <c r="A3234" s="45">
        <v>220210030112</v>
      </c>
      <c r="B3234" s="46" t="s">
        <v>204</v>
      </c>
      <c r="C3234" s="47">
        <v>44356</v>
      </c>
      <c r="D3234" s="45">
        <v>22021002228</v>
      </c>
      <c r="E3234" s="46" t="s">
        <v>1471</v>
      </c>
      <c r="F3234" s="48">
        <v>29.8</v>
      </c>
      <c r="G3234" s="54" t="s">
        <v>263</v>
      </c>
      <c r="H3234" s="54" t="s">
        <v>4804</v>
      </c>
      <c r="I3234" s="53" t="s">
        <v>205</v>
      </c>
      <c r="J3234" s="54" t="s">
        <v>127</v>
      </c>
      <c r="K3234" s="54" t="s">
        <v>127</v>
      </c>
      <c r="L3234" s="54" t="s">
        <v>15</v>
      </c>
      <c r="M3234" s="54" t="s">
        <v>13</v>
      </c>
      <c r="N3234" s="54" t="s">
        <v>14</v>
      </c>
      <c r="O3234" s="49" t="s">
        <v>814</v>
      </c>
      <c r="P3234" s="54" t="s">
        <v>3392</v>
      </c>
      <c r="Q3234" s="35" t="str">
        <f>MID(Tabla1[[#This Row],[Aplicación]],14,1)</f>
        <v>2</v>
      </c>
      <c r="R3234" s="35" t="s">
        <v>495</v>
      </c>
      <c r="S3234" s="35" t="str">
        <f>MID(Tabla1[[#This Row],[Aplicación]],6,2)</f>
        <v>06</v>
      </c>
      <c r="T3234" s="35" t="str">
        <f>VLOOKUP(Tabla1[[#This Row],[AREA]],Hoja1!A:B,2,FALSE)</f>
        <v>06. Educación, infancia, juventud e igualdad</v>
      </c>
      <c r="U3234" s="35" t="str">
        <f>MID(Tabla1[[#This Row],[Aplicación]],9,4)</f>
        <v>3232</v>
      </c>
      <c r="V3234" s="35" t="str">
        <f>VLOOKUP(Tabla1[[#This Row],[PROGRAMA]],Hoja1!A:B,2,FALSE)</f>
        <v>3232. Conservación y mantenimiento centros educación infantil y primaria</v>
      </c>
      <c r="W3234" s="35" t="str">
        <f>MID(Tabla1[[#This Row],[Aplicación]],14,2)</f>
        <v>21</v>
      </c>
      <c r="X3234" s="35" t="str">
        <f>MID(Tabla1[[#This Row],[Aplicación]],14,6)</f>
        <v>212</v>
      </c>
    </row>
    <row r="3235" spans="1:24" x14ac:dyDescent="0.25">
      <c r="A3235" s="45">
        <v>220210024836</v>
      </c>
      <c r="B3235" s="46" t="s">
        <v>9</v>
      </c>
      <c r="C3235" s="47">
        <v>44341</v>
      </c>
      <c r="D3235" s="45">
        <v>22021004474</v>
      </c>
      <c r="E3235" s="46" t="s">
        <v>1438</v>
      </c>
      <c r="F3235" s="48">
        <v>24.29</v>
      </c>
      <c r="G3235" s="54" t="s">
        <v>4805</v>
      </c>
      <c r="H3235" s="54" t="s">
        <v>4806</v>
      </c>
      <c r="I3235" s="53" t="s">
        <v>125</v>
      </c>
      <c r="J3235" s="54" t="s">
        <v>126</v>
      </c>
      <c r="K3235" s="54" t="s">
        <v>126</v>
      </c>
      <c r="L3235" s="54" t="s">
        <v>15</v>
      </c>
      <c r="M3235" s="54" t="s">
        <v>10</v>
      </c>
      <c r="N3235" s="54" t="s">
        <v>11</v>
      </c>
      <c r="O3235" s="49" t="s">
        <v>815</v>
      </c>
      <c r="P3235" s="54" t="s">
        <v>3392</v>
      </c>
      <c r="Q3235" s="35" t="str">
        <f>MID(Tabla1[[#This Row],[Aplicación]],14,1)</f>
        <v>2</v>
      </c>
      <c r="R3235" s="35" t="s">
        <v>495</v>
      </c>
      <c r="S3235" s="35" t="str">
        <f>MID(Tabla1[[#This Row],[Aplicación]],6,2)</f>
        <v>01</v>
      </c>
      <c r="T3235" s="35" t="str">
        <f>VLOOKUP(Tabla1[[#This Row],[AREA]],Hoja1!A:B,2,FALSE)</f>
        <v>01. Alcaldía</v>
      </c>
      <c r="U3235" s="35" t="str">
        <f>MID(Tabla1[[#This Row],[Aplicación]],9,4)</f>
        <v>9206</v>
      </c>
      <c r="V3235" s="35" t="str">
        <f>VLOOKUP(Tabla1[[#This Row],[PROGRAMA]],Hoja1!A:B,2,FALSE)</f>
        <v>9206. Archivo municipal</v>
      </c>
      <c r="W3235" s="35" t="str">
        <f>MID(Tabla1[[#This Row],[Aplicación]],14,2)</f>
        <v>22</v>
      </c>
      <c r="X3235" s="35" t="str">
        <f>MID(Tabla1[[#This Row],[Aplicación]],14,6)</f>
        <v>22001</v>
      </c>
    </row>
    <row r="3236" spans="1:24" x14ac:dyDescent="0.25">
      <c r="A3236" s="45">
        <v>220210028725</v>
      </c>
      <c r="B3236" s="46" t="s">
        <v>204</v>
      </c>
      <c r="C3236" s="47">
        <v>44351</v>
      </c>
      <c r="D3236" s="45">
        <v>22021004466</v>
      </c>
      <c r="E3236" s="46" t="s">
        <v>1328</v>
      </c>
      <c r="F3236" s="48">
        <v>29.63</v>
      </c>
      <c r="G3236" s="54" t="s">
        <v>277</v>
      </c>
      <c r="H3236" s="54" t="s">
        <v>4807</v>
      </c>
      <c r="I3236" s="53" t="s">
        <v>205</v>
      </c>
      <c r="J3236" s="54" t="s">
        <v>127</v>
      </c>
      <c r="K3236" s="54" t="s">
        <v>127</v>
      </c>
      <c r="L3236" s="54" t="s">
        <v>15</v>
      </c>
      <c r="M3236" s="54" t="s">
        <v>13</v>
      </c>
      <c r="N3236" s="54" t="s">
        <v>14</v>
      </c>
      <c r="O3236" s="49" t="s">
        <v>814</v>
      </c>
      <c r="P3236" s="54" t="s">
        <v>3392</v>
      </c>
      <c r="Q3236" s="35" t="str">
        <f>MID(Tabla1[[#This Row],[Aplicación]],14,1)</f>
        <v>2</v>
      </c>
      <c r="R3236" s="35" t="s">
        <v>495</v>
      </c>
      <c r="S3236" s="35" t="str">
        <f>MID(Tabla1[[#This Row],[Aplicación]],6,2)</f>
        <v>10</v>
      </c>
      <c r="T3236" s="35" t="str">
        <f>VLOOKUP(Tabla1[[#This Row],[AREA]],Hoja1!A:B,2,FALSE)</f>
        <v>10. Servicios sociales y mediación comunitaria</v>
      </c>
      <c r="U3236" s="35" t="str">
        <f>MID(Tabla1[[#This Row],[Aplicación]],9,4)</f>
        <v>2311</v>
      </c>
      <c r="V3236" s="35" t="str">
        <f>VLOOKUP(Tabla1[[#This Row],[PROGRAMA]],Hoja1!A:B,2,FALSE)</f>
        <v>2311. Intervención social</v>
      </c>
      <c r="W3236" s="35" t="str">
        <f>MID(Tabla1[[#This Row],[Aplicación]],14,2)</f>
        <v>21</v>
      </c>
      <c r="X3236" s="35" t="str">
        <f>MID(Tabla1[[#This Row],[Aplicación]],14,6)</f>
        <v>212</v>
      </c>
    </row>
    <row r="3237" spans="1:24" x14ac:dyDescent="0.25">
      <c r="A3237" s="45">
        <v>220210014579</v>
      </c>
      <c r="B3237" s="46" t="s">
        <v>9</v>
      </c>
      <c r="C3237" s="47">
        <v>44298</v>
      </c>
      <c r="D3237" s="45">
        <v>22021003457</v>
      </c>
      <c r="E3237" s="46" t="s">
        <v>3356</v>
      </c>
      <c r="F3237" s="48">
        <v>23.05</v>
      </c>
      <c r="G3237" s="54" t="s">
        <v>261</v>
      </c>
      <c r="H3237" s="54" t="s">
        <v>4808</v>
      </c>
      <c r="I3237" s="53" t="s">
        <v>125</v>
      </c>
      <c r="J3237" s="54" t="s">
        <v>127</v>
      </c>
      <c r="K3237" s="54" t="s">
        <v>127</v>
      </c>
      <c r="L3237" s="54" t="s">
        <v>15</v>
      </c>
      <c r="M3237" s="54" t="s">
        <v>10</v>
      </c>
      <c r="N3237" s="54" t="s">
        <v>11</v>
      </c>
      <c r="O3237" s="49" t="s">
        <v>815</v>
      </c>
      <c r="P3237" s="54" t="s">
        <v>3392</v>
      </c>
      <c r="Q3237" s="35" t="str">
        <f>MID(Tabla1[[#This Row],[Aplicación]],14,1)</f>
        <v>2</v>
      </c>
      <c r="R3237" s="35" t="s">
        <v>495</v>
      </c>
      <c r="S3237" s="35" t="str">
        <f>MID(Tabla1[[#This Row],[Aplicación]],6,2)</f>
        <v>08</v>
      </c>
      <c r="T3237" s="35" t="str">
        <f>VLOOKUP(Tabla1[[#This Row],[AREA]],Hoja1!A:B,2,FALSE)</f>
        <v>08. Movilidad y espacio urbano</v>
      </c>
      <c r="U3237" s="35" t="str">
        <f>MID(Tabla1[[#This Row],[Aplicación]],9,4)</f>
        <v>1532</v>
      </c>
      <c r="V3237" s="35" t="str">
        <f>VLOOKUP(Tabla1[[#This Row],[PROGRAMA]],Hoja1!A:B,2,FALSE)</f>
        <v>1532. Pavimentación vias públicas y otros servicios urbanísticos</v>
      </c>
      <c r="W3237" s="35" t="str">
        <f>MID(Tabla1[[#This Row],[Aplicación]],14,2)</f>
        <v>22</v>
      </c>
      <c r="X3237" s="35" t="str">
        <f>MID(Tabla1[[#This Row],[Aplicación]],14,6)</f>
        <v>22699</v>
      </c>
    </row>
    <row r="3238" spans="1:24" x14ac:dyDescent="0.25">
      <c r="A3238" s="45">
        <v>220210017055</v>
      </c>
      <c r="B3238" s="46" t="s">
        <v>204</v>
      </c>
      <c r="C3238" s="47">
        <v>44312</v>
      </c>
      <c r="D3238" s="45">
        <v>22021002006</v>
      </c>
      <c r="E3238" s="46" t="s">
        <v>1310</v>
      </c>
      <c r="F3238" s="48">
        <v>29.33</v>
      </c>
      <c r="G3238" s="54" t="s">
        <v>235</v>
      </c>
      <c r="H3238" s="54" t="s">
        <v>4809</v>
      </c>
      <c r="I3238" s="53" t="s">
        <v>205</v>
      </c>
      <c r="J3238" s="54" t="s">
        <v>742</v>
      </c>
      <c r="K3238" s="54" t="s">
        <v>165</v>
      </c>
      <c r="L3238" s="54" t="s">
        <v>15</v>
      </c>
      <c r="M3238" s="54" t="s">
        <v>13</v>
      </c>
      <c r="N3238" s="54" t="s">
        <v>14</v>
      </c>
      <c r="O3238" s="49" t="s">
        <v>814</v>
      </c>
      <c r="P3238" s="54" t="s">
        <v>3392</v>
      </c>
      <c r="Q3238" s="35" t="str">
        <f>MID(Tabla1[[#This Row],[Aplicación]],14,1)</f>
        <v>2</v>
      </c>
      <c r="R3238" s="35" t="s">
        <v>495</v>
      </c>
      <c r="S3238" s="35" t="str">
        <f>MID(Tabla1[[#This Row],[Aplicación]],6,2)</f>
        <v>11</v>
      </c>
      <c r="T3238" s="35" t="str">
        <f>VLOOKUP(Tabla1[[#This Row],[AREA]],Hoja1!A:B,2,FALSE)</f>
        <v>11. Salud pública y seguridad ciudadana</v>
      </c>
      <c r="U3238" s="35" t="str">
        <f>MID(Tabla1[[#This Row],[Aplicación]],9,4)</f>
        <v>3111</v>
      </c>
      <c r="V3238" s="35" t="str">
        <f>VLOOKUP(Tabla1[[#This Row],[PROGRAMA]],Hoja1!A:B,2,FALSE)</f>
        <v>3111. Protección de la salubridad pública</v>
      </c>
      <c r="W3238" s="35" t="str">
        <f>MID(Tabla1[[#This Row],[Aplicación]],14,2)</f>
        <v>22</v>
      </c>
      <c r="X3238" s="35" t="str">
        <f>MID(Tabla1[[#This Row],[Aplicación]],14,6)</f>
        <v>22199</v>
      </c>
    </row>
    <row r="3239" spans="1:24" x14ac:dyDescent="0.25">
      <c r="A3239" s="45">
        <v>220210021027</v>
      </c>
      <c r="B3239" s="46" t="s">
        <v>9</v>
      </c>
      <c r="C3239" s="47">
        <v>44326</v>
      </c>
      <c r="D3239" s="45">
        <v>22021004352</v>
      </c>
      <c r="E3239" s="46" t="s">
        <v>2214</v>
      </c>
      <c r="F3239" s="48">
        <v>22.23</v>
      </c>
      <c r="G3239" s="54" t="s">
        <v>4810</v>
      </c>
      <c r="H3239" s="54" t="s">
        <v>4811</v>
      </c>
      <c r="I3239" s="53" t="s">
        <v>125</v>
      </c>
      <c r="J3239" s="54" t="s">
        <v>148</v>
      </c>
      <c r="K3239" s="54" t="s">
        <v>4812</v>
      </c>
      <c r="L3239" s="54" t="s">
        <v>12</v>
      </c>
      <c r="M3239" s="54" t="s">
        <v>10</v>
      </c>
      <c r="N3239" s="54" t="s">
        <v>11</v>
      </c>
      <c r="O3239" s="49" t="s">
        <v>814</v>
      </c>
      <c r="P3239" s="54" t="s">
        <v>3392</v>
      </c>
      <c r="Q3239" s="35" t="str">
        <f>MID(Tabla1[[#This Row],[Aplicación]],14,1)</f>
        <v>2</v>
      </c>
      <c r="R3239" s="35" t="s">
        <v>495</v>
      </c>
      <c r="S3239" s="35" t="str">
        <f>MID(Tabla1[[#This Row],[Aplicación]],6,2)</f>
        <v>07</v>
      </c>
      <c r="T3239" s="35" t="str">
        <f>VLOOKUP(Tabla1[[#This Row],[AREA]],Hoja1!A:B,2,FALSE)</f>
        <v>07. Medio ambiente y desarrollo sostenible</v>
      </c>
      <c r="U3239" s="35" t="str">
        <f>MID(Tabla1[[#This Row],[Aplicación]],9,4)</f>
        <v>1721</v>
      </c>
      <c r="V3239" s="35" t="str">
        <f>VLOOKUP(Tabla1[[#This Row],[PROGRAMA]],Hoja1!A:B,2,FALSE)</f>
        <v>1721. Protección del medio ambiente</v>
      </c>
      <c r="W3239" s="35" t="str">
        <f>MID(Tabla1[[#This Row],[Aplicación]],14,2)</f>
        <v>22</v>
      </c>
      <c r="X3239" s="35" t="str">
        <f>MID(Tabla1[[#This Row],[Aplicación]],14,6)</f>
        <v>22100</v>
      </c>
    </row>
    <row r="3240" spans="1:24" x14ac:dyDescent="0.25">
      <c r="A3240" s="45">
        <v>220210028743</v>
      </c>
      <c r="B3240" s="46" t="s">
        <v>204</v>
      </c>
      <c r="C3240" s="47">
        <v>44351</v>
      </c>
      <c r="D3240" s="45">
        <v>22020001574</v>
      </c>
      <c r="E3240" s="46" t="s">
        <v>3362</v>
      </c>
      <c r="F3240" s="48">
        <v>28.9</v>
      </c>
      <c r="G3240" s="54" t="s">
        <v>3954</v>
      </c>
      <c r="H3240" s="54" t="s">
        <v>4813</v>
      </c>
      <c r="I3240" s="53" t="s">
        <v>205</v>
      </c>
      <c r="J3240" s="54" t="s">
        <v>127</v>
      </c>
      <c r="K3240" s="54" t="s">
        <v>127</v>
      </c>
      <c r="L3240" s="54" t="s">
        <v>15</v>
      </c>
      <c r="M3240" s="54" t="s">
        <v>13</v>
      </c>
      <c r="N3240" s="54" t="s">
        <v>14</v>
      </c>
      <c r="O3240" s="49" t="s">
        <v>814</v>
      </c>
      <c r="P3240" s="54" t="s">
        <v>3392</v>
      </c>
      <c r="Q3240" s="35" t="str">
        <f>MID(Tabla1[[#This Row],[Aplicación]],14,1)</f>
        <v>6</v>
      </c>
      <c r="R3240" s="35" t="s">
        <v>496</v>
      </c>
      <c r="S3240" s="35" t="str">
        <f>MID(Tabla1[[#This Row],[Aplicación]],6,2)</f>
        <v>06</v>
      </c>
      <c r="T3240" s="35" t="str">
        <f>VLOOKUP(Tabla1[[#This Row],[AREA]],Hoja1!A:B,2,FALSE)</f>
        <v>06. Educación, infancia, juventud e igualdad</v>
      </c>
      <c r="U3240" s="35" t="str">
        <f>MID(Tabla1[[#This Row],[Aplicación]],9,4)</f>
        <v>3321</v>
      </c>
      <c r="V3240" s="35" t="str">
        <f>VLOOKUP(Tabla1[[#This Row],[PROGRAMA]],Hoja1!A:B,2,FALSE)</f>
        <v>3321. Bibliotecas públicas</v>
      </c>
      <c r="W3240" s="35" t="str">
        <f>MID(Tabla1[[#This Row],[Aplicación]],14,2)</f>
        <v>62</v>
      </c>
      <c r="X3240" s="35" t="str">
        <f>MID(Tabla1[[#This Row],[Aplicación]],14,6)</f>
        <v>629</v>
      </c>
    </row>
    <row r="3241" spans="1:24" x14ac:dyDescent="0.25">
      <c r="A3241" s="45">
        <v>220210023260</v>
      </c>
      <c r="B3241" s="46" t="s">
        <v>204</v>
      </c>
      <c r="C3241" s="47">
        <v>44335</v>
      </c>
      <c r="D3241" s="45">
        <v>22021002088</v>
      </c>
      <c r="E3241" s="46" t="s">
        <v>1478</v>
      </c>
      <c r="F3241" s="48">
        <v>28.47</v>
      </c>
      <c r="G3241" s="54" t="s">
        <v>256</v>
      </c>
      <c r="H3241" s="54" t="s">
        <v>4814</v>
      </c>
      <c r="I3241" s="53" t="s">
        <v>205</v>
      </c>
      <c r="J3241" s="54" t="s">
        <v>127</v>
      </c>
      <c r="K3241" s="54" t="s">
        <v>127</v>
      </c>
      <c r="L3241" s="54" t="s">
        <v>15</v>
      </c>
      <c r="M3241" s="54" t="s">
        <v>13</v>
      </c>
      <c r="N3241" s="54" t="s">
        <v>16</v>
      </c>
      <c r="O3241" s="49" t="s">
        <v>814</v>
      </c>
      <c r="P3241" s="54" t="s">
        <v>3392</v>
      </c>
      <c r="Q3241" s="35" t="str">
        <f>MID(Tabla1[[#This Row],[Aplicación]],14,1)</f>
        <v>2</v>
      </c>
      <c r="R3241" s="35" t="s">
        <v>495</v>
      </c>
      <c r="S3241" s="35" t="str">
        <f>MID(Tabla1[[#This Row],[Aplicación]],6,2)</f>
        <v>03</v>
      </c>
      <c r="T3241" s="35" t="str">
        <f>VLOOKUP(Tabla1[[#This Row],[AREA]],Hoja1!A:B,2,FALSE)</f>
        <v>03. Participación ciudadana y deportes</v>
      </c>
      <c r="U3241" s="35" t="str">
        <f>MID(Tabla1[[#This Row],[Aplicación]],9,4)</f>
        <v>9241</v>
      </c>
      <c r="V3241" s="35" t="str">
        <f>VLOOKUP(Tabla1[[#This Row],[PROGRAMA]],Hoja1!A:B,2,FALSE)</f>
        <v>9241. Participación ciudadana</v>
      </c>
      <c r="W3241" s="35" t="str">
        <f>MID(Tabla1[[#This Row],[Aplicación]],14,2)</f>
        <v>21</v>
      </c>
      <c r="X3241" s="35" t="str">
        <f>MID(Tabla1[[#This Row],[Aplicación]],14,6)</f>
        <v>212</v>
      </c>
    </row>
    <row r="3242" spans="1:24" x14ac:dyDescent="0.25">
      <c r="A3242" s="45">
        <v>220210033164</v>
      </c>
      <c r="B3242" s="46" t="s">
        <v>204</v>
      </c>
      <c r="C3242" s="47">
        <v>44377</v>
      </c>
      <c r="D3242" s="45">
        <v>22021002088</v>
      </c>
      <c r="E3242" s="46" t="s">
        <v>1478</v>
      </c>
      <c r="F3242" s="48">
        <v>27.94</v>
      </c>
      <c r="G3242" s="54" t="s">
        <v>235</v>
      </c>
      <c r="H3242" s="54" t="s">
        <v>4815</v>
      </c>
      <c r="I3242" s="53" t="s">
        <v>205</v>
      </c>
      <c r="J3242" s="54" t="s">
        <v>742</v>
      </c>
      <c r="K3242" s="54" t="s">
        <v>165</v>
      </c>
      <c r="L3242" s="54" t="s">
        <v>15</v>
      </c>
      <c r="M3242" s="54" t="s">
        <v>13</v>
      </c>
      <c r="N3242" s="54" t="s">
        <v>16</v>
      </c>
      <c r="O3242" s="49" t="s">
        <v>814</v>
      </c>
      <c r="P3242" s="54" t="s">
        <v>3392</v>
      </c>
      <c r="Q3242" s="35" t="str">
        <f>MID(Tabla1[[#This Row],[Aplicación]],14,1)</f>
        <v>2</v>
      </c>
      <c r="R3242" s="35" t="s">
        <v>495</v>
      </c>
      <c r="S3242" s="35" t="str">
        <f>MID(Tabla1[[#This Row],[Aplicación]],6,2)</f>
        <v>03</v>
      </c>
      <c r="T3242" s="35" t="str">
        <f>VLOOKUP(Tabla1[[#This Row],[AREA]],Hoja1!A:B,2,FALSE)</f>
        <v>03. Participación ciudadana y deportes</v>
      </c>
      <c r="U3242" s="35" t="str">
        <f>MID(Tabla1[[#This Row],[Aplicación]],9,4)</f>
        <v>9241</v>
      </c>
      <c r="V3242" s="35" t="str">
        <f>VLOOKUP(Tabla1[[#This Row],[PROGRAMA]],Hoja1!A:B,2,FALSE)</f>
        <v>9241. Participación ciudadana</v>
      </c>
      <c r="W3242" s="35" t="str">
        <f>MID(Tabla1[[#This Row],[Aplicación]],14,2)</f>
        <v>21</v>
      </c>
      <c r="X3242" s="35" t="str">
        <f>MID(Tabla1[[#This Row],[Aplicación]],14,6)</f>
        <v>212</v>
      </c>
    </row>
    <row r="3243" spans="1:24" x14ac:dyDescent="0.25">
      <c r="A3243" s="45">
        <v>220210030357</v>
      </c>
      <c r="B3243" s="46" t="s">
        <v>204</v>
      </c>
      <c r="C3243" s="47">
        <v>44358</v>
      </c>
      <c r="D3243" s="45">
        <v>22021002143</v>
      </c>
      <c r="E3243" s="46" t="s">
        <v>1328</v>
      </c>
      <c r="F3243" s="48">
        <v>27.82</v>
      </c>
      <c r="G3243" s="54" t="s">
        <v>4378</v>
      </c>
      <c r="H3243" s="54" t="s">
        <v>4379</v>
      </c>
      <c r="I3243" s="53" t="s">
        <v>205</v>
      </c>
      <c r="J3243" s="54" t="s">
        <v>664</v>
      </c>
      <c r="K3243" s="54" t="s">
        <v>127</v>
      </c>
      <c r="L3243" s="54" t="s">
        <v>15</v>
      </c>
      <c r="M3243" s="54" t="s">
        <v>13</v>
      </c>
      <c r="N3243" s="54" t="s">
        <v>14</v>
      </c>
      <c r="O3243" s="49" t="s">
        <v>814</v>
      </c>
      <c r="P3243" s="54" t="s">
        <v>3392</v>
      </c>
      <c r="Q3243" s="35" t="str">
        <f>MID(Tabla1[[#This Row],[Aplicación]],14,1)</f>
        <v>2</v>
      </c>
      <c r="R3243" s="35" t="s">
        <v>495</v>
      </c>
      <c r="S3243" s="35" t="str">
        <f>MID(Tabla1[[#This Row],[Aplicación]],6,2)</f>
        <v>10</v>
      </c>
      <c r="T3243" s="35" t="str">
        <f>VLOOKUP(Tabla1[[#This Row],[AREA]],Hoja1!A:B,2,FALSE)</f>
        <v>10. Servicios sociales y mediación comunitaria</v>
      </c>
      <c r="U3243" s="35" t="str">
        <f>MID(Tabla1[[#This Row],[Aplicación]],9,4)</f>
        <v>2311</v>
      </c>
      <c r="V3243" s="35" t="str">
        <f>VLOOKUP(Tabla1[[#This Row],[PROGRAMA]],Hoja1!A:B,2,FALSE)</f>
        <v>2311. Intervención social</v>
      </c>
      <c r="W3243" s="35" t="str">
        <f>MID(Tabla1[[#This Row],[Aplicación]],14,2)</f>
        <v>21</v>
      </c>
      <c r="X3243" s="35" t="str">
        <f>MID(Tabla1[[#This Row],[Aplicación]],14,6)</f>
        <v>212</v>
      </c>
    </row>
    <row r="3244" spans="1:24" x14ac:dyDescent="0.25">
      <c r="A3244" s="45">
        <v>220210030147</v>
      </c>
      <c r="B3244" s="46" t="s">
        <v>204</v>
      </c>
      <c r="C3244" s="47">
        <v>44356</v>
      </c>
      <c r="D3244" s="45">
        <v>22021002089</v>
      </c>
      <c r="E3244" s="46" t="s">
        <v>1220</v>
      </c>
      <c r="F3244" s="48">
        <v>27.38</v>
      </c>
      <c r="G3244" s="54" t="s">
        <v>257</v>
      </c>
      <c r="H3244" s="54" t="s">
        <v>4816</v>
      </c>
      <c r="I3244" s="53" t="s">
        <v>205</v>
      </c>
      <c r="J3244" s="54" t="s">
        <v>127</v>
      </c>
      <c r="K3244" s="54" t="s">
        <v>127</v>
      </c>
      <c r="L3244" s="54" t="s">
        <v>15</v>
      </c>
      <c r="M3244" s="54" t="s">
        <v>13</v>
      </c>
      <c r="N3244" s="54" t="s">
        <v>16</v>
      </c>
      <c r="O3244" s="49" t="s">
        <v>814</v>
      </c>
      <c r="P3244" s="54" t="s">
        <v>3392</v>
      </c>
      <c r="Q3244" s="35" t="str">
        <f>MID(Tabla1[[#This Row],[Aplicación]],14,1)</f>
        <v>2</v>
      </c>
      <c r="R3244" s="35" t="s">
        <v>495</v>
      </c>
      <c r="S3244" s="35" t="str">
        <f>MID(Tabla1[[#This Row],[Aplicación]],6,2)</f>
        <v>03</v>
      </c>
      <c r="T3244" s="35" t="str">
        <f>VLOOKUP(Tabla1[[#This Row],[AREA]],Hoja1!A:B,2,FALSE)</f>
        <v>03. Participación ciudadana y deportes</v>
      </c>
      <c r="U3244" s="35" t="str">
        <f>MID(Tabla1[[#This Row],[Aplicación]],9,4)</f>
        <v>9241</v>
      </c>
      <c r="V3244" s="35" t="str">
        <f>VLOOKUP(Tabla1[[#This Row],[PROGRAMA]],Hoja1!A:B,2,FALSE)</f>
        <v>9241. Participación ciudadana</v>
      </c>
      <c r="W3244" s="35" t="str">
        <f>MID(Tabla1[[#This Row],[Aplicación]],14,2)</f>
        <v>21</v>
      </c>
      <c r="X3244" s="35" t="str">
        <f>MID(Tabla1[[#This Row],[Aplicación]],14,6)</f>
        <v>213</v>
      </c>
    </row>
    <row r="3245" spans="1:24" x14ac:dyDescent="0.25">
      <c r="A3245" s="45">
        <v>220210031497</v>
      </c>
      <c r="B3245" s="46" t="s">
        <v>9</v>
      </c>
      <c r="C3245" s="47">
        <v>44369</v>
      </c>
      <c r="D3245" s="45">
        <v>22021004994</v>
      </c>
      <c r="E3245" s="46" t="s">
        <v>1167</v>
      </c>
      <c r="F3245" s="48">
        <v>1043.1400000000001</v>
      </c>
      <c r="G3245" s="54" t="s">
        <v>4088</v>
      </c>
      <c r="H3245" s="54" t="s">
        <v>4817</v>
      </c>
      <c r="I3245" s="53" t="s">
        <v>125</v>
      </c>
      <c r="J3245" s="54" t="s">
        <v>127</v>
      </c>
      <c r="K3245" s="54" t="s">
        <v>127</v>
      </c>
      <c r="L3245" s="54" t="s">
        <v>12</v>
      </c>
      <c r="M3245" s="54" t="s">
        <v>10</v>
      </c>
      <c r="N3245" s="54" t="s">
        <v>11</v>
      </c>
      <c r="O3245" s="49" t="s">
        <v>815</v>
      </c>
      <c r="P3245" s="54" t="s">
        <v>3392</v>
      </c>
      <c r="Q3245" s="35" t="str">
        <f>MID(Tabla1[[#This Row],[Aplicación]],14,1)</f>
        <v>2</v>
      </c>
      <c r="R3245" s="35" t="s">
        <v>495</v>
      </c>
      <c r="S3245" s="35" t="str">
        <f>MID(Tabla1[[#This Row],[Aplicación]],6,2)</f>
        <v>11</v>
      </c>
      <c r="T3245" s="35" t="str">
        <f>VLOOKUP(Tabla1[[#This Row],[AREA]],Hoja1!A:B,2,FALSE)</f>
        <v>11. Salud pública y seguridad ciudadana</v>
      </c>
      <c r="U3245" s="35" t="str">
        <f>MID(Tabla1[[#This Row],[Aplicación]],9,4)</f>
        <v>1321</v>
      </c>
      <c r="V3245" s="35" t="str">
        <f>VLOOKUP(Tabla1[[#This Row],[PROGRAMA]],Hoja1!A:B,2,FALSE)</f>
        <v>1321. Policía municipal</v>
      </c>
      <c r="W3245" s="35" t="str">
        <f>MID(Tabla1[[#This Row],[Aplicación]],14,2)</f>
        <v>21</v>
      </c>
      <c r="X3245" s="35" t="str">
        <f>MID(Tabla1[[#This Row],[Aplicación]],14,6)</f>
        <v>214</v>
      </c>
    </row>
    <row r="3246" spans="1:24" x14ac:dyDescent="0.25">
      <c r="A3246" s="45">
        <v>220210019244</v>
      </c>
      <c r="B3246" s="46" t="s">
        <v>9</v>
      </c>
      <c r="C3246" s="47">
        <v>44320</v>
      </c>
      <c r="D3246" s="45">
        <v>22021003349</v>
      </c>
      <c r="E3246" s="46" t="s">
        <v>3389</v>
      </c>
      <c r="F3246" s="48">
        <v>10000</v>
      </c>
      <c r="G3246" s="54" t="s">
        <v>1692</v>
      </c>
      <c r="H3246" s="54" t="s">
        <v>4818</v>
      </c>
      <c r="I3246" s="53" t="s">
        <v>125</v>
      </c>
      <c r="J3246" s="54" t="s">
        <v>127</v>
      </c>
      <c r="K3246" s="54" t="s">
        <v>127</v>
      </c>
      <c r="L3246" s="54" t="s">
        <v>12</v>
      </c>
      <c r="M3246" s="54" t="s">
        <v>13</v>
      </c>
      <c r="N3246" s="54" t="s">
        <v>14</v>
      </c>
      <c r="O3246" s="49" t="s">
        <v>814</v>
      </c>
      <c r="P3246" s="54" t="s">
        <v>3392</v>
      </c>
      <c r="Q3246" s="35" t="str">
        <f>MID(Tabla1[[#This Row],[Aplicación]],14,1)</f>
        <v>2</v>
      </c>
      <c r="R3246" s="35" t="s">
        <v>495</v>
      </c>
      <c r="S3246" s="35" t="str">
        <f>MID(Tabla1[[#This Row],[Aplicación]],6,2)</f>
        <v>11</v>
      </c>
      <c r="T3246" s="35" t="str">
        <f>VLOOKUP(Tabla1[[#This Row],[AREA]],Hoja1!A:B,2,FALSE)</f>
        <v>11. Salud pública y seguridad ciudadana</v>
      </c>
      <c r="U3246" s="35" t="str">
        <f>MID(Tabla1[[#This Row],[Aplicación]],9,4)</f>
        <v>1302</v>
      </c>
      <c r="V3246" s="35" t="e">
        <f>VLOOKUP(Tabla1[[#This Row],[PROGRAMA]],Hoja1!A:B,2,FALSE)</f>
        <v>#N/A</v>
      </c>
      <c r="W3246" s="35" t="str">
        <f>MID(Tabla1[[#This Row],[Aplicación]],14,2)</f>
        <v>22</v>
      </c>
      <c r="X3246" s="35" t="str">
        <f>MID(Tabla1[[#This Row],[Aplicación]],14,6)</f>
        <v>22602</v>
      </c>
    </row>
    <row r="3247" spans="1:24" x14ac:dyDescent="0.25">
      <c r="A3247" s="45">
        <v>220210014268</v>
      </c>
      <c r="B3247" s="46" t="s">
        <v>9</v>
      </c>
      <c r="C3247" s="47">
        <v>44294</v>
      </c>
      <c r="D3247" s="45">
        <v>22021003767</v>
      </c>
      <c r="E3247" s="46" t="s">
        <v>1167</v>
      </c>
      <c r="F3247" s="48">
        <v>1485.15</v>
      </c>
      <c r="G3247" s="54" t="s">
        <v>262</v>
      </c>
      <c r="H3247" s="54" t="s">
        <v>4819</v>
      </c>
      <c r="I3247" s="53" t="s">
        <v>125</v>
      </c>
      <c r="J3247" s="54" t="s">
        <v>127</v>
      </c>
      <c r="K3247" s="54" t="s">
        <v>127</v>
      </c>
      <c r="L3247" s="54" t="s">
        <v>12</v>
      </c>
      <c r="M3247" s="54" t="s">
        <v>10</v>
      </c>
      <c r="N3247" s="54" t="s">
        <v>11</v>
      </c>
      <c r="O3247" s="49" t="s">
        <v>815</v>
      </c>
      <c r="P3247" s="54" t="s">
        <v>3392</v>
      </c>
      <c r="Q3247" s="35" t="str">
        <f>MID(Tabla1[[#This Row],[Aplicación]],14,1)</f>
        <v>2</v>
      </c>
      <c r="R3247" s="35" t="s">
        <v>495</v>
      </c>
      <c r="S3247" s="35" t="str">
        <f>MID(Tabla1[[#This Row],[Aplicación]],6,2)</f>
        <v>11</v>
      </c>
      <c r="T3247" s="35" t="str">
        <f>VLOOKUP(Tabla1[[#This Row],[AREA]],Hoja1!A:B,2,FALSE)</f>
        <v>11. Salud pública y seguridad ciudadana</v>
      </c>
      <c r="U3247" s="35" t="str">
        <f>MID(Tabla1[[#This Row],[Aplicación]],9,4)</f>
        <v>1321</v>
      </c>
      <c r="V3247" s="35" t="str">
        <f>VLOOKUP(Tabla1[[#This Row],[PROGRAMA]],Hoja1!A:B,2,FALSE)</f>
        <v>1321. Policía municipal</v>
      </c>
      <c r="W3247" s="35" t="str">
        <f>MID(Tabla1[[#This Row],[Aplicación]],14,2)</f>
        <v>21</v>
      </c>
      <c r="X3247" s="35" t="str">
        <f>MID(Tabla1[[#This Row],[Aplicación]],14,6)</f>
        <v>214</v>
      </c>
    </row>
    <row r="3248" spans="1:24" x14ac:dyDescent="0.25">
      <c r="A3248" s="45">
        <v>220210021024</v>
      </c>
      <c r="B3248" s="46" t="s">
        <v>9</v>
      </c>
      <c r="C3248" s="47">
        <v>44323</v>
      </c>
      <c r="D3248" s="45">
        <v>22021004306</v>
      </c>
      <c r="E3248" s="46" t="s">
        <v>1167</v>
      </c>
      <c r="F3248" s="48">
        <v>503.31</v>
      </c>
      <c r="G3248" s="54" t="s">
        <v>262</v>
      </c>
      <c r="H3248" s="54" t="s">
        <v>4820</v>
      </c>
      <c r="I3248" s="53" t="s">
        <v>125</v>
      </c>
      <c r="J3248" s="54" t="s">
        <v>127</v>
      </c>
      <c r="K3248" s="54" t="s">
        <v>127</v>
      </c>
      <c r="L3248" s="54" t="s">
        <v>12</v>
      </c>
      <c r="M3248" s="54" t="s">
        <v>10</v>
      </c>
      <c r="N3248" s="54" t="s">
        <v>11</v>
      </c>
      <c r="O3248" s="49" t="s">
        <v>815</v>
      </c>
      <c r="P3248" s="54" t="s">
        <v>3392</v>
      </c>
      <c r="Q3248" s="35" t="str">
        <f>MID(Tabla1[[#This Row],[Aplicación]],14,1)</f>
        <v>2</v>
      </c>
      <c r="R3248" s="35" t="s">
        <v>495</v>
      </c>
      <c r="S3248" s="35" t="str">
        <f>MID(Tabla1[[#This Row],[Aplicación]],6,2)</f>
        <v>11</v>
      </c>
      <c r="T3248" s="35" t="str">
        <f>VLOOKUP(Tabla1[[#This Row],[AREA]],Hoja1!A:B,2,FALSE)</f>
        <v>11. Salud pública y seguridad ciudadana</v>
      </c>
      <c r="U3248" s="35" t="str">
        <f>MID(Tabla1[[#This Row],[Aplicación]],9,4)</f>
        <v>1321</v>
      </c>
      <c r="V3248" s="35" t="str">
        <f>VLOOKUP(Tabla1[[#This Row],[PROGRAMA]],Hoja1!A:B,2,FALSE)</f>
        <v>1321. Policía municipal</v>
      </c>
      <c r="W3248" s="35" t="str">
        <f>MID(Tabla1[[#This Row],[Aplicación]],14,2)</f>
        <v>21</v>
      </c>
      <c r="X3248" s="35" t="str">
        <f>MID(Tabla1[[#This Row],[Aplicación]],14,6)</f>
        <v>214</v>
      </c>
    </row>
    <row r="3249" spans="1:24" x14ac:dyDescent="0.25">
      <c r="A3249" s="45">
        <v>220210033162</v>
      </c>
      <c r="B3249" s="46" t="s">
        <v>204</v>
      </c>
      <c r="C3249" s="47">
        <v>44377</v>
      </c>
      <c r="D3249" s="45">
        <v>22021002088</v>
      </c>
      <c r="E3249" s="46" t="s">
        <v>1478</v>
      </c>
      <c r="F3249" s="48">
        <v>26.92</v>
      </c>
      <c r="G3249" s="54" t="s">
        <v>238</v>
      </c>
      <c r="H3249" s="54" t="s">
        <v>4821</v>
      </c>
      <c r="I3249" s="53" t="s">
        <v>205</v>
      </c>
      <c r="J3249" s="54" t="s">
        <v>127</v>
      </c>
      <c r="K3249" s="54" t="s">
        <v>127</v>
      </c>
      <c r="L3249" s="54" t="s">
        <v>15</v>
      </c>
      <c r="M3249" s="54" t="s">
        <v>13</v>
      </c>
      <c r="N3249" s="54" t="s">
        <v>16</v>
      </c>
      <c r="O3249" s="49" t="s">
        <v>814</v>
      </c>
      <c r="P3249" s="54" t="s">
        <v>3392</v>
      </c>
      <c r="Q3249" s="35" t="str">
        <f>MID(Tabla1[[#This Row],[Aplicación]],14,1)</f>
        <v>2</v>
      </c>
      <c r="R3249" s="35" t="s">
        <v>495</v>
      </c>
      <c r="S3249" s="35" t="str">
        <f>MID(Tabla1[[#This Row],[Aplicación]],6,2)</f>
        <v>03</v>
      </c>
      <c r="T3249" s="35" t="str">
        <f>VLOOKUP(Tabla1[[#This Row],[AREA]],Hoja1!A:B,2,FALSE)</f>
        <v>03. Participación ciudadana y deportes</v>
      </c>
      <c r="U3249" s="35" t="str">
        <f>MID(Tabla1[[#This Row],[Aplicación]],9,4)</f>
        <v>9241</v>
      </c>
      <c r="V3249" s="35" t="str">
        <f>VLOOKUP(Tabla1[[#This Row],[PROGRAMA]],Hoja1!A:B,2,FALSE)</f>
        <v>9241. Participación ciudadana</v>
      </c>
      <c r="W3249" s="35" t="str">
        <f>MID(Tabla1[[#This Row],[Aplicación]],14,2)</f>
        <v>21</v>
      </c>
      <c r="X3249" s="35" t="str">
        <f>MID(Tabla1[[#This Row],[Aplicación]],14,6)</f>
        <v>212</v>
      </c>
    </row>
    <row r="3250" spans="1:24" x14ac:dyDescent="0.25">
      <c r="A3250" s="45">
        <v>220210028830</v>
      </c>
      <c r="B3250" s="46" t="s">
        <v>9</v>
      </c>
      <c r="C3250" s="47">
        <v>44351</v>
      </c>
      <c r="D3250" s="45">
        <v>22021004752</v>
      </c>
      <c r="E3250" s="46" t="s">
        <v>1167</v>
      </c>
      <c r="F3250" s="48">
        <v>2750.09</v>
      </c>
      <c r="G3250" s="54" t="s">
        <v>262</v>
      </c>
      <c r="H3250" s="54" t="s">
        <v>4822</v>
      </c>
      <c r="I3250" s="53" t="s">
        <v>125</v>
      </c>
      <c r="J3250" s="54" t="s">
        <v>127</v>
      </c>
      <c r="K3250" s="54" t="s">
        <v>127</v>
      </c>
      <c r="L3250" s="54" t="s">
        <v>12</v>
      </c>
      <c r="M3250" s="54" t="s">
        <v>10</v>
      </c>
      <c r="N3250" s="54" t="s">
        <v>11</v>
      </c>
      <c r="O3250" s="49" t="s">
        <v>815</v>
      </c>
      <c r="P3250" s="54" t="s">
        <v>3392</v>
      </c>
      <c r="Q3250" s="35" t="str">
        <f>MID(Tabla1[[#This Row],[Aplicación]],14,1)</f>
        <v>2</v>
      </c>
      <c r="R3250" s="35" t="s">
        <v>495</v>
      </c>
      <c r="S3250" s="35" t="str">
        <f>MID(Tabla1[[#This Row],[Aplicación]],6,2)</f>
        <v>11</v>
      </c>
      <c r="T3250" s="35" t="str">
        <f>VLOOKUP(Tabla1[[#This Row],[AREA]],Hoja1!A:B,2,FALSE)</f>
        <v>11. Salud pública y seguridad ciudadana</v>
      </c>
      <c r="U3250" s="35" t="str">
        <f>MID(Tabla1[[#This Row],[Aplicación]],9,4)</f>
        <v>1321</v>
      </c>
      <c r="V3250" s="35" t="str">
        <f>VLOOKUP(Tabla1[[#This Row],[PROGRAMA]],Hoja1!A:B,2,FALSE)</f>
        <v>1321. Policía municipal</v>
      </c>
      <c r="W3250" s="35" t="str">
        <f>MID(Tabla1[[#This Row],[Aplicación]],14,2)</f>
        <v>21</v>
      </c>
      <c r="X3250" s="35" t="str">
        <f>MID(Tabla1[[#This Row],[Aplicación]],14,6)</f>
        <v>214</v>
      </c>
    </row>
    <row r="3251" spans="1:24" x14ac:dyDescent="0.25">
      <c r="A3251" s="45">
        <v>220210032713</v>
      </c>
      <c r="B3251" s="46" t="s">
        <v>204</v>
      </c>
      <c r="C3251" s="47">
        <v>44371</v>
      </c>
      <c r="D3251" s="45">
        <v>22021002227</v>
      </c>
      <c r="E3251" s="46" t="s">
        <v>1324</v>
      </c>
      <c r="F3251" s="48">
        <v>26.57</v>
      </c>
      <c r="G3251" s="54" t="s">
        <v>266</v>
      </c>
      <c r="H3251" s="54" t="s">
        <v>4823</v>
      </c>
      <c r="I3251" s="53" t="s">
        <v>205</v>
      </c>
      <c r="J3251" s="54" t="s">
        <v>127</v>
      </c>
      <c r="K3251" s="54" t="s">
        <v>127</v>
      </c>
      <c r="L3251" s="54" t="s">
        <v>15</v>
      </c>
      <c r="M3251" s="54" t="s">
        <v>13</v>
      </c>
      <c r="N3251" s="54" t="s">
        <v>14</v>
      </c>
      <c r="O3251" s="49" t="s">
        <v>814</v>
      </c>
      <c r="P3251" s="54" t="s">
        <v>3392</v>
      </c>
      <c r="Q3251" s="35" t="str">
        <f>MID(Tabla1[[#This Row],[Aplicación]],14,1)</f>
        <v>2</v>
      </c>
      <c r="R3251" s="35" t="s">
        <v>495</v>
      </c>
      <c r="S3251" s="35" t="str">
        <f>MID(Tabla1[[#This Row],[Aplicación]],6,2)</f>
        <v>06</v>
      </c>
      <c r="T3251" s="35" t="str">
        <f>VLOOKUP(Tabla1[[#This Row],[AREA]],Hoja1!A:B,2,FALSE)</f>
        <v>06. Educación, infancia, juventud e igualdad</v>
      </c>
      <c r="U3251" s="35" t="str">
        <f>MID(Tabla1[[#This Row],[Aplicación]],9,4)</f>
        <v>3321</v>
      </c>
      <c r="V3251" s="35" t="str">
        <f>VLOOKUP(Tabla1[[#This Row],[PROGRAMA]],Hoja1!A:B,2,FALSE)</f>
        <v>3321. Bibliotecas públicas</v>
      </c>
      <c r="W3251" s="35" t="str">
        <f>MID(Tabla1[[#This Row],[Aplicación]],14,2)</f>
        <v>21</v>
      </c>
      <c r="X3251" s="35" t="str">
        <f>MID(Tabla1[[#This Row],[Aplicación]],14,6)</f>
        <v>212</v>
      </c>
    </row>
    <row r="3252" spans="1:24" x14ac:dyDescent="0.25">
      <c r="A3252" s="45">
        <v>220210027722</v>
      </c>
      <c r="B3252" s="46" t="s">
        <v>204</v>
      </c>
      <c r="C3252" s="47">
        <v>44348</v>
      </c>
      <c r="D3252" s="45">
        <v>22021002369</v>
      </c>
      <c r="E3252" s="46" t="s">
        <v>1336</v>
      </c>
      <c r="F3252" s="48">
        <v>26.43</v>
      </c>
      <c r="G3252" s="54" t="s">
        <v>277</v>
      </c>
      <c r="H3252" s="54" t="s">
        <v>4824</v>
      </c>
      <c r="I3252" s="53" t="s">
        <v>205</v>
      </c>
      <c r="J3252" s="54" t="s">
        <v>127</v>
      </c>
      <c r="K3252" s="54" t="s">
        <v>127</v>
      </c>
      <c r="L3252" s="54" t="s">
        <v>15</v>
      </c>
      <c r="M3252" s="54" t="s">
        <v>13</v>
      </c>
      <c r="N3252" s="54" t="s">
        <v>14</v>
      </c>
      <c r="O3252" s="49" t="s">
        <v>814</v>
      </c>
      <c r="P3252" s="54" t="s">
        <v>3392</v>
      </c>
      <c r="Q3252" s="35" t="str">
        <f>MID(Tabla1[[#This Row],[Aplicación]],14,1)</f>
        <v>2</v>
      </c>
      <c r="R3252" s="35" t="s">
        <v>495</v>
      </c>
      <c r="S3252" s="35" t="str">
        <f>MID(Tabla1[[#This Row],[Aplicación]],6,2)</f>
        <v>02</v>
      </c>
      <c r="T3252" s="35" t="str">
        <f>VLOOKUP(Tabla1[[#This Row],[AREA]],Hoja1!A:B,2,FALSE)</f>
        <v>02. Planeamiento urbanístico y vivienda</v>
      </c>
      <c r="U3252" s="35" t="str">
        <f>MID(Tabla1[[#This Row],[Aplicación]],9,4)</f>
        <v>9332</v>
      </c>
      <c r="V3252" s="35" t="str">
        <f>VLOOKUP(Tabla1[[#This Row],[PROGRAMA]],Hoja1!A:B,2,FALSE)</f>
        <v>9332. Mantenimiento de edificios e instalaciones municipales</v>
      </c>
      <c r="W3252" s="35" t="str">
        <f>MID(Tabla1[[#This Row],[Aplicación]],14,2)</f>
        <v>21</v>
      </c>
      <c r="X3252" s="35" t="str">
        <f>MID(Tabla1[[#This Row],[Aplicación]],14,6)</f>
        <v>212</v>
      </c>
    </row>
    <row r="3253" spans="1:24" x14ac:dyDescent="0.25">
      <c r="A3253" s="45">
        <v>220210023282</v>
      </c>
      <c r="B3253" s="46" t="s">
        <v>204</v>
      </c>
      <c r="C3253" s="47">
        <v>44335</v>
      </c>
      <c r="D3253" s="45">
        <v>22021002006</v>
      </c>
      <c r="E3253" s="46" t="s">
        <v>1310</v>
      </c>
      <c r="F3253" s="48">
        <v>26.31</v>
      </c>
      <c r="G3253" s="54" t="s">
        <v>102</v>
      </c>
      <c r="H3253" s="54" t="s">
        <v>4825</v>
      </c>
      <c r="I3253" s="53" t="s">
        <v>205</v>
      </c>
      <c r="J3253" s="54" t="s">
        <v>127</v>
      </c>
      <c r="K3253" s="54" t="s">
        <v>127</v>
      </c>
      <c r="L3253" s="54" t="s">
        <v>15</v>
      </c>
      <c r="M3253" s="54" t="s">
        <v>13</v>
      </c>
      <c r="N3253" s="54" t="s">
        <v>14</v>
      </c>
      <c r="O3253" s="49" t="s">
        <v>814</v>
      </c>
      <c r="P3253" s="54" t="s">
        <v>3392</v>
      </c>
      <c r="Q3253" s="35" t="str">
        <f>MID(Tabla1[[#This Row],[Aplicación]],14,1)</f>
        <v>2</v>
      </c>
      <c r="R3253" s="35" t="s">
        <v>495</v>
      </c>
      <c r="S3253" s="35" t="str">
        <f>MID(Tabla1[[#This Row],[Aplicación]],6,2)</f>
        <v>11</v>
      </c>
      <c r="T3253" s="35" t="str">
        <f>VLOOKUP(Tabla1[[#This Row],[AREA]],Hoja1!A:B,2,FALSE)</f>
        <v>11. Salud pública y seguridad ciudadana</v>
      </c>
      <c r="U3253" s="35" t="str">
        <f>MID(Tabla1[[#This Row],[Aplicación]],9,4)</f>
        <v>3111</v>
      </c>
      <c r="V3253" s="35" t="str">
        <f>VLOOKUP(Tabla1[[#This Row],[PROGRAMA]],Hoja1!A:B,2,FALSE)</f>
        <v>3111. Protección de la salubridad pública</v>
      </c>
      <c r="W3253" s="35" t="str">
        <f>MID(Tabla1[[#This Row],[Aplicación]],14,2)</f>
        <v>22</v>
      </c>
      <c r="X3253" s="35" t="str">
        <f>MID(Tabla1[[#This Row],[Aplicación]],14,6)</f>
        <v>22199</v>
      </c>
    </row>
    <row r="3254" spans="1:24" x14ac:dyDescent="0.25">
      <c r="A3254" s="45">
        <v>220210027659</v>
      </c>
      <c r="B3254" s="46" t="s">
        <v>204</v>
      </c>
      <c r="C3254" s="47">
        <v>44348</v>
      </c>
      <c r="D3254" s="45">
        <v>22021002057</v>
      </c>
      <c r="E3254" s="46" t="s">
        <v>1715</v>
      </c>
      <c r="F3254" s="48">
        <v>26.03</v>
      </c>
      <c r="G3254" s="54" t="s">
        <v>263</v>
      </c>
      <c r="H3254" s="54" t="s">
        <v>4826</v>
      </c>
      <c r="I3254" s="53" t="s">
        <v>205</v>
      </c>
      <c r="J3254" s="54" t="s">
        <v>127</v>
      </c>
      <c r="K3254" s="54" t="s">
        <v>127</v>
      </c>
      <c r="L3254" s="54" t="s">
        <v>15</v>
      </c>
      <c r="M3254" s="54" t="s">
        <v>13</v>
      </c>
      <c r="N3254" s="54" t="s">
        <v>14</v>
      </c>
      <c r="O3254" s="49" t="s">
        <v>814</v>
      </c>
      <c r="P3254" s="54" t="s">
        <v>3392</v>
      </c>
      <c r="Q3254" s="35" t="str">
        <f>MID(Tabla1[[#This Row],[Aplicación]],14,1)</f>
        <v>2</v>
      </c>
      <c r="R3254" s="35" t="s">
        <v>495</v>
      </c>
      <c r="S3254" s="35" t="str">
        <f>MID(Tabla1[[#This Row],[Aplicación]],6,2)</f>
        <v>11</v>
      </c>
      <c r="T3254" s="35" t="str">
        <f>VLOOKUP(Tabla1[[#This Row],[AREA]],Hoja1!A:B,2,FALSE)</f>
        <v>11. Salud pública y seguridad ciudadana</v>
      </c>
      <c r="U3254" s="35" t="str">
        <f>MID(Tabla1[[#This Row],[Aplicación]],9,4)</f>
        <v>1631</v>
      </c>
      <c r="V3254" s="35" t="str">
        <f>VLOOKUP(Tabla1[[#This Row],[PROGRAMA]],Hoja1!A:B,2,FALSE)</f>
        <v>1631. Limpieza viaria</v>
      </c>
      <c r="W3254" s="35" t="str">
        <f>MID(Tabla1[[#This Row],[Aplicación]],14,2)</f>
        <v>22</v>
      </c>
      <c r="X3254" s="35" t="str">
        <f>MID(Tabla1[[#This Row],[Aplicación]],14,6)</f>
        <v>22199</v>
      </c>
    </row>
    <row r="3255" spans="1:24" x14ac:dyDescent="0.25">
      <c r="A3255" s="45">
        <v>220210022675</v>
      </c>
      <c r="B3255" s="46" t="s">
        <v>204</v>
      </c>
      <c r="C3255" s="47">
        <v>44333</v>
      </c>
      <c r="D3255" s="45">
        <v>22021001038</v>
      </c>
      <c r="E3255" s="46" t="s">
        <v>844</v>
      </c>
      <c r="F3255" s="48">
        <v>25.65</v>
      </c>
      <c r="G3255" s="54" t="s">
        <v>266</v>
      </c>
      <c r="H3255" s="54" t="s">
        <v>4639</v>
      </c>
      <c r="I3255" s="53" t="s">
        <v>205</v>
      </c>
      <c r="J3255" s="54" t="s">
        <v>127</v>
      </c>
      <c r="K3255" s="54" t="s">
        <v>127</v>
      </c>
      <c r="L3255" s="54" t="s">
        <v>15</v>
      </c>
      <c r="M3255" s="54" t="s">
        <v>13</v>
      </c>
      <c r="N3255" s="54" t="s">
        <v>14</v>
      </c>
      <c r="O3255" s="49" t="s">
        <v>814</v>
      </c>
      <c r="P3255" s="54" t="s">
        <v>3392</v>
      </c>
      <c r="Q3255" s="35" t="str">
        <f>MID(Tabla1[[#This Row],[Aplicación]],14,1)</f>
        <v>2</v>
      </c>
      <c r="R3255" s="35" t="s">
        <v>495</v>
      </c>
      <c r="S3255" s="35" t="str">
        <f>MID(Tabla1[[#This Row],[Aplicación]],6,2)</f>
        <v>10</v>
      </c>
      <c r="T3255" s="35" t="str">
        <f>VLOOKUP(Tabla1[[#This Row],[AREA]],Hoja1!A:B,2,FALSE)</f>
        <v>10. Servicios sociales y mediación comunitaria</v>
      </c>
      <c r="U3255" s="35" t="str">
        <f>MID(Tabla1[[#This Row],[Aplicación]],9,4)</f>
        <v>2312</v>
      </c>
      <c r="V3255" s="35" t="str">
        <f>VLOOKUP(Tabla1[[#This Row],[PROGRAMA]],Hoja1!A:B,2,FALSE)</f>
        <v>2312. Iniciativas sociales</v>
      </c>
      <c r="W3255" s="35" t="str">
        <f>MID(Tabla1[[#This Row],[Aplicación]],14,2)</f>
        <v>21</v>
      </c>
      <c r="X3255" s="35" t="str">
        <f>MID(Tabla1[[#This Row],[Aplicación]],14,6)</f>
        <v>212</v>
      </c>
    </row>
    <row r="3256" spans="1:24" x14ac:dyDescent="0.25">
      <c r="A3256" s="45">
        <v>220210023186</v>
      </c>
      <c r="B3256" s="46" t="s">
        <v>204</v>
      </c>
      <c r="C3256" s="47">
        <v>44335</v>
      </c>
      <c r="D3256" s="45">
        <v>22021002374</v>
      </c>
      <c r="E3256" s="46" t="s">
        <v>1336</v>
      </c>
      <c r="F3256" s="48">
        <v>25.65</v>
      </c>
      <c r="G3256" s="54" t="s">
        <v>266</v>
      </c>
      <c r="H3256" s="54" t="s">
        <v>4827</v>
      </c>
      <c r="I3256" s="53" t="s">
        <v>205</v>
      </c>
      <c r="J3256" s="54" t="s">
        <v>127</v>
      </c>
      <c r="K3256" s="54" t="s">
        <v>127</v>
      </c>
      <c r="L3256" s="54" t="s">
        <v>15</v>
      </c>
      <c r="M3256" s="54" t="s">
        <v>13</v>
      </c>
      <c r="N3256" s="54" t="s">
        <v>14</v>
      </c>
      <c r="O3256" s="49" t="s">
        <v>814</v>
      </c>
      <c r="P3256" s="54" t="s">
        <v>3392</v>
      </c>
      <c r="Q3256" s="35" t="str">
        <f>MID(Tabla1[[#This Row],[Aplicación]],14,1)</f>
        <v>2</v>
      </c>
      <c r="R3256" s="35" t="s">
        <v>495</v>
      </c>
      <c r="S3256" s="35" t="str">
        <f>MID(Tabla1[[#This Row],[Aplicación]],6,2)</f>
        <v>02</v>
      </c>
      <c r="T3256" s="35" t="str">
        <f>VLOOKUP(Tabla1[[#This Row],[AREA]],Hoja1!A:B,2,FALSE)</f>
        <v>02. Planeamiento urbanístico y vivienda</v>
      </c>
      <c r="U3256" s="35" t="str">
        <f>MID(Tabla1[[#This Row],[Aplicación]],9,4)</f>
        <v>9332</v>
      </c>
      <c r="V3256" s="35" t="str">
        <f>VLOOKUP(Tabla1[[#This Row],[PROGRAMA]],Hoja1!A:B,2,FALSE)</f>
        <v>9332. Mantenimiento de edificios e instalaciones municipales</v>
      </c>
      <c r="W3256" s="35" t="str">
        <f>MID(Tabla1[[#This Row],[Aplicación]],14,2)</f>
        <v>21</v>
      </c>
      <c r="X3256" s="35" t="str">
        <f>MID(Tabla1[[#This Row],[Aplicación]],14,6)</f>
        <v>212</v>
      </c>
    </row>
    <row r="3257" spans="1:24" x14ac:dyDescent="0.25">
      <c r="A3257" s="45">
        <v>220210022733</v>
      </c>
      <c r="B3257" s="46" t="s">
        <v>204</v>
      </c>
      <c r="C3257" s="47">
        <v>44333</v>
      </c>
      <c r="D3257" s="45">
        <v>22021002046</v>
      </c>
      <c r="E3257" s="46" t="s">
        <v>2155</v>
      </c>
      <c r="F3257" s="48">
        <v>25.43</v>
      </c>
      <c r="G3257" s="54" t="s">
        <v>1475</v>
      </c>
      <c r="H3257" s="54" t="s">
        <v>4828</v>
      </c>
      <c r="I3257" s="53" t="s">
        <v>205</v>
      </c>
      <c r="J3257" s="54" t="s">
        <v>127</v>
      </c>
      <c r="K3257" s="54" t="s">
        <v>127</v>
      </c>
      <c r="L3257" s="54" t="s">
        <v>15</v>
      </c>
      <c r="M3257" s="54" t="s">
        <v>13</v>
      </c>
      <c r="N3257" s="54" t="s">
        <v>14</v>
      </c>
      <c r="O3257" s="49" t="s">
        <v>814</v>
      </c>
      <c r="P3257" s="54" t="s">
        <v>3392</v>
      </c>
      <c r="Q3257" s="35" t="str">
        <f>MID(Tabla1[[#This Row],[Aplicación]],14,1)</f>
        <v>2</v>
      </c>
      <c r="R3257" s="35" t="s">
        <v>495</v>
      </c>
      <c r="S3257" s="35" t="str">
        <f>MID(Tabla1[[#This Row],[Aplicación]],6,2)</f>
        <v>11</v>
      </c>
      <c r="T3257" s="35" t="str">
        <f>VLOOKUP(Tabla1[[#This Row],[AREA]],Hoja1!A:B,2,FALSE)</f>
        <v>11. Salud pública y seguridad ciudadana</v>
      </c>
      <c r="U3257" s="35" t="str">
        <f>MID(Tabla1[[#This Row],[Aplicación]],9,4)</f>
        <v>1621</v>
      </c>
      <c r="V3257" s="35" t="str">
        <f>VLOOKUP(Tabla1[[#This Row],[PROGRAMA]],Hoja1!A:B,2,FALSE)</f>
        <v>1621. Servicio de limpieza</v>
      </c>
      <c r="W3257" s="35" t="str">
        <f>MID(Tabla1[[#This Row],[Aplicación]],14,2)</f>
        <v>21</v>
      </c>
      <c r="X3257" s="35" t="str">
        <f>MID(Tabla1[[#This Row],[Aplicación]],14,6)</f>
        <v>212</v>
      </c>
    </row>
    <row r="3258" spans="1:24" x14ac:dyDescent="0.25">
      <c r="A3258" s="45">
        <v>220210017131</v>
      </c>
      <c r="B3258" s="46" t="s">
        <v>9</v>
      </c>
      <c r="C3258" s="47">
        <v>44312</v>
      </c>
      <c r="D3258" s="45">
        <v>22021000491</v>
      </c>
      <c r="E3258" s="46" t="s">
        <v>983</v>
      </c>
      <c r="F3258" s="48">
        <v>25.32</v>
      </c>
      <c r="G3258" s="54" t="s">
        <v>43</v>
      </c>
      <c r="H3258" s="54" t="s">
        <v>3425</v>
      </c>
      <c r="I3258" s="53" t="s">
        <v>125</v>
      </c>
      <c r="J3258" s="54" t="s">
        <v>127</v>
      </c>
      <c r="K3258" s="54" t="s">
        <v>127</v>
      </c>
      <c r="L3258" s="54" t="s">
        <v>12</v>
      </c>
      <c r="M3258" s="54" t="s">
        <v>13</v>
      </c>
      <c r="N3258" s="54" t="s">
        <v>14</v>
      </c>
      <c r="O3258" s="49" t="s">
        <v>814</v>
      </c>
      <c r="P3258" s="54" t="s">
        <v>3392</v>
      </c>
      <c r="Q3258" s="35" t="str">
        <f>MID(Tabla1[[#This Row],[Aplicación]],14,1)</f>
        <v>2</v>
      </c>
      <c r="R3258" s="35" t="s">
        <v>495</v>
      </c>
      <c r="S3258" s="35" t="str">
        <f>MID(Tabla1[[#This Row],[Aplicación]],6,2)</f>
        <v>10</v>
      </c>
      <c r="T3258" s="35" t="str">
        <f>VLOOKUP(Tabla1[[#This Row],[AREA]],Hoja1!A:B,2,FALSE)</f>
        <v>10. Servicios sociales y mediación comunitaria</v>
      </c>
      <c r="U3258" s="35" t="str">
        <f>MID(Tabla1[[#This Row],[Aplicación]],9,4)</f>
        <v>2412</v>
      </c>
      <c r="V3258" s="35" t="str">
        <f>VLOOKUP(Tabla1[[#This Row],[PROGRAMA]],Hoja1!A:B,2,FALSE)</f>
        <v>2412. Formación para el empleo</v>
      </c>
      <c r="W3258" s="35" t="str">
        <f>MID(Tabla1[[#This Row],[Aplicación]],14,2)</f>
        <v>21</v>
      </c>
      <c r="X3258" s="35" t="str">
        <f>MID(Tabla1[[#This Row],[Aplicación]],14,6)</f>
        <v>213</v>
      </c>
    </row>
    <row r="3259" spans="1:24" x14ac:dyDescent="0.25">
      <c r="A3259" s="45">
        <v>220210020927</v>
      </c>
      <c r="B3259" s="46" t="s">
        <v>204</v>
      </c>
      <c r="C3259" s="47">
        <v>44323</v>
      </c>
      <c r="D3259" s="45">
        <v>22021002225</v>
      </c>
      <c r="E3259" s="46" t="s">
        <v>1574</v>
      </c>
      <c r="F3259" s="48">
        <v>25.18</v>
      </c>
      <c r="G3259" s="54" t="s">
        <v>235</v>
      </c>
      <c r="H3259" s="54" t="s">
        <v>4829</v>
      </c>
      <c r="I3259" s="53" t="s">
        <v>205</v>
      </c>
      <c r="J3259" s="54" t="s">
        <v>742</v>
      </c>
      <c r="K3259" s="54" t="s">
        <v>165</v>
      </c>
      <c r="L3259" s="54" t="s">
        <v>15</v>
      </c>
      <c r="M3259" s="54" t="s">
        <v>13</v>
      </c>
      <c r="N3259" s="54" t="s">
        <v>16</v>
      </c>
      <c r="O3259" s="49" t="s">
        <v>814</v>
      </c>
      <c r="P3259" s="54" t="s">
        <v>3392</v>
      </c>
      <c r="Q3259" s="35" t="str">
        <f>MID(Tabla1[[#This Row],[Aplicación]],14,1)</f>
        <v>2</v>
      </c>
      <c r="R3259" s="35" t="s">
        <v>495</v>
      </c>
      <c r="S3259" s="35" t="str">
        <f>MID(Tabla1[[#This Row],[Aplicación]],6,2)</f>
        <v>06</v>
      </c>
      <c r="T3259" s="35" t="str">
        <f>VLOOKUP(Tabla1[[#This Row],[AREA]],Hoja1!A:B,2,FALSE)</f>
        <v>06. Educación, infancia, juventud e igualdad</v>
      </c>
      <c r="U3259" s="35" t="str">
        <f>MID(Tabla1[[#This Row],[Aplicación]],9,4)</f>
        <v>3231</v>
      </c>
      <c r="V3259" s="35" t="str">
        <f>VLOOKUP(Tabla1[[#This Row],[PROGRAMA]],Hoja1!A:B,2,FALSE)</f>
        <v>3231. Escuelas infantiles</v>
      </c>
      <c r="W3259" s="35" t="str">
        <f>MID(Tabla1[[#This Row],[Aplicación]],14,2)</f>
        <v>21</v>
      </c>
      <c r="X3259" s="35" t="str">
        <f>MID(Tabla1[[#This Row],[Aplicación]],14,6)</f>
        <v>212</v>
      </c>
    </row>
    <row r="3260" spans="1:24" x14ac:dyDescent="0.25">
      <c r="A3260" s="45">
        <v>220210019127</v>
      </c>
      <c r="B3260" s="46" t="s">
        <v>204</v>
      </c>
      <c r="C3260" s="47">
        <v>44319</v>
      </c>
      <c r="D3260" s="45">
        <v>22021001169</v>
      </c>
      <c r="E3260" s="46" t="s">
        <v>1319</v>
      </c>
      <c r="F3260" s="48">
        <v>23.45</v>
      </c>
      <c r="G3260" s="54" t="s">
        <v>235</v>
      </c>
      <c r="H3260" s="54" t="s">
        <v>4830</v>
      </c>
      <c r="I3260" s="53" t="s">
        <v>205</v>
      </c>
      <c r="J3260" s="54" t="s">
        <v>742</v>
      </c>
      <c r="K3260" s="54" t="s">
        <v>165</v>
      </c>
      <c r="L3260" s="54" t="s">
        <v>15</v>
      </c>
      <c r="M3260" s="54" t="s">
        <v>13</v>
      </c>
      <c r="N3260" s="54" t="s">
        <v>14</v>
      </c>
      <c r="O3260" s="49" t="s">
        <v>814</v>
      </c>
      <c r="P3260" s="54" t="s">
        <v>3392</v>
      </c>
      <c r="Q3260" s="35" t="str">
        <f>MID(Tabla1[[#This Row],[Aplicación]],14,1)</f>
        <v>2</v>
      </c>
      <c r="R3260" s="35" t="s">
        <v>495</v>
      </c>
      <c r="S3260" s="35" t="str">
        <f>MID(Tabla1[[#This Row],[Aplicación]],6,2)</f>
        <v>10</v>
      </c>
      <c r="T3260" s="35" t="str">
        <f>VLOOKUP(Tabla1[[#This Row],[AREA]],Hoja1!A:B,2,FALSE)</f>
        <v>10. Servicios sociales y mediación comunitaria</v>
      </c>
      <c r="U3260" s="35" t="str">
        <f>MID(Tabla1[[#This Row],[Aplicación]],9,4)</f>
        <v>2412</v>
      </c>
      <c r="V3260" s="35" t="str">
        <f>VLOOKUP(Tabla1[[#This Row],[PROGRAMA]],Hoja1!A:B,2,FALSE)</f>
        <v>2412. Formación para el empleo</v>
      </c>
      <c r="W3260" s="35" t="str">
        <f>MID(Tabla1[[#This Row],[Aplicación]],14,2)</f>
        <v>21</v>
      </c>
      <c r="X3260" s="35" t="str">
        <f>MID(Tabla1[[#This Row],[Aplicación]],14,6)</f>
        <v>212</v>
      </c>
    </row>
    <row r="3261" spans="1:24" x14ac:dyDescent="0.25">
      <c r="A3261" s="45">
        <v>220210015940</v>
      </c>
      <c r="B3261" s="46" t="s">
        <v>204</v>
      </c>
      <c r="C3261" s="47">
        <v>44305</v>
      </c>
      <c r="D3261" s="45">
        <v>22021002144</v>
      </c>
      <c r="E3261" s="46" t="s">
        <v>1328</v>
      </c>
      <c r="F3261" s="48">
        <v>22.43</v>
      </c>
      <c r="G3261" s="54" t="s">
        <v>150</v>
      </c>
      <c r="H3261" s="54" t="s">
        <v>4831</v>
      </c>
      <c r="I3261" s="53" t="s">
        <v>205</v>
      </c>
      <c r="J3261" s="54" t="s">
        <v>146</v>
      </c>
      <c r="K3261" s="54" t="s">
        <v>146</v>
      </c>
      <c r="L3261" s="54" t="s">
        <v>15</v>
      </c>
      <c r="M3261" s="54" t="s">
        <v>13</v>
      </c>
      <c r="N3261" s="54" t="s">
        <v>14</v>
      </c>
      <c r="O3261" s="49" t="s">
        <v>814</v>
      </c>
      <c r="P3261" s="54" t="s">
        <v>3392</v>
      </c>
      <c r="Q3261" s="35" t="str">
        <f>MID(Tabla1[[#This Row],[Aplicación]],14,1)</f>
        <v>2</v>
      </c>
      <c r="R3261" s="35" t="s">
        <v>495</v>
      </c>
      <c r="S3261" s="35" t="str">
        <f>MID(Tabla1[[#This Row],[Aplicación]],6,2)</f>
        <v>10</v>
      </c>
      <c r="T3261" s="35" t="str">
        <f>VLOOKUP(Tabla1[[#This Row],[AREA]],Hoja1!A:B,2,FALSE)</f>
        <v>10. Servicios sociales y mediación comunitaria</v>
      </c>
      <c r="U3261" s="35" t="str">
        <f>MID(Tabla1[[#This Row],[Aplicación]],9,4)</f>
        <v>2311</v>
      </c>
      <c r="V3261" s="35" t="str">
        <f>VLOOKUP(Tabla1[[#This Row],[PROGRAMA]],Hoja1!A:B,2,FALSE)</f>
        <v>2311. Intervención social</v>
      </c>
      <c r="W3261" s="35" t="str">
        <f>MID(Tabla1[[#This Row],[Aplicación]],14,2)</f>
        <v>21</v>
      </c>
      <c r="X3261" s="35" t="str">
        <f>MID(Tabla1[[#This Row],[Aplicación]],14,6)</f>
        <v>212</v>
      </c>
    </row>
    <row r="3262" spans="1:24" x14ac:dyDescent="0.25">
      <c r="A3262" s="45">
        <v>220210014504</v>
      </c>
      <c r="B3262" s="46" t="s">
        <v>204</v>
      </c>
      <c r="C3262" s="47">
        <v>44295</v>
      </c>
      <c r="D3262" s="45">
        <v>22021002225</v>
      </c>
      <c r="E3262" s="46" t="s">
        <v>1574</v>
      </c>
      <c r="F3262" s="48">
        <v>22.2</v>
      </c>
      <c r="G3262" s="54" t="s">
        <v>266</v>
      </c>
      <c r="H3262" s="54" t="s">
        <v>4832</v>
      </c>
      <c r="I3262" s="53" t="s">
        <v>205</v>
      </c>
      <c r="J3262" s="54" t="s">
        <v>127</v>
      </c>
      <c r="K3262" s="54" t="s">
        <v>127</v>
      </c>
      <c r="L3262" s="54" t="s">
        <v>15</v>
      </c>
      <c r="M3262" s="54" t="s">
        <v>13</v>
      </c>
      <c r="N3262" s="54" t="s">
        <v>16</v>
      </c>
      <c r="O3262" s="49" t="s">
        <v>814</v>
      </c>
      <c r="P3262" s="54" t="s">
        <v>3392</v>
      </c>
      <c r="Q3262" s="35" t="str">
        <f>MID(Tabla1[[#This Row],[Aplicación]],14,1)</f>
        <v>2</v>
      </c>
      <c r="R3262" s="35" t="s">
        <v>495</v>
      </c>
      <c r="S3262" s="35" t="str">
        <f>MID(Tabla1[[#This Row],[Aplicación]],6,2)</f>
        <v>06</v>
      </c>
      <c r="T3262" s="35" t="str">
        <f>VLOOKUP(Tabla1[[#This Row],[AREA]],Hoja1!A:B,2,FALSE)</f>
        <v>06. Educación, infancia, juventud e igualdad</v>
      </c>
      <c r="U3262" s="35" t="str">
        <f>MID(Tabla1[[#This Row],[Aplicación]],9,4)</f>
        <v>3231</v>
      </c>
      <c r="V3262" s="35" t="str">
        <f>VLOOKUP(Tabla1[[#This Row],[PROGRAMA]],Hoja1!A:B,2,FALSE)</f>
        <v>3231. Escuelas infantiles</v>
      </c>
      <c r="W3262" s="35" t="str">
        <f>MID(Tabla1[[#This Row],[Aplicación]],14,2)</f>
        <v>21</v>
      </c>
      <c r="X3262" s="35" t="str">
        <f>MID(Tabla1[[#This Row],[Aplicación]],14,6)</f>
        <v>212</v>
      </c>
    </row>
    <row r="3263" spans="1:24" x14ac:dyDescent="0.25">
      <c r="A3263" s="45">
        <v>220210030205</v>
      </c>
      <c r="B3263" s="46" t="s">
        <v>204</v>
      </c>
      <c r="C3263" s="47">
        <v>44357</v>
      </c>
      <c r="D3263" s="45">
        <v>22021002052</v>
      </c>
      <c r="E3263" s="46" t="s">
        <v>1340</v>
      </c>
      <c r="F3263" s="48">
        <v>22.19</v>
      </c>
      <c r="G3263" s="54" t="s">
        <v>238</v>
      </c>
      <c r="H3263" s="54" t="s">
        <v>2001</v>
      </c>
      <c r="I3263" s="53" t="s">
        <v>205</v>
      </c>
      <c r="J3263" s="54" t="s">
        <v>127</v>
      </c>
      <c r="K3263" s="54" t="s">
        <v>127</v>
      </c>
      <c r="L3263" s="54" t="s">
        <v>15</v>
      </c>
      <c r="M3263" s="54" t="s">
        <v>13</v>
      </c>
      <c r="N3263" s="54" t="s">
        <v>14</v>
      </c>
      <c r="O3263" s="49" t="s">
        <v>814</v>
      </c>
      <c r="P3263" s="54" t="s">
        <v>3392</v>
      </c>
      <c r="Q3263" s="35" t="str">
        <f>MID(Tabla1[[#This Row],[Aplicación]],14,1)</f>
        <v>2</v>
      </c>
      <c r="R3263" s="35" t="s">
        <v>495</v>
      </c>
      <c r="S3263" s="35" t="str">
        <f>MID(Tabla1[[#This Row],[Aplicación]],6,2)</f>
        <v>11</v>
      </c>
      <c r="T3263" s="35" t="str">
        <f>VLOOKUP(Tabla1[[#This Row],[AREA]],Hoja1!A:B,2,FALSE)</f>
        <v>11. Salud pública y seguridad ciudadana</v>
      </c>
      <c r="U3263" s="35" t="str">
        <f>MID(Tabla1[[#This Row],[Aplicación]],9,4)</f>
        <v>1621</v>
      </c>
      <c r="V3263" s="35" t="str">
        <f>VLOOKUP(Tabla1[[#This Row],[PROGRAMA]],Hoja1!A:B,2,FALSE)</f>
        <v>1621. Servicio de limpieza</v>
      </c>
      <c r="W3263" s="35" t="str">
        <f>MID(Tabla1[[#This Row],[Aplicación]],14,2)</f>
        <v>22</v>
      </c>
      <c r="X3263" s="35" t="str">
        <f>MID(Tabla1[[#This Row],[Aplicación]],14,6)</f>
        <v>22199</v>
      </c>
    </row>
    <row r="3264" spans="1:24" x14ac:dyDescent="0.25">
      <c r="A3264" s="45">
        <v>220210030439</v>
      </c>
      <c r="B3264" s="46" t="s">
        <v>204</v>
      </c>
      <c r="C3264" s="47">
        <v>44358</v>
      </c>
      <c r="D3264" s="45">
        <v>22021002142</v>
      </c>
      <c r="E3264" s="46" t="s">
        <v>1328</v>
      </c>
      <c r="F3264" s="48">
        <v>21.78</v>
      </c>
      <c r="G3264" s="54" t="s">
        <v>238</v>
      </c>
      <c r="H3264" s="54" t="s">
        <v>4833</v>
      </c>
      <c r="I3264" s="53" t="s">
        <v>205</v>
      </c>
      <c r="J3264" s="54" t="s">
        <v>127</v>
      </c>
      <c r="K3264" s="54" t="s">
        <v>127</v>
      </c>
      <c r="L3264" s="54" t="s">
        <v>15</v>
      </c>
      <c r="M3264" s="54" t="s">
        <v>13</v>
      </c>
      <c r="N3264" s="54" t="s">
        <v>14</v>
      </c>
      <c r="O3264" s="49" t="s">
        <v>814</v>
      </c>
      <c r="P3264" s="54" t="s">
        <v>3392</v>
      </c>
      <c r="Q3264" s="35" t="str">
        <f>MID(Tabla1[[#This Row],[Aplicación]],14,1)</f>
        <v>2</v>
      </c>
      <c r="R3264" s="35" t="s">
        <v>495</v>
      </c>
      <c r="S3264" s="35" t="str">
        <f>MID(Tabla1[[#This Row],[Aplicación]],6,2)</f>
        <v>10</v>
      </c>
      <c r="T3264" s="35" t="str">
        <f>VLOOKUP(Tabla1[[#This Row],[AREA]],Hoja1!A:B,2,FALSE)</f>
        <v>10. Servicios sociales y mediación comunitaria</v>
      </c>
      <c r="U3264" s="35" t="str">
        <f>MID(Tabla1[[#This Row],[Aplicación]],9,4)</f>
        <v>2311</v>
      </c>
      <c r="V3264" s="35" t="str">
        <f>VLOOKUP(Tabla1[[#This Row],[PROGRAMA]],Hoja1!A:B,2,FALSE)</f>
        <v>2311. Intervención social</v>
      </c>
      <c r="W3264" s="35" t="str">
        <f>MID(Tabla1[[#This Row],[Aplicación]],14,2)</f>
        <v>21</v>
      </c>
      <c r="X3264" s="35" t="str">
        <f>MID(Tabla1[[#This Row],[Aplicación]],14,6)</f>
        <v>212</v>
      </c>
    </row>
    <row r="3265" spans="1:24" x14ac:dyDescent="0.25">
      <c r="A3265" s="45">
        <v>220210030130</v>
      </c>
      <c r="B3265" s="46" t="s">
        <v>204</v>
      </c>
      <c r="C3265" s="47">
        <v>44356</v>
      </c>
      <c r="D3265" s="45">
        <v>22021002228</v>
      </c>
      <c r="E3265" s="46" t="s">
        <v>1471</v>
      </c>
      <c r="F3265" s="48">
        <v>21.78</v>
      </c>
      <c r="G3265" s="54" t="s">
        <v>277</v>
      </c>
      <c r="H3265" s="54" t="s">
        <v>4834</v>
      </c>
      <c r="I3265" s="53" t="s">
        <v>205</v>
      </c>
      <c r="J3265" s="54" t="s">
        <v>127</v>
      </c>
      <c r="K3265" s="54" t="s">
        <v>127</v>
      </c>
      <c r="L3265" s="54" t="s">
        <v>15</v>
      </c>
      <c r="M3265" s="54" t="s">
        <v>13</v>
      </c>
      <c r="N3265" s="54" t="s">
        <v>14</v>
      </c>
      <c r="O3265" s="49" t="s">
        <v>814</v>
      </c>
      <c r="P3265" s="54" t="s">
        <v>3392</v>
      </c>
      <c r="Q3265" s="35" t="str">
        <f>MID(Tabla1[[#This Row],[Aplicación]],14,1)</f>
        <v>2</v>
      </c>
      <c r="R3265" s="35" t="s">
        <v>495</v>
      </c>
      <c r="S3265" s="35" t="str">
        <f>MID(Tabla1[[#This Row],[Aplicación]],6,2)</f>
        <v>06</v>
      </c>
      <c r="T3265" s="35" t="str">
        <f>VLOOKUP(Tabla1[[#This Row],[AREA]],Hoja1!A:B,2,FALSE)</f>
        <v>06. Educación, infancia, juventud e igualdad</v>
      </c>
      <c r="U3265" s="35" t="str">
        <f>MID(Tabla1[[#This Row],[Aplicación]],9,4)</f>
        <v>3232</v>
      </c>
      <c r="V3265" s="35" t="str">
        <f>VLOOKUP(Tabla1[[#This Row],[PROGRAMA]],Hoja1!A:B,2,FALSE)</f>
        <v>3232. Conservación y mantenimiento centros educación infantil y primaria</v>
      </c>
      <c r="W3265" s="35" t="str">
        <f>MID(Tabla1[[#This Row],[Aplicación]],14,2)</f>
        <v>21</v>
      </c>
      <c r="X3265" s="35" t="str">
        <f>MID(Tabla1[[#This Row],[Aplicación]],14,6)</f>
        <v>212</v>
      </c>
    </row>
    <row r="3266" spans="1:24" x14ac:dyDescent="0.25">
      <c r="A3266" s="45">
        <v>220210022697</v>
      </c>
      <c r="B3266" s="46" t="s">
        <v>204</v>
      </c>
      <c r="C3266" s="47">
        <v>44333</v>
      </c>
      <c r="D3266" s="45">
        <v>22021001181</v>
      </c>
      <c r="E3266" s="46" t="s">
        <v>873</v>
      </c>
      <c r="F3266" s="48">
        <v>21.12</v>
      </c>
      <c r="G3266" s="54" t="s">
        <v>1407</v>
      </c>
      <c r="H3266" s="54" t="s">
        <v>4835</v>
      </c>
      <c r="I3266" s="53" t="s">
        <v>205</v>
      </c>
      <c r="J3266" s="54" t="s">
        <v>127</v>
      </c>
      <c r="K3266" s="54" t="s">
        <v>127</v>
      </c>
      <c r="L3266" s="54" t="s">
        <v>15</v>
      </c>
      <c r="M3266" s="54" t="s">
        <v>13</v>
      </c>
      <c r="N3266" s="54" t="s">
        <v>14</v>
      </c>
      <c r="O3266" s="49" t="s">
        <v>814</v>
      </c>
      <c r="P3266" s="54" t="s">
        <v>3392</v>
      </c>
      <c r="Q3266" s="35" t="str">
        <f>MID(Tabla1[[#This Row],[Aplicación]],14,1)</f>
        <v>2</v>
      </c>
      <c r="R3266" s="35" t="s">
        <v>495</v>
      </c>
      <c r="S3266" s="35" t="str">
        <f>MID(Tabla1[[#This Row],[Aplicación]],6,2)</f>
        <v>10</v>
      </c>
      <c r="T3266" s="35" t="str">
        <f>VLOOKUP(Tabla1[[#This Row],[AREA]],Hoja1!A:B,2,FALSE)</f>
        <v>10. Servicios sociales y mediación comunitaria</v>
      </c>
      <c r="U3266" s="35" t="str">
        <f>MID(Tabla1[[#This Row],[Aplicación]],9,4)</f>
        <v>2412</v>
      </c>
      <c r="V3266" s="35" t="str">
        <f>VLOOKUP(Tabla1[[#This Row],[PROGRAMA]],Hoja1!A:B,2,FALSE)</f>
        <v>2412. Formación para el empleo</v>
      </c>
      <c r="W3266" s="35" t="str">
        <f>MID(Tabla1[[#This Row],[Aplicación]],14,2)</f>
        <v>22</v>
      </c>
      <c r="X3266" s="35" t="str">
        <f>MID(Tabla1[[#This Row],[Aplicación]],14,6)</f>
        <v>22199</v>
      </c>
    </row>
    <row r="3267" spans="1:24" x14ac:dyDescent="0.25">
      <c r="A3267" s="45">
        <v>220210031160</v>
      </c>
      <c r="B3267" s="46" t="s">
        <v>204</v>
      </c>
      <c r="C3267" s="47">
        <v>44361</v>
      </c>
      <c r="D3267" s="45">
        <v>22021003381</v>
      </c>
      <c r="E3267" s="46" t="s">
        <v>1183</v>
      </c>
      <c r="F3267" s="48">
        <v>62.76</v>
      </c>
      <c r="G3267" s="54" t="s">
        <v>235</v>
      </c>
      <c r="H3267" s="54" t="s">
        <v>4836</v>
      </c>
      <c r="I3267" s="53" t="s">
        <v>205</v>
      </c>
      <c r="J3267" s="54" t="s">
        <v>742</v>
      </c>
      <c r="K3267" s="54" t="s">
        <v>165</v>
      </c>
      <c r="L3267" s="54" t="s">
        <v>15</v>
      </c>
      <c r="M3267" s="54" t="s">
        <v>13</v>
      </c>
      <c r="N3267" s="54" t="s">
        <v>14</v>
      </c>
      <c r="O3267" s="49" t="s">
        <v>814</v>
      </c>
      <c r="P3267" s="54" t="s">
        <v>3392</v>
      </c>
      <c r="Q3267" s="35" t="str">
        <f>MID(Tabla1[[#This Row],[Aplicación]],14,1)</f>
        <v>2</v>
      </c>
      <c r="R3267" s="35" t="s">
        <v>495</v>
      </c>
      <c r="S3267" s="35" t="str">
        <f>MID(Tabla1[[#This Row],[Aplicación]],6,2)</f>
        <v>11</v>
      </c>
      <c r="T3267" s="35" t="str">
        <f>VLOOKUP(Tabla1[[#This Row],[AREA]],Hoja1!A:B,2,FALSE)</f>
        <v>11. Salud pública y seguridad ciudadana</v>
      </c>
      <c r="U3267" s="35" t="str">
        <f>MID(Tabla1[[#This Row],[Aplicación]],9,4)</f>
        <v>1361</v>
      </c>
      <c r="V3267" s="35" t="str">
        <f>VLOOKUP(Tabla1[[#This Row],[PROGRAMA]],Hoja1!A:B,2,FALSE)</f>
        <v>1361. Prevención y extinción de incencios</v>
      </c>
      <c r="W3267" s="35" t="str">
        <f>MID(Tabla1[[#This Row],[Aplicación]],14,2)</f>
        <v>22</v>
      </c>
      <c r="X3267" s="35" t="str">
        <f>MID(Tabla1[[#This Row],[Aplicación]],14,6)</f>
        <v>22199</v>
      </c>
    </row>
    <row r="3268" spans="1:24" x14ac:dyDescent="0.25">
      <c r="A3268" s="45">
        <v>220210027710</v>
      </c>
      <c r="B3268" s="46" t="s">
        <v>204</v>
      </c>
      <c r="C3268" s="47">
        <v>44348</v>
      </c>
      <c r="D3268" s="45">
        <v>22021000547</v>
      </c>
      <c r="E3268" s="46" t="s">
        <v>1799</v>
      </c>
      <c r="F3268" s="48">
        <v>805.86</v>
      </c>
      <c r="G3268" s="54" t="s">
        <v>262</v>
      </c>
      <c r="H3268" s="54" t="s">
        <v>4837</v>
      </c>
      <c r="I3268" s="53" t="s">
        <v>205</v>
      </c>
      <c r="J3268" s="54" t="s">
        <v>127</v>
      </c>
      <c r="K3268" s="54" t="s">
        <v>127</v>
      </c>
      <c r="L3268" s="54" t="s">
        <v>12</v>
      </c>
      <c r="M3268" s="54" t="s">
        <v>13</v>
      </c>
      <c r="N3268" s="54" t="s">
        <v>14</v>
      </c>
      <c r="O3268" s="49" t="s">
        <v>814</v>
      </c>
      <c r="P3268" s="54" t="s">
        <v>3392</v>
      </c>
      <c r="Q3268" s="35" t="str">
        <f>MID(Tabla1[[#This Row],[Aplicación]],14,1)</f>
        <v>2</v>
      </c>
      <c r="R3268" s="35" t="s">
        <v>495</v>
      </c>
      <c r="S3268" s="35" t="str">
        <f>MID(Tabla1[[#This Row],[Aplicación]],6,2)</f>
        <v>08</v>
      </c>
      <c r="T3268" s="35" t="str">
        <f>VLOOKUP(Tabla1[[#This Row],[AREA]],Hoja1!A:B,2,FALSE)</f>
        <v>08. Movilidad y espacio urbano</v>
      </c>
      <c r="U3268" s="35" t="str">
        <f>MID(Tabla1[[#This Row],[Aplicación]],9,4)</f>
        <v>1341</v>
      </c>
      <c r="V3268" s="35" t="str">
        <f>VLOOKUP(Tabla1[[#This Row],[PROGRAMA]],Hoja1!A:B,2,FALSE)</f>
        <v>1341. Movilidad</v>
      </c>
      <c r="W3268" s="35" t="str">
        <f>MID(Tabla1[[#This Row],[Aplicación]],14,2)</f>
        <v>21</v>
      </c>
      <c r="X3268" s="35" t="str">
        <f>MID(Tabla1[[#This Row],[Aplicación]],14,6)</f>
        <v>214</v>
      </c>
    </row>
    <row r="3269" spans="1:24" x14ac:dyDescent="0.25">
      <c r="A3269" s="45">
        <v>220210029577</v>
      </c>
      <c r="B3269" s="46" t="s">
        <v>204</v>
      </c>
      <c r="C3269" s="47">
        <v>44355</v>
      </c>
      <c r="D3269" s="45">
        <v>22021001038</v>
      </c>
      <c r="E3269" s="46" t="s">
        <v>844</v>
      </c>
      <c r="F3269" s="48">
        <v>20.59</v>
      </c>
      <c r="G3269" s="54" t="s">
        <v>256</v>
      </c>
      <c r="H3269" s="54" t="s">
        <v>4838</v>
      </c>
      <c r="I3269" s="53" t="s">
        <v>205</v>
      </c>
      <c r="J3269" s="54" t="s">
        <v>127</v>
      </c>
      <c r="K3269" s="54" t="s">
        <v>127</v>
      </c>
      <c r="L3269" s="54" t="s">
        <v>15</v>
      </c>
      <c r="M3269" s="54" t="s">
        <v>13</v>
      </c>
      <c r="N3269" s="54" t="s">
        <v>14</v>
      </c>
      <c r="O3269" s="49" t="s">
        <v>814</v>
      </c>
      <c r="P3269" s="54" t="s">
        <v>3392</v>
      </c>
      <c r="Q3269" s="35" t="str">
        <f>MID(Tabla1[[#This Row],[Aplicación]],14,1)</f>
        <v>2</v>
      </c>
      <c r="R3269" s="35" t="s">
        <v>495</v>
      </c>
      <c r="S3269" s="35" t="str">
        <f>MID(Tabla1[[#This Row],[Aplicación]],6,2)</f>
        <v>10</v>
      </c>
      <c r="T3269" s="35" t="str">
        <f>VLOOKUP(Tabla1[[#This Row],[AREA]],Hoja1!A:B,2,FALSE)</f>
        <v>10. Servicios sociales y mediación comunitaria</v>
      </c>
      <c r="U3269" s="35" t="str">
        <f>MID(Tabla1[[#This Row],[Aplicación]],9,4)</f>
        <v>2312</v>
      </c>
      <c r="V3269" s="35" t="str">
        <f>VLOOKUP(Tabla1[[#This Row],[PROGRAMA]],Hoja1!A:B,2,FALSE)</f>
        <v>2312. Iniciativas sociales</v>
      </c>
      <c r="W3269" s="35" t="str">
        <f>MID(Tabla1[[#This Row],[Aplicación]],14,2)</f>
        <v>21</v>
      </c>
      <c r="X3269" s="35" t="str">
        <f>MID(Tabla1[[#This Row],[Aplicación]],14,6)</f>
        <v>212</v>
      </c>
    </row>
    <row r="3270" spans="1:24" x14ac:dyDescent="0.25">
      <c r="A3270" s="45">
        <v>220210020743</v>
      </c>
      <c r="B3270" s="46" t="s">
        <v>204</v>
      </c>
      <c r="C3270" s="47">
        <v>44323</v>
      </c>
      <c r="D3270" s="45">
        <v>22021002228</v>
      </c>
      <c r="E3270" s="46" t="s">
        <v>1471</v>
      </c>
      <c r="F3270" s="48">
        <v>19.72</v>
      </c>
      <c r="G3270" s="54" t="s">
        <v>277</v>
      </c>
      <c r="H3270" s="54" t="s">
        <v>4839</v>
      </c>
      <c r="I3270" s="53" t="s">
        <v>205</v>
      </c>
      <c r="J3270" s="54" t="s">
        <v>127</v>
      </c>
      <c r="K3270" s="54" t="s">
        <v>127</v>
      </c>
      <c r="L3270" s="54" t="s">
        <v>15</v>
      </c>
      <c r="M3270" s="54" t="s">
        <v>13</v>
      </c>
      <c r="N3270" s="54" t="s">
        <v>16</v>
      </c>
      <c r="O3270" s="49" t="s">
        <v>814</v>
      </c>
      <c r="P3270" s="54" t="s">
        <v>3392</v>
      </c>
      <c r="Q3270" s="35" t="str">
        <f>MID(Tabla1[[#This Row],[Aplicación]],14,1)</f>
        <v>2</v>
      </c>
      <c r="R3270" s="35" t="s">
        <v>495</v>
      </c>
      <c r="S3270" s="35" t="str">
        <f>MID(Tabla1[[#This Row],[Aplicación]],6,2)</f>
        <v>06</v>
      </c>
      <c r="T3270" s="35" t="str">
        <f>VLOOKUP(Tabla1[[#This Row],[AREA]],Hoja1!A:B,2,FALSE)</f>
        <v>06. Educación, infancia, juventud e igualdad</v>
      </c>
      <c r="U3270" s="35" t="str">
        <f>MID(Tabla1[[#This Row],[Aplicación]],9,4)</f>
        <v>3232</v>
      </c>
      <c r="V3270" s="35" t="str">
        <f>VLOOKUP(Tabla1[[#This Row],[PROGRAMA]],Hoja1!A:B,2,FALSE)</f>
        <v>3232. Conservación y mantenimiento centros educación infantil y primaria</v>
      </c>
      <c r="W3270" s="35" t="str">
        <f>MID(Tabla1[[#This Row],[Aplicación]],14,2)</f>
        <v>21</v>
      </c>
      <c r="X3270" s="35" t="str">
        <f>MID(Tabla1[[#This Row],[Aplicación]],14,6)</f>
        <v>212</v>
      </c>
    </row>
    <row r="3271" spans="1:24" x14ac:dyDescent="0.25">
      <c r="A3271" s="45">
        <v>220210030189</v>
      </c>
      <c r="B3271" s="46" t="s">
        <v>204</v>
      </c>
      <c r="C3271" s="47">
        <v>44356</v>
      </c>
      <c r="D3271" s="45">
        <v>22021002089</v>
      </c>
      <c r="E3271" s="46" t="s">
        <v>1220</v>
      </c>
      <c r="F3271" s="48">
        <v>19.72</v>
      </c>
      <c r="G3271" s="54" t="s">
        <v>277</v>
      </c>
      <c r="H3271" s="54" t="s">
        <v>4840</v>
      </c>
      <c r="I3271" s="53" t="s">
        <v>205</v>
      </c>
      <c r="J3271" s="54" t="s">
        <v>127</v>
      </c>
      <c r="K3271" s="54" t="s">
        <v>127</v>
      </c>
      <c r="L3271" s="54" t="s">
        <v>15</v>
      </c>
      <c r="M3271" s="54" t="s">
        <v>13</v>
      </c>
      <c r="N3271" s="54" t="s">
        <v>16</v>
      </c>
      <c r="O3271" s="49" t="s">
        <v>814</v>
      </c>
      <c r="P3271" s="54" t="s">
        <v>3392</v>
      </c>
      <c r="Q3271" s="35" t="str">
        <f>MID(Tabla1[[#This Row],[Aplicación]],14,1)</f>
        <v>2</v>
      </c>
      <c r="R3271" s="35" t="s">
        <v>495</v>
      </c>
      <c r="S3271" s="35" t="str">
        <f>MID(Tabla1[[#This Row],[Aplicación]],6,2)</f>
        <v>03</v>
      </c>
      <c r="T3271" s="35" t="str">
        <f>VLOOKUP(Tabla1[[#This Row],[AREA]],Hoja1!A:B,2,FALSE)</f>
        <v>03. Participación ciudadana y deportes</v>
      </c>
      <c r="U3271" s="35" t="str">
        <f>MID(Tabla1[[#This Row],[Aplicación]],9,4)</f>
        <v>9241</v>
      </c>
      <c r="V3271" s="35" t="str">
        <f>VLOOKUP(Tabla1[[#This Row],[PROGRAMA]],Hoja1!A:B,2,FALSE)</f>
        <v>9241. Participación ciudadana</v>
      </c>
      <c r="W3271" s="35" t="str">
        <f>MID(Tabla1[[#This Row],[Aplicación]],14,2)</f>
        <v>21</v>
      </c>
      <c r="X3271" s="35" t="str">
        <f>MID(Tabla1[[#This Row],[Aplicación]],14,6)</f>
        <v>213</v>
      </c>
    </row>
    <row r="3272" spans="1:24" x14ac:dyDescent="0.25">
      <c r="A3272" s="45">
        <v>220210022772</v>
      </c>
      <c r="B3272" s="46" t="s">
        <v>204</v>
      </c>
      <c r="C3272" s="47">
        <v>44333</v>
      </c>
      <c r="D3272" s="45">
        <v>22021002228</v>
      </c>
      <c r="E3272" s="46" t="s">
        <v>1471</v>
      </c>
      <c r="F3272" s="48">
        <v>19.46</v>
      </c>
      <c r="G3272" s="54" t="s">
        <v>277</v>
      </c>
      <c r="H3272" s="54" t="s">
        <v>4841</v>
      </c>
      <c r="I3272" s="53" t="s">
        <v>205</v>
      </c>
      <c r="J3272" s="54" t="s">
        <v>127</v>
      </c>
      <c r="K3272" s="54" t="s">
        <v>127</v>
      </c>
      <c r="L3272" s="54" t="s">
        <v>15</v>
      </c>
      <c r="M3272" s="54" t="s">
        <v>13</v>
      </c>
      <c r="N3272" s="54" t="s">
        <v>14</v>
      </c>
      <c r="O3272" s="49" t="s">
        <v>814</v>
      </c>
      <c r="P3272" s="54" t="s">
        <v>3392</v>
      </c>
      <c r="Q3272" s="35" t="str">
        <f>MID(Tabla1[[#This Row],[Aplicación]],14,1)</f>
        <v>2</v>
      </c>
      <c r="R3272" s="35" t="s">
        <v>495</v>
      </c>
      <c r="S3272" s="35" t="str">
        <f>MID(Tabla1[[#This Row],[Aplicación]],6,2)</f>
        <v>06</v>
      </c>
      <c r="T3272" s="35" t="str">
        <f>VLOOKUP(Tabla1[[#This Row],[AREA]],Hoja1!A:B,2,FALSE)</f>
        <v>06. Educación, infancia, juventud e igualdad</v>
      </c>
      <c r="U3272" s="35" t="str">
        <f>MID(Tabla1[[#This Row],[Aplicación]],9,4)</f>
        <v>3232</v>
      </c>
      <c r="V3272" s="35" t="str">
        <f>VLOOKUP(Tabla1[[#This Row],[PROGRAMA]],Hoja1!A:B,2,FALSE)</f>
        <v>3232. Conservación y mantenimiento centros educación infantil y primaria</v>
      </c>
      <c r="W3272" s="35" t="str">
        <f>MID(Tabla1[[#This Row],[Aplicación]],14,2)</f>
        <v>21</v>
      </c>
      <c r="X3272" s="35" t="str">
        <f>MID(Tabla1[[#This Row],[Aplicación]],14,6)</f>
        <v>212</v>
      </c>
    </row>
    <row r="3273" spans="1:24" x14ac:dyDescent="0.25">
      <c r="A3273" s="45">
        <v>220210022774</v>
      </c>
      <c r="B3273" s="46" t="s">
        <v>204</v>
      </c>
      <c r="C3273" s="47">
        <v>44333</v>
      </c>
      <c r="D3273" s="45">
        <v>22021002228</v>
      </c>
      <c r="E3273" s="46" t="s">
        <v>1471</v>
      </c>
      <c r="F3273" s="48">
        <v>19.46</v>
      </c>
      <c r="G3273" s="54" t="s">
        <v>277</v>
      </c>
      <c r="H3273" s="54" t="s">
        <v>4842</v>
      </c>
      <c r="I3273" s="53" t="s">
        <v>205</v>
      </c>
      <c r="J3273" s="54" t="s">
        <v>127</v>
      </c>
      <c r="K3273" s="54" t="s">
        <v>127</v>
      </c>
      <c r="L3273" s="54" t="s">
        <v>15</v>
      </c>
      <c r="M3273" s="54" t="s">
        <v>13</v>
      </c>
      <c r="N3273" s="54" t="s">
        <v>14</v>
      </c>
      <c r="O3273" s="49" t="s">
        <v>814</v>
      </c>
      <c r="P3273" s="54" t="s">
        <v>3392</v>
      </c>
      <c r="Q3273" s="35" t="str">
        <f>MID(Tabla1[[#This Row],[Aplicación]],14,1)</f>
        <v>2</v>
      </c>
      <c r="R3273" s="35" t="s">
        <v>495</v>
      </c>
      <c r="S3273" s="35" t="str">
        <f>MID(Tabla1[[#This Row],[Aplicación]],6,2)</f>
        <v>06</v>
      </c>
      <c r="T3273" s="35" t="str">
        <f>VLOOKUP(Tabla1[[#This Row],[AREA]],Hoja1!A:B,2,FALSE)</f>
        <v>06. Educación, infancia, juventud e igualdad</v>
      </c>
      <c r="U3273" s="35" t="str">
        <f>MID(Tabla1[[#This Row],[Aplicación]],9,4)</f>
        <v>3232</v>
      </c>
      <c r="V3273" s="35" t="str">
        <f>VLOOKUP(Tabla1[[#This Row],[PROGRAMA]],Hoja1!A:B,2,FALSE)</f>
        <v>3232. Conservación y mantenimiento centros educación infantil y primaria</v>
      </c>
      <c r="W3273" s="35" t="str">
        <f>MID(Tabla1[[#This Row],[Aplicación]],14,2)</f>
        <v>21</v>
      </c>
      <c r="X3273" s="35" t="str">
        <f>MID(Tabla1[[#This Row],[Aplicación]],14,6)</f>
        <v>212</v>
      </c>
    </row>
    <row r="3274" spans="1:24" x14ac:dyDescent="0.25">
      <c r="A3274" s="45">
        <v>220210030627</v>
      </c>
      <c r="B3274" s="46" t="s">
        <v>9</v>
      </c>
      <c r="C3274" s="47">
        <v>44358</v>
      </c>
      <c r="D3274" s="45">
        <v>22021004813</v>
      </c>
      <c r="E3274" s="46" t="s">
        <v>1380</v>
      </c>
      <c r="F3274" s="48">
        <v>15.49</v>
      </c>
      <c r="G3274" s="54" t="s">
        <v>4383</v>
      </c>
      <c r="H3274" s="54" t="s">
        <v>4843</v>
      </c>
      <c r="I3274" s="53" t="s">
        <v>125</v>
      </c>
      <c r="J3274" s="54" t="s">
        <v>127</v>
      </c>
      <c r="K3274" s="54" t="s">
        <v>127</v>
      </c>
      <c r="L3274" s="54" t="s">
        <v>15</v>
      </c>
      <c r="M3274" s="54" t="s">
        <v>10</v>
      </c>
      <c r="N3274" s="54" t="s">
        <v>11</v>
      </c>
      <c r="O3274" s="49" t="s">
        <v>815</v>
      </c>
      <c r="P3274" s="54" t="s">
        <v>3392</v>
      </c>
      <c r="Q3274" s="35" t="str">
        <f>MID(Tabla1[[#This Row],[Aplicación]],14,1)</f>
        <v>2</v>
      </c>
      <c r="R3274" s="35" t="s">
        <v>495</v>
      </c>
      <c r="S3274" s="35" t="str">
        <f>MID(Tabla1[[#This Row],[Aplicación]],6,2)</f>
        <v>03</v>
      </c>
      <c r="T3274" s="35" t="str">
        <f>VLOOKUP(Tabla1[[#This Row],[AREA]],Hoja1!A:B,2,FALSE)</f>
        <v>03. Participación ciudadana y deportes</v>
      </c>
      <c r="U3274" s="35" t="str">
        <f>MID(Tabla1[[#This Row],[Aplicación]],9,4)</f>
        <v>9241</v>
      </c>
      <c r="V3274" s="35" t="str">
        <f>VLOOKUP(Tabla1[[#This Row],[PROGRAMA]],Hoja1!A:B,2,FALSE)</f>
        <v>9241. Participación ciudadana</v>
      </c>
      <c r="W3274" s="35" t="str">
        <f>MID(Tabla1[[#This Row],[Aplicación]],14,2)</f>
        <v>22</v>
      </c>
      <c r="X3274" s="35" t="str">
        <f>MID(Tabla1[[#This Row],[Aplicación]],14,6)</f>
        <v>22699</v>
      </c>
    </row>
    <row r="3275" spans="1:24" x14ac:dyDescent="0.25">
      <c r="A3275" s="45">
        <v>220210031154</v>
      </c>
      <c r="B3275" s="46" t="s">
        <v>204</v>
      </c>
      <c r="C3275" s="47">
        <v>44361</v>
      </c>
      <c r="D3275" s="45">
        <v>22021001039</v>
      </c>
      <c r="E3275" s="46" t="s">
        <v>844</v>
      </c>
      <c r="F3275" s="48">
        <v>19.46</v>
      </c>
      <c r="G3275" s="54" t="s">
        <v>277</v>
      </c>
      <c r="H3275" s="54" t="s">
        <v>4844</v>
      </c>
      <c r="I3275" s="53" t="s">
        <v>205</v>
      </c>
      <c r="J3275" s="54" t="s">
        <v>127</v>
      </c>
      <c r="K3275" s="54" t="s">
        <v>127</v>
      </c>
      <c r="L3275" s="54" t="s">
        <v>15</v>
      </c>
      <c r="M3275" s="54" t="s">
        <v>13</v>
      </c>
      <c r="N3275" s="54" t="s">
        <v>14</v>
      </c>
      <c r="O3275" s="49" t="s">
        <v>814</v>
      </c>
      <c r="P3275" s="54" t="s">
        <v>3392</v>
      </c>
      <c r="Q3275" s="35" t="str">
        <f>MID(Tabla1[[#This Row],[Aplicación]],14,1)</f>
        <v>2</v>
      </c>
      <c r="R3275" s="35" t="s">
        <v>495</v>
      </c>
      <c r="S3275" s="35" t="str">
        <f>MID(Tabla1[[#This Row],[Aplicación]],6,2)</f>
        <v>10</v>
      </c>
      <c r="T3275" s="35" t="str">
        <f>VLOOKUP(Tabla1[[#This Row],[AREA]],Hoja1!A:B,2,FALSE)</f>
        <v>10. Servicios sociales y mediación comunitaria</v>
      </c>
      <c r="U3275" s="35" t="str">
        <f>MID(Tabla1[[#This Row],[Aplicación]],9,4)</f>
        <v>2312</v>
      </c>
      <c r="V3275" s="35" t="str">
        <f>VLOOKUP(Tabla1[[#This Row],[PROGRAMA]],Hoja1!A:B,2,FALSE)</f>
        <v>2312. Iniciativas sociales</v>
      </c>
      <c r="W3275" s="35" t="str">
        <f>MID(Tabla1[[#This Row],[Aplicación]],14,2)</f>
        <v>21</v>
      </c>
      <c r="X3275" s="35" t="str">
        <f>MID(Tabla1[[#This Row],[Aplicación]],14,6)</f>
        <v>212</v>
      </c>
    </row>
    <row r="3276" spans="1:24" x14ac:dyDescent="0.25">
      <c r="A3276" s="45">
        <v>220210022406</v>
      </c>
      <c r="B3276" s="46" t="s">
        <v>9</v>
      </c>
      <c r="C3276" s="47">
        <v>44330</v>
      </c>
      <c r="D3276" s="45">
        <v>22021004372</v>
      </c>
      <c r="E3276" s="46" t="s">
        <v>1328</v>
      </c>
      <c r="F3276" s="48">
        <v>14.98</v>
      </c>
      <c r="G3276" s="54" t="s">
        <v>87</v>
      </c>
      <c r="H3276" s="54" t="s">
        <v>4845</v>
      </c>
      <c r="I3276" s="53" t="s">
        <v>125</v>
      </c>
      <c r="J3276" s="54" t="s">
        <v>127</v>
      </c>
      <c r="K3276" s="54" t="s">
        <v>127</v>
      </c>
      <c r="L3276" s="54" t="s">
        <v>15</v>
      </c>
      <c r="M3276" s="54" t="s">
        <v>10</v>
      </c>
      <c r="N3276" s="54" t="s">
        <v>11</v>
      </c>
      <c r="O3276" s="49" t="s">
        <v>815</v>
      </c>
      <c r="P3276" s="54" t="s">
        <v>3392</v>
      </c>
      <c r="Q3276" s="35" t="str">
        <f>MID(Tabla1[[#This Row],[Aplicación]],14,1)</f>
        <v>2</v>
      </c>
      <c r="R3276" s="35" t="s">
        <v>495</v>
      </c>
      <c r="S3276" s="35" t="str">
        <f>MID(Tabla1[[#This Row],[Aplicación]],6,2)</f>
        <v>10</v>
      </c>
      <c r="T3276" s="35" t="str">
        <f>VLOOKUP(Tabla1[[#This Row],[AREA]],Hoja1!A:B,2,FALSE)</f>
        <v>10. Servicios sociales y mediación comunitaria</v>
      </c>
      <c r="U3276" s="35" t="str">
        <f>MID(Tabla1[[#This Row],[Aplicación]],9,4)</f>
        <v>2311</v>
      </c>
      <c r="V3276" s="35" t="str">
        <f>VLOOKUP(Tabla1[[#This Row],[PROGRAMA]],Hoja1!A:B,2,FALSE)</f>
        <v>2311. Intervención social</v>
      </c>
      <c r="W3276" s="35" t="str">
        <f>MID(Tabla1[[#This Row],[Aplicación]],14,2)</f>
        <v>21</v>
      </c>
      <c r="X3276" s="35" t="str">
        <f>MID(Tabla1[[#This Row],[Aplicación]],14,6)</f>
        <v>212</v>
      </c>
    </row>
    <row r="3277" spans="1:24" x14ac:dyDescent="0.25">
      <c r="A3277" s="45">
        <v>220210014576</v>
      </c>
      <c r="B3277" s="46" t="s">
        <v>9</v>
      </c>
      <c r="C3277" s="47">
        <v>44298</v>
      </c>
      <c r="D3277" s="45">
        <v>22021003578</v>
      </c>
      <c r="E3277" s="46" t="s">
        <v>2563</v>
      </c>
      <c r="F3277" s="48">
        <v>14.9</v>
      </c>
      <c r="G3277" s="54" t="s">
        <v>4438</v>
      </c>
      <c r="H3277" s="54" t="s">
        <v>4846</v>
      </c>
      <c r="I3277" s="53" t="s">
        <v>125</v>
      </c>
      <c r="J3277" s="54" t="s">
        <v>127</v>
      </c>
      <c r="K3277" s="54" t="s">
        <v>127</v>
      </c>
      <c r="L3277" s="54" t="s">
        <v>15</v>
      </c>
      <c r="M3277" s="54" t="s">
        <v>10</v>
      </c>
      <c r="N3277" s="54" t="s">
        <v>11</v>
      </c>
      <c r="O3277" s="49" t="s">
        <v>815</v>
      </c>
      <c r="P3277" s="54" t="s">
        <v>3392</v>
      </c>
      <c r="Q3277" s="35" t="str">
        <f>MID(Tabla1[[#This Row],[Aplicación]],14,1)</f>
        <v>2</v>
      </c>
      <c r="R3277" s="35" t="s">
        <v>495</v>
      </c>
      <c r="S3277" s="35" t="str">
        <f>MID(Tabla1[[#This Row],[Aplicación]],6,2)</f>
        <v>10</v>
      </c>
      <c r="T3277" s="35" t="str">
        <f>VLOOKUP(Tabla1[[#This Row],[AREA]],Hoja1!A:B,2,FALSE)</f>
        <v>10. Servicios sociales y mediación comunitaria</v>
      </c>
      <c r="U3277" s="35" t="str">
        <f>MID(Tabla1[[#This Row],[Aplicación]],9,4)</f>
        <v>2412</v>
      </c>
      <c r="V3277" s="35" t="str">
        <f>VLOOKUP(Tabla1[[#This Row],[PROGRAMA]],Hoja1!A:B,2,FALSE)</f>
        <v>2412. Formación para el empleo</v>
      </c>
      <c r="W3277" s="35" t="str">
        <f>MID(Tabla1[[#This Row],[Aplicación]],14,2)</f>
        <v>22</v>
      </c>
      <c r="X3277" s="35" t="str">
        <f>MID(Tabla1[[#This Row],[Aplicación]],14,6)</f>
        <v>22699</v>
      </c>
    </row>
    <row r="3278" spans="1:24" x14ac:dyDescent="0.25">
      <c r="A3278" s="45">
        <v>220210014576</v>
      </c>
      <c r="B3278" s="46" t="s">
        <v>9</v>
      </c>
      <c r="C3278" s="47">
        <v>44298</v>
      </c>
      <c r="D3278" s="45">
        <v>22021003579</v>
      </c>
      <c r="E3278" s="46" t="s">
        <v>2563</v>
      </c>
      <c r="F3278" s="48">
        <v>14.9</v>
      </c>
      <c r="G3278" s="54" t="s">
        <v>4438</v>
      </c>
      <c r="H3278" s="54" t="s">
        <v>4846</v>
      </c>
      <c r="I3278" s="53" t="s">
        <v>125</v>
      </c>
      <c r="J3278" s="54" t="s">
        <v>127</v>
      </c>
      <c r="K3278" s="54" t="s">
        <v>127</v>
      </c>
      <c r="L3278" s="54" t="s">
        <v>15</v>
      </c>
      <c r="M3278" s="54" t="s">
        <v>10</v>
      </c>
      <c r="N3278" s="54" t="s">
        <v>11</v>
      </c>
      <c r="O3278" s="49" t="s">
        <v>815</v>
      </c>
      <c r="P3278" s="54" t="s">
        <v>3392</v>
      </c>
      <c r="Q3278" s="35" t="str">
        <f>MID(Tabla1[[#This Row],[Aplicación]],14,1)</f>
        <v>2</v>
      </c>
      <c r="R3278" s="35" t="s">
        <v>495</v>
      </c>
      <c r="S3278" s="35" t="str">
        <f>MID(Tabla1[[#This Row],[Aplicación]],6,2)</f>
        <v>10</v>
      </c>
      <c r="T3278" s="35" t="str">
        <f>VLOOKUP(Tabla1[[#This Row],[AREA]],Hoja1!A:B,2,FALSE)</f>
        <v>10. Servicios sociales y mediación comunitaria</v>
      </c>
      <c r="U3278" s="35" t="str">
        <f>MID(Tabla1[[#This Row],[Aplicación]],9,4)</f>
        <v>2412</v>
      </c>
      <c r="V3278" s="35" t="str">
        <f>VLOOKUP(Tabla1[[#This Row],[PROGRAMA]],Hoja1!A:B,2,FALSE)</f>
        <v>2412. Formación para el empleo</v>
      </c>
      <c r="W3278" s="35" t="str">
        <f>MID(Tabla1[[#This Row],[Aplicación]],14,2)</f>
        <v>22</v>
      </c>
      <c r="X3278" s="35" t="str">
        <f>MID(Tabla1[[#This Row],[Aplicación]],14,6)</f>
        <v>22699</v>
      </c>
    </row>
    <row r="3279" spans="1:24" x14ac:dyDescent="0.25">
      <c r="A3279" s="45">
        <v>220210014576</v>
      </c>
      <c r="B3279" s="46" t="s">
        <v>9</v>
      </c>
      <c r="C3279" s="47">
        <v>44298</v>
      </c>
      <c r="D3279" s="45">
        <v>22021003580</v>
      </c>
      <c r="E3279" s="46" t="s">
        <v>2563</v>
      </c>
      <c r="F3279" s="48">
        <v>14.9</v>
      </c>
      <c r="G3279" s="54" t="s">
        <v>4438</v>
      </c>
      <c r="H3279" s="54" t="s">
        <v>4846</v>
      </c>
      <c r="I3279" s="53" t="s">
        <v>125</v>
      </c>
      <c r="J3279" s="54" t="s">
        <v>127</v>
      </c>
      <c r="K3279" s="54" t="s">
        <v>127</v>
      </c>
      <c r="L3279" s="54" t="s">
        <v>15</v>
      </c>
      <c r="M3279" s="54" t="s">
        <v>10</v>
      </c>
      <c r="N3279" s="54" t="s">
        <v>11</v>
      </c>
      <c r="O3279" s="49" t="s">
        <v>815</v>
      </c>
      <c r="P3279" s="54" t="s">
        <v>3392</v>
      </c>
      <c r="Q3279" s="35" t="str">
        <f>MID(Tabla1[[#This Row],[Aplicación]],14,1)</f>
        <v>2</v>
      </c>
      <c r="R3279" s="35" t="s">
        <v>495</v>
      </c>
      <c r="S3279" s="35" t="str">
        <f>MID(Tabla1[[#This Row],[Aplicación]],6,2)</f>
        <v>10</v>
      </c>
      <c r="T3279" s="35" t="str">
        <f>VLOOKUP(Tabla1[[#This Row],[AREA]],Hoja1!A:B,2,FALSE)</f>
        <v>10. Servicios sociales y mediación comunitaria</v>
      </c>
      <c r="U3279" s="35" t="str">
        <f>MID(Tabla1[[#This Row],[Aplicación]],9,4)</f>
        <v>2412</v>
      </c>
      <c r="V3279" s="35" t="str">
        <f>VLOOKUP(Tabla1[[#This Row],[PROGRAMA]],Hoja1!A:B,2,FALSE)</f>
        <v>2412. Formación para el empleo</v>
      </c>
      <c r="W3279" s="35" t="str">
        <f>MID(Tabla1[[#This Row],[Aplicación]],14,2)</f>
        <v>22</v>
      </c>
      <c r="X3279" s="35" t="str">
        <f>MID(Tabla1[[#This Row],[Aplicación]],14,6)</f>
        <v>22699</v>
      </c>
    </row>
    <row r="3280" spans="1:24" x14ac:dyDescent="0.25">
      <c r="A3280" s="45">
        <v>220210023304</v>
      </c>
      <c r="B3280" s="46" t="s">
        <v>204</v>
      </c>
      <c r="C3280" s="47">
        <v>44335</v>
      </c>
      <c r="D3280" s="45">
        <v>22021002227</v>
      </c>
      <c r="E3280" s="46" t="s">
        <v>1324</v>
      </c>
      <c r="F3280" s="48">
        <v>19.32</v>
      </c>
      <c r="G3280" s="54" t="s">
        <v>102</v>
      </c>
      <c r="H3280" s="54" t="s">
        <v>4847</v>
      </c>
      <c r="I3280" s="53" t="s">
        <v>205</v>
      </c>
      <c r="J3280" s="54" t="s">
        <v>127</v>
      </c>
      <c r="K3280" s="54" t="s">
        <v>127</v>
      </c>
      <c r="L3280" s="54" t="s">
        <v>15</v>
      </c>
      <c r="M3280" s="54" t="s">
        <v>13</v>
      </c>
      <c r="N3280" s="54" t="s">
        <v>14</v>
      </c>
      <c r="O3280" s="49" t="s">
        <v>814</v>
      </c>
      <c r="P3280" s="54" t="s">
        <v>3392</v>
      </c>
      <c r="Q3280" s="35" t="str">
        <f>MID(Tabla1[[#This Row],[Aplicación]],14,1)</f>
        <v>2</v>
      </c>
      <c r="R3280" s="35" t="s">
        <v>495</v>
      </c>
      <c r="S3280" s="35" t="str">
        <f>MID(Tabla1[[#This Row],[Aplicación]],6,2)</f>
        <v>06</v>
      </c>
      <c r="T3280" s="35" t="str">
        <f>VLOOKUP(Tabla1[[#This Row],[AREA]],Hoja1!A:B,2,FALSE)</f>
        <v>06. Educación, infancia, juventud e igualdad</v>
      </c>
      <c r="U3280" s="35" t="str">
        <f>MID(Tabla1[[#This Row],[Aplicación]],9,4)</f>
        <v>3321</v>
      </c>
      <c r="V3280" s="35" t="str">
        <f>VLOOKUP(Tabla1[[#This Row],[PROGRAMA]],Hoja1!A:B,2,FALSE)</f>
        <v>3321. Bibliotecas públicas</v>
      </c>
      <c r="W3280" s="35" t="str">
        <f>MID(Tabla1[[#This Row],[Aplicación]],14,2)</f>
        <v>21</v>
      </c>
      <c r="X3280" s="35" t="str">
        <f>MID(Tabla1[[#This Row],[Aplicación]],14,6)</f>
        <v>212</v>
      </c>
    </row>
    <row r="3281" spans="1:24" x14ac:dyDescent="0.25">
      <c r="A3281" s="45">
        <v>220210031733</v>
      </c>
      <c r="B3281" s="46" t="s">
        <v>204</v>
      </c>
      <c r="C3281" s="47">
        <v>44369</v>
      </c>
      <c r="D3281" s="45">
        <v>22021002371</v>
      </c>
      <c r="E3281" s="46" t="s">
        <v>1336</v>
      </c>
      <c r="F3281" s="48">
        <v>19.010000000000002</v>
      </c>
      <c r="G3281" s="54" t="s">
        <v>223</v>
      </c>
      <c r="H3281" s="54" t="s">
        <v>4848</v>
      </c>
      <c r="I3281" s="53" t="s">
        <v>205</v>
      </c>
      <c r="J3281" s="54" t="s">
        <v>127</v>
      </c>
      <c r="K3281" s="54" t="s">
        <v>127</v>
      </c>
      <c r="L3281" s="54" t="s">
        <v>15</v>
      </c>
      <c r="M3281" s="54" t="s">
        <v>13</v>
      </c>
      <c r="N3281" s="54" t="s">
        <v>14</v>
      </c>
      <c r="O3281" s="49" t="s">
        <v>814</v>
      </c>
      <c r="P3281" s="54" t="s">
        <v>3392</v>
      </c>
      <c r="Q3281" s="35" t="str">
        <f>MID(Tabla1[[#This Row],[Aplicación]],14,1)</f>
        <v>2</v>
      </c>
      <c r="R3281" s="35" t="s">
        <v>495</v>
      </c>
      <c r="S3281" s="35" t="str">
        <f>MID(Tabla1[[#This Row],[Aplicación]],6,2)</f>
        <v>02</v>
      </c>
      <c r="T3281" s="35" t="str">
        <f>VLOOKUP(Tabla1[[#This Row],[AREA]],Hoja1!A:B,2,FALSE)</f>
        <v>02. Planeamiento urbanístico y vivienda</v>
      </c>
      <c r="U3281" s="35" t="str">
        <f>MID(Tabla1[[#This Row],[Aplicación]],9,4)</f>
        <v>9332</v>
      </c>
      <c r="V3281" s="35" t="str">
        <f>VLOOKUP(Tabla1[[#This Row],[PROGRAMA]],Hoja1!A:B,2,FALSE)</f>
        <v>9332. Mantenimiento de edificios e instalaciones municipales</v>
      </c>
      <c r="W3281" s="35" t="str">
        <f>MID(Tabla1[[#This Row],[Aplicación]],14,2)</f>
        <v>21</v>
      </c>
      <c r="X3281" s="35" t="str">
        <f>MID(Tabla1[[#This Row],[Aplicación]],14,6)</f>
        <v>212</v>
      </c>
    </row>
    <row r="3282" spans="1:24" x14ac:dyDescent="0.25">
      <c r="A3282" s="45">
        <v>220210015903</v>
      </c>
      <c r="B3282" s="46" t="s">
        <v>204</v>
      </c>
      <c r="C3282" s="47">
        <v>44305</v>
      </c>
      <c r="D3282" s="45">
        <v>22021001181</v>
      </c>
      <c r="E3282" s="46" t="s">
        <v>873</v>
      </c>
      <c r="F3282" s="48">
        <v>18.73</v>
      </c>
      <c r="G3282" s="54" t="s">
        <v>257</v>
      </c>
      <c r="H3282" s="54" t="s">
        <v>4849</v>
      </c>
      <c r="I3282" s="53" t="s">
        <v>205</v>
      </c>
      <c r="J3282" s="54" t="s">
        <v>127</v>
      </c>
      <c r="K3282" s="54" t="s">
        <v>127</v>
      </c>
      <c r="L3282" s="54" t="s">
        <v>15</v>
      </c>
      <c r="M3282" s="54" t="s">
        <v>13</v>
      </c>
      <c r="N3282" s="54" t="s">
        <v>14</v>
      </c>
      <c r="O3282" s="49" t="s">
        <v>814</v>
      </c>
      <c r="P3282" s="54" t="s">
        <v>3392</v>
      </c>
      <c r="Q3282" s="35" t="str">
        <f>MID(Tabla1[[#This Row],[Aplicación]],14,1)</f>
        <v>2</v>
      </c>
      <c r="R3282" s="35" t="s">
        <v>495</v>
      </c>
      <c r="S3282" s="35" t="str">
        <f>MID(Tabla1[[#This Row],[Aplicación]],6,2)</f>
        <v>10</v>
      </c>
      <c r="T3282" s="35" t="str">
        <f>VLOOKUP(Tabla1[[#This Row],[AREA]],Hoja1!A:B,2,FALSE)</f>
        <v>10. Servicios sociales y mediación comunitaria</v>
      </c>
      <c r="U3282" s="35" t="str">
        <f>MID(Tabla1[[#This Row],[Aplicación]],9,4)</f>
        <v>2412</v>
      </c>
      <c r="V3282" s="35" t="str">
        <f>VLOOKUP(Tabla1[[#This Row],[PROGRAMA]],Hoja1!A:B,2,FALSE)</f>
        <v>2412. Formación para el empleo</v>
      </c>
      <c r="W3282" s="35" t="str">
        <f>MID(Tabla1[[#This Row],[Aplicación]],14,2)</f>
        <v>22</v>
      </c>
      <c r="X3282" s="35" t="str">
        <f>MID(Tabla1[[#This Row],[Aplicación]],14,6)</f>
        <v>22199</v>
      </c>
    </row>
    <row r="3283" spans="1:24" x14ac:dyDescent="0.25">
      <c r="A3283" s="45">
        <v>220210015903</v>
      </c>
      <c r="B3283" s="46" t="s">
        <v>204</v>
      </c>
      <c r="C3283" s="47">
        <v>44305</v>
      </c>
      <c r="D3283" s="45">
        <v>22021001182</v>
      </c>
      <c r="E3283" s="46" t="s">
        <v>873</v>
      </c>
      <c r="F3283" s="48">
        <v>18.72</v>
      </c>
      <c r="G3283" s="54" t="s">
        <v>257</v>
      </c>
      <c r="H3283" s="54" t="s">
        <v>4849</v>
      </c>
      <c r="I3283" s="53" t="s">
        <v>205</v>
      </c>
      <c r="J3283" s="54" t="s">
        <v>127</v>
      </c>
      <c r="K3283" s="54" t="s">
        <v>127</v>
      </c>
      <c r="L3283" s="54" t="s">
        <v>15</v>
      </c>
      <c r="M3283" s="54" t="s">
        <v>13</v>
      </c>
      <c r="N3283" s="54" t="s">
        <v>14</v>
      </c>
      <c r="O3283" s="49" t="s">
        <v>814</v>
      </c>
      <c r="P3283" s="54" t="s">
        <v>3392</v>
      </c>
      <c r="Q3283" s="35" t="str">
        <f>MID(Tabla1[[#This Row],[Aplicación]],14,1)</f>
        <v>2</v>
      </c>
      <c r="R3283" s="35" t="s">
        <v>495</v>
      </c>
      <c r="S3283" s="35" t="str">
        <f>MID(Tabla1[[#This Row],[Aplicación]],6,2)</f>
        <v>10</v>
      </c>
      <c r="T3283" s="35" t="str">
        <f>VLOOKUP(Tabla1[[#This Row],[AREA]],Hoja1!A:B,2,FALSE)</f>
        <v>10. Servicios sociales y mediación comunitaria</v>
      </c>
      <c r="U3283" s="35" t="str">
        <f>MID(Tabla1[[#This Row],[Aplicación]],9,4)</f>
        <v>2412</v>
      </c>
      <c r="V3283" s="35" t="str">
        <f>VLOOKUP(Tabla1[[#This Row],[PROGRAMA]],Hoja1!A:B,2,FALSE)</f>
        <v>2412. Formación para el empleo</v>
      </c>
      <c r="W3283" s="35" t="str">
        <f>MID(Tabla1[[#This Row],[Aplicación]],14,2)</f>
        <v>22</v>
      </c>
      <c r="X3283" s="35" t="str">
        <f>MID(Tabla1[[#This Row],[Aplicación]],14,6)</f>
        <v>22199</v>
      </c>
    </row>
    <row r="3284" spans="1:24" x14ac:dyDescent="0.25">
      <c r="A3284" s="45">
        <v>220210024713</v>
      </c>
      <c r="B3284" s="46" t="s">
        <v>32</v>
      </c>
      <c r="C3284" s="47">
        <v>44340</v>
      </c>
      <c r="D3284" s="45">
        <v>22021004412</v>
      </c>
      <c r="E3284" s="46" t="s">
        <v>3378</v>
      </c>
      <c r="F3284" s="48">
        <v>12.6</v>
      </c>
      <c r="G3284" s="54" t="s">
        <v>247</v>
      </c>
      <c r="H3284" s="54" t="s">
        <v>4850</v>
      </c>
      <c r="I3284" s="53" t="s">
        <v>234</v>
      </c>
      <c r="J3284" s="54" t="s">
        <v>127</v>
      </c>
      <c r="K3284" s="54" t="s">
        <v>127</v>
      </c>
      <c r="L3284" s="54" t="s">
        <v>12</v>
      </c>
      <c r="M3284" s="54" t="s">
        <v>10</v>
      </c>
      <c r="N3284" s="54" t="s">
        <v>11</v>
      </c>
      <c r="O3284" s="49" t="s">
        <v>815</v>
      </c>
      <c r="P3284" s="54" t="s">
        <v>3392</v>
      </c>
      <c r="Q3284" s="35" t="str">
        <f>MID(Tabla1[[#This Row],[Aplicación]],14,1)</f>
        <v>2</v>
      </c>
      <c r="R3284" s="35" t="s">
        <v>495</v>
      </c>
      <c r="S3284" s="35" t="str">
        <f>MID(Tabla1[[#This Row],[Aplicación]],6,2)</f>
        <v>09</v>
      </c>
      <c r="T3284" s="35" t="str">
        <f>VLOOKUP(Tabla1[[#This Row],[AREA]],Hoja1!A:B,2,FALSE)</f>
        <v>09. Cultura y turismo</v>
      </c>
      <c r="U3284" s="35" t="str">
        <f>MID(Tabla1[[#This Row],[Aplicación]],9,4)</f>
        <v>3301</v>
      </c>
      <c r="V3284" s="35" t="str">
        <f>VLOOKUP(Tabla1[[#This Row],[PROGRAMA]],Hoja1!A:B,2,FALSE)</f>
        <v>3301. Dirección del área de cultura</v>
      </c>
      <c r="W3284" s="35" t="str">
        <f>MID(Tabla1[[#This Row],[Aplicación]],14,2)</f>
        <v>22</v>
      </c>
      <c r="X3284" s="35" t="str">
        <f>MID(Tabla1[[#This Row],[Aplicación]],14,6)</f>
        <v>22699</v>
      </c>
    </row>
    <row r="3285" spans="1:24" x14ac:dyDescent="0.25">
      <c r="A3285" s="45">
        <v>220210015903</v>
      </c>
      <c r="B3285" s="46" t="s">
        <v>204</v>
      </c>
      <c r="C3285" s="47">
        <v>44305</v>
      </c>
      <c r="D3285" s="45">
        <v>22021001183</v>
      </c>
      <c r="E3285" s="46" t="s">
        <v>873</v>
      </c>
      <c r="F3285" s="48">
        <v>18.72</v>
      </c>
      <c r="G3285" s="54" t="s">
        <v>257</v>
      </c>
      <c r="H3285" s="54" t="s">
        <v>4849</v>
      </c>
      <c r="I3285" s="53" t="s">
        <v>205</v>
      </c>
      <c r="J3285" s="54" t="s">
        <v>127</v>
      </c>
      <c r="K3285" s="54" t="s">
        <v>127</v>
      </c>
      <c r="L3285" s="54" t="s">
        <v>15</v>
      </c>
      <c r="M3285" s="54" t="s">
        <v>13</v>
      </c>
      <c r="N3285" s="54" t="s">
        <v>14</v>
      </c>
      <c r="O3285" s="49" t="s">
        <v>814</v>
      </c>
      <c r="P3285" s="54" t="s">
        <v>3392</v>
      </c>
      <c r="Q3285" s="35" t="str">
        <f>MID(Tabla1[[#This Row],[Aplicación]],14,1)</f>
        <v>2</v>
      </c>
      <c r="R3285" s="35" t="s">
        <v>495</v>
      </c>
      <c r="S3285" s="35" t="str">
        <f>MID(Tabla1[[#This Row],[Aplicación]],6,2)</f>
        <v>10</v>
      </c>
      <c r="T3285" s="35" t="str">
        <f>VLOOKUP(Tabla1[[#This Row],[AREA]],Hoja1!A:B,2,FALSE)</f>
        <v>10. Servicios sociales y mediación comunitaria</v>
      </c>
      <c r="U3285" s="35" t="str">
        <f>MID(Tabla1[[#This Row],[Aplicación]],9,4)</f>
        <v>2412</v>
      </c>
      <c r="V3285" s="35" t="str">
        <f>VLOOKUP(Tabla1[[#This Row],[PROGRAMA]],Hoja1!A:B,2,FALSE)</f>
        <v>2412. Formación para el empleo</v>
      </c>
      <c r="W3285" s="35" t="str">
        <f>MID(Tabla1[[#This Row],[Aplicación]],14,2)</f>
        <v>22</v>
      </c>
      <c r="X3285" s="35" t="str">
        <f>MID(Tabla1[[#This Row],[Aplicación]],14,6)</f>
        <v>22199</v>
      </c>
    </row>
    <row r="3286" spans="1:24" x14ac:dyDescent="0.25">
      <c r="A3286" s="45">
        <v>220210014711</v>
      </c>
      <c r="B3286" s="46" t="s">
        <v>204</v>
      </c>
      <c r="C3286" s="47">
        <v>44299</v>
      </c>
      <c r="D3286" s="45">
        <v>22021001038</v>
      </c>
      <c r="E3286" s="46" t="s">
        <v>844</v>
      </c>
      <c r="F3286" s="48">
        <v>18.600000000000001</v>
      </c>
      <c r="G3286" s="54" t="s">
        <v>238</v>
      </c>
      <c r="H3286" s="54" t="s">
        <v>4851</v>
      </c>
      <c r="I3286" s="53" t="s">
        <v>205</v>
      </c>
      <c r="J3286" s="54" t="s">
        <v>127</v>
      </c>
      <c r="K3286" s="54" t="s">
        <v>127</v>
      </c>
      <c r="L3286" s="54" t="s">
        <v>15</v>
      </c>
      <c r="M3286" s="54" t="s">
        <v>13</v>
      </c>
      <c r="N3286" s="54" t="s">
        <v>14</v>
      </c>
      <c r="O3286" s="49" t="s">
        <v>814</v>
      </c>
      <c r="P3286" s="54" t="s">
        <v>3392</v>
      </c>
      <c r="Q3286" s="35" t="str">
        <f>MID(Tabla1[[#This Row],[Aplicación]],14,1)</f>
        <v>2</v>
      </c>
      <c r="R3286" s="35" t="s">
        <v>495</v>
      </c>
      <c r="S3286" s="35" t="str">
        <f>MID(Tabla1[[#This Row],[Aplicación]],6,2)</f>
        <v>10</v>
      </c>
      <c r="T3286" s="35" t="str">
        <f>VLOOKUP(Tabla1[[#This Row],[AREA]],Hoja1!A:B,2,FALSE)</f>
        <v>10. Servicios sociales y mediación comunitaria</v>
      </c>
      <c r="U3286" s="35" t="str">
        <f>MID(Tabla1[[#This Row],[Aplicación]],9,4)</f>
        <v>2312</v>
      </c>
      <c r="V3286" s="35" t="str">
        <f>VLOOKUP(Tabla1[[#This Row],[PROGRAMA]],Hoja1!A:B,2,FALSE)</f>
        <v>2312. Iniciativas sociales</v>
      </c>
      <c r="W3286" s="35" t="str">
        <f>MID(Tabla1[[#This Row],[Aplicación]],14,2)</f>
        <v>21</v>
      </c>
      <c r="X3286" s="35" t="str">
        <f>MID(Tabla1[[#This Row],[Aplicación]],14,6)</f>
        <v>212</v>
      </c>
    </row>
    <row r="3287" spans="1:24" x14ac:dyDescent="0.25">
      <c r="A3287" s="45">
        <v>220210016835</v>
      </c>
      <c r="B3287" s="46" t="s">
        <v>204</v>
      </c>
      <c r="C3287" s="47">
        <v>44308</v>
      </c>
      <c r="D3287" s="45">
        <v>22021002369</v>
      </c>
      <c r="E3287" s="46" t="s">
        <v>1336</v>
      </c>
      <c r="F3287" s="48">
        <v>18.3</v>
      </c>
      <c r="G3287" s="54" t="s">
        <v>277</v>
      </c>
      <c r="H3287" s="54" t="s">
        <v>4852</v>
      </c>
      <c r="I3287" s="53" t="s">
        <v>205</v>
      </c>
      <c r="J3287" s="54" t="s">
        <v>127</v>
      </c>
      <c r="K3287" s="54" t="s">
        <v>127</v>
      </c>
      <c r="L3287" s="54" t="s">
        <v>15</v>
      </c>
      <c r="M3287" s="54" t="s">
        <v>13</v>
      </c>
      <c r="N3287" s="54" t="s">
        <v>14</v>
      </c>
      <c r="O3287" s="49" t="s">
        <v>814</v>
      </c>
      <c r="P3287" s="54" t="s">
        <v>3392</v>
      </c>
      <c r="Q3287" s="35" t="str">
        <f>MID(Tabla1[[#This Row],[Aplicación]],14,1)</f>
        <v>2</v>
      </c>
      <c r="R3287" s="35" t="s">
        <v>495</v>
      </c>
      <c r="S3287" s="35" t="str">
        <f>MID(Tabla1[[#This Row],[Aplicación]],6,2)</f>
        <v>02</v>
      </c>
      <c r="T3287" s="35" t="str">
        <f>VLOOKUP(Tabla1[[#This Row],[AREA]],Hoja1!A:B,2,FALSE)</f>
        <v>02. Planeamiento urbanístico y vivienda</v>
      </c>
      <c r="U3287" s="35" t="str">
        <f>MID(Tabla1[[#This Row],[Aplicación]],9,4)</f>
        <v>9332</v>
      </c>
      <c r="V3287" s="35" t="str">
        <f>VLOOKUP(Tabla1[[#This Row],[PROGRAMA]],Hoja1!A:B,2,FALSE)</f>
        <v>9332. Mantenimiento de edificios e instalaciones municipales</v>
      </c>
      <c r="W3287" s="35" t="str">
        <f>MID(Tabla1[[#This Row],[Aplicación]],14,2)</f>
        <v>21</v>
      </c>
      <c r="X3287" s="35" t="str">
        <f>MID(Tabla1[[#This Row],[Aplicación]],14,6)</f>
        <v>212</v>
      </c>
    </row>
    <row r="3288" spans="1:24" x14ac:dyDescent="0.25">
      <c r="A3288" s="45">
        <v>220210030387</v>
      </c>
      <c r="B3288" s="46" t="s">
        <v>204</v>
      </c>
      <c r="C3288" s="47">
        <v>44358</v>
      </c>
      <c r="D3288" s="45">
        <v>22021001038</v>
      </c>
      <c r="E3288" s="46" t="s">
        <v>844</v>
      </c>
      <c r="F3288" s="48">
        <v>18.12</v>
      </c>
      <c r="G3288" s="54" t="s">
        <v>150</v>
      </c>
      <c r="H3288" s="54" t="s">
        <v>4606</v>
      </c>
      <c r="I3288" s="53" t="s">
        <v>205</v>
      </c>
      <c r="J3288" s="54" t="s">
        <v>146</v>
      </c>
      <c r="K3288" s="54" t="s">
        <v>146</v>
      </c>
      <c r="L3288" s="54" t="s">
        <v>15</v>
      </c>
      <c r="M3288" s="54" t="s">
        <v>13</v>
      </c>
      <c r="N3288" s="54" t="s">
        <v>14</v>
      </c>
      <c r="O3288" s="49" t="s">
        <v>814</v>
      </c>
      <c r="P3288" s="54" t="s">
        <v>3392</v>
      </c>
      <c r="Q3288" s="35" t="str">
        <f>MID(Tabla1[[#This Row],[Aplicación]],14,1)</f>
        <v>2</v>
      </c>
      <c r="R3288" s="35" t="s">
        <v>495</v>
      </c>
      <c r="S3288" s="35" t="str">
        <f>MID(Tabla1[[#This Row],[Aplicación]],6,2)</f>
        <v>10</v>
      </c>
      <c r="T3288" s="35" t="str">
        <f>VLOOKUP(Tabla1[[#This Row],[AREA]],Hoja1!A:B,2,FALSE)</f>
        <v>10. Servicios sociales y mediación comunitaria</v>
      </c>
      <c r="U3288" s="35" t="str">
        <f>MID(Tabla1[[#This Row],[Aplicación]],9,4)</f>
        <v>2312</v>
      </c>
      <c r="V3288" s="35" t="str">
        <f>VLOOKUP(Tabla1[[#This Row],[PROGRAMA]],Hoja1!A:B,2,FALSE)</f>
        <v>2312. Iniciativas sociales</v>
      </c>
      <c r="W3288" s="35" t="str">
        <f>MID(Tabla1[[#This Row],[Aplicación]],14,2)</f>
        <v>21</v>
      </c>
      <c r="X3288" s="35" t="str">
        <f>MID(Tabla1[[#This Row],[Aplicación]],14,6)</f>
        <v>212</v>
      </c>
    </row>
    <row r="3289" spans="1:24" x14ac:dyDescent="0.25">
      <c r="A3289" s="45">
        <v>220210022798</v>
      </c>
      <c r="B3289" s="46" t="s">
        <v>9</v>
      </c>
      <c r="C3289" s="47">
        <v>44333</v>
      </c>
      <c r="D3289" s="45">
        <v>22021004410</v>
      </c>
      <c r="E3289" s="46" t="s">
        <v>1564</v>
      </c>
      <c r="F3289" s="48">
        <v>11.16</v>
      </c>
      <c r="G3289" s="54" t="s">
        <v>2598</v>
      </c>
      <c r="H3289" s="54" t="s">
        <v>4853</v>
      </c>
      <c r="I3289" s="53" t="s">
        <v>125</v>
      </c>
      <c r="J3289" s="54" t="s">
        <v>2600</v>
      </c>
      <c r="K3289" s="54" t="s">
        <v>180</v>
      </c>
      <c r="L3289" s="54" t="s">
        <v>15</v>
      </c>
      <c r="M3289" s="54" t="s">
        <v>10</v>
      </c>
      <c r="N3289" s="54" t="s">
        <v>11</v>
      </c>
      <c r="O3289" s="49" t="s">
        <v>815</v>
      </c>
      <c r="P3289" s="54" t="s">
        <v>3392</v>
      </c>
      <c r="Q3289" s="35" t="str">
        <f>MID(Tabla1[[#This Row],[Aplicación]],14,1)</f>
        <v>2</v>
      </c>
      <c r="R3289" s="35" t="s">
        <v>495</v>
      </c>
      <c r="S3289" s="35" t="str">
        <f>MID(Tabla1[[#This Row],[Aplicación]],6,2)</f>
        <v>08</v>
      </c>
      <c r="T3289" s="35" t="str">
        <f>VLOOKUP(Tabla1[[#This Row],[AREA]],Hoja1!A:B,2,FALSE)</f>
        <v>08. Movilidad y espacio urbano</v>
      </c>
      <c r="U3289" s="35" t="str">
        <f>MID(Tabla1[[#This Row],[Aplicación]],9,4)</f>
        <v>1532</v>
      </c>
      <c r="V3289" s="35" t="str">
        <f>VLOOKUP(Tabla1[[#This Row],[PROGRAMA]],Hoja1!A:B,2,FALSE)</f>
        <v>1532. Pavimentación vias públicas y otros servicios urbanísticos</v>
      </c>
      <c r="W3289" s="35" t="str">
        <f>MID(Tabla1[[#This Row],[Aplicación]],14,2)</f>
        <v>22</v>
      </c>
      <c r="X3289" s="35" t="str">
        <f>MID(Tabla1[[#This Row],[Aplicación]],14,6)</f>
        <v>22103</v>
      </c>
    </row>
    <row r="3290" spans="1:24" x14ac:dyDescent="0.25">
      <c r="A3290" s="45">
        <v>220210015502</v>
      </c>
      <c r="B3290" s="46" t="s">
        <v>9</v>
      </c>
      <c r="C3290" s="47">
        <v>44300</v>
      </c>
      <c r="D3290" s="45">
        <v>22021003817</v>
      </c>
      <c r="E3290" s="46" t="s">
        <v>1380</v>
      </c>
      <c r="F3290" s="48">
        <v>10.94</v>
      </c>
      <c r="G3290" s="54" t="s">
        <v>4810</v>
      </c>
      <c r="H3290" s="54" t="s">
        <v>4854</v>
      </c>
      <c r="I3290" s="53" t="s">
        <v>125</v>
      </c>
      <c r="J3290" s="54" t="s">
        <v>148</v>
      </c>
      <c r="K3290" s="54" t="s">
        <v>4812</v>
      </c>
      <c r="L3290" s="54" t="s">
        <v>12</v>
      </c>
      <c r="M3290" s="54" t="s">
        <v>10</v>
      </c>
      <c r="N3290" s="54" t="s">
        <v>11</v>
      </c>
      <c r="O3290" s="49" t="s">
        <v>815</v>
      </c>
      <c r="P3290" s="54" t="s">
        <v>3392</v>
      </c>
      <c r="Q3290" s="35" t="str">
        <f>MID(Tabla1[[#This Row],[Aplicación]],14,1)</f>
        <v>2</v>
      </c>
      <c r="R3290" s="35" t="s">
        <v>495</v>
      </c>
      <c r="S3290" s="35" t="str">
        <f>MID(Tabla1[[#This Row],[Aplicación]],6,2)</f>
        <v>03</v>
      </c>
      <c r="T3290" s="35" t="str">
        <f>VLOOKUP(Tabla1[[#This Row],[AREA]],Hoja1!A:B,2,FALSE)</f>
        <v>03. Participación ciudadana y deportes</v>
      </c>
      <c r="U3290" s="35" t="str">
        <f>MID(Tabla1[[#This Row],[Aplicación]],9,4)</f>
        <v>9241</v>
      </c>
      <c r="V3290" s="35" t="str">
        <f>VLOOKUP(Tabla1[[#This Row],[PROGRAMA]],Hoja1!A:B,2,FALSE)</f>
        <v>9241. Participación ciudadana</v>
      </c>
      <c r="W3290" s="35" t="str">
        <f>MID(Tabla1[[#This Row],[Aplicación]],14,2)</f>
        <v>22</v>
      </c>
      <c r="X3290" s="35" t="str">
        <f>MID(Tabla1[[#This Row],[Aplicación]],14,6)</f>
        <v>22699</v>
      </c>
    </row>
    <row r="3291" spans="1:24" x14ac:dyDescent="0.25">
      <c r="A3291" s="45">
        <v>220210025559</v>
      </c>
      <c r="B3291" s="46" t="s">
        <v>9</v>
      </c>
      <c r="C3291" s="47">
        <v>44342</v>
      </c>
      <c r="D3291" s="45">
        <v>22021004498</v>
      </c>
      <c r="E3291" s="46" t="s">
        <v>3390</v>
      </c>
      <c r="F3291" s="48">
        <v>10.93</v>
      </c>
      <c r="G3291" s="54" t="s">
        <v>1576</v>
      </c>
      <c r="H3291" s="54" t="s">
        <v>4855</v>
      </c>
      <c r="I3291" s="53" t="s">
        <v>125</v>
      </c>
      <c r="J3291" s="54" t="s">
        <v>127</v>
      </c>
      <c r="K3291" s="54" t="s">
        <v>127</v>
      </c>
      <c r="L3291" s="54" t="s">
        <v>15</v>
      </c>
      <c r="M3291" s="54" t="s">
        <v>10</v>
      </c>
      <c r="N3291" s="54" t="s">
        <v>11</v>
      </c>
      <c r="O3291" s="49" t="s">
        <v>815</v>
      </c>
      <c r="P3291" s="54" t="s">
        <v>3392</v>
      </c>
      <c r="Q3291" s="35" t="str">
        <f>MID(Tabla1[[#This Row],[Aplicación]],14,1)</f>
        <v>2</v>
      </c>
      <c r="R3291" s="35" t="s">
        <v>495</v>
      </c>
      <c r="S3291" s="35" t="str">
        <f>MID(Tabla1[[#This Row],[Aplicación]],6,2)</f>
        <v>10</v>
      </c>
      <c r="T3291" s="35" t="str">
        <f>VLOOKUP(Tabla1[[#This Row],[AREA]],Hoja1!A:B,2,FALSE)</f>
        <v>10. Servicios sociales y mediación comunitaria</v>
      </c>
      <c r="U3291" s="35" t="str">
        <f>MID(Tabla1[[#This Row],[Aplicación]],9,4)</f>
        <v>2312</v>
      </c>
      <c r="V3291" s="35" t="str">
        <f>VLOOKUP(Tabla1[[#This Row],[PROGRAMA]],Hoja1!A:B,2,FALSE)</f>
        <v>2312. Iniciativas sociales</v>
      </c>
      <c r="W3291" s="35" t="str">
        <f>MID(Tabla1[[#This Row],[Aplicación]],14,2)</f>
        <v>22</v>
      </c>
      <c r="X3291" s="35" t="str">
        <f>MID(Tabla1[[#This Row],[Aplicación]],14,6)</f>
        <v>22612</v>
      </c>
    </row>
    <row r="3292" spans="1:24" x14ac:dyDescent="0.25">
      <c r="A3292" s="45">
        <v>220210023366</v>
      </c>
      <c r="B3292" s="46" t="s">
        <v>204</v>
      </c>
      <c r="C3292" s="47">
        <v>44335</v>
      </c>
      <c r="D3292" s="45">
        <v>22021001183</v>
      </c>
      <c r="E3292" s="46" t="s">
        <v>873</v>
      </c>
      <c r="F3292" s="48">
        <v>18.09</v>
      </c>
      <c r="G3292" s="54" t="s">
        <v>257</v>
      </c>
      <c r="H3292" s="54" t="s">
        <v>4856</v>
      </c>
      <c r="I3292" s="53" t="s">
        <v>205</v>
      </c>
      <c r="J3292" s="54" t="s">
        <v>127</v>
      </c>
      <c r="K3292" s="54" t="s">
        <v>127</v>
      </c>
      <c r="L3292" s="54" t="s">
        <v>15</v>
      </c>
      <c r="M3292" s="54" t="s">
        <v>13</v>
      </c>
      <c r="N3292" s="54" t="s">
        <v>14</v>
      </c>
      <c r="O3292" s="49" t="s">
        <v>814</v>
      </c>
      <c r="P3292" s="54" t="s">
        <v>3392</v>
      </c>
      <c r="Q3292" s="35" t="str">
        <f>MID(Tabla1[[#This Row],[Aplicación]],14,1)</f>
        <v>2</v>
      </c>
      <c r="R3292" s="35" t="s">
        <v>495</v>
      </c>
      <c r="S3292" s="35" t="str">
        <f>MID(Tabla1[[#This Row],[Aplicación]],6,2)</f>
        <v>10</v>
      </c>
      <c r="T3292" s="35" t="str">
        <f>VLOOKUP(Tabla1[[#This Row],[AREA]],Hoja1!A:B,2,FALSE)</f>
        <v>10. Servicios sociales y mediación comunitaria</v>
      </c>
      <c r="U3292" s="35" t="str">
        <f>MID(Tabla1[[#This Row],[Aplicación]],9,4)</f>
        <v>2412</v>
      </c>
      <c r="V3292" s="35" t="str">
        <f>VLOOKUP(Tabla1[[#This Row],[PROGRAMA]],Hoja1!A:B,2,FALSE)</f>
        <v>2412. Formación para el empleo</v>
      </c>
      <c r="W3292" s="35" t="str">
        <f>MID(Tabla1[[#This Row],[Aplicación]],14,2)</f>
        <v>22</v>
      </c>
      <c r="X3292" s="35" t="str">
        <f>MID(Tabla1[[#This Row],[Aplicación]],14,6)</f>
        <v>22199</v>
      </c>
    </row>
    <row r="3293" spans="1:24" x14ac:dyDescent="0.25">
      <c r="A3293" s="45">
        <v>220210018894</v>
      </c>
      <c r="B3293" s="46" t="s">
        <v>204</v>
      </c>
      <c r="C3293" s="47">
        <v>44314</v>
      </c>
      <c r="D3293" s="45">
        <v>22021002052</v>
      </c>
      <c r="E3293" s="46" t="s">
        <v>1340</v>
      </c>
      <c r="F3293" s="48">
        <v>17.940000000000001</v>
      </c>
      <c r="G3293" s="54" t="s">
        <v>102</v>
      </c>
      <c r="H3293" s="54" t="s">
        <v>4857</v>
      </c>
      <c r="I3293" s="53" t="s">
        <v>205</v>
      </c>
      <c r="J3293" s="54" t="s">
        <v>127</v>
      </c>
      <c r="K3293" s="54" t="s">
        <v>127</v>
      </c>
      <c r="L3293" s="54" t="s">
        <v>15</v>
      </c>
      <c r="M3293" s="54" t="s">
        <v>13</v>
      </c>
      <c r="N3293" s="54" t="s">
        <v>14</v>
      </c>
      <c r="O3293" s="49" t="s">
        <v>814</v>
      </c>
      <c r="P3293" s="54" t="s">
        <v>3392</v>
      </c>
      <c r="Q3293" s="35" t="str">
        <f>MID(Tabla1[[#This Row],[Aplicación]],14,1)</f>
        <v>2</v>
      </c>
      <c r="R3293" s="35" t="s">
        <v>495</v>
      </c>
      <c r="S3293" s="35" t="str">
        <f>MID(Tabla1[[#This Row],[Aplicación]],6,2)</f>
        <v>11</v>
      </c>
      <c r="T3293" s="35" t="str">
        <f>VLOOKUP(Tabla1[[#This Row],[AREA]],Hoja1!A:B,2,FALSE)</f>
        <v>11. Salud pública y seguridad ciudadana</v>
      </c>
      <c r="U3293" s="35" t="str">
        <f>MID(Tabla1[[#This Row],[Aplicación]],9,4)</f>
        <v>1621</v>
      </c>
      <c r="V3293" s="35" t="str">
        <f>VLOOKUP(Tabla1[[#This Row],[PROGRAMA]],Hoja1!A:B,2,FALSE)</f>
        <v>1621. Servicio de limpieza</v>
      </c>
      <c r="W3293" s="35" t="str">
        <f>MID(Tabla1[[#This Row],[Aplicación]],14,2)</f>
        <v>22</v>
      </c>
      <c r="X3293" s="35" t="str">
        <f>MID(Tabla1[[#This Row],[Aplicación]],14,6)</f>
        <v>22199</v>
      </c>
    </row>
    <row r="3294" spans="1:24" x14ac:dyDescent="0.25">
      <c r="A3294" s="45">
        <v>220210032771</v>
      </c>
      <c r="B3294" s="46" t="s">
        <v>204</v>
      </c>
      <c r="C3294" s="47">
        <v>44371</v>
      </c>
      <c r="D3294" s="45">
        <v>22021002374</v>
      </c>
      <c r="E3294" s="46" t="s">
        <v>1336</v>
      </c>
      <c r="F3294" s="48">
        <v>17.649999999999999</v>
      </c>
      <c r="G3294" s="54" t="s">
        <v>238</v>
      </c>
      <c r="H3294" s="54" t="s">
        <v>4858</v>
      </c>
      <c r="I3294" s="53" t="s">
        <v>205</v>
      </c>
      <c r="J3294" s="54" t="s">
        <v>127</v>
      </c>
      <c r="K3294" s="54" t="s">
        <v>127</v>
      </c>
      <c r="L3294" s="54" t="s">
        <v>15</v>
      </c>
      <c r="M3294" s="54" t="s">
        <v>13</v>
      </c>
      <c r="N3294" s="54" t="s">
        <v>14</v>
      </c>
      <c r="O3294" s="49" t="s">
        <v>814</v>
      </c>
      <c r="P3294" s="54" t="s">
        <v>3392</v>
      </c>
      <c r="Q3294" s="35" t="str">
        <f>MID(Tabla1[[#This Row],[Aplicación]],14,1)</f>
        <v>2</v>
      </c>
      <c r="R3294" s="35" t="s">
        <v>495</v>
      </c>
      <c r="S3294" s="35" t="str">
        <f>MID(Tabla1[[#This Row],[Aplicación]],6,2)</f>
        <v>02</v>
      </c>
      <c r="T3294" s="35" t="str">
        <f>VLOOKUP(Tabla1[[#This Row],[AREA]],Hoja1!A:B,2,FALSE)</f>
        <v>02. Planeamiento urbanístico y vivienda</v>
      </c>
      <c r="U3294" s="35" t="str">
        <f>MID(Tabla1[[#This Row],[Aplicación]],9,4)</f>
        <v>9332</v>
      </c>
      <c r="V3294" s="35" t="str">
        <f>VLOOKUP(Tabla1[[#This Row],[PROGRAMA]],Hoja1!A:B,2,FALSE)</f>
        <v>9332. Mantenimiento de edificios e instalaciones municipales</v>
      </c>
      <c r="W3294" s="35" t="str">
        <f>MID(Tabla1[[#This Row],[Aplicación]],14,2)</f>
        <v>21</v>
      </c>
      <c r="X3294" s="35" t="str">
        <f>MID(Tabla1[[#This Row],[Aplicación]],14,6)</f>
        <v>212</v>
      </c>
    </row>
    <row r="3295" spans="1:24" x14ac:dyDescent="0.25">
      <c r="A3295" s="45">
        <v>220210020667</v>
      </c>
      <c r="B3295" s="46" t="s">
        <v>204</v>
      </c>
      <c r="C3295" s="47">
        <v>44323</v>
      </c>
      <c r="D3295" s="45">
        <v>22021002378</v>
      </c>
      <c r="E3295" s="46" t="s">
        <v>1228</v>
      </c>
      <c r="F3295" s="48">
        <v>16.649999999999999</v>
      </c>
      <c r="G3295" s="54" t="s">
        <v>4449</v>
      </c>
      <c r="H3295" s="54" t="s">
        <v>4859</v>
      </c>
      <c r="I3295" s="53" t="s">
        <v>205</v>
      </c>
      <c r="J3295" s="54" t="s">
        <v>127</v>
      </c>
      <c r="K3295" s="54" t="s">
        <v>127</v>
      </c>
      <c r="L3295" s="54" t="s">
        <v>15</v>
      </c>
      <c r="M3295" s="54" t="s">
        <v>13</v>
      </c>
      <c r="N3295" s="54" t="s">
        <v>14</v>
      </c>
      <c r="O3295" s="49" t="s">
        <v>814</v>
      </c>
      <c r="P3295" s="54" t="s">
        <v>3392</v>
      </c>
      <c r="Q3295" s="35" t="str">
        <f>MID(Tabla1[[#This Row],[Aplicación]],14,1)</f>
        <v>2</v>
      </c>
      <c r="R3295" s="35" t="s">
        <v>495</v>
      </c>
      <c r="S3295" s="35" t="str">
        <f>MID(Tabla1[[#This Row],[Aplicación]],6,2)</f>
        <v>02</v>
      </c>
      <c r="T3295" s="35" t="str">
        <f>VLOOKUP(Tabla1[[#This Row],[AREA]],Hoja1!A:B,2,FALSE)</f>
        <v>02. Planeamiento urbanístico y vivienda</v>
      </c>
      <c r="U3295" s="35" t="str">
        <f>MID(Tabla1[[#This Row],[Aplicación]],9,4)</f>
        <v>9332</v>
      </c>
      <c r="V3295" s="35" t="str">
        <f>VLOOKUP(Tabla1[[#This Row],[PROGRAMA]],Hoja1!A:B,2,FALSE)</f>
        <v>9332. Mantenimiento de edificios e instalaciones municipales</v>
      </c>
      <c r="W3295" s="35" t="str">
        <f>MID(Tabla1[[#This Row],[Aplicación]],14,2)</f>
        <v>21</v>
      </c>
      <c r="X3295" s="35" t="str">
        <f>MID(Tabla1[[#This Row],[Aplicación]],14,6)</f>
        <v>214</v>
      </c>
    </row>
    <row r="3296" spans="1:24" x14ac:dyDescent="0.25">
      <c r="A3296" s="45">
        <v>220210016829</v>
      </c>
      <c r="B3296" s="46" t="s">
        <v>204</v>
      </c>
      <c r="C3296" s="47">
        <v>44308</v>
      </c>
      <c r="D3296" s="45">
        <v>22021002374</v>
      </c>
      <c r="E3296" s="46" t="s">
        <v>1336</v>
      </c>
      <c r="F3296" s="48">
        <v>16.440000000000001</v>
      </c>
      <c r="G3296" s="54" t="s">
        <v>238</v>
      </c>
      <c r="H3296" s="54" t="s">
        <v>4860</v>
      </c>
      <c r="I3296" s="53" t="s">
        <v>205</v>
      </c>
      <c r="J3296" s="54" t="s">
        <v>127</v>
      </c>
      <c r="K3296" s="54" t="s">
        <v>127</v>
      </c>
      <c r="L3296" s="54" t="s">
        <v>15</v>
      </c>
      <c r="M3296" s="54" t="s">
        <v>13</v>
      </c>
      <c r="N3296" s="54" t="s">
        <v>14</v>
      </c>
      <c r="O3296" s="49" t="s">
        <v>814</v>
      </c>
      <c r="P3296" s="54" t="s">
        <v>3392</v>
      </c>
      <c r="Q3296" s="35" t="str">
        <f>MID(Tabla1[[#This Row],[Aplicación]],14,1)</f>
        <v>2</v>
      </c>
      <c r="R3296" s="35" t="s">
        <v>495</v>
      </c>
      <c r="S3296" s="35" t="str">
        <f>MID(Tabla1[[#This Row],[Aplicación]],6,2)</f>
        <v>02</v>
      </c>
      <c r="T3296" s="35" t="str">
        <f>VLOOKUP(Tabla1[[#This Row],[AREA]],Hoja1!A:B,2,FALSE)</f>
        <v>02. Planeamiento urbanístico y vivienda</v>
      </c>
      <c r="U3296" s="35" t="str">
        <f>MID(Tabla1[[#This Row],[Aplicación]],9,4)</f>
        <v>9332</v>
      </c>
      <c r="V3296" s="35" t="str">
        <f>VLOOKUP(Tabla1[[#This Row],[PROGRAMA]],Hoja1!A:B,2,FALSE)</f>
        <v>9332. Mantenimiento de edificios e instalaciones municipales</v>
      </c>
      <c r="W3296" s="35" t="str">
        <f>MID(Tabla1[[#This Row],[Aplicación]],14,2)</f>
        <v>21</v>
      </c>
      <c r="X3296" s="35" t="str">
        <f>MID(Tabla1[[#This Row],[Aplicación]],14,6)</f>
        <v>212</v>
      </c>
    </row>
    <row r="3297" spans="1:24" x14ac:dyDescent="0.25">
      <c r="A3297" s="45">
        <v>220210031265</v>
      </c>
      <c r="B3297" s="46" t="s">
        <v>204</v>
      </c>
      <c r="C3297" s="47">
        <v>44363</v>
      </c>
      <c r="D3297" s="45">
        <v>22021003170</v>
      </c>
      <c r="E3297" s="46" t="s">
        <v>3388</v>
      </c>
      <c r="F3297" s="48">
        <v>15.88</v>
      </c>
      <c r="G3297" s="54" t="s">
        <v>238</v>
      </c>
      <c r="H3297" s="54" t="s">
        <v>4861</v>
      </c>
      <c r="I3297" s="53" t="s">
        <v>205</v>
      </c>
      <c r="J3297" s="54" t="s">
        <v>127</v>
      </c>
      <c r="K3297" s="54" t="s">
        <v>127</v>
      </c>
      <c r="L3297" s="54" t="s">
        <v>15</v>
      </c>
      <c r="M3297" s="54" t="s">
        <v>13</v>
      </c>
      <c r="N3297" s="54" t="s">
        <v>14</v>
      </c>
      <c r="O3297" s="49" t="s">
        <v>814</v>
      </c>
      <c r="P3297" s="54" t="s">
        <v>3392</v>
      </c>
      <c r="Q3297" s="35" t="str">
        <f>MID(Tabla1[[#This Row],[Aplicación]],14,1)</f>
        <v>2</v>
      </c>
      <c r="R3297" s="35" t="s">
        <v>495</v>
      </c>
      <c r="S3297" s="35" t="str">
        <f>MID(Tabla1[[#This Row],[Aplicación]],6,2)</f>
        <v>05</v>
      </c>
      <c r="T3297" s="35" t="str">
        <f>VLOOKUP(Tabla1[[#This Row],[AREA]],Hoja1!A:B,2,FALSE)</f>
        <v>05. Innovación, desarrollo económico, empleo y comercio</v>
      </c>
      <c r="U3297" s="35" t="str">
        <f>MID(Tabla1[[#This Row],[Aplicación]],9,4)</f>
        <v>4314</v>
      </c>
      <c r="V3297" s="35" t="str">
        <f>VLOOKUP(Tabla1[[#This Row],[PROGRAMA]],Hoja1!A:B,2,FALSE)</f>
        <v>4314. Fomento del comercio</v>
      </c>
      <c r="W3297" s="35" t="str">
        <f>MID(Tabla1[[#This Row],[Aplicación]],14,2)</f>
        <v>22</v>
      </c>
      <c r="X3297" s="35" t="str">
        <f>MID(Tabla1[[#This Row],[Aplicación]],14,6)</f>
        <v>22199</v>
      </c>
    </row>
    <row r="3298" spans="1:24" x14ac:dyDescent="0.25">
      <c r="A3298" s="45">
        <v>220210019117</v>
      </c>
      <c r="B3298" s="46" t="s">
        <v>204</v>
      </c>
      <c r="C3298" s="47">
        <v>44319</v>
      </c>
      <c r="D3298" s="45">
        <v>22021001039</v>
      </c>
      <c r="E3298" s="46" t="s">
        <v>844</v>
      </c>
      <c r="F3298" s="48">
        <v>15.55</v>
      </c>
      <c r="G3298" s="54" t="s">
        <v>235</v>
      </c>
      <c r="H3298" s="54" t="s">
        <v>4730</v>
      </c>
      <c r="I3298" s="53" t="s">
        <v>205</v>
      </c>
      <c r="J3298" s="54" t="s">
        <v>742</v>
      </c>
      <c r="K3298" s="54" t="s">
        <v>165</v>
      </c>
      <c r="L3298" s="54" t="s">
        <v>15</v>
      </c>
      <c r="M3298" s="54" t="s">
        <v>13</v>
      </c>
      <c r="N3298" s="54" t="s">
        <v>14</v>
      </c>
      <c r="O3298" s="49" t="s">
        <v>814</v>
      </c>
      <c r="P3298" s="54" t="s">
        <v>3392</v>
      </c>
      <c r="Q3298" s="35" t="str">
        <f>MID(Tabla1[[#This Row],[Aplicación]],14,1)</f>
        <v>2</v>
      </c>
      <c r="R3298" s="35" t="s">
        <v>495</v>
      </c>
      <c r="S3298" s="35" t="str">
        <f>MID(Tabla1[[#This Row],[Aplicación]],6,2)</f>
        <v>10</v>
      </c>
      <c r="T3298" s="35" t="str">
        <f>VLOOKUP(Tabla1[[#This Row],[AREA]],Hoja1!A:B,2,FALSE)</f>
        <v>10. Servicios sociales y mediación comunitaria</v>
      </c>
      <c r="U3298" s="35" t="str">
        <f>MID(Tabla1[[#This Row],[Aplicación]],9,4)</f>
        <v>2312</v>
      </c>
      <c r="V3298" s="35" t="str">
        <f>VLOOKUP(Tabla1[[#This Row],[PROGRAMA]],Hoja1!A:B,2,FALSE)</f>
        <v>2312. Iniciativas sociales</v>
      </c>
      <c r="W3298" s="35" t="str">
        <f>MID(Tabla1[[#This Row],[Aplicación]],14,2)</f>
        <v>21</v>
      </c>
      <c r="X3298" s="35" t="str">
        <f>MID(Tabla1[[#This Row],[Aplicación]],14,6)</f>
        <v>212</v>
      </c>
    </row>
    <row r="3299" spans="1:24" x14ac:dyDescent="0.25">
      <c r="A3299" s="45">
        <v>220210030046</v>
      </c>
      <c r="B3299" s="46" t="s">
        <v>204</v>
      </c>
      <c r="C3299" s="47">
        <v>44356</v>
      </c>
      <c r="D3299" s="45">
        <v>22021002052</v>
      </c>
      <c r="E3299" s="46" t="s">
        <v>1340</v>
      </c>
      <c r="F3299" s="48">
        <v>15.49</v>
      </c>
      <c r="G3299" s="54" t="s">
        <v>238</v>
      </c>
      <c r="H3299" s="54" t="s">
        <v>4862</v>
      </c>
      <c r="I3299" s="53" t="s">
        <v>205</v>
      </c>
      <c r="J3299" s="54" t="s">
        <v>127</v>
      </c>
      <c r="K3299" s="54" t="s">
        <v>127</v>
      </c>
      <c r="L3299" s="54" t="s">
        <v>15</v>
      </c>
      <c r="M3299" s="54" t="s">
        <v>13</v>
      </c>
      <c r="N3299" s="54" t="s">
        <v>14</v>
      </c>
      <c r="O3299" s="49" t="s">
        <v>814</v>
      </c>
      <c r="P3299" s="54" t="s">
        <v>3392</v>
      </c>
      <c r="Q3299" s="35" t="str">
        <f>MID(Tabla1[[#This Row],[Aplicación]],14,1)</f>
        <v>2</v>
      </c>
      <c r="R3299" s="35" t="s">
        <v>495</v>
      </c>
      <c r="S3299" s="35" t="str">
        <f>MID(Tabla1[[#This Row],[Aplicación]],6,2)</f>
        <v>11</v>
      </c>
      <c r="T3299" s="35" t="str">
        <f>VLOOKUP(Tabla1[[#This Row],[AREA]],Hoja1!A:B,2,FALSE)</f>
        <v>11. Salud pública y seguridad ciudadana</v>
      </c>
      <c r="U3299" s="35" t="str">
        <f>MID(Tabla1[[#This Row],[Aplicación]],9,4)</f>
        <v>1621</v>
      </c>
      <c r="V3299" s="35" t="str">
        <f>VLOOKUP(Tabla1[[#This Row],[PROGRAMA]],Hoja1!A:B,2,FALSE)</f>
        <v>1621. Servicio de limpieza</v>
      </c>
      <c r="W3299" s="35" t="str">
        <f>MID(Tabla1[[#This Row],[Aplicación]],14,2)</f>
        <v>22</v>
      </c>
      <c r="X3299" s="35" t="str">
        <f>MID(Tabla1[[#This Row],[Aplicación]],14,6)</f>
        <v>22199</v>
      </c>
    </row>
    <row r="3300" spans="1:24" x14ac:dyDescent="0.25">
      <c r="A3300" s="45">
        <v>220210030495</v>
      </c>
      <c r="B3300" s="46" t="s">
        <v>204</v>
      </c>
      <c r="C3300" s="47">
        <v>44358</v>
      </c>
      <c r="D3300" s="45">
        <v>22021002006</v>
      </c>
      <c r="E3300" s="46" t="s">
        <v>1310</v>
      </c>
      <c r="F3300" s="48">
        <v>15.39</v>
      </c>
      <c r="G3300" s="54" t="s">
        <v>102</v>
      </c>
      <c r="H3300" s="54" t="s">
        <v>4863</v>
      </c>
      <c r="I3300" s="53" t="s">
        <v>205</v>
      </c>
      <c r="J3300" s="54" t="s">
        <v>127</v>
      </c>
      <c r="K3300" s="54" t="s">
        <v>127</v>
      </c>
      <c r="L3300" s="54" t="s">
        <v>15</v>
      </c>
      <c r="M3300" s="54" t="s">
        <v>13</v>
      </c>
      <c r="N3300" s="54" t="s">
        <v>14</v>
      </c>
      <c r="O3300" s="49" t="s">
        <v>814</v>
      </c>
      <c r="P3300" s="54" t="s">
        <v>3392</v>
      </c>
      <c r="Q3300" s="35" t="str">
        <f>MID(Tabla1[[#This Row],[Aplicación]],14,1)</f>
        <v>2</v>
      </c>
      <c r="R3300" s="35" t="s">
        <v>495</v>
      </c>
      <c r="S3300" s="35" t="str">
        <f>MID(Tabla1[[#This Row],[Aplicación]],6,2)</f>
        <v>11</v>
      </c>
      <c r="T3300" s="35" t="str">
        <f>VLOOKUP(Tabla1[[#This Row],[AREA]],Hoja1!A:B,2,FALSE)</f>
        <v>11. Salud pública y seguridad ciudadana</v>
      </c>
      <c r="U3300" s="35" t="str">
        <f>MID(Tabla1[[#This Row],[Aplicación]],9,4)</f>
        <v>3111</v>
      </c>
      <c r="V3300" s="35" t="str">
        <f>VLOOKUP(Tabla1[[#This Row],[PROGRAMA]],Hoja1!A:B,2,FALSE)</f>
        <v>3111. Protección de la salubridad pública</v>
      </c>
      <c r="W3300" s="35" t="str">
        <f>MID(Tabla1[[#This Row],[Aplicación]],14,2)</f>
        <v>22</v>
      </c>
      <c r="X3300" s="35" t="str">
        <f>MID(Tabla1[[#This Row],[Aplicación]],14,6)</f>
        <v>22199</v>
      </c>
    </row>
    <row r="3301" spans="1:24" x14ac:dyDescent="0.25">
      <c r="A3301" s="45">
        <v>220210030400</v>
      </c>
      <c r="B3301" s="46" t="s">
        <v>204</v>
      </c>
      <c r="C3301" s="47">
        <v>44358</v>
      </c>
      <c r="D3301" s="45">
        <v>22021002006</v>
      </c>
      <c r="E3301" s="46" t="s">
        <v>1310</v>
      </c>
      <c r="F3301" s="48">
        <v>14.35</v>
      </c>
      <c r="G3301" s="54" t="s">
        <v>238</v>
      </c>
      <c r="H3301" s="54" t="s">
        <v>4864</v>
      </c>
      <c r="I3301" s="53" t="s">
        <v>205</v>
      </c>
      <c r="J3301" s="54" t="s">
        <v>127</v>
      </c>
      <c r="K3301" s="54" t="s">
        <v>127</v>
      </c>
      <c r="L3301" s="54" t="s">
        <v>15</v>
      </c>
      <c r="M3301" s="54" t="s">
        <v>13</v>
      </c>
      <c r="N3301" s="54" t="s">
        <v>14</v>
      </c>
      <c r="O3301" s="49" t="s">
        <v>814</v>
      </c>
      <c r="P3301" s="54" t="s">
        <v>3392</v>
      </c>
      <c r="Q3301" s="35" t="str">
        <f>MID(Tabla1[[#This Row],[Aplicación]],14,1)</f>
        <v>2</v>
      </c>
      <c r="R3301" s="35" t="s">
        <v>495</v>
      </c>
      <c r="S3301" s="35" t="str">
        <f>MID(Tabla1[[#This Row],[Aplicación]],6,2)</f>
        <v>11</v>
      </c>
      <c r="T3301" s="35" t="str">
        <f>VLOOKUP(Tabla1[[#This Row],[AREA]],Hoja1!A:B,2,FALSE)</f>
        <v>11. Salud pública y seguridad ciudadana</v>
      </c>
      <c r="U3301" s="35" t="str">
        <f>MID(Tabla1[[#This Row],[Aplicación]],9,4)</f>
        <v>3111</v>
      </c>
      <c r="V3301" s="35" t="str">
        <f>VLOOKUP(Tabla1[[#This Row],[PROGRAMA]],Hoja1!A:B,2,FALSE)</f>
        <v>3111. Protección de la salubridad pública</v>
      </c>
      <c r="W3301" s="35" t="str">
        <f>MID(Tabla1[[#This Row],[Aplicación]],14,2)</f>
        <v>22</v>
      </c>
      <c r="X3301" s="35" t="str">
        <f>MID(Tabla1[[#This Row],[Aplicación]],14,6)</f>
        <v>22199</v>
      </c>
    </row>
    <row r="3302" spans="1:24" x14ac:dyDescent="0.25">
      <c r="A3302" s="45">
        <v>220210019249</v>
      </c>
      <c r="B3302" s="46" t="s">
        <v>9</v>
      </c>
      <c r="C3302" s="47">
        <v>44320</v>
      </c>
      <c r="D3302" s="45">
        <v>22021004237</v>
      </c>
      <c r="E3302" s="46" t="s">
        <v>1340</v>
      </c>
      <c r="F3302" s="48">
        <v>8.1999999999999993</v>
      </c>
      <c r="G3302" s="54" t="s">
        <v>4576</v>
      </c>
      <c r="H3302" s="54" t="s">
        <v>4865</v>
      </c>
      <c r="I3302" s="53" t="s">
        <v>125</v>
      </c>
      <c r="J3302" s="54" t="s">
        <v>127</v>
      </c>
      <c r="K3302" s="54" t="s">
        <v>127</v>
      </c>
      <c r="L3302" s="54" t="s">
        <v>15</v>
      </c>
      <c r="M3302" s="54" t="s">
        <v>10</v>
      </c>
      <c r="N3302" s="54" t="s">
        <v>11</v>
      </c>
      <c r="O3302" s="49" t="s">
        <v>815</v>
      </c>
      <c r="P3302" s="54" t="s">
        <v>3392</v>
      </c>
      <c r="Q3302" s="35" t="str">
        <f>MID(Tabla1[[#This Row],[Aplicación]],14,1)</f>
        <v>2</v>
      </c>
      <c r="R3302" s="35" t="s">
        <v>495</v>
      </c>
      <c r="S3302" s="35" t="str">
        <f>MID(Tabla1[[#This Row],[Aplicación]],6,2)</f>
        <v>11</v>
      </c>
      <c r="T3302" s="35" t="str">
        <f>VLOOKUP(Tabla1[[#This Row],[AREA]],Hoja1!A:B,2,FALSE)</f>
        <v>11. Salud pública y seguridad ciudadana</v>
      </c>
      <c r="U3302" s="35" t="str">
        <f>MID(Tabla1[[#This Row],[Aplicación]],9,4)</f>
        <v>1621</v>
      </c>
      <c r="V3302" s="35" t="str">
        <f>VLOOKUP(Tabla1[[#This Row],[PROGRAMA]],Hoja1!A:B,2,FALSE)</f>
        <v>1621. Servicio de limpieza</v>
      </c>
      <c r="W3302" s="35" t="str">
        <f>MID(Tabla1[[#This Row],[Aplicación]],14,2)</f>
        <v>22</v>
      </c>
      <c r="X3302" s="35" t="str">
        <f>MID(Tabla1[[#This Row],[Aplicación]],14,6)</f>
        <v>22199</v>
      </c>
    </row>
    <row r="3303" spans="1:24" x14ac:dyDescent="0.25">
      <c r="A3303" s="45">
        <v>220210027613</v>
      </c>
      <c r="B3303" s="46" t="s">
        <v>204</v>
      </c>
      <c r="C3303" s="47">
        <v>44348</v>
      </c>
      <c r="D3303" s="45">
        <v>22021002089</v>
      </c>
      <c r="E3303" s="46" t="s">
        <v>1220</v>
      </c>
      <c r="F3303" s="48">
        <v>13.67</v>
      </c>
      <c r="G3303" s="54" t="s">
        <v>277</v>
      </c>
      <c r="H3303" s="54" t="s">
        <v>4866</v>
      </c>
      <c r="I3303" s="53" t="s">
        <v>205</v>
      </c>
      <c r="J3303" s="54" t="s">
        <v>127</v>
      </c>
      <c r="K3303" s="54" t="s">
        <v>127</v>
      </c>
      <c r="L3303" s="54" t="s">
        <v>15</v>
      </c>
      <c r="M3303" s="54" t="s">
        <v>13</v>
      </c>
      <c r="N3303" s="54" t="s">
        <v>16</v>
      </c>
      <c r="O3303" s="49" t="s">
        <v>814</v>
      </c>
      <c r="P3303" s="54" t="s">
        <v>3392</v>
      </c>
      <c r="Q3303" s="35" t="str">
        <f>MID(Tabla1[[#This Row],[Aplicación]],14,1)</f>
        <v>2</v>
      </c>
      <c r="R3303" s="35" t="s">
        <v>495</v>
      </c>
      <c r="S3303" s="35" t="str">
        <f>MID(Tabla1[[#This Row],[Aplicación]],6,2)</f>
        <v>03</v>
      </c>
      <c r="T3303" s="35" t="str">
        <f>VLOOKUP(Tabla1[[#This Row],[AREA]],Hoja1!A:B,2,FALSE)</f>
        <v>03. Participación ciudadana y deportes</v>
      </c>
      <c r="U3303" s="35" t="str">
        <f>MID(Tabla1[[#This Row],[Aplicación]],9,4)</f>
        <v>9241</v>
      </c>
      <c r="V3303" s="35" t="str">
        <f>VLOOKUP(Tabla1[[#This Row],[PROGRAMA]],Hoja1!A:B,2,FALSE)</f>
        <v>9241. Participación ciudadana</v>
      </c>
      <c r="W3303" s="35" t="str">
        <f>MID(Tabla1[[#This Row],[Aplicación]],14,2)</f>
        <v>21</v>
      </c>
      <c r="X3303" s="35" t="str">
        <f>MID(Tabla1[[#This Row],[Aplicación]],14,6)</f>
        <v>213</v>
      </c>
    </row>
    <row r="3304" spans="1:24" x14ac:dyDescent="0.25">
      <c r="A3304" s="45">
        <v>220210017109</v>
      </c>
      <c r="B3304" s="46" t="s">
        <v>204</v>
      </c>
      <c r="C3304" s="47">
        <v>44312</v>
      </c>
      <c r="D3304" s="45">
        <v>22021002089</v>
      </c>
      <c r="E3304" s="46" t="s">
        <v>1220</v>
      </c>
      <c r="F3304" s="48">
        <v>13.03</v>
      </c>
      <c r="G3304" s="54" t="s">
        <v>102</v>
      </c>
      <c r="H3304" s="54" t="s">
        <v>4867</v>
      </c>
      <c r="I3304" s="53" t="s">
        <v>205</v>
      </c>
      <c r="J3304" s="54" t="s">
        <v>127</v>
      </c>
      <c r="K3304" s="54" t="s">
        <v>127</v>
      </c>
      <c r="L3304" s="54" t="s">
        <v>15</v>
      </c>
      <c r="M3304" s="54" t="s">
        <v>13</v>
      </c>
      <c r="N3304" s="54" t="s">
        <v>16</v>
      </c>
      <c r="O3304" s="49" t="s">
        <v>814</v>
      </c>
      <c r="P3304" s="54" t="s">
        <v>3392</v>
      </c>
      <c r="Q3304" s="35" t="str">
        <f>MID(Tabla1[[#This Row],[Aplicación]],14,1)</f>
        <v>2</v>
      </c>
      <c r="R3304" s="35" t="s">
        <v>495</v>
      </c>
      <c r="S3304" s="35" t="str">
        <f>MID(Tabla1[[#This Row],[Aplicación]],6,2)</f>
        <v>03</v>
      </c>
      <c r="T3304" s="35" t="str">
        <f>VLOOKUP(Tabla1[[#This Row],[AREA]],Hoja1!A:B,2,FALSE)</f>
        <v>03. Participación ciudadana y deportes</v>
      </c>
      <c r="U3304" s="35" t="str">
        <f>MID(Tabla1[[#This Row],[Aplicación]],9,4)</f>
        <v>9241</v>
      </c>
      <c r="V3304" s="35" t="str">
        <f>VLOOKUP(Tabla1[[#This Row],[PROGRAMA]],Hoja1!A:B,2,FALSE)</f>
        <v>9241. Participación ciudadana</v>
      </c>
      <c r="W3304" s="35" t="str">
        <f>MID(Tabla1[[#This Row],[Aplicación]],14,2)</f>
        <v>21</v>
      </c>
      <c r="X3304" s="35" t="str">
        <f>MID(Tabla1[[#This Row],[Aplicación]],14,6)</f>
        <v>213</v>
      </c>
    </row>
    <row r="3305" spans="1:24" x14ac:dyDescent="0.25">
      <c r="A3305" s="45">
        <v>220210027615</v>
      </c>
      <c r="B3305" s="46" t="s">
        <v>204</v>
      </c>
      <c r="C3305" s="47">
        <v>44348</v>
      </c>
      <c r="D3305" s="45">
        <v>22021002089</v>
      </c>
      <c r="E3305" s="46" t="s">
        <v>1220</v>
      </c>
      <c r="F3305" s="48">
        <v>12.95</v>
      </c>
      <c r="G3305" s="54" t="s">
        <v>277</v>
      </c>
      <c r="H3305" s="54" t="s">
        <v>4868</v>
      </c>
      <c r="I3305" s="53" t="s">
        <v>205</v>
      </c>
      <c r="J3305" s="54" t="s">
        <v>127</v>
      </c>
      <c r="K3305" s="54" t="s">
        <v>127</v>
      </c>
      <c r="L3305" s="54" t="s">
        <v>15</v>
      </c>
      <c r="M3305" s="54" t="s">
        <v>13</v>
      </c>
      <c r="N3305" s="54" t="s">
        <v>16</v>
      </c>
      <c r="O3305" s="49" t="s">
        <v>814</v>
      </c>
      <c r="P3305" s="54" t="s">
        <v>3392</v>
      </c>
      <c r="Q3305" s="35" t="str">
        <f>MID(Tabla1[[#This Row],[Aplicación]],14,1)</f>
        <v>2</v>
      </c>
      <c r="R3305" s="35" t="s">
        <v>495</v>
      </c>
      <c r="S3305" s="35" t="str">
        <f>MID(Tabla1[[#This Row],[Aplicación]],6,2)</f>
        <v>03</v>
      </c>
      <c r="T3305" s="35" t="str">
        <f>VLOOKUP(Tabla1[[#This Row],[AREA]],Hoja1!A:B,2,FALSE)</f>
        <v>03. Participación ciudadana y deportes</v>
      </c>
      <c r="U3305" s="35" t="str">
        <f>MID(Tabla1[[#This Row],[Aplicación]],9,4)</f>
        <v>9241</v>
      </c>
      <c r="V3305" s="35" t="str">
        <f>VLOOKUP(Tabla1[[#This Row],[PROGRAMA]],Hoja1!A:B,2,FALSE)</f>
        <v>9241. Participación ciudadana</v>
      </c>
      <c r="W3305" s="35" t="str">
        <f>MID(Tabla1[[#This Row],[Aplicación]],14,2)</f>
        <v>21</v>
      </c>
      <c r="X3305" s="35" t="str">
        <f>MID(Tabla1[[#This Row],[Aplicación]],14,6)</f>
        <v>213</v>
      </c>
    </row>
    <row r="3306" spans="1:24" x14ac:dyDescent="0.25">
      <c r="A3306" s="45">
        <v>220210015659</v>
      </c>
      <c r="B3306" s="46" t="s">
        <v>204</v>
      </c>
      <c r="C3306" s="47">
        <v>44302</v>
      </c>
      <c r="D3306" s="45">
        <v>22021002228</v>
      </c>
      <c r="E3306" s="46" t="s">
        <v>1471</v>
      </c>
      <c r="F3306" s="48">
        <v>12.38</v>
      </c>
      <c r="G3306" s="54" t="s">
        <v>277</v>
      </c>
      <c r="H3306" s="54" t="s">
        <v>4869</v>
      </c>
      <c r="I3306" s="53" t="s">
        <v>205</v>
      </c>
      <c r="J3306" s="54" t="s">
        <v>127</v>
      </c>
      <c r="K3306" s="54" t="s">
        <v>127</v>
      </c>
      <c r="L3306" s="54" t="s">
        <v>15</v>
      </c>
      <c r="M3306" s="54" t="s">
        <v>13</v>
      </c>
      <c r="N3306" s="54" t="s">
        <v>14</v>
      </c>
      <c r="O3306" s="49" t="s">
        <v>814</v>
      </c>
      <c r="P3306" s="54" t="s">
        <v>3392</v>
      </c>
      <c r="Q3306" s="35" t="str">
        <f>MID(Tabla1[[#This Row],[Aplicación]],14,1)</f>
        <v>2</v>
      </c>
      <c r="R3306" s="35" t="s">
        <v>495</v>
      </c>
      <c r="S3306" s="35" t="str">
        <f>MID(Tabla1[[#This Row],[Aplicación]],6,2)</f>
        <v>06</v>
      </c>
      <c r="T3306" s="35" t="str">
        <f>VLOOKUP(Tabla1[[#This Row],[AREA]],Hoja1!A:B,2,FALSE)</f>
        <v>06. Educación, infancia, juventud e igualdad</v>
      </c>
      <c r="U3306" s="35" t="str">
        <f>MID(Tabla1[[#This Row],[Aplicación]],9,4)</f>
        <v>3232</v>
      </c>
      <c r="V3306" s="35" t="str">
        <f>VLOOKUP(Tabla1[[#This Row],[PROGRAMA]],Hoja1!A:B,2,FALSE)</f>
        <v>3232. Conservación y mantenimiento centros educación infantil y primaria</v>
      </c>
      <c r="W3306" s="35" t="str">
        <f>MID(Tabla1[[#This Row],[Aplicación]],14,2)</f>
        <v>21</v>
      </c>
      <c r="X3306" s="35" t="str">
        <f>MID(Tabla1[[#This Row],[Aplicación]],14,6)</f>
        <v>212</v>
      </c>
    </row>
    <row r="3307" spans="1:24" x14ac:dyDescent="0.25">
      <c r="A3307" s="45">
        <v>220210030510</v>
      </c>
      <c r="B3307" s="46" t="s">
        <v>204</v>
      </c>
      <c r="C3307" s="47">
        <v>44358</v>
      </c>
      <c r="D3307" s="45">
        <v>22021002371</v>
      </c>
      <c r="E3307" s="46" t="s">
        <v>1336</v>
      </c>
      <c r="F3307" s="48">
        <v>11.8</v>
      </c>
      <c r="G3307" s="54" t="s">
        <v>102</v>
      </c>
      <c r="H3307" s="54" t="s">
        <v>4870</v>
      </c>
      <c r="I3307" s="53" t="s">
        <v>205</v>
      </c>
      <c r="J3307" s="54" t="s">
        <v>127</v>
      </c>
      <c r="K3307" s="54" t="s">
        <v>127</v>
      </c>
      <c r="L3307" s="54" t="s">
        <v>15</v>
      </c>
      <c r="M3307" s="54" t="s">
        <v>13</v>
      </c>
      <c r="N3307" s="54" t="s">
        <v>14</v>
      </c>
      <c r="O3307" s="49" t="s">
        <v>814</v>
      </c>
      <c r="P3307" s="54" t="s">
        <v>3392</v>
      </c>
      <c r="Q3307" s="35" t="str">
        <f>MID(Tabla1[[#This Row],[Aplicación]],14,1)</f>
        <v>2</v>
      </c>
      <c r="R3307" s="35" t="s">
        <v>495</v>
      </c>
      <c r="S3307" s="35" t="str">
        <f>MID(Tabla1[[#This Row],[Aplicación]],6,2)</f>
        <v>02</v>
      </c>
      <c r="T3307" s="35" t="str">
        <f>VLOOKUP(Tabla1[[#This Row],[AREA]],Hoja1!A:B,2,FALSE)</f>
        <v>02. Planeamiento urbanístico y vivienda</v>
      </c>
      <c r="U3307" s="35" t="str">
        <f>MID(Tabla1[[#This Row],[Aplicación]],9,4)</f>
        <v>9332</v>
      </c>
      <c r="V3307" s="35" t="str">
        <f>VLOOKUP(Tabla1[[#This Row],[PROGRAMA]],Hoja1!A:B,2,FALSE)</f>
        <v>9332. Mantenimiento de edificios e instalaciones municipales</v>
      </c>
      <c r="W3307" s="35" t="str">
        <f>MID(Tabla1[[#This Row],[Aplicación]],14,2)</f>
        <v>21</v>
      </c>
      <c r="X3307" s="35" t="str">
        <f>MID(Tabla1[[#This Row],[Aplicación]],14,6)</f>
        <v>212</v>
      </c>
    </row>
    <row r="3308" spans="1:24" x14ac:dyDescent="0.25">
      <c r="A3308" s="45">
        <v>220210024797</v>
      </c>
      <c r="B3308" s="46" t="s">
        <v>204</v>
      </c>
      <c r="C3308" s="47">
        <v>44340</v>
      </c>
      <c r="D3308" s="45">
        <v>22021002371</v>
      </c>
      <c r="E3308" s="46" t="s">
        <v>1336</v>
      </c>
      <c r="F3308" s="48">
        <v>11.62</v>
      </c>
      <c r="G3308" s="54" t="s">
        <v>150</v>
      </c>
      <c r="H3308" s="54" t="s">
        <v>4871</v>
      </c>
      <c r="I3308" s="53" t="s">
        <v>205</v>
      </c>
      <c r="J3308" s="54" t="s">
        <v>146</v>
      </c>
      <c r="K3308" s="54" t="s">
        <v>146</v>
      </c>
      <c r="L3308" s="54" t="s">
        <v>15</v>
      </c>
      <c r="M3308" s="54" t="s">
        <v>13</v>
      </c>
      <c r="N3308" s="54" t="s">
        <v>14</v>
      </c>
      <c r="O3308" s="49" t="s">
        <v>814</v>
      </c>
      <c r="P3308" s="54" t="s">
        <v>3392</v>
      </c>
      <c r="Q3308" s="35" t="str">
        <f>MID(Tabla1[[#This Row],[Aplicación]],14,1)</f>
        <v>2</v>
      </c>
      <c r="R3308" s="35" t="s">
        <v>495</v>
      </c>
      <c r="S3308" s="35" t="str">
        <f>MID(Tabla1[[#This Row],[Aplicación]],6,2)</f>
        <v>02</v>
      </c>
      <c r="T3308" s="35" t="str">
        <f>VLOOKUP(Tabla1[[#This Row],[AREA]],Hoja1!A:B,2,FALSE)</f>
        <v>02. Planeamiento urbanístico y vivienda</v>
      </c>
      <c r="U3308" s="35" t="str">
        <f>MID(Tabla1[[#This Row],[Aplicación]],9,4)</f>
        <v>9332</v>
      </c>
      <c r="V3308" s="35" t="str">
        <f>VLOOKUP(Tabla1[[#This Row],[PROGRAMA]],Hoja1!A:B,2,FALSE)</f>
        <v>9332. Mantenimiento de edificios e instalaciones municipales</v>
      </c>
      <c r="W3308" s="35" t="str">
        <f>MID(Tabla1[[#This Row],[Aplicación]],14,2)</f>
        <v>21</v>
      </c>
      <c r="X3308" s="35" t="str">
        <f>MID(Tabla1[[#This Row],[Aplicación]],14,6)</f>
        <v>212</v>
      </c>
    </row>
    <row r="3309" spans="1:24" x14ac:dyDescent="0.25">
      <c r="A3309" s="45">
        <v>220210030216</v>
      </c>
      <c r="B3309" s="46" t="s">
        <v>204</v>
      </c>
      <c r="C3309" s="47">
        <v>44357</v>
      </c>
      <c r="D3309" s="45">
        <v>22021002048</v>
      </c>
      <c r="E3309" s="46" t="s">
        <v>890</v>
      </c>
      <c r="F3309" s="48">
        <v>11.35</v>
      </c>
      <c r="G3309" s="54" t="s">
        <v>102</v>
      </c>
      <c r="H3309" s="54" t="s">
        <v>4872</v>
      </c>
      <c r="I3309" s="53" t="s">
        <v>205</v>
      </c>
      <c r="J3309" s="54" t="s">
        <v>127</v>
      </c>
      <c r="K3309" s="54" t="s">
        <v>127</v>
      </c>
      <c r="L3309" s="54" t="s">
        <v>15</v>
      </c>
      <c r="M3309" s="54" t="s">
        <v>13</v>
      </c>
      <c r="N3309" s="54" t="s">
        <v>14</v>
      </c>
      <c r="O3309" s="49" t="s">
        <v>814</v>
      </c>
      <c r="P3309" s="54" t="s">
        <v>3392</v>
      </c>
      <c r="Q3309" s="35" t="str">
        <f>MID(Tabla1[[#This Row],[Aplicación]],14,1)</f>
        <v>2</v>
      </c>
      <c r="R3309" s="35" t="s">
        <v>495</v>
      </c>
      <c r="S3309" s="35" t="str">
        <f>MID(Tabla1[[#This Row],[Aplicación]],6,2)</f>
        <v>11</v>
      </c>
      <c r="T3309" s="35" t="str">
        <f>VLOOKUP(Tabla1[[#This Row],[AREA]],Hoja1!A:B,2,FALSE)</f>
        <v>11. Salud pública y seguridad ciudadana</v>
      </c>
      <c r="U3309" s="35" t="str">
        <f>MID(Tabla1[[#This Row],[Aplicación]],9,4)</f>
        <v>1621</v>
      </c>
      <c r="V3309" s="35" t="str">
        <f>VLOOKUP(Tabla1[[#This Row],[PROGRAMA]],Hoja1!A:B,2,FALSE)</f>
        <v>1621. Servicio de limpieza</v>
      </c>
      <c r="W3309" s="35" t="str">
        <f>MID(Tabla1[[#This Row],[Aplicación]],14,2)</f>
        <v>21</v>
      </c>
      <c r="X3309" s="35" t="str">
        <f>MID(Tabla1[[#This Row],[Aplicación]],14,6)</f>
        <v>214</v>
      </c>
    </row>
    <row r="3310" spans="1:24" x14ac:dyDescent="0.25">
      <c r="A3310" s="45">
        <v>220210016806</v>
      </c>
      <c r="B3310" s="46" t="s">
        <v>204</v>
      </c>
      <c r="C3310" s="47">
        <v>44308</v>
      </c>
      <c r="D3310" s="45">
        <v>22021002225</v>
      </c>
      <c r="E3310" s="46" t="s">
        <v>1574</v>
      </c>
      <c r="F3310" s="48">
        <v>10.33</v>
      </c>
      <c r="G3310" s="54" t="s">
        <v>256</v>
      </c>
      <c r="H3310" s="54" t="s">
        <v>4873</v>
      </c>
      <c r="I3310" s="53" t="s">
        <v>205</v>
      </c>
      <c r="J3310" s="54" t="s">
        <v>127</v>
      </c>
      <c r="K3310" s="54" t="s">
        <v>127</v>
      </c>
      <c r="L3310" s="54" t="s">
        <v>15</v>
      </c>
      <c r="M3310" s="54" t="s">
        <v>13</v>
      </c>
      <c r="N3310" s="54" t="s">
        <v>16</v>
      </c>
      <c r="O3310" s="49" t="s">
        <v>814</v>
      </c>
      <c r="P3310" s="54" t="s">
        <v>3392</v>
      </c>
      <c r="Q3310" s="35" t="str">
        <f>MID(Tabla1[[#This Row],[Aplicación]],14,1)</f>
        <v>2</v>
      </c>
      <c r="R3310" s="35" t="s">
        <v>495</v>
      </c>
      <c r="S3310" s="35" t="str">
        <f>MID(Tabla1[[#This Row],[Aplicación]],6,2)</f>
        <v>06</v>
      </c>
      <c r="T3310" s="35" t="str">
        <f>VLOOKUP(Tabla1[[#This Row],[AREA]],Hoja1!A:B,2,FALSE)</f>
        <v>06. Educación, infancia, juventud e igualdad</v>
      </c>
      <c r="U3310" s="35" t="str">
        <f>MID(Tabla1[[#This Row],[Aplicación]],9,4)</f>
        <v>3231</v>
      </c>
      <c r="V3310" s="35" t="str">
        <f>VLOOKUP(Tabla1[[#This Row],[PROGRAMA]],Hoja1!A:B,2,FALSE)</f>
        <v>3231. Escuelas infantiles</v>
      </c>
      <c r="W3310" s="35" t="str">
        <f>MID(Tabla1[[#This Row],[Aplicación]],14,2)</f>
        <v>21</v>
      </c>
      <c r="X3310" s="35" t="str">
        <f>MID(Tabla1[[#This Row],[Aplicación]],14,6)</f>
        <v>212</v>
      </c>
    </row>
    <row r="3311" spans="1:24" x14ac:dyDescent="0.25">
      <c r="A3311" s="45">
        <v>220210022770</v>
      </c>
      <c r="B3311" s="46" t="s">
        <v>204</v>
      </c>
      <c r="C3311" s="47">
        <v>44333</v>
      </c>
      <c r="D3311" s="45">
        <v>22021002228</v>
      </c>
      <c r="E3311" s="46" t="s">
        <v>1471</v>
      </c>
      <c r="F3311" s="48">
        <v>9.9499999999999993</v>
      </c>
      <c r="G3311" s="54" t="s">
        <v>283</v>
      </c>
      <c r="H3311" s="54" t="s">
        <v>4874</v>
      </c>
      <c r="I3311" s="53" t="s">
        <v>205</v>
      </c>
      <c r="J3311" s="54" t="s">
        <v>127</v>
      </c>
      <c r="K3311" s="54" t="s">
        <v>127</v>
      </c>
      <c r="L3311" s="54" t="s">
        <v>15</v>
      </c>
      <c r="M3311" s="54" t="s">
        <v>13</v>
      </c>
      <c r="N3311" s="54" t="s">
        <v>14</v>
      </c>
      <c r="O3311" s="49" t="s">
        <v>814</v>
      </c>
      <c r="P3311" s="54" t="s">
        <v>3392</v>
      </c>
      <c r="Q3311" s="35" t="str">
        <f>MID(Tabla1[[#This Row],[Aplicación]],14,1)</f>
        <v>2</v>
      </c>
      <c r="R3311" s="35" t="s">
        <v>495</v>
      </c>
      <c r="S3311" s="35" t="str">
        <f>MID(Tabla1[[#This Row],[Aplicación]],6,2)</f>
        <v>06</v>
      </c>
      <c r="T3311" s="35" t="str">
        <f>VLOOKUP(Tabla1[[#This Row],[AREA]],Hoja1!A:B,2,FALSE)</f>
        <v>06. Educación, infancia, juventud e igualdad</v>
      </c>
      <c r="U3311" s="35" t="str">
        <f>MID(Tabla1[[#This Row],[Aplicación]],9,4)</f>
        <v>3232</v>
      </c>
      <c r="V3311" s="35" t="str">
        <f>VLOOKUP(Tabla1[[#This Row],[PROGRAMA]],Hoja1!A:B,2,FALSE)</f>
        <v>3232. Conservación y mantenimiento centros educación infantil y primaria</v>
      </c>
      <c r="W3311" s="35" t="str">
        <f>MID(Tabla1[[#This Row],[Aplicación]],14,2)</f>
        <v>21</v>
      </c>
      <c r="X3311" s="35" t="str">
        <f>MID(Tabla1[[#This Row],[Aplicación]],14,6)</f>
        <v>212</v>
      </c>
    </row>
    <row r="3312" spans="1:24" x14ac:dyDescent="0.25">
      <c r="A3312" s="45">
        <v>220210015681</v>
      </c>
      <c r="B3312" s="46" t="s">
        <v>204</v>
      </c>
      <c r="C3312" s="47">
        <v>44302</v>
      </c>
      <c r="D3312" s="45">
        <v>22021002089</v>
      </c>
      <c r="E3312" s="46" t="s">
        <v>1220</v>
      </c>
      <c r="F3312" s="48">
        <v>9.91</v>
      </c>
      <c r="G3312" s="54" t="s">
        <v>277</v>
      </c>
      <c r="H3312" s="54" t="s">
        <v>4875</v>
      </c>
      <c r="I3312" s="53" t="s">
        <v>205</v>
      </c>
      <c r="J3312" s="54" t="s">
        <v>127</v>
      </c>
      <c r="K3312" s="54" t="s">
        <v>127</v>
      </c>
      <c r="L3312" s="54" t="s">
        <v>15</v>
      </c>
      <c r="M3312" s="54" t="s">
        <v>13</v>
      </c>
      <c r="N3312" s="54" t="s">
        <v>16</v>
      </c>
      <c r="O3312" s="49" t="s">
        <v>814</v>
      </c>
      <c r="P3312" s="54" t="s">
        <v>3392</v>
      </c>
      <c r="Q3312" s="35" t="str">
        <f>MID(Tabla1[[#This Row],[Aplicación]],14,1)</f>
        <v>2</v>
      </c>
      <c r="R3312" s="35" t="s">
        <v>495</v>
      </c>
      <c r="S3312" s="35" t="str">
        <f>MID(Tabla1[[#This Row],[Aplicación]],6,2)</f>
        <v>03</v>
      </c>
      <c r="T3312" s="35" t="str">
        <f>VLOOKUP(Tabla1[[#This Row],[AREA]],Hoja1!A:B,2,FALSE)</f>
        <v>03. Participación ciudadana y deportes</v>
      </c>
      <c r="U3312" s="35" t="str">
        <f>MID(Tabla1[[#This Row],[Aplicación]],9,4)</f>
        <v>9241</v>
      </c>
      <c r="V3312" s="35" t="str">
        <f>VLOOKUP(Tabla1[[#This Row],[PROGRAMA]],Hoja1!A:B,2,FALSE)</f>
        <v>9241. Participación ciudadana</v>
      </c>
      <c r="W3312" s="35" t="str">
        <f>MID(Tabla1[[#This Row],[Aplicación]],14,2)</f>
        <v>21</v>
      </c>
      <c r="X3312" s="35" t="str">
        <f>MID(Tabla1[[#This Row],[Aplicación]],14,6)</f>
        <v>213</v>
      </c>
    </row>
    <row r="3313" spans="1:24" x14ac:dyDescent="0.25">
      <c r="A3313" s="45">
        <v>220210032979</v>
      </c>
      <c r="B3313" s="46" t="s">
        <v>204</v>
      </c>
      <c r="C3313" s="47">
        <v>44375</v>
      </c>
      <c r="D3313" s="45">
        <v>22021002228</v>
      </c>
      <c r="E3313" s="46" t="s">
        <v>1471</v>
      </c>
      <c r="F3313" s="48">
        <v>9.91</v>
      </c>
      <c r="G3313" s="54" t="s">
        <v>277</v>
      </c>
      <c r="H3313" s="54" t="s">
        <v>4876</v>
      </c>
      <c r="I3313" s="53" t="s">
        <v>205</v>
      </c>
      <c r="J3313" s="54" t="s">
        <v>127</v>
      </c>
      <c r="K3313" s="54" t="s">
        <v>127</v>
      </c>
      <c r="L3313" s="54" t="s">
        <v>15</v>
      </c>
      <c r="M3313" s="54" t="s">
        <v>13</v>
      </c>
      <c r="N3313" s="54" t="s">
        <v>16</v>
      </c>
      <c r="O3313" s="49" t="s">
        <v>814</v>
      </c>
      <c r="P3313" s="54" t="s">
        <v>3392</v>
      </c>
      <c r="Q3313" s="35" t="str">
        <f>MID(Tabla1[[#This Row],[Aplicación]],14,1)</f>
        <v>2</v>
      </c>
      <c r="R3313" s="35" t="s">
        <v>495</v>
      </c>
      <c r="S3313" s="35" t="str">
        <f>MID(Tabla1[[#This Row],[Aplicación]],6,2)</f>
        <v>06</v>
      </c>
      <c r="T3313" s="35" t="str">
        <f>VLOOKUP(Tabla1[[#This Row],[AREA]],Hoja1!A:B,2,FALSE)</f>
        <v>06. Educación, infancia, juventud e igualdad</v>
      </c>
      <c r="U3313" s="35" t="str">
        <f>MID(Tabla1[[#This Row],[Aplicación]],9,4)</f>
        <v>3232</v>
      </c>
      <c r="V3313" s="35" t="str">
        <f>VLOOKUP(Tabla1[[#This Row],[PROGRAMA]],Hoja1!A:B,2,FALSE)</f>
        <v>3232. Conservación y mantenimiento centros educación infantil y primaria</v>
      </c>
      <c r="W3313" s="35" t="str">
        <f>MID(Tabla1[[#This Row],[Aplicación]],14,2)</f>
        <v>21</v>
      </c>
      <c r="X3313" s="35" t="str">
        <f>MID(Tabla1[[#This Row],[Aplicación]],14,6)</f>
        <v>212</v>
      </c>
    </row>
    <row r="3314" spans="1:24" x14ac:dyDescent="0.25">
      <c r="A3314" s="45">
        <v>220210020748</v>
      </c>
      <c r="B3314" s="46" t="s">
        <v>204</v>
      </c>
      <c r="C3314" s="47">
        <v>44323</v>
      </c>
      <c r="D3314" s="45">
        <v>22021002228</v>
      </c>
      <c r="E3314" s="46" t="s">
        <v>1471</v>
      </c>
      <c r="F3314" s="48">
        <v>9.86</v>
      </c>
      <c r="G3314" s="54" t="s">
        <v>277</v>
      </c>
      <c r="H3314" s="54" t="s">
        <v>4877</v>
      </c>
      <c r="I3314" s="53" t="s">
        <v>205</v>
      </c>
      <c r="J3314" s="54" t="s">
        <v>127</v>
      </c>
      <c r="K3314" s="54" t="s">
        <v>127</v>
      </c>
      <c r="L3314" s="54" t="s">
        <v>15</v>
      </c>
      <c r="M3314" s="54" t="s">
        <v>13</v>
      </c>
      <c r="N3314" s="54" t="s">
        <v>16</v>
      </c>
      <c r="O3314" s="49" t="s">
        <v>814</v>
      </c>
      <c r="P3314" s="54" t="s">
        <v>3392</v>
      </c>
      <c r="Q3314" s="35" t="str">
        <f>MID(Tabla1[[#This Row],[Aplicación]],14,1)</f>
        <v>2</v>
      </c>
      <c r="R3314" s="35" t="s">
        <v>495</v>
      </c>
      <c r="S3314" s="35" t="str">
        <f>MID(Tabla1[[#This Row],[Aplicación]],6,2)</f>
        <v>06</v>
      </c>
      <c r="T3314" s="35" t="str">
        <f>VLOOKUP(Tabla1[[#This Row],[AREA]],Hoja1!A:B,2,FALSE)</f>
        <v>06. Educación, infancia, juventud e igualdad</v>
      </c>
      <c r="U3314" s="35" t="str">
        <f>MID(Tabla1[[#This Row],[Aplicación]],9,4)</f>
        <v>3232</v>
      </c>
      <c r="V3314" s="35" t="str">
        <f>VLOOKUP(Tabla1[[#This Row],[PROGRAMA]],Hoja1!A:B,2,FALSE)</f>
        <v>3232. Conservación y mantenimiento centros educación infantil y primaria</v>
      </c>
      <c r="W3314" s="35" t="str">
        <f>MID(Tabla1[[#This Row],[Aplicación]],14,2)</f>
        <v>21</v>
      </c>
      <c r="X3314" s="35" t="str">
        <f>MID(Tabla1[[#This Row],[Aplicación]],14,6)</f>
        <v>212</v>
      </c>
    </row>
    <row r="3315" spans="1:24" x14ac:dyDescent="0.25">
      <c r="A3315" s="45">
        <v>220210026014</v>
      </c>
      <c r="B3315" s="46" t="s">
        <v>204</v>
      </c>
      <c r="C3315" s="47">
        <v>44344</v>
      </c>
      <c r="D3315" s="45">
        <v>22021002228</v>
      </c>
      <c r="E3315" s="46" t="s">
        <v>1471</v>
      </c>
      <c r="F3315" s="48">
        <v>9.86</v>
      </c>
      <c r="G3315" s="54" t="s">
        <v>277</v>
      </c>
      <c r="H3315" s="54" t="s">
        <v>4878</v>
      </c>
      <c r="I3315" s="53" t="s">
        <v>205</v>
      </c>
      <c r="J3315" s="54" t="s">
        <v>127</v>
      </c>
      <c r="K3315" s="54" t="s">
        <v>127</v>
      </c>
      <c r="L3315" s="54" t="s">
        <v>15</v>
      </c>
      <c r="M3315" s="54" t="s">
        <v>13</v>
      </c>
      <c r="N3315" s="54" t="s">
        <v>14</v>
      </c>
      <c r="O3315" s="49" t="s">
        <v>814</v>
      </c>
      <c r="P3315" s="54" t="s">
        <v>3392</v>
      </c>
      <c r="Q3315" s="35" t="str">
        <f>MID(Tabla1[[#This Row],[Aplicación]],14,1)</f>
        <v>2</v>
      </c>
      <c r="R3315" s="35" t="s">
        <v>495</v>
      </c>
      <c r="S3315" s="35" t="str">
        <f>MID(Tabla1[[#This Row],[Aplicación]],6,2)</f>
        <v>06</v>
      </c>
      <c r="T3315" s="35" t="str">
        <f>VLOOKUP(Tabla1[[#This Row],[AREA]],Hoja1!A:B,2,FALSE)</f>
        <v>06. Educación, infancia, juventud e igualdad</v>
      </c>
      <c r="U3315" s="35" t="str">
        <f>MID(Tabla1[[#This Row],[Aplicación]],9,4)</f>
        <v>3232</v>
      </c>
      <c r="V3315" s="35" t="str">
        <f>VLOOKUP(Tabla1[[#This Row],[PROGRAMA]],Hoja1!A:B,2,FALSE)</f>
        <v>3232. Conservación y mantenimiento centros educación infantil y primaria</v>
      </c>
      <c r="W3315" s="35" t="str">
        <f>MID(Tabla1[[#This Row],[Aplicación]],14,2)</f>
        <v>21</v>
      </c>
      <c r="X3315" s="35" t="str">
        <f>MID(Tabla1[[#This Row],[Aplicación]],14,6)</f>
        <v>212</v>
      </c>
    </row>
    <row r="3316" spans="1:24" x14ac:dyDescent="0.25">
      <c r="A3316" s="45">
        <v>220210024795</v>
      </c>
      <c r="B3316" s="46" t="s">
        <v>204</v>
      </c>
      <c r="C3316" s="47">
        <v>44340</v>
      </c>
      <c r="D3316" s="45">
        <v>22021002369</v>
      </c>
      <c r="E3316" s="46" t="s">
        <v>1336</v>
      </c>
      <c r="F3316" s="48">
        <v>9.7200000000000006</v>
      </c>
      <c r="G3316" s="54" t="s">
        <v>235</v>
      </c>
      <c r="H3316" s="54" t="s">
        <v>4879</v>
      </c>
      <c r="I3316" s="53" t="s">
        <v>205</v>
      </c>
      <c r="J3316" s="54" t="s">
        <v>742</v>
      </c>
      <c r="K3316" s="54" t="s">
        <v>165</v>
      </c>
      <c r="L3316" s="54" t="s">
        <v>15</v>
      </c>
      <c r="M3316" s="54" t="s">
        <v>13</v>
      </c>
      <c r="N3316" s="54" t="s">
        <v>14</v>
      </c>
      <c r="O3316" s="49" t="s">
        <v>814</v>
      </c>
      <c r="P3316" s="54" t="s">
        <v>3392</v>
      </c>
      <c r="Q3316" s="35" t="str">
        <f>MID(Tabla1[[#This Row],[Aplicación]],14,1)</f>
        <v>2</v>
      </c>
      <c r="R3316" s="35" t="s">
        <v>495</v>
      </c>
      <c r="S3316" s="35" t="str">
        <f>MID(Tabla1[[#This Row],[Aplicación]],6,2)</f>
        <v>02</v>
      </c>
      <c r="T3316" s="35" t="str">
        <f>VLOOKUP(Tabla1[[#This Row],[AREA]],Hoja1!A:B,2,FALSE)</f>
        <v>02. Planeamiento urbanístico y vivienda</v>
      </c>
      <c r="U3316" s="35" t="str">
        <f>MID(Tabla1[[#This Row],[Aplicación]],9,4)</f>
        <v>9332</v>
      </c>
      <c r="V3316" s="35" t="str">
        <f>VLOOKUP(Tabla1[[#This Row],[PROGRAMA]],Hoja1!A:B,2,FALSE)</f>
        <v>9332. Mantenimiento de edificios e instalaciones municipales</v>
      </c>
      <c r="W3316" s="35" t="str">
        <f>MID(Tabla1[[#This Row],[Aplicación]],14,2)</f>
        <v>21</v>
      </c>
      <c r="X3316" s="35" t="str">
        <f>MID(Tabla1[[#This Row],[Aplicación]],14,6)</f>
        <v>212</v>
      </c>
    </row>
    <row r="3317" spans="1:24" x14ac:dyDescent="0.25">
      <c r="A3317" s="45">
        <v>220210031300</v>
      </c>
      <c r="B3317" s="46" t="s">
        <v>204</v>
      </c>
      <c r="C3317" s="47">
        <v>44363</v>
      </c>
      <c r="D3317" s="45">
        <v>22021002228</v>
      </c>
      <c r="E3317" s="46" t="s">
        <v>1471</v>
      </c>
      <c r="F3317" s="48">
        <v>9.51</v>
      </c>
      <c r="G3317" s="54" t="s">
        <v>277</v>
      </c>
      <c r="H3317" s="54" t="s">
        <v>4880</v>
      </c>
      <c r="I3317" s="53" t="s">
        <v>205</v>
      </c>
      <c r="J3317" s="54" t="s">
        <v>127</v>
      </c>
      <c r="K3317" s="54" t="s">
        <v>127</v>
      </c>
      <c r="L3317" s="54" t="s">
        <v>15</v>
      </c>
      <c r="M3317" s="54" t="s">
        <v>13</v>
      </c>
      <c r="N3317" s="54" t="s">
        <v>14</v>
      </c>
      <c r="O3317" s="49" t="s">
        <v>814</v>
      </c>
      <c r="P3317" s="54" t="s">
        <v>3392</v>
      </c>
      <c r="Q3317" s="35" t="str">
        <f>MID(Tabla1[[#This Row],[Aplicación]],14,1)</f>
        <v>2</v>
      </c>
      <c r="R3317" s="35" t="s">
        <v>495</v>
      </c>
      <c r="S3317" s="35" t="str">
        <f>MID(Tabla1[[#This Row],[Aplicación]],6,2)</f>
        <v>06</v>
      </c>
      <c r="T3317" s="35" t="str">
        <f>VLOOKUP(Tabla1[[#This Row],[AREA]],Hoja1!A:B,2,FALSE)</f>
        <v>06. Educación, infancia, juventud e igualdad</v>
      </c>
      <c r="U3317" s="35" t="str">
        <f>MID(Tabla1[[#This Row],[Aplicación]],9,4)</f>
        <v>3232</v>
      </c>
      <c r="V3317" s="35" t="str">
        <f>VLOOKUP(Tabla1[[#This Row],[PROGRAMA]],Hoja1!A:B,2,FALSE)</f>
        <v>3232. Conservación y mantenimiento centros educación infantil y primaria</v>
      </c>
      <c r="W3317" s="35" t="str">
        <f>MID(Tabla1[[#This Row],[Aplicación]],14,2)</f>
        <v>21</v>
      </c>
      <c r="X3317" s="35" t="str">
        <f>MID(Tabla1[[#This Row],[Aplicación]],14,6)</f>
        <v>212</v>
      </c>
    </row>
    <row r="3318" spans="1:24" x14ac:dyDescent="0.25">
      <c r="A3318" s="45">
        <v>220210030497</v>
      </c>
      <c r="B3318" s="46" t="s">
        <v>204</v>
      </c>
      <c r="C3318" s="47">
        <v>44358</v>
      </c>
      <c r="D3318" s="45">
        <v>22021002006</v>
      </c>
      <c r="E3318" s="46" t="s">
        <v>1310</v>
      </c>
      <c r="F3318" s="48">
        <v>9.18</v>
      </c>
      <c r="G3318" s="54" t="s">
        <v>102</v>
      </c>
      <c r="H3318" s="54" t="s">
        <v>4881</v>
      </c>
      <c r="I3318" s="53" t="s">
        <v>205</v>
      </c>
      <c r="J3318" s="54" t="s">
        <v>127</v>
      </c>
      <c r="K3318" s="54" t="s">
        <v>127</v>
      </c>
      <c r="L3318" s="54" t="s">
        <v>15</v>
      </c>
      <c r="M3318" s="54" t="s">
        <v>13</v>
      </c>
      <c r="N3318" s="54" t="s">
        <v>14</v>
      </c>
      <c r="O3318" s="49" t="s">
        <v>814</v>
      </c>
      <c r="P3318" s="54" t="s">
        <v>3392</v>
      </c>
      <c r="Q3318" s="35" t="str">
        <f>MID(Tabla1[[#This Row],[Aplicación]],14,1)</f>
        <v>2</v>
      </c>
      <c r="R3318" s="35" t="s">
        <v>495</v>
      </c>
      <c r="S3318" s="35" t="str">
        <f>MID(Tabla1[[#This Row],[Aplicación]],6,2)</f>
        <v>11</v>
      </c>
      <c r="T3318" s="35" t="str">
        <f>VLOOKUP(Tabla1[[#This Row],[AREA]],Hoja1!A:B,2,FALSE)</f>
        <v>11. Salud pública y seguridad ciudadana</v>
      </c>
      <c r="U3318" s="35" t="str">
        <f>MID(Tabla1[[#This Row],[Aplicación]],9,4)</f>
        <v>3111</v>
      </c>
      <c r="V3318" s="35" t="str">
        <f>VLOOKUP(Tabla1[[#This Row],[PROGRAMA]],Hoja1!A:B,2,FALSE)</f>
        <v>3111. Protección de la salubridad pública</v>
      </c>
      <c r="W3318" s="35" t="str">
        <f>MID(Tabla1[[#This Row],[Aplicación]],14,2)</f>
        <v>22</v>
      </c>
      <c r="X3318" s="35" t="str">
        <f>MID(Tabla1[[#This Row],[Aplicación]],14,6)</f>
        <v>22199</v>
      </c>
    </row>
    <row r="3319" spans="1:24" x14ac:dyDescent="0.25">
      <c r="A3319" s="45">
        <v>220210022716</v>
      </c>
      <c r="B3319" s="46" t="s">
        <v>204</v>
      </c>
      <c r="C3319" s="47">
        <v>44333</v>
      </c>
      <c r="D3319" s="45">
        <v>22021002053</v>
      </c>
      <c r="E3319" s="46" t="s">
        <v>1443</v>
      </c>
      <c r="F3319" s="48">
        <v>8.3000000000000007</v>
      </c>
      <c r="G3319" s="54" t="s">
        <v>102</v>
      </c>
      <c r="H3319" s="54" t="s">
        <v>4882</v>
      </c>
      <c r="I3319" s="53" t="s">
        <v>205</v>
      </c>
      <c r="J3319" s="54" t="s">
        <v>127</v>
      </c>
      <c r="K3319" s="54" t="s">
        <v>127</v>
      </c>
      <c r="L3319" s="54" t="s">
        <v>15</v>
      </c>
      <c r="M3319" s="54" t="s">
        <v>13</v>
      </c>
      <c r="N3319" s="54" t="s">
        <v>14</v>
      </c>
      <c r="O3319" s="49" t="s">
        <v>814</v>
      </c>
      <c r="P3319" s="54" t="s">
        <v>3392</v>
      </c>
      <c r="Q3319" s="35" t="str">
        <f>MID(Tabla1[[#This Row],[Aplicación]],14,1)</f>
        <v>2</v>
      </c>
      <c r="R3319" s="35" t="s">
        <v>495</v>
      </c>
      <c r="S3319" s="35" t="str">
        <f>MID(Tabla1[[#This Row],[Aplicación]],6,2)</f>
        <v>11</v>
      </c>
      <c r="T3319" s="35" t="str">
        <f>VLOOKUP(Tabla1[[#This Row],[AREA]],Hoja1!A:B,2,FALSE)</f>
        <v>11. Salud pública y seguridad ciudadana</v>
      </c>
      <c r="U3319" s="35" t="str">
        <f>MID(Tabla1[[#This Row],[Aplicación]],9,4)</f>
        <v>1631</v>
      </c>
      <c r="V3319" s="35" t="str">
        <f>VLOOKUP(Tabla1[[#This Row],[PROGRAMA]],Hoja1!A:B,2,FALSE)</f>
        <v>1631. Limpieza viaria</v>
      </c>
      <c r="W3319" s="35" t="str">
        <f>MID(Tabla1[[#This Row],[Aplicación]],14,2)</f>
        <v>21</v>
      </c>
      <c r="X3319" s="35" t="str">
        <f>MID(Tabla1[[#This Row],[Aplicación]],14,6)</f>
        <v>212</v>
      </c>
    </row>
    <row r="3320" spans="1:24" x14ac:dyDescent="0.25">
      <c r="A3320" s="45">
        <v>220210033214</v>
      </c>
      <c r="B3320" s="46" t="s">
        <v>204</v>
      </c>
      <c r="C3320" s="47">
        <v>44377</v>
      </c>
      <c r="D3320" s="45">
        <v>22021002006</v>
      </c>
      <c r="E3320" s="46" t="s">
        <v>1310</v>
      </c>
      <c r="F3320" s="48">
        <v>8.06</v>
      </c>
      <c r="G3320" s="54" t="s">
        <v>102</v>
      </c>
      <c r="H3320" s="54" t="s">
        <v>4883</v>
      </c>
      <c r="I3320" s="53" t="s">
        <v>205</v>
      </c>
      <c r="J3320" s="54" t="s">
        <v>127</v>
      </c>
      <c r="K3320" s="54" t="s">
        <v>127</v>
      </c>
      <c r="L3320" s="54" t="s">
        <v>15</v>
      </c>
      <c r="M3320" s="54" t="s">
        <v>13</v>
      </c>
      <c r="N3320" s="54" t="s">
        <v>14</v>
      </c>
      <c r="O3320" s="49" t="s">
        <v>814</v>
      </c>
      <c r="P3320" s="54" t="s">
        <v>3392</v>
      </c>
      <c r="Q3320" s="35" t="str">
        <f>MID(Tabla1[[#This Row],[Aplicación]],14,1)</f>
        <v>2</v>
      </c>
      <c r="R3320" s="35" t="s">
        <v>495</v>
      </c>
      <c r="S3320" s="35" t="str">
        <f>MID(Tabla1[[#This Row],[Aplicación]],6,2)</f>
        <v>11</v>
      </c>
      <c r="T3320" s="35" t="str">
        <f>VLOOKUP(Tabla1[[#This Row],[AREA]],Hoja1!A:B,2,FALSE)</f>
        <v>11. Salud pública y seguridad ciudadana</v>
      </c>
      <c r="U3320" s="35" t="str">
        <f>MID(Tabla1[[#This Row],[Aplicación]],9,4)</f>
        <v>3111</v>
      </c>
      <c r="V3320" s="35" t="str">
        <f>VLOOKUP(Tabla1[[#This Row],[PROGRAMA]],Hoja1!A:B,2,FALSE)</f>
        <v>3111. Protección de la salubridad pública</v>
      </c>
      <c r="W3320" s="35" t="str">
        <f>MID(Tabla1[[#This Row],[Aplicación]],14,2)</f>
        <v>22</v>
      </c>
      <c r="X3320" s="35" t="str">
        <f>MID(Tabla1[[#This Row],[Aplicación]],14,6)</f>
        <v>22199</v>
      </c>
    </row>
    <row r="3321" spans="1:24" x14ac:dyDescent="0.25">
      <c r="A3321" s="45">
        <v>220210014719</v>
      </c>
      <c r="B3321" s="46" t="s">
        <v>204</v>
      </c>
      <c r="C3321" s="47">
        <v>44299</v>
      </c>
      <c r="D3321" s="45">
        <v>22021001039</v>
      </c>
      <c r="E3321" s="46" t="s">
        <v>844</v>
      </c>
      <c r="F3321" s="48">
        <v>8.02</v>
      </c>
      <c r="G3321" s="54" t="s">
        <v>102</v>
      </c>
      <c r="H3321" s="54" t="s">
        <v>4300</v>
      </c>
      <c r="I3321" s="53" t="s">
        <v>205</v>
      </c>
      <c r="J3321" s="54" t="s">
        <v>127</v>
      </c>
      <c r="K3321" s="54" t="s">
        <v>127</v>
      </c>
      <c r="L3321" s="54" t="s">
        <v>15</v>
      </c>
      <c r="M3321" s="54" t="s">
        <v>13</v>
      </c>
      <c r="N3321" s="54" t="s">
        <v>14</v>
      </c>
      <c r="O3321" s="49" t="s">
        <v>814</v>
      </c>
      <c r="P3321" s="54" t="s">
        <v>3392</v>
      </c>
      <c r="Q3321" s="35" t="str">
        <f>MID(Tabla1[[#This Row],[Aplicación]],14,1)</f>
        <v>2</v>
      </c>
      <c r="R3321" s="35" t="s">
        <v>495</v>
      </c>
      <c r="S3321" s="35" t="str">
        <f>MID(Tabla1[[#This Row],[Aplicación]],6,2)</f>
        <v>10</v>
      </c>
      <c r="T3321" s="35" t="str">
        <f>VLOOKUP(Tabla1[[#This Row],[AREA]],Hoja1!A:B,2,FALSE)</f>
        <v>10. Servicios sociales y mediación comunitaria</v>
      </c>
      <c r="U3321" s="35" t="str">
        <f>MID(Tabla1[[#This Row],[Aplicación]],9,4)</f>
        <v>2312</v>
      </c>
      <c r="V3321" s="35" t="str">
        <f>VLOOKUP(Tabla1[[#This Row],[PROGRAMA]],Hoja1!A:B,2,FALSE)</f>
        <v>2312. Iniciativas sociales</v>
      </c>
      <c r="W3321" s="35" t="str">
        <f>MID(Tabla1[[#This Row],[Aplicación]],14,2)</f>
        <v>21</v>
      </c>
      <c r="X3321" s="35" t="str">
        <f>MID(Tabla1[[#This Row],[Aplicación]],14,6)</f>
        <v>212</v>
      </c>
    </row>
    <row r="3322" spans="1:24" x14ac:dyDescent="0.25">
      <c r="A3322" s="45">
        <v>220210020776</v>
      </c>
      <c r="B3322" s="46" t="s">
        <v>204</v>
      </c>
      <c r="C3322" s="47">
        <v>44323</v>
      </c>
      <c r="D3322" s="45">
        <v>22021002088</v>
      </c>
      <c r="E3322" s="46" t="s">
        <v>1478</v>
      </c>
      <c r="F3322" s="48">
        <v>7.73</v>
      </c>
      <c r="G3322" s="54" t="s">
        <v>263</v>
      </c>
      <c r="H3322" s="54" t="s">
        <v>4884</v>
      </c>
      <c r="I3322" s="53" t="s">
        <v>205</v>
      </c>
      <c r="J3322" s="54" t="s">
        <v>127</v>
      </c>
      <c r="K3322" s="54" t="s">
        <v>127</v>
      </c>
      <c r="L3322" s="54" t="s">
        <v>15</v>
      </c>
      <c r="M3322" s="54" t="s">
        <v>13</v>
      </c>
      <c r="N3322" s="54" t="s">
        <v>16</v>
      </c>
      <c r="O3322" s="49" t="s">
        <v>814</v>
      </c>
      <c r="P3322" s="54" t="s">
        <v>3392</v>
      </c>
      <c r="Q3322" s="35" t="str">
        <f>MID(Tabla1[[#This Row],[Aplicación]],14,1)</f>
        <v>2</v>
      </c>
      <c r="R3322" s="35" t="s">
        <v>495</v>
      </c>
      <c r="S3322" s="35" t="str">
        <f>MID(Tabla1[[#This Row],[Aplicación]],6,2)</f>
        <v>03</v>
      </c>
      <c r="T3322" s="35" t="str">
        <f>VLOOKUP(Tabla1[[#This Row],[AREA]],Hoja1!A:B,2,FALSE)</f>
        <v>03. Participación ciudadana y deportes</v>
      </c>
      <c r="U3322" s="35" t="str">
        <f>MID(Tabla1[[#This Row],[Aplicación]],9,4)</f>
        <v>9241</v>
      </c>
      <c r="V3322" s="35" t="str">
        <f>VLOOKUP(Tabla1[[#This Row],[PROGRAMA]],Hoja1!A:B,2,FALSE)</f>
        <v>9241. Participación ciudadana</v>
      </c>
      <c r="W3322" s="35" t="str">
        <f>MID(Tabla1[[#This Row],[Aplicación]],14,2)</f>
        <v>21</v>
      </c>
      <c r="X3322" s="35" t="str">
        <f>MID(Tabla1[[#This Row],[Aplicación]],14,6)</f>
        <v>212</v>
      </c>
    </row>
    <row r="3323" spans="1:24" x14ac:dyDescent="0.25">
      <c r="A3323" s="45">
        <v>220210021735</v>
      </c>
      <c r="B3323" s="46" t="s">
        <v>204</v>
      </c>
      <c r="C3323" s="47">
        <v>44327</v>
      </c>
      <c r="D3323" s="45">
        <v>22021002143</v>
      </c>
      <c r="E3323" s="46" t="s">
        <v>1328</v>
      </c>
      <c r="F3323" s="48">
        <v>7.72</v>
      </c>
      <c r="G3323" s="54" t="s">
        <v>263</v>
      </c>
      <c r="H3323" s="54" t="s">
        <v>4885</v>
      </c>
      <c r="I3323" s="53" t="s">
        <v>205</v>
      </c>
      <c r="J3323" s="54" t="s">
        <v>127</v>
      </c>
      <c r="K3323" s="54" t="s">
        <v>127</v>
      </c>
      <c r="L3323" s="54" t="s">
        <v>15</v>
      </c>
      <c r="M3323" s="54" t="s">
        <v>13</v>
      </c>
      <c r="N3323" s="54" t="s">
        <v>14</v>
      </c>
      <c r="O3323" s="49" t="s">
        <v>814</v>
      </c>
      <c r="P3323" s="54" t="s">
        <v>3392</v>
      </c>
      <c r="Q3323" s="35" t="str">
        <f>MID(Tabla1[[#This Row],[Aplicación]],14,1)</f>
        <v>2</v>
      </c>
      <c r="R3323" s="35" t="s">
        <v>495</v>
      </c>
      <c r="S3323" s="35" t="str">
        <f>MID(Tabla1[[#This Row],[Aplicación]],6,2)</f>
        <v>10</v>
      </c>
      <c r="T3323" s="35" t="str">
        <f>VLOOKUP(Tabla1[[#This Row],[AREA]],Hoja1!A:B,2,FALSE)</f>
        <v>10. Servicios sociales y mediación comunitaria</v>
      </c>
      <c r="U3323" s="35" t="str">
        <f>MID(Tabla1[[#This Row],[Aplicación]],9,4)</f>
        <v>2311</v>
      </c>
      <c r="V3323" s="35" t="str">
        <f>VLOOKUP(Tabla1[[#This Row],[PROGRAMA]],Hoja1!A:B,2,FALSE)</f>
        <v>2311. Intervención social</v>
      </c>
      <c r="W3323" s="35" t="str">
        <f>MID(Tabla1[[#This Row],[Aplicación]],14,2)</f>
        <v>21</v>
      </c>
      <c r="X3323" s="35" t="str">
        <f>MID(Tabla1[[#This Row],[Aplicación]],14,6)</f>
        <v>212</v>
      </c>
    </row>
    <row r="3324" spans="1:24" x14ac:dyDescent="0.25">
      <c r="A3324" s="45">
        <v>220210023533</v>
      </c>
      <c r="B3324" s="46" t="s">
        <v>501</v>
      </c>
      <c r="C3324" s="47">
        <v>44336</v>
      </c>
      <c r="D3324" s="45">
        <v>22021000491</v>
      </c>
      <c r="E3324" s="46" t="s">
        <v>983</v>
      </c>
      <c r="F3324" s="48">
        <v>-12.66</v>
      </c>
      <c r="G3324" s="54" t="s">
        <v>43</v>
      </c>
      <c r="H3324" s="54" t="s">
        <v>1233</v>
      </c>
      <c r="I3324" s="53" t="s">
        <v>125</v>
      </c>
      <c r="J3324" s="54" t="s">
        <v>127</v>
      </c>
      <c r="K3324" s="54" t="s">
        <v>127</v>
      </c>
      <c r="L3324" s="54" t="s">
        <v>12</v>
      </c>
      <c r="M3324" s="54" t="s">
        <v>10</v>
      </c>
      <c r="N3324" s="54" t="s">
        <v>11</v>
      </c>
      <c r="O3324" s="49" t="s">
        <v>815</v>
      </c>
      <c r="P3324" s="54" t="s">
        <v>3392</v>
      </c>
      <c r="Q3324" s="35" t="str">
        <f>MID(Tabla1[[#This Row],[Aplicación]],14,1)</f>
        <v>2</v>
      </c>
      <c r="R3324" s="35" t="s">
        <v>495</v>
      </c>
      <c r="S3324" s="35" t="str">
        <f>MID(Tabla1[[#This Row],[Aplicación]],6,2)</f>
        <v>10</v>
      </c>
      <c r="T3324" s="35" t="str">
        <f>VLOOKUP(Tabla1[[#This Row],[AREA]],Hoja1!A:B,2,FALSE)</f>
        <v>10. Servicios sociales y mediación comunitaria</v>
      </c>
      <c r="U3324" s="35" t="str">
        <f>MID(Tabla1[[#This Row],[Aplicación]],9,4)</f>
        <v>2412</v>
      </c>
      <c r="V3324" s="35" t="str">
        <f>VLOOKUP(Tabla1[[#This Row],[PROGRAMA]],Hoja1!A:B,2,FALSE)</f>
        <v>2412. Formación para el empleo</v>
      </c>
      <c r="W3324" s="35" t="str">
        <f>MID(Tabla1[[#This Row],[Aplicación]],14,2)</f>
        <v>21</v>
      </c>
      <c r="X3324" s="35" t="str">
        <f>MID(Tabla1[[#This Row],[Aplicación]],14,6)</f>
        <v>213</v>
      </c>
    </row>
    <row r="3325" spans="1:24" x14ac:dyDescent="0.25">
      <c r="A3325" s="45">
        <v>220210016745</v>
      </c>
      <c r="B3325" s="46" t="s">
        <v>501</v>
      </c>
      <c r="C3325" s="47">
        <v>44308</v>
      </c>
      <c r="D3325" s="45">
        <v>22021000676</v>
      </c>
      <c r="E3325" s="46" t="s">
        <v>983</v>
      </c>
      <c r="F3325" s="48">
        <v>-34.14</v>
      </c>
      <c r="G3325" s="54" t="s">
        <v>53</v>
      </c>
      <c r="H3325" s="54" t="s">
        <v>2714</v>
      </c>
      <c r="I3325" s="53" t="s">
        <v>125</v>
      </c>
      <c r="J3325" s="54" t="s">
        <v>127</v>
      </c>
      <c r="K3325" s="54" t="s">
        <v>127</v>
      </c>
      <c r="L3325" s="54" t="s">
        <v>12</v>
      </c>
      <c r="M3325" s="54" t="s">
        <v>10</v>
      </c>
      <c r="N3325" s="54" t="s">
        <v>11</v>
      </c>
      <c r="O3325" s="49" t="s">
        <v>815</v>
      </c>
      <c r="P3325" s="54" t="s">
        <v>3392</v>
      </c>
      <c r="Q3325" s="35" t="str">
        <f>MID(Tabla1[[#This Row],[Aplicación]],14,1)</f>
        <v>2</v>
      </c>
      <c r="R3325" s="35" t="s">
        <v>495</v>
      </c>
      <c r="S3325" s="35" t="str">
        <f>MID(Tabla1[[#This Row],[Aplicación]],6,2)</f>
        <v>10</v>
      </c>
      <c r="T3325" s="35" t="str">
        <f>VLOOKUP(Tabla1[[#This Row],[AREA]],Hoja1!A:B,2,FALSE)</f>
        <v>10. Servicios sociales y mediación comunitaria</v>
      </c>
      <c r="U3325" s="35" t="str">
        <f>MID(Tabla1[[#This Row],[Aplicación]],9,4)</f>
        <v>2412</v>
      </c>
      <c r="V3325" s="35" t="str">
        <f>VLOOKUP(Tabla1[[#This Row],[PROGRAMA]],Hoja1!A:B,2,FALSE)</f>
        <v>2412. Formación para el empleo</v>
      </c>
      <c r="W3325" s="35" t="str">
        <f>MID(Tabla1[[#This Row],[Aplicación]],14,2)</f>
        <v>21</v>
      </c>
      <c r="X3325" s="35" t="str">
        <f>MID(Tabla1[[#This Row],[Aplicación]],14,6)</f>
        <v>213</v>
      </c>
    </row>
    <row r="3326" spans="1:24" x14ac:dyDescent="0.25">
      <c r="A3326" s="45">
        <v>220210020770</v>
      </c>
      <c r="B3326" s="46" t="s">
        <v>204</v>
      </c>
      <c r="C3326" s="47">
        <v>44323</v>
      </c>
      <c r="D3326" s="45">
        <v>22021002089</v>
      </c>
      <c r="E3326" s="46" t="s">
        <v>1220</v>
      </c>
      <c r="F3326" s="48">
        <v>7.62</v>
      </c>
      <c r="G3326" s="54" t="s">
        <v>277</v>
      </c>
      <c r="H3326" s="54" t="s">
        <v>4886</v>
      </c>
      <c r="I3326" s="53" t="s">
        <v>205</v>
      </c>
      <c r="J3326" s="54" t="s">
        <v>127</v>
      </c>
      <c r="K3326" s="54" t="s">
        <v>127</v>
      </c>
      <c r="L3326" s="54" t="s">
        <v>15</v>
      </c>
      <c r="M3326" s="54" t="s">
        <v>13</v>
      </c>
      <c r="N3326" s="54" t="s">
        <v>16</v>
      </c>
      <c r="O3326" s="49" t="s">
        <v>814</v>
      </c>
      <c r="P3326" s="54" t="s">
        <v>3392</v>
      </c>
      <c r="Q3326" s="35" t="str">
        <f>MID(Tabla1[[#This Row],[Aplicación]],14,1)</f>
        <v>2</v>
      </c>
      <c r="R3326" s="35" t="s">
        <v>495</v>
      </c>
      <c r="S3326" s="35" t="str">
        <f>MID(Tabla1[[#This Row],[Aplicación]],6,2)</f>
        <v>03</v>
      </c>
      <c r="T3326" s="35" t="str">
        <f>VLOOKUP(Tabla1[[#This Row],[AREA]],Hoja1!A:B,2,FALSE)</f>
        <v>03. Participación ciudadana y deportes</v>
      </c>
      <c r="U3326" s="35" t="str">
        <f>MID(Tabla1[[#This Row],[Aplicación]],9,4)</f>
        <v>9241</v>
      </c>
      <c r="V3326" s="35" t="str">
        <f>VLOOKUP(Tabla1[[#This Row],[PROGRAMA]],Hoja1!A:B,2,FALSE)</f>
        <v>9241. Participación ciudadana</v>
      </c>
      <c r="W3326" s="35" t="str">
        <f>MID(Tabla1[[#This Row],[Aplicación]],14,2)</f>
        <v>21</v>
      </c>
      <c r="X3326" s="35" t="str">
        <f>MID(Tabla1[[#This Row],[Aplicación]],14,6)</f>
        <v>213</v>
      </c>
    </row>
    <row r="3327" spans="1:24" x14ac:dyDescent="0.25">
      <c r="A3327" s="45">
        <v>220210023532</v>
      </c>
      <c r="B3327" s="46" t="s">
        <v>501</v>
      </c>
      <c r="C3327" s="47">
        <v>44336</v>
      </c>
      <c r="D3327" s="45">
        <v>22021000548</v>
      </c>
      <c r="E3327" s="46" t="s">
        <v>983</v>
      </c>
      <c r="F3327" s="48">
        <v>-41.73</v>
      </c>
      <c r="G3327" s="54" t="s">
        <v>85</v>
      </c>
      <c r="H3327" s="54" t="s">
        <v>1351</v>
      </c>
      <c r="I3327" s="53" t="s">
        <v>125</v>
      </c>
      <c r="J3327" s="54" t="s">
        <v>127</v>
      </c>
      <c r="K3327" s="54" t="s">
        <v>127</v>
      </c>
      <c r="L3327" s="54" t="s">
        <v>12</v>
      </c>
      <c r="M3327" s="54" t="s">
        <v>10</v>
      </c>
      <c r="N3327" s="54" t="s">
        <v>11</v>
      </c>
      <c r="O3327" s="49" t="s">
        <v>815</v>
      </c>
      <c r="P3327" s="54" t="s">
        <v>3392</v>
      </c>
      <c r="Q3327" s="35" t="str">
        <f>MID(Tabla1[[#This Row],[Aplicación]],14,1)</f>
        <v>2</v>
      </c>
      <c r="R3327" s="35" t="s">
        <v>495</v>
      </c>
      <c r="S3327" s="35" t="str">
        <f>MID(Tabla1[[#This Row],[Aplicación]],6,2)</f>
        <v>10</v>
      </c>
      <c r="T3327" s="35" t="str">
        <f>VLOOKUP(Tabla1[[#This Row],[AREA]],Hoja1!A:B,2,FALSE)</f>
        <v>10. Servicios sociales y mediación comunitaria</v>
      </c>
      <c r="U3327" s="35" t="str">
        <f>MID(Tabla1[[#This Row],[Aplicación]],9,4)</f>
        <v>2412</v>
      </c>
      <c r="V3327" s="35" t="str">
        <f>VLOOKUP(Tabla1[[#This Row],[PROGRAMA]],Hoja1!A:B,2,FALSE)</f>
        <v>2412. Formación para el empleo</v>
      </c>
      <c r="W3327" s="35" t="str">
        <f>MID(Tabla1[[#This Row],[Aplicación]],14,2)</f>
        <v>21</v>
      </c>
      <c r="X3327" s="35" t="str">
        <f>MID(Tabla1[[#This Row],[Aplicación]],14,6)</f>
        <v>213</v>
      </c>
    </row>
    <row r="3328" spans="1:24" x14ac:dyDescent="0.25">
      <c r="A3328" s="45">
        <v>220210028694</v>
      </c>
      <c r="B3328" s="46" t="s">
        <v>501</v>
      </c>
      <c r="C3328" s="47">
        <v>44351</v>
      </c>
      <c r="D3328" s="45">
        <v>22021002065</v>
      </c>
      <c r="E3328" s="46" t="s">
        <v>873</v>
      </c>
      <c r="F3328" s="48">
        <v>-44.75</v>
      </c>
      <c r="G3328" s="54" t="s">
        <v>209</v>
      </c>
      <c r="H3328" s="54" t="s">
        <v>2519</v>
      </c>
      <c r="I3328" s="53" t="s">
        <v>125</v>
      </c>
      <c r="J3328" s="54" t="s">
        <v>127</v>
      </c>
      <c r="K3328" s="54" t="s">
        <v>127</v>
      </c>
      <c r="L3328" s="54" t="s">
        <v>15</v>
      </c>
      <c r="M3328" s="54" t="s">
        <v>10</v>
      </c>
      <c r="N3328" s="54" t="s">
        <v>11</v>
      </c>
      <c r="O3328" s="49" t="s">
        <v>815</v>
      </c>
      <c r="P3328" s="54" t="s">
        <v>3392</v>
      </c>
      <c r="Q3328" s="35" t="str">
        <f>MID(Tabla1[[#This Row],[Aplicación]],14,1)</f>
        <v>2</v>
      </c>
      <c r="R3328" s="35" t="s">
        <v>495</v>
      </c>
      <c r="S3328" s="35" t="str">
        <f>MID(Tabla1[[#This Row],[Aplicación]],6,2)</f>
        <v>10</v>
      </c>
      <c r="T3328" s="35" t="str">
        <f>VLOOKUP(Tabla1[[#This Row],[AREA]],Hoja1!A:B,2,FALSE)</f>
        <v>10. Servicios sociales y mediación comunitaria</v>
      </c>
      <c r="U3328" s="35" t="str">
        <f>MID(Tabla1[[#This Row],[Aplicación]],9,4)</f>
        <v>2412</v>
      </c>
      <c r="V3328" s="35" t="str">
        <f>VLOOKUP(Tabla1[[#This Row],[PROGRAMA]],Hoja1!A:B,2,FALSE)</f>
        <v>2412. Formación para el empleo</v>
      </c>
      <c r="W3328" s="35" t="str">
        <f>MID(Tabla1[[#This Row],[Aplicación]],14,2)</f>
        <v>22</v>
      </c>
      <c r="X3328" s="35" t="str">
        <f>MID(Tabla1[[#This Row],[Aplicación]],14,6)</f>
        <v>22199</v>
      </c>
    </row>
    <row r="3329" spans="1:24" x14ac:dyDescent="0.25">
      <c r="A3329" s="45">
        <v>220210023534</v>
      </c>
      <c r="B3329" s="46" t="s">
        <v>501</v>
      </c>
      <c r="C3329" s="47">
        <v>44336</v>
      </c>
      <c r="D3329" s="45">
        <v>22021000492</v>
      </c>
      <c r="E3329" s="46" t="s">
        <v>983</v>
      </c>
      <c r="F3329" s="48">
        <v>-69.650000000000006</v>
      </c>
      <c r="G3329" s="54" t="s">
        <v>43</v>
      </c>
      <c r="H3329" s="54" t="s">
        <v>1234</v>
      </c>
      <c r="I3329" s="53" t="s">
        <v>125</v>
      </c>
      <c r="J3329" s="54" t="s">
        <v>127</v>
      </c>
      <c r="K3329" s="54" t="s">
        <v>127</v>
      </c>
      <c r="L3329" s="54" t="s">
        <v>12</v>
      </c>
      <c r="M3329" s="54" t="s">
        <v>10</v>
      </c>
      <c r="N3329" s="54" t="s">
        <v>11</v>
      </c>
      <c r="O3329" s="49" t="s">
        <v>815</v>
      </c>
      <c r="P3329" s="54" t="s">
        <v>3392</v>
      </c>
      <c r="Q3329" s="35" t="str">
        <f>MID(Tabla1[[#This Row],[Aplicación]],14,1)</f>
        <v>2</v>
      </c>
      <c r="R3329" s="35" t="s">
        <v>495</v>
      </c>
      <c r="S3329" s="35" t="str">
        <f>MID(Tabla1[[#This Row],[Aplicación]],6,2)</f>
        <v>10</v>
      </c>
      <c r="T3329" s="35" t="str">
        <f>VLOOKUP(Tabla1[[#This Row],[AREA]],Hoja1!A:B,2,FALSE)</f>
        <v>10. Servicios sociales y mediación comunitaria</v>
      </c>
      <c r="U3329" s="35" t="str">
        <f>MID(Tabla1[[#This Row],[Aplicación]],9,4)</f>
        <v>2412</v>
      </c>
      <c r="V3329" s="35" t="str">
        <f>VLOOKUP(Tabla1[[#This Row],[PROGRAMA]],Hoja1!A:B,2,FALSE)</f>
        <v>2412. Formación para el empleo</v>
      </c>
      <c r="W3329" s="35" t="str">
        <f>MID(Tabla1[[#This Row],[Aplicación]],14,2)</f>
        <v>21</v>
      </c>
      <c r="X3329" s="35" t="str">
        <f>MID(Tabla1[[#This Row],[Aplicación]],14,6)</f>
        <v>213</v>
      </c>
    </row>
    <row r="3330" spans="1:24" x14ac:dyDescent="0.25">
      <c r="A3330" s="45">
        <v>220210023536</v>
      </c>
      <c r="B3330" s="46" t="s">
        <v>501</v>
      </c>
      <c r="C3330" s="47">
        <v>44336</v>
      </c>
      <c r="D3330" s="45">
        <v>22021000494</v>
      </c>
      <c r="E3330" s="46" t="s">
        <v>983</v>
      </c>
      <c r="F3330" s="48">
        <v>-75.989999999999995</v>
      </c>
      <c r="G3330" s="54" t="s">
        <v>43</v>
      </c>
      <c r="H3330" s="54" t="s">
        <v>1236</v>
      </c>
      <c r="I3330" s="53" t="s">
        <v>125</v>
      </c>
      <c r="J3330" s="54" t="s">
        <v>127</v>
      </c>
      <c r="K3330" s="54" t="s">
        <v>127</v>
      </c>
      <c r="L3330" s="54" t="s">
        <v>12</v>
      </c>
      <c r="M3330" s="54" t="s">
        <v>10</v>
      </c>
      <c r="N3330" s="54" t="s">
        <v>11</v>
      </c>
      <c r="O3330" s="49" t="s">
        <v>815</v>
      </c>
      <c r="P3330" s="54" t="s">
        <v>3392</v>
      </c>
      <c r="Q3330" s="35" t="str">
        <f>MID(Tabla1[[#This Row],[Aplicación]],14,1)</f>
        <v>2</v>
      </c>
      <c r="R3330" s="35" t="s">
        <v>495</v>
      </c>
      <c r="S3330" s="35" t="str">
        <f>MID(Tabla1[[#This Row],[Aplicación]],6,2)</f>
        <v>10</v>
      </c>
      <c r="T3330" s="35" t="str">
        <f>VLOOKUP(Tabla1[[#This Row],[AREA]],Hoja1!A:B,2,FALSE)</f>
        <v>10. Servicios sociales y mediación comunitaria</v>
      </c>
      <c r="U3330" s="35" t="str">
        <f>MID(Tabla1[[#This Row],[Aplicación]],9,4)</f>
        <v>2412</v>
      </c>
      <c r="V3330" s="35" t="str">
        <f>VLOOKUP(Tabla1[[#This Row],[PROGRAMA]],Hoja1!A:B,2,FALSE)</f>
        <v>2412. Formación para el empleo</v>
      </c>
      <c r="W3330" s="35" t="str">
        <f>MID(Tabla1[[#This Row],[Aplicación]],14,2)</f>
        <v>21</v>
      </c>
      <c r="X3330" s="35" t="str">
        <f>MID(Tabla1[[#This Row],[Aplicación]],14,6)</f>
        <v>213</v>
      </c>
    </row>
    <row r="3331" spans="1:24" x14ac:dyDescent="0.25">
      <c r="A3331" s="45">
        <v>220210023535</v>
      </c>
      <c r="B3331" s="46" t="s">
        <v>501</v>
      </c>
      <c r="C3331" s="47">
        <v>44336</v>
      </c>
      <c r="D3331" s="45">
        <v>22021000493</v>
      </c>
      <c r="E3331" s="46" t="s">
        <v>983</v>
      </c>
      <c r="F3331" s="48">
        <v>-183.65</v>
      </c>
      <c r="G3331" s="54" t="s">
        <v>43</v>
      </c>
      <c r="H3331" s="54" t="s">
        <v>1235</v>
      </c>
      <c r="I3331" s="53" t="s">
        <v>125</v>
      </c>
      <c r="J3331" s="54" t="s">
        <v>127</v>
      </c>
      <c r="K3331" s="54" t="s">
        <v>127</v>
      </c>
      <c r="L3331" s="54" t="s">
        <v>12</v>
      </c>
      <c r="M3331" s="54" t="s">
        <v>10</v>
      </c>
      <c r="N3331" s="54" t="s">
        <v>11</v>
      </c>
      <c r="O3331" s="49" t="s">
        <v>815</v>
      </c>
      <c r="P3331" s="54" t="s">
        <v>3392</v>
      </c>
      <c r="Q3331" s="35" t="str">
        <f>MID(Tabla1[[#This Row],[Aplicación]],14,1)</f>
        <v>2</v>
      </c>
      <c r="R3331" s="35" t="s">
        <v>495</v>
      </c>
      <c r="S3331" s="35" t="str">
        <f>MID(Tabla1[[#This Row],[Aplicación]],6,2)</f>
        <v>10</v>
      </c>
      <c r="T3331" s="35" t="str">
        <f>VLOOKUP(Tabla1[[#This Row],[AREA]],Hoja1!A:B,2,FALSE)</f>
        <v>10. Servicios sociales y mediación comunitaria</v>
      </c>
      <c r="U3331" s="35" t="str">
        <f>MID(Tabla1[[#This Row],[Aplicación]],9,4)</f>
        <v>2412</v>
      </c>
      <c r="V3331" s="35" t="str">
        <f>VLOOKUP(Tabla1[[#This Row],[PROGRAMA]],Hoja1!A:B,2,FALSE)</f>
        <v>2412. Formación para el empleo</v>
      </c>
      <c r="W3331" s="35" t="str">
        <f>MID(Tabla1[[#This Row],[Aplicación]],14,2)</f>
        <v>21</v>
      </c>
      <c r="X3331" s="35" t="str">
        <f>MID(Tabla1[[#This Row],[Aplicación]],14,6)</f>
        <v>213</v>
      </c>
    </row>
    <row r="3332" spans="1:24" x14ac:dyDescent="0.25">
      <c r="A3332" s="45">
        <v>220210016745</v>
      </c>
      <c r="B3332" s="46" t="s">
        <v>501</v>
      </c>
      <c r="C3332" s="47">
        <v>44308</v>
      </c>
      <c r="D3332" s="45">
        <v>22021000677</v>
      </c>
      <c r="E3332" s="46" t="s">
        <v>983</v>
      </c>
      <c r="F3332" s="48">
        <v>-187.64</v>
      </c>
      <c r="G3332" s="54" t="s">
        <v>53</v>
      </c>
      <c r="H3332" s="54" t="s">
        <v>2714</v>
      </c>
      <c r="I3332" s="53" t="s">
        <v>125</v>
      </c>
      <c r="J3332" s="54" t="s">
        <v>127</v>
      </c>
      <c r="K3332" s="54" t="s">
        <v>127</v>
      </c>
      <c r="L3332" s="54" t="s">
        <v>12</v>
      </c>
      <c r="M3332" s="54" t="s">
        <v>10</v>
      </c>
      <c r="N3332" s="54" t="s">
        <v>11</v>
      </c>
      <c r="O3332" s="49" t="s">
        <v>815</v>
      </c>
      <c r="P3332" s="54" t="s">
        <v>3392</v>
      </c>
      <c r="Q3332" s="35" t="str">
        <f>MID(Tabla1[[#This Row],[Aplicación]],14,1)</f>
        <v>2</v>
      </c>
      <c r="R3332" s="35" t="s">
        <v>495</v>
      </c>
      <c r="S3332" s="35" t="str">
        <f>MID(Tabla1[[#This Row],[Aplicación]],6,2)</f>
        <v>10</v>
      </c>
      <c r="T3332" s="35" t="str">
        <f>VLOOKUP(Tabla1[[#This Row],[AREA]],Hoja1!A:B,2,FALSE)</f>
        <v>10. Servicios sociales y mediación comunitaria</v>
      </c>
      <c r="U3332" s="35" t="str">
        <f>MID(Tabla1[[#This Row],[Aplicación]],9,4)</f>
        <v>2412</v>
      </c>
      <c r="V3332" s="35" t="str">
        <f>VLOOKUP(Tabla1[[#This Row],[PROGRAMA]],Hoja1!A:B,2,FALSE)</f>
        <v>2412. Formación para el empleo</v>
      </c>
      <c r="W3332" s="35" t="str">
        <f>MID(Tabla1[[#This Row],[Aplicación]],14,2)</f>
        <v>21</v>
      </c>
      <c r="X3332" s="35" t="str">
        <f>MID(Tabla1[[#This Row],[Aplicación]],14,6)</f>
        <v>213</v>
      </c>
    </row>
    <row r="3333" spans="1:24" x14ac:dyDescent="0.25">
      <c r="A3333" s="45">
        <v>220210016745</v>
      </c>
      <c r="B3333" s="46" t="s">
        <v>501</v>
      </c>
      <c r="C3333" s="47">
        <v>44308</v>
      </c>
      <c r="D3333" s="45">
        <v>22021000679</v>
      </c>
      <c r="E3333" s="46" t="s">
        <v>983</v>
      </c>
      <c r="F3333" s="48">
        <v>-204.72</v>
      </c>
      <c r="G3333" s="54" t="s">
        <v>53</v>
      </c>
      <c r="H3333" s="54" t="s">
        <v>2714</v>
      </c>
      <c r="I3333" s="53" t="s">
        <v>125</v>
      </c>
      <c r="J3333" s="54" t="s">
        <v>127</v>
      </c>
      <c r="K3333" s="54" t="s">
        <v>127</v>
      </c>
      <c r="L3333" s="54" t="s">
        <v>12</v>
      </c>
      <c r="M3333" s="54" t="s">
        <v>10</v>
      </c>
      <c r="N3333" s="54" t="s">
        <v>11</v>
      </c>
      <c r="O3333" s="49" t="s">
        <v>815</v>
      </c>
      <c r="P3333" s="54" t="s">
        <v>3392</v>
      </c>
      <c r="Q3333" s="35" t="str">
        <f>MID(Tabla1[[#This Row],[Aplicación]],14,1)</f>
        <v>2</v>
      </c>
      <c r="R3333" s="35" t="s">
        <v>495</v>
      </c>
      <c r="S3333" s="35" t="str">
        <f>MID(Tabla1[[#This Row],[Aplicación]],6,2)</f>
        <v>10</v>
      </c>
      <c r="T3333" s="35" t="str">
        <f>VLOOKUP(Tabla1[[#This Row],[AREA]],Hoja1!A:B,2,FALSE)</f>
        <v>10. Servicios sociales y mediación comunitaria</v>
      </c>
      <c r="U3333" s="35" t="str">
        <f>MID(Tabla1[[#This Row],[Aplicación]],9,4)</f>
        <v>2412</v>
      </c>
      <c r="V3333" s="35" t="str">
        <f>VLOOKUP(Tabla1[[#This Row],[PROGRAMA]],Hoja1!A:B,2,FALSE)</f>
        <v>2412. Formación para el empleo</v>
      </c>
      <c r="W3333" s="35" t="str">
        <f>MID(Tabla1[[#This Row],[Aplicación]],14,2)</f>
        <v>21</v>
      </c>
      <c r="X3333" s="35" t="str">
        <f>MID(Tabla1[[#This Row],[Aplicación]],14,6)</f>
        <v>213</v>
      </c>
    </row>
    <row r="3334" spans="1:24" x14ac:dyDescent="0.25">
      <c r="A3334" s="45">
        <v>220210030424</v>
      </c>
      <c r="B3334" s="46" t="s">
        <v>204</v>
      </c>
      <c r="C3334" s="47">
        <v>44358</v>
      </c>
      <c r="D3334" s="45">
        <v>22021002144</v>
      </c>
      <c r="E3334" s="46" t="s">
        <v>1328</v>
      </c>
      <c r="F3334" s="48">
        <v>7.44</v>
      </c>
      <c r="G3334" s="54" t="s">
        <v>150</v>
      </c>
      <c r="H3334" s="54" t="s">
        <v>4887</v>
      </c>
      <c r="I3334" s="53" t="s">
        <v>205</v>
      </c>
      <c r="J3334" s="54" t="s">
        <v>146</v>
      </c>
      <c r="K3334" s="54" t="s">
        <v>146</v>
      </c>
      <c r="L3334" s="54" t="s">
        <v>15</v>
      </c>
      <c r="M3334" s="54" t="s">
        <v>13</v>
      </c>
      <c r="N3334" s="54" t="s">
        <v>14</v>
      </c>
      <c r="O3334" s="49" t="s">
        <v>814</v>
      </c>
      <c r="P3334" s="54" t="s">
        <v>3392</v>
      </c>
      <c r="Q3334" s="35" t="str">
        <f>MID(Tabla1[[#This Row],[Aplicación]],14,1)</f>
        <v>2</v>
      </c>
      <c r="R3334" s="35" t="s">
        <v>495</v>
      </c>
      <c r="S3334" s="35" t="str">
        <f>MID(Tabla1[[#This Row],[Aplicación]],6,2)</f>
        <v>10</v>
      </c>
      <c r="T3334" s="35" t="str">
        <f>VLOOKUP(Tabla1[[#This Row],[AREA]],Hoja1!A:B,2,FALSE)</f>
        <v>10. Servicios sociales y mediación comunitaria</v>
      </c>
      <c r="U3334" s="35" t="str">
        <f>MID(Tabla1[[#This Row],[Aplicación]],9,4)</f>
        <v>2311</v>
      </c>
      <c r="V3334" s="35" t="str">
        <f>VLOOKUP(Tabla1[[#This Row],[PROGRAMA]],Hoja1!A:B,2,FALSE)</f>
        <v>2311. Intervención social</v>
      </c>
      <c r="W3334" s="35" t="str">
        <f>MID(Tabla1[[#This Row],[Aplicación]],14,2)</f>
        <v>21</v>
      </c>
      <c r="X3334" s="35" t="str">
        <f>MID(Tabla1[[#This Row],[Aplicación]],14,6)</f>
        <v>212</v>
      </c>
    </row>
    <row r="3335" spans="1:24" x14ac:dyDescent="0.25">
      <c r="A3335" s="45">
        <v>220210023532</v>
      </c>
      <c r="B3335" s="46" t="s">
        <v>501</v>
      </c>
      <c r="C3335" s="47">
        <v>44336</v>
      </c>
      <c r="D3335" s="45">
        <v>22021000549</v>
      </c>
      <c r="E3335" s="46" t="s">
        <v>983</v>
      </c>
      <c r="F3335" s="48">
        <v>-229.16</v>
      </c>
      <c r="G3335" s="54" t="s">
        <v>85</v>
      </c>
      <c r="H3335" s="54" t="s">
        <v>1351</v>
      </c>
      <c r="I3335" s="53" t="s">
        <v>125</v>
      </c>
      <c r="J3335" s="54" t="s">
        <v>127</v>
      </c>
      <c r="K3335" s="54" t="s">
        <v>127</v>
      </c>
      <c r="L3335" s="54" t="s">
        <v>12</v>
      </c>
      <c r="M3335" s="54" t="s">
        <v>10</v>
      </c>
      <c r="N3335" s="54" t="s">
        <v>11</v>
      </c>
      <c r="O3335" s="49" t="s">
        <v>815</v>
      </c>
      <c r="P3335" s="54" t="s">
        <v>3392</v>
      </c>
      <c r="Q3335" s="35" t="str">
        <f>MID(Tabla1[[#This Row],[Aplicación]],14,1)</f>
        <v>2</v>
      </c>
      <c r="R3335" s="35" t="s">
        <v>495</v>
      </c>
      <c r="S3335" s="35" t="str">
        <f>MID(Tabla1[[#This Row],[Aplicación]],6,2)</f>
        <v>10</v>
      </c>
      <c r="T3335" s="35" t="str">
        <f>VLOOKUP(Tabla1[[#This Row],[AREA]],Hoja1!A:B,2,FALSE)</f>
        <v>10. Servicios sociales y mediación comunitaria</v>
      </c>
      <c r="U3335" s="35" t="str">
        <f>MID(Tabla1[[#This Row],[Aplicación]],9,4)</f>
        <v>2412</v>
      </c>
      <c r="V3335" s="35" t="str">
        <f>VLOOKUP(Tabla1[[#This Row],[PROGRAMA]],Hoja1!A:B,2,FALSE)</f>
        <v>2412. Formación para el empleo</v>
      </c>
      <c r="W3335" s="35" t="str">
        <f>MID(Tabla1[[#This Row],[Aplicación]],14,2)</f>
        <v>21</v>
      </c>
      <c r="X3335" s="35" t="str">
        <f>MID(Tabla1[[#This Row],[Aplicación]],14,6)</f>
        <v>213</v>
      </c>
    </row>
    <row r="3336" spans="1:24" x14ac:dyDescent="0.25">
      <c r="A3336" s="45">
        <v>220210027631</v>
      </c>
      <c r="B3336" s="46" t="s">
        <v>204</v>
      </c>
      <c r="C3336" s="47">
        <v>44348</v>
      </c>
      <c r="D3336" s="45">
        <v>22021001181</v>
      </c>
      <c r="E3336" s="46" t="s">
        <v>873</v>
      </c>
      <c r="F3336" s="48">
        <v>7.26</v>
      </c>
      <c r="G3336" s="54" t="s">
        <v>263</v>
      </c>
      <c r="H3336" s="54" t="s">
        <v>4888</v>
      </c>
      <c r="I3336" s="53" t="s">
        <v>205</v>
      </c>
      <c r="J3336" s="54" t="s">
        <v>127</v>
      </c>
      <c r="K3336" s="54" t="s">
        <v>127</v>
      </c>
      <c r="L3336" s="54" t="s">
        <v>15</v>
      </c>
      <c r="M3336" s="54" t="s">
        <v>13</v>
      </c>
      <c r="N3336" s="54" t="s">
        <v>14</v>
      </c>
      <c r="O3336" s="49" t="s">
        <v>814</v>
      </c>
      <c r="P3336" s="54" t="s">
        <v>3392</v>
      </c>
      <c r="Q3336" s="35" t="str">
        <f>MID(Tabla1[[#This Row],[Aplicación]],14,1)</f>
        <v>2</v>
      </c>
      <c r="R3336" s="35" t="s">
        <v>495</v>
      </c>
      <c r="S3336" s="35" t="str">
        <f>MID(Tabla1[[#This Row],[Aplicación]],6,2)</f>
        <v>10</v>
      </c>
      <c r="T3336" s="35" t="str">
        <f>VLOOKUP(Tabla1[[#This Row],[AREA]],Hoja1!A:B,2,FALSE)</f>
        <v>10. Servicios sociales y mediación comunitaria</v>
      </c>
      <c r="U3336" s="35" t="str">
        <f>MID(Tabla1[[#This Row],[Aplicación]],9,4)</f>
        <v>2412</v>
      </c>
      <c r="V3336" s="35" t="str">
        <f>VLOOKUP(Tabla1[[#This Row],[PROGRAMA]],Hoja1!A:B,2,FALSE)</f>
        <v>2412. Formación para el empleo</v>
      </c>
      <c r="W3336" s="35" t="str">
        <f>MID(Tabla1[[#This Row],[Aplicación]],14,2)</f>
        <v>22</v>
      </c>
      <c r="X3336" s="35" t="str">
        <f>MID(Tabla1[[#This Row],[Aplicación]],14,6)</f>
        <v>22199</v>
      </c>
    </row>
    <row r="3337" spans="1:24" x14ac:dyDescent="0.25">
      <c r="A3337" s="45">
        <v>220210023532</v>
      </c>
      <c r="B3337" s="46" t="s">
        <v>501</v>
      </c>
      <c r="C3337" s="47">
        <v>44336</v>
      </c>
      <c r="D3337" s="45">
        <v>22021000551</v>
      </c>
      <c r="E3337" s="46" t="s">
        <v>983</v>
      </c>
      <c r="F3337" s="48">
        <v>-250</v>
      </c>
      <c r="G3337" s="54" t="s">
        <v>85</v>
      </c>
      <c r="H3337" s="54" t="s">
        <v>1351</v>
      </c>
      <c r="I3337" s="53" t="s">
        <v>125</v>
      </c>
      <c r="J3337" s="54" t="s">
        <v>127</v>
      </c>
      <c r="K3337" s="54" t="s">
        <v>127</v>
      </c>
      <c r="L3337" s="54" t="s">
        <v>12</v>
      </c>
      <c r="M3337" s="54" t="s">
        <v>10</v>
      </c>
      <c r="N3337" s="54" t="s">
        <v>11</v>
      </c>
      <c r="O3337" s="49" t="s">
        <v>815</v>
      </c>
      <c r="P3337" s="54" t="s">
        <v>3392</v>
      </c>
      <c r="Q3337" s="35" t="str">
        <f>MID(Tabla1[[#This Row],[Aplicación]],14,1)</f>
        <v>2</v>
      </c>
      <c r="R3337" s="35" t="s">
        <v>495</v>
      </c>
      <c r="S3337" s="35" t="str">
        <f>MID(Tabla1[[#This Row],[Aplicación]],6,2)</f>
        <v>10</v>
      </c>
      <c r="T3337" s="35" t="str">
        <f>VLOOKUP(Tabla1[[#This Row],[AREA]],Hoja1!A:B,2,FALSE)</f>
        <v>10. Servicios sociales y mediación comunitaria</v>
      </c>
      <c r="U3337" s="35" t="str">
        <f>MID(Tabla1[[#This Row],[Aplicación]],9,4)</f>
        <v>2412</v>
      </c>
      <c r="V3337" s="35" t="str">
        <f>VLOOKUP(Tabla1[[#This Row],[PROGRAMA]],Hoja1!A:B,2,FALSE)</f>
        <v>2412. Formación para el empleo</v>
      </c>
      <c r="W3337" s="35" t="str">
        <f>MID(Tabla1[[#This Row],[Aplicación]],14,2)</f>
        <v>21</v>
      </c>
      <c r="X3337" s="35" t="str">
        <f>MID(Tabla1[[#This Row],[Aplicación]],14,6)</f>
        <v>213</v>
      </c>
    </row>
    <row r="3338" spans="1:24" x14ac:dyDescent="0.25">
      <c r="A3338" s="45">
        <v>220210027724</v>
      </c>
      <c r="B3338" s="46" t="s">
        <v>204</v>
      </c>
      <c r="C3338" s="47">
        <v>44348</v>
      </c>
      <c r="D3338" s="45">
        <v>22021002369</v>
      </c>
      <c r="E3338" s="46" t="s">
        <v>1336</v>
      </c>
      <c r="F3338" s="48">
        <v>7.08</v>
      </c>
      <c r="G3338" s="54" t="s">
        <v>257</v>
      </c>
      <c r="H3338" s="54" t="s">
        <v>4889</v>
      </c>
      <c r="I3338" s="53" t="s">
        <v>205</v>
      </c>
      <c r="J3338" s="54" t="s">
        <v>127</v>
      </c>
      <c r="K3338" s="54" t="s">
        <v>127</v>
      </c>
      <c r="L3338" s="54" t="s">
        <v>15</v>
      </c>
      <c r="M3338" s="54" t="s">
        <v>13</v>
      </c>
      <c r="N3338" s="54" t="s">
        <v>14</v>
      </c>
      <c r="O3338" s="49" t="s">
        <v>814</v>
      </c>
      <c r="P3338" s="54" t="s">
        <v>3392</v>
      </c>
      <c r="Q3338" s="35" t="str">
        <f>MID(Tabla1[[#This Row],[Aplicación]],14,1)</f>
        <v>2</v>
      </c>
      <c r="R3338" s="35" t="s">
        <v>495</v>
      </c>
      <c r="S3338" s="35" t="str">
        <f>MID(Tabla1[[#This Row],[Aplicación]],6,2)</f>
        <v>02</v>
      </c>
      <c r="T3338" s="35" t="str">
        <f>VLOOKUP(Tabla1[[#This Row],[AREA]],Hoja1!A:B,2,FALSE)</f>
        <v>02. Planeamiento urbanístico y vivienda</v>
      </c>
      <c r="U3338" s="35" t="str">
        <f>MID(Tabla1[[#This Row],[Aplicación]],9,4)</f>
        <v>9332</v>
      </c>
      <c r="V3338" s="35" t="str">
        <f>VLOOKUP(Tabla1[[#This Row],[PROGRAMA]],Hoja1!A:B,2,FALSE)</f>
        <v>9332. Mantenimiento de edificios e instalaciones municipales</v>
      </c>
      <c r="W3338" s="35" t="str">
        <f>MID(Tabla1[[#This Row],[Aplicación]],14,2)</f>
        <v>21</v>
      </c>
      <c r="X3338" s="35" t="str">
        <f>MID(Tabla1[[#This Row],[Aplicación]],14,6)</f>
        <v>212</v>
      </c>
    </row>
    <row r="3339" spans="1:24" x14ac:dyDescent="0.25">
      <c r="A3339" s="45">
        <v>220210014266</v>
      </c>
      <c r="B3339" s="46" t="s">
        <v>9</v>
      </c>
      <c r="C3339" s="47">
        <v>44294</v>
      </c>
      <c r="D3339" s="45">
        <v>22021003765</v>
      </c>
      <c r="E3339" s="46" t="s">
        <v>1167</v>
      </c>
      <c r="F3339" s="48">
        <v>245.43</v>
      </c>
      <c r="G3339" s="54" t="s">
        <v>528</v>
      </c>
      <c r="H3339" s="54" t="s">
        <v>4890</v>
      </c>
      <c r="I3339" s="53" t="s">
        <v>125</v>
      </c>
      <c r="J3339" s="54" t="s">
        <v>127</v>
      </c>
      <c r="K3339" s="54" t="s">
        <v>127</v>
      </c>
      <c r="L3339" s="54" t="s">
        <v>12</v>
      </c>
      <c r="M3339" s="54" t="s">
        <v>10</v>
      </c>
      <c r="N3339" s="54" t="s">
        <v>11</v>
      </c>
      <c r="O3339" s="49" t="s">
        <v>815</v>
      </c>
      <c r="P3339" s="54" t="s">
        <v>3392</v>
      </c>
      <c r="Q3339" s="35" t="str">
        <f>MID(Tabla1[[#This Row],[Aplicación]],14,1)</f>
        <v>2</v>
      </c>
      <c r="R3339" s="35" t="s">
        <v>495</v>
      </c>
      <c r="S3339" s="35" t="str">
        <f>MID(Tabla1[[#This Row],[Aplicación]],6,2)</f>
        <v>11</v>
      </c>
      <c r="T3339" s="35" t="str">
        <f>VLOOKUP(Tabla1[[#This Row],[AREA]],Hoja1!A:B,2,FALSE)</f>
        <v>11. Salud pública y seguridad ciudadana</v>
      </c>
      <c r="U3339" s="35" t="str">
        <f>MID(Tabla1[[#This Row],[Aplicación]],9,4)</f>
        <v>1321</v>
      </c>
      <c r="V3339" s="35" t="str">
        <f>VLOOKUP(Tabla1[[#This Row],[PROGRAMA]],Hoja1!A:B,2,FALSE)</f>
        <v>1321. Policía municipal</v>
      </c>
      <c r="W3339" s="35" t="str">
        <f>MID(Tabla1[[#This Row],[Aplicación]],14,2)</f>
        <v>21</v>
      </c>
      <c r="X3339" s="35" t="str">
        <f>MID(Tabla1[[#This Row],[Aplicación]],14,6)</f>
        <v>214</v>
      </c>
    </row>
    <row r="3340" spans="1:24" x14ac:dyDescent="0.25">
      <c r="A3340" s="45">
        <v>220210016742</v>
      </c>
      <c r="B3340" s="46" t="s">
        <v>501</v>
      </c>
      <c r="C3340" s="47">
        <v>44307</v>
      </c>
      <c r="D3340" s="45">
        <v>22021003299</v>
      </c>
      <c r="E3340" s="46" t="s">
        <v>1183</v>
      </c>
      <c r="F3340" s="48">
        <v>-485.21</v>
      </c>
      <c r="G3340" s="54" t="s">
        <v>2367</v>
      </c>
      <c r="H3340" s="54" t="s">
        <v>2368</v>
      </c>
      <c r="I3340" s="53" t="s">
        <v>125</v>
      </c>
      <c r="J3340" s="54" t="s">
        <v>127</v>
      </c>
      <c r="K3340" s="54" t="s">
        <v>127</v>
      </c>
      <c r="L3340" s="54" t="s">
        <v>15</v>
      </c>
      <c r="M3340" s="54" t="s">
        <v>10</v>
      </c>
      <c r="N3340" s="54" t="s">
        <v>11</v>
      </c>
      <c r="O3340" s="49" t="s">
        <v>815</v>
      </c>
      <c r="P3340" s="54" t="s">
        <v>3392</v>
      </c>
      <c r="Q3340" s="35" t="str">
        <f>MID(Tabla1[[#This Row],[Aplicación]],14,1)</f>
        <v>2</v>
      </c>
      <c r="R3340" s="35" t="s">
        <v>495</v>
      </c>
      <c r="S3340" s="35" t="str">
        <f>MID(Tabla1[[#This Row],[Aplicación]],6,2)</f>
        <v>11</v>
      </c>
      <c r="T3340" s="35" t="str">
        <f>VLOOKUP(Tabla1[[#This Row],[AREA]],Hoja1!A:B,2,FALSE)</f>
        <v>11. Salud pública y seguridad ciudadana</v>
      </c>
      <c r="U3340" s="35" t="str">
        <f>MID(Tabla1[[#This Row],[Aplicación]],9,4)</f>
        <v>1361</v>
      </c>
      <c r="V3340" s="35" t="str">
        <f>VLOOKUP(Tabla1[[#This Row],[PROGRAMA]],Hoja1!A:B,2,FALSE)</f>
        <v>1361. Prevención y extinción de incencios</v>
      </c>
      <c r="W3340" s="35" t="str">
        <f>MID(Tabla1[[#This Row],[Aplicación]],14,2)</f>
        <v>22</v>
      </c>
      <c r="X3340" s="35" t="str">
        <f>MID(Tabla1[[#This Row],[Aplicación]],14,6)</f>
        <v>22199</v>
      </c>
    </row>
    <row r="3341" spans="1:24" x14ac:dyDescent="0.25">
      <c r="A3341" s="45">
        <v>220210016745</v>
      </c>
      <c r="B3341" s="46" t="s">
        <v>501</v>
      </c>
      <c r="C3341" s="47">
        <v>44308</v>
      </c>
      <c r="D3341" s="45">
        <v>22021000678</v>
      </c>
      <c r="E3341" s="46" t="s">
        <v>983</v>
      </c>
      <c r="F3341" s="48">
        <v>-494.72</v>
      </c>
      <c r="G3341" s="54" t="s">
        <v>53</v>
      </c>
      <c r="H3341" s="54" t="s">
        <v>2714</v>
      </c>
      <c r="I3341" s="53" t="s">
        <v>125</v>
      </c>
      <c r="J3341" s="54" t="s">
        <v>127</v>
      </c>
      <c r="K3341" s="54" t="s">
        <v>127</v>
      </c>
      <c r="L3341" s="54" t="s">
        <v>12</v>
      </c>
      <c r="M3341" s="54" t="s">
        <v>10</v>
      </c>
      <c r="N3341" s="54" t="s">
        <v>11</v>
      </c>
      <c r="O3341" s="49" t="s">
        <v>815</v>
      </c>
      <c r="P3341" s="54" t="s">
        <v>3392</v>
      </c>
      <c r="Q3341" s="35" t="str">
        <f>MID(Tabla1[[#This Row],[Aplicación]],14,1)</f>
        <v>2</v>
      </c>
      <c r="R3341" s="35" t="s">
        <v>495</v>
      </c>
      <c r="S3341" s="35" t="str">
        <f>MID(Tabla1[[#This Row],[Aplicación]],6,2)</f>
        <v>10</v>
      </c>
      <c r="T3341" s="35" t="str">
        <f>VLOOKUP(Tabla1[[#This Row],[AREA]],Hoja1!A:B,2,FALSE)</f>
        <v>10. Servicios sociales y mediación comunitaria</v>
      </c>
      <c r="U3341" s="35" t="str">
        <f>MID(Tabla1[[#This Row],[Aplicación]],9,4)</f>
        <v>2412</v>
      </c>
      <c r="V3341" s="35" t="str">
        <f>VLOOKUP(Tabla1[[#This Row],[PROGRAMA]],Hoja1!A:B,2,FALSE)</f>
        <v>2412. Formación para el empleo</v>
      </c>
      <c r="W3341" s="35" t="str">
        <f>MID(Tabla1[[#This Row],[Aplicación]],14,2)</f>
        <v>21</v>
      </c>
      <c r="X3341" s="35" t="str">
        <f>MID(Tabla1[[#This Row],[Aplicación]],14,6)</f>
        <v>213</v>
      </c>
    </row>
    <row r="3342" spans="1:24" x14ac:dyDescent="0.25">
      <c r="A3342" s="45">
        <v>220210016553</v>
      </c>
      <c r="B3342" s="46" t="s">
        <v>204</v>
      </c>
      <c r="C3342" s="47">
        <v>44306</v>
      </c>
      <c r="D3342" s="45">
        <v>22021001038</v>
      </c>
      <c r="E3342" s="46" t="s">
        <v>844</v>
      </c>
      <c r="F3342" s="48">
        <v>6.1</v>
      </c>
      <c r="G3342" s="54" t="s">
        <v>238</v>
      </c>
      <c r="H3342" s="54" t="s">
        <v>4581</v>
      </c>
      <c r="I3342" s="53" t="s">
        <v>205</v>
      </c>
      <c r="J3342" s="54" t="s">
        <v>127</v>
      </c>
      <c r="K3342" s="54" t="s">
        <v>127</v>
      </c>
      <c r="L3342" s="54" t="s">
        <v>15</v>
      </c>
      <c r="M3342" s="54" t="s">
        <v>13</v>
      </c>
      <c r="N3342" s="54" t="s">
        <v>14</v>
      </c>
      <c r="O3342" s="49" t="s">
        <v>814</v>
      </c>
      <c r="P3342" s="54" t="s">
        <v>3392</v>
      </c>
      <c r="Q3342" s="35" t="str">
        <f>MID(Tabla1[[#This Row],[Aplicación]],14,1)</f>
        <v>2</v>
      </c>
      <c r="R3342" s="35" t="s">
        <v>495</v>
      </c>
      <c r="S3342" s="35" t="str">
        <f>MID(Tabla1[[#This Row],[Aplicación]],6,2)</f>
        <v>10</v>
      </c>
      <c r="T3342" s="35" t="str">
        <f>VLOOKUP(Tabla1[[#This Row],[AREA]],Hoja1!A:B,2,FALSE)</f>
        <v>10. Servicios sociales y mediación comunitaria</v>
      </c>
      <c r="U3342" s="35" t="str">
        <f>MID(Tabla1[[#This Row],[Aplicación]],9,4)</f>
        <v>2312</v>
      </c>
      <c r="V3342" s="35" t="str">
        <f>VLOOKUP(Tabla1[[#This Row],[PROGRAMA]],Hoja1!A:B,2,FALSE)</f>
        <v>2312. Iniciativas sociales</v>
      </c>
      <c r="W3342" s="35" t="str">
        <f>MID(Tabla1[[#This Row],[Aplicación]],14,2)</f>
        <v>21</v>
      </c>
      <c r="X3342" s="35" t="str">
        <f>MID(Tabla1[[#This Row],[Aplicación]],14,6)</f>
        <v>212</v>
      </c>
    </row>
    <row r="3343" spans="1:24" x14ac:dyDescent="0.25">
      <c r="A3343" s="45">
        <v>220210023532</v>
      </c>
      <c r="B3343" s="46" t="s">
        <v>501</v>
      </c>
      <c r="C3343" s="47">
        <v>44336</v>
      </c>
      <c r="D3343" s="45">
        <v>22021000550</v>
      </c>
      <c r="E3343" s="46" t="s">
        <v>983</v>
      </c>
      <c r="F3343" s="48">
        <v>-604.14</v>
      </c>
      <c r="G3343" s="54" t="s">
        <v>85</v>
      </c>
      <c r="H3343" s="54" t="s">
        <v>1351</v>
      </c>
      <c r="I3343" s="53" t="s">
        <v>125</v>
      </c>
      <c r="J3343" s="54" t="s">
        <v>127</v>
      </c>
      <c r="K3343" s="54" t="s">
        <v>127</v>
      </c>
      <c r="L3343" s="54" t="s">
        <v>12</v>
      </c>
      <c r="M3343" s="54" t="s">
        <v>10</v>
      </c>
      <c r="N3343" s="54" t="s">
        <v>11</v>
      </c>
      <c r="O3343" s="49" t="s">
        <v>815</v>
      </c>
      <c r="P3343" s="54" t="s">
        <v>3392</v>
      </c>
      <c r="Q3343" s="35" t="str">
        <f>MID(Tabla1[[#This Row],[Aplicación]],14,1)</f>
        <v>2</v>
      </c>
      <c r="R3343" s="35" t="s">
        <v>495</v>
      </c>
      <c r="S3343" s="35" t="str">
        <f>MID(Tabla1[[#This Row],[Aplicación]],6,2)</f>
        <v>10</v>
      </c>
      <c r="T3343" s="35" t="str">
        <f>VLOOKUP(Tabla1[[#This Row],[AREA]],Hoja1!A:B,2,FALSE)</f>
        <v>10. Servicios sociales y mediación comunitaria</v>
      </c>
      <c r="U3343" s="35" t="str">
        <f>MID(Tabla1[[#This Row],[Aplicación]],9,4)</f>
        <v>2412</v>
      </c>
      <c r="V3343" s="35" t="str">
        <f>VLOOKUP(Tabla1[[#This Row],[PROGRAMA]],Hoja1!A:B,2,FALSE)</f>
        <v>2412. Formación para el empleo</v>
      </c>
      <c r="W3343" s="35" t="str">
        <f>MID(Tabla1[[#This Row],[Aplicación]],14,2)</f>
        <v>21</v>
      </c>
      <c r="X3343" s="35" t="str">
        <f>MID(Tabla1[[#This Row],[Aplicación]],14,6)</f>
        <v>213</v>
      </c>
    </row>
    <row r="3344" spans="1:24" x14ac:dyDescent="0.25">
      <c r="A3344" s="45">
        <v>220210030279</v>
      </c>
      <c r="B3344" s="46" t="s">
        <v>9</v>
      </c>
      <c r="C3344" s="47">
        <v>44357</v>
      </c>
      <c r="D3344" s="45">
        <v>22021004814</v>
      </c>
      <c r="E3344" s="46" t="s">
        <v>1167</v>
      </c>
      <c r="F3344" s="48">
        <v>747.46</v>
      </c>
      <c r="G3344" s="54" t="s">
        <v>528</v>
      </c>
      <c r="H3344" s="54" t="s">
        <v>4891</v>
      </c>
      <c r="I3344" s="53" t="s">
        <v>125</v>
      </c>
      <c r="J3344" s="54" t="s">
        <v>127</v>
      </c>
      <c r="K3344" s="54" t="s">
        <v>127</v>
      </c>
      <c r="L3344" s="54" t="s">
        <v>12</v>
      </c>
      <c r="M3344" s="54" t="s">
        <v>10</v>
      </c>
      <c r="N3344" s="54" t="s">
        <v>11</v>
      </c>
      <c r="O3344" s="49" t="s">
        <v>815</v>
      </c>
      <c r="P3344" s="54" t="s">
        <v>3392</v>
      </c>
      <c r="Q3344" s="35" t="str">
        <f>MID(Tabla1[[#This Row],[Aplicación]],14,1)</f>
        <v>2</v>
      </c>
      <c r="R3344" s="35" t="s">
        <v>495</v>
      </c>
      <c r="S3344" s="35" t="str">
        <f>MID(Tabla1[[#This Row],[Aplicación]],6,2)</f>
        <v>11</v>
      </c>
      <c r="T3344" s="35" t="str">
        <f>VLOOKUP(Tabla1[[#This Row],[AREA]],Hoja1!A:B,2,FALSE)</f>
        <v>11. Salud pública y seguridad ciudadana</v>
      </c>
      <c r="U3344" s="35" t="str">
        <f>MID(Tabla1[[#This Row],[Aplicación]],9,4)</f>
        <v>1321</v>
      </c>
      <c r="V3344" s="35" t="str">
        <f>VLOOKUP(Tabla1[[#This Row],[PROGRAMA]],Hoja1!A:B,2,FALSE)</f>
        <v>1321. Policía municipal</v>
      </c>
      <c r="W3344" s="35" t="str">
        <f>MID(Tabla1[[#This Row],[Aplicación]],14,2)</f>
        <v>21</v>
      </c>
      <c r="X3344" s="35" t="str">
        <f>MID(Tabla1[[#This Row],[Aplicación]],14,6)</f>
        <v>214</v>
      </c>
    </row>
    <row r="3345" spans="1:24" x14ac:dyDescent="0.25">
      <c r="A3345" s="45">
        <v>220210019164</v>
      </c>
      <c r="B3345" s="46" t="s">
        <v>204</v>
      </c>
      <c r="C3345" s="47">
        <v>44319</v>
      </c>
      <c r="D3345" s="45">
        <v>22021003170</v>
      </c>
      <c r="E3345" s="46" t="s">
        <v>3388</v>
      </c>
      <c r="F3345" s="48">
        <v>5.75</v>
      </c>
      <c r="G3345" s="54" t="s">
        <v>266</v>
      </c>
      <c r="H3345" s="54" t="s">
        <v>4892</v>
      </c>
      <c r="I3345" s="53" t="s">
        <v>205</v>
      </c>
      <c r="J3345" s="54" t="s">
        <v>127</v>
      </c>
      <c r="K3345" s="54" t="s">
        <v>127</v>
      </c>
      <c r="L3345" s="54" t="s">
        <v>12</v>
      </c>
      <c r="M3345" s="54" t="s">
        <v>13</v>
      </c>
      <c r="N3345" s="54" t="s">
        <v>14</v>
      </c>
      <c r="O3345" s="49" t="s">
        <v>814</v>
      </c>
      <c r="P3345" s="54" t="s">
        <v>3392</v>
      </c>
      <c r="Q3345" s="35" t="str">
        <f>MID(Tabla1[[#This Row],[Aplicación]],14,1)</f>
        <v>2</v>
      </c>
      <c r="R3345" s="35" t="s">
        <v>495</v>
      </c>
      <c r="S3345" s="35" t="str">
        <f>MID(Tabla1[[#This Row],[Aplicación]],6,2)</f>
        <v>05</v>
      </c>
      <c r="T3345" s="35" t="str">
        <f>VLOOKUP(Tabla1[[#This Row],[AREA]],Hoja1!A:B,2,FALSE)</f>
        <v>05. Innovación, desarrollo económico, empleo y comercio</v>
      </c>
      <c r="U3345" s="35" t="str">
        <f>MID(Tabla1[[#This Row],[Aplicación]],9,4)</f>
        <v>4314</v>
      </c>
      <c r="V3345" s="35" t="str">
        <f>VLOOKUP(Tabla1[[#This Row],[PROGRAMA]],Hoja1!A:B,2,FALSE)</f>
        <v>4314. Fomento del comercio</v>
      </c>
      <c r="W3345" s="35" t="str">
        <f>MID(Tabla1[[#This Row],[Aplicación]],14,2)</f>
        <v>22</v>
      </c>
      <c r="X3345" s="35" t="str">
        <f>MID(Tabla1[[#This Row],[Aplicación]],14,6)</f>
        <v>22199</v>
      </c>
    </row>
    <row r="3346" spans="1:24" x14ac:dyDescent="0.25">
      <c r="A3346" s="45">
        <v>220210028694</v>
      </c>
      <c r="B3346" s="46" t="s">
        <v>501</v>
      </c>
      <c r="C3346" s="47">
        <v>44351</v>
      </c>
      <c r="D3346" s="45">
        <v>22021002066</v>
      </c>
      <c r="E3346" s="46" t="s">
        <v>873</v>
      </c>
      <c r="F3346" s="48">
        <v>-845.66</v>
      </c>
      <c r="G3346" s="54" t="s">
        <v>209</v>
      </c>
      <c r="H3346" s="54" t="s">
        <v>2519</v>
      </c>
      <c r="I3346" s="53" t="s">
        <v>125</v>
      </c>
      <c r="J3346" s="54" t="s">
        <v>127</v>
      </c>
      <c r="K3346" s="54" t="s">
        <v>127</v>
      </c>
      <c r="L3346" s="54" t="s">
        <v>15</v>
      </c>
      <c r="M3346" s="54" t="s">
        <v>10</v>
      </c>
      <c r="N3346" s="54" t="s">
        <v>11</v>
      </c>
      <c r="O3346" s="49" t="s">
        <v>815</v>
      </c>
      <c r="P3346" s="54" t="s">
        <v>3392</v>
      </c>
      <c r="Q3346" s="35" t="str">
        <f>MID(Tabla1[[#This Row],[Aplicación]],14,1)</f>
        <v>2</v>
      </c>
      <c r="R3346" s="35" t="s">
        <v>495</v>
      </c>
      <c r="S3346" s="35" t="str">
        <f>MID(Tabla1[[#This Row],[Aplicación]],6,2)</f>
        <v>10</v>
      </c>
      <c r="T3346" s="35" t="str">
        <f>VLOOKUP(Tabla1[[#This Row],[AREA]],Hoja1!A:B,2,FALSE)</f>
        <v>10. Servicios sociales y mediación comunitaria</v>
      </c>
      <c r="U3346" s="35" t="str">
        <f>MID(Tabla1[[#This Row],[Aplicación]],9,4)</f>
        <v>2412</v>
      </c>
      <c r="V3346" s="35" t="str">
        <f>VLOOKUP(Tabla1[[#This Row],[PROGRAMA]],Hoja1!A:B,2,FALSE)</f>
        <v>2412. Formación para el empleo</v>
      </c>
      <c r="W3346" s="35" t="str">
        <f>MID(Tabla1[[#This Row],[Aplicación]],14,2)</f>
        <v>22</v>
      </c>
      <c r="X3346" s="35" t="str">
        <f>MID(Tabla1[[#This Row],[Aplicación]],14,6)</f>
        <v>22199</v>
      </c>
    </row>
    <row r="3347" spans="1:24" x14ac:dyDescent="0.25">
      <c r="A3347" s="45">
        <v>220210028694</v>
      </c>
      <c r="B3347" s="46" t="s">
        <v>501</v>
      </c>
      <c r="C3347" s="47">
        <v>44351</v>
      </c>
      <c r="D3347" s="45">
        <v>22021002063</v>
      </c>
      <c r="E3347" s="46" t="s">
        <v>873</v>
      </c>
      <c r="F3347" s="48">
        <v>-853.77</v>
      </c>
      <c r="G3347" s="54" t="s">
        <v>209</v>
      </c>
      <c r="H3347" s="54" t="s">
        <v>2519</v>
      </c>
      <c r="I3347" s="53" t="s">
        <v>125</v>
      </c>
      <c r="J3347" s="54" t="s">
        <v>127</v>
      </c>
      <c r="K3347" s="54" t="s">
        <v>127</v>
      </c>
      <c r="L3347" s="54" t="s">
        <v>15</v>
      </c>
      <c r="M3347" s="54" t="s">
        <v>10</v>
      </c>
      <c r="N3347" s="54" t="s">
        <v>11</v>
      </c>
      <c r="O3347" s="49" t="s">
        <v>815</v>
      </c>
      <c r="P3347" s="54" t="s">
        <v>3392</v>
      </c>
      <c r="Q3347" s="35" t="str">
        <f>MID(Tabla1[[#This Row],[Aplicación]],14,1)</f>
        <v>2</v>
      </c>
      <c r="R3347" s="35" t="s">
        <v>495</v>
      </c>
      <c r="S3347" s="35" t="str">
        <f>MID(Tabla1[[#This Row],[Aplicación]],6,2)</f>
        <v>10</v>
      </c>
      <c r="T3347" s="35" t="str">
        <f>VLOOKUP(Tabla1[[#This Row],[AREA]],Hoja1!A:B,2,FALSE)</f>
        <v>10. Servicios sociales y mediación comunitaria</v>
      </c>
      <c r="U3347" s="35" t="str">
        <f>MID(Tabla1[[#This Row],[Aplicación]],9,4)</f>
        <v>2412</v>
      </c>
      <c r="V3347" s="35" t="str">
        <f>VLOOKUP(Tabla1[[#This Row],[PROGRAMA]],Hoja1!A:B,2,FALSE)</f>
        <v>2412. Formación para el empleo</v>
      </c>
      <c r="W3347" s="35" t="str">
        <f>MID(Tabla1[[#This Row],[Aplicación]],14,2)</f>
        <v>22</v>
      </c>
      <c r="X3347" s="35" t="str">
        <f>MID(Tabla1[[#This Row],[Aplicación]],14,6)</f>
        <v>22199</v>
      </c>
    </row>
    <row r="3348" spans="1:24" x14ac:dyDescent="0.25">
      <c r="A3348" s="45">
        <v>220210026142</v>
      </c>
      <c r="B3348" s="46" t="s">
        <v>501</v>
      </c>
      <c r="C3348" s="47">
        <v>44347</v>
      </c>
      <c r="D3348" s="45">
        <v>22021004442</v>
      </c>
      <c r="E3348" s="46" t="s">
        <v>2266</v>
      </c>
      <c r="F3348" s="48">
        <v>-924</v>
      </c>
      <c r="G3348" s="54" t="s">
        <v>2791</v>
      </c>
      <c r="H3348" s="54" t="s">
        <v>4052</v>
      </c>
      <c r="I3348" s="53" t="s">
        <v>125</v>
      </c>
      <c r="J3348" s="54" t="s">
        <v>127</v>
      </c>
      <c r="K3348" s="54" t="s">
        <v>127</v>
      </c>
      <c r="L3348" s="54" t="s">
        <v>12</v>
      </c>
      <c r="M3348" s="54" t="s">
        <v>10</v>
      </c>
      <c r="N3348" s="54" t="s">
        <v>11</v>
      </c>
      <c r="O3348" s="49" t="s">
        <v>815</v>
      </c>
      <c r="P3348" s="54" t="s">
        <v>3392</v>
      </c>
      <c r="Q3348" s="35" t="str">
        <f>MID(Tabla1[[#This Row],[Aplicación]],14,1)</f>
        <v>2</v>
      </c>
      <c r="R3348" s="35" t="s">
        <v>495</v>
      </c>
      <c r="S3348" s="35" t="str">
        <f>MID(Tabla1[[#This Row],[Aplicación]],6,2)</f>
        <v>11</v>
      </c>
      <c r="T3348" s="35" t="str">
        <f>VLOOKUP(Tabla1[[#This Row],[AREA]],Hoja1!A:B,2,FALSE)</f>
        <v>11. Salud pública y seguridad ciudadana</v>
      </c>
      <c r="U3348" s="35" t="str">
        <f>MID(Tabla1[[#This Row],[Aplicación]],9,4)</f>
        <v>3111</v>
      </c>
      <c r="V3348" s="35" t="str">
        <f>VLOOKUP(Tabla1[[#This Row],[PROGRAMA]],Hoja1!A:B,2,FALSE)</f>
        <v>3111. Protección de la salubridad pública</v>
      </c>
      <c r="W3348" s="35" t="str">
        <f>MID(Tabla1[[#This Row],[Aplicación]],14,2)</f>
        <v>22</v>
      </c>
      <c r="X3348" s="35" t="str">
        <f>MID(Tabla1[[#This Row],[Aplicación]],14,6)</f>
        <v>22799</v>
      </c>
    </row>
    <row r="3349" spans="1:24" x14ac:dyDescent="0.25">
      <c r="A3349" s="45">
        <v>220210019196</v>
      </c>
      <c r="B3349" s="46" t="s">
        <v>204</v>
      </c>
      <c r="C3349" s="47">
        <v>44319</v>
      </c>
      <c r="D3349" s="45">
        <v>22021002369</v>
      </c>
      <c r="E3349" s="46" t="s">
        <v>1336</v>
      </c>
      <c r="F3349" s="48">
        <v>4.99</v>
      </c>
      <c r="G3349" s="54" t="s">
        <v>235</v>
      </c>
      <c r="H3349" s="54" t="s">
        <v>4893</v>
      </c>
      <c r="I3349" s="53" t="s">
        <v>205</v>
      </c>
      <c r="J3349" s="54" t="s">
        <v>742</v>
      </c>
      <c r="K3349" s="54" t="s">
        <v>165</v>
      </c>
      <c r="L3349" s="54" t="s">
        <v>15</v>
      </c>
      <c r="M3349" s="54" t="s">
        <v>13</v>
      </c>
      <c r="N3349" s="54" t="s">
        <v>14</v>
      </c>
      <c r="O3349" s="49" t="s">
        <v>814</v>
      </c>
      <c r="P3349" s="54" t="s">
        <v>3392</v>
      </c>
      <c r="Q3349" s="35" t="str">
        <f>MID(Tabla1[[#This Row],[Aplicación]],14,1)</f>
        <v>2</v>
      </c>
      <c r="R3349" s="35" t="s">
        <v>495</v>
      </c>
      <c r="S3349" s="35" t="str">
        <f>MID(Tabla1[[#This Row],[Aplicación]],6,2)</f>
        <v>02</v>
      </c>
      <c r="T3349" s="35" t="str">
        <f>VLOOKUP(Tabla1[[#This Row],[AREA]],Hoja1!A:B,2,FALSE)</f>
        <v>02. Planeamiento urbanístico y vivienda</v>
      </c>
      <c r="U3349" s="35" t="str">
        <f>MID(Tabla1[[#This Row],[Aplicación]],9,4)</f>
        <v>9332</v>
      </c>
      <c r="V3349" s="35" t="str">
        <f>VLOOKUP(Tabla1[[#This Row],[PROGRAMA]],Hoja1!A:B,2,FALSE)</f>
        <v>9332. Mantenimiento de edificios e instalaciones municipales</v>
      </c>
      <c r="W3349" s="35" t="str">
        <f>MID(Tabla1[[#This Row],[Aplicación]],14,2)</f>
        <v>21</v>
      </c>
      <c r="X3349" s="35" t="str">
        <f>MID(Tabla1[[#This Row],[Aplicación]],14,6)</f>
        <v>212</v>
      </c>
    </row>
    <row r="3350" spans="1:24" x14ac:dyDescent="0.25">
      <c r="A3350" s="45">
        <v>220210028694</v>
      </c>
      <c r="B3350" s="46" t="s">
        <v>501</v>
      </c>
      <c r="C3350" s="47">
        <v>44351</v>
      </c>
      <c r="D3350" s="45">
        <v>22021002064</v>
      </c>
      <c r="E3350" s="46" t="s">
        <v>873</v>
      </c>
      <c r="F3350" s="48">
        <v>-1267.57</v>
      </c>
      <c r="G3350" s="54" t="s">
        <v>209</v>
      </c>
      <c r="H3350" s="54" t="s">
        <v>2519</v>
      </c>
      <c r="I3350" s="53" t="s">
        <v>125</v>
      </c>
      <c r="J3350" s="54" t="s">
        <v>127</v>
      </c>
      <c r="K3350" s="54" t="s">
        <v>127</v>
      </c>
      <c r="L3350" s="54" t="s">
        <v>15</v>
      </c>
      <c r="M3350" s="54" t="s">
        <v>10</v>
      </c>
      <c r="N3350" s="54" t="s">
        <v>11</v>
      </c>
      <c r="O3350" s="49" t="s">
        <v>815</v>
      </c>
      <c r="P3350" s="54" t="s">
        <v>3392</v>
      </c>
      <c r="Q3350" s="35" t="str">
        <f>MID(Tabla1[[#This Row],[Aplicación]],14,1)</f>
        <v>2</v>
      </c>
      <c r="R3350" s="35" t="s">
        <v>495</v>
      </c>
      <c r="S3350" s="35" t="str">
        <f>MID(Tabla1[[#This Row],[Aplicación]],6,2)</f>
        <v>10</v>
      </c>
      <c r="T3350" s="35" t="str">
        <f>VLOOKUP(Tabla1[[#This Row],[AREA]],Hoja1!A:B,2,FALSE)</f>
        <v>10. Servicios sociales y mediación comunitaria</v>
      </c>
      <c r="U3350" s="35" t="str">
        <f>MID(Tabla1[[#This Row],[Aplicación]],9,4)</f>
        <v>2412</v>
      </c>
      <c r="V3350" s="35" t="str">
        <f>VLOOKUP(Tabla1[[#This Row],[PROGRAMA]],Hoja1!A:B,2,FALSE)</f>
        <v>2412. Formación para el empleo</v>
      </c>
      <c r="W3350" s="35" t="str">
        <f>MID(Tabla1[[#This Row],[Aplicación]],14,2)</f>
        <v>22</v>
      </c>
      <c r="X3350" s="35" t="str">
        <f>MID(Tabla1[[#This Row],[Aplicación]],14,6)</f>
        <v>22199</v>
      </c>
    </row>
    <row r="3351" spans="1:24" x14ac:dyDescent="0.25">
      <c r="A3351" s="45">
        <v>220210014267</v>
      </c>
      <c r="B3351" s="46" t="s">
        <v>9</v>
      </c>
      <c r="C3351" s="47">
        <v>44294</v>
      </c>
      <c r="D3351" s="45">
        <v>22021003766</v>
      </c>
      <c r="E3351" s="46" t="s">
        <v>1167</v>
      </c>
      <c r="F3351" s="48">
        <v>2045.75</v>
      </c>
      <c r="G3351" s="54" t="s">
        <v>2011</v>
      </c>
      <c r="H3351" s="54" t="s">
        <v>4894</v>
      </c>
      <c r="I3351" s="53" t="s">
        <v>125</v>
      </c>
      <c r="J3351" s="54" t="s">
        <v>127</v>
      </c>
      <c r="K3351" s="54" t="s">
        <v>127</v>
      </c>
      <c r="L3351" s="54" t="s">
        <v>12</v>
      </c>
      <c r="M3351" s="54" t="s">
        <v>10</v>
      </c>
      <c r="N3351" s="54" t="s">
        <v>11</v>
      </c>
      <c r="O3351" s="49" t="s">
        <v>815</v>
      </c>
      <c r="P3351" s="54" t="s">
        <v>3392</v>
      </c>
      <c r="Q3351" s="35" t="str">
        <f>MID(Tabla1[[#This Row],[Aplicación]],14,1)</f>
        <v>2</v>
      </c>
      <c r="R3351" s="35" t="s">
        <v>495</v>
      </c>
      <c r="S3351" s="35" t="str">
        <f>MID(Tabla1[[#This Row],[Aplicación]],6,2)</f>
        <v>11</v>
      </c>
      <c r="T3351" s="35" t="str">
        <f>VLOOKUP(Tabla1[[#This Row],[AREA]],Hoja1!A:B,2,FALSE)</f>
        <v>11. Salud pública y seguridad ciudadana</v>
      </c>
      <c r="U3351" s="35" t="str">
        <f>MID(Tabla1[[#This Row],[Aplicación]],9,4)</f>
        <v>1321</v>
      </c>
      <c r="V3351" s="35" t="str">
        <f>VLOOKUP(Tabla1[[#This Row],[PROGRAMA]],Hoja1!A:B,2,FALSE)</f>
        <v>1321. Policía municipal</v>
      </c>
      <c r="W3351" s="35" t="str">
        <f>MID(Tabla1[[#This Row],[Aplicación]],14,2)</f>
        <v>21</v>
      </c>
      <c r="X3351" s="35" t="str">
        <f>MID(Tabla1[[#This Row],[Aplicación]],14,6)</f>
        <v>214</v>
      </c>
    </row>
    <row r="3352" spans="1:24" x14ac:dyDescent="0.25">
      <c r="A3352" s="45">
        <v>220210026059</v>
      </c>
      <c r="B3352" s="46" t="s">
        <v>9</v>
      </c>
      <c r="C3352" s="47">
        <v>44347</v>
      </c>
      <c r="D3352" s="45">
        <v>22021004640</v>
      </c>
      <c r="E3352" s="46" t="s">
        <v>1167</v>
      </c>
      <c r="F3352" s="48">
        <v>987.63</v>
      </c>
      <c r="G3352" s="54" t="s">
        <v>2011</v>
      </c>
      <c r="H3352" s="54" t="s">
        <v>4895</v>
      </c>
      <c r="I3352" s="53" t="s">
        <v>125</v>
      </c>
      <c r="J3352" s="54" t="s">
        <v>127</v>
      </c>
      <c r="K3352" s="54" t="s">
        <v>127</v>
      </c>
      <c r="L3352" s="54" t="s">
        <v>12</v>
      </c>
      <c r="M3352" s="54" t="s">
        <v>10</v>
      </c>
      <c r="N3352" s="54" t="s">
        <v>11</v>
      </c>
      <c r="O3352" s="49" t="s">
        <v>815</v>
      </c>
      <c r="P3352" s="54" t="s">
        <v>3392</v>
      </c>
      <c r="Q3352" s="35" t="str">
        <f>MID(Tabla1[[#This Row],[Aplicación]],14,1)</f>
        <v>2</v>
      </c>
      <c r="R3352" s="35" t="s">
        <v>495</v>
      </c>
      <c r="S3352" s="35" t="str">
        <f>MID(Tabla1[[#This Row],[Aplicación]],6,2)</f>
        <v>11</v>
      </c>
      <c r="T3352" s="35" t="str">
        <f>VLOOKUP(Tabla1[[#This Row],[AREA]],Hoja1!A:B,2,FALSE)</f>
        <v>11. Salud pública y seguridad ciudadana</v>
      </c>
      <c r="U3352" s="35" t="str">
        <f>MID(Tabla1[[#This Row],[Aplicación]],9,4)</f>
        <v>1321</v>
      </c>
      <c r="V3352" s="35" t="str">
        <f>VLOOKUP(Tabla1[[#This Row],[PROGRAMA]],Hoja1!A:B,2,FALSE)</f>
        <v>1321. Policía municipal</v>
      </c>
      <c r="W3352" s="35" t="str">
        <f>MID(Tabla1[[#This Row],[Aplicación]],14,2)</f>
        <v>21</v>
      </c>
      <c r="X3352" s="35" t="str">
        <f>MID(Tabla1[[#This Row],[Aplicación]],14,6)</f>
        <v>214</v>
      </c>
    </row>
    <row r="3353" spans="1:24" x14ac:dyDescent="0.25">
      <c r="A3353" s="45">
        <v>220210015661</v>
      </c>
      <c r="B3353" s="46" t="s">
        <v>204</v>
      </c>
      <c r="C3353" s="47">
        <v>44302</v>
      </c>
      <c r="D3353" s="45">
        <v>22021002228</v>
      </c>
      <c r="E3353" s="46" t="s">
        <v>1471</v>
      </c>
      <c r="F3353" s="48">
        <v>4.84</v>
      </c>
      <c r="G3353" s="54" t="s">
        <v>277</v>
      </c>
      <c r="H3353" s="54" t="s">
        <v>4896</v>
      </c>
      <c r="I3353" s="53" t="s">
        <v>205</v>
      </c>
      <c r="J3353" s="54" t="s">
        <v>127</v>
      </c>
      <c r="K3353" s="54" t="s">
        <v>127</v>
      </c>
      <c r="L3353" s="54" t="s">
        <v>15</v>
      </c>
      <c r="M3353" s="54" t="s">
        <v>13</v>
      </c>
      <c r="N3353" s="54" t="s">
        <v>14</v>
      </c>
      <c r="O3353" s="49" t="s">
        <v>814</v>
      </c>
      <c r="P3353" s="54" t="s">
        <v>3392</v>
      </c>
      <c r="Q3353" s="35" t="str">
        <f>MID(Tabla1[[#This Row],[Aplicación]],14,1)</f>
        <v>2</v>
      </c>
      <c r="R3353" s="35" t="s">
        <v>495</v>
      </c>
      <c r="S3353" s="35" t="str">
        <f>MID(Tabla1[[#This Row],[Aplicación]],6,2)</f>
        <v>06</v>
      </c>
      <c r="T3353" s="35" t="str">
        <f>VLOOKUP(Tabla1[[#This Row],[AREA]],Hoja1!A:B,2,FALSE)</f>
        <v>06. Educación, infancia, juventud e igualdad</v>
      </c>
      <c r="U3353" s="35" t="str">
        <f>MID(Tabla1[[#This Row],[Aplicación]],9,4)</f>
        <v>3232</v>
      </c>
      <c r="V3353" s="35" t="str">
        <f>VLOOKUP(Tabla1[[#This Row],[PROGRAMA]],Hoja1!A:B,2,FALSE)</f>
        <v>3232. Conservación y mantenimiento centros educación infantil y primaria</v>
      </c>
      <c r="W3353" s="35" t="str">
        <f>MID(Tabla1[[#This Row],[Aplicación]],14,2)</f>
        <v>21</v>
      </c>
      <c r="X3353" s="35" t="str">
        <f>MID(Tabla1[[#This Row],[Aplicación]],14,6)</f>
        <v>212</v>
      </c>
    </row>
    <row r="3354" spans="1:24" x14ac:dyDescent="0.25">
      <c r="A3354" s="45">
        <v>220210022735</v>
      </c>
      <c r="B3354" s="46" t="s">
        <v>204</v>
      </c>
      <c r="C3354" s="47">
        <v>44333</v>
      </c>
      <c r="D3354" s="45">
        <v>22021002052</v>
      </c>
      <c r="E3354" s="46" t="s">
        <v>1340</v>
      </c>
      <c r="F3354" s="48">
        <v>4.72</v>
      </c>
      <c r="G3354" s="54" t="s">
        <v>257</v>
      </c>
      <c r="H3354" s="54" t="s">
        <v>4897</v>
      </c>
      <c r="I3354" s="53" t="s">
        <v>205</v>
      </c>
      <c r="J3354" s="54" t="s">
        <v>127</v>
      </c>
      <c r="K3354" s="54" t="s">
        <v>127</v>
      </c>
      <c r="L3354" s="54" t="s">
        <v>15</v>
      </c>
      <c r="M3354" s="54" t="s">
        <v>13</v>
      </c>
      <c r="N3354" s="54" t="s">
        <v>14</v>
      </c>
      <c r="O3354" s="49" t="s">
        <v>814</v>
      </c>
      <c r="P3354" s="54" t="s">
        <v>3392</v>
      </c>
      <c r="Q3354" s="35" t="str">
        <f>MID(Tabla1[[#This Row],[Aplicación]],14,1)</f>
        <v>2</v>
      </c>
      <c r="R3354" s="35" t="s">
        <v>495</v>
      </c>
      <c r="S3354" s="35" t="str">
        <f>MID(Tabla1[[#This Row],[Aplicación]],6,2)</f>
        <v>11</v>
      </c>
      <c r="T3354" s="35" t="str">
        <f>VLOOKUP(Tabla1[[#This Row],[AREA]],Hoja1!A:B,2,FALSE)</f>
        <v>11. Salud pública y seguridad ciudadana</v>
      </c>
      <c r="U3354" s="35" t="str">
        <f>MID(Tabla1[[#This Row],[Aplicación]],9,4)</f>
        <v>1621</v>
      </c>
      <c r="V3354" s="35" t="str">
        <f>VLOOKUP(Tabla1[[#This Row],[PROGRAMA]],Hoja1!A:B,2,FALSE)</f>
        <v>1621. Servicio de limpieza</v>
      </c>
      <c r="W3354" s="35" t="str">
        <f>MID(Tabla1[[#This Row],[Aplicación]],14,2)</f>
        <v>22</v>
      </c>
      <c r="X3354" s="35" t="str">
        <f>MID(Tabla1[[#This Row],[Aplicación]],14,6)</f>
        <v>22199</v>
      </c>
    </row>
    <row r="3355" spans="1:24" x14ac:dyDescent="0.25">
      <c r="A3355" s="45">
        <v>220210014502</v>
      </c>
      <c r="B3355" s="46" t="s">
        <v>204</v>
      </c>
      <c r="C3355" s="47">
        <v>44295</v>
      </c>
      <c r="D3355" s="45">
        <v>22020001574</v>
      </c>
      <c r="E3355" s="46" t="s">
        <v>3362</v>
      </c>
      <c r="F3355" s="48">
        <v>3.79</v>
      </c>
      <c r="G3355" s="54" t="s">
        <v>4009</v>
      </c>
      <c r="H3355" s="54" t="s">
        <v>4898</v>
      </c>
      <c r="I3355" s="53" t="s">
        <v>205</v>
      </c>
      <c r="J3355" s="54" t="s">
        <v>127</v>
      </c>
      <c r="K3355" s="54" t="s">
        <v>127</v>
      </c>
      <c r="L3355" s="54" t="s">
        <v>15</v>
      </c>
      <c r="M3355" s="54" t="s">
        <v>13</v>
      </c>
      <c r="N3355" s="54" t="s">
        <v>14</v>
      </c>
      <c r="O3355" s="49" t="s">
        <v>814</v>
      </c>
      <c r="P3355" s="54" t="s">
        <v>3392</v>
      </c>
      <c r="Q3355" s="35" t="str">
        <f>MID(Tabla1[[#This Row],[Aplicación]],14,1)</f>
        <v>6</v>
      </c>
      <c r="R3355" s="35" t="s">
        <v>496</v>
      </c>
      <c r="S3355" s="35" t="str">
        <f>MID(Tabla1[[#This Row],[Aplicación]],6,2)</f>
        <v>06</v>
      </c>
      <c r="T3355" s="35" t="str">
        <f>VLOOKUP(Tabla1[[#This Row],[AREA]],Hoja1!A:B,2,FALSE)</f>
        <v>06. Educación, infancia, juventud e igualdad</v>
      </c>
      <c r="U3355" s="35" t="str">
        <f>MID(Tabla1[[#This Row],[Aplicación]],9,4)</f>
        <v>3321</v>
      </c>
      <c r="V3355" s="35" t="str">
        <f>VLOOKUP(Tabla1[[#This Row],[PROGRAMA]],Hoja1!A:B,2,FALSE)</f>
        <v>3321. Bibliotecas públicas</v>
      </c>
      <c r="W3355" s="35" t="str">
        <f>MID(Tabla1[[#This Row],[Aplicación]],14,2)</f>
        <v>62</v>
      </c>
      <c r="X3355" s="35" t="str">
        <f>MID(Tabla1[[#This Row],[Aplicación]],14,6)</f>
        <v>629</v>
      </c>
    </row>
    <row r="3356" spans="1:24" x14ac:dyDescent="0.25">
      <c r="A3356" s="45">
        <v>220210017017</v>
      </c>
      <c r="B3356" s="46" t="s">
        <v>501</v>
      </c>
      <c r="C3356" s="47">
        <v>44312</v>
      </c>
      <c r="D3356" s="45">
        <v>22021002507</v>
      </c>
      <c r="E3356" s="46" t="s">
        <v>1525</v>
      </c>
      <c r="F3356" s="48">
        <v>-2592</v>
      </c>
      <c r="G3356" s="54" t="s">
        <v>1794</v>
      </c>
      <c r="H3356" s="54" t="s">
        <v>1795</v>
      </c>
      <c r="I3356" s="53" t="s">
        <v>125</v>
      </c>
      <c r="J3356" s="54" t="s">
        <v>126</v>
      </c>
      <c r="K3356" s="54" t="s">
        <v>126</v>
      </c>
      <c r="L3356" s="54" t="s">
        <v>12</v>
      </c>
      <c r="M3356" s="54" t="s">
        <v>10</v>
      </c>
      <c r="N3356" s="54" t="s">
        <v>11</v>
      </c>
      <c r="O3356" s="49" t="s">
        <v>815</v>
      </c>
      <c r="P3356" s="54" t="s">
        <v>3392</v>
      </c>
      <c r="Q3356" s="35" t="str">
        <f>MID(Tabla1[[#This Row],[Aplicación]],14,1)</f>
        <v>2</v>
      </c>
      <c r="R3356" s="35" t="s">
        <v>495</v>
      </c>
      <c r="S3356" s="35" t="str">
        <f>MID(Tabla1[[#This Row],[Aplicación]],6,2)</f>
        <v>04</v>
      </c>
      <c r="T3356" s="35" t="str">
        <f>VLOOKUP(Tabla1[[#This Row],[AREA]],Hoja1!A:B,2,FALSE)</f>
        <v>04. Planificación y recursos</v>
      </c>
      <c r="U3356" s="35" t="str">
        <f>MID(Tabla1[[#This Row],[Aplicación]],9,4)</f>
        <v>3121</v>
      </c>
      <c r="V3356" s="35" t="str">
        <f>VLOOKUP(Tabla1[[#This Row],[PROGRAMA]],Hoja1!A:B,2,FALSE)</f>
        <v>3121. Prevención y salud laboral</v>
      </c>
      <c r="W3356" s="35" t="str">
        <f>MID(Tabla1[[#This Row],[Aplicación]],14,2)</f>
        <v>22</v>
      </c>
      <c r="X3356" s="35" t="str">
        <f>MID(Tabla1[[#This Row],[Aplicación]],14,6)</f>
        <v>22706</v>
      </c>
    </row>
    <row r="3357" spans="1:24" x14ac:dyDescent="0.25">
      <c r="A3357" s="45">
        <v>220210017107</v>
      </c>
      <c r="B3357" s="46" t="s">
        <v>204</v>
      </c>
      <c r="C3357" s="47">
        <v>44312</v>
      </c>
      <c r="D3357" s="45">
        <v>22021002089</v>
      </c>
      <c r="E3357" s="46" t="s">
        <v>1220</v>
      </c>
      <c r="F3357" s="48">
        <v>3.22</v>
      </c>
      <c r="G3357" s="54" t="s">
        <v>102</v>
      </c>
      <c r="H3357" s="54" t="s">
        <v>4899</v>
      </c>
      <c r="I3357" s="53" t="s">
        <v>205</v>
      </c>
      <c r="J3357" s="54" t="s">
        <v>127</v>
      </c>
      <c r="K3357" s="54" t="s">
        <v>127</v>
      </c>
      <c r="L3357" s="54" t="s">
        <v>15</v>
      </c>
      <c r="M3357" s="54" t="s">
        <v>13</v>
      </c>
      <c r="N3357" s="54" t="s">
        <v>16</v>
      </c>
      <c r="O3357" s="49" t="s">
        <v>814</v>
      </c>
      <c r="P3357" s="54" t="s">
        <v>3392</v>
      </c>
      <c r="Q3357" s="35" t="str">
        <f>MID(Tabla1[[#This Row],[Aplicación]],14,1)</f>
        <v>2</v>
      </c>
      <c r="R3357" s="35" t="s">
        <v>495</v>
      </c>
      <c r="S3357" s="35" t="str">
        <f>MID(Tabla1[[#This Row],[Aplicación]],6,2)</f>
        <v>03</v>
      </c>
      <c r="T3357" s="35" t="str">
        <f>VLOOKUP(Tabla1[[#This Row],[AREA]],Hoja1!A:B,2,FALSE)</f>
        <v>03. Participación ciudadana y deportes</v>
      </c>
      <c r="U3357" s="35" t="str">
        <f>MID(Tabla1[[#This Row],[Aplicación]],9,4)</f>
        <v>9241</v>
      </c>
      <c r="V3357" s="35" t="str">
        <f>VLOOKUP(Tabla1[[#This Row],[PROGRAMA]],Hoja1!A:B,2,FALSE)</f>
        <v>9241. Participación ciudadana</v>
      </c>
      <c r="W3357" s="35" t="str">
        <f>MID(Tabla1[[#This Row],[Aplicación]],14,2)</f>
        <v>21</v>
      </c>
      <c r="X3357" s="35" t="str">
        <f>MID(Tabla1[[#This Row],[Aplicación]],14,6)</f>
        <v>213</v>
      </c>
    </row>
    <row r="3358" spans="1:24" x14ac:dyDescent="0.25">
      <c r="A3358" s="45">
        <v>220210030291</v>
      </c>
      <c r="B3358" s="46" t="s">
        <v>501</v>
      </c>
      <c r="C3358" s="47">
        <v>44357</v>
      </c>
      <c r="D3358" s="45">
        <v>22021004166</v>
      </c>
      <c r="E3358" s="46" t="s">
        <v>842</v>
      </c>
      <c r="F3358" s="48">
        <v>-2958.45</v>
      </c>
      <c r="G3358" s="54" t="s">
        <v>553</v>
      </c>
      <c r="H3358" s="54" t="s">
        <v>4900</v>
      </c>
      <c r="I3358" s="53" t="s">
        <v>125</v>
      </c>
      <c r="J3358" s="54" t="s">
        <v>127</v>
      </c>
      <c r="K3358" s="54" t="s">
        <v>127</v>
      </c>
      <c r="L3358" s="54" t="s">
        <v>12</v>
      </c>
      <c r="M3358" s="54" t="s">
        <v>10</v>
      </c>
      <c r="N3358" s="54" t="s">
        <v>11</v>
      </c>
      <c r="O3358" s="49" t="s">
        <v>815</v>
      </c>
      <c r="P3358" s="54" t="s">
        <v>3392</v>
      </c>
      <c r="Q3358" s="35" t="str">
        <f>MID(Tabla1[[#This Row],[Aplicación]],14,1)</f>
        <v>2</v>
      </c>
      <c r="R3358" s="35" t="s">
        <v>495</v>
      </c>
      <c r="S3358" s="35" t="str">
        <f>MID(Tabla1[[#This Row],[Aplicación]],6,2)</f>
        <v>06</v>
      </c>
      <c r="T3358" s="35" t="str">
        <f>VLOOKUP(Tabla1[[#This Row],[AREA]],Hoja1!A:B,2,FALSE)</f>
        <v>06. Educación, infancia, juventud e igualdad</v>
      </c>
      <c r="U3358" s="35" t="str">
        <f>MID(Tabla1[[#This Row],[Aplicación]],9,4)</f>
        <v>3261</v>
      </c>
      <c r="V3358" s="35" t="str">
        <f>VLOOKUP(Tabla1[[#This Row],[PROGRAMA]],Hoja1!A:B,2,FALSE)</f>
        <v>3261. Servicios complementarios de educación</v>
      </c>
      <c r="W3358" s="35" t="str">
        <f>MID(Tabla1[[#This Row],[Aplicación]],14,2)</f>
        <v>22</v>
      </c>
      <c r="X3358" s="35" t="str">
        <f>MID(Tabla1[[#This Row],[Aplicación]],14,6)</f>
        <v>22799</v>
      </c>
    </row>
    <row r="3359" spans="1:24" x14ac:dyDescent="0.25">
      <c r="A3359" s="45">
        <v>220210020778</v>
      </c>
      <c r="B3359" s="46" t="s">
        <v>204</v>
      </c>
      <c r="C3359" s="47">
        <v>44323</v>
      </c>
      <c r="D3359" s="45">
        <v>22021002088</v>
      </c>
      <c r="E3359" s="46" t="s">
        <v>1478</v>
      </c>
      <c r="F3359" s="48">
        <v>2.83</v>
      </c>
      <c r="G3359" s="54" t="s">
        <v>263</v>
      </c>
      <c r="H3359" s="54" t="s">
        <v>4901</v>
      </c>
      <c r="I3359" s="53" t="s">
        <v>205</v>
      </c>
      <c r="J3359" s="54" t="s">
        <v>127</v>
      </c>
      <c r="K3359" s="54" t="s">
        <v>127</v>
      </c>
      <c r="L3359" s="54" t="s">
        <v>15</v>
      </c>
      <c r="M3359" s="54" t="s">
        <v>13</v>
      </c>
      <c r="N3359" s="54" t="s">
        <v>16</v>
      </c>
      <c r="O3359" s="49" t="s">
        <v>814</v>
      </c>
      <c r="P3359" s="54" t="s">
        <v>3392</v>
      </c>
      <c r="Q3359" s="35" t="str">
        <f>MID(Tabla1[[#This Row],[Aplicación]],14,1)</f>
        <v>2</v>
      </c>
      <c r="R3359" s="35" t="s">
        <v>495</v>
      </c>
      <c r="S3359" s="35" t="str">
        <f>MID(Tabla1[[#This Row],[Aplicación]],6,2)</f>
        <v>03</v>
      </c>
      <c r="T3359" s="35" t="str">
        <f>VLOOKUP(Tabla1[[#This Row],[AREA]],Hoja1!A:B,2,FALSE)</f>
        <v>03. Participación ciudadana y deportes</v>
      </c>
      <c r="U3359" s="35" t="str">
        <f>MID(Tabla1[[#This Row],[Aplicación]],9,4)</f>
        <v>9241</v>
      </c>
      <c r="V3359" s="35" t="str">
        <f>VLOOKUP(Tabla1[[#This Row],[PROGRAMA]],Hoja1!A:B,2,FALSE)</f>
        <v>9241. Participación ciudadana</v>
      </c>
      <c r="W3359" s="35" t="str">
        <f>MID(Tabla1[[#This Row],[Aplicación]],14,2)</f>
        <v>21</v>
      </c>
      <c r="X3359" s="35" t="str">
        <f>MID(Tabla1[[#This Row],[Aplicación]],14,6)</f>
        <v>212</v>
      </c>
    </row>
    <row r="3360" spans="1:24" x14ac:dyDescent="0.25">
      <c r="A3360" s="45">
        <v>220210014815</v>
      </c>
      <c r="B3360" s="46" t="s">
        <v>204</v>
      </c>
      <c r="C3360" s="47">
        <v>44299</v>
      </c>
      <c r="D3360" s="45">
        <v>22021002006</v>
      </c>
      <c r="E3360" s="46" t="s">
        <v>1310</v>
      </c>
      <c r="F3360" s="48">
        <v>2.81</v>
      </c>
      <c r="G3360" s="54" t="s">
        <v>238</v>
      </c>
      <c r="H3360" s="54" t="s">
        <v>4902</v>
      </c>
      <c r="I3360" s="53" t="s">
        <v>205</v>
      </c>
      <c r="J3360" s="54" t="s">
        <v>127</v>
      </c>
      <c r="K3360" s="54" t="s">
        <v>127</v>
      </c>
      <c r="L3360" s="54" t="s">
        <v>15</v>
      </c>
      <c r="M3360" s="54" t="s">
        <v>13</v>
      </c>
      <c r="N3360" s="54" t="s">
        <v>14</v>
      </c>
      <c r="O3360" s="49" t="s">
        <v>814</v>
      </c>
      <c r="P3360" s="54" t="s">
        <v>3392</v>
      </c>
      <c r="Q3360" s="35" t="str">
        <f>MID(Tabla1[[#This Row],[Aplicación]],14,1)</f>
        <v>2</v>
      </c>
      <c r="R3360" s="35" t="s">
        <v>495</v>
      </c>
      <c r="S3360" s="35" t="str">
        <f>MID(Tabla1[[#This Row],[Aplicación]],6,2)</f>
        <v>11</v>
      </c>
      <c r="T3360" s="35" t="str">
        <f>VLOOKUP(Tabla1[[#This Row],[AREA]],Hoja1!A:B,2,FALSE)</f>
        <v>11. Salud pública y seguridad ciudadana</v>
      </c>
      <c r="U3360" s="35" t="str">
        <f>MID(Tabla1[[#This Row],[Aplicación]],9,4)</f>
        <v>3111</v>
      </c>
      <c r="V3360" s="35" t="str">
        <f>VLOOKUP(Tabla1[[#This Row],[PROGRAMA]],Hoja1!A:B,2,FALSE)</f>
        <v>3111. Protección de la salubridad pública</v>
      </c>
      <c r="W3360" s="35" t="str">
        <f>MID(Tabla1[[#This Row],[Aplicación]],14,2)</f>
        <v>22</v>
      </c>
      <c r="X3360" s="35" t="str">
        <f>MID(Tabla1[[#This Row],[Aplicación]],14,6)</f>
        <v>22199</v>
      </c>
    </row>
    <row r="3361" spans="1:24" x14ac:dyDescent="0.25">
      <c r="A3361" s="45">
        <v>220210033176</v>
      </c>
      <c r="B3361" s="46" t="s">
        <v>204</v>
      </c>
      <c r="C3361" s="47">
        <v>44377</v>
      </c>
      <c r="D3361" s="45">
        <v>22021002143</v>
      </c>
      <c r="E3361" s="46" t="s">
        <v>1328</v>
      </c>
      <c r="F3361" s="48">
        <v>2.2599999999999998</v>
      </c>
      <c r="G3361" s="54" t="s">
        <v>102</v>
      </c>
      <c r="H3361" s="54" t="s">
        <v>4903</v>
      </c>
      <c r="I3361" s="53" t="s">
        <v>205</v>
      </c>
      <c r="J3361" s="54" t="s">
        <v>127</v>
      </c>
      <c r="K3361" s="54" t="s">
        <v>127</v>
      </c>
      <c r="L3361" s="54" t="s">
        <v>15</v>
      </c>
      <c r="M3361" s="54" t="s">
        <v>13</v>
      </c>
      <c r="N3361" s="54" t="s">
        <v>14</v>
      </c>
      <c r="O3361" s="49" t="s">
        <v>814</v>
      </c>
      <c r="P3361" s="54" t="s">
        <v>3392</v>
      </c>
      <c r="Q3361" s="35" t="str">
        <f>MID(Tabla1[[#This Row],[Aplicación]],14,1)</f>
        <v>2</v>
      </c>
      <c r="R3361" s="35" t="s">
        <v>495</v>
      </c>
      <c r="S3361" s="35" t="str">
        <f>MID(Tabla1[[#This Row],[Aplicación]],6,2)</f>
        <v>10</v>
      </c>
      <c r="T3361" s="35" t="str">
        <f>VLOOKUP(Tabla1[[#This Row],[AREA]],Hoja1!A:B,2,FALSE)</f>
        <v>10. Servicios sociales y mediación comunitaria</v>
      </c>
      <c r="U3361" s="35" t="str">
        <f>MID(Tabla1[[#This Row],[Aplicación]],9,4)</f>
        <v>2311</v>
      </c>
      <c r="V3361" s="35" t="str">
        <f>VLOOKUP(Tabla1[[#This Row],[PROGRAMA]],Hoja1!A:B,2,FALSE)</f>
        <v>2311. Intervención social</v>
      </c>
      <c r="W3361" s="35" t="str">
        <f>MID(Tabla1[[#This Row],[Aplicación]],14,2)</f>
        <v>21</v>
      </c>
      <c r="X3361" s="35" t="str">
        <f>MID(Tabla1[[#This Row],[Aplicación]],14,6)</f>
        <v>212</v>
      </c>
    </row>
    <row r="3362" spans="1:24" x14ac:dyDescent="0.25">
      <c r="A3362" s="45">
        <v>220210022489</v>
      </c>
      <c r="B3362" s="46" t="s">
        <v>204</v>
      </c>
      <c r="C3362" s="47">
        <v>44330</v>
      </c>
      <c r="D3362" s="45">
        <v>22021002057</v>
      </c>
      <c r="E3362" s="46" t="s">
        <v>1715</v>
      </c>
      <c r="F3362" s="48">
        <v>2.13</v>
      </c>
      <c r="G3362" s="54" t="s">
        <v>150</v>
      </c>
      <c r="H3362" s="54" t="s">
        <v>4904</v>
      </c>
      <c r="I3362" s="53" t="s">
        <v>205</v>
      </c>
      <c r="J3362" s="54" t="s">
        <v>146</v>
      </c>
      <c r="K3362" s="54" t="s">
        <v>146</v>
      </c>
      <c r="L3362" s="54" t="s">
        <v>15</v>
      </c>
      <c r="M3362" s="54" t="s">
        <v>13</v>
      </c>
      <c r="N3362" s="54" t="s">
        <v>14</v>
      </c>
      <c r="O3362" s="49" t="s">
        <v>814</v>
      </c>
      <c r="P3362" s="54" t="s">
        <v>3392</v>
      </c>
      <c r="Q3362" s="35" t="str">
        <f>MID(Tabla1[[#This Row],[Aplicación]],14,1)</f>
        <v>2</v>
      </c>
      <c r="R3362" s="35" t="s">
        <v>495</v>
      </c>
      <c r="S3362" s="35" t="str">
        <f>MID(Tabla1[[#This Row],[Aplicación]],6,2)</f>
        <v>11</v>
      </c>
      <c r="T3362" s="35" t="str">
        <f>VLOOKUP(Tabla1[[#This Row],[AREA]],Hoja1!A:B,2,FALSE)</f>
        <v>11. Salud pública y seguridad ciudadana</v>
      </c>
      <c r="U3362" s="35" t="str">
        <f>MID(Tabla1[[#This Row],[Aplicación]],9,4)</f>
        <v>1631</v>
      </c>
      <c r="V3362" s="35" t="str">
        <f>VLOOKUP(Tabla1[[#This Row],[PROGRAMA]],Hoja1!A:B,2,FALSE)</f>
        <v>1631. Limpieza viaria</v>
      </c>
      <c r="W3362" s="35" t="str">
        <f>MID(Tabla1[[#This Row],[Aplicación]],14,2)</f>
        <v>22</v>
      </c>
      <c r="X3362" s="35" t="str">
        <f>MID(Tabla1[[#This Row],[Aplicación]],14,6)</f>
        <v>22199</v>
      </c>
    </row>
    <row r="3363" spans="1:24" x14ac:dyDescent="0.25">
      <c r="A3363" s="45">
        <v>220210022801</v>
      </c>
      <c r="B3363" s="46" t="s">
        <v>501</v>
      </c>
      <c r="C3363" s="47">
        <v>44333</v>
      </c>
      <c r="D3363" s="45">
        <v>22021003366</v>
      </c>
      <c r="E3363" s="46" t="s">
        <v>1574</v>
      </c>
      <c r="F3363" s="48">
        <v>-4729.59</v>
      </c>
      <c r="G3363" s="54" t="s">
        <v>3600</v>
      </c>
      <c r="H3363" s="54" t="s">
        <v>4905</v>
      </c>
      <c r="I3363" s="53" t="s">
        <v>125</v>
      </c>
      <c r="J3363" s="54" t="s">
        <v>127</v>
      </c>
      <c r="K3363" s="54" t="s">
        <v>127</v>
      </c>
      <c r="L3363" s="54" t="s">
        <v>31</v>
      </c>
      <c r="M3363" s="54" t="s">
        <v>10</v>
      </c>
      <c r="N3363" s="54" t="s">
        <v>11</v>
      </c>
      <c r="O3363" s="49" t="s">
        <v>815</v>
      </c>
      <c r="P3363" s="54" t="s">
        <v>3392</v>
      </c>
      <c r="Q3363" s="35" t="str">
        <f>MID(Tabla1[[#This Row],[Aplicación]],14,1)</f>
        <v>2</v>
      </c>
      <c r="R3363" s="35" t="s">
        <v>495</v>
      </c>
      <c r="S3363" s="35" t="str">
        <f>MID(Tabla1[[#This Row],[Aplicación]],6,2)</f>
        <v>06</v>
      </c>
      <c r="T3363" s="35" t="str">
        <f>VLOOKUP(Tabla1[[#This Row],[AREA]],Hoja1!A:B,2,FALSE)</f>
        <v>06. Educación, infancia, juventud e igualdad</v>
      </c>
      <c r="U3363" s="35" t="str">
        <f>MID(Tabla1[[#This Row],[Aplicación]],9,4)</f>
        <v>3231</v>
      </c>
      <c r="V3363" s="35" t="str">
        <f>VLOOKUP(Tabla1[[#This Row],[PROGRAMA]],Hoja1!A:B,2,FALSE)</f>
        <v>3231. Escuelas infantiles</v>
      </c>
      <c r="W3363" s="35" t="str">
        <f>MID(Tabla1[[#This Row],[Aplicación]],14,2)</f>
        <v>21</v>
      </c>
      <c r="X3363" s="35" t="str">
        <f>MID(Tabla1[[#This Row],[Aplicación]],14,6)</f>
        <v>212</v>
      </c>
    </row>
    <row r="3364" spans="1:24" x14ac:dyDescent="0.25">
      <c r="A3364" s="45">
        <v>220210032799</v>
      </c>
      <c r="B3364" s="46" t="s">
        <v>204</v>
      </c>
      <c r="C3364" s="47">
        <v>44371</v>
      </c>
      <c r="D3364" s="45">
        <v>22021002057</v>
      </c>
      <c r="E3364" s="46" t="s">
        <v>1715</v>
      </c>
      <c r="F3364" s="48">
        <v>2.12</v>
      </c>
      <c r="G3364" s="54" t="s">
        <v>102</v>
      </c>
      <c r="H3364" s="54" t="s">
        <v>4906</v>
      </c>
      <c r="I3364" s="53" t="s">
        <v>205</v>
      </c>
      <c r="J3364" s="54" t="s">
        <v>127</v>
      </c>
      <c r="K3364" s="54" t="s">
        <v>127</v>
      </c>
      <c r="L3364" s="54" t="s">
        <v>15</v>
      </c>
      <c r="M3364" s="54" t="s">
        <v>13</v>
      </c>
      <c r="N3364" s="54" t="s">
        <v>14</v>
      </c>
      <c r="O3364" s="49" t="s">
        <v>814</v>
      </c>
      <c r="P3364" s="54" t="s">
        <v>3392</v>
      </c>
      <c r="Q3364" s="35" t="str">
        <f>MID(Tabla1[[#This Row],[Aplicación]],14,1)</f>
        <v>2</v>
      </c>
      <c r="R3364" s="35" t="s">
        <v>495</v>
      </c>
      <c r="S3364" s="35" t="str">
        <f>MID(Tabla1[[#This Row],[Aplicación]],6,2)</f>
        <v>11</v>
      </c>
      <c r="T3364" s="35" t="str">
        <f>VLOOKUP(Tabla1[[#This Row],[AREA]],Hoja1!A:B,2,FALSE)</f>
        <v>11. Salud pública y seguridad ciudadana</v>
      </c>
      <c r="U3364" s="35" t="str">
        <f>MID(Tabla1[[#This Row],[Aplicación]],9,4)</f>
        <v>1631</v>
      </c>
      <c r="V3364" s="35" t="str">
        <f>VLOOKUP(Tabla1[[#This Row],[PROGRAMA]],Hoja1!A:B,2,FALSE)</f>
        <v>1631. Limpieza viaria</v>
      </c>
      <c r="W3364" s="35" t="str">
        <f>MID(Tabla1[[#This Row],[Aplicación]],14,2)</f>
        <v>22</v>
      </c>
      <c r="X3364" s="35" t="str">
        <f>MID(Tabla1[[#This Row],[Aplicación]],14,6)</f>
        <v>22199</v>
      </c>
    </row>
    <row r="3365" spans="1:24" x14ac:dyDescent="0.25">
      <c r="A3365" s="45">
        <v>220210015584</v>
      </c>
      <c r="B3365" s="46" t="s">
        <v>9</v>
      </c>
      <c r="C3365" s="47">
        <v>44302</v>
      </c>
      <c r="D3365" s="45">
        <v>22021003866</v>
      </c>
      <c r="E3365" s="46" t="s">
        <v>1163</v>
      </c>
      <c r="F3365" s="48">
        <v>0.7</v>
      </c>
      <c r="G3365" s="54" t="s">
        <v>779</v>
      </c>
      <c r="H3365" s="54" t="s">
        <v>4907</v>
      </c>
      <c r="I3365" s="53" t="s">
        <v>125</v>
      </c>
      <c r="J3365" s="54" t="s">
        <v>126</v>
      </c>
      <c r="K3365" s="54" t="s">
        <v>126</v>
      </c>
      <c r="L3365" s="54" t="s">
        <v>15</v>
      </c>
      <c r="M3365" s="54" t="s">
        <v>13</v>
      </c>
      <c r="N3365" s="54" t="s">
        <v>16</v>
      </c>
      <c r="O3365" s="49" t="s">
        <v>814</v>
      </c>
      <c r="P3365" s="54" t="s">
        <v>3392</v>
      </c>
      <c r="Q3365" s="35" t="str">
        <f>MID(Tabla1[[#This Row],[Aplicación]],14,1)</f>
        <v>2</v>
      </c>
      <c r="R3365" s="35" t="s">
        <v>495</v>
      </c>
      <c r="S3365" s="35" t="str">
        <f>MID(Tabla1[[#This Row],[Aplicación]],6,2)</f>
        <v>06</v>
      </c>
      <c r="T3365" s="35" t="str">
        <f>VLOOKUP(Tabla1[[#This Row],[AREA]],Hoja1!A:B,2,FALSE)</f>
        <v>06. Educación, infancia, juventud e igualdad</v>
      </c>
      <c r="U3365" s="35" t="str">
        <f>MID(Tabla1[[#This Row],[Aplicación]],9,4)</f>
        <v>3321</v>
      </c>
      <c r="V3365" s="35" t="str">
        <f>VLOOKUP(Tabla1[[#This Row],[PROGRAMA]],Hoja1!A:B,2,FALSE)</f>
        <v>3321. Bibliotecas públicas</v>
      </c>
      <c r="W3365" s="35" t="str">
        <f>MID(Tabla1[[#This Row],[Aplicación]],14,2)</f>
        <v>22</v>
      </c>
      <c r="X3365" s="35" t="str">
        <f>MID(Tabla1[[#This Row],[Aplicación]],14,6)</f>
        <v>22001</v>
      </c>
    </row>
    <row r="3366" spans="1:24" x14ac:dyDescent="0.25">
      <c r="A3366" s="45">
        <v>220210020428</v>
      </c>
      <c r="B3366" s="46" t="s">
        <v>501</v>
      </c>
      <c r="C3366" s="47">
        <v>44321</v>
      </c>
      <c r="D3366" s="45">
        <v>22021001289</v>
      </c>
      <c r="E3366" s="46" t="s">
        <v>1542</v>
      </c>
      <c r="F3366" s="48">
        <v>-25159.93</v>
      </c>
      <c r="G3366" s="54" t="s">
        <v>1543</v>
      </c>
      <c r="H3366" s="54" t="s">
        <v>4908</v>
      </c>
      <c r="I3366" s="53" t="s">
        <v>125</v>
      </c>
      <c r="J3366" s="54" t="s">
        <v>619</v>
      </c>
      <c r="K3366" s="54" t="s">
        <v>127</v>
      </c>
      <c r="L3366" s="54" t="s">
        <v>31</v>
      </c>
      <c r="M3366" s="54" t="s">
        <v>10</v>
      </c>
      <c r="N3366" s="54" t="s">
        <v>11</v>
      </c>
      <c r="O3366" s="49" t="s">
        <v>815</v>
      </c>
      <c r="P3366" s="54" t="s">
        <v>3392</v>
      </c>
      <c r="Q3366" s="35" t="str">
        <f>MID(Tabla1[[#This Row],[Aplicación]],14,1)</f>
        <v>6</v>
      </c>
      <c r="R3366" s="35" t="s">
        <v>496</v>
      </c>
      <c r="S3366" s="35" t="str">
        <f>MID(Tabla1[[#This Row],[Aplicación]],6,2)</f>
        <v>05</v>
      </c>
      <c r="T3366" s="35" t="str">
        <f>VLOOKUP(Tabla1[[#This Row],[AREA]],Hoja1!A:B,2,FALSE)</f>
        <v>05. Innovación, desarrollo económico, empleo y comercio</v>
      </c>
      <c r="U3366" s="35" t="str">
        <f>MID(Tabla1[[#This Row],[Aplicación]],9,4)</f>
        <v>4331</v>
      </c>
      <c r="V3366" s="35" t="str">
        <f>VLOOKUP(Tabla1[[#This Row],[PROGRAMA]],Hoja1!A:B,2,FALSE)</f>
        <v>4331. Desarrollo empresarial</v>
      </c>
      <c r="W3366" s="35" t="str">
        <f>MID(Tabla1[[#This Row],[Aplicación]],14,2)</f>
        <v>60</v>
      </c>
      <c r="X3366" s="35" t="str">
        <f>MID(Tabla1[[#This Row],[Aplicación]],14,6)</f>
        <v>609</v>
      </c>
    </row>
    <row r="3367" spans="1:24" x14ac:dyDescent="0.25">
      <c r="A3367" s="45">
        <v>220210040689</v>
      </c>
      <c r="B3367" s="46" t="s">
        <v>9</v>
      </c>
      <c r="C3367" s="47">
        <v>44397</v>
      </c>
      <c r="D3367" s="45">
        <v>22021005577</v>
      </c>
      <c r="E3367" s="46" t="s">
        <v>2668</v>
      </c>
      <c r="F3367" s="48">
        <v>35.42</v>
      </c>
      <c r="G3367" s="46" t="s">
        <v>764</v>
      </c>
      <c r="H3367" s="46" t="s">
        <v>4909</v>
      </c>
      <c r="I3367" s="45" t="s">
        <v>125</v>
      </c>
      <c r="J3367" s="46" t="s">
        <v>127</v>
      </c>
      <c r="K3367" s="46" t="s">
        <v>127</v>
      </c>
      <c r="L3367" s="46" t="s">
        <v>12</v>
      </c>
      <c r="M3367" s="46" t="s">
        <v>13</v>
      </c>
      <c r="N3367" s="46" t="s">
        <v>14</v>
      </c>
      <c r="O3367" s="49" t="s">
        <v>814</v>
      </c>
      <c r="P3367" s="49" t="s">
        <v>4910</v>
      </c>
      <c r="Q3367" s="35" t="str">
        <f>MID(Tabla1[[#This Row],[Aplicación]],14,1)</f>
        <v>6</v>
      </c>
      <c r="R3367" s="35" t="s">
        <v>496</v>
      </c>
      <c r="S3367" s="35" t="str">
        <f>MID(Tabla1[[#This Row],[Aplicación]],6,2)</f>
        <v>10</v>
      </c>
      <c r="T3367" s="35" t="str">
        <f>VLOOKUP(Tabla1[[#This Row],[AREA]],Hoja1!A:B,2,FALSE)</f>
        <v>10. Servicios sociales y mediación comunitaria</v>
      </c>
      <c r="U3367" s="35" t="str">
        <f>MID(Tabla1[[#This Row],[Aplicación]],9,4)</f>
        <v>2311</v>
      </c>
      <c r="V3367" s="35" t="str">
        <f>VLOOKUP(Tabla1[[#This Row],[PROGRAMA]],Hoja1!A:B,2,FALSE)</f>
        <v>2311. Intervención social</v>
      </c>
      <c r="W3367" s="35" t="str">
        <f>MID(Tabla1[[#This Row],[Aplicación]],14,2)</f>
        <v>63</v>
      </c>
      <c r="X3367" s="35" t="str">
        <f>MID(Tabla1[[#This Row],[Aplicación]],14,6)</f>
        <v>632</v>
      </c>
    </row>
    <row r="3368" spans="1:24" x14ac:dyDescent="0.25">
      <c r="A3368" s="45">
        <v>220210043819</v>
      </c>
      <c r="B3368" s="46" t="s">
        <v>9</v>
      </c>
      <c r="C3368" s="47">
        <v>44404</v>
      </c>
      <c r="D3368" s="45">
        <v>22021005778</v>
      </c>
      <c r="E3368" s="46" t="s">
        <v>4911</v>
      </c>
      <c r="F3368" s="48">
        <v>148.86000000000001</v>
      </c>
      <c r="G3368" s="46" t="s">
        <v>764</v>
      </c>
      <c r="H3368" s="46" t="s">
        <v>4912</v>
      </c>
      <c r="I3368" s="45" t="s">
        <v>125</v>
      </c>
      <c r="J3368" s="46" t="s">
        <v>127</v>
      </c>
      <c r="K3368" s="46" t="s">
        <v>127</v>
      </c>
      <c r="L3368" s="46" t="s">
        <v>12</v>
      </c>
      <c r="M3368" s="46" t="s">
        <v>13</v>
      </c>
      <c r="N3368" s="46" t="s">
        <v>14</v>
      </c>
      <c r="O3368" s="49" t="s">
        <v>814</v>
      </c>
      <c r="P3368" s="49" t="s">
        <v>4910</v>
      </c>
      <c r="Q3368" s="35" t="str">
        <f>MID(Tabla1[[#This Row],[Aplicación]],14,1)</f>
        <v>6</v>
      </c>
      <c r="R3368" s="35" t="s">
        <v>496</v>
      </c>
      <c r="S3368" s="35" t="str">
        <f>MID(Tabla1[[#This Row],[Aplicación]],6,2)</f>
        <v>09</v>
      </c>
      <c r="T3368" s="35" t="str">
        <f>VLOOKUP(Tabla1[[#This Row],[AREA]],Hoja1!A:B,2,FALSE)</f>
        <v>09. Cultura y turismo</v>
      </c>
      <c r="U3368" s="35" t="str">
        <f>MID(Tabla1[[#This Row],[Aplicación]],9,4)</f>
        <v>3341</v>
      </c>
      <c r="V3368" s="35" t="str">
        <f>VLOOKUP(Tabla1[[#This Row],[PROGRAMA]],Hoja1!A:B,2,FALSE)</f>
        <v>3341. Coordinación de políticas culturales</v>
      </c>
      <c r="W3368" s="35" t="str">
        <f>MID(Tabla1[[#This Row],[Aplicación]],14,2)</f>
        <v>63</v>
      </c>
      <c r="X3368" s="35" t="str">
        <f>MID(Tabla1[[#This Row],[Aplicación]],14,6)</f>
        <v>632</v>
      </c>
    </row>
    <row r="3369" spans="1:24" x14ac:dyDescent="0.25">
      <c r="A3369" s="45">
        <v>220210043781</v>
      </c>
      <c r="B3369" s="46" t="s">
        <v>204</v>
      </c>
      <c r="C3369" s="47">
        <v>44404</v>
      </c>
      <c r="D3369" s="45">
        <v>22021002556</v>
      </c>
      <c r="E3369" s="46" t="s">
        <v>3334</v>
      </c>
      <c r="F3369" s="48">
        <v>1041.72</v>
      </c>
      <c r="G3369" s="46" t="s">
        <v>764</v>
      </c>
      <c r="H3369" s="46" t="s">
        <v>4913</v>
      </c>
      <c r="I3369" s="45" t="s">
        <v>205</v>
      </c>
      <c r="J3369" s="46" t="s">
        <v>127</v>
      </c>
      <c r="K3369" s="46" t="s">
        <v>127</v>
      </c>
      <c r="L3369" s="46" t="s">
        <v>12</v>
      </c>
      <c r="M3369" s="46" t="s">
        <v>13</v>
      </c>
      <c r="N3369" s="46" t="s">
        <v>14</v>
      </c>
      <c r="O3369" s="49" t="s">
        <v>814</v>
      </c>
      <c r="P3369" s="49" t="s">
        <v>4910</v>
      </c>
      <c r="Q3369" s="35" t="str">
        <f>MID(Tabla1[[#This Row],[Aplicación]],14,1)</f>
        <v>6</v>
      </c>
      <c r="R3369" s="35" t="s">
        <v>496</v>
      </c>
      <c r="S3369" s="35" t="str">
        <f>MID(Tabla1[[#This Row],[Aplicación]],6,2)</f>
        <v>11</v>
      </c>
      <c r="T3369" s="35" t="str">
        <f>VLOOKUP(Tabla1[[#This Row],[AREA]],Hoja1!A:B,2,FALSE)</f>
        <v>11. Salud pública y seguridad ciudadana</v>
      </c>
      <c r="U3369" s="35" t="str">
        <f>MID(Tabla1[[#This Row],[Aplicación]],9,4)</f>
        <v>3111</v>
      </c>
      <c r="V3369" s="35" t="str">
        <f>VLOOKUP(Tabla1[[#This Row],[PROGRAMA]],Hoja1!A:B,2,FALSE)</f>
        <v>3111. Protección de la salubridad pública</v>
      </c>
      <c r="W3369" s="35" t="str">
        <f>MID(Tabla1[[#This Row],[Aplicación]],14,2)</f>
        <v>63</v>
      </c>
      <c r="X3369" s="35" t="str">
        <f>MID(Tabla1[[#This Row],[Aplicación]],14,6)</f>
        <v>632</v>
      </c>
    </row>
    <row r="3370" spans="1:24" x14ac:dyDescent="0.25">
      <c r="A3370" s="45">
        <v>220210044270</v>
      </c>
      <c r="B3370" s="46" t="s">
        <v>9</v>
      </c>
      <c r="C3370" s="47">
        <v>44406</v>
      </c>
      <c r="D3370" s="45">
        <v>22021005908</v>
      </c>
      <c r="E3370" s="46" t="s">
        <v>4914</v>
      </c>
      <c r="F3370" s="48">
        <v>72.56</v>
      </c>
      <c r="G3370" s="46" t="s">
        <v>764</v>
      </c>
      <c r="H3370" s="46" t="s">
        <v>4915</v>
      </c>
      <c r="I3370" s="45" t="s">
        <v>125</v>
      </c>
      <c r="J3370" s="46" t="s">
        <v>127</v>
      </c>
      <c r="K3370" s="46" t="s">
        <v>127</v>
      </c>
      <c r="L3370" s="46" t="s">
        <v>12</v>
      </c>
      <c r="M3370" s="46" t="s">
        <v>13</v>
      </c>
      <c r="N3370" s="46" t="s">
        <v>14</v>
      </c>
      <c r="O3370" s="49" t="s">
        <v>814</v>
      </c>
      <c r="P3370" s="49" t="s">
        <v>4910</v>
      </c>
      <c r="Q3370" s="35" t="str">
        <f>MID(Tabla1[[#This Row],[Aplicación]],14,1)</f>
        <v>6</v>
      </c>
      <c r="R3370" s="35" t="s">
        <v>496</v>
      </c>
      <c r="S3370" s="35" t="str">
        <f>MID(Tabla1[[#This Row],[Aplicación]],6,2)</f>
        <v>05</v>
      </c>
      <c r="T3370" s="35" t="str">
        <f>VLOOKUP(Tabla1[[#This Row],[AREA]],Hoja1!A:B,2,FALSE)</f>
        <v>05. Innovación, desarrollo económico, empleo y comercio</v>
      </c>
      <c r="U3370" s="35" t="str">
        <f>MID(Tabla1[[#This Row],[Aplicación]],9,4)</f>
        <v>4314</v>
      </c>
      <c r="V3370" s="35" t="str">
        <f>VLOOKUP(Tabla1[[#This Row],[PROGRAMA]],Hoja1!A:B,2,FALSE)</f>
        <v>4314. Fomento del comercio</v>
      </c>
      <c r="W3370" s="35" t="str">
        <f>MID(Tabla1[[#This Row],[Aplicación]],14,2)</f>
        <v>63</v>
      </c>
      <c r="X3370" s="35" t="str">
        <f>MID(Tabla1[[#This Row],[Aplicación]],14,6)</f>
        <v>632</v>
      </c>
    </row>
    <row r="3371" spans="1:24" x14ac:dyDescent="0.25">
      <c r="A3371" s="45">
        <v>220210045563</v>
      </c>
      <c r="B3371" s="46" t="s">
        <v>9</v>
      </c>
      <c r="C3371" s="47">
        <v>44414</v>
      </c>
      <c r="D3371" s="45">
        <v>22021005901</v>
      </c>
      <c r="E3371" s="46" t="s">
        <v>2155</v>
      </c>
      <c r="F3371" s="48">
        <v>13.57</v>
      </c>
      <c r="G3371" s="46" t="s">
        <v>764</v>
      </c>
      <c r="H3371" s="46" t="s">
        <v>4916</v>
      </c>
      <c r="I3371" s="45" t="s">
        <v>216</v>
      </c>
      <c r="J3371" s="46" t="s">
        <v>127</v>
      </c>
      <c r="K3371" s="46" t="s">
        <v>127</v>
      </c>
      <c r="L3371" s="46" t="s">
        <v>12</v>
      </c>
      <c r="M3371" s="46" t="s">
        <v>13</v>
      </c>
      <c r="N3371" s="46" t="s">
        <v>14</v>
      </c>
      <c r="O3371" s="49" t="s">
        <v>814</v>
      </c>
      <c r="P3371" s="49" t="s">
        <v>4910</v>
      </c>
      <c r="Q3371" s="35" t="str">
        <f>MID(Tabla1[[#This Row],[Aplicación]],14,1)</f>
        <v>2</v>
      </c>
      <c r="R3371" s="35" t="s">
        <v>495</v>
      </c>
      <c r="S3371" s="35" t="str">
        <f>MID(Tabla1[[#This Row],[Aplicación]],6,2)</f>
        <v>11</v>
      </c>
      <c r="T3371" s="35" t="str">
        <f>VLOOKUP(Tabla1[[#This Row],[AREA]],Hoja1!A:B,2,FALSE)</f>
        <v>11. Salud pública y seguridad ciudadana</v>
      </c>
      <c r="U3371" s="35" t="str">
        <f>MID(Tabla1[[#This Row],[Aplicación]],9,4)</f>
        <v>1621</v>
      </c>
      <c r="V3371" s="35" t="str">
        <f>VLOOKUP(Tabla1[[#This Row],[PROGRAMA]],Hoja1!A:B,2,FALSE)</f>
        <v>1621. Servicio de limpieza</v>
      </c>
      <c r="W3371" s="35" t="str">
        <f>MID(Tabla1[[#This Row],[Aplicación]],14,2)</f>
        <v>21</v>
      </c>
      <c r="X3371" s="35" t="str">
        <f>MID(Tabla1[[#This Row],[Aplicación]],14,6)</f>
        <v>212</v>
      </c>
    </row>
    <row r="3372" spans="1:24" x14ac:dyDescent="0.25">
      <c r="A3372" s="45">
        <v>220210045551</v>
      </c>
      <c r="B3372" s="46" t="s">
        <v>9</v>
      </c>
      <c r="C3372" s="47">
        <v>44414</v>
      </c>
      <c r="D3372" s="45">
        <v>22021005771</v>
      </c>
      <c r="E3372" s="46" t="s">
        <v>4917</v>
      </c>
      <c r="F3372" s="48">
        <v>143.91</v>
      </c>
      <c r="G3372" s="46" t="s">
        <v>764</v>
      </c>
      <c r="H3372" s="46" t="s">
        <v>4918</v>
      </c>
      <c r="I3372" s="45" t="s">
        <v>216</v>
      </c>
      <c r="J3372" s="46" t="s">
        <v>127</v>
      </c>
      <c r="K3372" s="46" t="s">
        <v>127</v>
      </c>
      <c r="L3372" s="46" t="s">
        <v>12</v>
      </c>
      <c r="M3372" s="46" t="s">
        <v>13</v>
      </c>
      <c r="N3372" s="46" t="s">
        <v>14</v>
      </c>
      <c r="O3372" s="49" t="s">
        <v>814</v>
      </c>
      <c r="P3372" s="49" t="s">
        <v>4910</v>
      </c>
      <c r="Q3372" s="35" t="str">
        <f>MID(Tabla1[[#This Row],[Aplicación]],14,1)</f>
        <v>6</v>
      </c>
      <c r="R3372" s="35" t="s">
        <v>496</v>
      </c>
      <c r="S3372" s="35" t="str">
        <f>MID(Tabla1[[#This Row],[Aplicación]],6,2)</f>
        <v>11</v>
      </c>
      <c r="T3372" s="35" t="str">
        <f>VLOOKUP(Tabla1[[#This Row],[AREA]],Hoja1!A:B,2,FALSE)</f>
        <v>11. Salud pública y seguridad ciudadana</v>
      </c>
      <c r="U3372" s="35" t="str">
        <f>MID(Tabla1[[#This Row],[Aplicación]],9,4)</f>
        <v>1631</v>
      </c>
      <c r="V3372" s="35" t="str">
        <f>VLOOKUP(Tabla1[[#This Row],[PROGRAMA]],Hoja1!A:B,2,FALSE)</f>
        <v>1631. Limpieza viaria</v>
      </c>
      <c r="W3372" s="35" t="str">
        <f>MID(Tabla1[[#This Row],[Aplicación]],14,2)</f>
        <v>63</v>
      </c>
      <c r="X3372" s="35" t="str">
        <f>MID(Tabla1[[#This Row],[Aplicación]],14,6)</f>
        <v>632</v>
      </c>
    </row>
    <row r="3373" spans="1:24" x14ac:dyDescent="0.25">
      <c r="A3373" s="45">
        <v>220210048524</v>
      </c>
      <c r="B3373" s="46" t="s">
        <v>9</v>
      </c>
      <c r="C3373" s="47">
        <v>44428</v>
      </c>
      <c r="D3373" s="45">
        <v>22021005950</v>
      </c>
      <c r="E3373" s="46" t="s">
        <v>3342</v>
      </c>
      <c r="F3373" s="48">
        <v>2200000</v>
      </c>
      <c r="G3373" s="46" t="s">
        <v>4919</v>
      </c>
      <c r="H3373" s="46" t="s">
        <v>4920</v>
      </c>
      <c r="I3373" s="45" t="s">
        <v>125</v>
      </c>
      <c r="J3373" s="46" t="s">
        <v>127</v>
      </c>
      <c r="K3373" s="46" t="s">
        <v>127</v>
      </c>
      <c r="L3373" s="46" t="s">
        <v>3740</v>
      </c>
      <c r="M3373" s="46" t="s">
        <v>13</v>
      </c>
      <c r="N3373" s="46" t="s">
        <v>14</v>
      </c>
      <c r="O3373" s="49" t="s">
        <v>803</v>
      </c>
      <c r="P3373" s="49" t="s">
        <v>4910</v>
      </c>
      <c r="Q3373" s="35" t="str">
        <f>MID(Tabla1[[#This Row],[Aplicación]],14,1)</f>
        <v>2</v>
      </c>
      <c r="R3373" s="35" t="s">
        <v>495</v>
      </c>
      <c r="S3373" s="35" t="str">
        <f>MID(Tabla1[[#This Row],[Aplicación]],6,2)</f>
        <v>07</v>
      </c>
      <c r="T3373" s="35" t="str">
        <f>VLOOKUP(Tabla1[[#This Row],[AREA]],Hoja1!A:B,2,FALSE)</f>
        <v>07. Medio ambiente y desarrollo sostenible</v>
      </c>
      <c r="U3373" s="35" t="str">
        <f>MID(Tabla1[[#This Row],[Aplicación]],9,4)</f>
        <v>1623</v>
      </c>
      <c r="V3373" s="35" t="str">
        <f>VLOOKUP(Tabla1[[#This Row],[PROGRAMA]],Hoja1!A:B,2,FALSE)</f>
        <v>1623. Tratamiento de residuos</v>
      </c>
      <c r="W3373" s="35" t="str">
        <f>MID(Tabla1[[#This Row],[Aplicación]],14,2)</f>
        <v>22</v>
      </c>
      <c r="X3373" s="35" t="str">
        <f>MID(Tabla1[[#This Row],[Aplicación]],14,6)</f>
        <v>22700</v>
      </c>
    </row>
    <row r="3374" spans="1:24" x14ac:dyDescent="0.25">
      <c r="A3374" s="45">
        <v>220210054967</v>
      </c>
      <c r="B3374" s="46" t="s">
        <v>9</v>
      </c>
      <c r="C3374" s="47">
        <v>44453</v>
      </c>
      <c r="D3374" s="45">
        <v>22021005135</v>
      </c>
      <c r="E3374" s="46" t="s">
        <v>1487</v>
      </c>
      <c r="F3374" s="48">
        <v>1279641.77</v>
      </c>
      <c r="G3374" s="46" t="s">
        <v>308</v>
      </c>
      <c r="H3374" s="46" t="s">
        <v>4921</v>
      </c>
      <c r="I3374" s="45" t="s">
        <v>125</v>
      </c>
      <c r="J3374" s="46" t="s">
        <v>127</v>
      </c>
      <c r="K3374" s="46" t="s">
        <v>127</v>
      </c>
      <c r="L3374" s="46" t="s">
        <v>31</v>
      </c>
      <c r="M3374" s="46" t="s">
        <v>13</v>
      </c>
      <c r="N3374" s="46" t="s">
        <v>14</v>
      </c>
      <c r="O3374" s="49" t="s">
        <v>803</v>
      </c>
      <c r="P3374" s="49" t="s">
        <v>4910</v>
      </c>
      <c r="Q3374" s="35" t="str">
        <f>MID(Tabla1[[#This Row],[Aplicación]],14,1)</f>
        <v>6</v>
      </c>
      <c r="R3374" s="35" t="s">
        <v>496</v>
      </c>
      <c r="S3374" s="35" t="str">
        <f>MID(Tabla1[[#This Row],[Aplicación]],6,2)</f>
        <v>08</v>
      </c>
      <c r="T3374" s="35" t="str">
        <f>VLOOKUP(Tabla1[[#This Row],[AREA]],Hoja1!A:B,2,FALSE)</f>
        <v>08. Movilidad y espacio urbano</v>
      </c>
      <c r="U3374" s="35" t="str">
        <f>MID(Tabla1[[#This Row],[Aplicación]],9,4)</f>
        <v>1532</v>
      </c>
      <c r="V3374" s="35" t="str">
        <f>VLOOKUP(Tabla1[[#This Row],[PROGRAMA]],Hoja1!A:B,2,FALSE)</f>
        <v>1532. Pavimentación vias públicas y otros servicios urbanísticos</v>
      </c>
      <c r="W3374" s="35" t="str">
        <f>MID(Tabla1[[#This Row],[Aplicación]],14,2)</f>
        <v>61</v>
      </c>
      <c r="X3374" s="35" t="str">
        <f>MID(Tabla1[[#This Row],[Aplicación]],14,6)</f>
        <v>619</v>
      </c>
    </row>
    <row r="3375" spans="1:24" x14ac:dyDescent="0.25">
      <c r="A3375" s="45">
        <v>220210048394</v>
      </c>
      <c r="B3375" s="46" t="s">
        <v>204</v>
      </c>
      <c r="C3375" s="47">
        <v>44426</v>
      </c>
      <c r="D3375" s="45">
        <v>22021003197</v>
      </c>
      <c r="E3375" s="46" t="s">
        <v>1474</v>
      </c>
      <c r="F3375" s="48">
        <v>893420.33</v>
      </c>
      <c r="G3375" s="46" t="s">
        <v>230</v>
      </c>
      <c r="H3375" s="46" t="s">
        <v>4922</v>
      </c>
      <c r="I3375" s="45" t="s">
        <v>205</v>
      </c>
      <c r="J3375" s="46" t="s">
        <v>127</v>
      </c>
      <c r="K3375" s="46" t="s">
        <v>127</v>
      </c>
      <c r="L3375" s="46" t="s">
        <v>12</v>
      </c>
      <c r="M3375" s="46" t="s">
        <v>13</v>
      </c>
      <c r="N3375" s="46" t="s">
        <v>14</v>
      </c>
      <c r="O3375" s="49" t="s">
        <v>803</v>
      </c>
      <c r="P3375" s="49" t="s">
        <v>4910</v>
      </c>
      <c r="Q3375" s="35" t="str">
        <f>MID(Tabla1[[#This Row],[Aplicación]],14,1)</f>
        <v>6</v>
      </c>
      <c r="R3375" s="35" t="s">
        <v>496</v>
      </c>
      <c r="S3375" s="35" t="str">
        <f>MID(Tabla1[[#This Row],[Aplicación]],6,2)</f>
        <v>08</v>
      </c>
      <c r="T3375" s="35" t="str">
        <f>VLOOKUP(Tabla1[[#This Row],[AREA]],Hoja1!A:B,2,FALSE)</f>
        <v>08. Movilidad y espacio urbano</v>
      </c>
      <c r="U3375" s="35" t="str">
        <f>MID(Tabla1[[#This Row],[Aplicación]],9,4)</f>
        <v>1651</v>
      </c>
      <c r="V3375" s="35" t="str">
        <f>VLOOKUP(Tabla1[[#This Row],[PROGRAMA]],Hoja1!A:B,2,FALSE)</f>
        <v>1651. Alumbrado público</v>
      </c>
      <c r="W3375" s="35" t="str">
        <f>MID(Tabla1[[#This Row],[Aplicación]],14,2)</f>
        <v>61</v>
      </c>
      <c r="X3375" s="35" t="str">
        <f>MID(Tabla1[[#This Row],[Aplicación]],14,6)</f>
        <v>619</v>
      </c>
    </row>
    <row r="3376" spans="1:24" x14ac:dyDescent="0.25">
      <c r="A3376" s="45">
        <v>220210050354</v>
      </c>
      <c r="B3376" s="46" t="s">
        <v>204</v>
      </c>
      <c r="C3376" s="47">
        <v>44438</v>
      </c>
      <c r="D3376" s="45">
        <v>22021004191</v>
      </c>
      <c r="E3376" s="46" t="s">
        <v>4923</v>
      </c>
      <c r="F3376" s="48">
        <v>460499.45</v>
      </c>
      <c r="G3376" s="46" t="s">
        <v>4924</v>
      </c>
      <c r="H3376" s="46" t="s">
        <v>4925</v>
      </c>
      <c r="I3376" s="45" t="s">
        <v>205</v>
      </c>
      <c r="J3376" s="46" t="s">
        <v>126</v>
      </c>
      <c r="K3376" s="46" t="s">
        <v>126</v>
      </c>
      <c r="L3376" s="46" t="s">
        <v>31</v>
      </c>
      <c r="M3376" s="46" t="s">
        <v>13</v>
      </c>
      <c r="N3376" s="46" t="s">
        <v>14</v>
      </c>
      <c r="O3376" s="49" t="s">
        <v>803</v>
      </c>
      <c r="P3376" s="49" t="s">
        <v>4910</v>
      </c>
      <c r="Q3376" s="35" t="str">
        <f>MID(Tabla1[[#This Row],[Aplicación]],14,1)</f>
        <v>6</v>
      </c>
      <c r="R3376" s="35" t="s">
        <v>496</v>
      </c>
      <c r="S3376" s="35" t="str">
        <f>MID(Tabla1[[#This Row],[Aplicación]],6,2)</f>
        <v>06</v>
      </c>
      <c r="T3376" s="35" t="str">
        <f>VLOOKUP(Tabla1[[#This Row],[AREA]],Hoja1!A:B,2,FALSE)</f>
        <v>06. Educación, infancia, juventud e igualdad</v>
      </c>
      <c r="U3376" s="35" t="str">
        <f>MID(Tabla1[[#This Row],[Aplicación]],9,4)</f>
        <v>3231</v>
      </c>
      <c r="V3376" s="35" t="str">
        <f>VLOOKUP(Tabla1[[#This Row],[PROGRAMA]],Hoja1!A:B,2,FALSE)</f>
        <v>3231. Escuelas infantiles</v>
      </c>
      <c r="W3376" s="35" t="str">
        <f>MID(Tabla1[[#This Row],[Aplicación]],14,2)</f>
        <v>62</v>
      </c>
      <c r="X3376" s="35" t="str">
        <f>MID(Tabla1[[#This Row],[Aplicación]],14,6)</f>
        <v>622</v>
      </c>
    </row>
    <row r="3377" spans="1:24" x14ac:dyDescent="0.25">
      <c r="A3377" s="45">
        <v>220210051250</v>
      </c>
      <c r="B3377" s="46" t="s">
        <v>204</v>
      </c>
      <c r="C3377" s="47">
        <v>44448</v>
      </c>
      <c r="D3377" s="45">
        <v>22021002220</v>
      </c>
      <c r="E3377" s="46" t="s">
        <v>1542</v>
      </c>
      <c r="F3377" s="48">
        <v>167196.98000000001</v>
      </c>
      <c r="G3377" s="46" t="s">
        <v>3628</v>
      </c>
      <c r="H3377" s="46" t="s">
        <v>4926</v>
      </c>
      <c r="I3377" s="45" t="s">
        <v>205</v>
      </c>
      <c r="J3377" s="46" t="s">
        <v>3630</v>
      </c>
      <c r="K3377" s="46" t="s">
        <v>127</v>
      </c>
      <c r="L3377" s="46" t="s">
        <v>31</v>
      </c>
      <c r="M3377" s="46" t="s">
        <v>13</v>
      </c>
      <c r="N3377" s="46" t="s">
        <v>16</v>
      </c>
      <c r="O3377" s="49" t="s">
        <v>803</v>
      </c>
      <c r="P3377" s="49" t="s">
        <v>4910</v>
      </c>
      <c r="Q3377" s="35" t="str">
        <f>MID(Tabla1[[#This Row],[Aplicación]],14,1)</f>
        <v>6</v>
      </c>
      <c r="R3377" s="35" t="s">
        <v>496</v>
      </c>
      <c r="S3377" s="35" t="str">
        <f>MID(Tabla1[[#This Row],[Aplicación]],6,2)</f>
        <v>05</v>
      </c>
      <c r="T3377" s="35" t="str">
        <f>VLOOKUP(Tabla1[[#This Row],[AREA]],Hoja1!A:B,2,FALSE)</f>
        <v>05. Innovación, desarrollo económico, empleo y comercio</v>
      </c>
      <c r="U3377" s="35" t="str">
        <f>MID(Tabla1[[#This Row],[Aplicación]],9,4)</f>
        <v>4331</v>
      </c>
      <c r="V3377" s="35" t="str">
        <f>VLOOKUP(Tabla1[[#This Row],[PROGRAMA]],Hoja1!A:B,2,FALSE)</f>
        <v>4331. Desarrollo empresarial</v>
      </c>
      <c r="W3377" s="35" t="str">
        <f>MID(Tabla1[[#This Row],[Aplicación]],14,2)</f>
        <v>60</v>
      </c>
      <c r="X3377" s="35" t="str">
        <f>MID(Tabla1[[#This Row],[Aplicación]],14,6)</f>
        <v>609</v>
      </c>
    </row>
    <row r="3378" spans="1:24" x14ac:dyDescent="0.25">
      <c r="A3378" s="45">
        <v>220210048393</v>
      </c>
      <c r="B3378" s="46" t="s">
        <v>204</v>
      </c>
      <c r="C3378" s="47">
        <v>44426</v>
      </c>
      <c r="D3378" s="45">
        <v>22021003195</v>
      </c>
      <c r="E3378" s="46" t="s">
        <v>1474</v>
      </c>
      <c r="F3378" s="48">
        <v>116000</v>
      </c>
      <c r="G3378" s="46" t="s">
        <v>230</v>
      </c>
      <c r="H3378" s="46" t="s">
        <v>4927</v>
      </c>
      <c r="I3378" s="45" t="s">
        <v>205</v>
      </c>
      <c r="J3378" s="46" t="s">
        <v>127</v>
      </c>
      <c r="K3378" s="46" t="s">
        <v>127</v>
      </c>
      <c r="L3378" s="46" t="s">
        <v>12</v>
      </c>
      <c r="M3378" s="46" t="s">
        <v>13</v>
      </c>
      <c r="N3378" s="46" t="s">
        <v>14</v>
      </c>
      <c r="O3378" s="49" t="s">
        <v>803</v>
      </c>
      <c r="P3378" s="49" t="s">
        <v>4910</v>
      </c>
      <c r="Q3378" s="35" t="str">
        <f>MID(Tabla1[[#This Row],[Aplicación]],14,1)</f>
        <v>6</v>
      </c>
      <c r="R3378" s="35" t="s">
        <v>496</v>
      </c>
      <c r="S3378" s="35" t="str">
        <f>MID(Tabla1[[#This Row],[Aplicación]],6,2)</f>
        <v>08</v>
      </c>
      <c r="T3378" s="35" t="str">
        <f>VLOOKUP(Tabla1[[#This Row],[AREA]],Hoja1!A:B,2,FALSE)</f>
        <v>08. Movilidad y espacio urbano</v>
      </c>
      <c r="U3378" s="35" t="str">
        <f>MID(Tabla1[[#This Row],[Aplicación]],9,4)</f>
        <v>1651</v>
      </c>
      <c r="V3378" s="35" t="str">
        <f>VLOOKUP(Tabla1[[#This Row],[PROGRAMA]],Hoja1!A:B,2,FALSE)</f>
        <v>1651. Alumbrado público</v>
      </c>
      <c r="W3378" s="35" t="str">
        <f>MID(Tabla1[[#This Row],[Aplicación]],14,2)</f>
        <v>61</v>
      </c>
      <c r="X3378" s="35" t="str">
        <f>MID(Tabla1[[#This Row],[Aplicación]],14,6)</f>
        <v>619</v>
      </c>
    </row>
    <row r="3379" spans="1:24" x14ac:dyDescent="0.25">
      <c r="A3379" s="45">
        <v>220210050998</v>
      </c>
      <c r="B3379" s="46" t="s">
        <v>204</v>
      </c>
      <c r="C3379" s="47">
        <v>44446</v>
      </c>
      <c r="D3379" s="45">
        <v>22019005624</v>
      </c>
      <c r="E3379" s="46" t="s">
        <v>1531</v>
      </c>
      <c r="F3379" s="48">
        <v>100394.4</v>
      </c>
      <c r="G3379" s="46" t="s">
        <v>1514</v>
      </c>
      <c r="H3379" s="46" t="s">
        <v>4928</v>
      </c>
      <c r="I3379" s="45" t="s">
        <v>205</v>
      </c>
      <c r="J3379" s="46" t="s">
        <v>519</v>
      </c>
      <c r="K3379" s="46" t="s">
        <v>519</v>
      </c>
      <c r="L3379" s="46" t="s">
        <v>31</v>
      </c>
      <c r="M3379" s="46" t="s">
        <v>13</v>
      </c>
      <c r="N3379" s="46" t="s">
        <v>14</v>
      </c>
      <c r="O3379" s="49" t="s">
        <v>803</v>
      </c>
      <c r="P3379" s="49" t="s">
        <v>4910</v>
      </c>
      <c r="Q3379" s="35" t="str">
        <f>MID(Tabla1[[#This Row],[Aplicación]],14,1)</f>
        <v>6</v>
      </c>
      <c r="R3379" s="35" t="s">
        <v>496</v>
      </c>
      <c r="S3379" s="35" t="str">
        <f>MID(Tabla1[[#This Row],[Aplicación]],6,2)</f>
        <v>11</v>
      </c>
      <c r="T3379" s="35" t="str">
        <f>VLOOKUP(Tabla1[[#This Row],[AREA]],Hoja1!A:B,2,FALSE)</f>
        <v>11. Salud pública y seguridad ciudadana</v>
      </c>
      <c r="U3379" s="35" t="str">
        <f>MID(Tabla1[[#This Row],[Aplicación]],9,4)</f>
        <v>1621</v>
      </c>
      <c r="V3379" s="35" t="str">
        <f>VLOOKUP(Tabla1[[#This Row],[PROGRAMA]],Hoja1!A:B,2,FALSE)</f>
        <v>1621. Servicio de limpieza</v>
      </c>
      <c r="W3379" s="35" t="str">
        <f>MID(Tabla1[[#This Row],[Aplicación]],14,2)</f>
        <v>62</v>
      </c>
      <c r="X3379" s="35" t="str">
        <f>MID(Tabla1[[#This Row],[Aplicación]],14,6)</f>
        <v>622</v>
      </c>
    </row>
    <row r="3380" spans="1:24" x14ac:dyDescent="0.25">
      <c r="A3380" s="45">
        <v>220210056286</v>
      </c>
      <c r="B3380" s="46" t="s">
        <v>9</v>
      </c>
      <c r="C3380" s="47">
        <v>44454</v>
      </c>
      <c r="D3380" s="45">
        <v>22021005169</v>
      </c>
      <c r="E3380" s="46" t="s">
        <v>1196</v>
      </c>
      <c r="F3380" s="48">
        <v>83333.320000000007</v>
      </c>
      <c r="G3380" s="46" t="s">
        <v>572</v>
      </c>
      <c r="H3380" s="46" t="s">
        <v>4929</v>
      </c>
      <c r="I3380" s="45" t="s">
        <v>125</v>
      </c>
      <c r="J3380" s="46" t="s">
        <v>615</v>
      </c>
      <c r="K3380" s="46" t="s">
        <v>616</v>
      </c>
      <c r="L3380" s="46" t="s">
        <v>31</v>
      </c>
      <c r="M3380" s="46" t="s">
        <v>13</v>
      </c>
      <c r="N3380" s="46" t="s">
        <v>14</v>
      </c>
      <c r="O3380" s="49" t="s">
        <v>803</v>
      </c>
      <c r="P3380" s="49" t="s">
        <v>4910</v>
      </c>
      <c r="Q3380" s="35" t="str">
        <f>MID(Tabla1[[#This Row],[Aplicación]],14,1)</f>
        <v>6</v>
      </c>
      <c r="R3380" s="35" t="s">
        <v>496</v>
      </c>
      <c r="S3380" s="35" t="str">
        <f>MID(Tabla1[[#This Row],[Aplicación]],6,2)</f>
        <v>08</v>
      </c>
      <c r="T3380" s="35" t="str">
        <f>VLOOKUP(Tabla1[[#This Row],[AREA]],Hoja1!A:B,2,FALSE)</f>
        <v>08. Movilidad y espacio urbano</v>
      </c>
      <c r="U3380" s="35" t="str">
        <f>MID(Tabla1[[#This Row],[Aplicación]],9,4)</f>
        <v>1341</v>
      </c>
      <c r="V3380" s="35" t="str">
        <f>VLOOKUP(Tabla1[[#This Row],[PROGRAMA]],Hoja1!A:B,2,FALSE)</f>
        <v>1341. Movilidad</v>
      </c>
      <c r="W3380" s="35" t="str">
        <f>MID(Tabla1[[#This Row],[Aplicación]],14,2)</f>
        <v>61</v>
      </c>
      <c r="X3380" s="35" t="str">
        <f>MID(Tabla1[[#This Row],[Aplicación]],14,6)</f>
        <v>619</v>
      </c>
    </row>
    <row r="3381" spans="1:24" x14ac:dyDescent="0.25">
      <c r="A3381" s="45">
        <v>220210048396</v>
      </c>
      <c r="B3381" s="46" t="s">
        <v>204</v>
      </c>
      <c r="C3381" s="47">
        <v>44426</v>
      </c>
      <c r="D3381" s="45">
        <v>22021003197</v>
      </c>
      <c r="E3381" s="46" t="s">
        <v>1474</v>
      </c>
      <c r="F3381" s="48">
        <v>56036.38</v>
      </c>
      <c r="G3381" s="46" t="s">
        <v>4930</v>
      </c>
      <c r="H3381" s="46" t="s">
        <v>4931</v>
      </c>
      <c r="I3381" s="45" t="s">
        <v>205</v>
      </c>
      <c r="J3381" s="46" t="s">
        <v>126</v>
      </c>
      <c r="K3381" s="46" t="s">
        <v>126</v>
      </c>
      <c r="L3381" s="46" t="s">
        <v>12</v>
      </c>
      <c r="M3381" s="46" t="s">
        <v>13</v>
      </c>
      <c r="N3381" s="46" t="s">
        <v>14</v>
      </c>
      <c r="O3381" s="49" t="s">
        <v>803</v>
      </c>
      <c r="P3381" s="49" t="s">
        <v>4910</v>
      </c>
      <c r="Q3381" s="35" t="str">
        <f>MID(Tabla1[[#This Row],[Aplicación]],14,1)</f>
        <v>6</v>
      </c>
      <c r="R3381" s="35" t="s">
        <v>496</v>
      </c>
      <c r="S3381" s="35" t="str">
        <f>MID(Tabla1[[#This Row],[Aplicación]],6,2)</f>
        <v>08</v>
      </c>
      <c r="T3381" s="35" t="str">
        <f>VLOOKUP(Tabla1[[#This Row],[AREA]],Hoja1!A:B,2,FALSE)</f>
        <v>08. Movilidad y espacio urbano</v>
      </c>
      <c r="U3381" s="35" t="str">
        <f>MID(Tabla1[[#This Row],[Aplicación]],9,4)</f>
        <v>1651</v>
      </c>
      <c r="V3381" s="35" t="str">
        <f>VLOOKUP(Tabla1[[#This Row],[PROGRAMA]],Hoja1!A:B,2,FALSE)</f>
        <v>1651. Alumbrado público</v>
      </c>
      <c r="W3381" s="35" t="str">
        <f>MID(Tabla1[[#This Row],[Aplicación]],14,2)</f>
        <v>61</v>
      </c>
      <c r="X3381" s="35" t="str">
        <f>MID(Tabla1[[#This Row],[Aplicación]],14,6)</f>
        <v>619</v>
      </c>
    </row>
    <row r="3382" spans="1:24" x14ac:dyDescent="0.25">
      <c r="A3382" s="45">
        <v>220210043789</v>
      </c>
      <c r="B3382" s="46" t="s">
        <v>204</v>
      </c>
      <c r="C3382" s="47">
        <v>44404</v>
      </c>
      <c r="D3382" s="45">
        <v>22021003308</v>
      </c>
      <c r="E3382" s="46" t="s">
        <v>827</v>
      </c>
      <c r="F3382" s="48">
        <v>1270.5</v>
      </c>
      <c r="G3382" s="46" t="s">
        <v>828</v>
      </c>
      <c r="H3382" s="46" t="s">
        <v>4932</v>
      </c>
      <c r="I3382" s="45" t="s">
        <v>205</v>
      </c>
      <c r="J3382" s="46" t="s">
        <v>197</v>
      </c>
      <c r="K3382" s="46" t="s">
        <v>197</v>
      </c>
      <c r="L3382" s="46" t="s">
        <v>15</v>
      </c>
      <c r="M3382" s="46" t="s">
        <v>13</v>
      </c>
      <c r="N3382" s="46" t="s">
        <v>16</v>
      </c>
      <c r="O3382" s="49" t="s">
        <v>803</v>
      </c>
      <c r="P3382" s="49" t="s">
        <v>4910</v>
      </c>
      <c r="Q3382" s="35" t="str">
        <f>MID(Tabla1[[#This Row],[Aplicación]],14,1)</f>
        <v>2</v>
      </c>
      <c r="R3382" s="35" t="s">
        <v>495</v>
      </c>
      <c r="S3382" s="35" t="str">
        <f>MID(Tabla1[[#This Row],[Aplicación]],6,2)</f>
        <v>04</v>
      </c>
      <c r="T3382" s="35" t="str">
        <f>VLOOKUP(Tabla1[[#This Row],[AREA]],Hoja1!A:B,2,FALSE)</f>
        <v>04. Planificación y recursos</v>
      </c>
      <c r="U3382" s="35" t="str">
        <f>MID(Tabla1[[#This Row],[Aplicación]],9,4)</f>
        <v>9204</v>
      </c>
      <c r="V3382" s="35" t="str">
        <f>VLOOKUP(Tabla1[[#This Row],[PROGRAMA]],Hoja1!A:B,2,FALSE)</f>
        <v>9204. Tecnologías de la información y comunicación</v>
      </c>
      <c r="W3382" s="35" t="str">
        <f>MID(Tabla1[[#This Row],[Aplicación]],14,2)</f>
        <v>21</v>
      </c>
      <c r="X3382" s="35" t="str">
        <f>MID(Tabla1[[#This Row],[Aplicación]],14,6)</f>
        <v>216</v>
      </c>
    </row>
    <row r="3383" spans="1:24" x14ac:dyDescent="0.25">
      <c r="A3383" s="45">
        <v>220210036441</v>
      </c>
      <c r="B3383" s="46" t="s">
        <v>204</v>
      </c>
      <c r="C3383" s="47">
        <v>44384</v>
      </c>
      <c r="D3383" s="45">
        <v>22021001275</v>
      </c>
      <c r="E3383" s="46" t="s">
        <v>1334</v>
      </c>
      <c r="F3383" s="48">
        <v>454.96</v>
      </c>
      <c r="G3383" s="46" t="s">
        <v>2907</v>
      </c>
      <c r="H3383" s="46" t="s">
        <v>4933</v>
      </c>
      <c r="I3383" s="45" t="s">
        <v>205</v>
      </c>
      <c r="J3383" s="46" t="s">
        <v>2909</v>
      </c>
      <c r="K3383" s="46" t="s">
        <v>127</v>
      </c>
      <c r="L3383" s="46" t="s">
        <v>15</v>
      </c>
      <c r="M3383" s="46" t="s">
        <v>13</v>
      </c>
      <c r="N3383" s="46" t="s">
        <v>14</v>
      </c>
      <c r="O3383" s="49" t="s">
        <v>814</v>
      </c>
      <c r="P3383" s="49" t="s">
        <v>4910</v>
      </c>
      <c r="Q3383" s="35" t="str">
        <f>MID(Tabla1[[#This Row],[Aplicación]],14,1)</f>
        <v>2</v>
      </c>
      <c r="R3383" s="35" t="s">
        <v>495</v>
      </c>
      <c r="S3383" s="35" t="str">
        <f>MID(Tabla1[[#This Row],[Aplicación]],6,2)</f>
        <v>07</v>
      </c>
      <c r="T3383" s="35" t="str">
        <f>VLOOKUP(Tabla1[[#This Row],[AREA]],Hoja1!A:B,2,FALSE)</f>
        <v>07. Medio ambiente y desarrollo sostenible</v>
      </c>
      <c r="U3383" s="35" t="str">
        <f>MID(Tabla1[[#This Row],[Aplicación]],9,4)</f>
        <v>1711</v>
      </c>
      <c r="V3383" s="35" t="str">
        <f>VLOOKUP(Tabla1[[#This Row],[PROGRAMA]],Hoja1!A:B,2,FALSE)</f>
        <v>1711. Parques y jardines</v>
      </c>
      <c r="W3383" s="35" t="str">
        <f>MID(Tabla1[[#This Row],[Aplicación]],14,2)</f>
        <v>22</v>
      </c>
      <c r="X3383" s="35" t="str">
        <f>MID(Tabla1[[#This Row],[Aplicación]],14,6)</f>
        <v>22199</v>
      </c>
    </row>
    <row r="3384" spans="1:24" x14ac:dyDescent="0.25">
      <c r="A3384" s="45">
        <v>220210046016</v>
      </c>
      <c r="B3384" s="46" t="s">
        <v>204</v>
      </c>
      <c r="C3384" s="47">
        <v>44418</v>
      </c>
      <c r="D3384" s="45">
        <v>22021001275</v>
      </c>
      <c r="E3384" s="46" t="s">
        <v>1334</v>
      </c>
      <c r="F3384" s="48">
        <v>616</v>
      </c>
      <c r="G3384" s="46" t="s">
        <v>2907</v>
      </c>
      <c r="H3384" s="46" t="s">
        <v>4934</v>
      </c>
      <c r="I3384" s="45" t="s">
        <v>205</v>
      </c>
      <c r="J3384" s="46" t="s">
        <v>2909</v>
      </c>
      <c r="K3384" s="46" t="s">
        <v>127</v>
      </c>
      <c r="L3384" s="46" t="s">
        <v>15</v>
      </c>
      <c r="M3384" s="46" t="s">
        <v>13</v>
      </c>
      <c r="N3384" s="46" t="s">
        <v>14</v>
      </c>
      <c r="O3384" s="49" t="s">
        <v>814</v>
      </c>
      <c r="P3384" s="49" t="s">
        <v>4910</v>
      </c>
      <c r="Q3384" s="35" t="str">
        <f>MID(Tabla1[[#This Row],[Aplicación]],14,1)</f>
        <v>2</v>
      </c>
      <c r="R3384" s="35" t="s">
        <v>495</v>
      </c>
      <c r="S3384" s="35" t="str">
        <f>MID(Tabla1[[#This Row],[Aplicación]],6,2)</f>
        <v>07</v>
      </c>
      <c r="T3384" s="35" t="str">
        <f>VLOOKUP(Tabla1[[#This Row],[AREA]],Hoja1!A:B,2,FALSE)</f>
        <v>07. Medio ambiente y desarrollo sostenible</v>
      </c>
      <c r="U3384" s="35" t="str">
        <f>MID(Tabla1[[#This Row],[Aplicación]],9,4)</f>
        <v>1711</v>
      </c>
      <c r="V3384" s="35" t="str">
        <f>VLOOKUP(Tabla1[[#This Row],[PROGRAMA]],Hoja1!A:B,2,FALSE)</f>
        <v>1711. Parques y jardines</v>
      </c>
      <c r="W3384" s="35" t="str">
        <f>MID(Tabla1[[#This Row],[Aplicación]],14,2)</f>
        <v>22</v>
      </c>
      <c r="X3384" s="35" t="str">
        <f>MID(Tabla1[[#This Row],[Aplicación]],14,6)</f>
        <v>22199</v>
      </c>
    </row>
    <row r="3385" spans="1:24" x14ac:dyDescent="0.25">
      <c r="A3385" s="45">
        <v>220210046022</v>
      </c>
      <c r="B3385" s="46" t="s">
        <v>204</v>
      </c>
      <c r="C3385" s="47">
        <v>44418</v>
      </c>
      <c r="D3385" s="45">
        <v>22021001275</v>
      </c>
      <c r="E3385" s="46" t="s">
        <v>1334</v>
      </c>
      <c r="F3385" s="48">
        <v>1993.5</v>
      </c>
      <c r="G3385" s="46" t="s">
        <v>2907</v>
      </c>
      <c r="H3385" s="46" t="s">
        <v>3831</v>
      </c>
      <c r="I3385" s="45" t="s">
        <v>205</v>
      </c>
      <c r="J3385" s="46" t="s">
        <v>2909</v>
      </c>
      <c r="K3385" s="46" t="s">
        <v>127</v>
      </c>
      <c r="L3385" s="46" t="s">
        <v>15</v>
      </c>
      <c r="M3385" s="46" t="s">
        <v>13</v>
      </c>
      <c r="N3385" s="46" t="s">
        <v>14</v>
      </c>
      <c r="O3385" s="49" t="s">
        <v>814</v>
      </c>
      <c r="P3385" s="49" t="s">
        <v>4910</v>
      </c>
      <c r="Q3385" s="35" t="str">
        <f>MID(Tabla1[[#This Row],[Aplicación]],14,1)</f>
        <v>2</v>
      </c>
      <c r="R3385" s="35" t="s">
        <v>495</v>
      </c>
      <c r="S3385" s="35" t="str">
        <f>MID(Tabla1[[#This Row],[Aplicación]],6,2)</f>
        <v>07</v>
      </c>
      <c r="T3385" s="35" t="str">
        <f>VLOOKUP(Tabla1[[#This Row],[AREA]],Hoja1!A:B,2,FALSE)</f>
        <v>07. Medio ambiente y desarrollo sostenible</v>
      </c>
      <c r="U3385" s="35" t="str">
        <f>MID(Tabla1[[#This Row],[Aplicación]],9,4)</f>
        <v>1711</v>
      </c>
      <c r="V3385" s="35" t="str">
        <f>VLOOKUP(Tabla1[[#This Row],[PROGRAMA]],Hoja1!A:B,2,FALSE)</f>
        <v>1711. Parques y jardines</v>
      </c>
      <c r="W3385" s="35" t="str">
        <f>MID(Tabla1[[#This Row],[Aplicación]],14,2)</f>
        <v>22</v>
      </c>
      <c r="X3385" s="35" t="str">
        <f>MID(Tabla1[[#This Row],[Aplicación]],14,6)</f>
        <v>22199</v>
      </c>
    </row>
    <row r="3386" spans="1:24" x14ac:dyDescent="0.25">
      <c r="A3386" s="45">
        <v>220210043826</v>
      </c>
      <c r="B3386" s="46" t="s">
        <v>9</v>
      </c>
      <c r="C3386" s="47">
        <v>44404</v>
      </c>
      <c r="D3386" s="45">
        <v>22021005801</v>
      </c>
      <c r="E3386" s="46" t="s">
        <v>1172</v>
      </c>
      <c r="F3386" s="48">
        <v>23496.34</v>
      </c>
      <c r="G3386" s="46" t="s">
        <v>4935</v>
      </c>
      <c r="H3386" s="46" t="s">
        <v>4936</v>
      </c>
      <c r="I3386" s="45" t="s">
        <v>125</v>
      </c>
      <c r="J3386" s="46" t="s">
        <v>127</v>
      </c>
      <c r="K3386" s="46" t="s">
        <v>127</v>
      </c>
      <c r="L3386" s="46" t="s">
        <v>31</v>
      </c>
      <c r="M3386" s="46" t="s">
        <v>10</v>
      </c>
      <c r="N3386" s="46" t="s">
        <v>11</v>
      </c>
      <c r="O3386" s="49" t="s">
        <v>815</v>
      </c>
      <c r="P3386" s="49" t="s">
        <v>4910</v>
      </c>
      <c r="Q3386" s="35" t="str">
        <f>MID(Tabla1[[#This Row],[Aplicación]],14,1)</f>
        <v>6</v>
      </c>
      <c r="R3386" s="35" t="s">
        <v>496</v>
      </c>
      <c r="S3386" s="35" t="str">
        <f>MID(Tabla1[[#This Row],[Aplicación]],6,2)</f>
        <v>02</v>
      </c>
      <c r="T3386" s="35" t="str">
        <f>VLOOKUP(Tabla1[[#This Row],[AREA]],Hoja1!A:B,2,FALSE)</f>
        <v>02. Planeamiento urbanístico y vivienda</v>
      </c>
      <c r="U3386" s="35" t="str">
        <f>MID(Tabla1[[#This Row],[Aplicación]],9,4)</f>
        <v>9332</v>
      </c>
      <c r="V3386" s="35" t="str">
        <f>VLOOKUP(Tabla1[[#This Row],[PROGRAMA]],Hoja1!A:B,2,FALSE)</f>
        <v>9332. Mantenimiento de edificios e instalaciones municipales</v>
      </c>
      <c r="W3386" s="35" t="str">
        <f>MID(Tabla1[[#This Row],[Aplicación]],14,2)</f>
        <v>63</v>
      </c>
      <c r="X3386" s="35" t="str">
        <f>MID(Tabla1[[#This Row],[Aplicación]],14,6)</f>
        <v>632</v>
      </c>
    </row>
    <row r="3387" spans="1:24" x14ac:dyDescent="0.25">
      <c r="A3387" s="45">
        <v>220210041583</v>
      </c>
      <c r="B3387" s="46" t="s">
        <v>9</v>
      </c>
      <c r="C3387" s="47">
        <v>44399</v>
      </c>
      <c r="D3387" s="45">
        <v>22021005705</v>
      </c>
      <c r="E3387" s="46" t="s">
        <v>1584</v>
      </c>
      <c r="F3387" s="48">
        <v>6715.5</v>
      </c>
      <c r="G3387" s="46" t="s">
        <v>4937</v>
      </c>
      <c r="H3387" s="46" t="s">
        <v>4938</v>
      </c>
      <c r="I3387" s="45" t="s">
        <v>125</v>
      </c>
      <c r="J3387" s="46" t="s">
        <v>127</v>
      </c>
      <c r="K3387" s="46" t="s">
        <v>127</v>
      </c>
      <c r="L3387" s="46" t="s">
        <v>12</v>
      </c>
      <c r="M3387" s="46" t="s">
        <v>10</v>
      </c>
      <c r="N3387" s="46" t="s">
        <v>11</v>
      </c>
      <c r="O3387" s="49" t="s">
        <v>815</v>
      </c>
      <c r="P3387" s="49" t="s">
        <v>4910</v>
      </c>
      <c r="Q3387" s="35" t="str">
        <f>MID(Tabla1[[#This Row],[Aplicación]],14,1)</f>
        <v>2</v>
      </c>
      <c r="R3387" s="35" t="s">
        <v>495</v>
      </c>
      <c r="S3387" s="35" t="str">
        <f>MID(Tabla1[[#This Row],[Aplicación]],6,2)</f>
        <v>07</v>
      </c>
      <c r="T3387" s="35" t="str">
        <f>VLOOKUP(Tabla1[[#This Row],[AREA]],Hoja1!A:B,2,FALSE)</f>
        <v>07. Medio ambiente y desarrollo sostenible</v>
      </c>
      <c r="U3387" s="35" t="str">
        <f>MID(Tabla1[[#This Row],[Aplicación]],9,4)</f>
        <v>1701</v>
      </c>
      <c r="V3387" s="35" t="str">
        <f>VLOOKUP(Tabla1[[#This Row],[PROGRAMA]],Hoja1!A:B,2,FALSE)</f>
        <v>1701. Dirección del área de medio ambiente</v>
      </c>
      <c r="W3387" s="35" t="str">
        <f>MID(Tabla1[[#This Row],[Aplicación]],14,2)</f>
        <v>22</v>
      </c>
      <c r="X3387" s="35" t="str">
        <f>MID(Tabla1[[#This Row],[Aplicación]],14,6)</f>
        <v>22799</v>
      </c>
    </row>
    <row r="3388" spans="1:24" x14ac:dyDescent="0.25">
      <c r="A3388" s="45">
        <v>220210036486</v>
      </c>
      <c r="B3388" s="46" t="s">
        <v>9</v>
      </c>
      <c r="C3388" s="47">
        <v>44384</v>
      </c>
      <c r="D3388" s="45">
        <v>22021000166</v>
      </c>
      <c r="E3388" s="46" t="s">
        <v>883</v>
      </c>
      <c r="F3388" s="48">
        <v>71187.92</v>
      </c>
      <c r="G3388" s="46" t="s">
        <v>278</v>
      </c>
      <c r="H3388" s="46" t="s">
        <v>4939</v>
      </c>
      <c r="I3388" s="45" t="s">
        <v>125</v>
      </c>
      <c r="J3388" s="46" t="s">
        <v>127</v>
      </c>
      <c r="K3388" s="46" t="s">
        <v>127</v>
      </c>
      <c r="L3388" s="46" t="s">
        <v>12</v>
      </c>
      <c r="M3388" s="46" t="s">
        <v>13</v>
      </c>
      <c r="N3388" s="46" t="s">
        <v>14</v>
      </c>
      <c r="O3388" s="49" t="s">
        <v>803</v>
      </c>
      <c r="P3388" s="49" t="s">
        <v>4910</v>
      </c>
      <c r="Q3388" s="35" t="str">
        <f>MID(Tabla1[[#This Row],[Aplicación]],14,1)</f>
        <v>2</v>
      </c>
      <c r="R3388" s="35" t="s">
        <v>495</v>
      </c>
      <c r="S3388" s="35" t="str">
        <f>MID(Tabla1[[#This Row],[Aplicación]],6,2)</f>
        <v>11</v>
      </c>
      <c r="T3388" s="35" t="str">
        <f>VLOOKUP(Tabla1[[#This Row],[AREA]],Hoja1!A:B,2,FALSE)</f>
        <v>11. Salud pública y seguridad ciudadana</v>
      </c>
      <c r="U3388" s="35" t="str">
        <f>MID(Tabla1[[#This Row],[Aplicación]],9,4)</f>
        <v>1621</v>
      </c>
      <c r="V3388" s="35" t="str">
        <f>VLOOKUP(Tabla1[[#This Row],[PROGRAMA]],Hoja1!A:B,2,FALSE)</f>
        <v>1621. Servicio de limpieza</v>
      </c>
      <c r="W3388" s="35" t="str">
        <f>MID(Tabla1[[#This Row],[Aplicación]],14,2)</f>
        <v>22</v>
      </c>
      <c r="X3388" s="35" t="str">
        <f>MID(Tabla1[[#This Row],[Aplicación]],14,6)</f>
        <v>22700</v>
      </c>
    </row>
    <row r="3389" spans="1:24" x14ac:dyDescent="0.25">
      <c r="A3389" s="45">
        <v>220210036188</v>
      </c>
      <c r="B3389" s="46" t="s">
        <v>9</v>
      </c>
      <c r="C3389" s="47">
        <v>44383</v>
      </c>
      <c r="D3389" s="45">
        <v>22021005122</v>
      </c>
      <c r="E3389" s="46" t="s">
        <v>1187</v>
      </c>
      <c r="F3389" s="48">
        <v>100</v>
      </c>
      <c r="G3389" s="46" t="s">
        <v>4940</v>
      </c>
      <c r="H3389" s="46" t="s">
        <v>4941</v>
      </c>
      <c r="I3389" s="45" t="s">
        <v>125</v>
      </c>
      <c r="J3389" s="46" t="s">
        <v>127</v>
      </c>
      <c r="K3389" s="46" t="s">
        <v>127</v>
      </c>
      <c r="L3389" s="46" t="s">
        <v>12</v>
      </c>
      <c r="M3389" s="46" t="s">
        <v>10</v>
      </c>
      <c r="N3389" s="46" t="s">
        <v>11</v>
      </c>
      <c r="O3389" s="49" t="s">
        <v>815</v>
      </c>
      <c r="P3389" s="49" t="s">
        <v>4910</v>
      </c>
      <c r="Q3389" s="35" t="str">
        <f>MID(Tabla1[[#This Row],[Aplicación]],14,1)</f>
        <v>2</v>
      </c>
      <c r="R3389" s="35" t="s">
        <v>495</v>
      </c>
      <c r="S3389" s="35" t="str">
        <f>MID(Tabla1[[#This Row],[Aplicación]],6,2)</f>
        <v>06</v>
      </c>
      <c r="T3389" s="35" t="str">
        <f>VLOOKUP(Tabla1[[#This Row],[AREA]],Hoja1!A:B,2,FALSE)</f>
        <v>06. Educación, infancia, juventud e igualdad</v>
      </c>
      <c r="U3389" s="35" t="str">
        <f>MID(Tabla1[[#This Row],[Aplicación]],9,4)</f>
        <v>2315</v>
      </c>
      <c r="V3389" s="35" t="str">
        <f>VLOOKUP(Tabla1[[#This Row],[PROGRAMA]],Hoja1!A:B,2,FALSE)</f>
        <v>2315. Políticas de Igualdad e infancia</v>
      </c>
      <c r="W3389" s="35" t="str">
        <f>MID(Tabla1[[#This Row],[Aplicación]],14,2)</f>
        <v>22</v>
      </c>
      <c r="X3389" s="35" t="str">
        <f>MID(Tabla1[[#This Row],[Aplicación]],14,6)</f>
        <v>22611</v>
      </c>
    </row>
    <row r="3390" spans="1:24" x14ac:dyDescent="0.25">
      <c r="A3390" s="45">
        <v>220210040155</v>
      </c>
      <c r="B3390" s="46" t="s">
        <v>204</v>
      </c>
      <c r="C3390" s="47">
        <v>44396</v>
      </c>
      <c r="D3390" s="45">
        <v>22021002048</v>
      </c>
      <c r="E3390" s="46" t="s">
        <v>890</v>
      </c>
      <c r="F3390" s="48">
        <v>1582.93</v>
      </c>
      <c r="G3390" s="46" t="s">
        <v>271</v>
      </c>
      <c r="H3390" s="46" t="s">
        <v>4942</v>
      </c>
      <c r="I3390" s="45" t="s">
        <v>205</v>
      </c>
      <c r="J3390" s="46" t="s">
        <v>127</v>
      </c>
      <c r="K3390" s="46" t="s">
        <v>127</v>
      </c>
      <c r="L3390" s="46" t="s">
        <v>15</v>
      </c>
      <c r="M3390" s="46" t="s">
        <v>13</v>
      </c>
      <c r="N3390" s="46" t="s">
        <v>14</v>
      </c>
      <c r="O3390" s="49" t="s">
        <v>814</v>
      </c>
      <c r="P3390" s="49" t="s">
        <v>4910</v>
      </c>
      <c r="Q3390" s="35" t="str">
        <f>MID(Tabla1[[#This Row],[Aplicación]],14,1)</f>
        <v>2</v>
      </c>
      <c r="R3390" s="35" t="s">
        <v>495</v>
      </c>
      <c r="S3390" s="35" t="str">
        <f>MID(Tabla1[[#This Row],[Aplicación]],6,2)</f>
        <v>11</v>
      </c>
      <c r="T3390" s="35" t="str">
        <f>VLOOKUP(Tabla1[[#This Row],[AREA]],Hoja1!A:B,2,FALSE)</f>
        <v>11. Salud pública y seguridad ciudadana</v>
      </c>
      <c r="U3390" s="35" t="str">
        <f>MID(Tabla1[[#This Row],[Aplicación]],9,4)</f>
        <v>1621</v>
      </c>
      <c r="V3390" s="35" t="str">
        <f>VLOOKUP(Tabla1[[#This Row],[PROGRAMA]],Hoja1!A:B,2,FALSE)</f>
        <v>1621. Servicio de limpieza</v>
      </c>
      <c r="W3390" s="35" t="str">
        <f>MID(Tabla1[[#This Row],[Aplicación]],14,2)</f>
        <v>21</v>
      </c>
      <c r="X3390" s="35" t="str">
        <f>MID(Tabla1[[#This Row],[Aplicación]],14,6)</f>
        <v>214</v>
      </c>
    </row>
    <row r="3391" spans="1:24" x14ac:dyDescent="0.25">
      <c r="A3391" s="45">
        <v>220210045163</v>
      </c>
      <c r="B3391" s="46" t="s">
        <v>204</v>
      </c>
      <c r="C3391" s="47">
        <v>44411</v>
      </c>
      <c r="D3391" s="45">
        <v>22021002048</v>
      </c>
      <c r="E3391" s="46" t="s">
        <v>890</v>
      </c>
      <c r="F3391" s="48">
        <v>1571.94</v>
      </c>
      <c r="G3391" s="46" t="s">
        <v>271</v>
      </c>
      <c r="H3391" s="46" t="s">
        <v>4943</v>
      </c>
      <c r="I3391" s="45" t="s">
        <v>205</v>
      </c>
      <c r="J3391" s="46" t="s">
        <v>127</v>
      </c>
      <c r="K3391" s="46" t="s">
        <v>127</v>
      </c>
      <c r="L3391" s="46" t="s">
        <v>15</v>
      </c>
      <c r="M3391" s="46" t="s">
        <v>13</v>
      </c>
      <c r="N3391" s="46" t="s">
        <v>14</v>
      </c>
      <c r="O3391" s="49" t="s">
        <v>814</v>
      </c>
      <c r="P3391" s="49" t="s">
        <v>4910</v>
      </c>
      <c r="Q3391" s="35" t="str">
        <f>MID(Tabla1[[#This Row],[Aplicación]],14,1)</f>
        <v>2</v>
      </c>
      <c r="R3391" s="35" t="s">
        <v>495</v>
      </c>
      <c r="S3391" s="35" t="str">
        <f>MID(Tabla1[[#This Row],[Aplicación]],6,2)</f>
        <v>11</v>
      </c>
      <c r="T3391" s="35" t="str">
        <f>VLOOKUP(Tabla1[[#This Row],[AREA]],Hoja1!A:B,2,FALSE)</f>
        <v>11. Salud pública y seguridad ciudadana</v>
      </c>
      <c r="U3391" s="35" t="str">
        <f>MID(Tabla1[[#This Row],[Aplicación]],9,4)</f>
        <v>1621</v>
      </c>
      <c r="V3391" s="35" t="str">
        <f>VLOOKUP(Tabla1[[#This Row],[PROGRAMA]],Hoja1!A:B,2,FALSE)</f>
        <v>1621. Servicio de limpieza</v>
      </c>
      <c r="W3391" s="35" t="str">
        <f>MID(Tabla1[[#This Row],[Aplicación]],14,2)</f>
        <v>21</v>
      </c>
      <c r="X3391" s="35" t="str">
        <f>MID(Tabla1[[#This Row],[Aplicación]],14,6)</f>
        <v>214</v>
      </c>
    </row>
    <row r="3392" spans="1:24" x14ac:dyDescent="0.25">
      <c r="A3392" s="45">
        <v>220210050613</v>
      </c>
      <c r="B3392" s="46" t="s">
        <v>204</v>
      </c>
      <c r="C3392" s="47">
        <v>44441</v>
      </c>
      <c r="D3392" s="45">
        <v>22021002048</v>
      </c>
      <c r="E3392" s="46" t="s">
        <v>890</v>
      </c>
      <c r="F3392" s="48">
        <v>1581.48</v>
      </c>
      <c r="G3392" s="46" t="s">
        <v>271</v>
      </c>
      <c r="H3392" s="46" t="s">
        <v>4944</v>
      </c>
      <c r="I3392" s="45" t="s">
        <v>205</v>
      </c>
      <c r="J3392" s="46" t="s">
        <v>127</v>
      </c>
      <c r="K3392" s="46" t="s">
        <v>127</v>
      </c>
      <c r="L3392" s="46" t="s">
        <v>15</v>
      </c>
      <c r="M3392" s="46" t="s">
        <v>13</v>
      </c>
      <c r="N3392" s="46" t="s">
        <v>14</v>
      </c>
      <c r="O3392" s="49" t="s">
        <v>814</v>
      </c>
      <c r="P3392" s="49" t="s">
        <v>4910</v>
      </c>
      <c r="Q3392" s="35" t="str">
        <f>MID(Tabla1[[#This Row],[Aplicación]],14,1)</f>
        <v>2</v>
      </c>
      <c r="R3392" s="35" t="s">
        <v>495</v>
      </c>
      <c r="S3392" s="35" t="str">
        <f>MID(Tabla1[[#This Row],[Aplicación]],6,2)</f>
        <v>11</v>
      </c>
      <c r="T3392" s="35" t="str">
        <f>VLOOKUP(Tabla1[[#This Row],[AREA]],Hoja1!A:B,2,FALSE)</f>
        <v>11. Salud pública y seguridad ciudadana</v>
      </c>
      <c r="U3392" s="35" t="str">
        <f>MID(Tabla1[[#This Row],[Aplicación]],9,4)</f>
        <v>1621</v>
      </c>
      <c r="V3392" s="35" t="str">
        <f>VLOOKUP(Tabla1[[#This Row],[PROGRAMA]],Hoja1!A:B,2,FALSE)</f>
        <v>1621. Servicio de limpieza</v>
      </c>
      <c r="W3392" s="35" t="str">
        <f>MID(Tabla1[[#This Row],[Aplicación]],14,2)</f>
        <v>21</v>
      </c>
      <c r="X3392" s="35" t="str">
        <f>MID(Tabla1[[#This Row],[Aplicación]],14,6)</f>
        <v>214</v>
      </c>
    </row>
    <row r="3393" spans="1:24" x14ac:dyDescent="0.25">
      <c r="A3393" s="45">
        <v>220210053517</v>
      </c>
      <c r="B3393" s="46" t="s">
        <v>204</v>
      </c>
      <c r="C3393" s="47">
        <v>44452</v>
      </c>
      <c r="D3393" s="45">
        <v>22021002048</v>
      </c>
      <c r="E3393" s="46" t="s">
        <v>890</v>
      </c>
      <c r="F3393" s="48">
        <v>832.99</v>
      </c>
      <c r="G3393" s="46" t="s">
        <v>271</v>
      </c>
      <c r="H3393" s="46" t="s">
        <v>4945</v>
      </c>
      <c r="I3393" s="45" t="s">
        <v>205</v>
      </c>
      <c r="J3393" s="46" t="s">
        <v>127</v>
      </c>
      <c r="K3393" s="46" t="s">
        <v>127</v>
      </c>
      <c r="L3393" s="46" t="s">
        <v>15</v>
      </c>
      <c r="M3393" s="46" t="s">
        <v>13</v>
      </c>
      <c r="N3393" s="46" t="s">
        <v>14</v>
      </c>
      <c r="O3393" s="49" t="s">
        <v>814</v>
      </c>
      <c r="P3393" s="49" t="s">
        <v>4910</v>
      </c>
      <c r="Q3393" s="35" t="str">
        <f>MID(Tabla1[[#This Row],[Aplicación]],14,1)</f>
        <v>2</v>
      </c>
      <c r="R3393" s="35" t="s">
        <v>495</v>
      </c>
      <c r="S3393" s="35" t="str">
        <f>MID(Tabla1[[#This Row],[Aplicación]],6,2)</f>
        <v>11</v>
      </c>
      <c r="T3393" s="35" t="str">
        <f>VLOOKUP(Tabla1[[#This Row],[AREA]],Hoja1!A:B,2,FALSE)</f>
        <v>11. Salud pública y seguridad ciudadana</v>
      </c>
      <c r="U3393" s="35" t="str">
        <f>MID(Tabla1[[#This Row],[Aplicación]],9,4)</f>
        <v>1621</v>
      </c>
      <c r="V3393" s="35" t="str">
        <f>VLOOKUP(Tabla1[[#This Row],[PROGRAMA]],Hoja1!A:B,2,FALSE)</f>
        <v>1621. Servicio de limpieza</v>
      </c>
      <c r="W3393" s="35" t="str">
        <f>MID(Tabla1[[#This Row],[Aplicación]],14,2)</f>
        <v>21</v>
      </c>
      <c r="X3393" s="35" t="str">
        <f>MID(Tabla1[[#This Row],[Aplicación]],14,6)</f>
        <v>214</v>
      </c>
    </row>
    <row r="3394" spans="1:24" x14ac:dyDescent="0.25">
      <c r="A3394" s="45">
        <v>220210048704</v>
      </c>
      <c r="B3394" s="46" t="s">
        <v>204</v>
      </c>
      <c r="C3394" s="47">
        <v>44428</v>
      </c>
      <c r="D3394" s="45">
        <v>22021002048</v>
      </c>
      <c r="E3394" s="46" t="s">
        <v>890</v>
      </c>
      <c r="F3394" s="48">
        <v>612.74</v>
      </c>
      <c r="G3394" s="46" t="s">
        <v>271</v>
      </c>
      <c r="H3394" s="46" t="s">
        <v>4946</v>
      </c>
      <c r="I3394" s="45" t="s">
        <v>205</v>
      </c>
      <c r="J3394" s="46" t="s">
        <v>127</v>
      </c>
      <c r="K3394" s="46" t="s">
        <v>127</v>
      </c>
      <c r="L3394" s="46" t="s">
        <v>15</v>
      </c>
      <c r="M3394" s="46" t="s">
        <v>13</v>
      </c>
      <c r="N3394" s="46" t="s">
        <v>14</v>
      </c>
      <c r="O3394" s="49" t="s">
        <v>814</v>
      </c>
      <c r="P3394" s="49" t="s">
        <v>4910</v>
      </c>
      <c r="Q3394" s="35" t="str">
        <f>MID(Tabla1[[#This Row],[Aplicación]],14,1)</f>
        <v>2</v>
      </c>
      <c r="R3394" s="35" t="s">
        <v>495</v>
      </c>
      <c r="S3394" s="35" t="str">
        <f>MID(Tabla1[[#This Row],[Aplicación]],6,2)</f>
        <v>11</v>
      </c>
      <c r="T3394" s="35" t="str">
        <f>VLOOKUP(Tabla1[[#This Row],[AREA]],Hoja1!A:B,2,FALSE)</f>
        <v>11. Salud pública y seguridad ciudadana</v>
      </c>
      <c r="U3394" s="35" t="str">
        <f>MID(Tabla1[[#This Row],[Aplicación]],9,4)</f>
        <v>1621</v>
      </c>
      <c r="V3394" s="35" t="str">
        <f>VLOOKUP(Tabla1[[#This Row],[PROGRAMA]],Hoja1!A:B,2,FALSE)</f>
        <v>1621. Servicio de limpieza</v>
      </c>
      <c r="W3394" s="35" t="str">
        <f>MID(Tabla1[[#This Row],[Aplicación]],14,2)</f>
        <v>21</v>
      </c>
      <c r="X3394" s="35" t="str">
        <f>MID(Tabla1[[#This Row],[Aplicación]],14,6)</f>
        <v>214</v>
      </c>
    </row>
    <row r="3395" spans="1:24" x14ac:dyDescent="0.25">
      <c r="A3395" s="45">
        <v>220210036637</v>
      </c>
      <c r="B3395" s="46" t="s">
        <v>9</v>
      </c>
      <c r="C3395" s="47">
        <v>44385</v>
      </c>
      <c r="D3395" s="45">
        <v>22021005571</v>
      </c>
      <c r="E3395" s="46" t="s">
        <v>1263</v>
      </c>
      <c r="F3395" s="48">
        <v>2000</v>
      </c>
      <c r="G3395" s="46" t="s">
        <v>4947</v>
      </c>
      <c r="H3395" s="46" t="s">
        <v>4948</v>
      </c>
      <c r="I3395" s="45" t="s">
        <v>125</v>
      </c>
      <c r="J3395" s="46" t="s">
        <v>127</v>
      </c>
      <c r="K3395" s="46" t="s">
        <v>127</v>
      </c>
      <c r="L3395" s="46" t="s">
        <v>15</v>
      </c>
      <c r="M3395" s="46" t="s">
        <v>10</v>
      </c>
      <c r="N3395" s="46" t="s">
        <v>11</v>
      </c>
      <c r="O3395" s="49" t="s">
        <v>815</v>
      </c>
      <c r="P3395" s="49" t="s">
        <v>4910</v>
      </c>
      <c r="Q3395" s="35" t="str">
        <f>MID(Tabla1[[#This Row],[Aplicación]],14,1)</f>
        <v>2</v>
      </c>
      <c r="R3395" s="35" t="s">
        <v>495</v>
      </c>
      <c r="S3395" s="35" t="str">
        <f>MID(Tabla1[[#This Row],[Aplicación]],6,2)</f>
        <v>02</v>
      </c>
      <c r="T3395" s="35" t="str">
        <f>VLOOKUP(Tabla1[[#This Row],[AREA]],Hoja1!A:B,2,FALSE)</f>
        <v>02. Planeamiento urbanístico y vivienda</v>
      </c>
      <c r="U3395" s="35" t="str">
        <f>MID(Tabla1[[#This Row],[Aplicación]],9,4)</f>
        <v>9332</v>
      </c>
      <c r="V3395" s="35" t="str">
        <f>VLOOKUP(Tabla1[[#This Row],[PROGRAMA]],Hoja1!A:B,2,FALSE)</f>
        <v>9332. Mantenimiento de edificios e instalaciones municipales</v>
      </c>
      <c r="W3395" s="35" t="str">
        <f>MID(Tabla1[[#This Row],[Aplicación]],14,2)</f>
        <v>21</v>
      </c>
      <c r="X3395" s="35" t="str">
        <f>MID(Tabla1[[#This Row],[Aplicación]],14,6)</f>
        <v>213</v>
      </c>
    </row>
    <row r="3396" spans="1:24" x14ac:dyDescent="0.25">
      <c r="A3396" s="45">
        <v>220210047100</v>
      </c>
      <c r="B3396" s="46" t="s">
        <v>9</v>
      </c>
      <c r="C3396" s="47">
        <v>44421</v>
      </c>
      <c r="D3396" s="45">
        <v>22021006061</v>
      </c>
      <c r="E3396" s="46" t="s">
        <v>3356</v>
      </c>
      <c r="F3396" s="48">
        <v>779.24</v>
      </c>
      <c r="G3396" s="46" t="s">
        <v>4947</v>
      </c>
      <c r="H3396" s="46" t="s">
        <v>4949</v>
      </c>
      <c r="I3396" s="45" t="s">
        <v>125</v>
      </c>
      <c r="J3396" s="46" t="s">
        <v>127</v>
      </c>
      <c r="K3396" s="46" t="s">
        <v>127</v>
      </c>
      <c r="L3396" s="46" t="s">
        <v>15</v>
      </c>
      <c r="M3396" s="46" t="s">
        <v>10</v>
      </c>
      <c r="N3396" s="46" t="s">
        <v>11</v>
      </c>
      <c r="O3396" s="49" t="s">
        <v>815</v>
      </c>
      <c r="P3396" s="49" t="s">
        <v>4910</v>
      </c>
      <c r="Q3396" s="35" t="str">
        <f>MID(Tabla1[[#This Row],[Aplicación]],14,1)</f>
        <v>2</v>
      </c>
      <c r="R3396" s="35" t="s">
        <v>495</v>
      </c>
      <c r="S3396" s="35" t="str">
        <f>MID(Tabla1[[#This Row],[Aplicación]],6,2)</f>
        <v>08</v>
      </c>
      <c r="T3396" s="35" t="str">
        <f>VLOOKUP(Tabla1[[#This Row],[AREA]],Hoja1!A:B,2,FALSE)</f>
        <v>08. Movilidad y espacio urbano</v>
      </c>
      <c r="U3396" s="35" t="str">
        <f>MID(Tabla1[[#This Row],[Aplicación]],9,4)</f>
        <v>1532</v>
      </c>
      <c r="V3396" s="35" t="str">
        <f>VLOOKUP(Tabla1[[#This Row],[PROGRAMA]],Hoja1!A:B,2,FALSE)</f>
        <v>1532. Pavimentación vias públicas y otros servicios urbanísticos</v>
      </c>
      <c r="W3396" s="35" t="str">
        <f>MID(Tabla1[[#This Row],[Aplicación]],14,2)</f>
        <v>22</v>
      </c>
      <c r="X3396" s="35" t="str">
        <f>MID(Tabla1[[#This Row],[Aplicación]],14,6)</f>
        <v>22699</v>
      </c>
    </row>
    <row r="3397" spans="1:24" x14ac:dyDescent="0.25">
      <c r="A3397" s="45">
        <v>220210050361</v>
      </c>
      <c r="B3397" s="46" t="s">
        <v>204</v>
      </c>
      <c r="C3397" s="47">
        <v>44439</v>
      </c>
      <c r="D3397" s="45">
        <v>22021003738</v>
      </c>
      <c r="E3397" s="46" t="s">
        <v>1483</v>
      </c>
      <c r="F3397" s="48">
        <v>47294.1</v>
      </c>
      <c r="G3397" s="46" t="s">
        <v>1992</v>
      </c>
      <c r="H3397" s="46" t="s">
        <v>4950</v>
      </c>
      <c r="I3397" s="45" t="s">
        <v>205</v>
      </c>
      <c r="J3397" s="46" t="s">
        <v>634</v>
      </c>
      <c r="K3397" s="46" t="s">
        <v>127</v>
      </c>
      <c r="L3397" s="46" t="s">
        <v>31</v>
      </c>
      <c r="M3397" s="46" t="s">
        <v>13</v>
      </c>
      <c r="N3397" s="46" t="s">
        <v>16</v>
      </c>
      <c r="O3397" s="49" t="s">
        <v>803</v>
      </c>
      <c r="P3397" s="49" t="s">
        <v>4910</v>
      </c>
      <c r="Q3397" s="35" t="str">
        <f>MID(Tabla1[[#This Row],[Aplicación]],14,1)</f>
        <v>6</v>
      </c>
      <c r="R3397" s="35" t="s">
        <v>496</v>
      </c>
      <c r="S3397" s="35" t="str">
        <f>MID(Tabla1[[#This Row],[Aplicación]],6,2)</f>
        <v>03</v>
      </c>
      <c r="T3397" s="35" t="str">
        <f>VLOOKUP(Tabla1[[#This Row],[AREA]],Hoja1!A:B,2,FALSE)</f>
        <v>03. Participación ciudadana y deportes</v>
      </c>
      <c r="U3397" s="35" t="str">
        <f>MID(Tabla1[[#This Row],[Aplicación]],9,4)</f>
        <v>9241</v>
      </c>
      <c r="V3397" s="35" t="str">
        <f>VLOOKUP(Tabla1[[#This Row],[PROGRAMA]],Hoja1!A:B,2,FALSE)</f>
        <v>9241. Participación ciudadana</v>
      </c>
      <c r="W3397" s="35" t="str">
        <f>MID(Tabla1[[#This Row],[Aplicación]],14,2)</f>
        <v>63</v>
      </c>
      <c r="X3397" s="35" t="str">
        <f>MID(Tabla1[[#This Row],[Aplicación]],14,6)</f>
        <v>632</v>
      </c>
    </row>
    <row r="3398" spans="1:24" x14ac:dyDescent="0.25">
      <c r="A3398" s="45">
        <v>220210037255</v>
      </c>
      <c r="B3398" s="46" t="s">
        <v>9</v>
      </c>
      <c r="C3398" s="47">
        <v>44391</v>
      </c>
      <c r="D3398" s="45">
        <v>22021004298</v>
      </c>
      <c r="E3398" s="46" t="s">
        <v>1873</v>
      </c>
      <c r="F3398" s="48">
        <v>265</v>
      </c>
      <c r="G3398" s="46" t="s">
        <v>68</v>
      </c>
      <c r="H3398" s="46" t="s">
        <v>4951</v>
      </c>
      <c r="I3398" s="45" t="s">
        <v>125</v>
      </c>
      <c r="J3398" s="46" t="s">
        <v>127</v>
      </c>
      <c r="K3398" s="46" t="s">
        <v>127</v>
      </c>
      <c r="L3398" s="46" t="s">
        <v>15</v>
      </c>
      <c r="M3398" s="46" t="s">
        <v>13</v>
      </c>
      <c r="N3398" s="46" t="s">
        <v>16</v>
      </c>
      <c r="O3398" s="49" t="s">
        <v>803</v>
      </c>
      <c r="P3398" s="49" t="s">
        <v>4910</v>
      </c>
      <c r="Q3398" s="35" t="str">
        <f>MID(Tabla1[[#This Row],[Aplicación]],14,1)</f>
        <v>2</v>
      </c>
      <c r="R3398" s="35" t="s">
        <v>495</v>
      </c>
      <c r="S3398" s="35" t="str">
        <f>MID(Tabla1[[#This Row],[Aplicación]],6,2)</f>
        <v>11</v>
      </c>
      <c r="T3398" s="35" t="str">
        <f>VLOOKUP(Tabla1[[#This Row],[AREA]],Hoja1!A:B,2,FALSE)</f>
        <v>11. Salud pública y seguridad ciudadana</v>
      </c>
      <c r="U3398" s="35" t="str">
        <f>MID(Tabla1[[#This Row],[Aplicación]],9,4)</f>
        <v>3111</v>
      </c>
      <c r="V3398" s="35" t="str">
        <f>VLOOKUP(Tabla1[[#This Row],[PROGRAMA]],Hoja1!A:B,2,FALSE)</f>
        <v>3111. Protección de la salubridad pública</v>
      </c>
      <c r="W3398" s="35" t="str">
        <f>MID(Tabla1[[#This Row],[Aplicación]],14,2)</f>
        <v>21</v>
      </c>
      <c r="X3398" s="35" t="str">
        <f>MID(Tabla1[[#This Row],[Aplicación]],14,6)</f>
        <v>213</v>
      </c>
    </row>
    <row r="3399" spans="1:24" x14ac:dyDescent="0.25">
      <c r="A3399" s="45">
        <v>220210050520</v>
      </c>
      <c r="B3399" s="46" t="s">
        <v>9</v>
      </c>
      <c r="C3399" s="47">
        <v>44440</v>
      </c>
      <c r="D3399" s="45">
        <v>22021000641</v>
      </c>
      <c r="E3399" s="46" t="s">
        <v>983</v>
      </c>
      <c r="F3399" s="48">
        <v>1064.01</v>
      </c>
      <c r="G3399" s="46" t="s">
        <v>68</v>
      </c>
      <c r="H3399" s="46" t="s">
        <v>4952</v>
      </c>
      <c r="I3399" s="45" t="s">
        <v>125</v>
      </c>
      <c r="J3399" s="46" t="s">
        <v>127</v>
      </c>
      <c r="K3399" s="46" t="s">
        <v>127</v>
      </c>
      <c r="L3399" s="46" t="s">
        <v>15</v>
      </c>
      <c r="M3399" s="46" t="s">
        <v>13</v>
      </c>
      <c r="N3399" s="46" t="s">
        <v>14</v>
      </c>
      <c r="O3399" s="49" t="s">
        <v>803</v>
      </c>
      <c r="P3399" s="49" t="s">
        <v>4910</v>
      </c>
      <c r="Q3399" s="35" t="str">
        <f>MID(Tabla1[[#This Row],[Aplicación]],14,1)</f>
        <v>2</v>
      </c>
      <c r="R3399" s="35" t="s">
        <v>495</v>
      </c>
      <c r="S3399" s="35" t="str">
        <f>MID(Tabla1[[#This Row],[Aplicación]],6,2)</f>
        <v>10</v>
      </c>
      <c r="T3399" s="35" t="str">
        <f>VLOOKUP(Tabla1[[#This Row],[AREA]],Hoja1!A:B,2,FALSE)</f>
        <v>10. Servicios sociales y mediación comunitaria</v>
      </c>
      <c r="U3399" s="35" t="str">
        <f>MID(Tabla1[[#This Row],[Aplicación]],9,4)</f>
        <v>2412</v>
      </c>
      <c r="V3399" s="35" t="str">
        <f>VLOOKUP(Tabla1[[#This Row],[PROGRAMA]],Hoja1!A:B,2,FALSE)</f>
        <v>2412. Formación para el empleo</v>
      </c>
      <c r="W3399" s="35" t="str">
        <f>MID(Tabla1[[#This Row],[Aplicación]],14,2)</f>
        <v>21</v>
      </c>
      <c r="X3399" s="35" t="str">
        <f>MID(Tabla1[[#This Row],[Aplicación]],14,6)</f>
        <v>213</v>
      </c>
    </row>
    <row r="3400" spans="1:24" x14ac:dyDescent="0.25">
      <c r="A3400" s="45">
        <v>220210050520</v>
      </c>
      <c r="B3400" s="46" t="s">
        <v>9</v>
      </c>
      <c r="C3400" s="47">
        <v>44440</v>
      </c>
      <c r="D3400" s="45">
        <v>22021000642</v>
      </c>
      <c r="E3400" s="46" t="s">
        <v>983</v>
      </c>
      <c r="F3400" s="48">
        <v>435</v>
      </c>
      <c r="G3400" s="46" t="s">
        <v>68</v>
      </c>
      <c r="H3400" s="46" t="s">
        <v>4952</v>
      </c>
      <c r="I3400" s="45" t="s">
        <v>125</v>
      </c>
      <c r="J3400" s="46" t="s">
        <v>127</v>
      </c>
      <c r="K3400" s="46" t="s">
        <v>127</v>
      </c>
      <c r="L3400" s="46" t="s">
        <v>15</v>
      </c>
      <c r="M3400" s="46" t="s">
        <v>13</v>
      </c>
      <c r="N3400" s="46" t="s">
        <v>14</v>
      </c>
      <c r="O3400" s="49" t="s">
        <v>803</v>
      </c>
      <c r="P3400" s="49" t="s">
        <v>4910</v>
      </c>
      <c r="Q3400" s="35" t="str">
        <f>MID(Tabla1[[#This Row],[Aplicación]],14,1)</f>
        <v>2</v>
      </c>
      <c r="R3400" s="35" t="s">
        <v>495</v>
      </c>
      <c r="S3400" s="35" t="str">
        <f>MID(Tabla1[[#This Row],[Aplicación]],6,2)</f>
        <v>10</v>
      </c>
      <c r="T3400" s="35" t="str">
        <f>VLOOKUP(Tabla1[[#This Row],[AREA]],Hoja1!A:B,2,FALSE)</f>
        <v>10. Servicios sociales y mediación comunitaria</v>
      </c>
      <c r="U3400" s="35" t="str">
        <f>MID(Tabla1[[#This Row],[Aplicación]],9,4)</f>
        <v>2412</v>
      </c>
      <c r="V3400" s="35" t="str">
        <f>VLOOKUP(Tabla1[[#This Row],[PROGRAMA]],Hoja1!A:B,2,FALSE)</f>
        <v>2412. Formación para el empleo</v>
      </c>
      <c r="W3400" s="35" t="str">
        <f>MID(Tabla1[[#This Row],[Aplicación]],14,2)</f>
        <v>21</v>
      </c>
      <c r="X3400" s="35" t="str">
        <f>MID(Tabla1[[#This Row],[Aplicación]],14,6)</f>
        <v>213</v>
      </c>
    </row>
    <row r="3401" spans="1:24" x14ac:dyDescent="0.25">
      <c r="A3401" s="45">
        <v>220210050520</v>
      </c>
      <c r="B3401" s="46" t="s">
        <v>9</v>
      </c>
      <c r="C3401" s="47">
        <v>44440</v>
      </c>
      <c r="D3401" s="45">
        <v>22021000640</v>
      </c>
      <c r="E3401" s="46" t="s">
        <v>983</v>
      </c>
      <c r="F3401" s="48">
        <v>420</v>
      </c>
      <c r="G3401" s="46" t="s">
        <v>68</v>
      </c>
      <c r="H3401" s="46" t="s">
        <v>4952</v>
      </c>
      <c r="I3401" s="45" t="s">
        <v>125</v>
      </c>
      <c r="J3401" s="46" t="s">
        <v>127</v>
      </c>
      <c r="K3401" s="46" t="s">
        <v>127</v>
      </c>
      <c r="L3401" s="46" t="s">
        <v>15</v>
      </c>
      <c r="M3401" s="46" t="s">
        <v>13</v>
      </c>
      <c r="N3401" s="46" t="s">
        <v>14</v>
      </c>
      <c r="O3401" s="49" t="s">
        <v>803</v>
      </c>
      <c r="P3401" s="49" t="s">
        <v>4910</v>
      </c>
      <c r="Q3401" s="35" t="str">
        <f>MID(Tabla1[[#This Row],[Aplicación]],14,1)</f>
        <v>2</v>
      </c>
      <c r="R3401" s="35" t="s">
        <v>495</v>
      </c>
      <c r="S3401" s="35" t="str">
        <f>MID(Tabla1[[#This Row],[Aplicación]],6,2)</f>
        <v>10</v>
      </c>
      <c r="T3401" s="35" t="str">
        <f>VLOOKUP(Tabla1[[#This Row],[AREA]],Hoja1!A:B,2,FALSE)</f>
        <v>10. Servicios sociales y mediación comunitaria</v>
      </c>
      <c r="U3401" s="35" t="str">
        <f>MID(Tabla1[[#This Row],[Aplicación]],9,4)</f>
        <v>2412</v>
      </c>
      <c r="V3401" s="35" t="str">
        <f>VLOOKUP(Tabla1[[#This Row],[PROGRAMA]],Hoja1!A:B,2,FALSE)</f>
        <v>2412. Formación para el empleo</v>
      </c>
      <c r="W3401" s="35" t="str">
        <f>MID(Tabla1[[#This Row],[Aplicación]],14,2)</f>
        <v>21</v>
      </c>
      <c r="X3401" s="35" t="str">
        <f>MID(Tabla1[[#This Row],[Aplicación]],14,6)</f>
        <v>213</v>
      </c>
    </row>
    <row r="3402" spans="1:24" x14ac:dyDescent="0.25">
      <c r="A3402" s="45">
        <v>220210050520</v>
      </c>
      <c r="B3402" s="46" t="s">
        <v>9</v>
      </c>
      <c r="C3402" s="47">
        <v>44440</v>
      </c>
      <c r="D3402" s="45">
        <v>22021000639</v>
      </c>
      <c r="E3402" s="46" t="s">
        <v>983</v>
      </c>
      <c r="F3402" s="48">
        <v>165</v>
      </c>
      <c r="G3402" s="46" t="s">
        <v>68</v>
      </c>
      <c r="H3402" s="46" t="s">
        <v>4952</v>
      </c>
      <c r="I3402" s="45" t="s">
        <v>125</v>
      </c>
      <c r="J3402" s="46" t="s">
        <v>127</v>
      </c>
      <c r="K3402" s="46" t="s">
        <v>127</v>
      </c>
      <c r="L3402" s="46" t="s">
        <v>15</v>
      </c>
      <c r="M3402" s="46" t="s">
        <v>13</v>
      </c>
      <c r="N3402" s="46" t="s">
        <v>14</v>
      </c>
      <c r="O3402" s="49" t="s">
        <v>803</v>
      </c>
      <c r="P3402" s="49" t="s">
        <v>4910</v>
      </c>
      <c r="Q3402" s="35" t="str">
        <f>MID(Tabla1[[#This Row],[Aplicación]],14,1)</f>
        <v>2</v>
      </c>
      <c r="R3402" s="35" t="s">
        <v>495</v>
      </c>
      <c r="S3402" s="35" t="str">
        <f>MID(Tabla1[[#This Row],[Aplicación]],6,2)</f>
        <v>10</v>
      </c>
      <c r="T3402" s="35" t="str">
        <f>VLOOKUP(Tabla1[[#This Row],[AREA]],Hoja1!A:B,2,FALSE)</f>
        <v>10. Servicios sociales y mediación comunitaria</v>
      </c>
      <c r="U3402" s="35" t="str">
        <f>MID(Tabla1[[#This Row],[Aplicación]],9,4)</f>
        <v>2412</v>
      </c>
      <c r="V3402" s="35" t="str">
        <f>VLOOKUP(Tabla1[[#This Row],[PROGRAMA]],Hoja1!A:B,2,FALSE)</f>
        <v>2412. Formación para el empleo</v>
      </c>
      <c r="W3402" s="35" t="str">
        <f>MID(Tabla1[[#This Row],[Aplicación]],14,2)</f>
        <v>21</v>
      </c>
      <c r="X3402" s="35" t="str">
        <f>MID(Tabla1[[#This Row],[Aplicación]],14,6)</f>
        <v>213</v>
      </c>
    </row>
    <row r="3403" spans="1:24" x14ac:dyDescent="0.25">
      <c r="A3403" s="45">
        <v>220210050519</v>
      </c>
      <c r="B3403" s="46" t="s">
        <v>501</v>
      </c>
      <c r="C3403" s="47">
        <v>44440</v>
      </c>
      <c r="D3403" s="45">
        <v>22021000640</v>
      </c>
      <c r="E3403" s="46" t="s">
        <v>983</v>
      </c>
      <c r="F3403" s="48">
        <v>-433.75</v>
      </c>
      <c r="G3403" s="46" t="s">
        <v>68</v>
      </c>
      <c r="H3403" s="46" t="s">
        <v>1151</v>
      </c>
      <c r="I3403" s="45" t="s">
        <v>125</v>
      </c>
      <c r="J3403" s="46" t="s">
        <v>127</v>
      </c>
      <c r="K3403" s="46" t="s">
        <v>127</v>
      </c>
      <c r="L3403" s="46" t="s">
        <v>15</v>
      </c>
      <c r="M3403" s="46" t="s">
        <v>13</v>
      </c>
      <c r="N3403" s="46" t="s">
        <v>14</v>
      </c>
      <c r="O3403" s="49" t="s">
        <v>803</v>
      </c>
      <c r="P3403" s="49" t="s">
        <v>4910</v>
      </c>
      <c r="Q3403" s="35" t="str">
        <f>MID(Tabla1[[#This Row],[Aplicación]],14,1)</f>
        <v>2</v>
      </c>
      <c r="R3403" s="35" t="s">
        <v>495</v>
      </c>
      <c r="S3403" s="35" t="str">
        <f>MID(Tabla1[[#This Row],[Aplicación]],6,2)</f>
        <v>10</v>
      </c>
      <c r="T3403" s="35" t="str">
        <f>VLOOKUP(Tabla1[[#This Row],[AREA]],Hoja1!A:B,2,FALSE)</f>
        <v>10. Servicios sociales y mediación comunitaria</v>
      </c>
      <c r="U3403" s="35" t="str">
        <f>MID(Tabla1[[#This Row],[Aplicación]],9,4)</f>
        <v>2412</v>
      </c>
      <c r="V3403" s="35" t="str">
        <f>VLOOKUP(Tabla1[[#This Row],[PROGRAMA]],Hoja1!A:B,2,FALSE)</f>
        <v>2412. Formación para el empleo</v>
      </c>
      <c r="W3403" s="35" t="str">
        <f>MID(Tabla1[[#This Row],[Aplicación]],14,2)</f>
        <v>21</v>
      </c>
      <c r="X3403" s="35" t="str">
        <f>MID(Tabla1[[#This Row],[Aplicación]],14,6)</f>
        <v>213</v>
      </c>
    </row>
    <row r="3404" spans="1:24" x14ac:dyDescent="0.25">
      <c r="A3404" s="45">
        <v>220210050519</v>
      </c>
      <c r="B3404" s="46" t="s">
        <v>501</v>
      </c>
      <c r="C3404" s="47">
        <v>44440</v>
      </c>
      <c r="D3404" s="45">
        <v>22021000642</v>
      </c>
      <c r="E3404" s="46" t="s">
        <v>983</v>
      </c>
      <c r="F3404" s="48">
        <v>-485.01</v>
      </c>
      <c r="G3404" s="46" t="s">
        <v>68</v>
      </c>
      <c r="H3404" s="46" t="s">
        <v>1151</v>
      </c>
      <c r="I3404" s="45" t="s">
        <v>125</v>
      </c>
      <c r="J3404" s="46" t="s">
        <v>127</v>
      </c>
      <c r="K3404" s="46" t="s">
        <v>127</v>
      </c>
      <c r="L3404" s="46" t="s">
        <v>15</v>
      </c>
      <c r="M3404" s="46" t="s">
        <v>13</v>
      </c>
      <c r="N3404" s="46" t="s">
        <v>14</v>
      </c>
      <c r="O3404" s="49" t="s">
        <v>803</v>
      </c>
      <c r="P3404" s="49" t="s">
        <v>4910</v>
      </c>
      <c r="Q3404" s="35" t="str">
        <f>MID(Tabla1[[#This Row],[Aplicación]],14,1)</f>
        <v>2</v>
      </c>
      <c r="R3404" s="35" t="s">
        <v>495</v>
      </c>
      <c r="S3404" s="35" t="str">
        <f>MID(Tabla1[[#This Row],[Aplicación]],6,2)</f>
        <v>10</v>
      </c>
      <c r="T3404" s="35" t="str">
        <f>VLOOKUP(Tabla1[[#This Row],[AREA]],Hoja1!A:B,2,FALSE)</f>
        <v>10. Servicios sociales y mediación comunitaria</v>
      </c>
      <c r="U3404" s="35" t="str">
        <f>MID(Tabla1[[#This Row],[Aplicación]],9,4)</f>
        <v>2412</v>
      </c>
      <c r="V3404" s="35" t="str">
        <f>VLOOKUP(Tabla1[[#This Row],[PROGRAMA]],Hoja1!A:B,2,FALSE)</f>
        <v>2412. Formación para el empleo</v>
      </c>
      <c r="W3404" s="35" t="str">
        <f>MID(Tabla1[[#This Row],[Aplicación]],14,2)</f>
        <v>21</v>
      </c>
      <c r="X3404" s="35" t="str">
        <f>MID(Tabla1[[#This Row],[Aplicación]],14,6)</f>
        <v>213</v>
      </c>
    </row>
    <row r="3405" spans="1:24" x14ac:dyDescent="0.25">
      <c r="A3405" s="45">
        <v>220210050519</v>
      </c>
      <c r="B3405" s="46" t="s">
        <v>501</v>
      </c>
      <c r="C3405" s="47">
        <v>44440</v>
      </c>
      <c r="D3405" s="45">
        <v>22021000641</v>
      </c>
      <c r="E3405" s="46" t="s">
        <v>983</v>
      </c>
      <c r="F3405" s="48">
        <v>-1165.25</v>
      </c>
      <c r="G3405" s="46" t="s">
        <v>68</v>
      </c>
      <c r="H3405" s="46" t="s">
        <v>1151</v>
      </c>
      <c r="I3405" s="45" t="s">
        <v>125</v>
      </c>
      <c r="J3405" s="46" t="s">
        <v>127</v>
      </c>
      <c r="K3405" s="46" t="s">
        <v>127</v>
      </c>
      <c r="L3405" s="46" t="s">
        <v>15</v>
      </c>
      <c r="M3405" s="46" t="s">
        <v>13</v>
      </c>
      <c r="N3405" s="46" t="s">
        <v>14</v>
      </c>
      <c r="O3405" s="49" t="s">
        <v>803</v>
      </c>
      <c r="P3405" s="49" t="s">
        <v>4910</v>
      </c>
      <c r="Q3405" s="35" t="str">
        <f>MID(Tabla1[[#This Row],[Aplicación]],14,1)</f>
        <v>2</v>
      </c>
      <c r="R3405" s="35" t="s">
        <v>495</v>
      </c>
      <c r="S3405" s="35" t="str">
        <f>MID(Tabla1[[#This Row],[Aplicación]],6,2)</f>
        <v>10</v>
      </c>
      <c r="T3405" s="35" t="str">
        <f>VLOOKUP(Tabla1[[#This Row],[AREA]],Hoja1!A:B,2,FALSE)</f>
        <v>10. Servicios sociales y mediación comunitaria</v>
      </c>
      <c r="U3405" s="35" t="str">
        <f>MID(Tabla1[[#This Row],[Aplicación]],9,4)</f>
        <v>2412</v>
      </c>
      <c r="V3405" s="35" t="str">
        <f>VLOOKUP(Tabla1[[#This Row],[PROGRAMA]],Hoja1!A:B,2,FALSE)</f>
        <v>2412. Formación para el empleo</v>
      </c>
      <c r="W3405" s="35" t="str">
        <f>MID(Tabla1[[#This Row],[Aplicación]],14,2)</f>
        <v>21</v>
      </c>
      <c r="X3405" s="35" t="str">
        <f>MID(Tabla1[[#This Row],[Aplicación]],14,6)</f>
        <v>213</v>
      </c>
    </row>
    <row r="3406" spans="1:24" x14ac:dyDescent="0.25">
      <c r="A3406" s="45">
        <v>220210036185</v>
      </c>
      <c r="B3406" s="46" t="s">
        <v>9</v>
      </c>
      <c r="C3406" s="47">
        <v>44383</v>
      </c>
      <c r="D3406" s="45">
        <v>22021005317</v>
      </c>
      <c r="E3406" s="46" t="s">
        <v>1167</v>
      </c>
      <c r="F3406" s="48">
        <v>995.21</v>
      </c>
      <c r="G3406" s="46" t="s">
        <v>1168</v>
      </c>
      <c r="H3406" s="46" t="s">
        <v>4953</v>
      </c>
      <c r="I3406" s="45" t="s">
        <v>125</v>
      </c>
      <c r="J3406" s="46" t="s">
        <v>127</v>
      </c>
      <c r="K3406" s="46" t="s">
        <v>127</v>
      </c>
      <c r="L3406" s="46" t="s">
        <v>12</v>
      </c>
      <c r="M3406" s="46" t="s">
        <v>13</v>
      </c>
      <c r="N3406" s="46" t="s">
        <v>14</v>
      </c>
      <c r="O3406" s="49" t="s">
        <v>814</v>
      </c>
      <c r="P3406" s="49" t="s">
        <v>4910</v>
      </c>
      <c r="Q3406" s="35" t="str">
        <f>MID(Tabla1[[#This Row],[Aplicación]],14,1)</f>
        <v>2</v>
      </c>
      <c r="R3406" s="35" t="s">
        <v>495</v>
      </c>
      <c r="S3406" s="35" t="str">
        <f>MID(Tabla1[[#This Row],[Aplicación]],6,2)</f>
        <v>11</v>
      </c>
      <c r="T3406" s="35" t="str">
        <f>VLOOKUP(Tabla1[[#This Row],[AREA]],Hoja1!A:B,2,FALSE)</f>
        <v>11. Salud pública y seguridad ciudadana</v>
      </c>
      <c r="U3406" s="35" t="str">
        <f>MID(Tabla1[[#This Row],[Aplicación]],9,4)</f>
        <v>1321</v>
      </c>
      <c r="V3406" s="35" t="str">
        <f>VLOOKUP(Tabla1[[#This Row],[PROGRAMA]],Hoja1!A:B,2,FALSE)</f>
        <v>1321. Policía municipal</v>
      </c>
      <c r="W3406" s="35" t="str">
        <f>MID(Tabla1[[#This Row],[Aplicación]],14,2)</f>
        <v>21</v>
      </c>
      <c r="X3406" s="35" t="str">
        <f>MID(Tabla1[[#This Row],[Aplicación]],14,6)</f>
        <v>214</v>
      </c>
    </row>
    <row r="3407" spans="1:24" x14ac:dyDescent="0.25">
      <c r="A3407" s="45">
        <v>220210050083</v>
      </c>
      <c r="B3407" s="46" t="s">
        <v>204</v>
      </c>
      <c r="C3407" s="47">
        <v>44435</v>
      </c>
      <c r="D3407" s="45">
        <v>22021005946</v>
      </c>
      <c r="E3407" s="46" t="s">
        <v>1167</v>
      </c>
      <c r="F3407" s="48">
        <v>545.82000000000005</v>
      </c>
      <c r="G3407" s="46" t="s">
        <v>1168</v>
      </c>
      <c r="H3407" s="46" t="s">
        <v>4954</v>
      </c>
      <c r="I3407" s="45" t="s">
        <v>205</v>
      </c>
      <c r="J3407" s="46" t="s">
        <v>127</v>
      </c>
      <c r="K3407" s="46" t="s">
        <v>127</v>
      </c>
      <c r="L3407" s="46" t="s">
        <v>12</v>
      </c>
      <c r="M3407" s="46" t="s">
        <v>13</v>
      </c>
      <c r="N3407" s="46" t="s">
        <v>14</v>
      </c>
      <c r="O3407" s="49" t="s">
        <v>814</v>
      </c>
      <c r="P3407" s="49" t="s">
        <v>4910</v>
      </c>
      <c r="Q3407" s="35" t="str">
        <f>MID(Tabla1[[#This Row],[Aplicación]],14,1)</f>
        <v>2</v>
      </c>
      <c r="R3407" s="35" t="s">
        <v>495</v>
      </c>
      <c r="S3407" s="35" t="str">
        <f>MID(Tabla1[[#This Row],[Aplicación]],6,2)</f>
        <v>11</v>
      </c>
      <c r="T3407" s="35" t="str">
        <f>VLOOKUP(Tabla1[[#This Row],[AREA]],Hoja1!A:B,2,FALSE)</f>
        <v>11. Salud pública y seguridad ciudadana</v>
      </c>
      <c r="U3407" s="35" t="str">
        <f>MID(Tabla1[[#This Row],[Aplicación]],9,4)</f>
        <v>1321</v>
      </c>
      <c r="V3407" s="35" t="str">
        <f>VLOOKUP(Tabla1[[#This Row],[PROGRAMA]],Hoja1!A:B,2,FALSE)</f>
        <v>1321. Policía municipal</v>
      </c>
      <c r="W3407" s="35" t="str">
        <f>MID(Tabla1[[#This Row],[Aplicación]],14,2)</f>
        <v>21</v>
      </c>
      <c r="X3407" s="35" t="str">
        <f>MID(Tabla1[[#This Row],[Aplicación]],14,6)</f>
        <v>214</v>
      </c>
    </row>
    <row r="3408" spans="1:24" x14ac:dyDescent="0.25">
      <c r="A3408" s="45">
        <v>220210050954</v>
      </c>
      <c r="B3408" s="46" t="s">
        <v>9</v>
      </c>
      <c r="C3408" s="47">
        <v>44446</v>
      </c>
      <c r="D3408" s="45">
        <v>22021006408</v>
      </c>
      <c r="E3408" s="46" t="s">
        <v>823</v>
      </c>
      <c r="F3408" s="48">
        <v>600</v>
      </c>
      <c r="G3408" s="46" t="s">
        <v>4955</v>
      </c>
      <c r="H3408" s="46" t="s">
        <v>4956</v>
      </c>
      <c r="I3408" s="45" t="s">
        <v>125</v>
      </c>
      <c r="J3408" s="46" t="s">
        <v>127</v>
      </c>
      <c r="K3408" s="46" t="s">
        <v>127</v>
      </c>
      <c r="L3408" s="46" t="s">
        <v>12</v>
      </c>
      <c r="M3408" s="46" t="s">
        <v>10</v>
      </c>
      <c r="N3408" s="46" t="s">
        <v>11</v>
      </c>
      <c r="O3408" s="49" t="s">
        <v>815</v>
      </c>
      <c r="P3408" s="49" t="s">
        <v>4910</v>
      </c>
      <c r="Q3408" s="35" t="str">
        <f>MID(Tabla1[[#This Row],[Aplicación]],14,1)</f>
        <v>2</v>
      </c>
      <c r="R3408" s="35" t="s">
        <v>495</v>
      </c>
      <c r="S3408" s="35" t="str">
        <f>MID(Tabla1[[#This Row],[Aplicación]],6,2)</f>
        <v>03</v>
      </c>
      <c r="T3408" s="35" t="str">
        <f>VLOOKUP(Tabla1[[#This Row],[AREA]],Hoja1!A:B,2,FALSE)</f>
        <v>03. Participación ciudadana y deportes</v>
      </c>
      <c r="U3408" s="35" t="str">
        <f>MID(Tabla1[[#This Row],[Aplicación]],9,4)</f>
        <v>9241</v>
      </c>
      <c r="V3408" s="35" t="str">
        <f>VLOOKUP(Tabla1[[#This Row],[PROGRAMA]],Hoja1!A:B,2,FALSE)</f>
        <v>9241. Participación ciudadana</v>
      </c>
      <c r="W3408" s="35" t="str">
        <f>MID(Tabla1[[#This Row],[Aplicación]],14,2)</f>
        <v>22</v>
      </c>
      <c r="X3408" s="35" t="str">
        <f>MID(Tabla1[[#This Row],[Aplicación]],14,6)</f>
        <v>22609</v>
      </c>
    </row>
    <row r="3409" spans="1:24" x14ac:dyDescent="0.25">
      <c r="A3409" s="45">
        <v>220210056283</v>
      </c>
      <c r="B3409" s="46" t="s">
        <v>204</v>
      </c>
      <c r="C3409" s="47">
        <v>44454</v>
      </c>
      <c r="D3409" s="45">
        <v>22021003520</v>
      </c>
      <c r="E3409" s="46" t="s">
        <v>876</v>
      </c>
      <c r="F3409" s="48">
        <v>44165</v>
      </c>
      <c r="G3409" s="46" t="s">
        <v>3235</v>
      </c>
      <c r="H3409" s="46" t="s">
        <v>4957</v>
      </c>
      <c r="I3409" s="45" t="s">
        <v>205</v>
      </c>
      <c r="J3409" s="46" t="s">
        <v>3237</v>
      </c>
      <c r="K3409" s="46" t="s">
        <v>3238</v>
      </c>
      <c r="L3409" s="46" t="s">
        <v>15</v>
      </c>
      <c r="M3409" s="46" t="s">
        <v>13</v>
      </c>
      <c r="N3409" s="46" t="s">
        <v>14</v>
      </c>
      <c r="O3409" s="49" t="s">
        <v>803</v>
      </c>
      <c r="P3409" s="49" t="s">
        <v>4910</v>
      </c>
      <c r="Q3409" s="35" t="str">
        <f>MID(Tabla1[[#This Row],[Aplicación]],14,1)</f>
        <v>2</v>
      </c>
      <c r="R3409" s="35" t="s">
        <v>495</v>
      </c>
      <c r="S3409" s="35" t="str">
        <f>MID(Tabla1[[#This Row],[Aplicación]],6,2)</f>
        <v>11</v>
      </c>
      <c r="T3409" s="35" t="str">
        <f>VLOOKUP(Tabla1[[#This Row],[AREA]],Hoja1!A:B,2,FALSE)</f>
        <v>11. Salud pública y seguridad ciudadana</v>
      </c>
      <c r="U3409" s="35" t="str">
        <f>MID(Tabla1[[#This Row],[Aplicación]],9,4)</f>
        <v>1631</v>
      </c>
      <c r="V3409" s="35" t="str">
        <f>VLOOKUP(Tabla1[[#This Row],[PROGRAMA]],Hoja1!A:B,2,FALSE)</f>
        <v>1631. Limpieza viaria</v>
      </c>
      <c r="W3409" s="35" t="str">
        <f>MID(Tabla1[[#This Row],[Aplicación]],14,2)</f>
        <v>22</v>
      </c>
      <c r="X3409" s="35" t="str">
        <f>MID(Tabla1[[#This Row],[Aplicación]],14,6)</f>
        <v>22110</v>
      </c>
    </row>
    <row r="3410" spans="1:24" x14ac:dyDescent="0.25">
      <c r="A3410" s="45">
        <v>220210056320</v>
      </c>
      <c r="B3410" s="46" t="s">
        <v>9</v>
      </c>
      <c r="C3410" s="47">
        <v>44454</v>
      </c>
      <c r="D3410" s="45">
        <v>22021005190</v>
      </c>
      <c r="E3410" s="46" t="s">
        <v>1196</v>
      </c>
      <c r="F3410" s="48">
        <v>229166.68</v>
      </c>
      <c r="G3410" s="46" t="s">
        <v>222</v>
      </c>
      <c r="H3410" s="46" t="s">
        <v>4958</v>
      </c>
      <c r="I3410" s="45" t="s">
        <v>125</v>
      </c>
      <c r="J3410" s="46" t="s">
        <v>127</v>
      </c>
      <c r="K3410" s="46" t="s">
        <v>127</v>
      </c>
      <c r="L3410" s="46" t="s">
        <v>12</v>
      </c>
      <c r="M3410" s="46" t="s">
        <v>13</v>
      </c>
      <c r="N3410" s="46" t="s">
        <v>14</v>
      </c>
      <c r="O3410" s="49" t="s">
        <v>803</v>
      </c>
      <c r="P3410" s="49" t="s">
        <v>4910</v>
      </c>
      <c r="Q3410" s="35" t="str">
        <f>MID(Tabla1[[#This Row],[Aplicación]],14,1)</f>
        <v>6</v>
      </c>
      <c r="R3410" s="35" t="s">
        <v>496</v>
      </c>
      <c r="S3410" s="35" t="str">
        <f>MID(Tabla1[[#This Row],[Aplicación]],6,2)</f>
        <v>08</v>
      </c>
      <c r="T3410" s="35" t="str">
        <f>VLOOKUP(Tabla1[[#This Row],[AREA]],Hoja1!A:B,2,FALSE)</f>
        <v>08. Movilidad y espacio urbano</v>
      </c>
      <c r="U3410" s="35" t="str">
        <f>MID(Tabla1[[#This Row],[Aplicación]],9,4)</f>
        <v>1341</v>
      </c>
      <c r="V3410" s="35" t="str">
        <f>VLOOKUP(Tabla1[[#This Row],[PROGRAMA]],Hoja1!A:B,2,FALSE)</f>
        <v>1341. Movilidad</v>
      </c>
      <c r="W3410" s="35" t="str">
        <f>MID(Tabla1[[#This Row],[Aplicación]],14,2)</f>
        <v>61</v>
      </c>
      <c r="X3410" s="35" t="str">
        <f>MID(Tabla1[[#This Row],[Aplicación]],14,6)</f>
        <v>619</v>
      </c>
    </row>
    <row r="3411" spans="1:24" x14ac:dyDescent="0.25">
      <c r="A3411" s="45">
        <v>220210050705</v>
      </c>
      <c r="B3411" s="46" t="s">
        <v>204</v>
      </c>
      <c r="C3411" s="47">
        <v>44441</v>
      </c>
      <c r="D3411" s="45">
        <v>22021003216</v>
      </c>
      <c r="E3411" s="46" t="s">
        <v>1226</v>
      </c>
      <c r="F3411" s="48">
        <v>40250</v>
      </c>
      <c r="G3411" s="46" t="s">
        <v>49</v>
      </c>
      <c r="H3411" s="46" t="s">
        <v>4959</v>
      </c>
      <c r="I3411" s="45" t="s">
        <v>205</v>
      </c>
      <c r="J3411" s="46" t="s">
        <v>127</v>
      </c>
      <c r="K3411" s="46" t="s">
        <v>127</v>
      </c>
      <c r="L3411" s="46" t="s">
        <v>12</v>
      </c>
      <c r="M3411" s="46" t="s">
        <v>13</v>
      </c>
      <c r="N3411" s="46" t="s">
        <v>14</v>
      </c>
      <c r="O3411" s="49" t="s">
        <v>803</v>
      </c>
      <c r="P3411" s="49" t="s">
        <v>4910</v>
      </c>
      <c r="Q3411" s="35" t="str">
        <f>MID(Tabla1[[#This Row],[Aplicación]],14,1)</f>
        <v>2</v>
      </c>
      <c r="R3411" s="35" t="s">
        <v>495</v>
      </c>
      <c r="S3411" s="35" t="str">
        <f>MID(Tabla1[[#This Row],[Aplicación]],6,2)</f>
        <v>01</v>
      </c>
      <c r="T3411" s="35" t="str">
        <f>VLOOKUP(Tabla1[[#This Row],[AREA]],Hoja1!A:B,2,FALSE)</f>
        <v>01. Alcaldía</v>
      </c>
      <c r="U3411" s="35" t="str">
        <f>MID(Tabla1[[#This Row],[Aplicación]],9,4)</f>
        <v>9206</v>
      </c>
      <c r="V3411" s="35" t="str">
        <f>VLOOKUP(Tabla1[[#This Row],[PROGRAMA]],Hoja1!A:B,2,FALSE)</f>
        <v>9206. Archivo municipal</v>
      </c>
      <c r="W3411" s="35" t="str">
        <f>MID(Tabla1[[#This Row],[Aplicación]],14,2)</f>
        <v>22</v>
      </c>
      <c r="X3411" s="35" t="str">
        <f>MID(Tabla1[[#This Row],[Aplicación]],14,6)</f>
        <v>22706</v>
      </c>
    </row>
    <row r="3412" spans="1:24" x14ac:dyDescent="0.25">
      <c r="A3412" s="45">
        <v>220210048395</v>
      </c>
      <c r="B3412" s="46" t="s">
        <v>204</v>
      </c>
      <c r="C3412" s="47">
        <v>44426</v>
      </c>
      <c r="D3412" s="45">
        <v>22021003197</v>
      </c>
      <c r="E3412" s="46" t="s">
        <v>1474</v>
      </c>
      <c r="F3412" s="48">
        <v>32020.79</v>
      </c>
      <c r="G3412" s="46" t="s">
        <v>230</v>
      </c>
      <c r="H3412" s="46" t="s">
        <v>4960</v>
      </c>
      <c r="I3412" s="45" t="s">
        <v>205</v>
      </c>
      <c r="J3412" s="46" t="s">
        <v>127</v>
      </c>
      <c r="K3412" s="46" t="s">
        <v>127</v>
      </c>
      <c r="L3412" s="46" t="s">
        <v>12</v>
      </c>
      <c r="M3412" s="46" t="s">
        <v>13</v>
      </c>
      <c r="N3412" s="46" t="s">
        <v>14</v>
      </c>
      <c r="O3412" s="49" t="s">
        <v>803</v>
      </c>
      <c r="P3412" s="49" t="s">
        <v>4910</v>
      </c>
      <c r="Q3412" s="35" t="str">
        <f>MID(Tabla1[[#This Row],[Aplicación]],14,1)</f>
        <v>6</v>
      </c>
      <c r="R3412" s="35" t="s">
        <v>496</v>
      </c>
      <c r="S3412" s="35" t="str">
        <f>MID(Tabla1[[#This Row],[Aplicación]],6,2)</f>
        <v>08</v>
      </c>
      <c r="T3412" s="35" t="str">
        <f>VLOOKUP(Tabla1[[#This Row],[AREA]],Hoja1!A:B,2,FALSE)</f>
        <v>08. Movilidad y espacio urbano</v>
      </c>
      <c r="U3412" s="35" t="str">
        <f>MID(Tabla1[[#This Row],[Aplicación]],9,4)</f>
        <v>1651</v>
      </c>
      <c r="V3412" s="35" t="str">
        <f>VLOOKUP(Tabla1[[#This Row],[PROGRAMA]],Hoja1!A:B,2,FALSE)</f>
        <v>1651. Alumbrado público</v>
      </c>
      <c r="W3412" s="35" t="str">
        <f>MID(Tabla1[[#This Row],[Aplicación]],14,2)</f>
        <v>61</v>
      </c>
      <c r="X3412" s="35" t="str">
        <f>MID(Tabla1[[#This Row],[Aplicación]],14,6)</f>
        <v>619</v>
      </c>
    </row>
    <row r="3413" spans="1:24" x14ac:dyDescent="0.25">
      <c r="A3413" s="45">
        <v>220210036478</v>
      </c>
      <c r="B3413" s="46" t="s">
        <v>9</v>
      </c>
      <c r="C3413" s="47">
        <v>44384</v>
      </c>
      <c r="D3413" s="45">
        <v>22021004392</v>
      </c>
      <c r="E3413" s="46" t="s">
        <v>1203</v>
      </c>
      <c r="F3413" s="48">
        <v>8703.68</v>
      </c>
      <c r="G3413" s="46" t="s">
        <v>1204</v>
      </c>
      <c r="H3413" s="46" t="s">
        <v>4961</v>
      </c>
      <c r="I3413" s="45" t="s">
        <v>125</v>
      </c>
      <c r="J3413" s="46" t="s">
        <v>127</v>
      </c>
      <c r="K3413" s="46" t="s">
        <v>127</v>
      </c>
      <c r="L3413" s="46" t="s">
        <v>15</v>
      </c>
      <c r="M3413" s="46" t="s">
        <v>13</v>
      </c>
      <c r="N3413" s="46" t="s">
        <v>14</v>
      </c>
      <c r="O3413" s="49" t="s">
        <v>803</v>
      </c>
      <c r="P3413" s="49" t="s">
        <v>4910</v>
      </c>
      <c r="Q3413" s="35" t="str">
        <f>MID(Tabla1[[#This Row],[Aplicación]],14,1)</f>
        <v>2</v>
      </c>
      <c r="R3413" s="35" t="s">
        <v>495</v>
      </c>
      <c r="S3413" s="35" t="str">
        <f>MID(Tabla1[[#This Row],[Aplicación]],6,2)</f>
        <v>01</v>
      </c>
      <c r="T3413" s="35" t="str">
        <f>VLOOKUP(Tabla1[[#This Row],[AREA]],Hoja1!A:B,2,FALSE)</f>
        <v>01. Alcaldía</v>
      </c>
      <c r="U3413" s="35" t="str">
        <f>MID(Tabla1[[#This Row],[Aplicación]],9,4)</f>
        <v>9203</v>
      </c>
      <c r="V3413" s="35" t="str">
        <f>VLOOKUP(Tabla1[[#This Row],[PROGRAMA]],Hoja1!A:B,2,FALSE)</f>
        <v>9203. Unidad de régimen interior</v>
      </c>
      <c r="W3413" s="35" t="str">
        <f>MID(Tabla1[[#This Row],[Aplicación]],14,2)</f>
        <v>22</v>
      </c>
      <c r="X3413" s="35" t="str">
        <f>MID(Tabla1[[#This Row],[Aplicación]],14,6)</f>
        <v>22000</v>
      </c>
    </row>
    <row r="3414" spans="1:24" x14ac:dyDescent="0.25">
      <c r="A3414" s="45">
        <v>220210050706</v>
      </c>
      <c r="B3414" s="46" t="s">
        <v>204</v>
      </c>
      <c r="C3414" s="47">
        <v>44441</v>
      </c>
      <c r="D3414" s="45">
        <v>22021003740</v>
      </c>
      <c r="E3414" s="46" t="s">
        <v>1483</v>
      </c>
      <c r="F3414" s="48">
        <v>22990</v>
      </c>
      <c r="G3414" s="46" t="s">
        <v>3600</v>
      </c>
      <c r="H3414" s="46" t="s">
        <v>4962</v>
      </c>
      <c r="I3414" s="45" t="s">
        <v>205</v>
      </c>
      <c r="J3414" s="46" t="s">
        <v>127</v>
      </c>
      <c r="K3414" s="46" t="s">
        <v>127</v>
      </c>
      <c r="L3414" s="46" t="s">
        <v>31</v>
      </c>
      <c r="M3414" s="46" t="s">
        <v>13</v>
      </c>
      <c r="N3414" s="46" t="s">
        <v>16</v>
      </c>
      <c r="O3414" s="49" t="s">
        <v>803</v>
      </c>
      <c r="P3414" s="49" t="s">
        <v>4910</v>
      </c>
      <c r="Q3414" s="35" t="str">
        <f>MID(Tabla1[[#This Row],[Aplicación]],14,1)</f>
        <v>6</v>
      </c>
      <c r="R3414" s="35" t="s">
        <v>496</v>
      </c>
      <c r="S3414" s="35" t="str">
        <f>MID(Tabla1[[#This Row],[Aplicación]],6,2)</f>
        <v>03</v>
      </c>
      <c r="T3414" s="35" t="str">
        <f>VLOOKUP(Tabla1[[#This Row],[AREA]],Hoja1!A:B,2,FALSE)</f>
        <v>03. Participación ciudadana y deportes</v>
      </c>
      <c r="U3414" s="35" t="str">
        <f>MID(Tabla1[[#This Row],[Aplicación]],9,4)</f>
        <v>9241</v>
      </c>
      <c r="V3414" s="35" t="str">
        <f>VLOOKUP(Tabla1[[#This Row],[PROGRAMA]],Hoja1!A:B,2,FALSE)</f>
        <v>9241. Participación ciudadana</v>
      </c>
      <c r="W3414" s="35" t="str">
        <f>MID(Tabla1[[#This Row],[Aplicación]],14,2)</f>
        <v>63</v>
      </c>
      <c r="X3414" s="35" t="str">
        <f>MID(Tabla1[[#This Row],[Aplicación]],14,6)</f>
        <v>632</v>
      </c>
    </row>
    <row r="3415" spans="1:24" x14ac:dyDescent="0.25">
      <c r="A3415" s="45">
        <v>220210051000</v>
      </c>
      <c r="B3415" s="46" t="s">
        <v>9</v>
      </c>
      <c r="C3415" s="47">
        <v>44446</v>
      </c>
      <c r="D3415" s="45">
        <v>22021006324</v>
      </c>
      <c r="E3415" s="46" t="s">
        <v>3308</v>
      </c>
      <c r="F3415" s="48">
        <v>19144.099999999999</v>
      </c>
      <c r="G3415" s="46" t="s">
        <v>4963</v>
      </c>
      <c r="H3415" s="46" t="s">
        <v>4964</v>
      </c>
      <c r="I3415" s="45" t="s">
        <v>125</v>
      </c>
      <c r="J3415" s="46" t="s">
        <v>677</v>
      </c>
      <c r="K3415" s="46" t="s">
        <v>127</v>
      </c>
      <c r="L3415" s="46" t="s">
        <v>31</v>
      </c>
      <c r="M3415" s="46" t="s">
        <v>10</v>
      </c>
      <c r="N3415" s="46" t="s">
        <v>11</v>
      </c>
      <c r="O3415" s="49" t="s">
        <v>815</v>
      </c>
      <c r="P3415" s="49" t="s">
        <v>4910</v>
      </c>
      <c r="Q3415" s="35" t="str">
        <f>MID(Tabla1[[#This Row],[Aplicación]],14,1)</f>
        <v>6</v>
      </c>
      <c r="R3415" s="35" t="s">
        <v>496</v>
      </c>
      <c r="S3415" s="35" t="str">
        <f>MID(Tabla1[[#This Row],[Aplicación]],6,2)</f>
        <v>06</v>
      </c>
      <c r="T3415" s="35" t="str">
        <f>VLOOKUP(Tabla1[[#This Row],[AREA]],Hoja1!A:B,2,FALSE)</f>
        <v>06. Educación, infancia, juventud e igualdad</v>
      </c>
      <c r="U3415" s="35" t="str">
        <f>MID(Tabla1[[#This Row],[Aplicación]],9,4)</f>
        <v>3232</v>
      </c>
      <c r="V3415" s="35" t="str">
        <f>VLOOKUP(Tabla1[[#This Row],[PROGRAMA]],Hoja1!A:B,2,FALSE)</f>
        <v>3232. Conservación y mantenimiento centros educación infantil y primaria</v>
      </c>
      <c r="W3415" s="35" t="str">
        <f>MID(Tabla1[[#This Row],[Aplicación]],14,2)</f>
        <v>63</v>
      </c>
      <c r="X3415" s="35" t="str">
        <f>MID(Tabla1[[#This Row],[Aplicación]],14,6)</f>
        <v>632</v>
      </c>
    </row>
    <row r="3416" spans="1:24" x14ac:dyDescent="0.25">
      <c r="A3416" s="45">
        <v>220210050920</v>
      </c>
      <c r="B3416" s="46" t="s">
        <v>204</v>
      </c>
      <c r="C3416" s="47">
        <v>44445</v>
      </c>
      <c r="D3416" s="45">
        <v>22021003897</v>
      </c>
      <c r="E3416" s="46" t="s">
        <v>1487</v>
      </c>
      <c r="F3416" s="48">
        <v>18998.21</v>
      </c>
      <c r="G3416" s="46" t="s">
        <v>2624</v>
      </c>
      <c r="H3416" s="46" t="s">
        <v>4965</v>
      </c>
      <c r="I3416" s="45" t="s">
        <v>205</v>
      </c>
      <c r="J3416" s="46" t="s">
        <v>127</v>
      </c>
      <c r="K3416" s="46" t="s">
        <v>127</v>
      </c>
      <c r="L3416" s="46" t="s">
        <v>12</v>
      </c>
      <c r="M3416" s="46" t="s">
        <v>13</v>
      </c>
      <c r="N3416" s="46" t="s">
        <v>14</v>
      </c>
      <c r="O3416" s="49" t="s">
        <v>803</v>
      </c>
      <c r="P3416" s="49" t="s">
        <v>4910</v>
      </c>
      <c r="Q3416" s="35" t="str">
        <f>MID(Tabla1[[#This Row],[Aplicación]],14,1)</f>
        <v>6</v>
      </c>
      <c r="R3416" s="35" t="s">
        <v>496</v>
      </c>
      <c r="S3416" s="35" t="str">
        <f>MID(Tabla1[[#This Row],[Aplicación]],6,2)</f>
        <v>08</v>
      </c>
      <c r="T3416" s="35" t="str">
        <f>VLOOKUP(Tabla1[[#This Row],[AREA]],Hoja1!A:B,2,FALSE)</f>
        <v>08. Movilidad y espacio urbano</v>
      </c>
      <c r="U3416" s="35" t="str">
        <f>MID(Tabla1[[#This Row],[Aplicación]],9,4)</f>
        <v>1532</v>
      </c>
      <c r="V3416" s="35" t="str">
        <f>VLOOKUP(Tabla1[[#This Row],[PROGRAMA]],Hoja1!A:B,2,FALSE)</f>
        <v>1532. Pavimentación vias públicas y otros servicios urbanísticos</v>
      </c>
      <c r="W3416" s="35" t="str">
        <f>MID(Tabla1[[#This Row],[Aplicación]],14,2)</f>
        <v>61</v>
      </c>
      <c r="X3416" s="35" t="str">
        <f>MID(Tabla1[[#This Row],[Aplicación]],14,6)</f>
        <v>619</v>
      </c>
    </row>
    <row r="3417" spans="1:24" x14ac:dyDescent="0.25">
      <c r="A3417" s="45">
        <v>220210048514</v>
      </c>
      <c r="B3417" s="46" t="s">
        <v>9</v>
      </c>
      <c r="C3417" s="47">
        <v>44428</v>
      </c>
      <c r="D3417" s="45">
        <v>22021005894</v>
      </c>
      <c r="E3417" s="46" t="s">
        <v>3321</v>
      </c>
      <c r="F3417" s="48">
        <v>18089.5</v>
      </c>
      <c r="G3417" s="46" t="s">
        <v>4966</v>
      </c>
      <c r="H3417" s="46" t="s">
        <v>4967</v>
      </c>
      <c r="I3417" s="45" t="s">
        <v>125</v>
      </c>
      <c r="J3417" s="46" t="s">
        <v>180</v>
      </c>
      <c r="K3417" s="46" t="s">
        <v>180</v>
      </c>
      <c r="L3417" s="46" t="s">
        <v>12</v>
      </c>
      <c r="M3417" s="46" t="s">
        <v>10</v>
      </c>
      <c r="N3417" s="46" t="s">
        <v>11</v>
      </c>
      <c r="O3417" s="49" t="s">
        <v>815</v>
      </c>
      <c r="P3417" s="49" t="s">
        <v>4910</v>
      </c>
      <c r="Q3417" s="35" t="str">
        <f>MID(Tabla1[[#This Row],[Aplicación]],14,1)</f>
        <v>2</v>
      </c>
      <c r="R3417" s="35" t="s">
        <v>495</v>
      </c>
      <c r="S3417" s="35" t="str">
        <f>MID(Tabla1[[#This Row],[Aplicación]],6,2)</f>
        <v>02</v>
      </c>
      <c r="T3417" s="35" t="str">
        <f>VLOOKUP(Tabla1[[#This Row],[AREA]],Hoja1!A:B,2,FALSE)</f>
        <v>02. Planeamiento urbanístico y vivienda</v>
      </c>
      <c r="U3417" s="35" t="str">
        <f>MID(Tabla1[[#This Row],[Aplicación]],9,4)</f>
        <v>9332</v>
      </c>
      <c r="V3417" s="35" t="str">
        <f>VLOOKUP(Tabla1[[#This Row],[PROGRAMA]],Hoja1!A:B,2,FALSE)</f>
        <v>9332. Mantenimiento de edificios e instalaciones municipales</v>
      </c>
      <c r="W3417" s="35" t="str">
        <f>MID(Tabla1[[#This Row],[Aplicación]],14,2)</f>
        <v>22</v>
      </c>
      <c r="X3417" s="35" t="str">
        <f>MID(Tabla1[[#This Row],[Aplicación]],14,6)</f>
        <v>22799</v>
      </c>
    </row>
    <row r="3418" spans="1:24" x14ac:dyDescent="0.25">
      <c r="A3418" s="45">
        <v>220210045549</v>
      </c>
      <c r="B3418" s="46" t="s">
        <v>9</v>
      </c>
      <c r="C3418" s="47">
        <v>44414</v>
      </c>
      <c r="D3418" s="45">
        <v>22021005982</v>
      </c>
      <c r="E3418" s="46" t="s">
        <v>886</v>
      </c>
      <c r="F3418" s="48">
        <v>108.9</v>
      </c>
      <c r="G3418" s="46" t="s">
        <v>43</v>
      </c>
      <c r="H3418" s="46" t="s">
        <v>4968</v>
      </c>
      <c r="I3418" s="45" t="s">
        <v>125</v>
      </c>
      <c r="J3418" s="46" t="s">
        <v>127</v>
      </c>
      <c r="K3418" s="46" t="s">
        <v>127</v>
      </c>
      <c r="L3418" s="46" t="s">
        <v>12</v>
      </c>
      <c r="M3418" s="46" t="s">
        <v>10</v>
      </c>
      <c r="N3418" s="46" t="s">
        <v>11</v>
      </c>
      <c r="O3418" s="49" t="s">
        <v>815</v>
      </c>
      <c r="P3418" s="49" t="s">
        <v>4910</v>
      </c>
      <c r="Q3418" s="35" t="str">
        <f>MID(Tabla1[[#This Row],[Aplicación]],14,1)</f>
        <v>2</v>
      </c>
      <c r="R3418" s="35" t="s">
        <v>495</v>
      </c>
      <c r="S3418" s="35" t="str">
        <f>MID(Tabla1[[#This Row],[Aplicación]],6,2)</f>
        <v>10</v>
      </c>
      <c r="T3418" s="35" t="str">
        <f>VLOOKUP(Tabla1[[#This Row],[AREA]],Hoja1!A:B,2,FALSE)</f>
        <v>10. Servicios sociales y mediación comunitaria</v>
      </c>
      <c r="U3418" s="35" t="str">
        <f>MID(Tabla1[[#This Row],[Aplicación]],9,4)</f>
        <v>2311</v>
      </c>
      <c r="V3418" s="35" t="str">
        <f>VLOOKUP(Tabla1[[#This Row],[PROGRAMA]],Hoja1!A:B,2,FALSE)</f>
        <v>2311. Intervención social</v>
      </c>
      <c r="W3418" s="35" t="str">
        <f>MID(Tabla1[[#This Row],[Aplicación]],14,2)</f>
        <v>21</v>
      </c>
      <c r="X3418" s="35" t="str">
        <f>MID(Tabla1[[#This Row],[Aplicación]],14,6)</f>
        <v>213</v>
      </c>
    </row>
    <row r="3419" spans="1:24" x14ac:dyDescent="0.25">
      <c r="A3419" s="45">
        <v>220210047455</v>
      </c>
      <c r="B3419" s="46" t="s">
        <v>9</v>
      </c>
      <c r="C3419" s="47">
        <v>44425</v>
      </c>
      <c r="D3419" s="45">
        <v>22021005433</v>
      </c>
      <c r="E3419" s="46" t="s">
        <v>3387</v>
      </c>
      <c r="F3419" s="48">
        <v>14875.26</v>
      </c>
      <c r="G3419" s="46" t="s">
        <v>3973</v>
      </c>
      <c r="H3419" s="46" t="s">
        <v>4969</v>
      </c>
      <c r="I3419" s="45" t="s">
        <v>125</v>
      </c>
      <c r="J3419" s="46" t="s">
        <v>127</v>
      </c>
      <c r="K3419" s="46" t="s">
        <v>127</v>
      </c>
      <c r="L3419" s="46" t="s">
        <v>12</v>
      </c>
      <c r="M3419" s="46" t="s">
        <v>10</v>
      </c>
      <c r="N3419" s="46" t="s">
        <v>11</v>
      </c>
      <c r="O3419" s="49" t="s">
        <v>815</v>
      </c>
      <c r="P3419" s="49" t="s">
        <v>4910</v>
      </c>
      <c r="Q3419" s="35" t="str">
        <f>MID(Tabla1[[#This Row],[Aplicación]],14,1)</f>
        <v>2</v>
      </c>
      <c r="R3419" s="35" t="s">
        <v>495</v>
      </c>
      <c r="S3419" s="35" t="str">
        <f>MID(Tabla1[[#This Row],[Aplicación]],6,2)</f>
        <v>05</v>
      </c>
      <c r="T3419" s="35" t="str">
        <f>VLOOKUP(Tabla1[[#This Row],[AREA]],Hoja1!A:B,2,FALSE)</f>
        <v>05. Innovación, desarrollo económico, empleo y comercio</v>
      </c>
      <c r="U3419" s="35" t="str">
        <f>MID(Tabla1[[#This Row],[Aplicación]],9,4)</f>
        <v>4315</v>
      </c>
      <c r="V3419" s="35" t="str">
        <f>VLOOKUP(Tabla1[[#This Row],[PROGRAMA]],Hoja1!A:B,2,FALSE)</f>
        <v>4315. Actuaciones en materia de consumo</v>
      </c>
      <c r="W3419" s="35" t="str">
        <f>MID(Tabla1[[#This Row],[Aplicación]],14,2)</f>
        <v>22</v>
      </c>
      <c r="X3419" s="35" t="str">
        <f>MID(Tabla1[[#This Row],[Aplicación]],14,6)</f>
        <v>22799</v>
      </c>
    </row>
    <row r="3420" spans="1:24" x14ac:dyDescent="0.25">
      <c r="A3420" s="45">
        <v>220210036191</v>
      </c>
      <c r="B3420" s="46" t="s">
        <v>9</v>
      </c>
      <c r="C3420" s="47">
        <v>44383</v>
      </c>
      <c r="D3420" s="45">
        <v>22021005029</v>
      </c>
      <c r="E3420" s="46" t="s">
        <v>823</v>
      </c>
      <c r="F3420" s="48">
        <v>495</v>
      </c>
      <c r="G3420" s="46" t="s">
        <v>4970</v>
      </c>
      <c r="H3420" s="46" t="s">
        <v>4971</v>
      </c>
      <c r="I3420" s="45" t="s">
        <v>125</v>
      </c>
      <c r="J3420" s="46" t="s">
        <v>732</v>
      </c>
      <c r="K3420" s="46" t="s">
        <v>127</v>
      </c>
      <c r="L3420" s="46" t="s">
        <v>12</v>
      </c>
      <c r="M3420" s="46" t="s">
        <v>10</v>
      </c>
      <c r="N3420" s="46" t="s">
        <v>11</v>
      </c>
      <c r="O3420" s="49" t="s">
        <v>815</v>
      </c>
      <c r="P3420" s="49" t="s">
        <v>4910</v>
      </c>
      <c r="Q3420" s="35" t="str">
        <f>MID(Tabla1[[#This Row],[Aplicación]],14,1)</f>
        <v>2</v>
      </c>
      <c r="R3420" s="35" t="s">
        <v>495</v>
      </c>
      <c r="S3420" s="35" t="str">
        <f>MID(Tabla1[[#This Row],[Aplicación]],6,2)</f>
        <v>03</v>
      </c>
      <c r="T3420" s="35" t="str">
        <f>VLOOKUP(Tabla1[[#This Row],[AREA]],Hoja1!A:B,2,FALSE)</f>
        <v>03. Participación ciudadana y deportes</v>
      </c>
      <c r="U3420" s="35" t="str">
        <f>MID(Tabla1[[#This Row],[Aplicación]],9,4)</f>
        <v>9241</v>
      </c>
      <c r="V3420" s="35" t="str">
        <f>VLOOKUP(Tabla1[[#This Row],[PROGRAMA]],Hoja1!A:B,2,FALSE)</f>
        <v>9241. Participación ciudadana</v>
      </c>
      <c r="W3420" s="35" t="str">
        <f>MID(Tabla1[[#This Row],[Aplicación]],14,2)</f>
        <v>22</v>
      </c>
      <c r="X3420" s="35" t="str">
        <f>MID(Tabla1[[#This Row],[Aplicación]],14,6)</f>
        <v>22609</v>
      </c>
    </row>
    <row r="3421" spans="1:24" x14ac:dyDescent="0.25">
      <c r="A3421" s="45">
        <v>220210056292</v>
      </c>
      <c r="B3421" s="46" t="s">
        <v>9</v>
      </c>
      <c r="C3421" s="47">
        <v>44454</v>
      </c>
      <c r="D3421" s="45">
        <v>22021006060</v>
      </c>
      <c r="E3421" s="46" t="s">
        <v>1247</v>
      </c>
      <c r="F3421" s="48">
        <v>14101.21</v>
      </c>
      <c r="G3421" s="46" t="s">
        <v>517</v>
      </c>
      <c r="H3421" s="46" t="s">
        <v>4972</v>
      </c>
      <c r="I3421" s="45" t="s">
        <v>125</v>
      </c>
      <c r="J3421" s="46" t="s">
        <v>127</v>
      </c>
      <c r="K3421" s="46" t="s">
        <v>127</v>
      </c>
      <c r="L3421" s="46" t="s">
        <v>12</v>
      </c>
      <c r="M3421" s="46" t="s">
        <v>13</v>
      </c>
      <c r="N3421" s="46" t="s">
        <v>14</v>
      </c>
      <c r="O3421" s="49" t="s">
        <v>803</v>
      </c>
      <c r="P3421" s="49" t="s">
        <v>4910</v>
      </c>
      <c r="Q3421" s="35" t="str">
        <f>MID(Tabla1[[#This Row],[Aplicación]],14,1)</f>
        <v>2</v>
      </c>
      <c r="R3421" s="35" t="s">
        <v>495</v>
      </c>
      <c r="S3421" s="35" t="str">
        <f>MID(Tabla1[[#This Row],[Aplicación]],6,2)</f>
        <v>10</v>
      </c>
      <c r="T3421" s="35" t="str">
        <f>VLOOKUP(Tabla1[[#This Row],[AREA]],Hoja1!A:B,2,FALSE)</f>
        <v>10. Servicios sociales y mediación comunitaria</v>
      </c>
      <c r="U3421" s="35" t="str">
        <f>MID(Tabla1[[#This Row],[Aplicación]],9,4)</f>
        <v>2311</v>
      </c>
      <c r="V3421" s="35" t="str">
        <f>VLOOKUP(Tabla1[[#This Row],[PROGRAMA]],Hoja1!A:B,2,FALSE)</f>
        <v>2311. Intervención social</v>
      </c>
      <c r="W3421" s="35" t="str">
        <f>MID(Tabla1[[#This Row],[Aplicación]],14,2)</f>
        <v>22</v>
      </c>
      <c r="X3421" s="35" t="str">
        <f>MID(Tabla1[[#This Row],[Aplicación]],14,6)</f>
        <v>22799</v>
      </c>
    </row>
    <row r="3422" spans="1:24" x14ac:dyDescent="0.25">
      <c r="A3422" s="45">
        <v>220210039686</v>
      </c>
      <c r="B3422" s="46" t="s">
        <v>9</v>
      </c>
      <c r="C3422" s="47">
        <v>44393</v>
      </c>
      <c r="D3422" s="45">
        <v>22021005729</v>
      </c>
      <c r="E3422" s="46" t="s">
        <v>823</v>
      </c>
      <c r="F3422" s="48">
        <v>4620</v>
      </c>
      <c r="G3422" s="46" t="s">
        <v>3689</v>
      </c>
      <c r="H3422" s="46" t="s">
        <v>4973</v>
      </c>
      <c r="I3422" s="45" t="s">
        <v>125</v>
      </c>
      <c r="J3422" s="46" t="s">
        <v>127</v>
      </c>
      <c r="K3422" s="46" t="s">
        <v>127</v>
      </c>
      <c r="L3422" s="46" t="s">
        <v>12</v>
      </c>
      <c r="M3422" s="46" t="s">
        <v>10</v>
      </c>
      <c r="N3422" s="46" t="s">
        <v>11</v>
      </c>
      <c r="O3422" s="49" t="s">
        <v>815</v>
      </c>
      <c r="P3422" s="49" t="s">
        <v>4910</v>
      </c>
      <c r="Q3422" s="35" t="str">
        <f>MID(Tabla1[[#This Row],[Aplicación]],14,1)</f>
        <v>2</v>
      </c>
      <c r="R3422" s="35" t="s">
        <v>495</v>
      </c>
      <c r="S3422" s="35" t="str">
        <f>MID(Tabla1[[#This Row],[Aplicación]],6,2)</f>
        <v>03</v>
      </c>
      <c r="T3422" s="35" t="str">
        <f>VLOOKUP(Tabla1[[#This Row],[AREA]],Hoja1!A:B,2,FALSE)</f>
        <v>03. Participación ciudadana y deportes</v>
      </c>
      <c r="U3422" s="35" t="str">
        <f>MID(Tabla1[[#This Row],[Aplicación]],9,4)</f>
        <v>9241</v>
      </c>
      <c r="V3422" s="35" t="str">
        <f>VLOOKUP(Tabla1[[#This Row],[PROGRAMA]],Hoja1!A:B,2,FALSE)</f>
        <v>9241. Participación ciudadana</v>
      </c>
      <c r="W3422" s="35" t="str">
        <f>MID(Tabla1[[#This Row],[Aplicación]],14,2)</f>
        <v>22</v>
      </c>
      <c r="X3422" s="35" t="str">
        <f>MID(Tabla1[[#This Row],[Aplicación]],14,6)</f>
        <v>22609</v>
      </c>
    </row>
    <row r="3423" spans="1:24" x14ac:dyDescent="0.25">
      <c r="A3423" s="45">
        <v>220210050928</v>
      </c>
      <c r="B3423" s="46" t="s">
        <v>9</v>
      </c>
      <c r="C3423" s="47">
        <v>44445</v>
      </c>
      <c r="D3423" s="45">
        <v>22021005797</v>
      </c>
      <c r="E3423" s="46" t="s">
        <v>4974</v>
      </c>
      <c r="F3423" s="48">
        <v>13673</v>
      </c>
      <c r="G3423" s="46" t="s">
        <v>4975</v>
      </c>
      <c r="H3423" s="46" t="s">
        <v>4976</v>
      </c>
      <c r="I3423" s="45" t="s">
        <v>125</v>
      </c>
      <c r="J3423" s="46" t="s">
        <v>127</v>
      </c>
      <c r="K3423" s="46" t="s">
        <v>127</v>
      </c>
      <c r="L3423" s="46" t="s">
        <v>12</v>
      </c>
      <c r="M3423" s="46" t="s">
        <v>10</v>
      </c>
      <c r="N3423" s="46" t="s">
        <v>11</v>
      </c>
      <c r="O3423" s="49" t="s">
        <v>815</v>
      </c>
      <c r="P3423" s="49" t="s">
        <v>4910</v>
      </c>
      <c r="Q3423" s="35" t="str">
        <f>MID(Tabla1[[#This Row],[Aplicación]],14,1)</f>
        <v>2</v>
      </c>
      <c r="R3423" s="35" t="s">
        <v>495</v>
      </c>
      <c r="S3423" s="35" t="str">
        <f>MID(Tabla1[[#This Row],[Aplicación]],6,2)</f>
        <v>02</v>
      </c>
      <c r="T3423" s="35" t="str">
        <f>VLOOKUP(Tabla1[[#This Row],[AREA]],Hoja1!A:B,2,FALSE)</f>
        <v>02. Planeamiento urbanístico y vivienda</v>
      </c>
      <c r="U3423" s="35" t="str">
        <f>MID(Tabla1[[#This Row],[Aplicación]],9,4)</f>
        <v>9332</v>
      </c>
      <c r="V3423" s="35" t="str">
        <f>VLOOKUP(Tabla1[[#This Row],[PROGRAMA]],Hoja1!A:B,2,FALSE)</f>
        <v>9332. Mantenimiento de edificios e instalaciones municipales</v>
      </c>
      <c r="W3423" s="35" t="str">
        <f>MID(Tabla1[[#This Row],[Aplicación]],14,2)</f>
        <v>22</v>
      </c>
      <c r="X3423" s="35" t="str">
        <f>MID(Tabla1[[#This Row],[Aplicación]],14,6)</f>
        <v>22706</v>
      </c>
    </row>
    <row r="3424" spans="1:24" x14ac:dyDescent="0.25">
      <c r="A3424" s="45">
        <v>220210050999</v>
      </c>
      <c r="B3424" s="46" t="s">
        <v>9</v>
      </c>
      <c r="C3424" s="47">
        <v>44446</v>
      </c>
      <c r="D3424" s="45">
        <v>22021005980</v>
      </c>
      <c r="E3424" s="46" t="s">
        <v>2720</v>
      </c>
      <c r="F3424" s="48">
        <v>13618.55</v>
      </c>
      <c r="G3424" s="46" t="s">
        <v>561</v>
      </c>
      <c r="H3424" s="46" t="s">
        <v>4977</v>
      </c>
      <c r="I3424" s="45" t="s">
        <v>125</v>
      </c>
      <c r="J3424" s="46" t="s">
        <v>127</v>
      </c>
      <c r="K3424" s="46" t="s">
        <v>127</v>
      </c>
      <c r="L3424" s="46" t="s">
        <v>15</v>
      </c>
      <c r="M3424" s="46" t="s">
        <v>10</v>
      </c>
      <c r="N3424" s="46" t="s">
        <v>11</v>
      </c>
      <c r="O3424" s="49" t="s">
        <v>815</v>
      </c>
      <c r="P3424" s="49" t="s">
        <v>4910</v>
      </c>
      <c r="Q3424" s="35" t="str">
        <f>MID(Tabla1[[#This Row],[Aplicación]],14,1)</f>
        <v>6</v>
      </c>
      <c r="R3424" s="35" t="s">
        <v>496</v>
      </c>
      <c r="S3424" s="35" t="str">
        <f>MID(Tabla1[[#This Row],[Aplicación]],6,2)</f>
        <v>04</v>
      </c>
      <c r="T3424" s="35" t="str">
        <f>VLOOKUP(Tabla1[[#This Row],[AREA]],Hoja1!A:B,2,FALSE)</f>
        <v>04. Planificación y recursos</v>
      </c>
      <c r="U3424" s="35" t="str">
        <f>MID(Tabla1[[#This Row],[Aplicación]],9,4)</f>
        <v>9209</v>
      </c>
      <c r="V3424" s="35" t="str">
        <f>VLOOKUP(Tabla1[[#This Row],[PROGRAMA]],Hoja1!A:B,2,FALSE)</f>
        <v>9209. Dirección del area de hacienda y función pública</v>
      </c>
      <c r="W3424" s="35" t="str">
        <f>MID(Tabla1[[#This Row],[Aplicación]],14,2)</f>
        <v>62</v>
      </c>
      <c r="X3424" s="35" t="str">
        <f>MID(Tabla1[[#This Row],[Aplicación]],14,6)</f>
        <v>625</v>
      </c>
    </row>
    <row r="3425" spans="1:24" x14ac:dyDescent="0.25">
      <c r="A3425" s="45">
        <v>220210050965</v>
      </c>
      <c r="B3425" s="46" t="s">
        <v>204</v>
      </c>
      <c r="C3425" s="47">
        <v>44446</v>
      </c>
      <c r="D3425" s="45">
        <v>22021003653</v>
      </c>
      <c r="E3425" s="46" t="s">
        <v>1550</v>
      </c>
      <c r="F3425" s="48">
        <v>13163.18</v>
      </c>
      <c r="G3425" s="46" t="s">
        <v>4978</v>
      </c>
      <c r="H3425" s="46" t="s">
        <v>4979</v>
      </c>
      <c r="I3425" s="45" t="s">
        <v>205</v>
      </c>
      <c r="J3425" s="46" t="s">
        <v>180</v>
      </c>
      <c r="K3425" s="46" t="s">
        <v>180</v>
      </c>
      <c r="L3425" s="46" t="s">
        <v>12</v>
      </c>
      <c r="M3425" s="46" t="s">
        <v>13</v>
      </c>
      <c r="N3425" s="46" t="s">
        <v>14</v>
      </c>
      <c r="O3425" s="49" t="s">
        <v>803</v>
      </c>
      <c r="P3425" s="49" t="s">
        <v>4910</v>
      </c>
      <c r="Q3425" s="35" t="str">
        <f>MID(Tabla1[[#This Row],[Aplicación]],14,1)</f>
        <v>2</v>
      </c>
      <c r="R3425" s="35" t="s">
        <v>495</v>
      </c>
      <c r="S3425" s="35" t="str">
        <f>MID(Tabla1[[#This Row],[Aplicación]],6,2)</f>
        <v>06</v>
      </c>
      <c r="T3425" s="35" t="str">
        <f>VLOOKUP(Tabla1[[#This Row],[AREA]],Hoja1!A:B,2,FALSE)</f>
        <v>06. Educación, infancia, juventud e igualdad</v>
      </c>
      <c r="U3425" s="35" t="str">
        <f>MID(Tabla1[[#This Row],[Aplicación]],9,4)</f>
        <v>2315</v>
      </c>
      <c r="V3425" s="35" t="str">
        <f>VLOOKUP(Tabla1[[#This Row],[PROGRAMA]],Hoja1!A:B,2,FALSE)</f>
        <v>2315. Políticas de Igualdad e infancia</v>
      </c>
      <c r="W3425" s="35" t="str">
        <f>MID(Tabla1[[#This Row],[Aplicación]],14,2)</f>
        <v>22</v>
      </c>
      <c r="X3425" s="35" t="str">
        <f>MID(Tabla1[[#This Row],[Aplicación]],14,6)</f>
        <v>22799</v>
      </c>
    </row>
    <row r="3426" spans="1:24" x14ac:dyDescent="0.25">
      <c r="A3426" s="45">
        <v>220210049412</v>
      </c>
      <c r="B3426" s="46" t="s">
        <v>9</v>
      </c>
      <c r="C3426" s="47">
        <v>44432</v>
      </c>
      <c r="D3426" s="45">
        <v>22021006048</v>
      </c>
      <c r="E3426" s="46" t="s">
        <v>2323</v>
      </c>
      <c r="F3426" s="48">
        <v>13068</v>
      </c>
      <c r="G3426" s="46" t="s">
        <v>2875</v>
      </c>
      <c r="H3426" s="46" t="s">
        <v>4980</v>
      </c>
      <c r="I3426" s="45" t="s">
        <v>125</v>
      </c>
      <c r="J3426" s="46" t="s">
        <v>617</v>
      </c>
      <c r="K3426" s="46" t="s">
        <v>157</v>
      </c>
      <c r="L3426" s="46" t="s">
        <v>12</v>
      </c>
      <c r="M3426" s="46" t="s">
        <v>10</v>
      </c>
      <c r="N3426" s="46" t="s">
        <v>11</v>
      </c>
      <c r="O3426" s="49" t="s">
        <v>815</v>
      </c>
      <c r="P3426" s="49" t="s">
        <v>4910</v>
      </c>
      <c r="Q3426" s="35" t="str">
        <f>MID(Tabla1[[#This Row],[Aplicación]],14,1)</f>
        <v>2</v>
      </c>
      <c r="R3426" s="35" t="s">
        <v>495</v>
      </c>
      <c r="S3426" s="35" t="str">
        <f>MID(Tabla1[[#This Row],[Aplicación]],6,2)</f>
        <v>07</v>
      </c>
      <c r="T3426" s="35" t="str">
        <f>VLOOKUP(Tabla1[[#This Row],[AREA]],Hoja1!A:B,2,FALSE)</f>
        <v>07. Medio ambiente y desarrollo sostenible</v>
      </c>
      <c r="U3426" s="35" t="str">
        <f>MID(Tabla1[[#This Row],[Aplicación]],9,4)</f>
        <v>1701</v>
      </c>
      <c r="V3426" s="35" t="str">
        <f>VLOOKUP(Tabla1[[#This Row],[PROGRAMA]],Hoja1!A:B,2,FALSE)</f>
        <v>1701. Dirección del área de medio ambiente</v>
      </c>
      <c r="W3426" s="35" t="str">
        <f>MID(Tabla1[[#This Row],[Aplicación]],14,2)</f>
        <v>22</v>
      </c>
      <c r="X3426" s="35" t="str">
        <f>MID(Tabla1[[#This Row],[Aplicación]],14,6)</f>
        <v>22706</v>
      </c>
    </row>
    <row r="3427" spans="1:24" x14ac:dyDescent="0.25">
      <c r="A3427" s="45">
        <v>220210043814</v>
      </c>
      <c r="B3427" s="46" t="s">
        <v>9</v>
      </c>
      <c r="C3427" s="47">
        <v>44404</v>
      </c>
      <c r="D3427" s="45">
        <v>22021005871</v>
      </c>
      <c r="E3427" s="46" t="s">
        <v>823</v>
      </c>
      <c r="F3427" s="48">
        <v>990</v>
      </c>
      <c r="G3427" s="46" t="s">
        <v>4981</v>
      </c>
      <c r="H3427" s="46" t="s">
        <v>4982</v>
      </c>
      <c r="I3427" s="45" t="s">
        <v>125</v>
      </c>
      <c r="J3427" s="46" t="s">
        <v>127</v>
      </c>
      <c r="K3427" s="46" t="s">
        <v>127</v>
      </c>
      <c r="L3427" s="46" t="s">
        <v>12</v>
      </c>
      <c r="M3427" s="46" t="s">
        <v>10</v>
      </c>
      <c r="N3427" s="46" t="s">
        <v>11</v>
      </c>
      <c r="O3427" s="49" t="s">
        <v>815</v>
      </c>
      <c r="P3427" s="49" t="s">
        <v>4910</v>
      </c>
      <c r="Q3427" s="35" t="str">
        <f>MID(Tabla1[[#This Row],[Aplicación]],14,1)</f>
        <v>2</v>
      </c>
      <c r="R3427" s="35" t="s">
        <v>495</v>
      </c>
      <c r="S3427" s="35" t="str">
        <f>MID(Tabla1[[#This Row],[Aplicación]],6,2)</f>
        <v>03</v>
      </c>
      <c r="T3427" s="35" t="str">
        <f>VLOOKUP(Tabla1[[#This Row],[AREA]],Hoja1!A:B,2,FALSE)</f>
        <v>03. Participación ciudadana y deportes</v>
      </c>
      <c r="U3427" s="35" t="str">
        <f>MID(Tabla1[[#This Row],[Aplicación]],9,4)</f>
        <v>9241</v>
      </c>
      <c r="V3427" s="35" t="str">
        <f>VLOOKUP(Tabla1[[#This Row],[PROGRAMA]],Hoja1!A:B,2,FALSE)</f>
        <v>9241. Participación ciudadana</v>
      </c>
      <c r="W3427" s="35" t="str">
        <f>MID(Tabla1[[#This Row],[Aplicación]],14,2)</f>
        <v>22</v>
      </c>
      <c r="X3427" s="35" t="str">
        <f>MID(Tabla1[[#This Row],[Aplicación]],14,6)</f>
        <v>22609</v>
      </c>
    </row>
    <row r="3428" spans="1:24" x14ac:dyDescent="0.25">
      <c r="A3428" s="45">
        <v>220210039693</v>
      </c>
      <c r="B3428" s="46" t="s">
        <v>9</v>
      </c>
      <c r="C3428" s="47">
        <v>44393</v>
      </c>
      <c r="D3428" s="45">
        <v>22021005736</v>
      </c>
      <c r="E3428" s="46" t="s">
        <v>823</v>
      </c>
      <c r="F3428" s="48">
        <v>300</v>
      </c>
      <c r="G3428" s="46" t="s">
        <v>4983</v>
      </c>
      <c r="H3428" s="46" t="s">
        <v>4984</v>
      </c>
      <c r="I3428" s="45" t="s">
        <v>125</v>
      </c>
      <c r="J3428" s="46" t="s">
        <v>127</v>
      </c>
      <c r="K3428" s="46" t="s">
        <v>127</v>
      </c>
      <c r="L3428" s="46" t="s">
        <v>12</v>
      </c>
      <c r="M3428" s="46" t="s">
        <v>10</v>
      </c>
      <c r="N3428" s="46" t="s">
        <v>11</v>
      </c>
      <c r="O3428" s="49" t="s">
        <v>815</v>
      </c>
      <c r="P3428" s="49" t="s">
        <v>4910</v>
      </c>
      <c r="Q3428" s="35" t="str">
        <f>MID(Tabla1[[#This Row],[Aplicación]],14,1)</f>
        <v>2</v>
      </c>
      <c r="R3428" s="35" t="s">
        <v>495</v>
      </c>
      <c r="S3428" s="35" t="str">
        <f>MID(Tabla1[[#This Row],[Aplicación]],6,2)</f>
        <v>03</v>
      </c>
      <c r="T3428" s="35" t="str">
        <f>VLOOKUP(Tabla1[[#This Row],[AREA]],Hoja1!A:B,2,FALSE)</f>
        <v>03. Participación ciudadana y deportes</v>
      </c>
      <c r="U3428" s="35" t="str">
        <f>MID(Tabla1[[#This Row],[Aplicación]],9,4)</f>
        <v>9241</v>
      </c>
      <c r="V3428" s="35" t="str">
        <f>VLOOKUP(Tabla1[[#This Row],[PROGRAMA]],Hoja1!A:B,2,FALSE)</f>
        <v>9241. Participación ciudadana</v>
      </c>
      <c r="W3428" s="35" t="str">
        <f>MID(Tabla1[[#This Row],[Aplicación]],14,2)</f>
        <v>22</v>
      </c>
      <c r="X3428" s="35" t="str">
        <f>MID(Tabla1[[#This Row],[Aplicación]],14,6)</f>
        <v>22609</v>
      </c>
    </row>
    <row r="3429" spans="1:24" x14ac:dyDescent="0.25">
      <c r="A3429" s="45">
        <v>220210043777</v>
      </c>
      <c r="B3429" s="46" t="s">
        <v>9</v>
      </c>
      <c r="C3429" s="47">
        <v>44404</v>
      </c>
      <c r="D3429" s="45">
        <v>22021005796</v>
      </c>
      <c r="E3429" s="46" t="s">
        <v>3333</v>
      </c>
      <c r="F3429" s="48">
        <v>300</v>
      </c>
      <c r="G3429" s="46" t="s">
        <v>4983</v>
      </c>
      <c r="H3429" s="46" t="s">
        <v>4985</v>
      </c>
      <c r="I3429" s="45" t="s">
        <v>125</v>
      </c>
      <c r="J3429" s="46" t="s">
        <v>127</v>
      </c>
      <c r="K3429" s="46" t="s">
        <v>127</v>
      </c>
      <c r="L3429" s="46" t="s">
        <v>12</v>
      </c>
      <c r="M3429" s="46" t="s">
        <v>10</v>
      </c>
      <c r="N3429" s="46" t="s">
        <v>11</v>
      </c>
      <c r="O3429" s="49" t="s">
        <v>815</v>
      </c>
      <c r="P3429" s="49" t="s">
        <v>4910</v>
      </c>
      <c r="Q3429" s="35" t="str">
        <f>MID(Tabla1[[#This Row],[Aplicación]],14,1)</f>
        <v>2</v>
      </c>
      <c r="R3429" s="35" t="s">
        <v>495</v>
      </c>
      <c r="S3429" s="35" t="str">
        <f>MID(Tabla1[[#This Row],[Aplicación]],6,2)</f>
        <v>10</v>
      </c>
      <c r="T3429" s="35" t="str">
        <f>VLOOKUP(Tabla1[[#This Row],[AREA]],Hoja1!A:B,2,FALSE)</f>
        <v>10. Servicios sociales y mediación comunitaria</v>
      </c>
      <c r="U3429" s="35" t="str">
        <f>MID(Tabla1[[#This Row],[Aplicación]],9,4)</f>
        <v>2316</v>
      </c>
      <c r="V3429" s="35" t="str">
        <f>VLOOKUP(Tabla1[[#This Row],[PROGRAMA]],Hoja1!A:B,2,FALSE)</f>
        <v>2316. Mediación comunitaria</v>
      </c>
      <c r="W3429" s="35" t="str">
        <f>MID(Tabla1[[#This Row],[Aplicación]],14,2)</f>
        <v>22</v>
      </c>
      <c r="X3429" s="35" t="str">
        <f>MID(Tabla1[[#This Row],[Aplicación]],14,6)</f>
        <v>22616</v>
      </c>
    </row>
    <row r="3430" spans="1:24" x14ac:dyDescent="0.25">
      <c r="A3430" s="45">
        <v>220210039697</v>
      </c>
      <c r="B3430" s="46" t="s">
        <v>9</v>
      </c>
      <c r="C3430" s="47">
        <v>44393</v>
      </c>
      <c r="D3430" s="45">
        <v>22021005752</v>
      </c>
      <c r="E3430" s="46" t="s">
        <v>1293</v>
      </c>
      <c r="F3430" s="48">
        <v>1379.4</v>
      </c>
      <c r="G3430" s="46" t="s">
        <v>4986</v>
      </c>
      <c r="H3430" s="46" t="s">
        <v>4987</v>
      </c>
      <c r="I3430" s="45" t="s">
        <v>125</v>
      </c>
      <c r="J3430" s="46" t="s">
        <v>127</v>
      </c>
      <c r="K3430" s="46" t="s">
        <v>127</v>
      </c>
      <c r="L3430" s="46" t="s">
        <v>12</v>
      </c>
      <c r="M3430" s="46" t="s">
        <v>10</v>
      </c>
      <c r="N3430" s="46" t="s">
        <v>11</v>
      </c>
      <c r="O3430" s="49" t="s">
        <v>815</v>
      </c>
      <c r="P3430" s="49" t="s">
        <v>4910</v>
      </c>
      <c r="Q3430" s="35" t="str">
        <f>MID(Tabla1[[#This Row],[Aplicación]],14,1)</f>
        <v>2</v>
      </c>
      <c r="R3430" s="35" t="s">
        <v>495</v>
      </c>
      <c r="S3430" s="35" t="str">
        <f>MID(Tabla1[[#This Row],[Aplicación]],6,2)</f>
        <v>06</v>
      </c>
      <c r="T3430" s="35" t="str">
        <f>VLOOKUP(Tabla1[[#This Row],[AREA]],Hoja1!A:B,2,FALSE)</f>
        <v>06. Educación, infancia, juventud e igualdad</v>
      </c>
      <c r="U3430" s="35" t="str">
        <f>MID(Tabla1[[#This Row],[Aplicación]],9,4)</f>
        <v>2314</v>
      </c>
      <c r="V3430" s="35" t="str">
        <f>VLOOKUP(Tabla1[[#This Row],[PROGRAMA]],Hoja1!A:B,2,FALSE)</f>
        <v>2314. Centro de programas juveniles</v>
      </c>
      <c r="W3430" s="35" t="str">
        <f>MID(Tabla1[[#This Row],[Aplicación]],14,2)</f>
        <v>22</v>
      </c>
      <c r="X3430" s="35" t="str">
        <f>MID(Tabla1[[#This Row],[Aplicación]],14,6)</f>
        <v>22699</v>
      </c>
    </row>
    <row r="3431" spans="1:24" x14ac:dyDescent="0.25">
      <c r="A3431" s="45">
        <v>220210044566</v>
      </c>
      <c r="B3431" s="46" t="s">
        <v>9</v>
      </c>
      <c r="C3431" s="47">
        <v>44407</v>
      </c>
      <c r="D3431" s="45">
        <v>22021005952</v>
      </c>
      <c r="E3431" s="46" t="s">
        <v>1380</v>
      </c>
      <c r="F3431" s="48">
        <v>786.5</v>
      </c>
      <c r="G3431" s="46" t="s">
        <v>4986</v>
      </c>
      <c r="H3431" s="46" t="s">
        <v>4988</v>
      </c>
      <c r="I3431" s="45" t="s">
        <v>125</v>
      </c>
      <c r="J3431" s="46" t="s">
        <v>127</v>
      </c>
      <c r="K3431" s="46" t="s">
        <v>127</v>
      </c>
      <c r="L3431" s="46" t="s">
        <v>12</v>
      </c>
      <c r="M3431" s="46" t="s">
        <v>10</v>
      </c>
      <c r="N3431" s="46" t="s">
        <v>11</v>
      </c>
      <c r="O3431" s="49" t="s">
        <v>815</v>
      </c>
      <c r="P3431" s="49" t="s">
        <v>4910</v>
      </c>
      <c r="Q3431" s="35" t="str">
        <f>MID(Tabla1[[#This Row],[Aplicación]],14,1)</f>
        <v>2</v>
      </c>
      <c r="R3431" s="35" t="s">
        <v>495</v>
      </c>
      <c r="S3431" s="35" t="str">
        <f>MID(Tabla1[[#This Row],[Aplicación]],6,2)</f>
        <v>03</v>
      </c>
      <c r="T3431" s="35" t="str">
        <f>VLOOKUP(Tabla1[[#This Row],[AREA]],Hoja1!A:B,2,FALSE)</f>
        <v>03. Participación ciudadana y deportes</v>
      </c>
      <c r="U3431" s="35" t="str">
        <f>MID(Tabla1[[#This Row],[Aplicación]],9,4)</f>
        <v>9241</v>
      </c>
      <c r="V3431" s="35" t="str">
        <f>VLOOKUP(Tabla1[[#This Row],[PROGRAMA]],Hoja1!A:B,2,FALSE)</f>
        <v>9241. Participación ciudadana</v>
      </c>
      <c r="W3431" s="35" t="str">
        <f>MID(Tabla1[[#This Row],[Aplicación]],14,2)</f>
        <v>22</v>
      </c>
      <c r="X3431" s="35" t="str">
        <f>MID(Tabla1[[#This Row],[Aplicación]],14,6)</f>
        <v>22699</v>
      </c>
    </row>
    <row r="3432" spans="1:24" x14ac:dyDescent="0.25">
      <c r="A3432" s="45">
        <v>220210037243</v>
      </c>
      <c r="B3432" s="46" t="s">
        <v>9</v>
      </c>
      <c r="C3432" s="47">
        <v>44391</v>
      </c>
      <c r="D3432" s="45">
        <v>22021005134</v>
      </c>
      <c r="E3432" s="46" t="s">
        <v>1286</v>
      </c>
      <c r="F3432" s="48">
        <v>13068</v>
      </c>
      <c r="G3432" s="46" t="s">
        <v>191</v>
      </c>
      <c r="H3432" s="46" t="s">
        <v>4989</v>
      </c>
      <c r="I3432" s="45" t="s">
        <v>125</v>
      </c>
      <c r="J3432" s="46" t="s">
        <v>126</v>
      </c>
      <c r="K3432" s="46" t="s">
        <v>126</v>
      </c>
      <c r="L3432" s="46" t="s">
        <v>15</v>
      </c>
      <c r="M3432" s="46" t="s">
        <v>10</v>
      </c>
      <c r="N3432" s="46" t="s">
        <v>11</v>
      </c>
      <c r="O3432" s="49" t="s">
        <v>815</v>
      </c>
      <c r="P3432" s="49" t="s">
        <v>4910</v>
      </c>
      <c r="Q3432" s="35" t="str">
        <f>MID(Tabla1[[#This Row],[Aplicación]],14,1)</f>
        <v>6</v>
      </c>
      <c r="R3432" s="35" t="s">
        <v>496</v>
      </c>
      <c r="S3432" s="35" t="str">
        <f>MID(Tabla1[[#This Row],[Aplicación]],6,2)</f>
        <v>04</v>
      </c>
      <c r="T3432" s="35" t="str">
        <f>VLOOKUP(Tabla1[[#This Row],[AREA]],Hoja1!A:B,2,FALSE)</f>
        <v>04. Planificación y recursos</v>
      </c>
      <c r="U3432" s="35" t="str">
        <f>MID(Tabla1[[#This Row],[Aplicación]],9,4)</f>
        <v>9204</v>
      </c>
      <c r="V3432" s="35" t="str">
        <f>VLOOKUP(Tabla1[[#This Row],[PROGRAMA]],Hoja1!A:B,2,FALSE)</f>
        <v>9204. Tecnologías de la información y comunicación</v>
      </c>
      <c r="W3432" s="35" t="str">
        <f>MID(Tabla1[[#This Row],[Aplicación]],14,2)</f>
        <v>64</v>
      </c>
      <c r="X3432" s="35" t="str">
        <f>MID(Tabla1[[#This Row],[Aplicación]],14,6)</f>
        <v>641</v>
      </c>
    </row>
    <row r="3433" spans="1:24" x14ac:dyDescent="0.25">
      <c r="A3433" s="45">
        <v>220210045360</v>
      </c>
      <c r="B3433" s="46" t="s">
        <v>9</v>
      </c>
      <c r="C3433" s="47">
        <v>44413</v>
      </c>
      <c r="D3433" s="45">
        <v>22021004773</v>
      </c>
      <c r="E3433" s="46" t="s">
        <v>827</v>
      </c>
      <c r="F3433" s="48">
        <v>45495.14</v>
      </c>
      <c r="G3433" s="46" t="s">
        <v>191</v>
      </c>
      <c r="H3433" s="46" t="s">
        <v>4990</v>
      </c>
      <c r="I3433" s="45" t="s">
        <v>125</v>
      </c>
      <c r="J3433" s="46" t="s">
        <v>126</v>
      </c>
      <c r="K3433" s="46" t="s">
        <v>126</v>
      </c>
      <c r="L3433" s="46" t="s">
        <v>12</v>
      </c>
      <c r="M3433" s="46" t="s">
        <v>13</v>
      </c>
      <c r="N3433" s="46" t="s">
        <v>14</v>
      </c>
      <c r="O3433" s="49" t="s">
        <v>803</v>
      </c>
      <c r="P3433" s="49" t="s">
        <v>4910</v>
      </c>
      <c r="Q3433" s="35" t="str">
        <f>MID(Tabla1[[#This Row],[Aplicación]],14,1)</f>
        <v>2</v>
      </c>
      <c r="R3433" s="35" t="s">
        <v>495</v>
      </c>
      <c r="S3433" s="35" t="str">
        <f>MID(Tabla1[[#This Row],[Aplicación]],6,2)</f>
        <v>04</v>
      </c>
      <c r="T3433" s="35" t="str">
        <f>VLOOKUP(Tabla1[[#This Row],[AREA]],Hoja1!A:B,2,FALSE)</f>
        <v>04. Planificación y recursos</v>
      </c>
      <c r="U3433" s="35" t="str">
        <f>MID(Tabla1[[#This Row],[Aplicación]],9,4)</f>
        <v>9204</v>
      </c>
      <c r="V3433" s="35" t="str">
        <f>VLOOKUP(Tabla1[[#This Row],[PROGRAMA]],Hoja1!A:B,2,FALSE)</f>
        <v>9204. Tecnologías de la información y comunicación</v>
      </c>
      <c r="W3433" s="35" t="str">
        <f>MID(Tabla1[[#This Row],[Aplicación]],14,2)</f>
        <v>21</v>
      </c>
      <c r="X3433" s="35" t="str">
        <f>MID(Tabla1[[#This Row],[Aplicación]],14,6)</f>
        <v>216</v>
      </c>
    </row>
    <row r="3434" spans="1:24" x14ac:dyDescent="0.25">
      <c r="A3434" s="45">
        <v>220210038348</v>
      </c>
      <c r="B3434" s="46" t="s">
        <v>9</v>
      </c>
      <c r="C3434" s="47">
        <v>44392</v>
      </c>
      <c r="D3434" s="45">
        <v>22021005424</v>
      </c>
      <c r="E3434" s="46" t="s">
        <v>3333</v>
      </c>
      <c r="F3434" s="48">
        <v>1818.51</v>
      </c>
      <c r="G3434" s="46" t="s">
        <v>4991</v>
      </c>
      <c r="H3434" s="46" t="s">
        <v>4992</v>
      </c>
      <c r="I3434" s="45" t="s">
        <v>125</v>
      </c>
      <c r="J3434" s="46" t="s">
        <v>127</v>
      </c>
      <c r="K3434" s="46" t="s">
        <v>127</v>
      </c>
      <c r="L3434" s="46" t="s">
        <v>12</v>
      </c>
      <c r="M3434" s="46" t="s">
        <v>10</v>
      </c>
      <c r="N3434" s="46" t="s">
        <v>11</v>
      </c>
      <c r="O3434" s="49" t="s">
        <v>815</v>
      </c>
      <c r="P3434" s="49" t="s">
        <v>4910</v>
      </c>
      <c r="Q3434" s="35" t="str">
        <f>MID(Tabla1[[#This Row],[Aplicación]],14,1)</f>
        <v>2</v>
      </c>
      <c r="R3434" s="35" t="s">
        <v>495</v>
      </c>
      <c r="S3434" s="35" t="str">
        <f>MID(Tabla1[[#This Row],[Aplicación]],6,2)</f>
        <v>10</v>
      </c>
      <c r="T3434" s="35" t="str">
        <f>VLOOKUP(Tabla1[[#This Row],[AREA]],Hoja1!A:B,2,FALSE)</f>
        <v>10. Servicios sociales y mediación comunitaria</v>
      </c>
      <c r="U3434" s="35" t="str">
        <f>MID(Tabla1[[#This Row],[Aplicación]],9,4)</f>
        <v>2316</v>
      </c>
      <c r="V3434" s="35" t="str">
        <f>VLOOKUP(Tabla1[[#This Row],[PROGRAMA]],Hoja1!A:B,2,FALSE)</f>
        <v>2316. Mediación comunitaria</v>
      </c>
      <c r="W3434" s="35" t="str">
        <f>MID(Tabla1[[#This Row],[Aplicación]],14,2)</f>
        <v>22</v>
      </c>
      <c r="X3434" s="35" t="str">
        <f>MID(Tabla1[[#This Row],[Aplicación]],14,6)</f>
        <v>22616</v>
      </c>
    </row>
    <row r="3435" spans="1:24" x14ac:dyDescent="0.25">
      <c r="A3435" s="45">
        <v>220210036727</v>
      </c>
      <c r="B3435" s="46" t="s">
        <v>9</v>
      </c>
      <c r="C3435" s="47">
        <v>44385</v>
      </c>
      <c r="D3435" s="45">
        <v>22021004839</v>
      </c>
      <c r="E3435" s="46" t="s">
        <v>890</v>
      </c>
      <c r="F3435" s="48">
        <v>258.08999999999997</v>
      </c>
      <c r="G3435" s="46" t="s">
        <v>315</v>
      </c>
      <c r="H3435" s="46" t="s">
        <v>4993</v>
      </c>
      <c r="I3435" s="45" t="s">
        <v>125</v>
      </c>
      <c r="J3435" s="46" t="s">
        <v>127</v>
      </c>
      <c r="K3435" s="46" t="s">
        <v>127</v>
      </c>
      <c r="L3435" s="46" t="s">
        <v>12</v>
      </c>
      <c r="M3435" s="46" t="s">
        <v>13</v>
      </c>
      <c r="N3435" s="46" t="s">
        <v>14</v>
      </c>
      <c r="O3435" s="49" t="s">
        <v>814</v>
      </c>
      <c r="P3435" s="49" t="s">
        <v>4910</v>
      </c>
      <c r="Q3435" s="35" t="str">
        <f>MID(Tabla1[[#This Row],[Aplicación]],14,1)</f>
        <v>2</v>
      </c>
      <c r="R3435" s="35" t="s">
        <v>495</v>
      </c>
      <c r="S3435" s="35" t="str">
        <f>MID(Tabla1[[#This Row],[Aplicación]],6,2)</f>
        <v>11</v>
      </c>
      <c r="T3435" s="35" t="str">
        <f>VLOOKUP(Tabla1[[#This Row],[AREA]],Hoja1!A:B,2,FALSE)</f>
        <v>11. Salud pública y seguridad ciudadana</v>
      </c>
      <c r="U3435" s="35" t="str">
        <f>MID(Tabla1[[#This Row],[Aplicación]],9,4)</f>
        <v>1621</v>
      </c>
      <c r="V3435" s="35" t="str">
        <f>VLOOKUP(Tabla1[[#This Row],[PROGRAMA]],Hoja1!A:B,2,FALSE)</f>
        <v>1621. Servicio de limpieza</v>
      </c>
      <c r="W3435" s="35" t="str">
        <f>MID(Tabla1[[#This Row],[Aplicación]],14,2)</f>
        <v>21</v>
      </c>
      <c r="X3435" s="35" t="str">
        <f>MID(Tabla1[[#This Row],[Aplicación]],14,6)</f>
        <v>214</v>
      </c>
    </row>
    <row r="3436" spans="1:24" x14ac:dyDescent="0.25">
      <c r="A3436" s="45">
        <v>220210049775</v>
      </c>
      <c r="B3436" s="46" t="s">
        <v>204</v>
      </c>
      <c r="C3436" s="47">
        <v>44433</v>
      </c>
      <c r="D3436" s="45">
        <v>22020005803</v>
      </c>
      <c r="E3436" s="46" t="s">
        <v>3349</v>
      </c>
      <c r="F3436" s="48">
        <v>312.37</v>
      </c>
      <c r="G3436" s="46" t="s">
        <v>315</v>
      </c>
      <c r="H3436" s="46" t="s">
        <v>4994</v>
      </c>
      <c r="I3436" s="45" t="s">
        <v>205</v>
      </c>
      <c r="J3436" s="46" t="s">
        <v>127</v>
      </c>
      <c r="K3436" s="46" t="s">
        <v>127</v>
      </c>
      <c r="L3436" s="46" t="s">
        <v>12</v>
      </c>
      <c r="M3436" s="46" t="s">
        <v>13</v>
      </c>
      <c r="N3436" s="46" t="s">
        <v>14</v>
      </c>
      <c r="O3436" s="49" t="s">
        <v>814</v>
      </c>
      <c r="P3436" s="49" t="s">
        <v>4910</v>
      </c>
      <c r="Q3436" s="35" t="str">
        <f>MID(Tabla1[[#This Row],[Aplicación]],14,1)</f>
        <v>6</v>
      </c>
      <c r="R3436" s="35" t="s">
        <v>496</v>
      </c>
      <c r="S3436" s="35" t="str">
        <f>MID(Tabla1[[#This Row],[Aplicación]],6,2)</f>
        <v>11</v>
      </c>
      <c r="T3436" s="35" t="str">
        <f>VLOOKUP(Tabla1[[#This Row],[AREA]],Hoja1!A:B,2,FALSE)</f>
        <v>11. Salud pública y seguridad ciudadana</v>
      </c>
      <c r="U3436" s="35" t="str">
        <f>MID(Tabla1[[#This Row],[Aplicación]],9,4)</f>
        <v>1321</v>
      </c>
      <c r="V3436" s="35" t="str">
        <f>VLOOKUP(Tabla1[[#This Row],[PROGRAMA]],Hoja1!A:B,2,FALSE)</f>
        <v>1321. Policía municipal</v>
      </c>
      <c r="W3436" s="35" t="str">
        <f>MID(Tabla1[[#This Row],[Aplicación]],14,2)</f>
        <v>62</v>
      </c>
      <c r="X3436" s="35" t="str">
        <f>MID(Tabla1[[#This Row],[Aplicación]],14,6)</f>
        <v>624</v>
      </c>
    </row>
    <row r="3437" spans="1:24" x14ac:dyDescent="0.25">
      <c r="A3437" s="45">
        <v>220210043793</v>
      </c>
      <c r="B3437" s="46" t="s">
        <v>204</v>
      </c>
      <c r="C3437" s="47">
        <v>44404</v>
      </c>
      <c r="D3437" s="45">
        <v>22021003334</v>
      </c>
      <c r="E3437" s="46" t="s">
        <v>1286</v>
      </c>
      <c r="F3437" s="48">
        <v>10300</v>
      </c>
      <c r="G3437" s="46" t="s">
        <v>4995</v>
      </c>
      <c r="H3437" s="46" t="s">
        <v>4996</v>
      </c>
      <c r="I3437" s="45" t="s">
        <v>205</v>
      </c>
      <c r="J3437" s="46" t="s">
        <v>146</v>
      </c>
      <c r="K3437" s="46" t="s">
        <v>146</v>
      </c>
      <c r="L3437" s="46" t="s">
        <v>15</v>
      </c>
      <c r="M3437" s="46" t="s">
        <v>13</v>
      </c>
      <c r="N3437" s="46" t="s">
        <v>16</v>
      </c>
      <c r="O3437" s="49" t="s">
        <v>803</v>
      </c>
      <c r="P3437" s="49" t="s">
        <v>4910</v>
      </c>
      <c r="Q3437" s="35" t="str">
        <f>MID(Tabla1[[#This Row],[Aplicación]],14,1)</f>
        <v>6</v>
      </c>
      <c r="R3437" s="35" t="s">
        <v>496</v>
      </c>
      <c r="S3437" s="35" t="str">
        <f>MID(Tabla1[[#This Row],[Aplicación]],6,2)</f>
        <v>04</v>
      </c>
      <c r="T3437" s="35" t="str">
        <f>VLOOKUP(Tabla1[[#This Row],[AREA]],Hoja1!A:B,2,FALSE)</f>
        <v>04. Planificación y recursos</v>
      </c>
      <c r="U3437" s="35" t="str">
        <f>MID(Tabla1[[#This Row],[Aplicación]],9,4)</f>
        <v>9204</v>
      </c>
      <c r="V3437" s="35" t="str">
        <f>VLOOKUP(Tabla1[[#This Row],[PROGRAMA]],Hoja1!A:B,2,FALSE)</f>
        <v>9204. Tecnologías de la información y comunicación</v>
      </c>
      <c r="W3437" s="35" t="str">
        <f>MID(Tabla1[[#This Row],[Aplicación]],14,2)</f>
        <v>64</v>
      </c>
      <c r="X3437" s="35" t="str">
        <f>MID(Tabla1[[#This Row],[Aplicación]],14,6)</f>
        <v>641</v>
      </c>
    </row>
    <row r="3438" spans="1:24" x14ac:dyDescent="0.25">
      <c r="A3438" s="45">
        <v>220210048522</v>
      </c>
      <c r="B3438" s="46" t="s">
        <v>9</v>
      </c>
      <c r="C3438" s="47">
        <v>44428</v>
      </c>
      <c r="D3438" s="45">
        <v>22021005964</v>
      </c>
      <c r="E3438" s="46" t="s">
        <v>1172</v>
      </c>
      <c r="F3438" s="48">
        <v>12138.36</v>
      </c>
      <c r="G3438" s="46" t="s">
        <v>3483</v>
      </c>
      <c r="H3438" s="46" t="s">
        <v>4997</v>
      </c>
      <c r="I3438" s="45" t="s">
        <v>125</v>
      </c>
      <c r="J3438" s="46" t="s">
        <v>127</v>
      </c>
      <c r="K3438" s="46" t="s">
        <v>127</v>
      </c>
      <c r="L3438" s="46" t="s">
        <v>31</v>
      </c>
      <c r="M3438" s="46" t="s">
        <v>10</v>
      </c>
      <c r="N3438" s="46" t="s">
        <v>11</v>
      </c>
      <c r="O3438" s="49" t="s">
        <v>815</v>
      </c>
      <c r="P3438" s="49" t="s">
        <v>4910</v>
      </c>
      <c r="Q3438" s="35" t="str">
        <f>MID(Tabla1[[#This Row],[Aplicación]],14,1)</f>
        <v>6</v>
      </c>
      <c r="R3438" s="35" t="s">
        <v>496</v>
      </c>
      <c r="S3438" s="35" t="str">
        <f>MID(Tabla1[[#This Row],[Aplicación]],6,2)</f>
        <v>02</v>
      </c>
      <c r="T3438" s="35" t="str">
        <f>VLOOKUP(Tabla1[[#This Row],[AREA]],Hoja1!A:B,2,FALSE)</f>
        <v>02. Planeamiento urbanístico y vivienda</v>
      </c>
      <c r="U3438" s="35" t="str">
        <f>MID(Tabla1[[#This Row],[Aplicación]],9,4)</f>
        <v>9332</v>
      </c>
      <c r="V3438" s="35" t="str">
        <f>VLOOKUP(Tabla1[[#This Row],[PROGRAMA]],Hoja1!A:B,2,FALSE)</f>
        <v>9332. Mantenimiento de edificios e instalaciones municipales</v>
      </c>
      <c r="W3438" s="35" t="str">
        <f>MID(Tabla1[[#This Row],[Aplicación]],14,2)</f>
        <v>63</v>
      </c>
      <c r="X3438" s="35" t="str">
        <f>MID(Tabla1[[#This Row],[Aplicación]],14,6)</f>
        <v>632</v>
      </c>
    </row>
    <row r="3439" spans="1:24" x14ac:dyDescent="0.25">
      <c r="A3439" s="45">
        <v>220210036227</v>
      </c>
      <c r="B3439" s="46" t="s">
        <v>9</v>
      </c>
      <c r="C3439" s="47">
        <v>44383</v>
      </c>
      <c r="D3439" s="45">
        <v>22021004327</v>
      </c>
      <c r="E3439" s="46" t="s">
        <v>1279</v>
      </c>
      <c r="F3439" s="48">
        <v>3630.66</v>
      </c>
      <c r="G3439" s="46" t="s">
        <v>193</v>
      </c>
      <c r="H3439" s="46" t="s">
        <v>4998</v>
      </c>
      <c r="I3439" s="45" t="s">
        <v>125</v>
      </c>
      <c r="J3439" s="46" t="s">
        <v>127</v>
      </c>
      <c r="K3439" s="46" t="s">
        <v>127</v>
      </c>
      <c r="L3439" s="46" t="s">
        <v>12</v>
      </c>
      <c r="M3439" s="46" t="s">
        <v>13</v>
      </c>
      <c r="N3439" s="46" t="s">
        <v>14</v>
      </c>
      <c r="O3439" s="49" t="s">
        <v>803</v>
      </c>
      <c r="P3439" s="49" t="s">
        <v>4910</v>
      </c>
      <c r="Q3439" s="35" t="str">
        <f>MID(Tabla1[[#This Row],[Aplicación]],14,1)</f>
        <v>2</v>
      </c>
      <c r="R3439" s="35" t="s">
        <v>495</v>
      </c>
      <c r="S3439" s="35" t="str">
        <f>MID(Tabla1[[#This Row],[Aplicación]],6,2)</f>
        <v>04</v>
      </c>
      <c r="T3439" s="35" t="str">
        <f>VLOOKUP(Tabla1[[#This Row],[AREA]],Hoja1!A:B,2,FALSE)</f>
        <v>04. Planificación y recursos</v>
      </c>
      <c r="U3439" s="35" t="str">
        <f>MID(Tabla1[[#This Row],[Aplicación]],9,4)</f>
        <v>9231</v>
      </c>
      <c r="V3439" s="35" t="str">
        <f>VLOOKUP(Tabla1[[#This Row],[PROGRAMA]],Hoja1!A:B,2,FALSE)</f>
        <v>9231. Información, registro y gestión del padrón</v>
      </c>
      <c r="W3439" s="35" t="str">
        <f>MID(Tabla1[[#This Row],[Aplicación]],14,2)</f>
        <v>22</v>
      </c>
      <c r="X3439" s="35" t="str">
        <f>MID(Tabla1[[#This Row],[Aplicación]],14,6)</f>
        <v>22799</v>
      </c>
    </row>
    <row r="3440" spans="1:24" x14ac:dyDescent="0.25">
      <c r="A3440" s="45">
        <v>220210044732</v>
      </c>
      <c r="B3440" s="46" t="s">
        <v>9</v>
      </c>
      <c r="C3440" s="47">
        <v>44407</v>
      </c>
      <c r="D3440" s="45">
        <v>22021003499</v>
      </c>
      <c r="E3440" s="46" t="s">
        <v>881</v>
      </c>
      <c r="F3440" s="48">
        <v>1685.2</v>
      </c>
      <c r="G3440" s="46" t="s">
        <v>193</v>
      </c>
      <c r="H3440" s="46" t="s">
        <v>4999</v>
      </c>
      <c r="I3440" s="45" t="s">
        <v>125</v>
      </c>
      <c r="J3440" s="46" t="s">
        <v>127</v>
      </c>
      <c r="K3440" s="46" t="s">
        <v>127</v>
      </c>
      <c r="L3440" s="46" t="s">
        <v>12</v>
      </c>
      <c r="M3440" s="46" t="s">
        <v>13</v>
      </c>
      <c r="N3440" s="46" t="s">
        <v>14</v>
      </c>
      <c r="O3440" s="49" t="s">
        <v>803</v>
      </c>
      <c r="P3440" s="49" t="s">
        <v>4910</v>
      </c>
      <c r="Q3440" s="35" t="str">
        <f>MID(Tabla1[[#This Row],[Aplicación]],14,1)</f>
        <v>2</v>
      </c>
      <c r="R3440" s="35" t="s">
        <v>495</v>
      </c>
      <c r="S3440" s="35" t="str">
        <f>MID(Tabla1[[#This Row],[Aplicación]],6,2)</f>
        <v>05</v>
      </c>
      <c r="T3440" s="35" t="str">
        <f>VLOOKUP(Tabla1[[#This Row],[AREA]],Hoja1!A:B,2,FALSE)</f>
        <v>05. Innovación, desarrollo económico, empleo y comercio</v>
      </c>
      <c r="U3440" s="35" t="str">
        <f>MID(Tabla1[[#This Row],[Aplicación]],9,4)</f>
        <v>4331</v>
      </c>
      <c r="V3440" s="35" t="str">
        <f>VLOOKUP(Tabla1[[#This Row],[PROGRAMA]],Hoja1!A:B,2,FALSE)</f>
        <v>4331. Desarrollo empresarial</v>
      </c>
      <c r="W3440" s="35" t="str">
        <f>MID(Tabla1[[#This Row],[Aplicación]],14,2)</f>
        <v>22</v>
      </c>
      <c r="X3440" s="35" t="str">
        <f>MID(Tabla1[[#This Row],[Aplicación]],14,6)</f>
        <v>22799</v>
      </c>
    </row>
    <row r="3441" spans="1:24" x14ac:dyDescent="0.25">
      <c r="A3441" s="45">
        <v>220210044643</v>
      </c>
      <c r="B3441" s="46" t="s">
        <v>9</v>
      </c>
      <c r="C3441" s="47">
        <v>44407</v>
      </c>
      <c r="D3441" s="45">
        <v>22021003545</v>
      </c>
      <c r="E3441" s="46" t="s">
        <v>1251</v>
      </c>
      <c r="F3441" s="48">
        <v>382.17</v>
      </c>
      <c r="G3441" s="46" t="s">
        <v>193</v>
      </c>
      <c r="H3441" s="46" t="s">
        <v>5000</v>
      </c>
      <c r="I3441" s="45" t="s">
        <v>125</v>
      </c>
      <c r="J3441" s="46" t="s">
        <v>127</v>
      </c>
      <c r="K3441" s="46" t="s">
        <v>127</v>
      </c>
      <c r="L3441" s="46" t="s">
        <v>12</v>
      </c>
      <c r="M3441" s="46" t="s">
        <v>13</v>
      </c>
      <c r="N3441" s="46" t="s">
        <v>14</v>
      </c>
      <c r="O3441" s="49" t="s">
        <v>803</v>
      </c>
      <c r="P3441" s="49" t="s">
        <v>4910</v>
      </c>
      <c r="Q3441" s="35" t="str">
        <f>MID(Tabla1[[#This Row],[Aplicación]],14,1)</f>
        <v>2</v>
      </c>
      <c r="R3441" s="35" t="s">
        <v>495</v>
      </c>
      <c r="S3441" s="35" t="str">
        <f>MID(Tabla1[[#This Row],[Aplicación]],6,2)</f>
        <v>09</v>
      </c>
      <c r="T3441" s="35" t="str">
        <f>VLOOKUP(Tabla1[[#This Row],[AREA]],Hoja1!A:B,2,FALSE)</f>
        <v>09. Cultura y turismo</v>
      </c>
      <c r="U3441" s="35" t="str">
        <f>MID(Tabla1[[#This Row],[Aplicación]],9,4)</f>
        <v>3301</v>
      </c>
      <c r="V3441" s="35" t="str">
        <f>VLOOKUP(Tabla1[[#This Row],[PROGRAMA]],Hoja1!A:B,2,FALSE)</f>
        <v>3301. Dirección del área de cultura</v>
      </c>
      <c r="W3441" s="35" t="str">
        <f>MID(Tabla1[[#This Row],[Aplicación]],14,2)</f>
        <v>22</v>
      </c>
      <c r="X3441" s="35" t="str">
        <f>MID(Tabla1[[#This Row],[Aplicación]],14,6)</f>
        <v>22799</v>
      </c>
    </row>
    <row r="3442" spans="1:24" x14ac:dyDescent="0.25">
      <c r="A3442" s="45">
        <v>220210037252</v>
      </c>
      <c r="B3442" s="46" t="s">
        <v>204</v>
      </c>
      <c r="C3442" s="47">
        <v>44391</v>
      </c>
      <c r="D3442" s="45">
        <v>22021003878</v>
      </c>
      <c r="E3442" s="46" t="s">
        <v>3129</v>
      </c>
      <c r="F3442" s="48">
        <v>2722.5</v>
      </c>
      <c r="G3442" s="46" t="s">
        <v>227</v>
      </c>
      <c r="H3442" s="46" t="s">
        <v>5001</v>
      </c>
      <c r="I3442" s="45" t="s">
        <v>205</v>
      </c>
      <c r="J3442" s="46" t="s">
        <v>669</v>
      </c>
      <c r="K3442" s="46" t="s">
        <v>136</v>
      </c>
      <c r="L3442" s="46" t="s">
        <v>12</v>
      </c>
      <c r="M3442" s="46" t="s">
        <v>25</v>
      </c>
      <c r="N3442" s="46" t="s">
        <v>11</v>
      </c>
      <c r="O3442" s="49" t="s">
        <v>805</v>
      </c>
      <c r="P3442" s="49" t="s">
        <v>4910</v>
      </c>
      <c r="Q3442" s="35" t="str">
        <f>MID(Tabla1[[#This Row],[Aplicación]],14,1)</f>
        <v>2</v>
      </c>
      <c r="R3442" s="35" t="s">
        <v>495</v>
      </c>
      <c r="S3442" s="35" t="str">
        <f>MID(Tabla1[[#This Row],[Aplicación]],6,2)</f>
        <v>01</v>
      </c>
      <c r="T3442" s="35" t="str">
        <f>VLOOKUP(Tabla1[[#This Row],[AREA]],Hoja1!A:B,2,FALSE)</f>
        <v>01. Alcaldía</v>
      </c>
      <c r="U3442" s="35" t="str">
        <f>MID(Tabla1[[#This Row],[Aplicación]],9,4)</f>
        <v>9312</v>
      </c>
      <c r="V3442" s="35" t="str">
        <f>VLOOKUP(Tabla1[[#This Row],[PROGRAMA]],Hoja1!A:B,2,FALSE)</f>
        <v>9312. Intervención general</v>
      </c>
      <c r="W3442" s="35" t="str">
        <f>MID(Tabla1[[#This Row],[Aplicación]],14,2)</f>
        <v>22</v>
      </c>
      <c r="X3442" s="35" t="str">
        <f>MID(Tabla1[[#This Row],[Aplicación]],14,6)</f>
        <v>22706</v>
      </c>
    </row>
    <row r="3443" spans="1:24" x14ac:dyDescent="0.25">
      <c r="A3443" s="45">
        <v>220210043794</v>
      </c>
      <c r="B3443" s="46" t="s">
        <v>204</v>
      </c>
      <c r="C3443" s="47">
        <v>44404</v>
      </c>
      <c r="D3443" s="45">
        <v>22021003335</v>
      </c>
      <c r="E3443" s="46" t="s">
        <v>1286</v>
      </c>
      <c r="F3443" s="48">
        <v>7260</v>
      </c>
      <c r="G3443" s="46" t="s">
        <v>5002</v>
      </c>
      <c r="H3443" s="46" t="s">
        <v>5003</v>
      </c>
      <c r="I3443" s="45" t="s">
        <v>205</v>
      </c>
      <c r="J3443" s="46" t="s">
        <v>778</v>
      </c>
      <c r="K3443" s="46" t="s">
        <v>126</v>
      </c>
      <c r="L3443" s="46" t="s">
        <v>15</v>
      </c>
      <c r="M3443" s="46" t="s">
        <v>13</v>
      </c>
      <c r="N3443" s="46" t="s">
        <v>16</v>
      </c>
      <c r="O3443" s="49" t="s">
        <v>803</v>
      </c>
      <c r="P3443" s="49" t="s">
        <v>4910</v>
      </c>
      <c r="Q3443" s="35" t="str">
        <f>MID(Tabla1[[#This Row],[Aplicación]],14,1)</f>
        <v>6</v>
      </c>
      <c r="R3443" s="35" t="s">
        <v>496</v>
      </c>
      <c r="S3443" s="35" t="str">
        <f>MID(Tabla1[[#This Row],[Aplicación]],6,2)</f>
        <v>04</v>
      </c>
      <c r="T3443" s="35" t="str">
        <f>VLOOKUP(Tabla1[[#This Row],[AREA]],Hoja1!A:B,2,FALSE)</f>
        <v>04. Planificación y recursos</v>
      </c>
      <c r="U3443" s="35" t="str">
        <f>MID(Tabla1[[#This Row],[Aplicación]],9,4)</f>
        <v>9204</v>
      </c>
      <c r="V3443" s="35" t="str">
        <f>VLOOKUP(Tabla1[[#This Row],[PROGRAMA]],Hoja1!A:B,2,FALSE)</f>
        <v>9204. Tecnologías de la información y comunicación</v>
      </c>
      <c r="W3443" s="35" t="str">
        <f>MID(Tabla1[[#This Row],[Aplicación]],14,2)</f>
        <v>64</v>
      </c>
      <c r="X3443" s="35" t="str">
        <f>MID(Tabla1[[#This Row],[Aplicación]],14,6)</f>
        <v>641</v>
      </c>
    </row>
    <row r="3444" spans="1:24" x14ac:dyDescent="0.25">
      <c r="A3444" s="45">
        <v>220210043782</v>
      </c>
      <c r="B3444" s="46" t="s">
        <v>204</v>
      </c>
      <c r="C3444" s="47">
        <v>44404</v>
      </c>
      <c r="D3444" s="45">
        <v>22021003302</v>
      </c>
      <c r="E3444" s="46" t="s">
        <v>827</v>
      </c>
      <c r="F3444" s="48">
        <v>3977.87</v>
      </c>
      <c r="G3444" s="46" t="s">
        <v>5004</v>
      </c>
      <c r="H3444" s="46" t="s">
        <v>5005</v>
      </c>
      <c r="I3444" s="45" t="s">
        <v>205</v>
      </c>
      <c r="J3444" s="46" t="s">
        <v>126</v>
      </c>
      <c r="K3444" s="46" t="s">
        <v>126</v>
      </c>
      <c r="L3444" s="46" t="s">
        <v>15</v>
      </c>
      <c r="M3444" s="46" t="s">
        <v>13</v>
      </c>
      <c r="N3444" s="46" t="s">
        <v>16</v>
      </c>
      <c r="O3444" s="49" t="s">
        <v>803</v>
      </c>
      <c r="P3444" s="49" t="s">
        <v>4910</v>
      </c>
      <c r="Q3444" s="35" t="str">
        <f>MID(Tabla1[[#This Row],[Aplicación]],14,1)</f>
        <v>2</v>
      </c>
      <c r="R3444" s="35" t="s">
        <v>495</v>
      </c>
      <c r="S3444" s="35" t="str">
        <f>MID(Tabla1[[#This Row],[Aplicación]],6,2)</f>
        <v>04</v>
      </c>
      <c r="T3444" s="35" t="str">
        <f>VLOOKUP(Tabla1[[#This Row],[AREA]],Hoja1!A:B,2,FALSE)</f>
        <v>04. Planificación y recursos</v>
      </c>
      <c r="U3444" s="35" t="str">
        <f>MID(Tabla1[[#This Row],[Aplicación]],9,4)</f>
        <v>9204</v>
      </c>
      <c r="V3444" s="35" t="str">
        <f>VLOOKUP(Tabla1[[#This Row],[PROGRAMA]],Hoja1!A:B,2,FALSE)</f>
        <v>9204. Tecnologías de la información y comunicación</v>
      </c>
      <c r="W3444" s="35" t="str">
        <f>MID(Tabla1[[#This Row],[Aplicación]],14,2)</f>
        <v>21</v>
      </c>
      <c r="X3444" s="35" t="str">
        <f>MID(Tabla1[[#This Row],[Aplicación]],14,6)</f>
        <v>216</v>
      </c>
    </row>
    <row r="3445" spans="1:24" x14ac:dyDescent="0.25">
      <c r="A3445" s="45">
        <v>220210036332</v>
      </c>
      <c r="B3445" s="46" t="s">
        <v>204</v>
      </c>
      <c r="C3445" s="47">
        <v>44384</v>
      </c>
      <c r="D3445" s="45">
        <v>22021004276</v>
      </c>
      <c r="E3445" s="46" t="s">
        <v>1678</v>
      </c>
      <c r="F3445" s="48">
        <v>2131.41</v>
      </c>
      <c r="G3445" s="46" t="s">
        <v>312</v>
      </c>
      <c r="H3445" s="46" t="s">
        <v>5006</v>
      </c>
      <c r="I3445" s="45" t="s">
        <v>205</v>
      </c>
      <c r="J3445" s="46" t="s">
        <v>127</v>
      </c>
      <c r="K3445" s="46" t="s">
        <v>127</v>
      </c>
      <c r="L3445" s="46" t="s">
        <v>15</v>
      </c>
      <c r="M3445" s="46" t="s">
        <v>10</v>
      </c>
      <c r="N3445" s="46" t="s">
        <v>11</v>
      </c>
      <c r="O3445" s="49" t="s">
        <v>815</v>
      </c>
      <c r="P3445" s="49" t="s">
        <v>4910</v>
      </c>
      <c r="Q3445" s="35" t="str">
        <f>MID(Tabla1[[#This Row],[Aplicación]],14,1)</f>
        <v>2</v>
      </c>
      <c r="R3445" s="35" t="s">
        <v>495</v>
      </c>
      <c r="S3445" s="35" t="str">
        <f>MID(Tabla1[[#This Row],[Aplicación]],6,2)</f>
        <v>09</v>
      </c>
      <c r="T3445" s="35" t="str">
        <f>VLOOKUP(Tabla1[[#This Row],[AREA]],Hoja1!A:B,2,FALSE)</f>
        <v>09. Cultura y turismo</v>
      </c>
      <c r="U3445" s="35" t="str">
        <f>MID(Tabla1[[#This Row],[Aplicación]],9,4)</f>
        <v>3341</v>
      </c>
      <c r="V3445" s="35" t="str">
        <f>VLOOKUP(Tabla1[[#This Row],[PROGRAMA]],Hoja1!A:B,2,FALSE)</f>
        <v>3341. Coordinación de políticas culturales</v>
      </c>
      <c r="W3445" s="35" t="str">
        <f>MID(Tabla1[[#This Row],[Aplicación]],14,2)</f>
        <v>21</v>
      </c>
      <c r="X3445" s="35" t="str">
        <f>MID(Tabla1[[#This Row],[Aplicación]],14,6)</f>
        <v>213</v>
      </c>
    </row>
    <row r="3446" spans="1:24" x14ac:dyDescent="0.25">
      <c r="A3446" s="45">
        <v>220210043804</v>
      </c>
      <c r="B3446" s="46" t="s">
        <v>9</v>
      </c>
      <c r="C3446" s="47">
        <v>44404</v>
      </c>
      <c r="D3446" s="45">
        <v>22021005803</v>
      </c>
      <c r="E3446" s="46" t="s">
        <v>954</v>
      </c>
      <c r="F3446" s="48">
        <v>2117.5</v>
      </c>
      <c r="G3446" s="46" t="s">
        <v>275</v>
      </c>
      <c r="H3446" s="46" t="s">
        <v>5007</v>
      </c>
      <c r="I3446" s="45" t="s">
        <v>125</v>
      </c>
      <c r="J3446" s="46" t="s">
        <v>127</v>
      </c>
      <c r="K3446" s="46" t="s">
        <v>127</v>
      </c>
      <c r="L3446" s="46" t="s">
        <v>17</v>
      </c>
      <c r="M3446" s="46" t="s">
        <v>10</v>
      </c>
      <c r="N3446" s="46" t="s">
        <v>11</v>
      </c>
      <c r="O3446" s="49" t="s">
        <v>815</v>
      </c>
      <c r="P3446" s="49" t="s">
        <v>4910</v>
      </c>
      <c r="Q3446" s="35" t="str">
        <f>MID(Tabla1[[#This Row],[Aplicación]],14,1)</f>
        <v>2</v>
      </c>
      <c r="R3446" s="35" t="s">
        <v>495</v>
      </c>
      <c r="S3446" s="35" t="str">
        <f>MID(Tabla1[[#This Row],[Aplicación]],6,2)</f>
        <v>03</v>
      </c>
      <c r="T3446" s="35" t="str">
        <f>VLOOKUP(Tabla1[[#This Row],[AREA]],Hoja1!A:B,2,FALSE)</f>
        <v>03. Participación ciudadana y deportes</v>
      </c>
      <c r="U3446" s="35" t="str">
        <f>MID(Tabla1[[#This Row],[Aplicación]],9,4)</f>
        <v>9241</v>
      </c>
      <c r="V3446" s="35" t="str">
        <f>VLOOKUP(Tabla1[[#This Row],[PROGRAMA]],Hoja1!A:B,2,FALSE)</f>
        <v>9241. Participación ciudadana</v>
      </c>
      <c r="W3446" s="35" t="str">
        <f>MID(Tabla1[[#This Row],[Aplicación]],14,2)</f>
        <v>20</v>
      </c>
      <c r="X3446" s="35" t="str">
        <f>MID(Tabla1[[#This Row],[Aplicación]],14,6)</f>
        <v>203</v>
      </c>
    </row>
    <row r="3447" spans="1:24" x14ac:dyDescent="0.25">
      <c r="A3447" s="45">
        <v>220210048392</v>
      </c>
      <c r="B3447" s="46" t="s">
        <v>9</v>
      </c>
      <c r="C3447" s="47">
        <v>44426</v>
      </c>
      <c r="D3447" s="45">
        <v>22021005879</v>
      </c>
      <c r="E3447" s="46" t="s">
        <v>2801</v>
      </c>
      <c r="F3447" s="48">
        <v>10890</v>
      </c>
      <c r="G3447" s="46" t="s">
        <v>5008</v>
      </c>
      <c r="H3447" s="46" t="s">
        <v>5009</v>
      </c>
      <c r="I3447" s="45" t="s">
        <v>125</v>
      </c>
      <c r="J3447" s="46" t="s">
        <v>127</v>
      </c>
      <c r="K3447" s="46" t="s">
        <v>127</v>
      </c>
      <c r="L3447" s="46" t="s">
        <v>12</v>
      </c>
      <c r="M3447" s="46" t="s">
        <v>10</v>
      </c>
      <c r="N3447" s="46" t="s">
        <v>11</v>
      </c>
      <c r="O3447" s="49" t="s">
        <v>815</v>
      </c>
      <c r="P3447" s="49" t="s">
        <v>4910</v>
      </c>
      <c r="Q3447" s="35" t="str">
        <f>MID(Tabla1[[#This Row],[Aplicación]],14,1)</f>
        <v>2</v>
      </c>
      <c r="R3447" s="35" t="s">
        <v>495</v>
      </c>
      <c r="S3447" s="35" t="str">
        <f>MID(Tabla1[[#This Row],[Aplicación]],6,2)</f>
        <v>05</v>
      </c>
      <c r="T3447" s="35" t="str">
        <f>VLOOKUP(Tabla1[[#This Row],[AREA]],Hoja1!A:B,2,FALSE)</f>
        <v>05. Innovación, desarrollo económico, empleo y comercio</v>
      </c>
      <c r="U3447" s="35" t="str">
        <f>MID(Tabla1[[#This Row],[Aplicación]],9,4)</f>
        <v>4314</v>
      </c>
      <c r="V3447" s="35" t="str">
        <f>VLOOKUP(Tabla1[[#This Row],[PROGRAMA]],Hoja1!A:B,2,FALSE)</f>
        <v>4314. Fomento del comercio</v>
      </c>
      <c r="W3447" s="35" t="str">
        <f>MID(Tabla1[[#This Row],[Aplicación]],14,2)</f>
        <v>22</v>
      </c>
      <c r="X3447" s="35" t="str">
        <f>MID(Tabla1[[#This Row],[Aplicación]],14,6)</f>
        <v>22799</v>
      </c>
    </row>
    <row r="3448" spans="1:24" x14ac:dyDescent="0.25">
      <c r="A3448" s="45">
        <v>220210040691</v>
      </c>
      <c r="B3448" s="46" t="s">
        <v>9</v>
      </c>
      <c r="C3448" s="47">
        <v>44397</v>
      </c>
      <c r="D3448" s="45">
        <v>22021005296</v>
      </c>
      <c r="E3448" s="46" t="s">
        <v>2668</v>
      </c>
      <c r="F3448" s="48">
        <v>147.13</v>
      </c>
      <c r="G3448" s="46" t="s">
        <v>4200</v>
      </c>
      <c r="H3448" s="46" t="s">
        <v>5010</v>
      </c>
      <c r="I3448" s="45" t="s">
        <v>125</v>
      </c>
      <c r="J3448" s="46" t="s">
        <v>4202</v>
      </c>
      <c r="K3448" s="46" t="s">
        <v>146</v>
      </c>
      <c r="L3448" s="46" t="s">
        <v>31</v>
      </c>
      <c r="M3448" s="46" t="s">
        <v>13</v>
      </c>
      <c r="N3448" s="46" t="s">
        <v>14</v>
      </c>
      <c r="O3448" s="49" t="s">
        <v>814</v>
      </c>
      <c r="P3448" s="49" t="s">
        <v>4910</v>
      </c>
      <c r="Q3448" s="35" t="str">
        <f>MID(Tabla1[[#This Row],[Aplicación]],14,1)</f>
        <v>6</v>
      </c>
      <c r="R3448" s="35" t="s">
        <v>496</v>
      </c>
      <c r="S3448" s="35" t="str">
        <f>MID(Tabla1[[#This Row],[Aplicación]],6,2)</f>
        <v>10</v>
      </c>
      <c r="T3448" s="35" t="str">
        <f>VLOOKUP(Tabla1[[#This Row],[AREA]],Hoja1!A:B,2,FALSE)</f>
        <v>10. Servicios sociales y mediación comunitaria</v>
      </c>
      <c r="U3448" s="35" t="str">
        <f>MID(Tabla1[[#This Row],[Aplicación]],9,4)</f>
        <v>2311</v>
      </c>
      <c r="V3448" s="35" t="str">
        <f>VLOOKUP(Tabla1[[#This Row],[PROGRAMA]],Hoja1!A:B,2,FALSE)</f>
        <v>2311. Intervención social</v>
      </c>
      <c r="W3448" s="35" t="str">
        <f>MID(Tabla1[[#This Row],[Aplicación]],14,2)</f>
        <v>63</v>
      </c>
      <c r="X3448" s="35" t="str">
        <f>MID(Tabla1[[#This Row],[Aplicación]],14,6)</f>
        <v>632</v>
      </c>
    </row>
    <row r="3449" spans="1:24" x14ac:dyDescent="0.25">
      <c r="A3449" s="45">
        <v>220210036483</v>
      </c>
      <c r="B3449" s="46" t="s">
        <v>9</v>
      </c>
      <c r="C3449" s="47">
        <v>44384</v>
      </c>
      <c r="D3449" s="45">
        <v>22021004806</v>
      </c>
      <c r="E3449" s="46" t="s">
        <v>1487</v>
      </c>
      <c r="F3449" s="48">
        <v>4548.54</v>
      </c>
      <c r="G3449" s="46" t="s">
        <v>4200</v>
      </c>
      <c r="H3449" s="46" t="s">
        <v>5011</v>
      </c>
      <c r="I3449" s="45" t="s">
        <v>125</v>
      </c>
      <c r="J3449" s="46" t="s">
        <v>4202</v>
      </c>
      <c r="K3449" s="46" t="s">
        <v>146</v>
      </c>
      <c r="L3449" s="46" t="s">
        <v>12</v>
      </c>
      <c r="M3449" s="46" t="s">
        <v>13</v>
      </c>
      <c r="N3449" s="46" t="s">
        <v>14</v>
      </c>
      <c r="O3449" s="49" t="s">
        <v>814</v>
      </c>
      <c r="P3449" s="49" t="s">
        <v>4910</v>
      </c>
      <c r="Q3449" s="35" t="str">
        <f>MID(Tabla1[[#This Row],[Aplicación]],14,1)</f>
        <v>6</v>
      </c>
      <c r="R3449" s="35" t="s">
        <v>496</v>
      </c>
      <c r="S3449" s="35" t="str">
        <f>MID(Tabla1[[#This Row],[Aplicación]],6,2)</f>
        <v>08</v>
      </c>
      <c r="T3449" s="35" t="str">
        <f>VLOOKUP(Tabla1[[#This Row],[AREA]],Hoja1!A:B,2,FALSE)</f>
        <v>08. Movilidad y espacio urbano</v>
      </c>
      <c r="U3449" s="35" t="str">
        <f>MID(Tabla1[[#This Row],[Aplicación]],9,4)</f>
        <v>1532</v>
      </c>
      <c r="V3449" s="35" t="str">
        <f>VLOOKUP(Tabla1[[#This Row],[PROGRAMA]],Hoja1!A:B,2,FALSE)</f>
        <v>1532. Pavimentación vias públicas y otros servicios urbanísticos</v>
      </c>
      <c r="W3449" s="35" t="str">
        <f>MID(Tabla1[[#This Row],[Aplicación]],14,2)</f>
        <v>61</v>
      </c>
      <c r="X3449" s="35" t="str">
        <f>MID(Tabla1[[#This Row],[Aplicación]],14,6)</f>
        <v>619</v>
      </c>
    </row>
    <row r="3450" spans="1:24" x14ac:dyDescent="0.25">
      <c r="A3450" s="45">
        <v>220210035417</v>
      </c>
      <c r="B3450" s="46" t="s">
        <v>9</v>
      </c>
      <c r="C3450" s="47">
        <v>44379</v>
      </c>
      <c r="D3450" s="45">
        <v>22021005112</v>
      </c>
      <c r="E3450" s="46" t="s">
        <v>1724</v>
      </c>
      <c r="F3450" s="48">
        <v>4528.1099999999997</v>
      </c>
      <c r="G3450" s="46" t="s">
        <v>4200</v>
      </c>
      <c r="H3450" s="46" t="s">
        <v>5012</v>
      </c>
      <c r="I3450" s="45" t="s">
        <v>125</v>
      </c>
      <c r="J3450" s="46" t="s">
        <v>4202</v>
      </c>
      <c r="K3450" s="46" t="s">
        <v>146</v>
      </c>
      <c r="L3450" s="46" t="s">
        <v>12</v>
      </c>
      <c r="M3450" s="46" t="s">
        <v>13</v>
      </c>
      <c r="N3450" s="46" t="s">
        <v>14</v>
      </c>
      <c r="O3450" s="49" t="s">
        <v>814</v>
      </c>
      <c r="P3450" s="49" t="s">
        <v>4910</v>
      </c>
      <c r="Q3450" s="35" t="str">
        <f>MID(Tabla1[[#This Row],[Aplicación]],14,1)</f>
        <v>6</v>
      </c>
      <c r="R3450" s="35" t="s">
        <v>496</v>
      </c>
      <c r="S3450" s="35" t="str">
        <f>MID(Tabla1[[#This Row],[Aplicación]],6,2)</f>
        <v>07</v>
      </c>
      <c r="T3450" s="35" t="str">
        <f>VLOOKUP(Tabla1[[#This Row],[AREA]],Hoja1!A:B,2,FALSE)</f>
        <v>07. Medio ambiente y desarrollo sostenible</v>
      </c>
      <c r="U3450" s="35" t="str">
        <f>MID(Tabla1[[#This Row],[Aplicación]],9,4)</f>
        <v>1711</v>
      </c>
      <c r="V3450" s="35" t="str">
        <f>VLOOKUP(Tabla1[[#This Row],[PROGRAMA]],Hoja1!A:B,2,FALSE)</f>
        <v>1711. Parques y jardines</v>
      </c>
      <c r="W3450" s="35" t="str">
        <f>MID(Tabla1[[#This Row],[Aplicación]],14,2)</f>
        <v>61</v>
      </c>
      <c r="X3450" s="35" t="str">
        <f>MID(Tabla1[[#This Row],[Aplicación]],14,6)</f>
        <v>619</v>
      </c>
    </row>
    <row r="3451" spans="1:24" x14ac:dyDescent="0.25">
      <c r="A3451" s="45">
        <v>220210043824</v>
      </c>
      <c r="B3451" s="46" t="s">
        <v>9</v>
      </c>
      <c r="C3451" s="47">
        <v>44404</v>
      </c>
      <c r="D3451" s="45">
        <v>22021003909</v>
      </c>
      <c r="E3451" s="46" t="s">
        <v>1542</v>
      </c>
      <c r="F3451" s="48">
        <v>4293.92</v>
      </c>
      <c r="G3451" s="46" t="s">
        <v>4200</v>
      </c>
      <c r="H3451" s="46" t="s">
        <v>5013</v>
      </c>
      <c r="I3451" s="45" t="s">
        <v>216</v>
      </c>
      <c r="J3451" s="46" t="s">
        <v>4202</v>
      </c>
      <c r="K3451" s="46" t="s">
        <v>146</v>
      </c>
      <c r="L3451" s="46" t="s">
        <v>31</v>
      </c>
      <c r="M3451" s="46" t="s">
        <v>13</v>
      </c>
      <c r="N3451" s="46" t="s">
        <v>16</v>
      </c>
      <c r="O3451" s="49" t="s">
        <v>814</v>
      </c>
      <c r="P3451" s="49" t="s">
        <v>4910</v>
      </c>
      <c r="Q3451" s="35" t="str">
        <f>MID(Tabla1[[#This Row],[Aplicación]],14,1)</f>
        <v>6</v>
      </c>
      <c r="R3451" s="35" t="s">
        <v>496</v>
      </c>
      <c r="S3451" s="35" t="str">
        <f>MID(Tabla1[[#This Row],[Aplicación]],6,2)</f>
        <v>05</v>
      </c>
      <c r="T3451" s="35" t="str">
        <f>VLOOKUP(Tabla1[[#This Row],[AREA]],Hoja1!A:B,2,FALSE)</f>
        <v>05. Innovación, desarrollo económico, empleo y comercio</v>
      </c>
      <c r="U3451" s="35" t="str">
        <f>MID(Tabla1[[#This Row],[Aplicación]],9,4)</f>
        <v>4331</v>
      </c>
      <c r="V3451" s="35" t="str">
        <f>VLOOKUP(Tabla1[[#This Row],[PROGRAMA]],Hoja1!A:B,2,FALSE)</f>
        <v>4331. Desarrollo empresarial</v>
      </c>
      <c r="W3451" s="35" t="str">
        <f>MID(Tabla1[[#This Row],[Aplicación]],14,2)</f>
        <v>60</v>
      </c>
      <c r="X3451" s="35" t="str">
        <f>MID(Tabla1[[#This Row],[Aplicación]],14,6)</f>
        <v>609</v>
      </c>
    </row>
    <row r="3452" spans="1:24" x14ac:dyDescent="0.25">
      <c r="A3452" s="45">
        <v>220210034201</v>
      </c>
      <c r="B3452" s="46" t="s">
        <v>204</v>
      </c>
      <c r="C3452" s="47">
        <v>44378</v>
      </c>
      <c r="D3452" s="45">
        <v>22021002412</v>
      </c>
      <c r="E3452" s="46" t="s">
        <v>1487</v>
      </c>
      <c r="F3452" s="48">
        <v>3496.77</v>
      </c>
      <c r="G3452" s="46" t="s">
        <v>4200</v>
      </c>
      <c r="H3452" s="46" t="s">
        <v>5014</v>
      </c>
      <c r="I3452" s="45" t="s">
        <v>205</v>
      </c>
      <c r="J3452" s="46" t="s">
        <v>4202</v>
      </c>
      <c r="K3452" s="46" t="s">
        <v>146</v>
      </c>
      <c r="L3452" s="46" t="s">
        <v>12</v>
      </c>
      <c r="M3452" s="46" t="s">
        <v>13</v>
      </c>
      <c r="N3452" s="46" t="s">
        <v>14</v>
      </c>
      <c r="O3452" s="49" t="s">
        <v>814</v>
      </c>
      <c r="P3452" s="49" t="s">
        <v>4910</v>
      </c>
      <c r="Q3452" s="35" t="str">
        <f>MID(Tabla1[[#This Row],[Aplicación]],14,1)</f>
        <v>6</v>
      </c>
      <c r="R3452" s="35" t="s">
        <v>496</v>
      </c>
      <c r="S3452" s="35" t="str">
        <f>MID(Tabla1[[#This Row],[Aplicación]],6,2)</f>
        <v>08</v>
      </c>
      <c r="T3452" s="35" t="str">
        <f>VLOOKUP(Tabla1[[#This Row],[AREA]],Hoja1!A:B,2,FALSE)</f>
        <v>08. Movilidad y espacio urbano</v>
      </c>
      <c r="U3452" s="35" t="str">
        <f>MID(Tabla1[[#This Row],[Aplicación]],9,4)</f>
        <v>1532</v>
      </c>
      <c r="V3452" s="35" t="str">
        <f>VLOOKUP(Tabla1[[#This Row],[PROGRAMA]],Hoja1!A:B,2,FALSE)</f>
        <v>1532. Pavimentación vias públicas y otros servicios urbanísticos</v>
      </c>
      <c r="W3452" s="35" t="str">
        <f>MID(Tabla1[[#This Row],[Aplicación]],14,2)</f>
        <v>61</v>
      </c>
      <c r="X3452" s="35" t="str">
        <f>MID(Tabla1[[#This Row],[Aplicación]],14,6)</f>
        <v>619</v>
      </c>
    </row>
    <row r="3453" spans="1:24" x14ac:dyDescent="0.25">
      <c r="A3453" s="45">
        <v>220210037302</v>
      </c>
      <c r="B3453" s="46" t="s">
        <v>9</v>
      </c>
      <c r="C3453" s="47">
        <v>44392</v>
      </c>
      <c r="D3453" s="45">
        <v>22021005143</v>
      </c>
      <c r="E3453" s="46" t="s">
        <v>1724</v>
      </c>
      <c r="F3453" s="48">
        <v>2973.87</v>
      </c>
      <c r="G3453" s="46" t="s">
        <v>4200</v>
      </c>
      <c r="H3453" s="46" t="s">
        <v>5015</v>
      </c>
      <c r="I3453" s="45" t="s">
        <v>125</v>
      </c>
      <c r="J3453" s="46" t="s">
        <v>4202</v>
      </c>
      <c r="K3453" s="46" t="s">
        <v>146</v>
      </c>
      <c r="L3453" s="46" t="s">
        <v>12</v>
      </c>
      <c r="M3453" s="46" t="s">
        <v>13</v>
      </c>
      <c r="N3453" s="46" t="s">
        <v>14</v>
      </c>
      <c r="O3453" s="49" t="s">
        <v>814</v>
      </c>
      <c r="P3453" s="49" t="s">
        <v>4910</v>
      </c>
      <c r="Q3453" s="35" t="str">
        <f>MID(Tabla1[[#This Row],[Aplicación]],14,1)</f>
        <v>6</v>
      </c>
      <c r="R3453" s="35" t="s">
        <v>496</v>
      </c>
      <c r="S3453" s="35" t="str">
        <f>MID(Tabla1[[#This Row],[Aplicación]],6,2)</f>
        <v>07</v>
      </c>
      <c r="T3453" s="35" t="str">
        <f>VLOOKUP(Tabla1[[#This Row],[AREA]],Hoja1!A:B,2,FALSE)</f>
        <v>07. Medio ambiente y desarrollo sostenible</v>
      </c>
      <c r="U3453" s="35" t="str">
        <f>MID(Tabla1[[#This Row],[Aplicación]],9,4)</f>
        <v>1711</v>
      </c>
      <c r="V3453" s="35" t="str">
        <f>VLOOKUP(Tabla1[[#This Row],[PROGRAMA]],Hoja1!A:B,2,FALSE)</f>
        <v>1711. Parques y jardines</v>
      </c>
      <c r="W3453" s="35" t="str">
        <f>MID(Tabla1[[#This Row],[Aplicación]],14,2)</f>
        <v>61</v>
      </c>
      <c r="X3453" s="35" t="str">
        <f>MID(Tabla1[[#This Row],[Aplicación]],14,6)</f>
        <v>619</v>
      </c>
    </row>
    <row r="3454" spans="1:24" x14ac:dyDescent="0.25">
      <c r="A3454" s="45">
        <v>220210036835</v>
      </c>
      <c r="B3454" s="46" t="s">
        <v>9</v>
      </c>
      <c r="C3454" s="47">
        <v>44389</v>
      </c>
      <c r="D3454" s="45">
        <v>22021005104</v>
      </c>
      <c r="E3454" s="46" t="s">
        <v>1487</v>
      </c>
      <c r="F3454" s="48">
        <v>2792.65</v>
      </c>
      <c r="G3454" s="46" t="s">
        <v>4200</v>
      </c>
      <c r="H3454" s="46" t="s">
        <v>5016</v>
      </c>
      <c r="I3454" s="45" t="s">
        <v>125</v>
      </c>
      <c r="J3454" s="46" t="s">
        <v>4202</v>
      </c>
      <c r="K3454" s="46" t="s">
        <v>146</v>
      </c>
      <c r="L3454" s="46" t="s">
        <v>12</v>
      </c>
      <c r="M3454" s="46" t="s">
        <v>13</v>
      </c>
      <c r="N3454" s="46" t="s">
        <v>14</v>
      </c>
      <c r="O3454" s="49" t="s">
        <v>814</v>
      </c>
      <c r="P3454" s="49" t="s">
        <v>4910</v>
      </c>
      <c r="Q3454" s="35" t="str">
        <f>MID(Tabla1[[#This Row],[Aplicación]],14,1)</f>
        <v>6</v>
      </c>
      <c r="R3454" s="35" t="s">
        <v>496</v>
      </c>
      <c r="S3454" s="35" t="str">
        <f>MID(Tabla1[[#This Row],[Aplicación]],6,2)</f>
        <v>08</v>
      </c>
      <c r="T3454" s="35" t="str">
        <f>VLOOKUP(Tabla1[[#This Row],[AREA]],Hoja1!A:B,2,FALSE)</f>
        <v>08. Movilidad y espacio urbano</v>
      </c>
      <c r="U3454" s="35" t="str">
        <f>MID(Tabla1[[#This Row],[Aplicación]],9,4)</f>
        <v>1532</v>
      </c>
      <c r="V3454" s="35" t="str">
        <f>VLOOKUP(Tabla1[[#This Row],[PROGRAMA]],Hoja1!A:B,2,FALSE)</f>
        <v>1532. Pavimentación vias públicas y otros servicios urbanísticos</v>
      </c>
      <c r="W3454" s="35" t="str">
        <f>MID(Tabla1[[#This Row],[Aplicación]],14,2)</f>
        <v>61</v>
      </c>
      <c r="X3454" s="35" t="str">
        <f>MID(Tabla1[[#This Row],[Aplicación]],14,6)</f>
        <v>619</v>
      </c>
    </row>
    <row r="3455" spans="1:24" x14ac:dyDescent="0.25">
      <c r="A3455" s="45">
        <v>220210037299</v>
      </c>
      <c r="B3455" s="46" t="s">
        <v>9</v>
      </c>
      <c r="C3455" s="47">
        <v>44392</v>
      </c>
      <c r="D3455" s="45">
        <v>22021005145</v>
      </c>
      <c r="E3455" s="46" t="s">
        <v>1724</v>
      </c>
      <c r="F3455" s="48">
        <v>1755.95</v>
      </c>
      <c r="G3455" s="46" t="s">
        <v>4200</v>
      </c>
      <c r="H3455" s="46" t="s">
        <v>5017</v>
      </c>
      <c r="I3455" s="45" t="s">
        <v>125</v>
      </c>
      <c r="J3455" s="46" t="s">
        <v>4202</v>
      </c>
      <c r="K3455" s="46" t="s">
        <v>146</v>
      </c>
      <c r="L3455" s="46" t="s">
        <v>12</v>
      </c>
      <c r="M3455" s="46" t="s">
        <v>13</v>
      </c>
      <c r="N3455" s="46" t="s">
        <v>14</v>
      </c>
      <c r="O3455" s="49" t="s">
        <v>814</v>
      </c>
      <c r="P3455" s="49" t="s">
        <v>4910</v>
      </c>
      <c r="Q3455" s="35" t="str">
        <f>MID(Tabla1[[#This Row],[Aplicación]],14,1)</f>
        <v>6</v>
      </c>
      <c r="R3455" s="35" t="s">
        <v>496</v>
      </c>
      <c r="S3455" s="35" t="str">
        <f>MID(Tabla1[[#This Row],[Aplicación]],6,2)</f>
        <v>07</v>
      </c>
      <c r="T3455" s="35" t="str">
        <f>VLOOKUP(Tabla1[[#This Row],[AREA]],Hoja1!A:B,2,FALSE)</f>
        <v>07. Medio ambiente y desarrollo sostenible</v>
      </c>
      <c r="U3455" s="35" t="str">
        <f>MID(Tabla1[[#This Row],[Aplicación]],9,4)</f>
        <v>1711</v>
      </c>
      <c r="V3455" s="35" t="str">
        <f>VLOOKUP(Tabla1[[#This Row],[PROGRAMA]],Hoja1!A:B,2,FALSE)</f>
        <v>1711. Parques y jardines</v>
      </c>
      <c r="W3455" s="35" t="str">
        <f>MID(Tabla1[[#This Row],[Aplicación]],14,2)</f>
        <v>61</v>
      </c>
      <c r="X3455" s="35" t="str">
        <f>MID(Tabla1[[#This Row],[Aplicación]],14,6)</f>
        <v>619</v>
      </c>
    </row>
    <row r="3456" spans="1:24" x14ac:dyDescent="0.25">
      <c r="A3456" s="45">
        <v>220210043856</v>
      </c>
      <c r="B3456" s="46" t="s">
        <v>9</v>
      </c>
      <c r="C3456" s="47">
        <v>44405</v>
      </c>
      <c r="D3456" s="45">
        <v>22021004898</v>
      </c>
      <c r="E3456" s="46" t="s">
        <v>1724</v>
      </c>
      <c r="F3456" s="48">
        <v>1544.29</v>
      </c>
      <c r="G3456" s="46" t="s">
        <v>4200</v>
      </c>
      <c r="H3456" s="46" t="s">
        <v>5018</v>
      </c>
      <c r="I3456" s="45" t="s">
        <v>125</v>
      </c>
      <c r="J3456" s="46" t="s">
        <v>4202</v>
      </c>
      <c r="K3456" s="46" t="s">
        <v>146</v>
      </c>
      <c r="L3456" s="46" t="s">
        <v>12</v>
      </c>
      <c r="M3456" s="46" t="s">
        <v>13</v>
      </c>
      <c r="N3456" s="46" t="s">
        <v>14</v>
      </c>
      <c r="O3456" s="49" t="s">
        <v>814</v>
      </c>
      <c r="P3456" s="49" t="s">
        <v>4910</v>
      </c>
      <c r="Q3456" s="35" t="str">
        <f>MID(Tabla1[[#This Row],[Aplicación]],14,1)</f>
        <v>6</v>
      </c>
      <c r="R3456" s="35" t="s">
        <v>496</v>
      </c>
      <c r="S3456" s="35" t="str">
        <f>MID(Tabla1[[#This Row],[Aplicación]],6,2)</f>
        <v>07</v>
      </c>
      <c r="T3456" s="35" t="str">
        <f>VLOOKUP(Tabla1[[#This Row],[AREA]],Hoja1!A:B,2,FALSE)</f>
        <v>07. Medio ambiente y desarrollo sostenible</v>
      </c>
      <c r="U3456" s="35" t="str">
        <f>MID(Tabla1[[#This Row],[Aplicación]],9,4)</f>
        <v>1711</v>
      </c>
      <c r="V3456" s="35" t="str">
        <f>VLOOKUP(Tabla1[[#This Row],[PROGRAMA]],Hoja1!A:B,2,FALSE)</f>
        <v>1711. Parques y jardines</v>
      </c>
      <c r="W3456" s="35" t="str">
        <f>MID(Tabla1[[#This Row],[Aplicación]],14,2)</f>
        <v>61</v>
      </c>
      <c r="X3456" s="35" t="str">
        <f>MID(Tabla1[[#This Row],[Aplicación]],14,6)</f>
        <v>619</v>
      </c>
    </row>
    <row r="3457" spans="1:24" x14ac:dyDescent="0.25">
      <c r="A3457" s="45">
        <v>220210037241</v>
      </c>
      <c r="B3457" s="46" t="s">
        <v>204</v>
      </c>
      <c r="C3457" s="47">
        <v>44391</v>
      </c>
      <c r="D3457" s="45">
        <v>22021002556</v>
      </c>
      <c r="E3457" s="46" t="s">
        <v>3334</v>
      </c>
      <c r="F3457" s="48">
        <v>1219.68</v>
      </c>
      <c r="G3457" s="46" t="s">
        <v>4200</v>
      </c>
      <c r="H3457" s="46" t="s">
        <v>5019</v>
      </c>
      <c r="I3457" s="45" t="s">
        <v>205</v>
      </c>
      <c r="J3457" s="46" t="s">
        <v>4202</v>
      </c>
      <c r="K3457" s="46" t="s">
        <v>146</v>
      </c>
      <c r="L3457" s="46" t="s">
        <v>12</v>
      </c>
      <c r="M3457" s="46" t="s">
        <v>13</v>
      </c>
      <c r="N3457" s="46" t="s">
        <v>14</v>
      </c>
      <c r="O3457" s="49" t="s">
        <v>814</v>
      </c>
      <c r="P3457" s="49" t="s">
        <v>4910</v>
      </c>
      <c r="Q3457" s="35" t="str">
        <f>MID(Tabla1[[#This Row],[Aplicación]],14,1)</f>
        <v>6</v>
      </c>
      <c r="R3457" s="35" t="s">
        <v>496</v>
      </c>
      <c r="S3457" s="35" t="str">
        <f>MID(Tabla1[[#This Row],[Aplicación]],6,2)</f>
        <v>11</v>
      </c>
      <c r="T3457" s="35" t="str">
        <f>VLOOKUP(Tabla1[[#This Row],[AREA]],Hoja1!A:B,2,FALSE)</f>
        <v>11. Salud pública y seguridad ciudadana</v>
      </c>
      <c r="U3457" s="35" t="str">
        <f>MID(Tabla1[[#This Row],[Aplicación]],9,4)</f>
        <v>3111</v>
      </c>
      <c r="V3457" s="35" t="str">
        <f>VLOOKUP(Tabla1[[#This Row],[PROGRAMA]],Hoja1!A:B,2,FALSE)</f>
        <v>3111. Protección de la salubridad pública</v>
      </c>
      <c r="W3457" s="35" t="str">
        <f>MID(Tabla1[[#This Row],[Aplicación]],14,2)</f>
        <v>63</v>
      </c>
      <c r="X3457" s="35" t="str">
        <f>MID(Tabla1[[#This Row],[Aplicación]],14,6)</f>
        <v>632</v>
      </c>
    </row>
    <row r="3458" spans="1:24" x14ac:dyDescent="0.25">
      <c r="A3458" s="45">
        <v>220210043879</v>
      </c>
      <c r="B3458" s="46" t="s">
        <v>9</v>
      </c>
      <c r="C3458" s="47">
        <v>44405</v>
      </c>
      <c r="D3458" s="45">
        <v>22021005172</v>
      </c>
      <c r="E3458" s="46" t="s">
        <v>1724</v>
      </c>
      <c r="F3458" s="48">
        <v>831.43</v>
      </c>
      <c r="G3458" s="46" t="s">
        <v>4200</v>
      </c>
      <c r="H3458" s="46" t="s">
        <v>5020</v>
      </c>
      <c r="I3458" s="45" t="s">
        <v>125</v>
      </c>
      <c r="J3458" s="46" t="s">
        <v>4202</v>
      </c>
      <c r="K3458" s="46" t="s">
        <v>146</v>
      </c>
      <c r="L3458" s="46" t="s">
        <v>12</v>
      </c>
      <c r="M3458" s="46" t="s">
        <v>13</v>
      </c>
      <c r="N3458" s="46" t="s">
        <v>14</v>
      </c>
      <c r="O3458" s="49" t="s">
        <v>814</v>
      </c>
      <c r="P3458" s="49" t="s">
        <v>4910</v>
      </c>
      <c r="Q3458" s="35" t="str">
        <f>MID(Tabla1[[#This Row],[Aplicación]],14,1)</f>
        <v>6</v>
      </c>
      <c r="R3458" s="35" t="s">
        <v>496</v>
      </c>
      <c r="S3458" s="35" t="str">
        <f>MID(Tabla1[[#This Row],[Aplicación]],6,2)</f>
        <v>07</v>
      </c>
      <c r="T3458" s="35" t="str">
        <f>VLOOKUP(Tabla1[[#This Row],[AREA]],Hoja1!A:B,2,FALSE)</f>
        <v>07. Medio ambiente y desarrollo sostenible</v>
      </c>
      <c r="U3458" s="35" t="str">
        <f>MID(Tabla1[[#This Row],[Aplicación]],9,4)</f>
        <v>1711</v>
      </c>
      <c r="V3458" s="35" t="str">
        <f>VLOOKUP(Tabla1[[#This Row],[PROGRAMA]],Hoja1!A:B,2,FALSE)</f>
        <v>1711. Parques y jardines</v>
      </c>
      <c r="W3458" s="35" t="str">
        <f>MID(Tabla1[[#This Row],[Aplicación]],14,2)</f>
        <v>61</v>
      </c>
      <c r="X3458" s="35" t="str">
        <f>MID(Tabla1[[#This Row],[Aplicación]],14,6)</f>
        <v>619</v>
      </c>
    </row>
    <row r="3459" spans="1:24" x14ac:dyDescent="0.25">
      <c r="A3459" s="45">
        <v>220210038356</v>
      </c>
      <c r="B3459" s="46" t="s">
        <v>9</v>
      </c>
      <c r="C3459" s="47">
        <v>44392</v>
      </c>
      <c r="D3459" s="45">
        <v>22021005582</v>
      </c>
      <c r="E3459" s="46" t="s">
        <v>4914</v>
      </c>
      <c r="F3459" s="48">
        <v>668.07</v>
      </c>
      <c r="G3459" s="46" t="s">
        <v>4200</v>
      </c>
      <c r="H3459" s="46" t="s">
        <v>5021</v>
      </c>
      <c r="I3459" s="45" t="s">
        <v>125</v>
      </c>
      <c r="J3459" s="46" t="s">
        <v>4202</v>
      </c>
      <c r="K3459" s="46" t="s">
        <v>146</v>
      </c>
      <c r="L3459" s="46" t="s">
        <v>31</v>
      </c>
      <c r="M3459" s="46" t="s">
        <v>13</v>
      </c>
      <c r="N3459" s="46" t="s">
        <v>14</v>
      </c>
      <c r="O3459" s="49" t="s">
        <v>814</v>
      </c>
      <c r="P3459" s="49" t="s">
        <v>4910</v>
      </c>
      <c r="Q3459" s="35" t="str">
        <f>MID(Tabla1[[#This Row],[Aplicación]],14,1)</f>
        <v>6</v>
      </c>
      <c r="R3459" s="35" t="s">
        <v>496</v>
      </c>
      <c r="S3459" s="35" t="str">
        <f>MID(Tabla1[[#This Row],[Aplicación]],6,2)</f>
        <v>05</v>
      </c>
      <c r="T3459" s="35" t="str">
        <f>VLOOKUP(Tabla1[[#This Row],[AREA]],Hoja1!A:B,2,FALSE)</f>
        <v>05. Innovación, desarrollo económico, empleo y comercio</v>
      </c>
      <c r="U3459" s="35" t="str">
        <f>MID(Tabla1[[#This Row],[Aplicación]],9,4)</f>
        <v>4314</v>
      </c>
      <c r="V3459" s="35" t="str">
        <f>VLOOKUP(Tabla1[[#This Row],[PROGRAMA]],Hoja1!A:B,2,FALSE)</f>
        <v>4314. Fomento del comercio</v>
      </c>
      <c r="W3459" s="35" t="str">
        <f>MID(Tabla1[[#This Row],[Aplicación]],14,2)</f>
        <v>63</v>
      </c>
      <c r="X3459" s="35" t="str">
        <f>MID(Tabla1[[#This Row],[Aplicación]],14,6)</f>
        <v>632</v>
      </c>
    </row>
    <row r="3460" spans="1:24" x14ac:dyDescent="0.25">
      <c r="A3460" s="45">
        <v>220210041566</v>
      </c>
      <c r="B3460" s="46" t="s">
        <v>9</v>
      </c>
      <c r="C3460" s="47">
        <v>44398</v>
      </c>
      <c r="D3460" s="45">
        <v>22021005614</v>
      </c>
      <c r="E3460" s="46" t="s">
        <v>816</v>
      </c>
      <c r="F3460" s="48">
        <v>642.73</v>
      </c>
      <c r="G3460" s="46" t="s">
        <v>4200</v>
      </c>
      <c r="H3460" s="46" t="s">
        <v>5022</v>
      </c>
      <c r="I3460" s="45" t="s">
        <v>125</v>
      </c>
      <c r="J3460" s="46" t="s">
        <v>4202</v>
      </c>
      <c r="K3460" s="46" t="s">
        <v>146</v>
      </c>
      <c r="L3460" s="46" t="s">
        <v>12</v>
      </c>
      <c r="M3460" s="46" t="s">
        <v>13</v>
      </c>
      <c r="N3460" s="46" t="s">
        <v>14</v>
      </c>
      <c r="O3460" s="49" t="s">
        <v>814</v>
      </c>
      <c r="P3460" s="49" t="s">
        <v>4910</v>
      </c>
      <c r="Q3460" s="35" t="str">
        <f>MID(Tabla1[[#This Row],[Aplicación]],14,1)</f>
        <v>2</v>
      </c>
      <c r="R3460" s="35" t="s">
        <v>495</v>
      </c>
      <c r="S3460" s="35" t="str">
        <f>MID(Tabla1[[#This Row],[Aplicación]],6,2)</f>
        <v>06</v>
      </c>
      <c r="T3460" s="35" t="str">
        <f>VLOOKUP(Tabla1[[#This Row],[AREA]],Hoja1!A:B,2,FALSE)</f>
        <v>06. Educación, infancia, juventud e igualdad</v>
      </c>
      <c r="U3460" s="35" t="str">
        <f>MID(Tabla1[[#This Row],[Aplicación]],9,4)</f>
        <v>3232</v>
      </c>
      <c r="V3460" s="35" t="str">
        <f>VLOOKUP(Tabla1[[#This Row],[PROGRAMA]],Hoja1!A:B,2,FALSE)</f>
        <v>3232. Conservación y mantenimiento centros educación infantil y primaria</v>
      </c>
      <c r="W3460" s="35" t="str">
        <f>MID(Tabla1[[#This Row],[Aplicación]],14,2)</f>
        <v>22</v>
      </c>
      <c r="X3460" s="35" t="str">
        <f>MID(Tabla1[[#This Row],[Aplicación]],14,6)</f>
        <v>22706</v>
      </c>
    </row>
    <row r="3461" spans="1:24" x14ac:dyDescent="0.25">
      <c r="A3461" s="45">
        <v>220210044271</v>
      </c>
      <c r="B3461" s="46" t="s">
        <v>9</v>
      </c>
      <c r="C3461" s="47">
        <v>44406</v>
      </c>
      <c r="D3461" s="45">
        <v>22021005910</v>
      </c>
      <c r="E3461" s="46" t="s">
        <v>4914</v>
      </c>
      <c r="F3461" s="48">
        <v>490.33</v>
      </c>
      <c r="G3461" s="46" t="s">
        <v>4200</v>
      </c>
      <c r="H3461" s="46" t="s">
        <v>5023</v>
      </c>
      <c r="I3461" s="45" t="s">
        <v>125</v>
      </c>
      <c r="J3461" s="46" t="s">
        <v>4202</v>
      </c>
      <c r="K3461" s="46" t="s">
        <v>146</v>
      </c>
      <c r="L3461" s="46" t="s">
        <v>12</v>
      </c>
      <c r="M3461" s="46" t="s">
        <v>13</v>
      </c>
      <c r="N3461" s="46" t="s">
        <v>14</v>
      </c>
      <c r="O3461" s="49" t="s">
        <v>814</v>
      </c>
      <c r="P3461" s="49" t="s">
        <v>4910</v>
      </c>
      <c r="Q3461" s="35" t="str">
        <f>MID(Tabla1[[#This Row],[Aplicación]],14,1)</f>
        <v>6</v>
      </c>
      <c r="R3461" s="35" t="s">
        <v>496</v>
      </c>
      <c r="S3461" s="35" t="str">
        <f>MID(Tabla1[[#This Row],[Aplicación]],6,2)</f>
        <v>05</v>
      </c>
      <c r="T3461" s="35" t="str">
        <f>VLOOKUP(Tabla1[[#This Row],[AREA]],Hoja1!A:B,2,FALSE)</f>
        <v>05. Innovación, desarrollo económico, empleo y comercio</v>
      </c>
      <c r="U3461" s="35" t="str">
        <f>MID(Tabla1[[#This Row],[Aplicación]],9,4)</f>
        <v>4314</v>
      </c>
      <c r="V3461" s="35" t="str">
        <f>VLOOKUP(Tabla1[[#This Row],[PROGRAMA]],Hoja1!A:B,2,FALSE)</f>
        <v>4314. Fomento del comercio</v>
      </c>
      <c r="W3461" s="35" t="str">
        <f>MID(Tabla1[[#This Row],[Aplicación]],14,2)</f>
        <v>63</v>
      </c>
      <c r="X3461" s="35" t="str">
        <f>MID(Tabla1[[#This Row],[Aplicación]],14,6)</f>
        <v>632</v>
      </c>
    </row>
    <row r="3462" spans="1:24" x14ac:dyDescent="0.25">
      <c r="A3462" s="45">
        <v>220210042108</v>
      </c>
      <c r="B3462" s="46" t="s">
        <v>9</v>
      </c>
      <c r="C3462" s="47">
        <v>44400</v>
      </c>
      <c r="D3462" s="45">
        <v>22021005621</v>
      </c>
      <c r="E3462" s="46" t="s">
        <v>3308</v>
      </c>
      <c r="F3462" s="48">
        <v>454.85</v>
      </c>
      <c r="G3462" s="46" t="s">
        <v>4200</v>
      </c>
      <c r="H3462" s="46" t="s">
        <v>5024</v>
      </c>
      <c r="I3462" s="45" t="s">
        <v>125</v>
      </c>
      <c r="J3462" s="46" t="s">
        <v>4202</v>
      </c>
      <c r="K3462" s="46" t="s">
        <v>146</v>
      </c>
      <c r="L3462" s="46" t="s">
        <v>12</v>
      </c>
      <c r="M3462" s="46" t="s">
        <v>13</v>
      </c>
      <c r="N3462" s="46" t="s">
        <v>14</v>
      </c>
      <c r="O3462" s="49" t="s">
        <v>814</v>
      </c>
      <c r="P3462" s="49" t="s">
        <v>4910</v>
      </c>
      <c r="Q3462" s="35" t="str">
        <f>MID(Tabla1[[#This Row],[Aplicación]],14,1)</f>
        <v>6</v>
      </c>
      <c r="R3462" s="35" t="s">
        <v>496</v>
      </c>
      <c r="S3462" s="35" t="str">
        <f>MID(Tabla1[[#This Row],[Aplicación]],6,2)</f>
        <v>06</v>
      </c>
      <c r="T3462" s="35" t="str">
        <f>VLOOKUP(Tabla1[[#This Row],[AREA]],Hoja1!A:B,2,FALSE)</f>
        <v>06. Educación, infancia, juventud e igualdad</v>
      </c>
      <c r="U3462" s="35" t="str">
        <f>MID(Tabla1[[#This Row],[Aplicación]],9,4)</f>
        <v>3232</v>
      </c>
      <c r="V3462" s="35" t="str">
        <f>VLOOKUP(Tabla1[[#This Row],[PROGRAMA]],Hoja1!A:B,2,FALSE)</f>
        <v>3232. Conservación y mantenimiento centros educación infantil y primaria</v>
      </c>
      <c r="W3462" s="35" t="str">
        <f>MID(Tabla1[[#This Row],[Aplicación]],14,2)</f>
        <v>63</v>
      </c>
      <c r="X3462" s="35" t="str">
        <f>MID(Tabla1[[#This Row],[Aplicación]],14,6)</f>
        <v>632</v>
      </c>
    </row>
    <row r="3463" spans="1:24" x14ac:dyDescent="0.25">
      <c r="A3463" s="45">
        <v>220210043821</v>
      </c>
      <c r="B3463" s="46" t="s">
        <v>9</v>
      </c>
      <c r="C3463" s="47">
        <v>44404</v>
      </c>
      <c r="D3463" s="45">
        <v>22021005780</v>
      </c>
      <c r="E3463" s="46" t="s">
        <v>4911</v>
      </c>
      <c r="F3463" s="48">
        <v>441.26</v>
      </c>
      <c r="G3463" s="46" t="s">
        <v>4200</v>
      </c>
      <c r="H3463" s="46" t="s">
        <v>5025</v>
      </c>
      <c r="I3463" s="45" t="s">
        <v>125</v>
      </c>
      <c r="J3463" s="46" t="s">
        <v>4202</v>
      </c>
      <c r="K3463" s="46" t="s">
        <v>146</v>
      </c>
      <c r="L3463" s="46" t="s">
        <v>12</v>
      </c>
      <c r="M3463" s="46" t="s">
        <v>13</v>
      </c>
      <c r="N3463" s="46" t="s">
        <v>14</v>
      </c>
      <c r="O3463" s="49" t="s">
        <v>814</v>
      </c>
      <c r="P3463" s="49" t="s">
        <v>4910</v>
      </c>
      <c r="Q3463" s="35" t="str">
        <f>MID(Tabla1[[#This Row],[Aplicación]],14,1)</f>
        <v>6</v>
      </c>
      <c r="R3463" s="35" t="s">
        <v>496</v>
      </c>
      <c r="S3463" s="35" t="str">
        <f>MID(Tabla1[[#This Row],[Aplicación]],6,2)</f>
        <v>09</v>
      </c>
      <c r="T3463" s="35" t="str">
        <f>VLOOKUP(Tabla1[[#This Row],[AREA]],Hoja1!A:B,2,FALSE)</f>
        <v>09. Cultura y turismo</v>
      </c>
      <c r="U3463" s="35" t="str">
        <f>MID(Tabla1[[#This Row],[Aplicación]],9,4)</f>
        <v>3341</v>
      </c>
      <c r="V3463" s="35" t="str">
        <f>VLOOKUP(Tabla1[[#This Row],[PROGRAMA]],Hoja1!A:B,2,FALSE)</f>
        <v>3341. Coordinación de políticas culturales</v>
      </c>
      <c r="W3463" s="35" t="str">
        <f>MID(Tabla1[[#This Row],[Aplicación]],14,2)</f>
        <v>63</v>
      </c>
      <c r="X3463" s="35" t="str">
        <f>MID(Tabla1[[#This Row],[Aplicación]],14,6)</f>
        <v>632</v>
      </c>
    </row>
    <row r="3464" spans="1:24" x14ac:dyDescent="0.25">
      <c r="A3464" s="45">
        <v>220210035421</v>
      </c>
      <c r="B3464" s="46" t="s">
        <v>9</v>
      </c>
      <c r="C3464" s="47">
        <v>44379</v>
      </c>
      <c r="D3464" s="45">
        <v>22021005158</v>
      </c>
      <c r="E3464" s="46" t="s">
        <v>3308</v>
      </c>
      <c r="F3464" s="48">
        <v>326.31</v>
      </c>
      <c r="G3464" s="46" t="s">
        <v>4200</v>
      </c>
      <c r="H3464" s="46" t="s">
        <v>5026</v>
      </c>
      <c r="I3464" s="45" t="s">
        <v>125</v>
      </c>
      <c r="J3464" s="46" t="s">
        <v>4202</v>
      </c>
      <c r="K3464" s="46" t="s">
        <v>146</v>
      </c>
      <c r="L3464" s="46" t="s">
        <v>12</v>
      </c>
      <c r="M3464" s="46" t="s">
        <v>13</v>
      </c>
      <c r="N3464" s="46" t="s">
        <v>14</v>
      </c>
      <c r="O3464" s="49" t="s">
        <v>814</v>
      </c>
      <c r="P3464" s="49" t="s">
        <v>4910</v>
      </c>
      <c r="Q3464" s="35" t="str">
        <f>MID(Tabla1[[#This Row],[Aplicación]],14,1)</f>
        <v>6</v>
      </c>
      <c r="R3464" s="35" t="s">
        <v>496</v>
      </c>
      <c r="S3464" s="35" t="str">
        <f>MID(Tabla1[[#This Row],[Aplicación]],6,2)</f>
        <v>06</v>
      </c>
      <c r="T3464" s="35" t="str">
        <f>VLOOKUP(Tabla1[[#This Row],[AREA]],Hoja1!A:B,2,FALSE)</f>
        <v>06. Educación, infancia, juventud e igualdad</v>
      </c>
      <c r="U3464" s="35" t="str">
        <f>MID(Tabla1[[#This Row],[Aplicación]],9,4)</f>
        <v>3232</v>
      </c>
      <c r="V3464" s="35" t="str">
        <f>VLOOKUP(Tabla1[[#This Row],[PROGRAMA]],Hoja1!A:B,2,FALSE)</f>
        <v>3232. Conservación y mantenimiento centros educación infantil y primaria</v>
      </c>
      <c r="W3464" s="35" t="str">
        <f>MID(Tabla1[[#This Row],[Aplicación]],14,2)</f>
        <v>63</v>
      </c>
      <c r="X3464" s="35" t="str">
        <f>MID(Tabla1[[#This Row],[Aplicación]],14,6)</f>
        <v>632</v>
      </c>
    </row>
    <row r="3465" spans="1:24" x14ac:dyDescent="0.25">
      <c r="A3465" s="45">
        <v>220210042110</v>
      </c>
      <c r="B3465" s="46" t="s">
        <v>9</v>
      </c>
      <c r="C3465" s="47">
        <v>44400</v>
      </c>
      <c r="D3465" s="45">
        <v>22021005625</v>
      </c>
      <c r="E3465" s="46" t="s">
        <v>3308</v>
      </c>
      <c r="F3465" s="48">
        <v>278.72000000000003</v>
      </c>
      <c r="G3465" s="46" t="s">
        <v>4200</v>
      </c>
      <c r="H3465" s="46" t="s">
        <v>5027</v>
      </c>
      <c r="I3465" s="45" t="s">
        <v>125</v>
      </c>
      <c r="J3465" s="46" t="s">
        <v>4202</v>
      </c>
      <c r="K3465" s="46" t="s">
        <v>146</v>
      </c>
      <c r="L3465" s="46" t="s">
        <v>12</v>
      </c>
      <c r="M3465" s="46" t="s">
        <v>13</v>
      </c>
      <c r="N3465" s="46" t="s">
        <v>14</v>
      </c>
      <c r="O3465" s="49" t="s">
        <v>814</v>
      </c>
      <c r="P3465" s="49" t="s">
        <v>4910</v>
      </c>
      <c r="Q3465" s="35" t="str">
        <f>MID(Tabla1[[#This Row],[Aplicación]],14,1)</f>
        <v>6</v>
      </c>
      <c r="R3465" s="35" t="s">
        <v>496</v>
      </c>
      <c r="S3465" s="35" t="str">
        <f>MID(Tabla1[[#This Row],[Aplicación]],6,2)</f>
        <v>06</v>
      </c>
      <c r="T3465" s="35" t="str">
        <f>VLOOKUP(Tabla1[[#This Row],[AREA]],Hoja1!A:B,2,FALSE)</f>
        <v>06. Educación, infancia, juventud e igualdad</v>
      </c>
      <c r="U3465" s="35" t="str">
        <f>MID(Tabla1[[#This Row],[Aplicación]],9,4)</f>
        <v>3232</v>
      </c>
      <c r="V3465" s="35" t="str">
        <f>VLOOKUP(Tabla1[[#This Row],[PROGRAMA]],Hoja1!A:B,2,FALSE)</f>
        <v>3232. Conservación y mantenimiento centros educación infantil y primaria</v>
      </c>
      <c r="W3465" s="35" t="str">
        <f>MID(Tabla1[[#This Row],[Aplicación]],14,2)</f>
        <v>63</v>
      </c>
      <c r="X3465" s="35" t="str">
        <f>MID(Tabla1[[#This Row],[Aplicación]],14,6)</f>
        <v>632</v>
      </c>
    </row>
    <row r="3466" spans="1:24" x14ac:dyDescent="0.25">
      <c r="A3466" s="45">
        <v>220210043876</v>
      </c>
      <c r="B3466" s="46" t="s">
        <v>9</v>
      </c>
      <c r="C3466" s="47">
        <v>44405</v>
      </c>
      <c r="D3466" s="45">
        <v>22021005788</v>
      </c>
      <c r="E3466" s="46" t="s">
        <v>3310</v>
      </c>
      <c r="F3466" s="48">
        <v>165.54</v>
      </c>
      <c r="G3466" s="46" t="s">
        <v>4200</v>
      </c>
      <c r="H3466" s="46" t="s">
        <v>5028</v>
      </c>
      <c r="I3466" s="45" t="s">
        <v>125</v>
      </c>
      <c r="J3466" s="46" t="s">
        <v>4202</v>
      </c>
      <c r="K3466" s="46" t="s">
        <v>146</v>
      </c>
      <c r="L3466" s="46" t="s">
        <v>12</v>
      </c>
      <c r="M3466" s="46" t="s">
        <v>13</v>
      </c>
      <c r="N3466" s="46" t="s">
        <v>14</v>
      </c>
      <c r="O3466" s="49" t="s">
        <v>814</v>
      </c>
      <c r="P3466" s="49" t="s">
        <v>4910</v>
      </c>
      <c r="Q3466" s="35" t="str">
        <f>MID(Tabla1[[#This Row],[Aplicación]],14,1)</f>
        <v>6</v>
      </c>
      <c r="R3466" s="35" t="s">
        <v>496</v>
      </c>
      <c r="S3466" s="35" t="str">
        <f>MID(Tabla1[[#This Row],[Aplicación]],6,2)</f>
        <v>06</v>
      </c>
      <c r="T3466" s="35" t="str">
        <f>VLOOKUP(Tabla1[[#This Row],[AREA]],Hoja1!A:B,2,FALSE)</f>
        <v>06. Educación, infancia, juventud e igualdad</v>
      </c>
      <c r="U3466" s="35" t="str">
        <f>MID(Tabla1[[#This Row],[Aplicación]],9,4)</f>
        <v>3231</v>
      </c>
      <c r="V3466" s="35" t="str">
        <f>VLOOKUP(Tabla1[[#This Row],[PROGRAMA]],Hoja1!A:B,2,FALSE)</f>
        <v>3231. Escuelas infantiles</v>
      </c>
      <c r="W3466" s="35" t="str">
        <f>MID(Tabla1[[#This Row],[Aplicación]],14,2)</f>
        <v>63</v>
      </c>
      <c r="X3466" s="35" t="str">
        <f>MID(Tabla1[[#This Row],[Aplicación]],14,6)</f>
        <v>632</v>
      </c>
    </row>
    <row r="3467" spans="1:24" x14ac:dyDescent="0.25">
      <c r="A3467" s="45">
        <v>220210037288</v>
      </c>
      <c r="B3467" s="46" t="s">
        <v>9</v>
      </c>
      <c r="C3467" s="47">
        <v>44391</v>
      </c>
      <c r="D3467" s="45">
        <v>22021004411</v>
      </c>
      <c r="E3467" s="46" t="s">
        <v>1542</v>
      </c>
      <c r="F3467" s="48">
        <v>25.41</v>
      </c>
      <c r="G3467" s="46" t="s">
        <v>4200</v>
      </c>
      <c r="H3467" s="46" t="s">
        <v>5029</v>
      </c>
      <c r="I3467" s="45" t="s">
        <v>216</v>
      </c>
      <c r="J3467" s="46" t="s">
        <v>4202</v>
      </c>
      <c r="K3467" s="46" t="s">
        <v>146</v>
      </c>
      <c r="L3467" s="46" t="s">
        <v>31</v>
      </c>
      <c r="M3467" s="46" t="s">
        <v>13</v>
      </c>
      <c r="N3467" s="46" t="s">
        <v>14</v>
      </c>
      <c r="O3467" s="49" t="s">
        <v>814</v>
      </c>
      <c r="P3467" s="49" t="s">
        <v>4910</v>
      </c>
      <c r="Q3467" s="35" t="str">
        <f>MID(Tabla1[[#This Row],[Aplicación]],14,1)</f>
        <v>6</v>
      </c>
      <c r="R3467" s="35" t="s">
        <v>496</v>
      </c>
      <c r="S3467" s="35" t="str">
        <f>MID(Tabla1[[#This Row],[Aplicación]],6,2)</f>
        <v>05</v>
      </c>
      <c r="T3467" s="35" t="str">
        <f>VLOOKUP(Tabla1[[#This Row],[AREA]],Hoja1!A:B,2,FALSE)</f>
        <v>05. Innovación, desarrollo económico, empleo y comercio</v>
      </c>
      <c r="U3467" s="35" t="str">
        <f>MID(Tabla1[[#This Row],[Aplicación]],9,4)</f>
        <v>4331</v>
      </c>
      <c r="V3467" s="35" t="str">
        <f>VLOOKUP(Tabla1[[#This Row],[PROGRAMA]],Hoja1!A:B,2,FALSE)</f>
        <v>4331. Desarrollo empresarial</v>
      </c>
      <c r="W3467" s="35" t="str">
        <f>MID(Tabla1[[#This Row],[Aplicación]],14,2)</f>
        <v>60</v>
      </c>
      <c r="X3467" s="35" t="str">
        <f>MID(Tabla1[[#This Row],[Aplicación]],14,6)</f>
        <v>609</v>
      </c>
    </row>
    <row r="3468" spans="1:24" x14ac:dyDescent="0.25">
      <c r="A3468" s="45">
        <v>220210056343</v>
      </c>
      <c r="B3468" s="46" t="s">
        <v>9</v>
      </c>
      <c r="C3468" s="47">
        <v>44454</v>
      </c>
      <c r="D3468" s="45">
        <v>22021006300</v>
      </c>
      <c r="E3468" s="46" t="s">
        <v>4923</v>
      </c>
      <c r="F3468" s="48">
        <v>4588.8</v>
      </c>
      <c r="G3468" s="46" t="s">
        <v>4200</v>
      </c>
      <c r="H3468" s="46" t="s">
        <v>5030</v>
      </c>
      <c r="I3468" s="45" t="s">
        <v>125</v>
      </c>
      <c r="J3468" s="46" t="s">
        <v>4202</v>
      </c>
      <c r="K3468" s="46" t="s">
        <v>146</v>
      </c>
      <c r="L3468" s="46" t="s">
        <v>12</v>
      </c>
      <c r="M3468" s="46" t="s">
        <v>13</v>
      </c>
      <c r="N3468" s="46" t="s">
        <v>14</v>
      </c>
      <c r="O3468" s="49" t="s">
        <v>814</v>
      </c>
      <c r="P3468" s="49" t="s">
        <v>4910</v>
      </c>
      <c r="Q3468" s="35" t="str">
        <f>MID(Tabla1[[#This Row],[Aplicación]],14,1)</f>
        <v>6</v>
      </c>
      <c r="R3468" s="35" t="s">
        <v>496</v>
      </c>
      <c r="S3468" s="35" t="str">
        <f>MID(Tabla1[[#This Row],[Aplicación]],6,2)</f>
        <v>06</v>
      </c>
      <c r="T3468" s="35" t="str">
        <f>VLOOKUP(Tabla1[[#This Row],[AREA]],Hoja1!A:B,2,FALSE)</f>
        <v>06. Educación, infancia, juventud e igualdad</v>
      </c>
      <c r="U3468" s="35" t="str">
        <f>MID(Tabla1[[#This Row],[Aplicación]],9,4)</f>
        <v>3231</v>
      </c>
      <c r="V3468" s="35" t="str">
        <f>VLOOKUP(Tabla1[[#This Row],[PROGRAMA]],Hoja1!A:B,2,FALSE)</f>
        <v>3231. Escuelas infantiles</v>
      </c>
      <c r="W3468" s="35" t="str">
        <f>MID(Tabla1[[#This Row],[Aplicación]],14,2)</f>
        <v>62</v>
      </c>
      <c r="X3468" s="35" t="str">
        <f>MID(Tabla1[[#This Row],[Aplicación]],14,6)</f>
        <v>622</v>
      </c>
    </row>
    <row r="3469" spans="1:24" x14ac:dyDescent="0.25">
      <c r="A3469" s="45">
        <v>220210056353</v>
      </c>
      <c r="B3469" s="46" t="s">
        <v>9</v>
      </c>
      <c r="C3469" s="47">
        <v>44454</v>
      </c>
      <c r="D3469" s="45">
        <v>22021006364</v>
      </c>
      <c r="E3469" s="46" t="s">
        <v>1724</v>
      </c>
      <c r="F3469" s="48">
        <v>3318.9</v>
      </c>
      <c r="G3469" s="46" t="s">
        <v>4200</v>
      </c>
      <c r="H3469" s="46" t="s">
        <v>5031</v>
      </c>
      <c r="I3469" s="45" t="s">
        <v>125</v>
      </c>
      <c r="J3469" s="46" t="s">
        <v>4202</v>
      </c>
      <c r="K3469" s="46" t="s">
        <v>146</v>
      </c>
      <c r="L3469" s="46" t="s">
        <v>12</v>
      </c>
      <c r="M3469" s="46" t="s">
        <v>13</v>
      </c>
      <c r="N3469" s="46" t="s">
        <v>14</v>
      </c>
      <c r="O3469" s="49" t="s">
        <v>814</v>
      </c>
      <c r="P3469" s="49" t="s">
        <v>4910</v>
      </c>
      <c r="Q3469" s="35" t="str">
        <f>MID(Tabla1[[#This Row],[Aplicación]],14,1)</f>
        <v>6</v>
      </c>
      <c r="R3469" s="35" t="s">
        <v>496</v>
      </c>
      <c r="S3469" s="35" t="str">
        <f>MID(Tabla1[[#This Row],[Aplicación]],6,2)</f>
        <v>07</v>
      </c>
      <c r="T3469" s="35" t="str">
        <f>VLOOKUP(Tabla1[[#This Row],[AREA]],Hoja1!A:B,2,FALSE)</f>
        <v>07. Medio ambiente y desarrollo sostenible</v>
      </c>
      <c r="U3469" s="35" t="str">
        <f>MID(Tabla1[[#This Row],[Aplicación]],9,4)</f>
        <v>1711</v>
      </c>
      <c r="V3469" s="35" t="str">
        <f>VLOOKUP(Tabla1[[#This Row],[PROGRAMA]],Hoja1!A:B,2,FALSE)</f>
        <v>1711. Parques y jardines</v>
      </c>
      <c r="W3469" s="35" t="str">
        <f>MID(Tabla1[[#This Row],[Aplicación]],14,2)</f>
        <v>61</v>
      </c>
      <c r="X3469" s="35" t="str">
        <f>MID(Tabla1[[#This Row],[Aplicación]],14,6)</f>
        <v>619</v>
      </c>
    </row>
    <row r="3470" spans="1:24" x14ac:dyDescent="0.25">
      <c r="A3470" s="45">
        <v>220210056345</v>
      </c>
      <c r="B3470" s="46" t="s">
        <v>9</v>
      </c>
      <c r="C3470" s="47">
        <v>44454</v>
      </c>
      <c r="D3470" s="45">
        <v>22021006358</v>
      </c>
      <c r="E3470" s="46" t="s">
        <v>5032</v>
      </c>
      <c r="F3470" s="48">
        <v>2835.39</v>
      </c>
      <c r="G3470" s="46" t="s">
        <v>4200</v>
      </c>
      <c r="H3470" s="46" t="s">
        <v>5033</v>
      </c>
      <c r="I3470" s="45" t="s">
        <v>125</v>
      </c>
      <c r="J3470" s="46" t="s">
        <v>4202</v>
      </c>
      <c r="K3470" s="46" t="s">
        <v>146</v>
      </c>
      <c r="L3470" s="46" t="s">
        <v>12</v>
      </c>
      <c r="M3470" s="46" t="s">
        <v>13</v>
      </c>
      <c r="N3470" s="46" t="s">
        <v>14</v>
      </c>
      <c r="O3470" s="49" t="s">
        <v>814</v>
      </c>
      <c r="P3470" s="49" t="s">
        <v>4910</v>
      </c>
      <c r="Q3470" s="35" t="str">
        <f>MID(Tabla1[[#This Row],[Aplicación]],14,1)</f>
        <v>6</v>
      </c>
      <c r="R3470" s="35" t="s">
        <v>496</v>
      </c>
      <c r="S3470" s="35" t="str">
        <f>MID(Tabla1[[#This Row],[Aplicación]],6,2)</f>
        <v>07</v>
      </c>
      <c r="T3470" s="35" t="str">
        <f>VLOOKUP(Tabla1[[#This Row],[AREA]],Hoja1!A:B,2,FALSE)</f>
        <v>07. Medio ambiente y desarrollo sostenible</v>
      </c>
      <c r="U3470" s="35" t="str">
        <f>MID(Tabla1[[#This Row],[Aplicación]],9,4)</f>
        <v>1711</v>
      </c>
      <c r="V3470" s="35" t="str">
        <f>VLOOKUP(Tabla1[[#This Row],[PROGRAMA]],Hoja1!A:B,2,FALSE)</f>
        <v>1711. Parques y jardines</v>
      </c>
      <c r="W3470" s="35" t="str">
        <f>MID(Tabla1[[#This Row],[Aplicación]],14,2)</f>
        <v>63</v>
      </c>
      <c r="X3470" s="35" t="str">
        <f>MID(Tabla1[[#This Row],[Aplicación]],14,6)</f>
        <v>632</v>
      </c>
    </row>
    <row r="3471" spans="1:24" x14ac:dyDescent="0.25">
      <c r="A3471" s="45">
        <v>220210056296</v>
      </c>
      <c r="B3471" s="46" t="s">
        <v>9</v>
      </c>
      <c r="C3471" s="47">
        <v>44454</v>
      </c>
      <c r="D3471" s="45">
        <v>22021006395</v>
      </c>
      <c r="E3471" s="46" t="s">
        <v>5034</v>
      </c>
      <c r="F3471" s="48">
        <v>1943.75</v>
      </c>
      <c r="G3471" s="46" t="s">
        <v>4200</v>
      </c>
      <c r="H3471" s="46" t="s">
        <v>5035</v>
      </c>
      <c r="I3471" s="45" t="s">
        <v>125</v>
      </c>
      <c r="J3471" s="46" t="s">
        <v>4202</v>
      </c>
      <c r="K3471" s="46" t="s">
        <v>146</v>
      </c>
      <c r="L3471" s="46" t="s">
        <v>31</v>
      </c>
      <c r="M3471" s="46" t="s">
        <v>13</v>
      </c>
      <c r="N3471" s="46" t="s">
        <v>14</v>
      </c>
      <c r="O3471" s="49" t="s">
        <v>814</v>
      </c>
      <c r="P3471" s="49" t="s">
        <v>4910</v>
      </c>
      <c r="Q3471" s="35" t="str">
        <f>MID(Tabla1[[#This Row],[Aplicación]],14,1)</f>
        <v>6</v>
      </c>
      <c r="R3471" s="35" t="s">
        <v>496</v>
      </c>
      <c r="S3471" s="35" t="str">
        <f>MID(Tabla1[[#This Row],[Aplicación]],6,2)</f>
        <v>05</v>
      </c>
      <c r="T3471" s="35" t="str">
        <f>VLOOKUP(Tabla1[[#This Row],[AREA]],Hoja1!A:B,2,FALSE)</f>
        <v>05. Innovación, desarrollo económico, empleo y comercio</v>
      </c>
      <c r="U3471" s="35" t="str">
        <f>MID(Tabla1[[#This Row],[Aplicación]],9,4)</f>
        <v>4331</v>
      </c>
      <c r="V3471" s="35" t="str">
        <f>VLOOKUP(Tabla1[[#This Row],[PROGRAMA]],Hoja1!A:B,2,FALSE)</f>
        <v>4331. Desarrollo empresarial</v>
      </c>
      <c r="W3471" s="35" t="str">
        <f>MID(Tabla1[[#This Row],[Aplicación]],14,2)</f>
        <v>62</v>
      </c>
      <c r="X3471" s="35" t="str">
        <f>MID(Tabla1[[#This Row],[Aplicación]],14,6)</f>
        <v>622</v>
      </c>
    </row>
    <row r="3472" spans="1:24" x14ac:dyDescent="0.25">
      <c r="A3472" s="45">
        <v>220210050947</v>
      </c>
      <c r="B3472" s="46" t="s">
        <v>9</v>
      </c>
      <c r="C3472" s="47">
        <v>44446</v>
      </c>
      <c r="D3472" s="45">
        <v>22021005706</v>
      </c>
      <c r="E3472" s="46" t="s">
        <v>1483</v>
      </c>
      <c r="F3472" s="48">
        <v>935.62</v>
      </c>
      <c r="G3472" s="46" t="s">
        <v>4200</v>
      </c>
      <c r="H3472" s="46" t="s">
        <v>5036</v>
      </c>
      <c r="I3472" s="45" t="s">
        <v>125</v>
      </c>
      <c r="J3472" s="46" t="s">
        <v>4202</v>
      </c>
      <c r="K3472" s="46" t="s">
        <v>146</v>
      </c>
      <c r="L3472" s="46" t="s">
        <v>12</v>
      </c>
      <c r="M3472" s="46" t="s">
        <v>13</v>
      </c>
      <c r="N3472" s="46" t="s">
        <v>16</v>
      </c>
      <c r="O3472" s="49" t="s">
        <v>814</v>
      </c>
      <c r="P3472" s="49" t="s">
        <v>4910</v>
      </c>
      <c r="Q3472" s="35" t="str">
        <f>MID(Tabla1[[#This Row],[Aplicación]],14,1)</f>
        <v>6</v>
      </c>
      <c r="R3472" s="35" t="s">
        <v>496</v>
      </c>
      <c r="S3472" s="35" t="str">
        <f>MID(Tabla1[[#This Row],[Aplicación]],6,2)</f>
        <v>03</v>
      </c>
      <c r="T3472" s="35" t="str">
        <f>VLOOKUP(Tabla1[[#This Row],[AREA]],Hoja1!A:B,2,FALSE)</f>
        <v>03. Participación ciudadana y deportes</v>
      </c>
      <c r="U3472" s="35" t="str">
        <f>MID(Tabla1[[#This Row],[Aplicación]],9,4)</f>
        <v>9241</v>
      </c>
      <c r="V3472" s="35" t="str">
        <f>VLOOKUP(Tabla1[[#This Row],[PROGRAMA]],Hoja1!A:B,2,FALSE)</f>
        <v>9241. Participación ciudadana</v>
      </c>
      <c r="W3472" s="35" t="str">
        <f>MID(Tabla1[[#This Row],[Aplicación]],14,2)</f>
        <v>63</v>
      </c>
      <c r="X3472" s="35" t="str">
        <f>MID(Tabla1[[#This Row],[Aplicación]],14,6)</f>
        <v>632</v>
      </c>
    </row>
    <row r="3473" spans="1:24" x14ac:dyDescent="0.25">
      <c r="A3473" s="45">
        <v>220210050949</v>
      </c>
      <c r="B3473" s="46" t="s">
        <v>9</v>
      </c>
      <c r="C3473" s="47">
        <v>44446</v>
      </c>
      <c r="D3473" s="45">
        <v>22021005708</v>
      </c>
      <c r="E3473" s="46" t="s">
        <v>1483</v>
      </c>
      <c r="F3473" s="48">
        <v>889.55</v>
      </c>
      <c r="G3473" s="46" t="s">
        <v>4200</v>
      </c>
      <c r="H3473" s="46" t="s">
        <v>5037</v>
      </c>
      <c r="I3473" s="45" t="s">
        <v>125</v>
      </c>
      <c r="J3473" s="46" t="s">
        <v>4202</v>
      </c>
      <c r="K3473" s="46" t="s">
        <v>146</v>
      </c>
      <c r="L3473" s="46" t="s">
        <v>12</v>
      </c>
      <c r="M3473" s="46" t="s">
        <v>13</v>
      </c>
      <c r="N3473" s="46" t="s">
        <v>14</v>
      </c>
      <c r="O3473" s="49" t="s">
        <v>814</v>
      </c>
      <c r="P3473" s="49" t="s">
        <v>4910</v>
      </c>
      <c r="Q3473" s="35" t="str">
        <f>MID(Tabla1[[#This Row],[Aplicación]],14,1)</f>
        <v>6</v>
      </c>
      <c r="R3473" s="35" t="s">
        <v>496</v>
      </c>
      <c r="S3473" s="35" t="str">
        <f>MID(Tabla1[[#This Row],[Aplicación]],6,2)</f>
        <v>03</v>
      </c>
      <c r="T3473" s="35" t="str">
        <f>VLOOKUP(Tabla1[[#This Row],[AREA]],Hoja1!A:B,2,FALSE)</f>
        <v>03. Participación ciudadana y deportes</v>
      </c>
      <c r="U3473" s="35" t="str">
        <f>MID(Tabla1[[#This Row],[Aplicación]],9,4)</f>
        <v>9241</v>
      </c>
      <c r="V3473" s="35" t="str">
        <f>VLOOKUP(Tabla1[[#This Row],[PROGRAMA]],Hoja1!A:B,2,FALSE)</f>
        <v>9241. Participación ciudadana</v>
      </c>
      <c r="W3473" s="35" t="str">
        <f>MID(Tabla1[[#This Row],[Aplicación]],14,2)</f>
        <v>63</v>
      </c>
      <c r="X3473" s="35" t="str">
        <f>MID(Tabla1[[#This Row],[Aplicación]],14,6)</f>
        <v>632</v>
      </c>
    </row>
    <row r="3474" spans="1:24" x14ac:dyDescent="0.25">
      <c r="A3474" s="45">
        <v>220210056285</v>
      </c>
      <c r="B3474" s="46" t="s">
        <v>9</v>
      </c>
      <c r="C3474" s="47">
        <v>44454</v>
      </c>
      <c r="D3474" s="45">
        <v>22021005771</v>
      </c>
      <c r="E3474" s="46" t="s">
        <v>4917</v>
      </c>
      <c r="F3474" s="48">
        <v>671.1</v>
      </c>
      <c r="G3474" s="46" t="s">
        <v>4200</v>
      </c>
      <c r="H3474" s="46" t="s">
        <v>5038</v>
      </c>
      <c r="I3474" s="45" t="s">
        <v>216</v>
      </c>
      <c r="J3474" s="46" t="s">
        <v>4202</v>
      </c>
      <c r="K3474" s="46" t="s">
        <v>146</v>
      </c>
      <c r="L3474" s="46" t="s">
        <v>12</v>
      </c>
      <c r="M3474" s="46" t="s">
        <v>13</v>
      </c>
      <c r="N3474" s="46" t="s">
        <v>14</v>
      </c>
      <c r="O3474" s="49" t="s">
        <v>814</v>
      </c>
      <c r="P3474" s="49" t="s">
        <v>4910</v>
      </c>
      <c r="Q3474" s="35" t="str">
        <f>MID(Tabla1[[#This Row],[Aplicación]],14,1)</f>
        <v>6</v>
      </c>
      <c r="R3474" s="35" t="s">
        <v>496</v>
      </c>
      <c r="S3474" s="35" t="str">
        <f>MID(Tabla1[[#This Row],[Aplicación]],6,2)</f>
        <v>11</v>
      </c>
      <c r="T3474" s="35" t="str">
        <f>VLOOKUP(Tabla1[[#This Row],[AREA]],Hoja1!A:B,2,FALSE)</f>
        <v>11. Salud pública y seguridad ciudadana</v>
      </c>
      <c r="U3474" s="35" t="str">
        <f>MID(Tabla1[[#This Row],[Aplicación]],9,4)</f>
        <v>1631</v>
      </c>
      <c r="V3474" s="35" t="str">
        <f>VLOOKUP(Tabla1[[#This Row],[PROGRAMA]],Hoja1!A:B,2,FALSE)</f>
        <v>1631. Limpieza viaria</v>
      </c>
      <c r="W3474" s="35" t="str">
        <f>MID(Tabla1[[#This Row],[Aplicación]],14,2)</f>
        <v>63</v>
      </c>
      <c r="X3474" s="35" t="str">
        <f>MID(Tabla1[[#This Row],[Aplicación]],14,6)</f>
        <v>632</v>
      </c>
    </row>
    <row r="3475" spans="1:24" x14ac:dyDescent="0.25">
      <c r="A3475" s="45">
        <v>220210056290</v>
      </c>
      <c r="B3475" s="46" t="s">
        <v>9</v>
      </c>
      <c r="C3475" s="47">
        <v>44454</v>
      </c>
      <c r="D3475" s="45">
        <v>22021005812</v>
      </c>
      <c r="E3475" s="46" t="s">
        <v>2668</v>
      </c>
      <c r="F3475" s="48">
        <v>605.04999999999995</v>
      </c>
      <c r="G3475" s="46" t="s">
        <v>4200</v>
      </c>
      <c r="H3475" s="46" t="s">
        <v>5039</v>
      </c>
      <c r="I3475" s="45" t="s">
        <v>216</v>
      </c>
      <c r="J3475" s="46" t="s">
        <v>4202</v>
      </c>
      <c r="K3475" s="46" t="s">
        <v>146</v>
      </c>
      <c r="L3475" s="46" t="s">
        <v>31</v>
      </c>
      <c r="M3475" s="46" t="s">
        <v>13</v>
      </c>
      <c r="N3475" s="46" t="s">
        <v>14</v>
      </c>
      <c r="O3475" s="49" t="s">
        <v>814</v>
      </c>
      <c r="P3475" s="49" t="s">
        <v>4910</v>
      </c>
      <c r="Q3475" s="35" t="str">
        <f>MID(Tabla1[[#This Row],[Aplicación]],14,1)</f>
        <v>6</v>
      </c>
      <c r="R3475" s="35" t="s">
        <v>496</v>
      </c>
      <c r="S3475" s="35" t="str">
        <f>MID(Tabla1[[#This Row],[Aplicación]],6,2)</f>
        <v>10</v>
      </c>
      <c r="T3475" s="35" t="str">
        <f>VLOOKUP(Tabla1[[#This Row],[AREA]],Hoja1!A:B,2,FALSE)</f>
        <v>10. Servicios sociales y mediación comunitaria</v>
      </c>
      <c r="U3475" s="35" t="str">
        <f>MID(Tabla1[[#This Row],[Aplicación]],9,4)</f>
        <v>2311</v>
      </c>
      <c r="V3475" s="35" t="str">
        <f>VLOOKUP(Tabla1[[#This Row],[PROGRAMA]],Hoja1!A:B,2,FALSE)</f>
        <v>2311. Intervención social</v>
      </c>
      <c r="W3475" s="35" t="str">
        <f>MID(Tabla1[[#This Row],[Aplicación]],14,2)</f>
        <v>63</v>
      </c>
      <c r="X3475" s="35" t="str">
        <f>MID(Tabla1[[#This Row],[Aplicación]],14,6)</f>
        <v>632</v>
      </c>
    </row>
    <row r="3476" spans="1:24" x14ac:dyDescent="0.25">
      <c r="A3476" s="45">
        <v>220210050353</v>
      </c>
      <c r="B3476" s="46" t="s">
        <v>9</v>
      </c>
      <c r="C3476" s="47">
        <v>44438</v>
      </c>
      <c r="D3476" s="45">
        <v>22021006120</v>
      </c>
      <c r="E3476" s="46" t="s">
        <v>3310</v>
      </c>
      <c r="F3476" s="48">
        <v>258.33</v>
      </c>
      <c r="G3476" s="46" t="s">
        <v>4200</v>
      </c>
      <c r="H3476" s="46" t="s">
        <v>5040</v>
      </c>
      <c r="I3476" s="45" t="s">
        <v>125</v>
      </c>
      <c r="J3476" s="46" t="s">
        <v>4202</v>
      </c>
      <c r="K3476" s="46" t="s">
        <v>146</v>
      </c>
      <c r="L3476" s="46" t="s">
        <v>12</v>
      </c>
      <c r="M3476" s="46" t="s">
        <v>13</v>
      </c>
      <c r="N3476" s="46" t="s">
        <v>14</v>
      </c>
      <c r="O3476" s="49" t="s">
        <v>814</v>
      </c>
      <c r="P3476" s="49" t="s">
        <v>4910</v>
      </c>
      <c r="Q3476" s="35" t="str">
        <f>MID(Tabla1[[#This Row],[Aplicación]],14,1)</f>
        <v>6</v>
      </c>
      <c r="R3476" s="35" t="s">
        <v>496</v>
      </c>
      <c r="S3476" s="35" t="str">
        <f>MID(Tabla1[[#This Row],[Aplicación]],6,2)</f>
        <v>06</v>
      </c>
      <c r="T3476" s="35" t="str">
        <f>VLOOKUP(Tabla1[[#This Row],[AREA]],Hoja1!A:B,2,FALSE)</f>
        <v>06. Educación, infancia, juventud e igualdad</v>
      </c>
      <c r="U3476" s="35" t="str">
        <f>MID(Tabla1[[#This Row],[Aplicación]],9,4)</f>
        <v>3231</v>
      </c>
      <c r="V3476" s="35" t="str">
        <f>VLOOKUP(Tabla1[[#This Row],[PROGRAMA]],Hoja1!A:B,2,FALSE)</f>
        <v>3231. Escuelas infantiles</v>
      </c>
      <c r="W3476" s="35" t="str">
        <f>MID(Tabla1[[#This Row],[Aplicación]],14,2)</f>
        <v>63</v>
      </c>
      <c r="X3476" s="35" t="str">
        <f>MID(Tabla1[[#This Row],[Aplicación]],14,6)</f>
        <v>632</v>
      </c>
    </row>
    <row r="3477" spans="1:24" x14ac:dyDescent="0.25">
      <c r="A3477" s="45">
        <v>220210050950</v>
      </c>
      <c r="B3477" s="46" t="s">
        <v>9</v>
      </c>
      <c r="C3477" s="47">
        <v>44446</v>
      </c>
      <c r="D3477" s="45">
        <v>22021005709</v>
      </c>
      <c r="E3477" s="46" t="s">
        <v>1483</v>
      </c>
      <c r="F3477" s="48">
        <v>233.87</v>
      </c>
      <c r="G3477" s="46" t="s">
        <v>4200</v>
      </c>
      <c r="H3477" s="46" t="s">
        <v>5041</v>
      </c>
      <c r="I3477" s="45" t="s">
        <v>125</v>
      </c>
      <c r="J3477" s="46" t="s">
        <v>4202</v>
      </c>
      <c r="K3477" s="46" t="s">
        <v>146</v>
      </c>
      <c r="L3477" s="46" t="s">
        <v>12</v>
      </c>
      <c r="M3477" s="46" t="s">
        <v>13</v>
      </c>
      <c r="N3477" s="46" t="s">
        <v>16</v>
      </c>
      <c r="O3477" s="49" t="s">
        <v>814</v>
      </c>
      <c r="P3477" s="49" t="s">
        <v>4910</v>
      </c>
      <c r="Q3477" s="35" t="str">
        <f>MID(Tabla1[[#This Row],[Aplicación]],14,1)</f>
        <v>6</v>
      </c>
      <c r="R3477" s="35" t="s">
        <v>496</v>
      </c>
      <c r="S3477" s="35" t="str">
        <f>MID(Tabla1[[#This Row],[Aplicación]],6,2)</f>
        <v>03</v>
      </c>
      <c r="T3477" s="35" t="str">
        <f>VLOOKUP(Tabla1[[#This Row],[AREA]],Hoja1!A:B,2,FALSE)</f>
        <v>03. Participación ciudadana y deportes</v>
      </c>
      <c r="U3477" s="35" t="str">
        <f>MID(Tabla1[[#This Row],[Aplicación]],9,4)</f>
        <v>9241</v>
      </c>
      <c r="V3477" s="35" t="str">
        <f>VLOOKUP(Tabla1[[#This Row],[PROGRAMA]],Hoja1!A:B,2,FALSE)</f>
        <v>9241. Participación ciudadana</v>
      </c>
      <c r="W3477" s="35" t="str">
        <f>MID(Tabla1[[#This Row],[Aplicación]],14,2)</f>
        <v>63</v>
      </c>
      <c r="X3477" s="35" t="str">
        <f>MID(Tabla1[[#This Row],[Aplicación]],14,6)</f>
        <v>632</v>
      </c>
    </row>
    <row r="3478" spans="1:24" x14ac:dyDescent="0.25">
      <c r="A3478" s="45">
        <v>220210050948</v>
      </c>
      <c r="B3478" s="46" t="s">
        <v>9</v>
      </c>
      <c r="C3478" s="47">
        <v>44446</v>
      </c>
      <c r="D3478" s="45">
        <v>22021005707</v>
      </c>
      <c r="E3478" s="46" t="s">
        <v>1483</v>
      </c>
      <c r="F3478" s="48">
        <v>167.48</v>
      </c>
      <c r="G3478" s="46" t="s">
        <v>4200</v>
      </c>
      <c r="H3478" s="46" t="s">
        <v>5042</v>
      </c>
      <c r="I3478" s="45" t="s">
        <v>125</v>
      </c>
      <c r="J3478" s="46" t="s">
        <v>4202</v>
      </c>
      <c r="K3478" s="46" t="s">
        <v>146</v>
      </c>
      <c r="L3478" s="46" t="s">
        <v>12</v>
      </c>
      <c r="M3478" s="46" t="s">
        <v>13</v>
      </c>
      <c r="N3478" s="46" t="s">
        <v>16</v>
      </c>
      <c r="O3478" s="49" t="s">
        <v>814</v>
      </c>
      <c r="P3478" s="49" t="s">
        <v>4910</v>
      </c>
      <c r="Q3478" s="35" t="str">
        <f>MID(Tabla1[[#This Row],[Aplicación]],14,1)</f>
        <v>6</v>
      </c>
      <c r="R3478" s="35" t="s">
        <v>496</v>
      </c>
      <c r="S3478" s="35" t="str">
        <f>MID(Tabla1[[#This Row],[Aplicación]],6,2)</f>
        <v>03</v>
      </c>
      <c r="T3478" s="35" t="str">
        <f>VLOOKUP(Tabla1[[#This Row],[AREA]],Hoja1!A:B,2,FALSE)</f>
        <v>03. Participación ciudadana y deportes</v>
      </c>
      <c r="U3478" s="35" t="str">
        <f>MID(Tabla1[[#This Row],[Aplicación]],9,4)</f>
        <v>9241</v>
      </c>
      <c r="V3478" s="35" t="str">
        <f>VLOOKUP(Tabla1[[#This Row],[PROGRAMA]],Hoja1!A:B,2,FALSE)</f>
        <v>9241. Participación ciudadana</v>
      </c>
      <c r="W3478" s="35" t="str">
        <f>MID(Tabla1[[#This Row],[Aplicación]],14,2)</f>
        <v>63</v>
      </c>
      <c r="X3478" s="35" t="str">
        <f>MID(Tabla1[[#This Row],[Aplicación]],14,6)</f>
        <v>632</v>
      </c>
    </row>
    <row r="3479" spans="1:24" x14ac:dyDescent="0.25">
      <c r="A3479" s="45">
        <v>220210049715</v>
      </c>
      <c r="B3479" s="46" t="s">
        <v>9</v>
      </c>
      <c r="C3479" s="47">
        <v>44433</v>
      </c>
      <c r="D3479" s="45">
        <v>22021002922</v>
      </c>
      <c r="E3479" s="46" t="s">
        <v>1487</v>
      </c>
      <c r="F3479" s="48">
        <v>10254.75</v>
      </c>
      <c r="G3479" s="46" t="s">
        <v>5043</v>
      </c>
      <c r="H3479" s="46" t="s">
        <v>5044</v>
      </c>
      <c r="I3479" s="45" t="s">
        <v>125</v>
      </c>
      <c r="J3479" s="46" t="s">
        <v>126</v>
      </c>
      <c r="K3479" s="46" t="s">
        <v>126</v>
      </c>
      <c r="L3479" s="46" t="s">
        <v>12</v>
      </c>
      <c r="M3479" s="46" t="s">
        <v>10</v>
      </c>
      <c r="N3479" s="46" t="s">
        <v>11</v>
      </c>
      <c r="O3479" s="49" t="s">
        <v>815</v>
      </c>
      <c r="P3479" s="49" t="s">
        <v>4910</v>
      </c>
      <c r="Q3479" s="35" t="str">
        <f>MID(Tabla1[[#This Row],[Aplicación]],14,1)</f>
        <v>6</v>
      </c>
      <c r="R3479" s="35" t="s">
        <v>496</v>
      </c>
      <c r="S3479" s="35" t="str">
        <f>MID(Tabla1[[#This Row],[Aplicación]],6,2)</f>
        <v>08</v>
      </c>
      <c r="T3479" s="35" t="str">
        <f>VLOOKUP(Tabla1[[#This Row],[AREA]],Hoja1!A:B,2,FALSE)</f>
        <v>08. Movilidad y espacio urbano</v>
      </c>
      <c r="U3479" s="35" t="str">
        <f>MID(Tabla1[[#This Row],[Aplicación]],9,4)</f>
        <v>1532</v>
      </c>
      <c r="V3479" s="35" t="str">
        <f>VLOOKUP(Tabla1[[#This Row],[PROGRAMA]],Hoja1!A:B,2,FALSE)</f>
        <v>1532. Pavimentación vias públicas y otros servicios urbanísticos</v>
      </c>
      <c r="W3479" s="35" t="str">
        <f>MID(Tabla1[[#This Row],[Aplicación]],14,2)</f>
        <v>61</v>
      </c>
      <c r="X3479" s="35" t="str">
        <f>MID(Tabla1[[#This Row],[Aplicación]],14,6)</f>
        <v>619</v>
      </c>
    </row>
    <row r="3480" spans="1:24" x14ac:dyDescent="0.25">
      <c r="A3480" s="45">
        <v>220210035416</v>
      </c>
      <c r="B3480" s="46" t="s">
        <v>9</v>
      </c>
      <c r="C3480" s="47">
        <v>44379</v>
      </c>
      <c r="D3480" s="45">
        <v>22021005268</v>
      </c>
      <c r="E3480" s="46" t="s">
        <v>5045</v>
      </c>
      <c r="F3480" s="48">
        <v>1750</v>
      </c>
      <c r="G3480" s="46" t="s">
        <v>102</v>
      </c>
      <c r="H3480" s="46" t="s">
        <v>5046</v>
      </c>
      <c r="I3480" s="45" t="s">
        <v>125</v>
      </c>
      <c r="J3480" s="46" t="s">
        <v>127</v>
      </c>
      <c r="K3480" s="46" t="s">
        <v>127</v>
      </c>
      <c r="L3480" s="46" t="s">
        <v>15</v>
      </c>
      <c r="M3480" s="46" t="s">
        <v>10</v>
      </c>
      <c r="N3480" s="46" t="s">
        <v>11</v>
      </c>
      <c r="O3480" s="49" t="s">
        <v>815</v>
      </c>
      <c r="P3480" s="49" t="s">
        <v>4910</v>
      </c>
      <c r="Q3480" s="35" t="str">
        <f>MID(Tabla1[[#This Row],[Aplicación]],14,1)</f>
        <v>6</v>
      </c>
      <c r="R3480" s="35" t="s">
        <v>496</v>
      </c>
      <c r="S3480" s="35" t="str">
        <f>MID(Tabla1[[#This Row],[Aplicación]],6,2)</f>
        <v>06</v>
      </c>
      <c r="T3480" s="35" t="str">
        <f>VLOOKUP(Tabla1[[#This Row],[AREA]],Hoja1!A:B,2,FALSE)</f>
        <v>06. Educación, infancia, juventud e igualdad</v>
      </c>
      <c r="U3480" s="35" t="str">
        <f>MID(Tabla1[[#This Row],[Aplicación]],9,4)</f>
        <v>3321</v>
      </c>
      <c r="V3480" s="35" t="str">
        <f>VLOOKUP(Tabla1[[#This Row],[PROGRAMA]],Hoja1!A:B,2,FALSE)</f>
        <v>3321. Bibliotecas públicas</v>
      </c>
      <c r="W3480" s="35" t="str">
        <f>MID(Tabla1[[#This Row],[Aplicación]],14,2)</f>
        <v>63</v>
      </c>
      <c r="X3480" s="35" t="str">
        <f>MID(Tabla1[[#This Row],[Aplicación]],14,6)</f>
        <v>632</v>
      </c>
    </row>
    <row r="3481" spans="1:24" x14ac:dyDescent="0.25">
      <c r="A3481" s="45">
        <v>220210042235</v>
      </c>
      <c r="B3481" s="46" t="s">
        <v>204</v>
      </c>
      <c r="C3481" s="47">
        <v>44400</v>
      </c>
      <c r="D3481" s="45">
        <v>22021004276</v>
      </c>
      <c r="E3481" s="46" t="s">
        <v>1678</v>
      </c>
      <c r="F3481" s="48">
        <v>356.83</v>
      </c>
      <c r="G3481" s="46" t="s">
        <v>102</v>
      </c>
      <c r="H3481" s="46" t="s">
        <v>5047</v>
      </c>
      <c r="I3481" s="45" t="s">
        <v>205</v>
      </c>
      <c r="J3481" s="46" t="s">
        <v>127</v>
      </c>
      <c r="K3481" s="46" t="s">
        <v>127</v>
      </c>
      <c r="L3481" s="46" t="s">
        <v>15</v>
      </c>
      <c r="M3481" s="46" t="s">
        <v>13</v>
      </c>
      <c r="N3481" s="46" t="s">
        <v>14</v>
      </c>
      <c r="O3481" s="49" t="s">
        <v>814</v>
      </c>
      <c r="P3481" s="49" t="s">
        <v>4910</v>
      </c>
      <c r="Q3481" s="35" t="str">
        <f>MID(Tabla1[[#This Row],[Aplicación]],14,1)</f>
        <v>2</v>
      </c>
      <c r="R3481" s="35" t="s">
        <v>495</v>
      </c>
      <c r="S3481" s="35" t="str">
        <f>MID(Tabla1[[#This Row],[Aplicación]],6,2)</f>
        <v>09</v>
      </c>
      <c r="T3481" s="35" t="str">
        <f>VLOOKUP(Tabla1[[#This Row],[AREA]],Hoja1!A:B,2,FALSE)</f>
        <v>09. Cultura y turismo</v>
      </c>
      <c r="U3481" s="35" t="str">
        <f>MID(Tabla1[[#This Row],[Aplicación]],9,4)</f>
        <v>3341</v>
      </c>
      <c r="V3481" s="35" t="str">
        <f>VLOOKUP(Tabla1[[#This Row],[PROGRAMA]],Hoja1!A:B,2,FALSE)</f>
        <v>3341. Coordinación de políticas culturales</v>
      </c>
      <c r="W3481" s="35" t="str">
        <f>MID(Tabla1[[#This Row],[Aplicación]],14,2)</f>
        <v>21</v>
      </c>
      <c r="X3481" s="35" t="str">
        <f>MID(Tabla1[[#This Row],[Aplicación]],14,6)</f>
        <v>213</v>
      </c>
    </row>
    <row r="3482" spans="1:24" x14ac:dyDescent="0.25">
      <c r="A3482" s="45">
        <v>220210040191</v>
      </c>
      <c r="B3482" s="46" t="s">
        <v>204</v>
      </c>
      <c r="C3482" s="47">
        <v>44396</v>
      </c>
      <c r="D3482" s="45">
        <v>22021002089</v>
      </c>
      <c r="E3482" s="46" t="s">
        <v>1220</v>
      </c>
      <c r="F3482" s="48">
        <v>1352.48</v>
      </c>
      <c r="G3482" s="46" t="s">
        <v>102</v>
      </c>
      <c r="H3482" s="46" t="s">
        <v>5048</v>
      </c>
      <c r="I3482" s="45" t="s">
        <v>205</v>
      </c>
      <c r="J3482" s="46" t="s">
        <v>127</v>
      </c>
      <c r="K3482" s="46" t="s">
        <v>127</v>
      </c>
      <c r="L3482" s="46" t="s">
        <v>15</v>
      </c>
      <c r="M3482" s="46" t="s">
        <v>13</v>
      </c>
      <c r="N3482" s="46" t="s">
        <v>16</v>
      </c>
      <c r="O3482" s="49" t="s">
        <v>814</v>
      </c>
      <c r="P3482" s="49" t="s">
        <v>4910</v>
      </c>
      <c r="Q3482" s="35" t="str">
        <f>MID(Tabla1[[#This Row],[Aplicación]],14,1)</f>
        <v>2</v>
      </c>
      <c r="R3482" s="35" t="s">
        <v>495</v>
      </c>
      <c r="S3482" s="35" t="str">
        <f>MID(Tabla1[[#This Row],[Aplicación]],6,2)</f>
        <v>03</v>
      </c>
      <c r="T3482" s="35" t="str">
        <f>VLOOKUP(Tabla1[[#This Row],[AREA]],Hoja1!A:B,2,FALSE)</f>
        <v>03. Participación ciudadana y deportes</v>
      </c>
      <c r="U3482" s="35" t="str">
        <f>MID(Tabla1[[#This Row],[Aplicación]],9,4)</f>
        <v>9241</v>
      </c>
      <c r="V3482" s="35" t="str">
        <f>VLOOKUP(Tabla1[[#This Row],[PROGRAMA]],Hoja1!A:B,2,FALSE)</f>
        <v>9241. Participación ciudadana</v>
      </c>
      <c r="W3482" s="35" t="str">
        <f>MID(Tabla1[[#This Row],[Aplicación]],14,2)</f>
        <v>21</v>
      </c>
      <c r="X3482" s="35" t="str">
        <f>MID(Tabla1[[#This Row],[Aplicación]],14,6)</f>
        <v>213</v>
      </c>
    </row>
    <row r="3483" spans="1:24" x14ac:dyDescent="0.25">
      <c r="A3483" s="45">
        <v>220210040690</v>
      </c>
      <c r="B3483" s="46" t="s">
        <v>204</v>
      </c>
      <c r="C3483" s="47">
        <v>44397</v>
      </c>
      <c r="D3483" s="45">
        <v>22021002371</v>
      </c>
      <c r="E3483" s="46" t="s">
        <v>1336</v>
      </c>
      <c r="F3483" s="48">
        <v>637</v>
      </c>
      <c r="G3483" s="46" t="s">
        <v>102</v>
      </c>
      <c r="H3483" s="46" t="s">
        <v>5049</v>
      </c>
      <c r="I3483" s="45" t="s">
        <v>205</v>
      </c>
      <c r="J3483" s="46" t="s">
        <v>127</v>
      </c>
      <c r="K3483" s="46" t="s">
        <v>127</v>
      </c>
      <c r="L3483" s="46" t="s">
        <v>15</v>
      </c>
      <c r="M3483" s="46" t="s">
        <v>13</v>
      </c>
      <c r="N3483" s="46" t="s">
        <v>14</v>
      </c>
      <c r="O3483" s="49" t="s">
        <v>814</v>
      </c>
      <c r="P3483" s="49" t="s">
        <v>4910</v>
      </c>
      <c r="Q3483" s="35" t="str">
        <f>MID(Tabla1[[#This Row],[Aplicación]],14,1)</f>
        <v>2</v>
      </c>
      <c r="R3483" s="35" t="s">
        <v>495</v>
      </c>
      <c r="S3483" s="35" t="str">
        <f>MID(Tabla1[[#This Row],[Aplicación]],6,2)</f>
        <v>02</v>
      </c>
      <c r="T3483" s="35" t="str">
        <f>VLOOKUP(Tabla1[[#This Row],[AREA]],Hoja1!A:B,2,FALSE)</f>
        <v>02. Planeamiento urbanístico y vivienda</v>
      </c>
      <c r="U3483" s="35" t="str">
        <f>MID(Tabla1[[#This Row],[Aplicación]],9,4)</f>
        <v>9332</v>
      </c>
      <c r="V3483" s="35" t="str">
        <f>VLOOKUP(Tabla1[[#This Row],[PROGRAMA]],Hoja1!A:B,2,FALSE)</f>
        <v>9332. Mantenimiento de edificios e instalaciones municipales</v>
      </c>
      <c r="W3483" s="35" t="str">
        <f>MID(Tabla1[[#This Row],[Aplicación]],14,2)</f>
        <v>21</v>
      </c>
      <c r="X3483" s="35" t="str">
        <f>MID(Tabla1[[#This Row],[Aplicación]],14,6)</f>
        <v>212</v>
      </c>
    </row>
    <row r="3484" spans="1:24" x14ac:dyDescent="0.25">
      <c r="A3484" s="45">
        <v>220210036340</v>
      </c>
      <c r="B3484" s="46" t="s">
        <v>204</v>
      </c>
      <c r="C3484" s="47">
        <v>44384</v>
      </c>
      <c r="D3484" s="45">
        <v>22021002133</v>
      </c>
      <c r="E3484" s="46" t="s">
        <v>1326</v>
      </c>
      <c r="F3484" s="48">
        <v>438.87</v>
      </c>
      <c r="G3484" s="46" t="s">
        <v>102</v>
      </c>
      <c r="H3484" s="46" t="s">
        <v>5050</v>
      </c>
      <c r="I3484" s="45" t="s">
        <v>205</v>
      </c>
      <c r="J3484" s="46" t="s">
        <v>127</v>
      </c>
      <c r="K3484" s="46" t="s">
        <v>127</v>
      </c>
      <c r="L3484" s="46" t="s">
        <v>15</v>
      </c>
      <c r="M3484" s="46" t="s">
        <v>13</v>
      </c>
      <c r="N3484" s="46" t="s">
        <v>14</v>
      </c>
      <c r="O3484" s="49" t="s">
        <v>814</v>
      </c>
      <c r="P3484" s="49" t="s">
        <v>4910</v>
      </c>
      <c r="Q3484" s="35" t="str">
        <f>MID(Tabla1[[#This Row],[Aplicación]],14,1)</f>
        <v>2</v>
      </c>
      <c r="R3484" s="35" t="s">
        <v>495</v>
      </c>
      <c r="S3484" s="35" t="str">
        <f>MID(Tabla1[[#This Row],[Aplicación]],6,2)</f>
        <v>08</v>
      </c>
      <c r="T3484" s="35" t="str">
        <f>VLOOKUP(Tabla1[[#This Row],[AREA]],Hoja1!A:B,2,FALSE)</f>
        <v>08. Movilidad y espacio urbano</v>
      </c>
      <c r="U3484" s="35" t="str">
        <f>MID(Tabla1[[#This Row],[Aplicación]],9,4)</f>
        <v>1651</v>
      </c>
      <c r="V3484" s="35" t="str">
        <f>VLOOKUP(Tabla1[[#This Row],[PROGRAMA]],Hoja1!A:B,2,FALSE)</f>
        <v>1651. Alumbrado público</v>
      </c>
      <c r="W3484" s="35" t="str">
        <f>MID(Tabla1[[#This Row],[Aplicación]],14,2)</f>
        <v>22</v>
      </c>
      <c r="X3484" s="35" t="str">
        <f>MID(Tabla1[[#This Row],[Aplicación]],14,6)</f>
        <v>22199</v>
      </c>
    </row>
    <row r="3485" spans="1:24" x14ac:dyDescent="0.25">
      <c r="A3485" s="45">
        <v>220210040115</v>
      </c>
      <c r="B3485" s="46" t="s">
        <v>204</v>
      </c>
      <c r="C3485" s="47">
        <v>44396</v>
      </c>
      <c r="D3485" s="45">
        <v>22021002052</v>
      </c>
      <c r="E3485" s="46" t="s">
        <v>1340</v>
      </c>
      <c r="F3485" s="48">
        <v>321.04000000000002</v>
      </c>
      <c r="G3485" s="46" t="s">
        <v>102</v>
      </c>
      <c r="H3485" s="46" t="s">
        <v>5051</v>
      </c>
      <c r="I3485" s="45" t="s">
        <v>205</v>
      </c>
      <c r="J3485" s="46" t="s">
        <v>127</v>
      </c>
      <c r="K3485" s="46" t="s">
        <v>127</v>
      </c>
      <c r="L3485" s="46" t="s">
        <v>15</v>
      </c>
      <c r="M3485" s="46" t="s">
        <v>13</v>
      </c>
      <c r="N3485" s="46" t="s">
        <v>14</v>
      </c>
      <c r="O3485" s="49" t="s">
        <v>814</v>
      </c>
      <c r="P3485" s="49" t="s">
        <v>4910</v>
      </c>
      <c r="Q3485" s="35" t="str">
        <f>MID(Tabla1[[#This Row],[Aplicación]],14,1)</f>
        <v>2</v>
      </c>
      <c r="R3485" s="35" t="s">
        <v>495</v>
      </c>
      <c r="S3485" s="35" t="str">
        <f>MID(Tabla1[[#This Row],[Aplicación]],6,2)</f>
        <v>11</v>
      </c>
      <c r="T3485" s="35" t="str">
        <f>VLOOKUP(Tabla1[[#This Row],[AREA]],Hoja1!A:B,2,FALSE)</f>
        <v>11. Salud pública y seguridad ciudadana</v>
      </c>
      <c r="U3485" s="35" t="str">
        <f>MID(Tabla1[[#This Row],[Aplicación]],9,4)</f>
        <v>1621</v>
      </c>
      <c r="V3485" s="35" t="str">
        <f>VLOOKUP(Tabla1[[#This Row],[PROGRAMA]],Hoja1!A:B,2,FALSE)</f>
        <v>1621. Servicio de limpieza</v>
      </c>
      <c r="W3485" s="35" t="str">
        <f>MID(Tabla1[[#This Row],[Aplicación]],14,2)</f>
        <v>22</v>
      </c>
      <c r="X3485" s="35" t="str">
        <f>MID(Tabla1[[#This Row],[Aplicación]],14,6)</f>
        <v>22199</v>
      </c>
    </row>
    <row r="3486" spans="1:24" x14ac:dyDescent="0.25">
      <c r="A3486" s="45">
        <v>220210044002</v>
      </c>
      <c r="B3486" s="46" t="s">
        <v>204</v>
      </c>
      <c r="C3486" s="47">
        <v>44405</v>
      </c>
      <c r="D3486" s="45">
        <v>22021002227</v>
      </c>
      <c r="E3486" s="46" t="s">
        <v>1324</v>
      </c>
      <c r="F3486" s="48">
        <v>254.4</v>
      </c>
      <c r="G3486" s="46" t="s">
        <v>102</v>
      </c>
      <c r="H3486" s="46" t="s">
        <v>5052</v>
      </c>
      <c r="I3486" s="45" t="s">
        <v>205</v>
      </c>
      <c r="J3486" s="46" t="s">
        <v>127</v>
      </c>
      <c r="K3486" s="46" t="s">
        <v>127</v>
      </c>
      <c r="L3486" s="46" t="s">
        <v>15</v>
      </c>
      <c r="M3486" s="46" t="s">
        <v>13</v>
      </c>
      <c r="N3486" s="46" t="s">
        <v>14</v>
      </c>
      <c r="O3486" s="49" t="s">
        <v>814</v>
      </c>
      <c r="P3486" s="49" t="s">
        <v>4910</v>
      </c>
      <c r="Q3486" s="35" t="str">
        <f>MID(Tabla1[[#This Row],[Aplicación]],14,1)</f>
        <v>2</v>
      </c>
      <c r="R3486" s="35" t="s">
        <v>495</v>
      </c>
      <c r="S3486" s="35" t="str">
        <f>MID(Tabla1[[#This Row],[Aplicación]],6,2)</f>
        <v>06</v>
      </c>
      <c r="T3486" s="35" t="str">
        <f>VLOOKUP(Tabla1[[#This Row],[AREA]],Hoja1!A:B,2,FALSE)</f>
        <v>06. Educación, infancia, juventud e igualdad</v>
      </c>
      <c r="U3486" s="35" t="str">
        <f>MID(Tabla1[[#This Row],[Aplicación]],9,4)</f>
        <v>3321</v>
      </c>
      <c r="V3486" s="35" t="str">
        <f>VLOOKUP(Tabla1[[#This Row],[PROGRAMA]],Hoja1!A:B,2,FALSE)</f>
        <v>3321. Bibliotecas públicas</v>
      </c>
      <c r="W3486" s="35" t="str">
        <f>MID(Tabla1[[#This Row],[Aplicación]],14,2)</f>
        <v>21</v>
      </c>
      <c r="X3486" s="35" t="str">
        <f>MID(Tabla1[[#This Row],[Aplicación]],14,6)</f>
        <v>212</v>
      </c>
    </row>
    <row r="3487" spans="1:24" x14ac:dyDescent="0.25">
      <c r="A3487" s="45">
        <v>220210036363</v>
      </c>
      <c r="B3487" s="46" t="s">
        <v>204</v>
      </c>
      <c r="C3487" s="47">
        <v>44384</v>
      </c>
      <c r="D3487" s="45">
        <v>22021001038</v>
      </c>
      <c r="E3487" s="46" t="s">
        <v>844</v>
      </c>
      <c r="F3487" s="48">
        <v>222.57</v>
      </c>
      <c r="G3487" s="46" t="s">
        <v>102</v>
      </c>
      <c r="H3487" s="46" t="s">
        <v>5053</v>
      </c>
      <c r="I3487" s="45" t="s">
        <v>205</v>
      </c>
      <c r="J3487" s="46" t="s">
        <v>127</v>
      </c>
      <c r="K3487" s="46" t="s">
        <v>127</v>
      </c>
      <c r="L3487" s="46" t="s">
        <v>15</v>
      </c>
      <c r="M3487" s="46" t="s">
        <v>13</v>
      </c>
      <c r="N3487" s="46" t="s">
        <v>14</v>
      </c>
      <c r="O3487" s="49" t="s">
        <v>814</v>
      </c>
      <c r="P3487" s="49" t="s">
        <v>4910</v>
      </c>
      <c r="Q3487" s="35" t="str">
        <f>MID(Tabla1[[#This Row],[Aplicación]],14,1)</f>
        <v>2</v>
      </c>
      <c r="R3487" s="35" t="s">
        <v>495</v>
      </c>
      <c r="S3487" s="35" t="str">
        <f>MID(Tabla1[[#This Row],[Aplicación]],6,2)</f>
        <v>10</v>
      </c>
      <c r="T3487" s="35" t="str">
        <f>VLOOKUP(Tabla1[[#This Row],[AREA]],Hoja1!A:B,2,FALSE)</f>
        <v>10. Servicios sociales y mediación comunitaria</v>
      </c>
      <c r="U3487" s="35" t="str">
        <f>MID(Tabla1[[#This Row],[Aplicación]],9,4)</f>
        <v>2312</v>
      </c>
      <c r="V3487" s="35" t="str">
        <f>VLOOKUP(Tabla1[[#This Row],[PROGRAMA]],Hoja1!A:B,2,FALSE)</f>
        <v>2312. Iniciativas sociales</v>
      </c>
      <c r="W3487" s="35" t="str">
        <f>MID(Tabla1[[#This Row],[Aplicación]],14,2)</f>
        <v>21</v>
      </c>
      <c r="X3487" s="35" t="str">
        <f>MID(Tabla1[[#This Row],[Aplicación]],14,6)</f>
        <v>212</v>
      </c>
    </row>
    <row r="3488" spans="1:24" x14ac:dyDescent="0.25">
      <c r="A3488" s="45">
        <v>220210042213</v>
      </c>
      <c r="B3488" s="46" t="s">
        <v>204</v>
      </c>
      <c r="C3488" s="47">
        <v>44400</v>
      </c>
      <c r="D3488" s="45">
        <v>22021002089</v>
      </c>
      <c r="E3488" s="46" t="s">
        <v>1220</v>
      </c>
      <c r="F3488" s="48">
        <v>208.56</v>
      </c>
      <c r="G3488" s="46" t="s">
        <v>102</v>
      </c>
      <c r="H3488" s="46" t="s">
        <v>5054</v>
      </c>
      <c r="I3488" s="45" t="s">
        <v>205</v>
      </c>
      <c r="J3488" s="46" t="s">
        <v>127</v>
      </c>
      <c r="K3488" s="46" t="s">
        <v>127</v>
      </c>
      <c r="L3488" s="46" t="s">
        <v>15</v>
      </c>
      <c r="M3488" s="46" t="s">
        <v>13</v>
      </c>
      <c r="N3488" s="46" t="s">
        <v>16</v>
      </c>
      <c r="O3488" s="49" t="s">
        <v>814</v>
      </c>
      <c r="P3488" s="49" t="s">
        <v>4910</v>
      </c>
      <c r="Q3488" s="35" t="str">
        <f>MID(Tabla1[[#This Row],[Aplicación]],14,1)</f>
        <v>2</v>
      </c>
      <c r="R3488" s="35" t="s">
        <v>495</v>
      </c>
      <c r="S3488" s="35" t="str">
        <f>MID(Tabla1[[#This Row],[Aplicación]],6,2)</f>
        <v>03</v>
      </c>
      <c r="T3488" s="35" t="str">
        <f>VLOOKUP(Tabla1[[#This Row],[AREA]],Hoja1!A:B,2,FALSE)</f>
        <v>03. Participación ciudadana y deportes</v>
      </c>
      <c r="U3488" s="35" t="str">
        <f>MID(Tabla1[[#This Row],[Aplicación]],9,4)</f>
        <v>9241</v>
      </c>
      <c r="V3488" s="35" t="str">
        <f>VLOOKUP(Tabla1[[#This Row],[PROGRAMA]],Hoja1!A:B,2,FALSE)</f>
        <v>9241. Participación ciudadana</v>
      </c>
      <c r="W3488" s="35" t="str">
        <f>MID(Tabla1[[#This Row],[Aplicación]],14,2)</f>
        <v>21</v>
      </c>
      <c r="X3488" s="35" t="str">
        <f>MID(Tabla1[[#This Row],[Aplicación]],14,6)</f>
        <v>213</v>
      </c>
    </row>
    <row r="3489" spans="1:24" x14ac:dyDescent="0.25">
      <c r="A3489" s="45">
        <v>220210036761</v>
      </c>
      <c r="B3489" s="46" t="s">
        <v>204</v>
      </c>
      <c r="C3489" s="47">
        <v>44386</v>
      </c>
      <c r="D3489" s="45">
        <v>22021002371</v>
      </c>
      <c r="E3489" s="46" t="s">
        <v>1336</v>
      </c>
      <c r="F3489" s="48">
        <v>146.37</v>
      </c>
      <c r="G3489" s="46" t="s">
        <v>102</v>
      </c>
      <c r="H3489" s="46" t="s">
        <v>5055</v>
      </c>
      <c r="I3489" s="45" t="s">
        <v>205</v>
      </c>
      <c r="J3489" s="46" t="s">
        <v>127</v>
      </c>
      <c r="K3489" s="46" t="s">
        <v>127</v>
      </c>
      <c r="L3489" s="46" t="s">
        <v>15</v>
      </c>
      <c r="M3489" s="46" t="s">
        <v>13</v>
      </c>
      <c r="N3489" s="46" t="s">
        <v>14</v>
      </c>
      <c r="O3489" s="49" t="s">
        <v>814</v>
      </c>
      <c r="P3489" s="49" t="s">
        <v>4910</v>
      </c>
      <c r="Q3489" s="35" t="str">
        <f>MID(Tabla1[[#This Row],[Aplicación]],14,1)</f>
        <v>2</v>
      </c>
      <c r="R3489" s="35" t="s">
        <v>495</v>
      </c>
      <c r="S3489" s="35" t="str">
        <f>MID(Tabla1[[#This Row],[Aplicación]],6,2)</f>
        <v>02</v>
      </c>
      <c r="T3489" s="35" t="str">
        <f>VLOOKUP(Tabla1[[#This Row],[AREA]],Hoja1!A:B,2,FALSE)</f>
        <v>02. Planeamiento urbanístico y vivienda</v>
      </c>
      <c r="U3489" s="35" t="str">
        <f>MID(Tabla1[[#This Row],[Aplicación]],9,4)</f>
        <v>9332</v>
      </c>
      <c r="V3489" s="35" t="str">
        <f>VLOOKUP(Tabla1[[#This Row],[PROGRAMA]],Hoja1!A:B,2,FALSE)</f>
        <v>9332. Mantenimiento de edificios e instalaciones municipales</v>
      </c>
      <c r="W3489" s="35" t="str">
        <f>MID(Tabla1[[#This Row],[Aplicación]],14,2)</f>
        <v>21</v>
      </c>
      <c r="X3489" s="35" t="str">
        <f>MID(Tabla1[[#This Row],[Aplicación]],14,6)</f>
        <v>212</v>
      </c>
    </row>
    <row r="3490" spans="1:24" x14ac:dyDescent="0.25">
      <c r="A3490" s="45">
        <v>220210040121</v>
      </c>
      <c r="B3490" s="46" t="s">
        <v>204</v>
      </c>
      <c r="C3490" s="47">
        <v>44396</v>
      </c>
      <c r="D3490" s="45">
        <v>22021002057</v>
      </c>
      <c r="E3490" s="46" t="s">
        <v>1715</v>
      </c>
      <c r="F3490" s="48">
        <v>121.05</v>
      </c>
      <c r="G3490" s="46" t="s">
        <v>102</v>
      </c>
      <c r="H3490" s="46" t="s">
        <v>5056</v>
      </c>
      <c r="I3490" s="45" t="s">
        <v>205</v>
      </c>
      <c r="J3490" s="46" t="s">
        <v>127</v>
      </c>
      <c r="K3490" s="46" t="s">
        <v>127</v>
      </c>
      <c r="L3490" s="46" t="s">
        <v>15</v>
      </c>
      <c r="M3490" s="46" t="s">
        <v>13</v>
      </c>
      <c r="N3490" s="46" t="s">
        <v>14</v>
      </c>
      <c r="O3490" s="49" t="s">
        <v>814</v>
      </c>
      <c r="P3490" s="49" t="s">
        <v>4910</v>
      </c>
      <c r="Q3490" s="35" t="str">
        <f>MID(Tabla1[[#This Row],[Aplicación]],14,1)</f>
        <v>2</v>
      </c>
      <c r="R3490" s="35" t="s">
        <v>495</v>
      </c>
      <c r="S3490" s="35" t="str">
        <f>MID(Tabla1[[#This Row],[Aplicación]],6,2)</f>
        <v>11</v>
      </c>
      <c r="T3490" s="35" t="str">
        <f>VLOOKUP(Tabla1[[#This Row],[AREA]],Hoja1!A:B,2,FALSE)</f>
        <v>11. Salud pública y seguridad ciudadana</v>
      </c>
      <c r="U3490" s="35" t="str">
        <f>MID(Tabla1[[#This Row],[Aplicación]],9,4)</f>
        <v>1631</v>
      </c>
      <c r="V3490" s="35" t="str">
        <f>VLOOKUP(Tabla1[[#This Row],[PROGRAMA]],Hoja1!A:B,2,FALSE)</f>
        <v>1631. Limpieza viaria</v>
      </c>
      <c r="W3490" s="35" t="str">
        <f>MID(Tabla1[[#This Row],[Aplicación]],14,2)</f>
        <v>22</v>
      </c>
      <c r="X3490" s="35" t="str">
        <f>MID(Tabla1[[#This Row],[Aplicación]],14,6)</f>
        <v>22199</v>
      </c>
    </row>
    <row r="3491" spans="1:24" x14ac:dyDescent="0.25">
      <c r="A3491" s="45">
        <v>220210044395</v>
      </c>
      <c r="B3491" s="46" t="s">
        <v>204</v>
      </c>
      <c r="C3491" s="47">
        <v>44407</v>
      </c>
      <c r="D3491" s="45">
        <v>22021002143</v>
      </c>
      <c r="E3491" s="46" t="s">
        <v>1328</v>
      </c>
      <c r="F3491" s="48">
        <v>95.59</v>
      </c>
      <c r="G3491" s="46" t="s">
        <v>102</v>
      </c>
      <c r="H3491" s="46" t="s">
        <v>5057</v>
      </c>
      <c r="I3491" s="45" t="s">
        <v>205</v>
      </c>
      <c r="J3491" s="46" t="s">
        <v>127</v>
      </c>
      <c r="K3491" s="46" t="s">
        <v>127</v>
      </c>
      <c r="L3491" s="46" t="s">
        <v>15</v>
      </c>
      <c r="M3491" s="46" t="s">
        <v>13</v>
      </c>
      <c r="N3491" s="46" t="s">
        <v>14</v>
      </c>
      <c r="O3491" s="49" t="s">
        <v>814</v>
      </c>
      <c r="P3491" s="49" t="s">
        <v>4910</v>
      </c>
      <c r="Q3491" s="35" t="str">
        <f>MID(Tabla1[[#This Row],[Aplicación]],14,1)</f>
        <v>2</v>
      </c>
      <c r="R3491" s="35" t="s">
        <v>495</v>
      </c>
      <c r="S3491" s="35" t="str">
        <f>MID(Tabla1[[#This Row],[Aplicación]],6,2)</f>
        <v>10</v>
      </c>
      <c r="T3491" s="35" t="str">
        <f>VLOOKUP(Tabla1[[#This Row],[AREA]],Hoja1!A:B,2,FALSE)</f>
        <v>10. Servicios sociales y mediación comunitaria</v>
      </c>
      <c r="U3491" s="35" t="str">
        <f>MID(Tabla1[[#This Row],[Aplicación]],9,4)</f>
        <v>2311</v>
      </c>
      <c r="V3491" s="35" t="str">
        <f>VLOOKUP(Tabla1[[#This Row],[PROGRAMA]],Hoja1!A:B,2,FALSE)</f>
        <v>2311. Intervención social</v>
      </c>
      <c r="W3491" s="35" t="str">
        <f>MID(Tabla1[[#This Row],[Aplicación]],14,2)</f>
        <v>21</v>
      </c>
      <c r="X3491" s="35" t="str">
        <f>MID(Tabla1[[#This Row],[Aplicación]],14,6)</f>
        <v>212</v>
      </c>
    </row>
    <row r="3492" spans="1:24" x14ac:dyDescent="0.25">
      <c r="A3492" s="45">
        <v>220210040916</v>
      </c>
      <c r="B3492" s="46" t="s">
        <v>204</v>
      </c>
      <c r="C3492" s="47">
        <v>44397</v>
      </c>
      <c r="D3492" s="45">
        <v>22021002371</v>
      </c>
      <c r="E3492" s="46" t="s">
        <v>1336</v>
      </c>
      <c r="F3492" s="48">
        <v>46.21</v>
      </c>
      <c r="G3492" s="46" t="s">
        <v>102</v>
      </c>
      <c r="H3492" s="46" t="s">
        <v>5058</v>
      </c>
      <c r="I3492" s="45" t="s">
        <v>205</v>
      </c>
      <c r="J3492" s="46" t="s">
        <v>127</v>
      </c>
      <c r="K3492" s="46" t="s">
        <v>127</v>
      </c>
      <c r="L3492" s="46" t="s">
        <v>15</v>
      </c>
      <c r="M3492" s="46" t="s">
        <v>13</v>
      </c>
      <c r="N3492" s="46" t="s">
        <v>14</v>
      </c>
      <c r="O3492" s="49" t="s">
        <v>814</v>
      </c>
      <c r="P3492" s="49" t="s">
        <v>4910</v>
      </c>
      <c r="Q3492" s="35" t="str">
        <f>MID(Tabla1[[#This Row],[Aplicación]],14,1)</f>
        <v>2</v>
      </c>
      <c r="R3492" s="35" t="s">
        <v>495</v>
      </c>
      <c r="S3492" s="35" t="str">
        <f>MID(Tabla1[[#This Row],[Aplicación]],6,2)</f>
        <v>02</v>
      </c>
      <c r="T3492" s="35" t="str">
        <f>VLOOKUP(Tabla1[[#This Row],[AREA]],Hoja1!A:B,2,FALSE)</f>
        <v>02. Planeamiento urbanístico y vivienda</v>
      </c>
      <c r="U3492" s="35" t="str">
        <f>MID(Tabla1[[#This Row],[Aplicación]],9,4)</f>
        <v>9332</v>
      </c>
      <c r="V3492" s="35" t="str">
        <f>VLOOKUP(Tabla1[[#This Row],[PROGRAMA]],Hoja1!A:B,2,FALSE)</f>
        <v>9332. Mantenimiento de edificios e instalaciones municipales</v>
      </c>
      <c r="W3492" s="35" t="str">
        <f>MID(Tabla1[[#This Row],[Aplicación]],14,2)</f>
        <v>21</v>
      </c>
      <c r="X3492" s="35" t="str">
        <f>MID(Tabla1[[#This Row],[Aplicación]],14,6)</f>
        <v>212</v>
      </c>
    </row>
    <row r="3493" spans="1:24" x14ac:dyDescent="0.25">
      <c r="A3493" s="45">
        <v>220210040178</v>
      </c>
      <c r="B3493" s="46" t="s">
        <v>204</v>
      </c>
      <c r="C3493" s="47">
        <v>44396</v>
      </c>
      <c r="D3493" s="45">
        <v>22021001966</v>
      </c>
      <c r="E3493" s="46" t="s">
        <v>950</v>
      </c>
      <c r="F3493" s="48">
        <v>31.82</v>
      </c>
      <c r="G3493" s="46" t="s">
        <v>102</v>
      </c>
      <c r="H3493" s="46" t="s">
        <v>5059</v>
      </c>
      <c r="I3493" s="45" t="s">
        <v>205</v>
      </c>
      <c r="J3493" s="46" t="s">
        <v>127</v>
      </c>
      <c r="K3493" s="46" t="s">
        <v>127</v>
      </c>
      <c r="L3493" s="46" t="s">
        <v>15</v>
      </c>
      <c r="M3493" s="46" t="s">
        <v>13</v>
      </c>
      <c r="N3493" s="46" t="s">
        <v>14</v>
      </c>
      <c r="O3493" s="49" t="s">
        <v>814</v>
      </c>
      <c r="P3493" s="49" t="s">
        <v>4910</v>
      </c>
      <c r="Q3493" s="35" t="str">
        <f>MID(Tabla1[[#This Row],[Aplicación]],14,1)</f>
        <v>2</v>
      </c>
      <c r="R3493" s="35" t="s">
        <v>495</v>
      </c>
      <c r="S3493" s="35" t="str">
        <f>MID(Tabla1[[#This Row],[Aplicación]],6,2)</f>
        <v>11</v>
      </c>
      <c r="T3493" s="35" t="str">
        <f>VLOOKUP(Tabla1[[#This Row],[AREA]],Hoja1!A:B,2,FALSE)</f>
        <v>11. Salud pública y seguridad ciudadana</v>
      </c>
      <c r="U3493" s="35" t="str">
        <f>MID(Tabla1[[#This Row],[Aplicación]],9,4)</f>
        <v>1321</v>
      </c>
      <c r="V3493" s="35" t="str">
        <f>VLOOKUP(Tabla1[[#This Row],[PROGRAMA]],Hoja1!A:B,2,FALSE)</f>
        <v>1321. Policía municipal</v>
      </c>
      <c r="W3493" s="35" t="str">
        <f>MID(Tabla1[[#This Row],[Aplicación]],14,2)</f>
        <v>21</v>
      </c>
      <c r="X3493" s="35" t="str">
        <f>MID(Tabla1[[#This Row],[Aplicación]],14,6)</f>
        <v>213</v>
      </c>
    </row>
    <row r="3494" spans="1:24" x14ac:dyDescent="0.25">
      <c r="A3494" s="45">
        <v>220210036363</v>
      </c>
      <c r="B3494" s="46" t="s">
        <v>204</v>
      </c>
      <c r="C3494" s="47">
        <v>44384</v>
      </c>
      <c r="D3494" s="45">
        <v>22021001039</v>
      </c>
      <c r="E3494" s="46" t="s">
        <v>844</v>
      </c>
      <c r="F3494" s="48">
        <v>14.54</v>
      </c>
      <c r="G3494" s="46" t="s">
        <v>102</v>
      </c>
      <c r="H3494" s="46" t="s">
        <v>5053</v>
      </c>
      <c r="I3494" s="45" t="s">
        <v>205</v>
      </c>
      <c r="J3494" s="46" t="s">
        <v>127</v>
      </c>
      <c r="K3494" s="46" t="s">
        <v>127</v>
      </c>
      <c r="L3494" s="46" t="s">
        <v>15</v>
      </c>
      <c r="M3494" s="46" t="s">
        <v>13</v>
      </c>
      <c r="N3494" s="46" t="s">
        <v>14</v>
      </c>
      <c r="O3494" s="49" t="s">
        <v>814</v>
      </c>
      <c r="P3494" s="49" t="s">
        <v>4910</v>
      </c>
      <c r="Q3494" s="35" t="str">
        <f>MID(Tabla1[[#This Row],[Aplicación]],14,1)</f>
        <v>2</v>
      </c>
      <c r="R3494" s="35" t="s">
        <v>495</v>
      </c>
      <c r="S3494" s="35" t="str">
        <f>MID(Tabla1[[#This Row],[Aplicación]],6,2)</f>
        <v>10</v>
      </c>
      <c r="T3494" s="35" t="str">
        <f>VLOOKUP(Tabla1[[#This Row],[AREA]],Hoja1!A:B,2,FALSE)</f>
        <v>10. Servicios sociales y mediación comunitaria</v>
      </c>
      <c r="U3494" s="35" t="str">
        <f>MID(Tabla1[[#This Row],[Aplicación]],9,4)</f>
        <v>2312</v>
      </c>
      <c r="V3494" s="35" t="str">
        <f>VLOOKUP(Tabla1[[#This Row],[PROGRAMA]],Hoja1!A:B,2,FALSE)</f>
        <v>2312. Iniciativas sociales</v>
      </c>
      <c r="W3494" s="35" t="str">
        <f>MID(Tabla1[[#This Row],[Aplicación]],14,2)</f>
        <v>21</v>
      </c>
      <c r="X3494" s="35" t="str">
        <f>MID(Tabla1[[#This Row],[Aplicación]],14,6)</f>
        <v>212</v>
      </c>
    </row>
    <row r="3495" spans="1:24" x14ac:dyDescent="0.25">
      <c r="A3495" s="45">
        <v>220210045159</v>
      </c>
      <c r="B3495" s="46" t="s">
        <v>204</v>
      </c>
      <c r="C3495" s="47">
        <v>44411</v>
      </c>
      <c r="D3495" s="45">
        <v>22021002046</v>
      </c>
      <c r="E3495" s="46" t="s">
        <v>2155</v>
      </c>
      <c r="F3495" s="48">
        <v>310.99</v>
      </c>
      <c r="G3495" s="46" t="s">
        <v>102</v>
      </c>
      <c r="H3495" s="46" t="s">
        <v>5060</v>
      </c>
      <c r="I3495" s="45" t="s">
        <v>205</v>
      </c>
      <c r="J3495" s="46" t="s">
        <v>127</v>
      </c>
      <c r="K3495" s="46" t="s">
        <v>127</v>
      </c>
      <c r="L3495" s="46" t="s">
        <v>15</v>
      </c>
      <c r="M3495" s="46" t="s">
        <v>13</v>
      </c>
      <c r="N3495" s="46" t="s">
        <v>14</v>
      </c>
      <c r="O3495" s="49" t="s">
        <v>814</v>
      </c>
      <c r="P3495" s="49" t="s">
        <v>4910</v>
      </c>
      <c r="Q3495" s="35" t="str">
        <f>MID(Tabla1[[#This Row],[Aplicación]],14,1)</f>
        <v>2</v>
      </c>
      <c r="R3495" s="35" t="s">
        <v>495</v>
      </c>
      <c r="S3495" s="35" t="str">
        <f>MID(Tabla1[[#This Row],[Aplicación]],6,2)</f>
        <v>11</v>
      </c>
      <c r="T3495" s="35" t="str">
        <f>VLOOKUP(Tabla1[[#This Row],[AREA]],Hoja1!A:B,2,FALSE)</f>
        <v>11. Salud pública y seguridad ciudadana</v>
      </c>
      <c r="U3495" s="35" t="str">
        <f>MID(Tabla1[[#This Row],[Aplicación]],9,4)</f>
        <v>1621</v>
      </c>
      <c r="V3495" s="35" t="str">
        <f>VLOOKUP(Tabla1[[#This Row],[PROGRAMA]],Hoja1!A:B,2,FALSE)</f>
        <v>1621. Servicio de limpieza</v>
      </c>
      <c r="W3495" s="35" t="str">
        <f>MID(Tabla1[[#This Row],[Aplicación]],14,2)</f>
        <v>21</v>
      </c>
      <c r="X3495" s="35" t="str">
        <f>MID(Tabla1[[#This Row],[Aplicación]],14,6)</f>
        <v>212</v>
      </c>
    </row>
    <row r="3496" spans="1:24" x14ac:dyDescent="0.25">
      <c r="A3496" s="45">
        <v>220210045109</v>
      </c>
      <c r="B3496" s="46" t="s">
        <v>204</v>
      </c>
      <c r="C3496" s="47">
        <v>44411</v>
      </c>
      <c r="D3496" s="45">
        <v>22021002057</v>
      </c>
      <c r="E3496" s="46" t="s">
        <v>1715</v>
      </c>
      <c r="F3496" s="48">
        <v>1174.8</v>
      </c>
      <c r="G3496" s="46" t="s">
        <v>102</v>
      </c>
      <c r="H3496" s="46" t="s">
        <v>5061</v>
      </c>
      <c r="I3496" s="45" t="s">
        <v>205</v>
      </c>
      <c r="J3496" s="46" t="s">
        <v>127</v>
      </c>
      <c r="K3496" s="46" t="s">
        <v>127</v>
      </c>
      <c r="L3496" s="46" t="s">
        <v>15</v>
      </c>
      <c r="M3496" s="46" t="s">
        <v>13</v>
      </c>
      <c r="N3496" s="46" t="s">
        <v>14</v>
      </c>
      <c r="O3496" s="49" t="s">
        <v>814</v>
      </c>
      <c r="P3496" s="49" t="s">
        <v>4910</v>
      </c>
      <c r="Q3496" s="35" t="str">
        <f>MID(Tabla1[[#This Row],[Aplicación]],14,1)</f>
        <v>2</v>
      </c>
      <c r="R3496" s="35" t="s">
        <v>495</v>
      </c>
      <c r="S3496" s="35" t="str">
        <f>MID(Tabla1[[#This Row],[Aplicación]],6,2)</f>
        <v>11</v>
      </c>
      <c r="T3496" s="35" t="str">
        <f>VLOOKUP(Tabla1[[#This Row],[AREA]],Hoja1!A:B,2,FALSE)</f>
        <v>11. Salud pública y seguridad ciudadana</v>
      </c>
      <c r="U3496" s="35" t="str">
        <f>MID(Tabla1[[#This Row],[Aplicación]],9,4)</f>
        <v>1631</v>
      </c>
      <c r="V3496" s="35" t="str">
        <f>VLOOKUP(Tabla1[[#This Row],[PROGRAMA]],Hoja1!A:B,2,FALSE)</f>
        <v>1631. Limpieza viaria</v>
      </c>
      <c r="W3496" s="35" t="str">
        <f>MID(Tabla1[[#This Row],[Aplicación]],14,2)</f>
        <v>22</v>
      </c>
      <c r="X3496" s="35" t="str">
        <f>MID(Tabla1[[#This Row],[Aplicación]],14,6)</f>
        <v>22199</v>
      </c>
    </row>
    <row r="3497" spans="1:24" x14ac:dyDescent="0.25">
      <c r="A3497" s="45">
        <v>220210046996</v>
      </c>
      <c r="B3497" s="46" t="s">
        <v>204</v>
      </c>
      <c r="C3497" s="47">
        <v>44421</v>
      </c>
      <c r="D3497" s="45">
        <v>22021002057</v>
      </c>
      <c r="E3497" s="46" t="s">
        <v>1715</v>
      </c>
      <c r="F3497" s="48">
        <v>429.54</v>
      </c>
      <c r="G3497" s="46" t="s">
        <v>102</v>
      </c>
      <c r="H3497" s="46" t="s">
        <v>5062</v>
      </c>
      <c r="I3497" s="45" t="s">
        <v>205</v>
      </c>
      <c r="J3497" s="46" t="s">
        <v>127</v>
      </c>
      <c r="K3497" s="46" t="s">
        <v>127</v>
      </c>
      <c r="L3497" s="46" t="s">
        <v>15</v>
      </c>
      <c r="M3497" s="46" t="s">
        <v>13</v>
      </c>
      <c r="N3497" s="46" t="s">
        <v>14</v>
      </c>
      <c r="O3497" s="49" t="s">
        <v>814</v>
      </c>
      <c r="P3497" s="49" t="s">
        <v>4910</v>
      </c>
      <c r="Q3497" s="35" t="str">
        <f>MID(Tabla1[[#This Row],[Aplicación]],14,1)</f>
        <v>2</v>
      </c>
      <c r="R3497" s="35" t="s">
        <v>495</v>
      </c>
      <c r="S3497" s="35" t="str">
        <f>MID(Tabla1[[#This Row],[Aplicación]],6,2)</f>
        <v>11</v>
      </c>
      <c r="T3497" s="35" t="str">
        <f>VLOOKUP(Tabla1[[#This Row],[AREA]],Hoja1!A:B,2,FALSE)</f>
        <v>11. Salud pública y seguridad ciudadana</v>
      </c>
      <c r="U3497" s="35" t="str">
        <f>MID(Tabla1[[#This Row],[Aplicación]],9,4)</f>
        <v>1631</v>
      </c>
      <c r="V3497" s="35" t="str">
        <f>VLOOKUP(Tabla1[[#This Row],[PROGRAMA]],Hoja1!A:B,2,FALSE)</f>
        <v>1631. Limpieza viaria</v>
      </c>
      <c r="W3497" s="35" t="str">
        <f>MID(Tabla1[[#This Row],[Aplicación]],14,2)</f>
        <v>22</v>
      </c>
      <c r="X3497" s="35" t="str">
        <f>MID(Tabla1[[#This Row],[Aplicación]],14,6)</f>
        <v>22199</v>
      </c>
    </row>
    <row r="3498" spans="1:24" x14ac:dyDescent="0.25">
      <c r="A3498" s="45">
        <v>220210046990</v>
      </c>
      <c r="B3498" s="46" t="s">
        <v>204</v>
      </c>
      <c r="C3498" s="47">
        <v>44421</v>
      </c>
      <c r="D3498" s="45">
        <v>22021002052</v>
      </c>
      <c r="E3498" s="46" t="s">
        <v>1340</v>
      </c>
      <c r="F3498" s="48">
        <v>327.86</v>
      </c>
      <c r="G3498" s="46" t="s">
        <v>102</v>
      </c>
      <c r="H3498" s="46" t="s">
        <v>5063</v>
      </c>
      <c r="I3498" s="45" t="s">
        <v>205</v>
      </c>
      <c r="J3498" s="46" t="s">
        <v>127</v>
      </c>
      <c r="K3498" s="46" t="s">
        <v>127</v>
      </c>
      <c r="L3498" s="46" t="s">
        <v>15</v>
      </c>
      <c r="M3498" s="46" t="s">
        <v>13</v>
      </c>
      <c r="N3498" s="46" t="s">
        <v>14</v>
      </c>
      <c r="O3498" s="49" t="s">
        <v>814</v>
      </c>
      <c r="P3498" s="49" t="s">
        <v>4910</v>
      </c>
      <c r="Q3498" s="35" t="str">
        <f>MID(Tabla1[[#This Row],[Aplicación]],14,1)</f>
        <v>2</v>
      </c>
      <c r="R3498" s="35" t="s">
        <v>495</v>
      </c>
      <c r="S3498" s="35" t="str">
        <f>MID(Tabla1[[#This Row],[Aplicación]],6,2)</f>
        <v>11</v>
      </c>
      <c r="T3498" s="35" t="str">
        <f>VLOOKUP(Tabla1[[#This Row],[AREA]],Hoja1!A:B,2,FALSE)</f>
        <v>11. Salud pública y seguridad ciudadana</v>
      </c>
      <c r="U3498" s="35" t="str">
        <f>MID(Tabla1[[#This Row],[Aplicación]],9,4)</f>
        <v>1621</v>
      </c>
      <c r="V3498" s="35" t="str">
        <f>VLOOKUP(Tabla1[[#This Row],[PROGRAMA]],Hoja1!A:B,2,FALSE)</f>
        <v>1621. Servicio de limpieza</v>
      </c>
      <c r="W3498" s="35" t="str">
        <f>MID(Tabla1[[#This Row],[Aplicación]],14,2)</f>
        <v>22</v>
      </c>
      <c r="X3498" s="35" t="str">
        <f>MID(Tabla1[[#This Row],[Aplicación]],14,6)</f>
        <v>22199</v>
      </c>
    </row>
    <row r="3499" spans="1:24" x14ac:dyDescent="0.25">
      <c r="A3499" s="45">
        <v>220210045414</v>
      </c>
      <c r="B3499" s="46" t="s">
        <v>204</v>
      </c>
      <c r="C3499" s="47">
        <v>44413</v>
      </c>
      <c r="D3499" s="45">
        <v>22021001275</v>
      </c>
      <c r="E3499" s="46" t="s">
        <v>1334</v>
      </c>
      <c r="F3499" s="48">
        <v>88.48</v>
      </c>
      <c r="G3499" s="46" t="s">
        <v>102</v>
      </c>
      <c r="H3499" s="46" t="s">
        <v>1335</v>
      </c>
      <c r="I3499" s="45" t="s">
        <v>205</v>
      </c>
      <c r="J3499" s="46" t="s">
        <v>127</v>
      </c>
      <c r="K3499" s="46" t="s">
        <v>127</v>
      </c>
      <c r="L3499" s="46" t="s">
        <v>15</v>
      </c>
      <c r="M3499" s="46" t="s">
        <v>13</v>
      </c>
      <c r="N3499" s="46" t="s">
        <v>14</v>
      </c>
      <c r="O3499" s="49" t="s">
        <v>814</v>
      </c>
      <c r="P3499" s="49" t="s">
        <v>4910</v>
      </c>
      <c r="Q3499" s="35" t="str">
        <f>MID(Tabla1[[#This Row],[Aplicación]],14,1)</f>
        <v>2</v>
      </c>
      <c r="R3499" s="35" t="s">
        <v>495</v>
      </c>
      <c r="S3499" s="35" t="str">
        <f>MID(Tabla1[[#This Row],[Aplicación]],6,2)</f>
        <v>07</v>
      </c>
      <c r="T3499" s="35" t="str">
        <f>VLOOKUP(Tabla1[[#This Row],[AREA]],Hoja1!A:B,2,FALSE)</f>
        <v>07. Medio ambiente y desarrollo sostenible</v>
      </c>
      <c r="U3499" s="35" t="str">
        <f>MID(Tabla1[[#This Row],[Aplicación]],9,4)</f>
        <v>1711</v>
      </c>
      <c r="V3499" s="35" t="str">
        <f>VLOOKUP(Tabla1[[#This Row],[PROGRAMA]],Hoja1!A:B,2,FALSE)</f>
        <v>1711. Parques y jardines</v>
      </c>
      <c r="W3499" s="35" t="str">
        <f>MID(Tabla1[[#This Row],[Aplicación]],14,2)</f>
        <v>22</v>
      </c>
      <c r="X3499" s="35" t="str">
        <f>MID(Tabla1[[#This Row],[Aplicación]],14,6)</f>
        <v>22199</v>
      </c>
    </row>
    <row r="3500" spans="1:24" x14ac:dyDescent="0.25">
      <c r="A3500" s="45">
        <v>220210046053</v>
      </c>
      <c r="B3500" s="46" t="s">
        <v>204</v>
      </c>
      <c r="C3500" s="47">
        <v>44418</v>
      </c>
      <c r="D3500" s="45">
        <v>22021002089</v>
      </c>
      <c r="E3500" s="46" t="s">
        <v>1220</v>
      </c>
      <c r="F3500" s="48">
        <v>78.650000000000006</v>
      </c>
      <c r="G3500" s="46" t="s">
        <v>102</v>
      </c>
      <c r="H3500" s="46" t="s">
        <v>5064</v>
      </c>
      <c r="I3500" s="45" t="s">
        <v>205</v>
      </c>
      <c r="J3500" s="46" t="s">
        <v>127</v>
      </c>
      <c r="K3500" s="46" t="s">
        <v>127</v>
      </c>
      <c r="L3500" s="46" t="s">
        <v>15</v>
      </c>
      <c r="M3500" s="46" t="s">
        <v>13</v>
      </c>
      <c r="N3500" s="46" t="s">
        <v>14</v>
      </c>
      <c r="O3500" s="49" t="s">
        <v>814</v>
      </c>
      <c r="P3500" s="49" t="s">
        <v>4910</v>
      </c>
      <c r="Q3500" s="35" t="str">
        <f>MID(Tabla1[[#This Row],[Aplicación]],14,1)</f>
        <v>2</v>
      </c>
      <c r="R3500" s="35" t="s">
        <v>495</v>
      </c>
      <c r="S3500" s="35" t="str">
        <f>MID(Tabla1[[#This Row],[Aplicación]],6,2)</f>
        <v>03</v>
      </c>
      <c r="T3500" s="35" t="str">
        <f>VLOOKUP(Tabla1[[#This Row],[AREA]],Hoja1!A:B,2,FALSE)</f>
        <v>03. Participación ciudadana y deportes</v>
      </c>
      <c r="U3500" s="35" t="str">
        <f>MID(Tabla1[[#This Row],[Aplicación]],9,4)</f>
        <v>9241</v>
      </c>
      <c r="V3500" s="35" t="str">
        <f>VLOOKUP(Tabla1[[#This Row],[PROGRAMA]],Hoja1!A:B,2,FALSE)</f>
        <v>9241. Participación ciudadana</v>
      </c>
      <c r="W3500" s="35" t="str">
        <f>MID(Tabla1[[#This Row],[Aplicación]],14,2)</f>
        <v>21</v>
      </c>
      <c r="X3500" s="35" t="str">
        <f>MID(Tabla1[[#This Row],[Aplicación]],14,6)</f>
        <v>213</v>
      </c>
    </row>
    <row r="3501" spans="1:24" x14ac:dyDescent="0.25">
      <c r="A3501" s="45">
        <v>220210045074</v>
      </c>
      <c r="B3501" s="46" t="s">
        <v>204</v>
      </c>
      <c r="C3501" s="47">
        <v>44411</v>
      </c>
      <c r="D3501" s="45">
        <v>22021001038</v>
      </c>
      <c r="E3501" s="46" t="s">
        <v>844</v>
      </c>
      <c r="F3501" s="48">
        <v>31.9</v>
      </c>
      <c r="G3501" s="46" t="s">
        <v>102</v>
      </c>
      <c r="H3501" s="46" t="s">
        <v>5065</v>
      </c>
      <c r="I3501" s="45" t="s">
        <v>205</v>
      </c>
      <c r="J3501" s="46" t="s">
        <v>127</v>
      </c>
      <c r="K3501" s="46" t="s">
        <v>127</v>
      </c>
      <c r="L3501" s="46" t="s">
        <v>15</v>
      </c>
      <c r="M3501" s="46" t="s">
        <v>13</v>
      </c>
      <c r="N3501" s="46" t="s">
        <v>14</v>
      </c>
      <c r="O3501" s="49" t="s">
        <v>814</v>
      </c>
      <c r="P3501" s="49" t="s">
        <v>4910</v>
      </c>
      <c r="Q3501" s="35" t="str">
        <f>MID(Tabla1[[#This Row],[Aplicación]],14,1)</f>
        <v>2</v>
      </c>
      <c r="R3501" s="35" t="s">
        <v>495</v>
      </c>
      <c r="S3501" s="35" t="str">
        <f>MID(Tabla1[[#This Row],[Aplicación]],6,2)</f>
        <v>10</v>
      </c>
      <c r="T3501" s="35" t="str">
        <f>VLOOKUP(Tabla1[[#This Row],[AREA]],Hoja1!A:B,2,FALSE)</f>
        <v>10. Servicios sociales y mediación comunitaria</v>
      </c>
      <c r="U3501" s="35" t="str">
        <f>MID(Tabla1[[#This Row],[Aplicación]],9,4)</f>
        <v>2312</v>
      </c>
      <c r="V3501" s="35" t="str">
        <f>VLOOKUP(Tabla1[[#This Row],[PROGRAMA]],Hoja1!A:B,2,FALSE)</f>
        <v>2312. Iniciativas sociales</v>
      </c>
      <c r="W3501" s="35" t="str">
        <f>MID(Tabla1[[#This Row],[Aplicación]],14,2)</f>
        <v>21</v>
      </c>
      <c r="X3501" s="35" t="str">
        <f>MID(Tabla1[[#This Row],[Aplicación]],14,6)</f>
        <v>212</v>
      </c>
    </row>
    <row r="3502" spans="1:24" x14ac:dyDescent="0.25">
      <c r="A3502" s="45">
        <v>220210046012</v>
      </c>
      <c r="B3502" s="46" t="s">
        <v>204</v>
      </c>
      <c r="C3502" s="47">
        <v>44418</v>
      </c>
      <c r="D3502" s="45">
        <v>22021002228</v>
      </c>
      <c r="E3502" s="46" t="s">
        <v>1471</v>
      </c>
      <c r="F3502" s="48">
        <v>248.52</v>
      </c>
      <c r="G3502" s="46" t="s">
        <v>102</v>
      </c>
      <c r="H3502" s="46" t="s">
        <v>5066</v>
      </c>
      <c r="I3502" s="45" t="s">
        <v>205</v>
      </c>
      <c r="J3502" s="46" t="s">
        <v>127</v>
      </c>
      <c r="K3502" s="46" t="s">
        <v>127</v>
      </c>
      <c r="L3502" s="46" t="s">
        <v>15</v>
      </c>
      <c r="M3502" s="46" t="s">
        <v>13</v>
      </c>
      <c r="N3502" s="46" t="s">
        <v>16</v>
      </c>
      <c r="O3502" s="49" t="s">
        <v>814</v>
      </c>
      <c r="P3502" s="49" t="s">
        <v>4910</v>
      </c>
      <c r="Q3502" s="35" t="str">
        <f>MID(Tabla1[[#This Row],[Aplicación]],14,1)</f>
        <v>2</v>
      </c>
      <c r="R3502" s="35" t="s">
        <v>495</v>
      </c>
      <c r="S3502" s="35" t="str">
        <f>MID(Tabla1[[#This Row],[Aplicación]],6,2)</f>
        <v>06</v>
      </c>
      <c r="T3502" s="35" t="str">
        <f>VLOOKUP(Tabla1[[#This Row],[AREA]],Hoja1!A:B,2,FALSE)</f>
        <v>06. Educación, infancia, juventud e igualdad</v>
      </c>
      <c r="U3502" s="35" t="str">
        <f>MID(Tabla1[[#This Row],[Aplicación]],9,4)</f>
        <v>3232</v>
      </c>
      <c r="V3502" s="35" t="str">
        <f>VLOOKUP(Tabla1[[#This Row],[PROGRAMA]],Hoja1!A:B,2,FALSE)</f>
        <v>3232. Conservación y mantenimiento centros educación infantil y primaria</v>
      </c>
      <c r="W3502" s="35" t="str">
        <f>MID(Tabla1[[#This Row],[Aplicación]],14,2)</f>
        <v>21</v>
      </c>
      <c r="X3502" s="35" t="str">
        <f>MID(Tabla1[[#This Row],[Aplicación]],14,6)</f>
        <v>212</v>
      </c>
    </row>
    <row r="3503" spans="1:24" x14ac:dyDescent="0.25">
      <c r="A3503" s="45">
        <v>220210050647</v>
      </c>
      <c r="B3503" s="46" t="s">
        <v>204</v>
      </c>
      <c r="C3503" s="47">
        <v>44441</v>
      </c>
      <c r="D3503" s="45">
        <v>22021001256</v>
      </c>
      <c r="E3503" s="46" t="s">
        <v>1700</v>
      </c>
      <c r="F3503" s="48">
        <v>1397.55</v>
      </c>
      <c r="G3503" s="46" t="s">
        <v>102</v>
      </c>
      <c r="H3503" s="46" t="s">
        <v>5067</v>
      </c>
      <c r="I3503" s="45" t="s">
        <v>205</v>
      </c>
      <c r="J3503" s="46" t="s">
        <v>127</v>
      </c>
      <c r="K3503" s="46" t="s">
        <v>127</v>
      </c>
      <c r="L3503" s="46" t="s">
        <v>12</v>
      </c>
      <c r="M3503" s="46" t="s">
        <v>13</v>
      </c>
      <c r="N3503" s="46" t="s">
        <v>14</v>
      </c>
      <c r="O3503" s="49" t="s">
        <v>814</v>
      </c>
      <c r="P3503" s="49" t="s">
        <v>4910</v>
      </c>
      <c r="Q3503" s="35" t="str">
        <f>MID(Tabla1[[#This Row],[Aplicación]],14,1)</f>
        <v>2</v>
      </c>
      <c r="R3503" s="35" t="s">
        <v>495</v>
      </c>
      <c r="S3503" s="35" t="str">
        <f>MID(Tabla1[[#This Row],[Aplicación]],6,2)</f>
        <v>07</v>
      </c>
      <c r="T3503" s="35" t="str">
        <f>VLOOKUP(Tabla1[[#This Row],[AREA]],Hoja1!A:B,2,FALSE)</f>
        <v>07. Medio ambiente y desarrollo sostenible</v>
      </c>
      <c r="U3503" s="35" t="str">
        <f>MID(Tabla1[[#This Row],[Aplicación]],9,4)</f>
        <v>1721</v>
      </c>
      <c r="V3503" s="35" t="str">
        <f>VLOOKUP(Tabla1[[#This Row],[PROGRAMA]],Hoja1!A:B,2,FALSE)</f>
        <v>1721. Protección del medio ambiente</v>
      </c>
      <c r="W3503" s="35" t="str">
        <f>MID(Tabla1[[#This Row],[Aplicación]],14,2)</f>
        <v>22</v>
      </c>
      <c r="X3503" s="35" t="str">
        <f>MID(Tabla1[[#This Row],[Aplicación]],14,6)</f>
        <v>22112</v>
      </c>
    </row>
    <row r="3504" spans="1:24" x14ac:dyDescent="0.25">
      <c r="A3504" s="45">
        <v>220210048728</v>
      </c>
      <c r="B3504" s="46" t="s">
        <v>204</v>
      </c>
      <c r="C3504" s="47">
        <v>44428</v>
      </c>
      <c r="D3504" s="45">
        <v>22021002371</v>
      </c>
      <c r="E3504" s="46" t="s">
        <v>1336</v>
      </c>
      <c r="F3504" s="48">
        <v>243.06</v>
      </c>
      <c r="G3504" s="46" t="s">
        <v>102</v>
      </c>
      <c r="H3504" s="46" t="s">
        <v>5068</v>
      </c>
      <c r="I3504" s="45" t="s">
        <v>205</v>
      </c>
      <c r="J3504" s="46" t="s">
        <v>127</v>
      </c>
      <c r="K3504" s="46" t="s">
        <v>127</v>
      </c>
      <c r="L3504" s="46" t="s">
        <v>15</v>
      </c>
      <c r="M3504" s="46" t="s">
        <v>13</v>
      </c>
      <c r="N3504" s="46" t="s">
        <v>14</v>
      </c>
      <c r="O3504" s="49" t="s">
        <v>814</v>
      </c>
      <c r="P3504" s="49" t="s">
        <v>4910</v>
      </c>
      <c r="Q3504" s="35" t="str">
        <f>MID(Tabla1[[#This Row],[Aplicación]],14,1)</f>
        <v>2</v>
      </c>
      <c r="R3504" s="35" t="s">
        <v>495</v>
      </c>
      <c r="S3504" s="35" t="str">
        <f>MID(Tabla1[[#This Row],[Aplicación]],6,2)</f>
        <v>02</v>
      </c>
      <c r="T3504" s="35" t="str">
        <f>VLOOKUP(Tabla1[[#This Row],[AREA]],Hoja1!A:B,2,FALSE)</f>
        <v>02. Planeamiento urbanístico y vivienda</v>
      </c>
      <c r="U3504" s="35" t="str">
        <f>MID(Tabla1[[#This Row],[Aplicación]],9,4)</f>
        <v>9332</v>
      </c>
      <c r="V3504" s="35" t="str">
        <f>VLOOKUP(Tabla1[[#This Row],[PROGRAMA]],Hoja1!A:B,2,FALSE)</f>
        <v>9332. Mantenimiento de edificios e instalaciones municipales</v>
      </c>
      <c r="W3504" s="35" t="str">
        <f>MID(Tabla1[[#This Row],[Aplicación]],14,2)</f>
        <v>21</v>
      </c>
      <c r="X3504" s="35" t="str">
        <f>MID(Tabla1[[#This Row],[Aplicación]],14,6)</f>
        <v>212</v>
      </c>
    </row>
    <row r="3505" spans="1:24" x14ac:dyDescent="0.25">
      <c r="A3505" s="45">
        <v>220210050017</v>
      </c>
      <c r="B3505" s="46" t="s">
        <v>9</v>
      </c>
      <c r="C3505" s="47">
        <v>44434</v>
      </c>
      <c r="D3505" s="45">
        <v>22021006166</v>
      </c>
      <c r="E3505" s="46" t="s">
        <v>1314</v>
      </c>
      <c r="F3505" s="48">
        <v>220.79</v>
      </c>
      <c r="G3505" s="46" t="s">
        <v>102</v>
      </c>
      <c r="H3505" s="46" t="s">
        <v>5069</v>
      </c>
      <c r="I3505" s="45" t="s">
        <v>125</v>
      </c>
      <c r="J3505" s="46" t="s">
        <v>127</v>
      </c>
      <c r="K3505" s="46" t="s">
        <v>127</v>
      </c>
      <c r="L3505" s="46" t="s">
        <v>15</v>
      </c>
      <c r="M3505" s="46" t="s">
        <v>13</v>
      </c>
      <c r="N3505" s="46" t="s">
        <v>14</v>
      </c>
      <c r="O3505" s="49" t="s">
        <v>814</v>
      </c>
      <c r="P3505" s="49" t="s">
        <v>4910</v>
      </c>
      <c r="Q3505" s="35" t="str">
        <f>MID(Tabla1[[#This Row],[Aplicación]],14,1)</f>
        <v>2</v>
      </c>
      <c r="R3505" s="35" t="s">
        <v>495</v>
      </c>
      <c r="S3505" s="35" t="str">
        <f>MID(Tabla1[[#This Row],[Aplicación]],6,2)</f>
        <v>01</v>
      </c>
      <c r="T3505" s="35" t="str">
        <f>VLOOKUP(Tabla1[[#This Row],[AREA]],Hoja1!A:B,2,FALSE)</f>
        <v>01. Alcaldía</v>
      </c>
      <c r="U3505" s="35" t="str">
        <f>MID(Tabla1[[#This Row],[Aplicación]],9,4)</f>
        <v>9206</v>
      </c>
      <c r="V3505" s="35" t="str">
        <f>VLOOKUP(Tabla1[[#This Row],[PROGRAMA]],Hoja1!A:B,2,FALSE)</f>
        <v>9206. Archivo municipal</v>
      </c>
      <c r="W3505" s="35" t="str">
        <f>MID(Tabla1[[#This Row],[Aplicación]],14,2)</f>
        <v>22</v>
      </c>
      <c r="X3505" s="35" t="str">
        <f>MID(Tabla1[[#This Row],[Aplicación]],14,6)</f>
        <v>22199</v>
      </c>
    </row>
    <row r="3506" spans="1:24" x14ac:dyDescent="0.25">
      <c r="A3506" s="45">
        <v>220210053590</v>
      </c>
      <c r="B3506" s="46" t="s">
        <v>204</v>
      </c>
      <c r="C3506" s="47">
        <v>44452</v>
      </c>
      <c r="D3506" s="45">
        <v>22021002048</v>
      </c>
      <c r="E3506" s="46" t="s">
        <v>890</v>
      </c>
      <c r="F3506" s="48">
        <v>199.13</v>
      </c>
      <c r="G3506" s="46" t="s">
        <v>102</v>
      </c>
      <c r="H3506" s="46" t="s">
        <v>5070</v>
      </c>
      <c r="I3506" s="45" t="s">
        <v>205</v>
      </c>
      <c r="J3506" s="46" t="s">
        <v>127</v>
      </c>
      <c r="K3506" s="46" t="s">
        <v>127</v>
      </c>
      <c r="L3506" s="46" t="s">
        <v>15</v>
      </c>
      <c r="M3506" s="46" t="s">
        <v>13</v>
      </c>
      <c r="N3506" s="46" t="s">
        <v>14</v>
      </c>
      <c r="O3506" s="49" t="s">
        <v>814</v>
      </c>
      <c r="P3506" s="49" t="s">
        <v>4910</v>
      </c>
      <c r="Q3506" s="35" t="str">
        <f>MID(Tabla1[[#This Row],[Aplicación]],14,1)</f>
        <v>2</v>
      </c>
      <c r="R3506" s="35" t="s">
        <v>495</v>
      </c>
      <c r="S3506" s="35" t="str">
        <f>MID(Tabla1[[#This Row],[Aplicación]],6,2)</f>
        <v>11</v>
      </c>
      <c r="T3506" s="35" t="str">
        <f>VLOOKUP(Tabla1[[#This Row],[AREA]],Hoja1!A:B,2,FALSE)</f>
        <v>11. Salud pública y seguridad ciudadana</v>
      </c>
      <c r="U3506" s="35" t="str">
        <f>MID(Tabla1[[#This Row],[Aplicación]],9,4)</f>
        <v>1621</v>
      </c>
      <c r="V3506" s="35" t="str">
        <f>VLOOKUP(Tabla1[[#This Row],[PROGRAMA]],Hoja1!A:B,2,FALSE)</f>
        <v>1621. Servicio de limpieza</v>
      </c>
      <c r="W3506" s="35" t="str">
        <f>MID(Tabla1[[#This Row],[Aplicación]],14,2)</f>
        <v>21</v>
      </c>
      <c r="X3506" s="35" t="str">
        <f>MID(Tabla1[[#This Row],[Aplicación]],14,6)</f>
        <v>214</v>
      </c>
    </row>
    <row r="3507" spans="1:24" x14ac:dyDescent="0.25">
      <c r="A3507" s="45">
        <v>220210050149</v>
      </c>
      <c r="B3507" s="46" t="s">
        <v>204</v>
      </c>
      <c r="C3507" s="47">
        <v>44435</v>
      </c>
      <c r="D3507" s="45">
        <v>22021002048</v>
      </c>
      <c r="E3507" s="46" t="s">
        <v>890</v>
      </c>
      <c r="F3507" s="48">
        <v>145.32</v>
      </c>
      <c r="G3507" s="46" t="s">
        <v>102</v>
      </c>
      <c r="H3507" s="46" t="s">
        <v>5071</v>
      </c>
      <c r="I3507" s="45" t="s">
        <v>205</v>
      </c>
      <c r="J3507" s="46" t="s">
        <v>127</v>
      </c>
      <c r="K3507" s="46" t="s">
        <v>127</v>
      </c>
      <c r="L3507" s="46" t="s">
        <v>15</v>
      </c>
      <c r="M3507" s="46" t="s">
        <v>13</v>
      </c>
      <c r="N3507" s="46" t="s">
        <v>14</v>
      </c>
      <c r="O3507" s="49" t="s">
        <v>814</v>
      </c>
      <c r="P3507" s="49" t="s">
        <v>4910</v>
      </c>
      <c r="Q3507" s="35" t="str">
        <f>MID(Tabla1[[#This Row],[Aplicación]],14,1)</f>
        <v>2</v>
      </c>
      <c r="R3507" s="35" t="s">
        <v>495</v>
      </c>
      <c r="S3507" s="35" t="str">
        <f>MID(Tabla1[[#This Row],[Aplicación]],6,2)</f>
        <v>11</v>
      </c>
      <c r="T3507" s="35" t="str">
        <f>VLOOKUP(Tabla1[[#This Row],[AREA]],Hoja1!A:B,2,FALSE)</f>
        <v>11. Salud pública y seguridad ciudadana</v>
      </c>
      <c r="U3507" s="35" t="str">
        <f>MID(Tabla1[[#This Row],[Aplicación]],9,4)</f>
        <v>1621</v>
      </c>
      <c r="V3507" s="35" t="str">
        <f>VLOOKUP(Tabla1[[#This Row],[PROGRAMA]],Hoja1!A:B,2,FALSE)</f>
        <v>1621. Servicio de limpieza</v>
      </c>
      <c r="W3507" s="35" t="str">
        <f>MID(Tabla1[[#This Row],[Aplicación]],14,2)</f>
        <v>21</v>
      </c>
      <c r="X3507" s="35" t="str">
        <f>MID(Tabla1[[#This Row],[Aplicación]],14,6)</f>
        <v>214</v>
      </c>
    </row>
    <row r="3508" spans="1:24" x14ac:dyDescent="0.25">
      <c r="A3508" s="45">
        <v>220210049871</v>
      </c>
      <c r="B3508" s="46" t="s">
        <v>204</v>
      </c>
      <c r="C3508" s="47">
        <v>44433</v>
      </c>
      <c r="D3508" s="45">
        <v>22021001966</v>
      </c>
      <c r="E3508" s="46" t="s">
        <v>950</v>
      </c>
      <c r="F3508" s="48">
        <v>143.09</v>
      </c>
      <c r="G3508" s="46" t="s">
        <v>102</v>
      </c>
      <c r="H3508" s="46" t="s">
        <v>5072</v>
      </c>
      <c r="I3508" s="45" t="s">
        <v>205</v>
      </c>
      <c r="J3508" s="46" t="s">
        <v>127</v>
      </c>
      <c r="K3508" s="46" t="s">
        <v>127</v>
      </c>
      <c r="L3508" s="46" t="s">
        <v>15</v>
      </c>
      <c r="M3508" s="46" t="s">
        <v>13</v>
      </c>
      <c r="N3508" s="46" t="s">
        <v>14</v>
      </c>
      <c r="O3508" s="49" t="s">
        <v>814</v>
      </c>
      <c r="P3508" s="49" t="s">
        <v>4910</v>
      </c>
      <c r="Q3508" s="35" t="str">
        <f>MID(Tabla1[[#This Row],[Aplicación]],14,1)</f>
        <v>2</v>
      </c>
      <c r="R3508" s="35" t="s">
        <v>495</v>
      </c>
      <c r="S3508" s="35" t="str">
        <f>MID(Tabla1[[#This Row],[Aplicación]],6,2)</f>
        <v>11</v>
      </c>
      <c r="T3508" s="35" t="str">
        <f>VLOOKUP(Tabla1[[#This Row],[AREA]],Hoja1!A:B,2,FALSE)</f>
        <v>11. Salud pública y seguridad ciudadana</v>
      </c>
      <c r="U3508" s="35" t="str">
        <f>MID(Tabla1[[#This Row],[Aplicación]],9,4)</f>
        <v>1321</v>
      </c>
      <c r="V3508" s="35" t="str">
        <f>VLOOKUP(Tabla1[[#This Row],[PROGRAMA]],Hoja1!A:B,2,FALSE)</f>
        <v>1321. Policía municipal</v>
      </c>
      <c r="W3508" s="35" t="str">
        <f>MID(Tabla1[[#This Row],[Aplicación]],14,2)</f>
        <v>21</v>
      </c>
      <c r="X3508" s="35" t="str">
        <f>MID(Tabla1[[#This Row],[Aplicación]],14,6)</f>
        <v>213</v>
      </c>
    </row>
    <row r="3509" spans="1:24" x14ac:dyDescent="0.25">
      <c r="A3509" s="45">
        <v>220210050583</v>
      </c>
      <c r="B3509" s="46" t="s">
        <v>204</v>
      </c>
      <c r="C3509" s="47">
        <v>44441</v>
      </c>
      <c r="D3509" s="45">
        <v>22021002143</v>
      </c>
      <c r="E3509" s="46" t="s">
        <v>1328</v>
      </c>
      <c r="F3509" s="48">
        <v>124.63</v>
      </c>
      <c r="G3509" s="46" t="s">
        <v>102</v>
      </c>
      <c r="H3509" s="46" t="s">
        <v>5073</v>
      </c>
      <c r="I3509" s="45" t="s">
        <v>205</v>
      </c>
      <c r="J3509" s="46" t="s">
        <v>127</v>
      </c>
      <c r="K3509" s="46" t="s">
        <v>127</v>
      </c>
      <c r="L3509" s="46" t="s">
        <v>15</v>
      </c>
      <c r="M3509" s="46" t="s">
        <v>13</v>
      </c>
      <c r="N3509" s="46" t="s">
        <v>14</v>
      </c>
      <c r="O3509" s="49" t="s">
        <v>814</v>
      </c>
      <c r="P3509" s="49" t="s">
        <v>4910</v>
      </c>
      <c r="Q3509" s="35" t="str">
        <f>MID(Tabla1[[#This Row],[Aplicación]],14,1)</f>
        <v>2</v>
      </c>
      <c r="R3509" s="35" t="s">
        <v>495</v>
      </c>
      <c r="S3509" s="35" t="str">
        <f>MID(Tabla1[[#This Row],[Aplicación]],6,2)</f>
        <v>10</v>
      </c>
      <c r="T3509" s="35" t="str">
        <f>VLOOKUP(Tabla1[[#This Row],[AREA]],Hoja1!A:B,2,FALSE)</f>
        <v>10. Servicios sociales y mediación comunitaria</v>
      </c>
      <c r="U3509" s="35" t="str">
        <f>MID(Tabla1[[#This Row],[Aplicación]],9,4)</f>
        <v>2311</v>
      </c>
      <c r="V3509" s="35" t="str">
        <f>VLOOKUP(Tabla1[[#This Row],[PROGRAMA]],Hoja1!A:B,2,FALSE)</f>
        <v>2311. Intervención social</v>
      </c>
      <c r="W3509" s="35" t="str">
        <f>MID(Tabla1[[#This Row],[Aplicación]],14,2)</f>
        <v>21</v>
      </c>
      <c r="X3509" s="35" t="str">
        <f>MID(Tabla1[[#This Row],[Aplicación]],14,6)</f>
        <v>212</v>
      </c>
    </row>
    <row r="3510" spans="1:24" x14ac:dyDescent="0.25">
      <c r="A3510" s="45">
        <v>220210049414</v>
      </c>
      <c r="B3510" s="46" t="s">
        <v>9</v>
      </c>
      <c r="C3510" s="47">
        <v>44432</v>
      </c>
      <c r="D3510" s="45">
        <v>22021006110</v>
      </c>
      <c r="E3510" s="46" t="s">
        <v>1314</v>
      </c>
      <c r="F3510" s="48">
        <v>120.77</v>
      </c>
      <c r="G3510" s="46" t="s">
        <v>102</v>
      </c>
      <c r="H3510" s="46" t="s">
        <v>5074</v>
      </c>
      <c r="I3510" s="45" t="s">
        <v>125</v>
      </c>
      <c r="J3510" s="46" t="s">
        <v>127</v>
      </c>
      <c r="K3510" s="46" t="s">
        <v>127</v>
      </c>
      <c r="L3510" s="46" t="s">
        <v>15</v>
      </c>
      <c r="M3510" s="46" t="s">
        <v>13</v>
      </c>
      <c r="N3510" s="46" t="s">
        <v>14</v>
      </c>
      <c r="O3510" s="49" t="s">
        <v>814</v>
      </c>
      <c r="P3510" s="49" t="s">
        <v>4910</v>
      </c>
      <c r="Q3510" s="35" t="str">
        <f>MID(Tabla1[[#This Row],[Aplicación]],14,1)</f>
        <v>2</v>
      </c>
      <c r="R3510" s="35" t="s">
        <v>495</v>
      </c>
      <c r="S3510" s="35" t="str">
        <f>MID(Tabla1[[#This Row],[Aplicación]],6,2)</f>
        <v>01</v>
      </c>
      <c r="T3510" s="35" t="str">
        <f>VLOOKUP(Tabla1[[#This Row],[AREA]],Hoja1!A:B,2,FALSE)</f>
        <v>01. Alcaldía</v>
      </c>
      <c r="U3510" s="35" t="str">
        <f>MID(Tabla1[[#This Row],[Aplicación]],9,4)</f>
        <v>9206</v>
      </c>
      <c r="V3510" s="35" t="str">
        <f>VLOOKUP(Tabla1[[#This Row],[PROGRAMA]],Hoja1!A:B,2,FALSE)</f>
        <v>9206. Archivo municipal</v>
      </c>
      <c r="W3510" s="35" t="str">
        <f>MID(Tabla1[[#This Row],[Aplicación]],14,2)</f>
        <v>22</v>
      </c>
      <c r="X3510" s="35" t="str">
        <f>MID(Tabla1[[#This Row],[Aplicación]],14,6)</f>
        <v>22199</v>
      </c>
    </row>
    <row r="3511" spans="1:24" x14ac:dyDescent="0.25">
      <c r="A3511" s="45">
        <v>220210051156</v>
      </c>
      <c r="B3511" s="46" t="s">
        <v>204</v>
      </c>
      <c r="C3511" s="47">
        <v>44448</v>
      </c>
      <c r="D3511" s="45">
        <v>22021002369</v>
      </c>
      <c r="E3511" s="46" t="s">
        <v>1336</v>
      </c>
      <c r="F3511" s="48">
        <v>75.02</v>
      </c>
      <c r="G3511" s="46" t="s">
        <v>102</v>
      </c>
      <c r="H3511" s="46" t="s">
        <v>5075</v>
      </c>
      <c r="I3511" s="45" t="s">
        <v>205</v>
      </c>
      <c r="J3511" s="46" t="s">
        <v>127</v>
      </c>
      <c r="K3511" s="46" t="s">
        <v>127</v>
      </c>
      <c r="L3511" s="46" t="s">
        <v>15</v>
      </c>
      <c r="M3511" s="46" t="s">
        <v>13</v>
      </c>
      <c r="N3511" s="46" t="s">
        <v>14</v>
      </c>
      <c r="O3511" s="49" t="s">
        <v>814</v>
      </c>
      <c r="P3511" s="49" t="s">
        <v>4910</v>
      </c>
      <c r="Q3511" s="35" t="str">
        <f>MID(Tabla1[[#This Row],[Aplicación]],14,1)</f>
        <v>2</v>
      </c>
      <c r="R3511" s="35" t="s">
        <v>495</v>
      </c>
      <c r="S3511" s="35" t="str">
        <f>MID(Tabla1[[#This Row],[Aplicación]],6,2)</f>
        <v>02</v>
      </c>
      <c r="T3511" s="35" t="str">
        <f>VLOOKUP(Tabla1[[#This Row],[AREA]],Hoja1!A:B,2,FALSE)</f>
        <v>02. Planeamiento urbanístico y vivienda</v>
      </c>
      <c r="U3511" s="35" t="str">
        <f>MID(Tabla1[[#This Row],[Aplicación]],9,4)</f>
        <v>9332</v>
      </c>
      <c r="V3511" s="35" t="str">
        <f>VLOOKUP(Tabla1[[#This Row],[PROGRAMA]],Hoja1!A:B,2,FALSE)</f>
        <v>9332. Mantenimiento de edificios e instalaciones municipales</v>
      </c>
      <c r="W3511" s="35" t="str">
        <f>MID(Tabla1[[#This Row],[Aplicación]],14,2)</f>
        <v>21</v>
      </c>
      <c r="X3511" s="35" t="str">
        <f>MID(Tabla1[[#This Row],[Aplicación]],14,6)</f>
        <v>212</v>
      </c>
    </row>
    <row r="3512" spans="1:24" x14ac:dyDescent="0.25">
      <c r="A3512" s="45">
        <v>220210051153</v>
      </c>
      <c r="B3512" s="46" t="s">
        <v>204</v>
      </c>
      <c r="C3512" s="47">
        <v>44448</v>
      </c>
      <c r="D3512" s="45">
        <v>22021002369</v>
      </c>
      <c r="E3512" s="46" t="s">
        <v>1336</v>
      </c>
      <c r="F3512" s="48">
        <v>54.4</v>
      </c>
      <c r="G3512" s="46" t="s">
        <v>102</v>
      </c>
      <c r="H3512" s="46" t="s">
        <v>5076</v>
      </c>
      <c r="I3512" s="45" t="s">
        <v>205</v>
      </c>
      <c r="J3512" s="46" t="s">
        <v>127</v>
      </c>
      <c r="K3512" s="46" t="s">
        <v>127</v>
      </c>
      <c r="L3512" s="46" t="s">
        <v>15</v>
      </c>
      <c r="M3512" s="46" t="s">
        <v>13</v>
      </c>
      <c r="N3512" s="46" t="s">
        <v>14</v>
      </c>
      <c r="O3512" s="49" t="s">
        <v>814</v>
      </c>
      <c r="P3512" s="49" t="s">
        <v>4910</v>
      </c>
      <c r="Q3512" s="35" t="str">
        <f>MID(Tabla1[[#This Row],[Aplicación]],14,1)</f>
        <v>2</v>
      </c>
      <c r="R3512" s="35" t="s">
        <v>495</v>
      </c>
      <c r="S3512" s="35" t="str">
        <f>MID(Tabla1[[#This Row],[Aplicación]],6,2)</f>
        <v>02</v>
      </c>
      <c r="T3512" s="35" t="str">
        <f>VLOOKUP(Tabla1[[#This Row],[AREA]],Hoja1!A:B,2,FALSE)</f>
        <v>02. Planeamiento urbanístico y vivienda</v>
      </c>
      <c r="U3512" s="35" t="str">
        <f>MID(Tabla1[[#This Row],[Aplicación]],9,4)</f>
        <v>9332</v>
      </c>
      <c r="V3512" s="35" t="str">
        <f>VLOOKUP(Tabla1[[#This Row],[PROGRAMA]],Hoja1!A:B,2,FALSE)</f>
        <v>9332. Mantenimiento de edificios e instalaciones municipales</v>
      </c>
      <c r="W3512" s="35" t="str">
        <f>MID(Tabla1[[#This Row],[Aplicación]],14,2)</f>
        <v>21</v>
      </c>
      <c r="X3512" s="35" t="str">
        <f>MID(Tabla1[[#This Row],[Aplicación]],14,6)</f>
        <v>212</v>
      </c>
    </row>
    <row r="3513" spans="1:24" x14ac:dyDescent="0.25">
      <c r="A3513" s="45">
        <v>220210050086</v>
      </c>
      <c r="B3513" s="46" t="s">
        <v>204</v>
      </c>
      <c r="C3513" s="47">
        <v>44435</v>
      </c>
      <c r="D3513" s="45">
        <v>22021002144</v>
      </c>
      <c r="E3513" s="46" t="s">
        <v>1328</v>
      </c>
      <c r="F3513" s="48">
        <v>12.2</v>
      </c>
      <c r="G3513" s="46" t="s">
        <v>102</v>
      </c>
      <c r="H3513" s="46" t="s">
        <v>5077</v>
      </c>
      <c r="I3513" s="45" t="s">
        <v>205</v>
      </c>
      <c r="J3513" s="46" t="s">
        <v>127</v>
      </c>
      <c r="K3513" s="46" t="s">
        <v>127</v>
      </c>
      <c r="L3513" s="46" t="s">
        <v>15</v>
      </c>
      <c r="M3513" s="46" t="s">
        <v>13</v>
      </c>
      <c r="N3513" s="46" t="s">
        <v>14</v>
      </c>
      <c r="O3513" s="49" t="s">
        <v>814</v>
      </c>
      <c r="P3513" s="49" t="s">
        <v>4910</v>
      </c>
      <c r="Q3513" s="35" t="str">
        <f>MID(Tabla1[[#This Row],[Aplicación]],14,1)</f>
        <v>2</v>
      </c>
      <c r="R3513" s="35" t="s">
        <v>495</v>
      </c>
      <c r="S3513" s="35" t="str">
        <f>MID(Tabla1[[#This Row],[Aplicación]],6,2)</f>
        <v>10</v>
      </c>
      <c r="T3513" s="35" t="str">
        <f>VLOOKUP(Tabla1[[#This Row],[AREA]],Hoja1!A:B,2,FALSE)</f>
        <v>10. Servicios sociales y mediación comunitaria</v>
      </c>
      <c r="U3513" s="35" t="str">
        <f>MID(Tabla1[[#This Row],[Aplicación]],9,4)</f>
        <v>2311</v>
      </c>
      <c r="V3513" s="35" t="str">
        <f>VLOOKUP(Tabla1[[#This Row],[PROGRAMA]],Hoja1!A:B,2,FALSE)</f>
        <v>2311. Intervención social</v>
      </c>
      <c r="W3513" s="35" t="str">
        <f>MID(Tabla1[[#This Row],[Aplicación]],14,2)</f>
        <v>21</v>
      </c>
      <c r="X3513" s="35" t="str">
        <f>MID(Tabla1[[#This Row],[Aplicación]],14,6)</f>
        <v>212</v>
      </c>
    </row>
    <row r="3514" spans="1:24" x14ac:dyDescent="0.25">
      <c r="A3514" s="45">
        <v>220210050086</v>
      </c>
      <c r="B3514" s="46" t="s">
        <v>204</v>
      </c>
      <c r="C3514" s="47">
        <v>44435</v>
      </c>
      <c r="D3514" s="45">
        <v>22021002143</v>
      </c>
      <c r="E3514" s="46" t="s">
        <v>1328</v>
      </c>
      <c r="F3514" s="48">
        <v>10.55</v>
      </c>
      <c r="G3514" s="46" t="s">
        <v>102</v>
      </c>
      <c r="H3514" s="46" t="s">
        <v>5077</v>
      </c>
      <c r="I3514" s="45" t="s">
        <v>205</v>
      </c>
      <c r="J3514" s="46" t="s">
        <v>127</v>
      </c>
      <c r="K3514" s="46" t="s">
        <v>127</v>
      </c>
      <c r="L3514" s="46" t="s">
        <v>15</v>
      </c>
      <c r="M3514" s="46" t="s">
        <v>13</v>
      </c>
      <c r="N3514" s="46" t="s">
        <v>14</v>
      </c>
      <c r="O3514" s="49" t="s">
        <v>814</v>
      </c>
      <c r="P3514" s="49" t="s">
        <v>4910</v>
      </c>
      <c r="Q3514" s="35" t="str">
        <f>MID(Tabla1[[#This Row],[Aplicación]],14,1)</f>
        <v>2</v>
      </c>
      <c r="R3514" s="35" t="s">
        <v>495</v>
      </c>
      <c r="S3514" s="35" t="str">
        <f>MID(Tabla1[[#This Row],[Aplicación]],6,2)</f>
        <v>10</v>
      </c>
      <c r="T3514" s="35" t="str">
        <f>VLOOKUP(Tabla1[[#This Row],[AREA]],Hoja1!A:B,2,FALSE)</f>
        <v>10. Servicios sociales y mediación comunitaria</v>
      </c>
      <c r="U3514" s="35" t="str">
        <f>MID(Tabla1[[#This Row],[Aplicación]],9,4)</f>
        <v>2311</v>
      </c>
      <c r="V3514" s="35" t="str">
        <f>VLOOKUP(Tabla1[[#This Row],[PROGRAMA]],Hoja1!A:B,2,FALSE)</f>
        <v>2311. Intervención social</v>
      </c>
      <c r="W3514" s="35" t="str">
        <f>MID(Tabla1[[#This Row],[Aplicación]],14,2)</f>
        <v>21</v>
      </c>
      <c r="X3514" s="35" t="str">
        <f>MID(Tabla1[[#This Row],[Aplicación]],14,6)</f>
        <v>212</v>
      </c>
    </row>
    <row r="3515" spans="1:24" x14ac:dyDescent="0.25">
      <c r="A3515" s="45">
        <v>220210050159</v>
      </c>
      <c r="B3515" s="46" t="s">
        <v>204</v>
      </c>
      <c r="C3515" s="47">
        <v>44435</v>
      </c>
      <c r="D3515" s="45">
        <v>22021002057</v>
      </c>
      <c r="E3515" s="46" t="s">
        <v>1715</v>
      </c>
      <c r="F3515" s="48">
        <v>7.04</v>
      </c>
      <c r="G3515" s="46" t="s">
        <v>102</v>
      </c>
      <c r="H3515" s="46" t="s">
        <v>5078</v>
      </c>
      <c r="I3515" s="45" t="s">
        <v>205</v>
      </c>
      <c r="J3515" s="46" t="s">
        <v>127</v>
      </c>
      <c r="K3515" s="46" t="s">
        <v>127</v>
      </c>
      <c r="L3515" s="46" t="s">
        <v>15</v>
      </c>
      <c r="M3515" s="46" t="s">
        <v>13</v>
      </c>
      <c r="N3515" s="46" t="s">
        <v>14</v>
      </c>
      <c r="O3515" s="49" t="s">
        <v>814</v>
      </c>
      <c r="P3515" s="49" t="s">
        <v>4910</v>
      </c>
      <c r="Q3515" s="35" t="str">
        <f>MID(Tabla1[[#This Row],[Aplicación]],14,1)</f>
        <v>2</v>
      </c>
      <c r="R3515" s="35" t="s">
        <v>495</v>
      </c>
      <c r="S3515" s="35" t="str">
        <f>MID(Tabla1[[#This Row],[Aplicación]],6,2)</f>
        <v>11</v>
      </c>
      <c r="T3515" s="35" t="str">
        <f>VLOOKUP(Tabla1[[#This Row],[AREA]],Hoja1!A:B,2,FALSE)</f>
        <v>11. Salud pública y seguridad ciudadana</v>
      </c>
      <c r="U3515" s="35" t="str">
        <f>MID(Tabla1[[#This Row],[Aplicación]],9,4)</f>
        <v>1631</v>
      </c>
      <c r="V3515" s="35" t="str">
        <f>VLOOKUP(Tabla1[[#This Row],[PROGRAMA]],Hoja1!A:B,2,FALSE)</f>
        <v>1631. Limpieza viaria</v>
      </c>
      <c r="W3515" s="35" t="str">
        <f>MID(Tabla1[[#This Row],[Aplicación]],14,2)</f>
        <v>22</v>
      </c>
      <c r="X3515" s="35" t="str">
        <f>MID(Tabla1[[#This Row],[Aplicación]],14,6)</f>
        <v>22199</v>
      </c>
    </row>
    <row r="3516" spans="1:24" x14ac:dyDescent="0.25">
      <c r="A3516" s="45">
        <v>220210050649</v>
      </c>
      <c r="B3516" s="46" t="s">
        <v>204</v>
      </c>
      <c r="C3516" s="47">
        <v>44441</v>
      </c>
      <c r="D3516" s="45">
        <v>22021001256</v>
      </c>
      <c r="E3516" s="46" t="s">
        <v>1700</v>
      </c>
      <c r="F3516" s="48">
        <v>7.02</v>
      </c>
      <c r="G3516" s="46" t="s">
        <v>102</v>
      </c>
      <c r="H3516" s="46" t="s">
        <v>5079</v>
      </c>
      <c r="I3516" s="45" t="s">
        <v>205</v>
      </c>
      <c r="J3516" s="46" t="s">
        <v>127</v>
      </c>
      <c r="K3516" s="46" t="s">
        <v>127</v>
      </c>
      <c r="L3516" s="46" t="s">
        <v>15</v>
      </c>
      <c r="M3516" s="46" t="s">
        <v>13</v>
      </c>
      <c r="N3516" s="46" t="s">
        <v>14</v>
      </c>
      <c r="O3516" s="49" t="s">
        <v>814</v>
      </c>
      <c r="P3516" s="49" t="s">
        <v>4910</v>
      </c>
      <c r="Q3516" s="35" t="str">
        <f>MID(Tabla1[[#This Row],[Aplicación]],14,1)</f>
        <v>2</v>
      </c>
      <c r="R3516" s="35" t="s">
        <v>495</v>
      </c>
      <c r="S3516" s="35" t="str">
        <f>MID(Tabla1[[#This Row],[Aplicación]],6,2)</f>
        <v>07</v>
      </c>
      <c r="T3516" s="35" t="str">
        <f>VLOOKUP(Tabla1[[#This Row],[AREA]],Hoja1!A:B,2,FALSE)</f>
        <v>07. Medio ambiente y desarrollo sostenible</v>
      </c>
      <c r="U3516" s="35" t="str">
        <f>MID(Tabla1[[#This Row],[Aplicación]],9,4)</f>
        <v>1721</v>
      </c>
      <c r="V3516" s="35" t="str">
        <f>VLOOKUP(Tabla1[[#This Row],[PROGRAMA]],Hoja1!A:B,2,FALSE)</f>
        <v>1721. Protección del medio ambiente</v>
      </c>
      <c r="W3516" s="35" t="str">
        <f>MID(Tabla1[[#This Row],[Aplicación]],14,2)</f>
        <v>22</v>
      </c>
      <c r="X3516" s="35" t="str">
        <f>MID(Tabla1[[#This Row],[Aplicación]],14,6)</f>
        <v>22112</v>
      </c>
    </row>
    <row r="3517" spans="1:24" x14ac:dyDescent="0.25">
      <c r="A3517" s="45">
        <v>220210050019</v>
      </c>
      <c r="B3517" s="46" t="s">
        <v>9</v>
      </c>
      <c r="C3517" s="47">
        <v>44434</v>
      </c>
      <c r="D3517" s="45">
        <v>22021006185</v>
      </c>
      <c r="E3517" s="46" t="s">
        <v>1542</v>
      </c>
      <c r="F3517" s="48">
        <v>7178.6</v>
      </c>
      <c r="G3517" s="46" t="s">
        <v>2875</v>
      </c>
      <c r="H3517" s="46" t="s">
        <v>5080</v>
      </c>
      <c r="I3517" s="45" t="s">
        <v>125</v>
      </c>
      <c r="J3517" s="46" t="s">
        <v>617</v>
      </c>
      <c r="K3517" s="46" t="s">
        <v>157</v>
      </c>
      <c r="L3517" s="46" t="s">
        <v>31</v>
      </c>
      <c r="M3517" s="46" t="s">
        <v>10</v>
      </c>
      <c r="N3517" s="46" t="s">
        <v>11</v>
      </c>
      <c r="O3517" s="49" t="s">
        <v>815</v>
      </c>
      <c r="P3517" s="49" t="s">
        <v>4910</v>
      </c>
      <c r="Q3517" s="35" t="str">
        <f>MID(Tabla1[[#This Row],[Aplicación]],14,1)</f>
        <v>6</v>
      </c>
      <c r="R3517" s="35" t="s">
        <v>496</v>
      </c>
      <c r="S3517" s="35" t="str">
        <f>MID(Tabla1[[#This Row],[Aplicación]],6,2)</f>
        <v>05</v>
      </c>
      <c r="T3517" s="35" t="str">
        <f>VLOOKUP(Tabla1[[#This Row],[AREA]],Hoja1!A:B,2,FALSE)</f>
        <v>05. Innovación, desarrollo económico, empleo y comercio</v>
      </c>
      <c r="U3517" s="35" t="str">
        <f>MID(Tabla1[[#This Row],[Aplicación]],9,4)</f>
        <v>4331</v>
      </c>
      <c r="V3517" s="35" t="str">
        <f>VLOOKUP(Tabla1[[#This Row],[PROGRAMA]],Hoja1!A:B,2,FALSE)</f>
        <v>4331. Desarrollo empresarial</v>
      </c>
      <c r="W3517" s="35" t="str">
        <f>MID(Tabla1[[#This Row],[Aplicación]],14,2)</f>
        <v>60</v>
      </c>
      <c r="X3517" s="35" t="str">
        <f>MID(Tabla1[[#This Row],[Aplicación]],14,6)</f>
        <v>609</v>
      </c>
    </row>
    <row r="3518" spans="1:24" x14ac:dyDescent="0.25">
      <c r="A3518" s="45">
        <v>220210041579</v>
      </c>
      <c r="B3518" s="46" t="s">
        <v>9</v>
      </c>
      <c r="C3518" s="47">
        <v>44398</v>
      </c>
      <c r="D3518" s="45">
        <v>22021005712</v>
      </c>
      <c r="E3518" s="46" t="s">
        <v>941</v>
      </c>
      <c r="F3518" s="48">
        <v>18143.95</v>
      </c>
      <c r="G3518" s="46" t="s">
        <v>85</v>
      </c>
      <c r="H3518" s="46" t="s">
        <v>5081</v>
      </c>
      <c r="I3518" s="45" t="s">
        <v>125</v>
      </c>
      <c r="J3518" s="46" t="s">
        <v>127</v>
      </c>
      <c r="K3518" s="46" t="s">
        <v>127</v>
      </c>
      <c r="L3518" s="46" t="s">
        <v>12</v>
      </c>
      <c r="M3518" s="46" t="s">
        <v>10</v>
      </c>
      <c r="N3518" s="46" t="s">
        <v>11</v>
      </c>
      <c r="O3518" s="49" t="s">
        <v>815</v>
      </c>
      <c r="P3518" s="49" t="s">
        <v>4910</v>
      </c>
      <c r="Q3518" s="35" t="str">
        <f>MID(Tabla1[[#This Row],[Aplicación]],14,1)</f>
        <v>2</v>
      </c>
      <c r="R3518" s="35" t="s">
        <v>495</v>
      </c>
      <c r="S3518" s="35" t="str">
        <f>MID(Tabla1[[#This Row],[Aplicación]],6,2)</f>
        <v>06</v>
      </c>
      <c r="T3518" s="35" t="str">
        <f>VLOOKUP(Tabla1[[#This Row],[AREA]],Hoja1!A:B,2,FALSE)</f>
        <v>06. Educación, infancia, juventud e igualdad</v>
      </c>
      <c r="U3518" s="35" t="str">
        <f>MID(Tabla1[[#This Row],[Aplicación]],9,4)</f>
        <v>3232</v>
      </c>
      <c r="V3518" s="35" t="str">
        <f>VLOOKUP(Tabla1[[#This Row],[PROGRAMA]],Hoja1!A:B,2,FALSE)</f>
        <v>3232. Conservación y mantenimiento centros educación infantil y primaria</v>
      </c>
      <c r="W3518" s="35" t="str">
        <f>MID(Tabla1[[#This Row],[Aplicación]],14,2)</f>
        <v>21</v>
      </c>
      <c r="X3518" s="35" t="str">
        <f>MID(Tabla1[[#This Row],[Aplicación]],14,6)</f>
        <v>213</v>
      </c>
    </row>
    <row r="3519" spans="1:24" x14ac:dyDescent="0.25">
      <c r="A3519" s="45">
        <v>220210050902</v>
      </c>
      <c r="B3519" s="46" t="s">
        <v>9</v>
      </c>
      <c r="C3519" s="47">
        <v>44442</v>
      </c>
      <c r="D3519" s="45">
        <v>22021006386</v>
      </c>
      <c r="E3519" s="46" t="s">
        <v>3127</v>
      </c>
      <c r="F3519" s="48">
        <v>7139</v>
      </c>
      <c r="G3519" s="46" t="s">
        <v>5082</v>
      </c>
      <c r="H3519" s="46" t="s">
        <v>5083</v>
      </c>
      <c r="I3519" s="45" t="s">
        <v>125</v>
      </c>
      <c r="J3519" s="46" t="s">
        <v>127</v>
      </c>
      <c r="K3519" s="46" t="s">
        <v>127</v>
      </c>
      <c r="L3519" s="46" t="s">
        <v>12</v>
      </c>
      <c r="M3519" s="46" t="s">
        <v>10</v>
      </c>
      <c r="N3519" s="46" t="s">
        <v>11</v>
      </c>
      <c r="O3519" s="49" t="s">
        <v>815</v>
      </c>
      <c r="P3519" s="49" t="s">
        <v>4910</v>
      </c>
      <c r="Q3519" s="35" t="str">
        <f>MID(Tabla1[[#This Row],[Aplicación]],14,1)</f>
        <v>2</v>
      </c>
      <c r="R3519" s="35" t="s">
        <v>495</v>
      </c>
      <c r="S3519" s="35" t="str">
        <f>MID(Tabla1[[#This Row],[Aplicación]],6,2)</f>
        <v>09</v>
      </c>
      <c r="T3519" s="35" t="str">
        <f>VLOOKUP(Tabla1[[#This Row],[AREA]],Hoja1!A:B,2,FALSE)</f>
        <v>09. Cultura y turismo</v>
      </c>
      <c r="U3519" s="35" t="str">
        <f>MID(Tabla1[[#This Row],[Aplicación]],9,4)</f>
        <v>3341</v>
      </c>
      <c r="V3519" s="35" t="str">
        <f>VLOOKUP(Tabla1[[#This Row],[PROGRAMA]],Hoja1!A:B,2,FALSE)</f>
        <v>3341. Coordinación de políticas culturales</v>
      </c>
      <c r="W3519" s="35" t="str">
        <f>MID(Tabla1[[#This Row],[Aplicación]],14,2)</f>
        <v>22</v>
      </c>
      <c r="X3519" s="35" t="str">
        <f>MID(Tabla1[[#This Row],[Aplicación]],14,6)</f>
        <v>22700</v>
      </c>
    </row>
    <row r="3520" spans="1:24" x14ac:dyDescent="0.25">
      <c r="A3520" s="45">
        <v>220210050709</v>
      </c>
      <c r="B3520" s="46" t="s">
        <v>9</v>
      </c>
      <c r="C3520" s="47">
        <v>44441</v>
      </c>
      <c r="D3520" s="45">
        <v>22021006328</v>
      </c>
      <c r="E3520" s="46" t="s">
        <v>881</v>
      </c>
      <c r="F3520" s="48">
        <v>6582.4</v>
      </c>
      <c r="G3520" s="46" t="s">
        <v>5084</v>
      </c>
      <c r="H3520" s="46" t="s">
        <v>5085</v>
      </c>
      <c r="I3520" s="45" t="s">
        <v>125</v>
      </c>
      <c r="J3520" s="46" t="s">
        <v>127</v>
      </c>
      <c r="K3520" s="46" t="s">
        <v>127</v>
      </c>
      <c r="L3520" s="46" t="s">
        <v>12</v>
      </c>
      <c r="M3520" s="46" t="s">
        <v>10</v>
      </c>
      <c r="N3520" s="46" t="s">
        <v>11</v>
      </c>
      <c r="O3520" s="49" t="s">
        <v>815</v>
      </c>
      <c r="P3520" s="49" t="s">
        <v>4910</v>
      </c>
      <c r="Q3520" s="35" t="str">
        <f>MID(Tabla1[[#This Row],[Aplicación]],14,1)</f>
        <v>2</v>
      </c>
      <c r="R3520" s="35" t="s">
        <v>495</v>
      </c>
      <c r="S3520" s="35" t="str">
        <f>MID(Tabla1[[#This Row],[Aplicación]],6,2)</f>
        <v>05</v>
      </c>
      <c r="T3520" s="35" t="str">
        <f>VLOOKUP(Tabla1[[#This Row],[AREA]],Hoja1!A:B,2,FALSE)</f>
        <v>05. Innovación, desarrollo económico, empleo y comercio</v>
      </c>
      <c r="U3520" s="35" t="str">
        <f>MID(Tabla1[[#This Row],[Aplicación]],9,4)</f>
        <v>4331</v>
      </c>
      <c r="V3520" s="35" t="str">
        <f>VLOOKUP(Tabla1[[#This Row],[PROGRAMA]],Hoja1!A:B,2,FALSE)</f>
        <v>4331. Desarrollo empresarial</v>
      </c>
      <c r="W3520" s="35" t="str">
        <f>MID(Tabla1[[#This Row],[Aplicación]],14,2)</f>
        <v>22</v>
      </c>
      <c r="X3520" s="35" t="str">
        <f>MID(Tabla1[[#This Row],[Aplicación]],14,6)</f>
        <v>22799</v>
      </c>
    </row>
    <row r="3521" spans="1:24" x14ac:dyDescent="0.25">
      <c r="A3521" s="45">
        <v>220210056312</v>
      </c>
      <c r="B3521" s="46" t="s">
        <v>9</v>
      </c>
      <c r="C3521" s="47">
        <v>44454</v>
      </c>
      <c r="D3521" s="45">
        <v>22021006482</v>
      </c>
      <c r="E3521" s="46" t="s">
        <v>3347</v>
      </c>
      <c r="F3521" s="48">
        <v>6413</v>
      </c>
      <c r="G3521" s="46" t="s">
        <v>5086</v>
      </c>
      <c r="H3521" s="46" t="s">
        <v>5087</v>
      </c>
      <c r="I3521" s="45" t="s">
        <v>125</v>
      </c>
      <c r="J3521" s="46" t="s">
        <v>127</v>
      </c>
      <c r="K3521" s="46" t="s">
        <v>127</v>
      </c>
      <c r="L3521" s="46" t="s">
        <v>12</v>
      </c>
      <c r="M3521" s="46" t="s">
        <v>10</v>
      </c>
      <c r="N3521" s="46" t="s">
        <v>11</v>
      </c>
      <c r="O3521" s="49" t="s">
        <v>815</v>
      </c>
      <c r="P3521" s="49" t="s">
        <v>4910</v>
      </c>
      <c r="Q3521" s="35" t="str">
        <f>MID(Tabla1[[#This Row],[Aplicación]],14,1)</f>
        <v>2</v>
      </c>
      <c r="R3521" s="35" t="s">
        <v>495</v>
      </c>
      <c r="S3521" s="35" t="str">
        <f>MID(Tabla1[[#This Row],[Aplicación]],6,2)</f>
        <v>06</v>
      </c>
      <c r="T3521" s="35" t="str">
        <f>VLOOKUP(Tabla1[[#This Row],[AREA]],Hoja1!A:B,2,FALSE)</f>
        <v>06. Educación, infancia, juventud e igualdad</v>
      </c>
      <c r="U3521" s="35" t="str">
        <f>MID(Tabla1[[#This Row],[Aplicación]],9,4)</f>
        <v>2315</v>
      </c>
      <c r="V3521" s="35" t="str">
        <f>VLOOKUP(Tabla1[[#This Row],[PROGRAMA]],Hoja1!A:B,2,FALSE)</f>
        <v>2315. Políticas de Igualdad e infancia</v>
      </c>
      <c r="W3521" s="35" t="str">
        <f>MID(Tabla1[[#This Row],[Aplicación]],14,2)</f>
        <v>22</v>
      </c>
      <c r="X3521" s="35" t="str">
        <f>MID(Tabla1[[#This Row],[Aplicación]],14,6)</f>
        <v>22614</v>
      </c>
    </row>
    <row r="3522" spans="1:24" x14ac:dyDescent="0.25">
      <c r="A3522" s="45">
        <v>220210049415</v>
      </c>
      <c r="B3522" s="46" t="s">
        <v>9</v>
      </c>
      <c r="C3522" s="47">
        <v>44432</v>
      </c>
      <c r="D3522" s="45">
        <v>22021006182</v>
      </c>
      <c r="E3522" s="46" t="s">
        <v>1187</v>
      </c>
      <c r="F3522" s="48">
        <v>6050</v>
      </c>
      <c r="G3522" s="46" t="s">
        <v>251</v>
      </c>
      <c r="H3522" s="46" t="s">
        <v>5088</v>
      </c>
      <c r="I3522" s="45" t="s">
        <v>125</v>
      </c>
      <c r="J3522" s="46" t="s">
        <v>127</v>
      </c>
      <c r="K3522" s="46" t="s">
        <v>127</v>
      </c>
      <c r="L3522" s="46" t="s">
        <v>15</v>
      </c>
      <c r="M3522" s="46" t="s">
        <v>10</v>
      </c>
      <c r="N3522" s="46" t="s">
        <v>11</v>
      </c>
      <c r="O3522" s="49" t="s">
        <v>815</v>
      </c>
      <c r="P3522" s="49" t="s">
        <v>4910</v>
      </c>
      <c r="Q3522" s="35" t="str">
        <f>MID(Tabla1[[#This Row],[Aplicación]],14,1)</f>
        <v>2</v>
      </c>
      <c r="R3522" s="35" t="s">
        <v>495</v>
      </c>
      <c r="S3522" s="35" t="str">
        <f>MID(Tabla1[[#This Row],[Aplicación]],6,2)</f>
        <v>06</v>
      </c>
      <c r="T3522" s="35" t="str">
        <f>VLOOKUP(Tabla1[[#This Row],[AREA]],Hoja1!A:B,2,FALSE)</f>
        <v>06. Educación, infancia, juventud e igualdad</v>
      </c>
      <c r="U3522" s="35" t="str">
        <f>MID(Tabla1[[#This Row],[Aplicación]],9,4)</f>
        <v>2315</v>
      </c>
      <c r="V3522" s="35" t="str">
        <f>VLOOKUP(Tabla1[[#This Row],[PROGRAMA]],Hoja1!A:B,2,FALSE)</f>
        <v>2315. Políticas de Igualdad e infancia</v>
      </c>
      <c r="W3522" s="35" t="str">
        <f>MID(Tabla1[[#This Row],[Aplicación]],14,2)</f>
        <v>22</v>
      </c>
      <c r="X3522" s="35" t="str">
        <f>MID(Tabla1[[#This Row],[Aplicación]],14,6)</f>
        <v>22611</v>
      </c>
    </row>
    <row r="3523" spans="1:24" x14ac:dyDescent="0.25">
      <c r="A3523" s="45">
        <v>220210053613</v>
      </c>
      <c r="B3523" s="46" t="s">
        <v>204</v>
      </c>
      <c r="C3523" s="47">
        <v>44452</v>
      </c>
      <c r="D3523" s="45">
        <v>22021005981</v>
      </c>
      <c r="E3523" s="46" t="s">
        <v>1410</v>
      </c>
      <c r="F3523" s="48">
        <v>1817.84</v>
      </c>
      <c r="G3523" s="46" t="s">
        <v>232</v>
      </c>
      <c r="H3523" s="46" t="s">
        <v>5089</v>
      </c>
      <c r="I3523" s="45" t="s">
        <v>205</v>
      </c>
      <c r="J3523" s="46" t="s">
        <v>127</v>
      </c>
      <c r="K3523" s="46" t="s">
        <v>127</v>
      </c>
      <c r="L3523" s="46" t="s">
        <v>12</v>
      </c>
      <c r="M3523" s="46" t="s">
        <v>13</v>
      </c>
      <c r="N3523" s="46" t="s">
        <v>14</v>
      </c>
      <c r="O3523" s="49" t="s">
        <v>814</v>
      </c>
      <c r="P3523" s="49" t="s">
        <v>4910</v>
      </c>
      <c r="Q3523" s="35" t="str">
        <f>MID(Tabla1[[#This Row],[Aplicación]],14,1)</f>
        <v>2</v>
      </c>
      <c r="R3523" s="35" t="s">
        <v>495</v>
      </c>
      <c r="S3523" s="35" t="str">
        <f>MID(Tabla1[[#This Row],[Aplicación]],6,2)</f>
        <v>07</v>
      </c>
      <c r="T3523" s="35" t="str">
        <f>VLOOKUP(Tabla1[[#This Row],[AREA]],Hoja1!A:B,2,FALSE)</f>
        <v>07. Medio ambiente y desarrollo sostenible</v>
      </c>
      <c r="U3523" s="35" t="str">
        <f>MID(Tabla1[[#This Row],[Aplicación]],9,4)</f>
        <v>1711</v>
      </c>
      <c r="V3523" s="35" t="str">
        <f>VLOOKUP(Tabla1[[#This Row],[PROGRAMA]],Hoja1!A:B,2,FALSE)</f>
        <v>1711. Parques y jardines</v>
      </c>
      <c r="W3523" s="35" t="str">
        <f>MID(Tabla1[[#This Row],[Aplicación]],14,2)</f>
        <v>21</v>
      </c>
      <c r="X3523" s="35" t="str">
        <f>MID(Tabla1[[#This Row],[Aplicación]],14,6)</f>
        <v>214</v>
      </c>
    </row>
    <row r="3524" spans="1:24" x14ac:dyDescent="0.25">
      <c r="A3524" s="45">
        <v>220210048689</v>
      </c>
      <c r="B3524" s="46" t="s">
        <v>204</v>
      </c>
      <c r="C3524" s="47">
        <v>44428</v>
      </c>
      <c r="D3524" s="45">
        <v>22021005716</v>
      </c>
      <c r="E3524" s="46" t="s">
        <v>1270</v>
      </c>
      <c r="F3524" s="48">
        <v>1816.75</v>
      </c>
      <c r="G3524" s="46" t="s">
        <v>232</v>
      </c>
      <c r="H3524" s="46" t="s">
        <v>5090</v>
      </c>
      <c r="I3524" s="45" t="s">
        <v>205</v>
      </c>
      <c r="J3524" s="46" t="s">
        <v>127</v>
      </c>
      <c r="K3524" s="46" t="s">
        <v>127</v>
      </c>
      <c r="L3524" s="46" t="s">
        <v>12</v>
      </c>
      <c r="M3524" s="46" t="s">
        <v>13</v>
      </c>
      <c r="N3524" s="46" t="s">
        <v>14</v>
      </c>
      <c r="O3524" s="49" t="s">
        <v>814</v>
      </c>
      <c r="P3524" s="49" t="s">
        <v>4910</v>
      </c>
      <c r="Q3524" s="35" t="str">
        <f>MID(Tabla1[[#This Row],[Aplicación]],14,1)</f>
        <v>6</v>
      </c>
      <c r="R3524" s="35" t="s">
        <v>496</v>
      </c>
      <c r="S3524" s="35" t="str">
        <f>MID(Tabla1[[#This Row],[Aplicación]],6,2)</f>
        <v>11</v>
      </c>
      <c r="T3524" s="35" t="str">
        <f>VLOOKUP(Tabla1[[#This Row],[AREA]],Hoja1!A:B,2,FALSE)</f>
        <v>11. Salud pública y seguridad ciudadana</v>
      </c>
      <c r="U3524" s="35" t="str">
        <f>MID(Tabla1[[#This Row],[Aplicación]],9,4)</f>
        <v>1621</v>
      </c>
      <c r="V3524" s="35" t="str">
        <f>VLOOKUP(Tabla1[[#This Row],[PROGRAMA]],Hoja1!A:B,2,FALSE)</f>
        <v>1621. Servicio de limpieza</v>
      </c>
      <c r="W3524" s="35" t="str">
        <f>MID(Tabla1[[#This Row],[Aplicación]],14,2)</f>
        <v>63</v>
      </c>
      <c r="X3524" s="35" t="str">
        <f>MID(Tabla1[[#This Row],[Aplicación]],14,6)</f>
        <v>634</v>
      </c>
    </row>
    <row r="3525" spans="1:24" x14ac:dyDescent="0.25">
      <c r="A3525" s="45">
        <v>220210050610</v>
      </c>
      <c r="B3525" s="46" t="s">
        <v>204</v>
      </c>
      <c r="C3525" s="47">
        <v>44441</v>
      </c>
      <c r="D3525" s="45">
        <v>22021005716</v>
      </c>
      <c r="E3525" s="46" t="s">
        <v>1270</v>
      </c>
      <c r="F3525" s="48">
        <v>1471.21</v>
      </c>
      <c r="G3525" s="46" t="s">
        <v>232</v>
      </c>
      <c r="H3525" s="46" t="s">
        <v>5091</v>
      </c>
      <c r="I3525" s="45" t="s">
        <v>205</v>
      </c>
      <c r="J3525" s="46" t="s">
        <v>127</v>
      </c>
      <c r="K3525" s="46" t="s">
        <v>127</v>
      </c>
      <c r="L3525" s="46" t="s">
        <v>12</v>
      </c>
      <c r="M3525" s="46" t="s">
        <v>13</v>
      </c>
      <c r="N3525" s="46" t="s">
        <v>14</v>
      </c>
      <c r="O3525" s="49" t="s">
        <v>814</v>
      </c>
      <c r="P3525" s="49" t="s">
        <v>4910</v>
      </c>
      <c r="Q3525" s="35" t="str">
        <f>MID(Tabla1[[#This Row],[Aplicación]],14,1)</f>
        <v>6</v>
      </c>
      <c r="R3525" s="35" t="s">
        <v>496</v>
      </c>
      <c r="S3525" s="35" t="str">
        <f>MID(Tabla1[[#This Row],[Aplicación]],6,2)</f>
        <v>11</v>
      </c>
      <c r="T3525" s="35" t="str">
        <f>VLOOKUP(Tabla1[[#This Row],[AREA]],Hoja1!A:B,2,FALSE)</f>
        <v>11. Salud pública y seguridad ciudadana</v>
      </c>
      <c r="U3525" s="35" t="str">
        <f>MID(Tabla1[[#This Row],[Aplicación]],9,4)</f>
        <v>1621</v>
      </c>
      <c r="V3525" s="35" t="str">
        <f>VLOOKUP(Tabla1[[#This Row],[PROGRAMA]],Hoja1!A:B,2,FALSE)</f>
        <v>1621. Servicio de limpieza</v>
      </c>
      <c r="W3525" s="35" t="str">
        <f>MID(Tabla1[[#This Row],[Aplicación]],14,2)</f>
        <v>63</v>
      </c>
      <c r="X3525" s="35" t="str">
        <f>MID(Tabla1[[#This Row],[Aplicación]],14,6)</f>
        <v>634</v>
      </c>
    </row>
    <row r="3526" spans="1:24" x14ac:dyDescent="0.25">
      <c r="A3526" s="45">
        <v>220210048685</v>
      </c>
      <c r="B3526" s="46" t="s">
        <v>204</v>
      </c>
      <c r="C3526" s="47">
        <v>44428</v>
      </c>
      <c r="D3526" s="45">
        <v>22021005716</v>
      </c>
      <c r="E3526" s="46" t="s">
        <v>1270</v>
      </c>
      <c r="F3526" s="48">
        <v>717.32</v>
      </c>
      <c r="G3526" s="46" t="s">
        <v>232</v>
      </c>
      <c r="H3526" s="46" t="s">
        <v>5092</v>
      </c>
      <c r="I3526" s="45" t="s">
        <v>205</v>
      </c>
      <c r="J3526" s="46" t="s">
        <v>127</v>
      </c>
      <c r="K3526" s="46" t="s">
        <v>127</v>
      </c>
      <c r="L3526" s="46" t="s">
        <v>12</v>
      </c>
      <c r="M3526" s="46" t="s">
        <v>13</v>
      </c>
      <c r="N3526" s="46" t="s">
        <v>14</v>
      </c>
      <c r="O3526" s="49" t="s">
        <v>814</v>
      </c>
      <c r="P3526" s="49" t="s">
        <v>4910</v>
      </c>
      <c r="Q3526" s="35" t="str">
        <f>MID(Tabla1[[#This Row],[Aplicación]],14,1)</f>
        <v>6</v>
      </c>
      <c r="R3526" s="35" t="s">
        <v>496</v>
      </c>
      <c r="S3526" s="35" t="str">
        <f>MID(Tabla1[[#This Row],[Aplicación]],6,2)</f>
        <v>11</v>
      </c>
      <c r="T3526" s="35" t="str">
        <f>VLOOKUP(Tabla1[[#This Row],[AREA]],Hoja1!A:B,2,FALSE)</f>
        <v>11. Salud pública y seguridad ciudadana</v>
      </c>
      <c r="U3526" s="35" t="str">
        <f>MID(Tabla1[[#This Row],[Aplicación]],9,4)</f>
        <v>1621</v>
      </c>
      <c r="V3526" s="35" t="str">
        <f>VLOOKUP(Tabla1[[#This Row],[PROGRAMA]],Hoja1!A:B,2,FALSE)</f>
        <v>1621. Servicio de limpieza</v>
      </c>
      <c r="W3526" s="35" t="str">
        <f>MID(Tabla1[[#This Row],[Aplicación]],14,2)</f>
        <v>63</v>
      </c>
      <c r="X3526" s="35" t="str">
        <f>MID(Tabla1[[#This Row],[Aplicación]],14,6)</f>
        <v>634</v>
      </c>
    </row>
    <row r="3527" spans="1:24" x14ac:dyDescent="0.25">
      <c r="A3527" s="45">
        <v>220210048692</v>
      </c>
      <c r="B3527" s="46" t="s">
        <v>204</v>
      </c>
      <c r="C3527" s="47">
        <v>44428</v>
      </c>
      <c r="D3527" s="45">
        <v>22021005716</v>
      </c>
      <c r="E3527" s="46" t="s">
        <v>1270</v>
      </c>
      <c r="F3527" s="48">
        <v>566.63</v>
      </c>
      <c r="G3527" s="46" t="s">
        <v>232</v>
      </c>
      <c r="H3527" s="46" t="s">
        <v>5093</v>
      </c>
      <c r="I3527" s="45" t="s">
        <v>205</v>
      </c>
      <c r="J3527" s="46" t="s">
        <v>127</v>
      </c>
      <c r="K3527" s="46" t="s">
        <v>127</v>
      </c>
      <c r="L3527" s="46" t="s">
        <v>12</v>
      </c>
      <c r="M3527" s="46" t="s">
        <v>13</v>
      </c>
      <c r="N3527" s="46" t="s">
        <v>14</v>
      </c>
      <c r="O3527" s="49" t="s">
        <v>814</v>
      </c>
      <c r="P3527" s="49" t="s">
        <v>4910</v>
      </c>
      <c r="Q3527" s="35" t="str">
        <f>MID(Tabla1[[#This Row],[Aplicación]],14,1)</f>
        <v>6</v>
      </c>
      <c r="R3527" s="35" t="s">
        <v>496</v>
      </c>
      <c r="S3527" s="35" t="str">
        <f>MID(Tabla1[[#This Row],[Aplicación]],6,2)</f>
        <v>11</v>
      </c>
      <c r="T3527" s="35" t="str">
        <f>VLOOKUP(Tabla1[[#This Row],[AREA]],Hoja1!A:B,2,FALSE)</f>
        <v>11. Salud pública y seguridad ciudadana</v>
      </c>
      <c r="U3527" s="35" t="str">
        <f>MID(Tabla1[[#This Row],[Aplicación]],9,4)</f>
        <v>1621</v>
      </c>
      <c r="V3527" s="35" t="str">
        <f>VLOOKUP(Tabla1[[#This Row],[PROGRAMA]],Hoja1!A:B,2,FALSE)</f>
        <v>1621. Servicio de limpieza</v>
      </c>
      <c r="W3527" s="35" t="str">
        <f>MID(Tabla1[[#This Row],[Aplicación]],14,2)</f>
        <v>63</v>
      </c>
      <c r="X3527" s="35" t="str">
        <f>MID(Tabla1[[#This Row],[Aplicación]],14,6)</f>
        <v>634</v>
      </c>
    </row>
    <row r="3528" spans="1:24" x14ac:dyDescent="0.25">
      <c r="A3528" s="45">
        <v>220210053611</v>
      </c>
      <c r="B3528" s="46" t="s">
        <v>204</v>
      </c>
      <c r="C3528" s="47">
        <v>44452</v>
      </c>
      <c r="D3528" s="45">
        <v>22021005981</v>
      </c>
      <c r="E3528" s="46" t="s">
        <v>1410</v>
      </c>
      <c r="F3528" s="48">
        <v>374.39</v>
      </c>
      <c r="G3528" s="46" t="s">
        <v>232</v>
      </c>
      <c r="H3528" s="46" t="s">
        <v>5094</v>
      </c>
      <c r="I3528" s="45" t="s">
        <v>205</v>
      </c>
      <c r="J3528" s="46" t="s">
        <v>127</v>
      </c>
      <c r="K3528" s="46" t="s">
        <v>127</v>
      </c>
      <c r="L3528" s="46" t="s">
        <v>12</v>
      </c>
      <c r="M3528" s="46" t="s">
        <v>13</v>
      </c>
      <c r="N3528" s="46" t="s">
        <v>14</v>
      </c>
      <c r="O3528" s="49" t="s">
        <v>814</v>
      </c>
      <c r="P3528" s="49" t="s">
        <v>4910</v>
      </c>
      <c r="Q3528" s="35" t="str">
        <f>MID(Tabla1[[#This Row],[Aplicación]],14,1)</f>
        <v>2</v>
      </c>
      <c r="R3528" s="35" t="s">
        <v>495</v>
      </c>
      <c r="S3528" s="35" t="str">
        <f>MID(Tabla1[[#This Row],[Aplicación]],6,2)</f>
        <v>07</v>
      </c>
      <c r="T3528" s="35" t="str">
        <f>VLOOKUP(Tabla1[[#This Row],[AREA]],Hoja1!A:B,2,FALSE)</f>
        <v>07. Medio ambiente y desarrollo sostenible</v>
      </c>
      <c r="U3528" s="35" t="str">
        <f>MID(Tabla1[[#This Row],[Aplicación]],9,4)</f>
        <v>1711</v>
      </c>
      <c r="V3528" s="35" t="str">
        <f>VLOOKUP(Tabla1[[#This Row],[PROGRAMA]],Hoja1!A:B,2,FALSE)</f>
        <v>1711. Parques y jardines</v>
      </c>
      <c r="W3528" s="35" t="str">
        <f>MID(Tabla1[[#This Row],[Aplicación]],14,2)</f>
        <v>21</v>
      </c>
      <c r="X3528" s="35" t="str">
        <f>MID(Tabla1[[#This Row],[Aplicación]],14,6)</f>
        <v>214</v>
      </c>
    </row>
    <row r="3529" spans="1:24" x14ac:dyDescent="0.25">
      <c r="A3529" s="45">
        <v>220210036473</v>
      </c>
      <c r="B3529" s="46" t="s">
        <v>9</v>
      </c>
      <c r="C3529" s="47">
        <v>44384</v>
      </c>
      <c r="D3529" s="45">
        <v>22021004386</v>
      </c>
      <c r="E3529" s="46" t="s">
        <v>1203</v>
      </c>
      <c r="F3529" s="48">
        <v>868.83</v>
      </c>
      <c r="G3529" s="46" t="s">
        <v>1359</v>
      </c>
      <c r="H3529" s="46" t="s">
        <v>5095</v>
      </c>
      <c r="I3529" s="45" t="s">
        <v>125</v>
      </c>
      <c r="J3529" s="46" t="s">
        <v>180</v>
      </c>
      <c r="K3529" s="46" t="s">
        <v>180</v>
      </c>
      <c r="L3529" s="46" t="s">
        <v>15</v>
      </c>
      <c r="M3529" s="46" t="s">
        <v>13</v>
      </c>
      <c r="N3529" s="46" t="s">
        <v>14</v>
      </c>
      <c r="O3529" s="49" t="s">
        <v>803</v>
      </c>
      <c r="P3529" s="49" t="s">
        <v>4910</v>
      </c>
      <c r="Q3529" s="35" t="str">
        <f>MID(Tabla1[[#This Row],[Aplicación]],14,1)</f>
        <v>2</v>
      </c>
      <c r="R3529" s="35" t="s">
        <v>495</v>
      </c>
      <c r="S3529" s="35" t="str">
        <f>MID(Tabla1[[#This Row],[Aplicación]],6,2)</f>
        <v>01</v>
      </c>
      <c r="T3529" s="35" t="str">
        <f>VLOOKUP(Tabla1[[#This Row],[AREA]],Hoja1!A:B,2,FALSE)</f>
        <v>01. Alcaldía</v>
      </c>
      <c r="U3529" s="35" t="str">
        <f>MID(Tabla1[[#This Row],[Aplicación]],9,4)</f>
        <v>9203</v>
      </c>
      <c r="V3529" s="35" t="str">
        <f>VLOOKUP(Tabla1[[#This Row],[PROGRAMA]],Hoja1!A:B,2,FALSE)</f>
        <v>9203. Unidad de régimen interior</v>
      </c>
      <c r="W3529" s="35" t="str">
        <f>MID(Tabla1[[#This Row],[Aplicación]],14,2)</f>
        <v>22</v>
      </c>
      <c r="X3529" s="35" t="str">
        <f>MID(Tabla1[[#This Row],[Aplicación]],14,6)</f>
        <v>22000</v>
      </c>
    </row>
    <row r="3530" spans="1:24" x14ac:dyDescent="0.25">
      <c r="A3530" s="45">
        <v>220210036476</v>
      </c>
      <c r="B3530" s="46" t="s">
        <v>9</v>
      </c>
      <c r="C3530" s="47">
        <v>44384</v>
      </c>
      <c r="D3530" s="45">
        <v>22021004390</v>
      </c>
      <c r="E3530" s="46" t="s">
        <v>1203</v>
      </c>
      <c r="F3530" s="48">
        <v>2985.22</v>
      </c>
      <c r="G3530" s="46" t="s">
        <v>1359</v>
      </c>
      <c r="H3530" s="46" t="s">
        <v>5096</v>
      </c>
      <c r="I3530" s="45" t="s">
        <v>125</v>
      </c>
      <c r="J3530" s="46" t="s">
        <v>180</v>
      </c>
      <c r="K3530" s="46" t="s">
        <v>180</v>
      </c>
      <c r="L3530" s="46" t="s">
        <v>15</v>
      </c>
      <c r="M3530" s="46" t="s">
        <v>13</v>
      </c>
      <c r="N3530" s="46" t="s">
        <v>14</v>
      </c>
      <c r="O3530" s="49" t="s">
        <v>803</v>
      </c>
      <c r="P3530" s="49" t="s">
        <v>4910</v>
      </c>
      <c r="Q3530" s="35" t="str">
        <f>MID(Tabla1[[#This Row],[Aplicación]],14,1)</f>
        <v>2</v>
      </c>
      <c r="R3530" s="35" t="s">
        <v>495</v>
      </c>
      <c r="S3530" s="35" t="str">
        <f>MID(Tabla1[[#This Row],[Aplicación]],6,2)</f>
        <v>01</v>
      </c>
      <c r="T3530" s="35" t="str">
        <f>VLOOKUP(Tabla1[[#This Row],[AREA]],Hoja1!A:B,2,FALSE)</f>
        <v>01. Alcaldía</v>
      </c>
      <c r="U3530" s="35" t="str">
        <f>MID(Tabla1[[#This Row],[Aplicación]],9,4)</f>
        <v>9203</v>
      </c>
      <c r="V3530" s="35" t="str">
        <f>VLOOKUP(Tabla1[[#This Row],[PROGRAMA]],Hoja1!A:B,2,FALSE)</f>
        <v>9203. Unidad de régimen interior</v>
      </c>
      <c r="W3530" s="35" t="str">
        <f>MID(Tabla1[[#This Row],[Aplicación]],14,2)</f>
        <v>22</v>
      </c>
      <c r="X3530" s="35" t="str">
        <f>MID(Tabla1[[#This Row],[Aplicación]],14,6)</f>
        <v>22000</v>
      </c>
    </row>
    <row r="3531" spans="1:24" x14ac:dyDescent="0.25">
      <c r="A3531" s="45">
        <v>220210039700</v>
      </c>
      <c r="B3531" s="46" t="s">
        <v>9</v>
      </c>
      <c r="C3531" s="47">
        <v>44393</v>
      </c>
      <c r="D3531" s="45">
        <v>22021005765</v>
      </c>
      <c r="E3531" s="46" t="s">
        <v>895</v>
      </c>
      <c r="F3531" s="48">
        <v>1656.2</v>
      </c>
      <c r="G3531" s="46" t="s">
        <v>5097</v>
      </c>
      <c r="H3531" s="46" t="s">
        <v>5098</v>
      </c>
      <c r="I3531" s="45" t="s">
        <v>125</v>
      </c>
      <c r="J3531" s="46" t="s">
        <v>127</v>
      </c>
      <c r="K3531" s="46" t="s">
        <v>127</v>
      </c>
      <c r="L3531" s="46" t="s">
        <v>12</v>
      </c>
      <c r="M3531" s="46" t="s">
        <v>10</v>
      </c>
      <c r="N3531" s="46" t="s">
        <v>11</v>
      </c>
      <c r="O3531" s="49" t="s">
        <v>815</v>
      </c>
      <c r="P3531" s="49" t="s">
        <v>4910</v>
      </c>
      <c r="Q3531" s="35" t="str">
        <f>MID(Tabla1[[#This Row],[Aplicación]],14,1)</f>
        <v>2</v>
      </c>
      <c r="R3531" s="35" t="s">
        <v>495</v>
      </c>
      <c r="S3531" s="35" t="str">
        <f>MID(Tabla1[[#This Row],[Aplicación]],6,2)</f>
        <v>08</v>
      </c>
      <c r="T3531" s="35" t="str">
        <f>VLOOKUP(Tabla1[[#This Row],[AREA]],Hoja1!A:B,2,FALSE)</f>
        <v>08. Movilidad y espacio urbano</v>
      </c>
      <c r="U3531" s="35" t="str">
        <f>MID(Tabla1[[#This Row],[Aplicación]],9,4)</f>
        <v>1532</v>
      </c>
      <c r="V3531" s="35" t="str">
        <f>VLOOKUP(Tabla1[[#This Row],[PROGRAMA]],Hoja1!A:B,2,FALSE)</f>
        <v>1532. Pavimentación vias públicas y otros servicios urbanísticos</v>
      </c>
      <c r="W3531" s="35" t="str">
        <f>MID(Tabla1[[#This Row],[Aplicación]],14,2)</f>
        <v>22</v>
      </c>
      <c r="X3531" s="35" t="str">
        <f>MID(Tabla1[[#This Row],[Aplicación]],14,6)</f>
        <v>22199</v>
      </c>
    </row>
    <row r="3532" spans="1:24" x14ac:dyDescent="0.25">
      <c r="A3532" s="45">
        <v>220210037294</v>
      </c>
      <c r="B3532" s="46" t="s">
        <v>9</v>
      </c>
      <c r="C3532" s="47">
        <v>44391</v>
      </c>
      <c r="D3532" s="45">
        <v>22021004846</v>
      </c>
      <c r="E3532" s="46" t="s">
        <v>1613</v>
      </c>
      <c r="F3532" s="48">
        <v>2900.17</v>
      </c>
      <c r="G3532" s="46" t="s">
        <v>48</v>
      </c>
      <c r="H3532" s="46" t="s">
        <v>5099</v>
      </c>
      <c r="I3532" s="45" t="s">
        <v>125</v>
      </c>
      <c r="J3532" s="46" t="s">
        <v>127</v>
      </c>
      <c r="K3532" s="46" t="s">
        <v>127</v>
      </c>
      <c r="L3532" s="46" t="s">
        <v>15</v>
      </c>
      <c r="M3532" s="46" t="s">
        <v>13</v>
      </c>
      <c r="N3532" s="46" t="s">
        <v>14</v>
      </c>
      <c r="O3532" s="49" t="s">
        <v>803</v>
      </c>
      <c r="P3532" s="49" t="s">
        <v>4910</v>
      </c>
      <c r="Q3532" s="35" t="str">
        <f>MID(Tabla1[[#This Row],[Aplicación]],14,1)</f>
        <v>2</v>
      </c>
      <c r="R3532" s="35" t="s">
        <v>495</v>
      </c>
      <c r="S3532" s="35" t="str">
        <f>MID(Tabla1[[#This Row],[Aplicación]],6,2)</f>
        <v>11</v>
      </c>
      <c r="T3532" s="35" t="str">
        <f>VLOOKUP(Tabla1[[#This Row],[AREA]],Hoja1!A:B,2,FALSE)</f>
        <v>11. Salud pública y seguridad ciudadana</v>
      </c>
      <c r="U3532" s="35" t="str">
        <f>MID(Tabla1[[#This Row],[Aplicación]],9,4)</f>
        <v>1631</v>
      </c>
      <c r="V3532" s="35" t="str">
        <f>VLOOKUP(Tabla1[[#This Row],[PROGRAMA]],Hoja1!A:B,2,FALSE)</f>
        <v>1631. Limpieza viaria</v>
      </c>
      <c r="W3532" s="35" t="str">
        <f>MID(Tabla1[[#This Row],[Aplicación]],14,2)</f>
        <v>22</v>
      </c>
      <c r="X3532" s="35" t="str">
        <f>MID(Tabla1[[#This Row],[Aplicación]],14,6)</f>
        <v>22104</v>
      </c>
    </row>
    <row r="3533" spans="1:24" x14ac:dyDescent="0.25">
      <c r="A3533" s="45">
        <v>220210037291</v>
      </c>
      <c r="B3533" s="46" t="s">
        <v>9</v>
      </c>
      <c r="C3533" s="47">
        <v>44391</v>
      </c>
      <c r="D3533" s="45">
        <v>22021004842</v>
      </c>
      <c r="E3533" s="46" t="s">
        <v>2002</v>
      </c>
      <c r="F3533" s="48">
        <v>1364.78</v>
      </c>
      <c r="G3533" s="46" t="s">
        <v>48</v>
      </c>
      <c r="H3533" s="46" t="s">
        <v>5100</v>
      </c>
      <c r="I3533" s="45" t="s">
        <v>125</v>
      </c>
      <c r="J3533" s="46" t="s">
        <v>127</v>
      </c>
      <c r="K3533" s="46" t="s">
        <v>127</v>
      </c>
      <c r="L3533" s="46" t="s">
        <v>15</v>
      </c>
      <c r="M3533" s="46" t="s">
        <v>13</v>
      </c>
      <c r="N3533" s="46" t="s">
        <v>14</v>
      </c>
      <c r="O3533" s="49" t="s">
        <v>803</v>
      </c>
      <c r="P3533" s="49" t="s">
        <v>4910</v>
      </c>
      <c r="Q3533" s="35" t="str">
        <f>MID(Tabla1[[#This Row],[Aplicación]],14,1)</f>
        <v>2</v>
      </c>
      <c r="R3533" s="35" t="s">
        <v>495</v>
      </c>
      <c r="S3533" s="35" t="str">
        <f>MID(Tabla1[[#This Row],[Aplicación]],6,2)</f>
        <v>11</v>
      </c>
      <c r="T3533" s="35" t="str">
        <f>VLOOKUP(Tabla1[[#This Row],[AREA]],Hoja1!A:B,2,FALSE)</f>
        <v>11. Salud pública y seguridad ciudadana</v>
      </c>
      <c r="U3533" s="35" t="str">
        <f>MID(Tabla1[[#This Row],[Aplicación]],9,4)</f>
        <v>1621</v>
      </c>
      <c r="V3533" s="35" t="str">
        <f>VLOOKUP(Tabla1[[#This Row],[PROGRAMA]],Hoja1!A:B,2,FALSE)</f>
        <v>1621. Servicio de limpieza</v>
      </c>
      <c r="W3533" s="35" t="str">
        <f>MID(Tabla1[[#This Row],[Aplicación]],14,2)</f>
        <v>22</v>
      </c>
      <c r="X3533" s="35" t="str">
        <f>MID(Tabla1[[#This Row],[Aplicación]],14,6)</f>
        <v>22104</v>
      </c>
    </row>
    <row r="3534" spans="1:24" x14ac:dyDescent="0.25">
      <c r="A3534" s="45">
        <v>220210050964</v>
      </c>
      <c r="B3534" s="46" t="s">
        <v>9</v>
      </c>
      <c r="C3534" s="47">
        <v>44446</v>
      </c>
      <c r="D3534" s="45">
        <v>22021006433</v>
      </c>
      <c r="E3534" s="46" t="s">
        <v>5101</v>
      </c>
      <c r="F3534" s="48">
        <v>4000</v>
      </c>
      <c r="G3534" s="46" t="s">
        <v>48</v>
      </c>
      <c r="H3534" s="46" t="s">
        <v>5102</v>
      </c>
      <c r="I3534" s="45" t="s">
        <v>125</v>
      </c>
      <c r="J3534" s="46" t="s">
        <v>127</v>
      </c>
      <c r="K3534" s="46" t="s">
        <v>127</v>
      </c>
      <c r="L3534" s="46" t="s">
        <v>15</v>
      </c>
      <c r="M3534" s="46" t="s">
        <v>10</v>
      </c>
      <c r="N3534" s="46" t="s">
        <v>11</v>
      </c>
      <c r="O3534" s="49" t="s">
        <v>815</v>
      </c>
      <c r="P3534" s="49" t="s">
        <v>4910</v>
      </c>
      <c r="Q3534" s="35" t="str">
        <f>MID(Tabla1[[#This Row],[Aplicación]],14,1)</f>
        <v>2</v>
      </c>
      <c r="R3534" s="35" t="s">
        <v>495</v>
      </c>
      <c r="S3534" s="35" t="str">
        <f>MID(Tabla1[[#This Row],[Aplicación]],6,2)</f>
        <v>11</v>
      </c>
      <c r="T3534" s="35" t="str">
        <f>VLOOKUP(Tabla1[[#This Row],[AREA]],Hoja1!A:B,2,FALSE)</f>
        <v>11. Salud pública y seguridad ciudadana</v>
      </c>
      <c r="U3534" s="35" t="str">
        <f>MID(Tabla1[[#This Row],[Aplicación]],9,4)</f>
        <v>3111</v>
      </c>
      <c r="V3534" s="35" t="str">
        <f>VLOOKUP(Tabla1[[#This Row],[PROGRAMA]],Hoja1!A:B,2,FALSE)</f>
        <v>3111. Protección de la salubridad pública</v>
      </c>
      <c r="W3534" s="35" t="str">
        <f>MID(Tabla1[[#This Row],[Aplicación]],14,2)</f>
        <v>22</v>
      </c>
      <c r="X3534" s="35" t="str">
        <f>MID(Tabla1[[#This Row],[Aplicación]],14,6)</f>
        <v>22104</v>
      </c>
    </row>
    <row r="3535" spans="1:24" x14ac:dyDescent="0.25">
      <c r="A3535" s="45">
        <v>220210041582</v>
      </c>
      <c r="B3535" s="46" t="s">
        <v>9</v>
      </c>
      <c r="C3535" s="47">
        <v>44399</v>
      </c>
      <c r="D3535" s="45">
        <v>22021005701</v>
      </c>
      <c r="E3535" s="46" t="s">
        <v>859</v>
      </c>
      <c r="F3535" s="48">
        <v>1512.5</v>
      </c>
      <c r="G3535" s="46" t="s">
        <v>5103</v>
      </c>
      <c r="H3535" s="46" t="s">
        <v>5104</v>
      </c>
      <c r="I3535" s="45" t="s">
        <v>125</v>
      </c>
      <c r="J3535" s="46" t="s">
        <v>127</v>
      </c>
      <c r="K3535" s="46" t="s">
        <v>127</v>
      </c>
      <c r="L3535" s="46" t="s">
        <v>12</v>
      </c>
      <c r="M3535" s="46" t="s">
        <v>10</v>
      </c>
      <c r="N3535" s="46" t="s">
        <v>11</v>
      </c>
      <c r="O3535" s="49" t="s">
        <v>815</v>
      </c>
      <c r="P3535" s="49" t="s">
        <v>4910</v>
      </c>
      <c r="Q3535" s="35" t="str">
        <f>MID(Tabla1[[#This Row],[Aplicación]],14,1)</f>
        <v>2</v>
      </c>
      <c r="R3535" s="35" t="s">
        <v>495</v>
      </c>
      <c r="S3535" s="35" t="str">
        <f>MID(Tabla1[[#This Row],[Aplicación]],6,2)</f>
        <v>05</v>
      </c>
      <c r="T3535" s="35" t="str">
        <f>VLOOKUP(Tabla1[[#This Row],[AREA]],Hoja1!A:B,2,FALSE)</f>
        <v>05. Innovación, desarrollo económico, empleo y comercio</v>
      </c>
      <c r="U3535" s="35" t="str">
        <f>MID(Tabla1[[#This Row],[Aplicación]],9,4)</f>
        <v>4331</v>
      </c>
      <c r="V3535" s="35" t="str">
        <f>VLOOKUP(Tabla1[[#This Row],[PROGRAMA]],Hoja1!A:B,2,FALSE)</f>
        <v>4331. Desarrollo empresarial</v>
      </c>
      <c r="W3535" s="35" t="str">
        <f>MID(Tabla1[[#This Row],[Aplicación]],14,2)</f>
        <v>22</v>
      </c>
      <c r="X3535" s="35" t="str">
        <f>MID(Tabla1[[#This Row],[Aplicación]],14,6)</f>
        <v>22706</v>
      </c>
    </row>
    <row r="3536" spans="1:24" x14ac:dyDescent="0.25">
      <c r="A3536" s="45">
        <v>220210037311</v>
      </c>
      <c r="B3536" s="46" t="s">
        <v>204</v>
      </c>
      <c r="C3536" s="47">
        <v>44392</v>
      </c>
      <c r="D3536" s="45">
        <v>22021002412</v>
      </c>
      <c r="E3536" s="46" t="s">
        <v>1487</v>
      </c>
      <c r="F3536" s="48">
        <v>142610.96</v>
      </c>
      <c r="G3536" s="46" t="s">
        <v>5105</v>
      </c>
      <c r="H3536" s="46" t="s">
        <v>5106</v>
      </c>
      <c r="I3536" s="45" t="s">
        <v>205</v>
      </c>
      <c r="J3536" s="46" t="s">
        <v>5107</v>
      </c>
      <c r="K3536" s="46" t="s">
        <v>3238</v>
      </c>
      <c r="L3536" s="46" t="s">
        <v>31</v>
      </c>
      <c r="M3536" s="46" t="s">
        <v>13</v>
      </c>
      <c r="N3536" s="46" t="s">
        <v>16</v>
      </c>
      <c r="O3536" s="49" t="s">
        <v>803</v>
      </c>
      <c r="P3536" s="49" t="s">
        <v>4910</v>
      </c>
      <c r="Q3536" s="35" t="str">
        <f>MID(Tabla1[[#This Row],[Aplicación]],14,1)</f>
        <v>6</v>
      </c>
      <c r="R3536" s="35" t="s">
        <v>496</v>
      </c>
      <c r="S3536" s="35" t="str">
        <f>MID(Tabla1[[#This Row],[Aplicación]],6,2)</f>
        <v>08</v>
      </c>
      <c r="T3536" s="35" t="str">
        <f>VLOOKUP(Tabla1[[#This Row],[AREA]],Hoja1!A:B,2,FALSE)</f>
        <v>08. Movilidad y espacio urbano</v>
      </c>
      <c r="U3536" s="35" t="str">
        <f>MID(Tabla1[[#This Row],[Aplicación]],9,4)</f>
        <v>1532</v>
      </c>
      <c r="V3536" s="35" t="str">
        <f>VLOOKUP(Tabla1[[#This Row],[PROGRAMA]],Hoja1!A:B,2,FALSE)</f>
        <v>1532. Pavimentación vias públicas y otros servicios urbanísticos</v>
      </c>
      <c r="W3536" s="35" t="str">
        <f>MID(Tabla1[[#This Row],[Aplicación]],14,2)</f>
        <v>61</v>
      </c>
      <c r="X3536" s="35" t="str">
        <f>MID(Tabla1[[#This Row],[Aplicación]],14,6)</f>
        <v>619</v>
      </c>
    </row>
    <row r="3537" spans="1:24" x14ac:dyDescent="0.25">
      <c r="A3537" s="45">
        <v>220210039537</v>
      </c>
      <c r="B3537" s="46" t="s">
        <v>9</v>
      </c>
      <c r="C3537" s="47">
        <v>44393</v>
      </c>
      <c r="D3537" s="45">
        <v>22021005695</v>
      </c>
      <c r="E3537" s="46" t="s">
        <v>5108</v>
      </c>
      <c r="F3537" s="48">
        <v>108.9</v>
      </c>
      <c r="G3537" s="46" t="s">
        <v>267</v>
      </c>
      <c r="H3537" s="46" t="s">
        <v>5109</v>
      </c>
      <c r="I3537" s="45" t="s">
        <v>125</v>
      </c>
      <c r="J3537" s="46" t="s">
        <v>4190</v>
      </c>
      <c r="K3537" s="46" t="s">
        <v>127</v>
      </c>
      <c r="L3537" s="46" t="s">
        <v>17</v>
      </c>
      <c r="M3537" s="46" t="s">
        <v>10</v>
      </c>
      <c r="N3537" s="46" t="s">
        <v>11</v>
      </c>
      <c r="O3537" s="49" t="s">
        <v>815</v>
      </c>
      <c r="P3537" s="49" t="s">
        <v>4910</v>
      </c>
      <c r="Q3537" s="35" t="str">
        <f>MID(Tabla1[[#This Row],[Aplicación]],14,1)</f>
        <v>2</v>
      </c>
      <c r="R3537" s="35" t="s">
        <v>495</v>
      </c>
      <c r="S3537" s="35" t="str">
        <f>MID(Tabla1[[#This Row],[Aplicación]],6,2)</f>
        <v>11</v>
      </c>
      <c r="T3537" s="35" t="str">
        <f>VLOOKUP(Tabla1[[#This Row],[AREA]],Hoja1!A:B,2,FALSE)</f>
        <v>11. Salud pública y seguridad ciudadana</v>
      </c>
      <c r="U3537" s="35" t="str">
        <f>MID(Tabla1[[#This Row],[Aplicación]],9,4)</f>
        <v>1631</v>
      </c>
      <c r="V3537" s="35" t="str">
        <f>VLOOKUP(Tabla1[[#This Row],[PROGRAMA]],Hoja1!A:B,2,FALSE)</f>
        <v>1631. Limpieza viaria</v>
      </c>
      <c r="W3537" s="35" t="str">
        <f>MID(Tabla1[[#This Row],[Aplicación]],14,2)</f>
        <v>20</v>
      </c>
      <c r="X3537" s="35" t="str">
        <f>MID(Tabla1[[#This Row],[Aplicación]],14,6)</f>
        <v>203</v>
      </c>
    </row>
    <row r="3538" spans="1:24" x14ac:dyDescent="0.25">
      <c r="A3538" s="45">
        <v>220210045553</v>
      </c>
      <c r="B3538" s="46" t="s">
        <v>9</v>
      </c>
      <c r="C3538" s="47">
        <v>44414</v>
      </c>
      <c r="D3538" s="45">
        <v>22021005992</v>
      </c>
      <c r="E3538" s="46" t="s">
        <v>954</v>
      </c>
      <c r="F3538" s="48">
        <v>131.88999999999999</v>
      </c>
      <c r="G3538" s="46" t="s">
        <v>267</v>
      </c>
      <c r="H3538" s="46" t="s">
        <v>5110</v>
      </c>
      <c r="I3538" s="45" t="s">
        <v>125</v>
      </c>
      <c r="J3538" s="46" t="s">
        <v>4190</v>
      </c>
      <c r="K3538" s="46" t="s">
        <v>127</v>
      </c>
      <c r="L3538" s="46" t="s">
        <v>12</v>
      </c>
      <c r="M3538" s="46" t="s">
        <v>10</v>
      </c>
      <c r="N3538" s="46" t="s">
        <v>11</v>
      </c>
      <c r="O3538" s="49" t="s">
        <v>815</v>
      </c>
      <c r="P3538" s="49" t="s">
        <v>4910</v>
      </c>
      <c r="Q3538" s="35" t="str">
        <f>MID(Tabla1[[#This Row],[Aplicación]],14,1)</f>
        <v>2</v>
      </c>
      <c r="R3538" s="35" t="s">
        <v>495</v>
      </c>
      <c r="S3538" s="35" t="str">
        <f>MID(Tabla1[[#This Row],[Aplicación]],6,2)</f>
        <v>03</v>
      </c>
      <c r="T3538" s="35" t="str">
        <f>VLOOKUP(Tabla1[[#This Row],[AREA]],Hoja1!A:B,2,FALSE)</f>
        <v>03. Participación ciudadana y deportes</v>
      </c>
      <c r="U3538" s="35" t="str">
        <f>MID(Tabla1[[#This Row],[Aplicación]],9,4)</f>
        <v>9241</v>
      </c>
      <c r="V3538" s="35" t="str">
        <f>VLOOKUP(Tabla1[[#This Row],[PROGRAMA]],Hoja1!A:B,2,FALSE)</f>
        <v>9241. Participación ciudadana</v>
      </c>
      <c r="W3538" s="35" t="str">
        <f>MID(Tabla1[[#This Row],[Aplicación]],14,2)</f>
        <v>20</v>
      </c>
      <c r="X3538" s="35" t="str">
        <f>MID(Tabla1[[#This Row],[Aplicación]],14,6)</f>
        <v>203</v>
      </c>
    </row>
    <row r="3539" spans="1:24" x14ac:dyDescent="0.25">
      <c r="A3539" s="45">
        <v>220210050926</v>
      </c>
      <c r="B3539" s="46" t="s">
        <v>9</v>
      </c>
      <c r="C3539" s="47">
        <v>44445</v>
      </c>
      <c r="D3539" s="45">
        <v>22021006426</v>
      </c>
      <c r="E3539" s="46" t="s">
        <v>1172</v>
      </c>
      <c r="F3539" s="48">
        <v>5840.69</v>
      </c>
      <c r="G3539" s="46" t="s">
        <v>5111</v>
      </c>
      <c r="H3539" s="46" t="s">
        <v>5112</v>
      </c>
      <c r="I3539" s="45" t="s">
        <v>125</v>
      </c>
      <c r="J3539" s="46" t="s">
        <v>3273</v>
      </c>
      <c r="K3539" s="46" t="s">
        <v>165</v>
      </c>
      <c r="L3539" s="46" t="s">
        <v>15</v>
      </c>
      <c r="M3539" s="46" t="s">
        <v>10</v>
      </c>
      <c r="N3539" s="46" t="s">
        <v>11</v>
      </c>
      <c r="O3539" s="49" t="s">
        <v>815</v>
      </c>
      <c r="P3539" s="49" t="s">
        <v>4910</v>
      </c>
      <c r="Q3539" s="35" t="str">
        <f>MID(Tabla1[[#This Row],[Aplicación]],14,1)</f>
        <v>6</v>
      </c>
      <c r="R3539" s="35" t="s">
        <v>496</v>
      </c>
      <c r="S3539" s="35" t="str">
        <f>MID(Tabla1[[#This Row],[Aplicación]],6,2)</f>
        <v>02</v>
      </c>
      <c r="T3539" s="35" t="str">
        <f>VLOOKUP(Tabla1[[#This Row],[AREA]],Hoja1!A:B,2,FALSE)</f>
        <v>02. Planeamiento urbanístico y vivienda</v>
      </c>
      <c r="U3539" s="35" t="str">
        <f>MID(Tabla1[[#This Row],[Aplicación]],9,4)</f>
        <v>9332</v>
      </c>
      <c r="V3539" s="35" t="str">
        <f>VLOOKUP(Tabla1[[#This Row],[PROGRAMA]],Hoja1!A:B,2,FALSE)</f>
        <v>9332. Mantenimiento de edificios e instalaciones municipales</v>
      </c>
      <c r="W3539" s="35" t="str">
        <f>MID(Tabla1[[#This Row],[Aplicación]],14,2)</f>
        <v>63</v>
      </c>
      <c r="X3539" s="35" t="str">
        <f>MID(Tabla1[[#This Row],[Aplicación]],14,6)</f>
        <v>632</v>
      </c>
    </row>
    <row r="3540" spans="1:24" x14ac:dyDescent="0.25">
      <c r="A3540" s="45">
        <v>220210050018</v>
      </c>
      <c r="B3540" s="46" t="s">
        <v>9</v>
      </c>
      <c r="C3540" s="47">
        <v>44434</v>
      </c>
      <c r="D3540" s="45">
        <v>22021004204</v>
      </c>
      <c r="E3540" s="46" t="s">
        <v>886</v>
      </c>
      <c r="F3540" s="48">
        <v>5466.78</v>
      </c>
      <c r="G3540" s="46" t="s">
        <v>43</v>
      </c>
      <c r="H3540" s="46" t="s">
        <v>5113</v>
      </c>
      <c r="I3540" s="45" t="s">
        <v>125</v>
      </c>
      <c r="J3540" s="46" t="s">
        <v>127</v>
      </c>
      <c r="K3540" s="46" t="s">
        <v>127</v>
      </c>
      <c r="L3540" s="46" t="s">
        <v>15</v>
      </c>
      <c r="M3540" s="46" t="s">
        <v>10</v>
      </c>
      <c r="N3540" s="46" t="s">
        <v>11</v>
      </c>
      <c r="O3540" s="49" t="s">
        <v>815</v>
      </c>
      <c r="P3540" s="49" t="s">
        <v>4910</v>
      </c>
      <c r="Q3540" s="35" t="str">
        <f>MID(Tabla1[[#This Row],[Aplicación]],14,1)</f>
        <v>2</v>
      </c>
      <c r="R3540" s="35" t="s">
        <v>495</v>
      </c>
      <c r="S3540" s="35" t="str">
        <f>MID(Tabla1[[#This Row],[Aplicación]],6,2)</f>
        <v>10</v>
      </c>
      <c r="T3540" s="35" t="str">
        <f>VLOOKUP(Tabla1[[#This Row],[AREA]],Hoja1!A:B,2,FALSE)</f>
        <v>10. Servicios sociales y mediación comunitaria</v>
      </c>
      <c r="U3540" s="35" t="str">
        <f>MID(Tabla1[[#This Row],[Aplicación]],9,4)</f>
        <v>2311</v>
      </c>
      <c r="V3540" s="35" t="str">
        <f>VLOOKUP(Tabla1[[#This Row],[PROGRAMA]],Hoja1!A:B,2,FALSE)</f>
        <v>2311. Intervención social</v>
      </c>
      <c r="W3540" s="35" t="str">
        <f>MID(Tabla1[[#This Row],[Aplicación]],14,2)</f>
        <v>21</v>
      </c>
      <c r="X3540" s="35" t="str">
        <f>MID(Tabla1[[#This Row],[Aplicación]],14,6)</f>
        <v>213</v>
      </c>
    </row>
    <row r="3541" spans="1:24" x14ac:dyDescent="0.25">
      <c r="A3541" s="45">
        <v>220210036477</v>
      </c>
      <c r="B3541" s="46" t="s">
        <v>9</v>
      </c>
      <c r="C3541" s="47">
        <v>44384</v>
      </c>
      <c r="D3541" s="45">
        <v>22021004391</v>
      </c>
      <c r="E3541" s="46" t="s">
        <v>1203</v>
      </c>
      <c r="F3541" s="48">
        <v>4881.8</v>
      </c>
      <c r="G3541" s="46" t="s">
        <v>214</v>
      </c>
      <c r="H3541" s="46" t="s">
        <v>5114</v>
      </c>
      <c r="I3541" s="45" t="s">
        <v>125</v>
      </c>
      <c r="J3541" s="46" t="s">
        <v>127</v>
      </c>
      <c r="K3541" s="46" t="s">
        <v>127</v>
      </c>
      <c r="L3541" s="46" t="s">
        <v>15</v>
      </c>
      <c r="M3541" s="46" t="s">
        <v>13</v>
      </c>
      <c r="N3541" s="46" t="s">
        <v>14</v>
      </c>
      <c r="O3541" s="49" t="s">
        <v>803</v>
      </c>
      <c r="P3541" s="49" t="s">
        <v>4910</v>
      </c>
      <c r="Q3541" s="35" t="str">
        <f>MID(Tabla1[[#This Row],[Aplicación]],14,1)</f>
        <v>2</v>
      </c>
      <c r="R3541" s="35" t="s">
        <v>495</v>
      </c>
      <c r="S3541" s="35" t="str">
        <f>MID(Tabla1[[#This Row],[Aplicación]],6,2)</f>
        <v>01</v>
      </c>
      <c r="T3541" s="35" t="str">
        <f>VLOOKUP(Tabla1[[#This Row],[AREA]],Hoja1!A:B,2,FALSE)</f>
        <v>01. Alcaldía</v>
      </c>
      <c r="U3541" s="35" t="str">
        <f>MID(Tabla1[[#This Row],[Aplicación]],9,4)</f>
        <v>9203</v>
      </c>
      <c r="V3541" s="35" t="str">
        <f>VLOOKUP(Tabla1[[#This Row],[PROGRAMA]],Hoja1!A:B,2,FALSE)</f>
        <v>9203. Unidad de régimen interior</v>
      </c>
      <c r="W3541" s="35" t="str">
        <f>MID(Tabla1[[#This Row],[Aplicación]],14,2)</f>
        <v>22</v>
      </c>
      <c r="X3541" s="35" t="str">
        <f>MID(Tabla1[[#This Row],[Aplicación]],14,6)</f>
        <v>22000</v>
      </c>
    </row>
    <row r="3542" spans="1:24" x14ac:dyDescent="0.25">
      <c r="A3542" s="45">
        <v>220210036474</v>
      </c>
      <c r="B3542" s="46" t="s">
        <v>9</v>
      </c>
      <c r="C3542" s="47">
        <v>44384</v>
      </c>
      <c r="D3542" s="45">
        <v>22021004388</v>
      </c>
      <c r="E3542" s="46" t="s">
        <v>1203</v>
      </c>
      <c r="F3542" s="48">
        <v>2150.8000000000002</v>
      </c>
      <c r="G3542" s="46" t="s">
        <v>214</v>
      </c>
      <c r="H3542" s="46" t="s">
        <v>5115</v>
      </c>
      <c r="I3542" s="45" t="s">
        <v>125</v>
      </c>
      <c r="J3542" s="46" t="s">
        <v>127</v>
      </c>
      <c r="K3542" s="46" t="s">
        <v>127</v>
      </c>
      <c r="L3542" s="46" t="s">
        <v>15</v>
      </c>
      <c r="M3542" s="46" t="s">
        <v>13</v>
      </c>
      <c r="N3542" s="46" t="s">
        <v>14</v>
      </c>
      <c r="O3542" s="49" t="s">
        <v>803</v>
      </c>
      <c r="P3542" s="49" t="s">
        <v>4910</v>
      </c>
      <c r="Q3542" s="35" t="str">
        <f>MID(Tabla1[[#This Row],[Aplicación]],14,1)</f>
        <v>2</v>
      </c>
      <c r="R3542" s="35" t="s">
        <v>495</v>
      </c>
      <c r="S3542" s="35" t="str">
        <f>MID(Tabla1[[#This Row],[Aplicación]],6,2)</f>
        <v>01</v>
      </c>
      <c r="T3542" s="35" t="str">
        <f>VLOOKUP(Tabla1[[#This Row],[AREA]],Hoja1!A:B,2,FALSE)</f>
        <v>01. Alcaldía</v>
      </c>
      <c r="U3542" s="35" t="str">
        <f>MID(Tabla1[[#This Row],[Aplicación]],9,4)</f>
        <v>9203</v>
      </c>
      <c r="V3542" s="35" t="str">
        <f>VLOOKUP(Tabla1[[#This Row],[PROGRAMA]],Hoja1!A:B,2,FALSE)</f>
        <v>9203. Unidad de régimen interior</v>
      </c>
      <c r="W3542" s="35" t="str">
        <f>MID(Tabla1[[#This Row],[Aplicación]],14,2)</f>
        <v>22</v>
      </c>
      <c r="X3542" s="35" t="str">
        <f>MID(Tabla1[[#This Row],[Aplicación]],14,6)</f>
        <v>22000</v>
      </c>
    </row>
    <row r="3543" spans="1:24" x14ac:dyDescent="0.25">
      <c r="A3543" s="45">
        <v>220210036475</v>
      </c>
      <c r="B3543" s="46" t="s">
        <v>9</v>
      </c>
      <c r="C3543" s="47">
        <v>44384</v>
      </c>
      <c r="D3543" s="45">
        <v>22021004389</v>
      </c>
      <c r="E3543" s="46" t="s">
        <v>1203</v>
      </c>
      <c r="F3543" s="48">
        <v>3528.84</v>
      </c>
      <c r="G3543" s="46" t="s">
        <v>214</v>
      </c>
      <c r="H3543" s="46" t="s">
        <v>5116</v>
      </c>
      <c r="I3543" s="45" t="s">
        <v>125</v>
      </c>
      <c r="J3543" s="46" t="s">
        <v>127</v>
      </c>
      <c r="K3543" s="46" t="s">
        <v>127</v>
      </c>
      <c r="L3543" s="46" t="s">
        <v>15</v>
      </c>
      <c r="M3543" s="46" t="s">
        <v>13</v>
      </c>
      <c r="N3543" s="46" t="s">
        <v>14</v>
      </c>
      <c r="O3543" s="49" t="s">
        <v>803</v>
      </c>
      <c r="P3543" s="49" t="s">
        <v>4910</v>
      </c>
      <c r="Q3543" s="35" t="str">
        <f>MID(Tabla1[[#This Row],[Aplicación]],14,1)</f>
        <v>2</v>
      </c>
      <c r="R3543" s="35" t="s">
        <v>495</v>
      </c>
      <c r="S3543" s="35" t="str">
        <f>MID(Tabla1[[#This Row],[Aplicación]],6,2)</f>
        <v>01</v>
      </c>
      <c r="T3543" s="35" t="str">
        <f>VLOOKUP(Tabla1[[#This Row],[AREA]],Hoja1!A:B,2,FALSE)</f>
        <v>01. Alcaldía</v>
      </c>
      <c r="U3543" s="35" t="str">
        <f>MID(Tabla1[[#This Row],[Aplicación]],9,4)</f>
        <v>9203</v>
      </c>
      <c r="V3543" s="35" t="str">
        <f>VLOOKUP(Tabla1[[#This Row],[PROGRAMA]],Hoja1!A:B,2,FALSE)</f>
        <v>9203. Unidad de régimen interior</v>
      </c>
      <c r="W3543" s="35" t="str">
        <f>MID(Tabla1[[#This Row],[Aplicación]],14,2)</f>
        <v>22</v>
      </c>
      <c r="X3543" s="35" t="str">
        <f>MID(Tabla1[[#This Row],[Aplicación]],14,6)</f>
        <v>22000</v>
      </c>
    </row>
    <row r="3544" spans="1:24" x14ac:dyDescent="0.25">
      <c r="A3544" s="45">
        <v>220210038359</v>
      </c>
      <c r="B3544" s="46" t="s">
        <v>9</v>
      </c>
      <c r="C3544" s="47">
        <v>44392</v>
      </c>
      <c r="D3544" s="45">
        <v>22021005630</v>
      </c>
      <c r="E3544" s="46" t="s">
        <v>1397</v>
      </c>
      <c r="F3544" s="48">
        <v>456.73</v>
      </c>
      <c r="G3544" s="46" t="s">
        <v>239</v>
      </c>
      <c r="H3544" s="46" t="s">
        <v>5117</v>
      </c>
      <c r="I3544" s="45" t="s">
        <v>125</v>
      </c>
      <c r="J3544" s="46" t="s">
        <v>127</v>
      </c>
      <c r="K3544" s="46" t="s">
        <v>127</v>
      </c>
      <c r="L3544" s="46" t="s">
        <v>12</v>
      </c>
      <c r="M3544" s="46" t="s">
        <v>13</v>
      </c>
      <c r="N3544" s="46" t="s">
        <v>14</v>
      </c>
      <c r="O3544" s="49" t="s">
        <v>814</v>
      </c>
      <c r="P3544" s="49" t="s">
        <v>4910</v>
      </c>
      <c r="Q3544" s="35" t="str">
        <f>MID(Tabla1[[#This Row],[Aplicación]],14,1)</f>
        <v>2</v>
      </c>
      <c r="R3544" s="35" t="s">
        <v>495</v>
      </c>
      <c r="S3544" s="35" t="str">
        <f>MID(Tabla1[[#This Row],[Aplicación]],6,2)</f>
        <v>11</v>
      </c>
      <c r="T3544" s="35" t="str">
        <f>VLOOKUP(Tabla1[[#This Row],[AREA]],Hoja1!A:B,2,FALSE)</f>
        <v>11. Salud pública y seguridad ciudadana</v>
      </c>
      <c r="U3544" s="35" t="str">
        <f>MID(Tabla1[[#This Row],[Aplicación]],9,4)</f>
        <v>1361</v>
      </c>
      <c r="V3544" s="35" t="str">
        <f>VLOOKUP(Tabla1[[#This Row],[PROGRAMA]],Hoja1!A:B,2,FALSE)</f>
        <v>1361. Prevención y extinción de incencios</v>
      </c>
      <c r="W3544" s="35" t="str">
        <f>MID(Tabla1[[#This Row],[Aplicación]],14,2)</f>
        <v>21</v>
      </c>
      <c r="X3544" s="35" t="str">
        <f>MID(Tabla1[[#This Row],[Aplicación]],14,6)</f>
        <v>214</v>
      </c>
    </row>
    <row r="3545" spans="1:24" x14ac:dyDescent="0.25">
      <c r="A3545" s="45">
        <v>220210053632</v>
      </c>
      <c r="B3545" s="46" t="s">
        <v>204</v>
      </c>
      <c r="C3545" s="47">
        <v>44452</v>
      </c>
      <c r="D3545" s="45">
        <v>22021005981</v>
      </c>
      <c r="E3545" s="46" t="s">
        <v>1410</v>
      </c>
      <c r="F3545" s="48">
        <v>1792.56</v>
      </c>
      <c r="G3545" s="46" t="s">
        <v>239</v>
      </c>
      <c r="H3545" s="46" t="s">
        <v>5118</v>
      </c>
      <c r="I3545" s="45" t="s">
        <v>205</v>
      </c>
      <c r="J3545" s="46" t="s">
        <v>127</v>
      </c>
      <c r="K3545" s="46" t="s">
        <v>127</v>
      </c>
      <c r="L3545" s="46" t="s">
        <v>12</v>
      </c>
      <c r="M3545" s="46" t="s">
        <v>13</v>
      </c>
      <c r="N3545" s="46" t="s">
        <v>14</v>
      </c>
      <c r="O3545" s="49" t="s">
        <v>814</v>
      </c>
      <c r="P3545" s="49" t="s">
        <v>4910</v>
      </c>
      <c r="Q3545" s="35" t="str">
        <f>MID(Tabla1[[#This Row],[Aplicación]],14,1)</f>
        <v>2</v>
      </c>
      <c r="R3545" s="35" t="s">
        <v>495</v>
      </c>
      <c r="S3545" s="35" t="str">
        <f>MID(Tabla1[[#This Row],[Aplicación]],6,2)</f>
        <v>07</v>
      </c>
      <c r="T3545" s="35" t="str">
        <f>VLOOKUP(Tabla1[[#This Row],[AREA]],Hoja1!A:B,2,FALSE)</f>
        <v>07. Medio ambiente y desarrollo sostenible</v>
      </c>
      <c r="U3545" s="35" t="str">
        <f>MID(Tabla1[[#This Row],[Aplicación]],9,4)</f>
        <v>1711</v>
      </c>
      <c r="V3545" s="35" t="str">
        <f>VLOOKUP(Tabla1[[#This Row],[PROGRAMA]],Hoja1!A:B,2,FALSE)</f>
        <v>1711. Parques y jardines</v>
      </c>
      <c r="W3545" s="35" t="str">
        <f>MID(Tabla1[[#This Row],[Aplicación]],14,2)</f>
        <v>21</v>
      </c>
      <c r="X3545" s="35" t="str">
        <f>MID(Tabla1[[#This Row],[Aplicación]],14,6)</f>
        <v>214</v>
      </c>
    </row>
    <row r="3546" spans="1:24" x14ac:dyDescent="0.25">
      <c r="A3546" s="45">
        <v>220210050123</v>
      </c>
      <c r="B3546" s="46" t="s">
        <v>204</v>
      </c>
      <c r="C3546" s="47">
        <v>44435</v>
      </c>
      <c r="D3546" s="45">
        <v>22021005946</v>
      </c>
      <c r="E3546" s="46" t="s">
        <v>1167</v>
      </c>
      <c r="F3546" s="48">
        <v>1247.21</v>
      </c>
      <c r="G3546" s="46" t="s">
        <v>239</v>
      </c>
      <c r="H3546" s="46" t="s">
        <v>5119</v>
      </c>
      <c r="I3546" s="45" t="s">
        <v>205</v>
      </c>
      <c r="J3546" s="46" t="s">
        <v>127</v>
      </c>
      <c r="K3546" s="46" t="s">
        <v>127</v>
      </c>
      <c r="L3546" s="46" t="s">
        <v>15</v>
      </c>
      <c r="M3546" s="46" t="s">
        <v>13</v>
      </c>
      <c r="N3546" s="46" t="s">
        <v>14</v>
      </c>
      <c r="O3546" s="49" t="s">
        <v>814</v>
      </c>
      <c r="P3546" s="49" t="s">
        <v>4910</v>
      </c>
      <c r="Q3546" s="35" t="str">
        <f>MID(Tabla1[[#This Row],[Aplicación]],14,1)</f>
        <v>2</v>
      </c>
      <c r="R3546" s="35" t="s">
        <v>495</v>
      </c>
      <c r="S3546" s="35" t="str">
        <f>MID(Tabla1[[#This Row],[Aplicación]],6,2)</f>
        <v>11</v>
      </c>
      <c r="T3546" s="35" t="str">
        <f>VLOOKUP(Tabla1[[#This Row],[AREA]],Hoja1!A:B,2,FALSE)</f>
        <v>11. Salud pública y seguridad ciudadana</v>
      </c>
      <c r="U3546" s="35" t="str">
        <f>MID(Tabla1[[#This Row],[Aplicación]],9,4)</f>
        <v>1321</v>
      </c>
      <c r="V3546" s="35" t="str">
        <f>VLOOKUP(Tabla1[[#This Row],[PROGRAMA]],Hoja1!A:B,2,FALSE)</f>
        <v>1321. Policía municipal</v>
      </c>
      <c r="W3546" s="35" t="str">
        <f>MID(Tabla1[[#This Row],[Aplicación]],14,2)</f>
        <v>21</v>
      </c>
      <c r="X3546" s="35" t="str">
        <f>MID(Tabla1[[#This Row],[Aplicación]],14,6)</f>
        <v>214</v>
      </c>
    </row>
    <row r="3547" spans="1:24" x14ac:dyDescent="0.25">
      <c r="A3547" s="45">
        <v>220210053615</v>
      </c>
      <c r="B3547" s="46" t="s">
        <v>204</v>
      </c>
      <c r="C3547" s="47">
        <v>44452</v>
      </c>
      <c r="D3547" s="45">
        <v>22021005981</v>
      </c>
      <c r="E3547" s="46" t="s">
        <v>1410</v>
      </c>
      <c r="F3547" s="48">
        <v>721.81</v>
      </c>
      <c r="G3547" s="46" t="s">
        <v>239</v>
      </c>
      <c r="H3547" s="46" t="s">
        <v>5120</v>
      </c>
      <c r="I3547" s="45" t="s">
        <v>205</v>
      </c>
      <c r="J3547" s="46" t="s">
        <v>127</v>
      </c>
      <c r="K3547" s="46" t="s">
        <v>127</v>
      </c>
      <c r="L3547" s="46" t="s">
        <v>12</v>
      </c>
      <c r="M3547" s="46" t="s">
        <v>13</v>
      </c>
      <c r="N3547" s="46" t="s">
        <v>14</v>
      </c>
      <c r="O3547" s="49" t="s">
        <v>814</v>
      </c>
      <c r="P3547" s="49" t="s">
        <v>4910</v>
      </c>
      <c r="Q3547" s="35" t="str">
        <f>MID(Tabla1[[#This Row],[Aplicación]],14,1)</f>
        <v>2</v>
      </c>
      <c r="R3547" s="35" t="s">
        <v>495</v>
      </c>
      <c r="S3547" s="35" t="str">
        <f>MID(Tabla1[[#This Row],[Aplicación]],6,2)</f>
        <v>07</v>
      </c>
      <c r="T3547" s="35" t="str">
        <f>VLOOKUP(Tabla1[[#This Row],[AREA]],Hoja1!A:B,2,FALSE)</f>
        <v>07. Medio ambiente y desarrollo sostenible</v>
      </c>
      <c r="U3547" s="35" t="str">
        <f>MID(Tabla1[[#This Row],[Aplicación]],9,4)</f>
        <v>1711</v>
      </c>
      <c r="V3547" s="35" t="str">
        <f>VLOOKUP(Tabla1[[#This Row],[PROGRAMA]],Hoja1!A:B,2,FALSE)</f>
        <v>1711. Parques y jardines</v>
      </c>
      <c r="W3547" s="35" t="str">
        <f>MID(Tabla1[[#This Row],[Aplicación]],14,2)</f>
        <v>21</v>
      </c>
      <c r="X3547" s="35" t="str">
        <f>MID(Tabla1[[#This Row],[Aplicación]],14,6)</f>
        <v>214</v>
      </c>
    </row>
    <row r="3548" spans="1:24" x14ac:dyDescent="0.25">
      <c r="A3548" s="45">
        <v>220210050125</v>
      </c>
      <c r="B3548" s="46" t="s">
        <v>204</v>
      </c>
      <c r="C3548" s="47">
        <v>44435</v>
      </c>
      <c r="D3548" s="45">
        <v>22021005946</v>
      </c>
      <c r="E3548" s="46" t="s">
        <v>1167</v>
      </c>
      <c r="F3548" s="48">
        <v>346.11</v>
      </c>
      <c r="G3548" s="46" t="s">
        <v>239</v>
      </c>
      <c r="H3548" s="46" t="s">
        <v>5121</v>
      </c>
      <c r="I3548" s="45" t="s">
        <v>205</v>
      </c>
      <c r="J3548" s="46" t="s">
        <v>127</v>
      </c>
      <c r="K3548" s="46" t="s">
        <v>127</v>
      </c>
      <c r="L3548" s="46" t="s">
        <v>15</v>
      </c>
      <c r="M3548" s="46" t="s">
        <v>13</v>
      </c>
      <c r="N3548" s="46" t="s">
        <v>14</v>
      </c>
      <c r="O3548" s="49" t="s">
        <v>814</v>
      </c>
      <c r="P3548" s="49" t="s">
        <v>4910</v>
      </c>
      <c r="Q3548" s="35" t="str">
        <f>MID(Tabla1[[#This Row],[Aplicación]],14,1)</f>
        <v>2</v>
      </c>
      <c r="R3548" s="35" t="s">
        <v>495</v>
      </c>
      <c r="S3548" s="35" t="str">
        <f>MID(Tabla1[[#This Row],[Aplicación]],6,2)</f>
        <v>11</v>
      </c>
      <c r="T3548" s="35" t="str">
        <f>VLOOKUP(Tabla1[[#This Row],[AREA]],Hoja1!A:B,2,FALSE)</f>
        <v>11. Salud pública y seguridad ciudadana</v>
      </c>
      <c r="U3548" s="35" t="str">
        <f>MID(Tabla1[[#This Row],[Aplicación]],9,4)</f>
        <v>1321</v>
      </c>
      <c r="V3548" s="35" t="str">
        <f>VLOOKUP(Tabla1[[#This Row],[PROGRAMA]],Hoja1!A:B,2,FALSE)</f>
        <v>1321. Policía municipal</v>
      </c>
      <c r="W3548" s="35" t="str">
        <f>MID(Tabla1[[#This Row],[Aplicación]],14,2)</f>
        <v>21</v>
      </c>
      <c r="X3548" s="35" t="str">
        <f>MID(Tabla1[[#This Row],[Aplicación]],14,6)</f>
        <v>214</v>
      </c>
    </row>
    <row r="3549" spans="1:24" x14ac:dyDescent="0.25">
      <c r="A3549" s="45">
        <v>220210050130</v>
      </c>
      <c r="B3549" s="46" t="s">
        <v>204</v>
      </c>
      <c r="C3549" s="47">
        <v>44435</v>
      </c>
      <c r="D3549" s="45">
        <v>22021005946</v>
      </c>
      <c r="E3549" s="46" t="s">
        <v>1167</v>
      </c>
      <c r="F3549" s="48">
        <v>241.03</v>
      </c>
      <c r="G3549" s="46" t="s">
        <v>239</v>
      </c>
      <c r="H3549" s="46" t="s">
        <v>5122</v>
      </c>
      <c r="I3549" s="45" t="s">
        <v>205</v>
      </c>
      <c r="J3549" s="46" t="s">
        <v>127</v>
      </c>
      <c r="K3549" s="46" t="s">
        <v>127</v>
      </c>
      <c r="L3549" s="46" t="s">
        <v>12</v>
      </c>
      <c r="M3549" s="46" t="s">
        <v>13</v>
      </c>
      <c r="N3549" s="46" t="s">
        <v>14</v>
      </c>
      <c r="O3549" s="49" t="s">
        <v>814</v>
      </c>
      <c r="P3549" s="49" t="s">
        <v>4910</v>
      </c>
      <c r="Q3549" s="35" t="str">
        <f>MID(Tabla1[[#This Row],[Aplicación]],14,1)</f>
        <v>2</v>
      </c>
      <c r="R3549" s="35" t="s">
        <v>495</v>
      </c>
      <c r="S3549" s="35" t="str">
        <f>MID(Tabla1[[#This Row],[Aplicación]],6,2)</f>
        <v>11</v>
      </c>
      <c r="T3549" s="35" t="str">
        <f>VLOOKUP(Tabla1[[#This Row],[AREA]],Hoja1!A:B,2,FALSE)</f>
        <v>11. Salud pública y seguridad ciudadana</v>
      </c>
      <c r="U3549" s="35" t="str">
        <f>MID(Tabla1[[#This Row],[Aplicación]],9,4)</f>
        <v>1321</v>
      </c>
      <c r="V3549" s="35" t="str">
        <f>VLOOKUP(Tabla1[[#This Row],[PROGRAMA]],Hoja1!A:B,2,FALSE)</f>
        <v>1321. Policía municipal</v>
      </c>
      <c r="W3549" s="35" t="str">
        <f>MID(Tabla1[[#This Row],[Aplicación]],14,2)</f>
        <v>21</v>
      </c>
      <c r="X3549" s="35" t="str">
        <f>MID(Tabla1[[#This Row],[Aplicación]],14,6)</f>
        <v>214</v>
      </c>
    </row>
    <row r="3550" spans="1:24" x14ac:dyDescent="0.25">
      <c r="A3550" s="45">
        <v>220210036846</v>
      </c>
      <c r="B3550" s="46" t="s">
        <v>9</v>
      </c>
      <c r="C3550" s="47">
        <v>44389</v>
      </c>
      <c r="D3550" s="45">
        <v>22021005627</v>
      </c>
      <c r="E3550" s="46" t="s">
        <v>2849</v>
      </c>
      <c r="F3550" s="48">
        <v>1500</v>
      </c>
      <c r="G3550" s="46" t="s">
        <v>1436</v>
      </c>
      <c r="H3550" s="46" t="s">
        <v>5123</v>
      </c>
      <c r="I3550" s="45" t="s">
        <v>125</v>
      </c>
      <c r="J3550" s="46" t="s">
        <v>127</v>
      </c>
      <c r="K3550" s="46" t="s">
        <v>127</v>
      </c>
      <c r="L3550" s="46" t="s">
        <v>12</v>
      </c>
      <c r="M3550" s="46" t="s">
        <v>13</v>
      </c>
      <c r="N3550" s="46" t="s">
        <v>14</v>
      </c>
      <c r="O3550" s="49" t="s">
        <v>814</v>
      </c>
      <c r="P3550" s="49" t="s">
        <v>4910</v>
      </c>
      <c r="Q3550" s="35" t="str">
        <f>MID(Tabla1[[#This Row],[Aplicación]],14,1)</f>
        <v>2</v>
      </c>
      <c r="R3550" s="35" t="s">
        <v>495</v>
      </c>
      <c r="S3550" s="35" t="str">
        <f>MID(Tabla1[[#This Row],[Aplicación]],6,2)</f>
        <v>03</v>
      </c>
      <c r="T3550" s="35" t="str">
        <f>VLOOKUP(Tabla1[[#This Row],[AREA]],Hoja1!A:B,2,FALSE)</f>
        <v>03. Participación ciudadana y deportes</v>
      </c>
      <c r="U3550" s="35" t="str">
        <f>MID(Tabla1[[#This Row],[Aplicación]],9,4)</f>
        <v>9200</v>
      </c>
      <c r="V3550" s="35" t="str">
        <f>VLOOKUP(Tabla1[[#This Row],[PROGRAMA]],Hoja1!A:B,2,FALSE)</f>
        <v>9200. Dirección del area de participación ciudadana</v>
      </c>
      <c r="W3550" s="35" t="str">
        <f>MID(Tabla1[[#This Row],[Aplicación]],14,2)</f>
        <v>22</v>
      </c>
      <c r="X3550" s="35" t="str">
        <f>MID(Tabla1[[#This Row],[Aplicación]],14,6)</f>
        <v>22602</v>
      </c>
    </row>
    <row r="3551" spans="1:24" x14ac:dyDescent="0.25">
      <c r="A3551" s="45">
        <v>220210043872</v>
      </c>
      <c r="B3551" s="46" t="s">
        <v>9</v>
      </c>
      <c r="C3551" s="47">
        <v>44405</v>
      </c>
      <c r="D3551" s="45">
        <v>22021005818</v>
      </c>
      <c r="E3551" s="46" t="s">
        <v>1621</v>
      </c>
      <c r="F3551" s="48">
        <v>1210</v>
      </c>
      <c r="G3551" s="46" t="s">
        <v>1436</v>
      </c>
      <c r="H3551" s="46" t="s">
        <v>5124</v>
      </c>
      <c r="I3551" s="45" t="s">
        <v>125</v>
      </c>
      <c r="J3551" s="46" t="s">
        <v>127</v>
      </c>
      <c r="K3551" s="46" t="s">
        <v>127</v>
      </c>
      <c r="L3551" s="46" t="s">
        <v>12</v>
      </c>
      <c r="M3551" s="46" t="s">
        <v>10</v>
      </c>
      <c r="N3551" s="46" t="s">
        <v>11</v>
      </c>
      <c r="O3551" s="49" t="s">
        <v>815</v>
      </c>
      <c r="P3551" s="49" t="s">
        <v>4910</v>
      </c>
      <c r="Q3551" s="35" t="str">
        <f>MID(Tabla1[[#This Row],[Aplicación]],14,1)</f>
        <v>2</v>
      </c>
      <c r="R3551" s="35" t="s">
        <v>495</v>
      </c>
      <c r="S3551" s="35" t="str">
        <f>MID(Tabla1[[#This Row],[Aplicación]],6,2)</f>
        <v>01</v>
      </c>
      <c r="T3551" s="35" t="str">
        <f>VLOOKUP(Tabla1[[#This Row],[AREA]],Hoja1!A:B,2,FALSE)</f>
        <v>01. Alcaldía</v>
      </c>
      <c r="U3551" s="35" t="str">
        <f>MID(Tabla1[[#This Row],[Aplicación]],9,4)</f>
        <v>9207</v>
      </c>
      <c r="V3551" s="35" t="str">
        <f>VLOOKUP(Tabla1[[#This Row],[PROGRAMA]],Hoja1!A:B,2,FALSE)</f>
        <v>9207. Gobierno y relaciones</v>
      </c>
      <c r="W3551" s="35" t="str">
        <f>MID(Tabla1[[#This Row],[Aplicación]],14,2)</f>
        <v>22</v>
      </c>
      <c r="X3551" s="35" t="str">
        <f>MID(Tabla1[[#This Row],[Aplicación]],14,6)</f>
        <v>22602</v>
      </c>
    </row>
    <row r="3552" spans="1:24" x14ac:dyDescent="0.25">
      <c r="A3552" s="45">
        <v>220210036874</v>
      </c>
      <c r="B3552" s="46" t="s">
        <v>9</v>
      </c>
      <c r="C3552" s="47">
        <v>44390</v>
      </c>
      <c r="D3552" s="45">
        <v>22021005629</v>
      </c>
      <c r="E3552" s="46" t="s">
        <v>1267</v>
      </c>
      <c r="F3552" s="48">
        <v>1932.98</v>
      </c>
      <c r="G3552" s="46" t="s">
        <v>5125</v>
      </c>
      <c r="H3552" s="46" t="s">
        <v>5126</v>
      </c>
      <c r="I3552" s="45" t="s">
        <v>125</v>
      </c>
      <c r="J3552" s="46" t="s">
        <v>674</v>
      </c>
      <c r="K3552" s="46" t="s">
        <v>127</v>
      </c>
      <c r="L3552" s="46" t="s">
        <v>12</v>
      </c>
      <c r="M3552" s="46" t="s">
        <v>13</v>
      </c>
      <c r="N3552" s="46" t="s">
        <v>14</v>
      </c>
      <c r="O3552" s="49" t="s">
        <v>814</v>
      </c>
      <c r="P3552" s="49" t="s">
        <v>4910</v>
      </c>
      <c r="Q3552" s="35" t="str">
        <f>MID(Tabla1[[#This Row],[Aplicación]],14,1)</f>
        <v>2</v>
      </c>
      <c r="R3552" s="35" t="s">
        <v>495</v>
      </c>
      <c r="S3552" s="35" t="str">
        <f>MID(Tabla1[[#This Row],[Aplicación]],6,2)</f>
        <v>03</v>
      </c>
      <c r="T3552" s="35" t="str">
        <f>VLOOKUP(Tabla1[[#This Row],[AREA]],Hoja1!A:B,2,FALSE)</f>
        <v>03. Participación ciudadana y deportes</v>
      </c>
      <c r="U3552" s="35" t="str">
        <f>MID(Tabla1[[#This Row],[Aplicación]],9,4)</f>
        <v>9241</v>
      </c>
      <c r="V3552" s="35" t="str">
        <f>VLOOKUP(Tabla1[[#This Row],[PROGRAMA]],Hoja1!A:B,2,FALSE)</f>
        <v>9241. Participación ciudadana</v>
      </c>
      <c r="W3552" s="35" t="str">
        <f>MID(Tabla1[[#This Row],[Aplicación]],14,2)</f>
        <v>22</v>
      </c>
      <c r="X3552" s="35" t="str">
        <f>MID(Tabla1[[#This Row],[Aplicación]],14,6)</f>
        <v>22602</v>
      </c>
    </row>
    <row r="3553" spans="1:24" x14ac:dyDescent="0.25">
      <c r="A3553" s="45">
        <v>220210037295</v>
      </c>
      <c r="B3553" s="46" t="s">
        <v>9</v>
      </c>
      <c r="C3553" s="47">
        <v>44391</v>
      </c>
      <c r="D3553" s="45">
        <v>22021002836</v>
      </c>
      <c r="E3553" s="46" t="s">
        <v>1487</v>
      </c>
      <c r="F3553" s="48">
        <v>18089.5</v>
      </c>
      <c r="G3553" s="46" t="s">
        <v>3889</v>
      </c>
      <c r="H3553" s="46" t="s">
        <v>5127</v>
      </c>
      <c r="I3553" s="45" t="s">
        <v>125</v>
      </c>
      <c r="J3553" s="46" t="s">
        <v>203</v>
      </c>
      <c r="K3553" s="46" t="s">
        <v>203</v>
      </c>
      <c r="L3553" s="46" t="s">
        <v>12</v>
      </c>
      <c r="M3553" s="46" t="s">
        <v>13</v>
      </c>
      <c r="N3553" s="46" t="s">
        <v>14</v>
      </c>
      <c r="O3553" s="49" t="s">
        <v>814</v>
      </c>
      <c r="P3553" s="49" t="s">
        <v>4910</v>
      </c>
      <c r="Q3553" s="35" t="str">
        <f>MID(Tabla1[[#This Row],[Aplicación]],14,1)</f>
        <v>6</v>
      </c>
      <c r="R3553" s="35" t="s">
        <v>496</v>
      </c>
      <c r="S3553" s="35" t="str">
        <f>MID(Tabla1[[#This Row],[Aplicación]],6,2)</f>
        <v>08</v>
      </c>
      <c r="T3553" s="35" t="str">
        <f>VLOOKUP(Tabla1[[#This Row],[AREA]],Hoja1!A:B,2,FALSE)</f>
        <v>08. Movilidad y espacio urbano</v>
      </c>
      <c r="U3553" s="35" t="str">
        <f>MID(Tabla1[[#This Row],[Aplicación]],9,4)</f>
        <v>1532</v>
      </c>
      <c r="V3553" s="35" t="str">
        <f>VLOOKUP(Tabla1[[#This Row],[PROGRAMA]],Hoja1!A:B,2,FALSE)</f>
        <v>1532. Pavimentación vias públicas y otros servicios urbanísticos</v>
      </c>
      <c r="W3553" s="35" t="str">
        <f>MID(Tabla1[[#This Row],[Aplicación]],14,2)</f>
        <v>61</v>
      </c>
      <c r="X3553" s="35" t="str">
        <f>MID(Tabla1[[#This Row],[Aplicación]],14,6)</f>
        <v>619</v>
      </c>
    </row>
    <row r="3554" spans="1:24" x14ac:dyDescent="0.25">
      <c r="A3554" s="45">
        <v>220210043823</v>
      </c>
      <c r="B3554" s="46" t="s">
        <v>9</v>
      </c>
      <c r="C3554" s="47">
        <v>44404</v>
      </c>
      <c r="D3554" s="45">
        <v>22021003909</v>
      </c>
      <c r="E3554" s="46" t="s">
        <v>1542</v>
      </c>
      <c r="F3554" s="48">
        <v>2318.6</v>
      </c>
      <c r="G3554" s="46" t="s">
        <v>3889</v>
      </c>
      <c r="H3554" s="46" t="s">
        <v>5128</v>
      </c>
      <c r="I3554" s="45" t="s">
        <v>216</v>
      </c>
      <c r="J3554" s="46" t="s">
        <v>203</v>
      </c>
      <c r="K3554" s="46" t="s">
        <v>203</v>
      </c>
      <c r="L3554" s="46" t="s">
        <v>31</v>
      </c>
      <c r="M3554" s="46" t="s">
        <v>13</v>
      </c>
      <c r="N3554" s="46" t="s">
        <v>16</v>
      </c>
      <c r="O3554" s="49" t="s">
        <v>814</v>
      </c>
      <c r="P3554" s="49" t="s">
        <v>4910</v>
      </c>
      <c r="Q3554" s="35" t="str">
        <f>MID(Tabla1[[#This Row],[Aplicación]],14,1)</f>
        <v>6</v>
      </c>
      <c r="R3554" s="35" t="s">
        <v>496</v>
      </c>
      <c r="S3554" s="35" t="str">
        <f>MID(Tabla1[[#This Row],[Aplicación]],6,2)</f>
        <v>05</v>
      </c>
      <c r="T3554" s="35" t="str">
        <f>VLOOKUP(Tabla1[[#This Row],[AREA]],Hoja1!A:B,2,FALSE)</f>
        <v>05. Innovación, desarrollo económico, empleo y comercio</v>
      </c>
      <c r="U3554" s="35" t="str">
        <f>MID(Tabla1[[#This Row],[Aplicación]],9,4)</f>
        <v>4331</v>
      </c>
      <c r="V3554" s="35" t="str">
        <f>VLOOKUP(Tabla1[[#This Row],[PROGRAMA]],Hoja1!A:B,2,FALSE)</f>
        <v>4331. Desarrollo empresarial</v>
      </c>
      <c r="W3554" s="35" t="str">
        <f>MID(Tabla1[[#This Row],[Aplicación]],14,2)</f>
        <v>60</v>
      </c>
      <c r="X3554" s="35" t="str">
        <f>MID(Tabla1[[#This Row],[Aplicación]],14,6)</f>
        <v>609</v>
      </c>
    </row>
    <row r="3555" spans="1:24" x14ac:dyDescent="0.25">
      <c r="A3555" s="45">
        <v>220210036836</v>
      </c>
      <c r="B3555" s="46" t="s">
        <v>9</v>
      </c>
      <c r="C3555" s="47">
        <v>44389</v>
      </c>
      <c r="D3555" s="45">
        <v>22021005105</v>
      </c>
      <c r="E3555" s="46" t="s">
        <v>1487</v>
      </c>
      <c r="F3555" s="48">
        <v>1190.68</v>
      </c>
      <c r="G3555" s="46" t="s">
        <v>3889</v>
      </c>
      <c r="H3555" s="46" t="s">
        <v>5129</v>
      </c>
      <c r="I3555" s="45" t="s">
        <v>125</v>
      </c>
      <c r="J3555" s="46" t="s">
        <v>203</v>
      </c>
      <c r="K3555" s="46" t="s">
        <v>203</v>
      </c>
      <c r="L3555" s="46" t="s">
        <v>12</v>
      </c>
      <c r="M3555" s="46" t="s">
        <v>13</v>
      </c>
      <c r="N3555" s="46" t="s">
        <v>14</v>
      </c>
      <c r="O3555" s="49" t="s">
        <v>814</v>
      </c>
      <c r="P3555" s="49" t="s">
        <v>4910</v>
      </c>
      <c r="Q3555" s="35" t="str">
        <f>MID(Tabla1[[#This Row],[Aplicación]],14,1)</f>
        <v>6</v>
      </c>
      <c r="R3555" s="35" t="s">
        <v>496</v>
      </c>
      <c r="S3555" s="35" t="str">
        <f>MID(Tabla1[[#This Row],[Aplicación]],6,2)</f>
        <v>08</v>
      </c>
      <c r="T3555" s="35" t="str">
        <f>VLOOKUP(Tabla1[[#This Row],[AREA]],Hoja1!A:B,2,FALSE)</f>
        <v>08. Movilidad y espacio urbano</v>
      </c>
      <c r="U3555" s="35" t="str">
        <f>MID(Tabla1[[#This Row],[Aplicación]],9,4)</f>
        <v>1532</v>
      </c>
      <c r="V3555" s="35" t="str">
        <f>VLOOKUP(Tabla1[[#This Row],[PROGRAMA]],Hoja1!A:B,2,FALSE)</f>
        <v>1532. Pavimentación vias públicas y otros servicios urbanísticos</v>
      </c>
      <c r="W3555" s="35" t="str">
        <f>MID(Tabla1[[#This Row],[Aplicación]],14,2)</f>
        <v>61</v>
      </c>
      <c r="X3555" s="35" t="str">
        <f>MID(Tabla1[[#This Row],[Aplicación]],14,6)</f>
        <v>619</v>
      </c>
    </row>
    <row r="3556" spans="1:24" x14ac:dyDescent="0.25">
      <c r="A3556" s="45">
        <v>220210034109</v>
      </c>
      <c r="B3556" s="46" t="s">
        <v>204</v>
      </c>
      <c r="C3556" s="47">
        <v>44378</v>
      </c>
      <c r="D3556" s="45">
        <v>22021002412</v>
      </c>
      <c r="E3556" s="46" t="s">
        <v>1487</v>
      </c>
      <c r="F3556" s="48">
        <v>1178.56</v>
      </c>
      <c r="G3556" s="46" t="s">
        <v>3889</v>
      </c>
      <c r="H3556" s="46" t="s">
        <v>5130</v>
      </c>
      <c r="I3556" s="45" t="s">
        <v>205</v>
      </c>
      <c r="J3556" s="46" t="s">
        <v>203</v>
      </c>
      <c r="K3556" s="46" t="s">
        <v>203</v>
      </c>
      <c r="L3556" s="46" t="s">
        <v>12</v>
      </c>
      <c r="M3556" s="46" t="s">
        <v>13</v>
      </c>
      <c r="N3556" s="46" t="s">
        <v>14</v>
      </c>
      <c r="O3556" s="49" t="s">
        <v>814</v>
      </c>
      <c r="P3556" s="49" t="s">
        <v>4910</v>
      </c>
      <c r="Q3556" s="35" t="str">
        <f>MID(Tabla1[[#This Row],[Aplicación]],14,1)</f>
        <v>6</v>
      </c>
      <c r="R3556" s="35" t="s">
        <v>496</v>
      </c>
      <c r="S3556" s="35" t="str">
        <f>MID(Tabla1[[#This Row],[Aplicación]],6,2)</f>
        <v>08</v>
      </c>
      <c r="T3556" s="35" t="str">
        <f>VLOOKUP(Tabla1[[#This Row],[AREA]],Hoja1!A:B,2,FALSE)</f>
        <v>08. Movilidad y espacio urbano</v>
      </c>
      <c r="U3556" s="35" t="str">
        <f>MID(Tabla1[[#This Row],[Aplicación]],9,4)</f>
        <v>1532</v>
      </c>
      <c r="V3556" s="35" t="str">
        <f>VLOOKUP(Tabla1[[#This Row],[PROGRAMA]],Hoja1!A:B,2,FALSE)</f>
        <v>1532. Pavimentación vias públicas y otros servicios urbanísticos</v>
      </c>
      <c r="W3556" s="35" t="str">
        <f>MID(Tabla1[[#This Row],[Aplicación]],14,2)</f>
        <v>61</v>
      </c>
      <c r="X3556" s="35" t="str">
        <f>MID(Tabla1[[#This Row],[Aplicación]],14,6)</f>
        <v>619</v>
      </c>
    </row>
    <row r="3557" spans="1:24" x14ac:dyDescent="0.25">
      <c r="A3557" s="45">
        <v>220210034306</v>
      </c>
      <c r="B3557" s="46" t="s">
        <v>204</v>
      </c>
      <c r="C3557" s="47">
        <v>44378</v>
      </c>
      <c r="D3557" s="45">
        <v>22021002556</v>
      </c>
      <c r="E3557" s="46" t="s">
        <v>3334</v>
      </c>
      <c r="F3557" s="48">
        <v>720</v>
      </c>
      <c r="G3557" s="46" t="s">
        <v>3889</v>
      </c>
      <c r="H3557" s="46" t="s">
        <v>5131</v>
      </c>
      <c r="I3557" s="45" t="s">
        <v>205</v>
      </c>
      <c r="J3557" s="46" t="s">
        <v>203</v>
      </c>
      <c r="K3557" s="46" t="s">
        <v>203</v>
      </c>
      <c r="L3557" s="46" t="s">
        <v>12</v>
      </c>
      <c r="M3557" s="46" t="s">
        <v>13</v>
      </c>
      <c r="N3557" s="46" t="s">
        <v>14</v>
      </c>
      <c r="O3557" s="49" t="s">
        <v>814</v>
      </c>
      <c r="P3557" s="49" t="s">
        <v>4910</v>
      </c>
      <c r="Q3557" s="35" t="str">
        <f>MID(Tabla1[[#This Row],[Aplicación]],14,1)</f>
        <v>6</v>
      </c>
      <c r="R3557" s="35" t="s">
        <v>496</v>
      </c>
      <c r="S3557" s="35" t="str">
        <f>MID(Tabla1[[#This Row],[Aplicación]],6,2)</f>
        <v>11</v>
      </c>
      <c r="T3557" s="35" t="str">
        <f>VLOOKUP(Tabla1[[#This Row],[AREA]],Hoja1!A:B,2,FALSE)</f>
        <v>11. Salud pública y seguridad ciudadana</v>
      </c>
      <c r="U3557" s="35" t="str">
        <f>MID(Tabla1[[#This Row],[Aplicación]],9,4)</f>
        <v>3111</v>
      </c>
      <c r="V3557" s="35" t="str">
        <f>VLOOKUP(Tabla1[[#This Row],[PROGRAMA]],Hoja1!A:B,2,FALSE)</f>
        <v>3111. Protección de la salubridad pública</v>
      </c>
      <c r="W3557" s="35" t="str">
        <f>MID(Tabla1[[#This Row],[Aplicación]],14,2)</f>
        <v>63</v>
      </c>
      <c r="X3557" s="35" t="str">
        <f>MID(Tabla1[[#This Row],[Aplicación]],14,6)</f>
        <v>632</v>
      </c>
    </row>
    <row r="3558" spans="1:24" x14ac:dyDescent="0.25">
      <c r="A3558" s="45">
        <v>220210042109</v>
      </c>
      <c r="B3558" s="46" t="s">
        <v>9</v>
      </c>
      <c r="C3558" s="47">
        <v>44400</v>
      </c>
      <c r="D3558" s="45">
        <v>22021005623</v>
      </c>
      <c r="E3558" s="46" t="s">
        <v>3308</v>
      </c>
      <c r="F3558" s="48">
        <v>429.06</v>
      </c>
      <c r="G3558" s="46" t="s">
        <v>3889</v>
      </c>
      <c r="H3558" s="46" t="s">
        <v>5132</v>
      </c>
      <c r="I3558" s="45" t="s">
        <v>125</v>
      </c>
      <c r="J3558" s="46" t="s">
        <v>203</v>
      </c>
      <c r="K3558" s="46" t="s">
        <v>203</v>
      </c>
      <c r="L3558" s="46" t="s">
        <v>12</v>
      </c>
      <c r="M3558" s="46" t="s">
        <v>13</v>
      </c>
      <c r="N3558" s="46" t="s">
        <v>14</v>
      </c>
      <c r="O3558" s="49" t="s">
        <v>814</v>
      </c>
      <c r="P3558" s="49" t="s">
        <v>4910</v>
      </c>
      <c r="Q3558" s="35" t="str">
        <f>MID(Tabla1[[#This Row],[Aplicación]],14,1)</f>
        <v>6</v>
      </c>
      <c r="R3558" s="35" t="s">
        <v>496</v>
      </c>
      <c r="S3558" s="35" t="str">
        <f>MID(Tabla1[[#This Row],[Aplicación]],6,2)</f>
        <v>06</v>
      </c>
      <c r="T3558" s="35" t="str">
        <f>VLOOKUP(Tabla1[[#This Row],[AREA]],Hoja1!A:B,2,FALSE)</f>
        <v>06. Educación, infancia, juventud e igualdad</v>
      </c>
      <c r="U3558" s="35" t="str">
        <f>MID(Tabla1[[#This Row],[Aplicación]],9,4)</f>
        <v>3232</v>
      </c>
      <c r="V3558" s="35" t="str">
        <f>VLOOKUP(Tabla1[[#This Row],[PROGRAMA]],Hoja1!A:B,2,FALSE)</f>
        <v>3232. Conservación y mantenimiento centros educación infantil y primaria</v>
      </c>
      <c r="W3558" s="35" t="str">
        <f>MID(Tabla1[[#This Row],[Aplicación]],14,2)</f>
        <v>63</v>
      </c>
      <c r="X3558" s="35" t="str">
        <f>MID(Tabla1[[#This Row],[Aplicación]],14,6)</f>
        <v>632</v>
      </c>
    </row>
    <row r="3559" spans="1:24" x14ac:dyDescent="0.25">
      <c r="A3559" s="45">
        <v>220210035422</v>
      </c>
      <c r="B3559" s="46" t="s">
        <v>9</v>
      </c>
      <c r="C3559" s="47">
        <v>44379</v>
      </c>
      <c r="D3559" s="45">
        <v>22021005159</v>
      </c>
      <c r="E3559" s="46" t="s">
        <v>3308</v>
      </c>
      <c r="F3559" s="48">
        <v>367.42</v>
      </c>
      <c r="G3559" s="46" t="s">
        <v>3889</v>
      </c>
      <c r="H3559" s="46" t="s">
        <v>5133</v>
      </c>
      <c r="I3559" s="45" t="s">
        <v>125</v>
      </c>
      <c r="J3559" s="46" t="s">
        <v>203</v>
      </c>
      <c r="K3559" s="46" t="s">
        <v>203</v>
      </c>
      <c r="L3559" s="46" t="s">
        <v>12</v>
      </c>
      <c r="M3559" s="46" t="s">
        <v>13</v>
      </c>
      <c r="N3559" s="46" t="s">
        <v>14</v>
      </c>
      <c r="O3559" s="49" t="s">
        <v>814</v>
      </c>
      <c r="P3559" s="49" t="s">
        <v>4910</v>
      </c>
      <c r="Q3559" s="35" t="str">
        <f>MID(Tabla1[[#This Row],[Aplicación]],14,1)</f>
        <v>6</v>
      </c>
      <c r="R3559" s="35" t="s">
        <v>496</v>
      </c>
      <c r="S3559" s="35" t="str">
        <f>MID(Tabla1[[#This Row],[Aplicación]],6,2)</f>
        <v>06</v>
      </c>
      <c r="T3559" s="35" t="str">
        <f>VLOOKUP(Tabla1[[#This Row],[AREA]],Hoja1!A:B,2,FALSE)</f>
        <v>06. Educación, infancia, juventud e igualdad</v>
      </c>
      <c r="U3559" s="35" t="str">
        <f>MID(Tabla1[[#This Row],[Aplicación]],9,4)</f>
        <v>3232</v>
      </c>
      <c r="V3559" s="35" t="str">
        <f>VLOOKUP(Tabla1[[#This Row],[PROGRAMA]],Hoja1!A:B,2,FALSE)</f>
        <v>3232. Conservación y mantenimiento centros educación infantil y primaria</v>
      </c>
      <c r="W3559" s="35" t="str">
        <f>MID(Tabla1[[#This Row],[Aplicación]],14,2)</f>
        <v>63</v>
      </c>
      <c r="X3559" s="35" t="str">
        <f>MID(Tabla1[[#This Row],[Aplicación]],14,6)</f>
        <v>632</v>
      </c>
    </row>
    <row r="3560" spans="1:24" x14ac:dyDescent="0.25">
      <c r="A3560" s="45">
        <v>220210042107</v>
      </c>
      <c r="B3560" s="46" t="s">
        <v>9</v>
      </c>
      <c r="C3560" s="47">
        <v>44400</v>
      </c>
      <c r="D3560" s="45">
        <v>22021005620</v>
      </c>
      <c r="E3560" s="46" t="s">
        <v>3308</v>
      </c>
      <c r="F3560" s="48">
        <v>230.18</v>
      </c>
      <c r="G3560" s="46" t="s">
        <v>3889</v>
      </c>
      <c r="H3560" s="46" t="s">
        <v>5134</v>
      </c>
      <c r="I3560" s="45" t="s">
        <v>125</v>
      </c>
      <c r="J3560" s="46" t="s">
        <v>203</v>
      </c>
      <c r="K3560" s="46" t="s">
        <v>203</v>
      </c>
      <c r="L3560" s="46" t="s">
        <v>12</v>
      </c>
      <c r="M3560" s="46" t="s">
        <v>13</v>
      </c>
      <c r="N3560" s="46" t="s">
        <v>14</v>
      </c>
      <c r="O3560" s="49" t="s">
        <v>814</v>
      </c>
      <c r="P3560" s="49" t="s">
        <v>4910</v>
      </c>
      <c r="Q3560" s="35" t="str">
        <f>MID(Tabla1[[#This Row],[Aplicación]],14,1)</f>
        <v>6</v>
      </c>
      <c r="R3560" s="35" t="s">
        <v>496</v>
      </c>
      <c r="S3560" s="35" t="str">
        <f>MID(Tabla1[[#This Row],[Aplicación]],6,2)</f>
        <v>06</v>
      </c>
      <c r="T3560" s="35" t="str">
        <f>VLOOKUP(Tabla1[[#This Row],[AREA]],Hoja1!A:B,2,FALSE)</f>
        <v>06. Educación, infancia, juventud e igualdad</v>
      </c>
      <c r="U3560" s="35" t="str">
        <f>MID(Tabla1[[#This Row],[Aplicación]],9,4)</f>
        <v>3232</v>
      </c>
      <c r="V3560" s="35" t="str">
        <f>VLOOKUP(Tabla1[[#This Row],[PROGRAMA]],Hoja1!A:B,2,FALSE)</f>
        <v>3232. Conservación y mantenimiento centros educación infantil y primaria</v>
      </c>
      <c r="W3560" s="35" t="str">
        <f>MID(Tabla1[[#This Row],[Aplicación]],14,2)</f>
        <v>63</v>
      </c>
      <c r="X3560" s="35" t="str">
        <f>MID(Tabla1[[#This Row],[Aplicación]],14,6)</f>
        <v>632</v>
      </c>
    </row>
    <row r="3561" spans="1:24" x14ac:dyDescent="0.25">
      <c r="A3561" s="45">
        <v>220210043820</v>
      </c>
      <c r="B3561" s="46" t="s">
        <v>9</v>
      </c>
      <c r="C3561" s="47">
        <v>44404</v>
      </c>
      <c r="D3561" s="45">
        <v>22021005779</v>
      </c>
      <c r="E3561" s="46" t="s">
        <v>4911</v>
      </c>
      <c r="F3561" s="48">
        <v>215.79</v>
      </c>
      <c r="G3561" s="46" t="s">
        <v>3889</v>
      </c>
      <c r="H3561" s="46" t="s">
        <v>5135</v>
      </c>
      <c r="I3561" s="45" t="s">
        <v>125</v>
      </c>
      <c r="J3561" s="46" t="s">
        <v>203</v>
      </c>
      <c r="K3561" s="46" t="s">
        <v>203</v>
      </c>
      <c r="L3561" s="46" t="s">
        <v>12</v>
      </c>
      <c r="M3561" s="46" t="s">
        <v>13</v>
      </c>
      <c r="N3561" s="46" t="s">
        <v>14</v>
      </c>
      <c r="O3561" s="49" t="s">
        <v>814</v>
      </c>
      <c r="P3561" s="49" t="s">
        <v>4910</v>
      </c>
      <c r="Q3561" s="35" t="str">
        <f>MID(Tabla1[[#This Row],[Aplicación]],14,1)</f>
        <v>6</v>
      </c>
      <c r="R3561" s="35" t="s">
        <v>496</v>
      </c>
      <c r="S3561" s="35" t="str">
        <f>MID(Tabla1[[#This Row],[Aplicación]],6,2)</f>
        <v>09</v>
      </c>
      <c r="T3561" s="35" t="str">
        <f>VLOOKUP(Tabla1[[#This Row],[AREA]],Hoja1!A:B,2,FALSE)</f>
        <v>09. Cultura y turismo</v>
      </c>
      <c r="U3561" s="35" t="str">
        <f>MID(Tabla1[[#This Row],[Aplicación]],9,4)</f>
        <v>3341</v>
      </c>
      <c r="V3561" s="35" t="str">
        <f>VLOOKUP(Tabla1[[#This Row],[PROGRAMA]],Hoja1!A:B,2,FALSE)</f>
        <v>3341. Coordinación de políticas culturales</v>
      </c>
      <c r="W3561" s="35" t="str">
        <f>MID(Tabla1[[#This Row],[Aplicación]],14,2)</f>
        <v>63</v>
      </c>
      <c r="X3561" s="35" t="str">
        <f>MID(Tabla1[[#This Row],[Aplicación]],14,6)</f>
        <v>632</v>
      </c>
    </row>
    <row r="3562" spans="1:24" x14ac:dyDescent="0.25">
      <c r="A3562" s="45">
        <v>220210043875</v>
      </c>
      <c r="B3562" s="46" t="s">
        <v>9</v>
      </c>
      <c r="C3562" s="47">
        <v>44405</v>
      </c>
      <c r="D3562" s="45">
        <v>22021005787</v>
      </c>
      <c r="E3562" s="46" t="s">
        <v>3310</v>
      </c>
      <c r="F3562" s="48">
        <v>140.66</v>
      </c>
      <c r="G3562" s="46" t="s">
        <v>3889</v>
      </c>
      <c r="H3562" s="46" t="s">
        <v>5136</v>
      </c>
      <c r="I3562" s="45" t="s">
        <v>125</v>
      </c>
      <c r="J3562" s="46" t="s">
        <v>203</v>
      </c>
      <c r="K3562" s="46" t="s">
        <v>203</v>
      </c>
      <c r="L3562" s="46" t="s">
        <v>12</v>
      </c>
      <c r="M3562" s="46" t="s">
        <v>13</v>
      </c>
      <c r="N3562" s="46" t="s">
        <v>14</v>
      </c>
      <c r="O3562" s="49" t="s">
        <v>814</v>
      </c>
      <c r="P3562" s="49" t="s">
        <v>4910</v>
      </c>
      <c r="Q3562" s="35" t="str">
        <f>MID(Tabla1[[#This Row],[Aplicación]],14,1)</f>
        <v>6</v>
      </c>
      <c r="R3562" s="35" t="s">
        <v>496</v>
      </c>
      <c r="S3562" s="35" t="str">
        <f>MID(Tabla1[[#This Row],[Aplicación]],6,2)</f>
        <v>06</v>
      </c>
      <c r="T3562" s="35" t="str">
        <f>VLOOKUP(Tabla1[[#This Row],[AREA]],Hoja1!A:B,2,FALSE)</f>
        <v>06. Educación, infancia, juventud e igualdad</v>
      </c>
      <c r="U3562" s="35" t="str">
        <f>MID(Tabla1[[#This Row],[Aplicación]],9,4)</f>
        <v>3231</v>
      </c>
      <c r="V3562" s="35" t="str">
        <f>VLOOKUP(Tabla1[[#This Row],[PROGRAMA]],Hoja1!A:B,2,FALSE)</f>
        <v>3231. Escuelas infantiles</v>
      </c>
      <c r="W3562" s="35" t="str">
        <f>MID(Tabla1[[#This Row],[Aplicación]],14,2)</f>
        <v>63</v>
      </c>
      <c r="X3562" s="35" t="str">
        <f>MID(Tabla1[[#This Row],[Aplicación]],14,6)</f>
        <v>632</v>
      </c>
    </row>
    <row r="3563" spans="1:24" x14ac:dyDescent="0.25">
      <c r="A3563" s="45">
        <v>220210054482</v>
      </c>
      <c r="B3563" s="46" t="s">
        <v>9</v>
      </c>
      <c r="C3563" s="47">
        <v>44453</v>
      </c>
      <c r="D3563" s="45">
        <v>22021006299</v>
      </c>
      <c r="E3563" s="46" t="s">
        <v>4923</v>
      </c>
      <c r="F3563" s="48">
        <v>1239.5</v>
      </c>
      <c r="G3563" s="46" t="s">
        <v>3889</v>
      </c>
      <c r="H3563" s="46" t="s">
        <v>5137</v>
      </c>
      <c r="I3563" s="45" t="s">
        <v>125</v>
      </c>
      <c r="J3563" s="46" t="s">
        <v>203</v>
      </c>
      <c r="K3563" s="46" t="s">
        <v>203</v>
      </c>
      <c r="L3563" s="46" t="s">
        <v>12</v>
      </c>
      <c r="M3563" s="46" t="s">
        <v>13</v>
      </c>
      <c r="N3563" s="46" t="s">
        <v>14</v>
      </c>
      <c r="O3563" s="49" t="s">
        <v>814</v>
      </c>
      <c r="P3563" s="49" t="s">
        <v>4910</v>
      </c>
      <c r="Q3563" s="35" t="str">
        <f>MID(Tabla1[[#This Row],[Aplicación]],14,1)</f>
        <v>6</v>
      </c>
      <c r="R3563" s="35" t="s">
        <v>496</v>
      </c>
      <c r="S3563" s="35" t="str">
        <f>MID(Tabla1[[#This Row],[Aplicación]],6,2)</f>
        <v>06</v>
      </c>
      <c r="T3563" s="35" t="str">
        <f>VLOOKUP(Tabla1[[#This Row],[AREA]],Hoja1!A:B,2,FALSE)</f>
        <v>06. Educación, infancia, juventud e igualdad</v>
      </c>
      <c r="U3563" s="35" t="str">
        <f>MID(Tabla1[[#This Row],[Aplicación]],9,4)</f>
        <v>3231</v>
      </c>
      <c r="V3563" s="35" t="str">
        <f>VLOOKUP(Tabla1[[#This Row],[PROGRAMA]],Hoja1!A:B,2,FALSE)</f>
        <v>3231. Escuelas infantiles</v>
      </c>
      <c r="W3563" s="35" t="str">
        <f>MID(Tabla1[[#This Row],[Aplicación]],14,2)</f>
        <v>62</v>
      </c>
      <c r="X3563" s="35" t="str">
        <f>MID(Tabla1[[#This Row],[Aplicación]],14,6)</f>
        <v>622</v>
      </c>
    </row>
    <row r="3564" spans="1:24" x14ac:dyDescent="0.25">
      <c r="A3564" s="45">
        <v>220210056295</v>
      </c>
      <c r="B3564" s="46" t="s">
        <v>9</v>
      </c>
      <c r="C3564" s="47">
        <v>44454</v>
      </c>
      <c r="D3564" s="45">
        <v>22021006392</v>
      </c>
      <c r="E3564" s="46" t="s">
        <v>5034</v>
      </c>
      <c r="F3564" s="48">
        <v>592.34</v>
      </c>
      <c r="G3564" s="46" t="s">
        <v>3889</v>
      </c>
      <c r="H3564" s="46" t="s">
        <v>5035</v>
      </c>
      <c r="I3564" s="45" t="s">
        <v>125</v>
      </c>
      <c r="J3564" s="46" t="s">
        <v>203</v>
      </c>
      <c r="K3564" s="46" t="s">
        <v>203</v>
      </c>
      <c r="L3564" s="46" t="s">
        <v>31</v>
      </c>
      <c r="M3564" s="46" t="s">
        <v>13</v>
      </c>
      <c r="N3564" s="46" t="s">
        <v>14</v>
      </c>
      <c r="O3564" s="49" t="s">
        <v>814</v>
      </c>
      <c r="P3564" s="49" t="s">
        <v>4910</v>
      </c>
      <c r="Q3564" s="35" t="str">
        <f>MID(Tabla1[[#This Row],[Aplicación]],14,1)</f>
        <v>6</v>
      </c>
      <c r="R3564" s="35" t="s">
        <v>496</v>
      </c>
      <c r="S3564" s="35" t="str">
        <f>MID(Tabla1[[#This Row],[Aplicación]],6,2)</f>
        <v>05</v>
      </c>
      <c r="T3564" s="35" t="str">
        <f>VLOOKUP(Tabla1[[#This Row],[AREA]],Hoja1!A:B,2,FALSE)</f>
        <v>05. Innovación, desarrollo económico, empleo y comercio</v>
      </c>
      <c r="U3564" s="35" t="str">
        <f>MID(Tabla1[[#This Row],[Aplicación]],9,4)</f>
        <v>4331</v>
      </c>
      <c r="V3564" s="35" t="str">
        <f>VLOOKUP(Tabla1[[#This Row],[PROGRAMA]],Hoja1!A:B,2,FALSE)</f>
        <v>4331. Desarrollo empresarial</v>
      </c>
      <c r="W3564" s="35" t="str">
        <f>MID(Tabla1[[#This Row],[Aplicación]],14,2)</f>
        <v>62</v>
      </c>
      <c r="X3564" s="35" t="str">
        <f>MID(Tabla1[[#This Row],[Aplicación]],14,6)</f>
        <v>622</v>
      </c>
    </row>
    <row r="3565" spans="1:24" x14ac:dyDescent="0.25">
      <c r="A3565" s="45">
        <v>220210050352</v>
      </c>
      <c r="B3565" s="46" t="s">
        <v>9</v>
      </c>
      <c r="C3565" s="47">
        <v>44438</v>
      </c>
      <c r="D3565" s="45">
        <v>22021006119</v>
      </c>
      <c r="E3565" s="46" t="s">
        <v>3310</v>
      </c>
      <c r="F3565" s="48">
        <v>197.1</v>
      </c>
      <c r="G3565" s="46" t="s">
        <v>3889</v>
      </c>
      <c r="H3565" s="46" t="s">
        <v>5138</v>
      </c>
      <c r="I3565" s="45" t="s">
        <v>125</v>
      </c>
      <c r="J3565" s="46" t="s">
        <v>203</v>
      </c>
      <c r="K3565" s="46" t="s">
        <v>203</v>
      </c>
      <c r="L3565" s="46" t="s">
        <v>12</v>
      </c>
      <c r="M3565" s="46" t="s">
        <v>13</v>
      </c>
      <c r="N3565" s="46" t="s">
        <v>14</v>
      </c>
      <c r="O3565" s="49" t="s">
        <v>814</v>
      </c>
      <c r="P3565" s="49" t="s">
        <v>4910</v>
      </c>
      <c r="Q3565" s="35" t="str">
        <f>MID(Tabla1[[#This Row],[Aplicación]],14,1)</f>
        <v>6</v>
      </c>
      <c r="R3565" s="35" t="s">
        <v>496</v>
      </c>
      <c r="S3565" s="35" t="str">
        <f>MID(Tabla1[[#This Row],[Aplicación]],6,2)</f>
        <v>06</v>
      </c>
      <c r="T3565" s="35" t="str">
        <f>VLOOKUP(Tabla1[[#This Row],[AREA]],Hoja1!A:B,2,FALSE)</f>
        <v>06. Educación, infancia, juventud e igualdad</v>
      </c>
      <c r="U3565" s="35" t="str">
        <f>MID(Tabla1[[#This Row],[Aplicación]],9,4)</f>
        <v>3231</v>
      </c>
      <c r="V3565" s="35" t="str">
        <f>VLOOKUP(Tabla1[[#This Row],[PROGRAMA]],Hoja1!A:B,2,FALSE)</f>
        <v>3231. Escuelas infantiles</v>
      </c>
      <c r="W3565" s="35" t="str">
        <f>MID(Tabla1[[#This Row],[Aplicación]],14,2)</f>
        <v>63</v>
      </c>
      <c r="X3565" s="35" t="str">
        <f>MID(Tabla1[[#This Row],[Aplicación]],14,6)</f>
        <v>632</v>
      </c>
    </row>
    <row r="3566" spans="1:24" x14ac:dyDescent="0.25">
      <c r="A3566" s="45">
        <v>220210056284</v>
      </c>
      <c r="B3566" s="46" t="s">
        <v>9</v>
      </c>
      <c r="C3566" s="47">
        <v>44454</v>
      </c>
      <c r="D3566" s="45">
        <v>22021005771</v>
      </c>
      <c r="E3566" s="46" t="s">
        <v>4917</v>
      </c>
      <c r="F3566" s="48">
        <v>128.37</v>
      </c>
      <c r="G3566" s="46" t="s">
        <v>3889</v>
      </c>
      <c r="H3566" s="46" t="s">
        <v>5139</v>
      </c>
      <c r="I3566" s="45" t="s">
        <v>216</v>
      </c>
      <c r="J3566" s="46" t="s">
        <v>203</v>
      </c>
      <c r="K3566" s="46" t="s">
        <v>203</v>
      </c>
      <c r="L3566" s="46" t="s">
        <v>12</v>
      </c>
      <c r="M3566" s="46" t="s">
        <v>13</v>
      </c>
      <c r="N3566" s="46" t="s">
        <v>14</v>
      </c>
      <c r="O3566" s="49" t="s">
        <v>814</v>
      </c>
      <c r="P3566" s="49" t="s">
        <v>4910</v>
      </c>
      <c r="Q3566" s="35" t="str">
        <f>MID(Tabla1[[#This Row],[Aplicación]],14,1)</f>
        <v>6</v>
      </c>
      <c r="R3566" s="35" t="s">
        <v>496</v>
      </c>
      <c r="S3566" s="35" t="str">
        <f>MID(Tabla1[[#This Row],[Aplicación]],6,2)</f>
        <v>11</v>
      </c>
      <c r="T3566" s="35" t="str">
        <f>VLOOKUP(Tabla1[[#This Row],[AREA]],Hoja1!A:B,2,FALSE)</f>
        <v>11. Salud pública y seguridad ciudadana</v>
      </c>
      <c r="U3566" s="35" t="str">
        <f>MID(Tabla1[[#This Row],[Aplicación]],9,4)</f>
        <v>1631</v>
      </c>
      <c r="V3566" s="35" t="str">
        <f>VLOOKUP(Tabla1[[#This Row],[PROGRAMA]],Hoja1!A:B,2,FALSE)</f>
        <v>1631. Limpieza viaria</v>
      </c>
      <c r="W3566" s="35" t="str">
        <f>MID(Tabla1[[#This Row],[Aplicación]],14,2)</f>
        <v>63</v>
      </c>
      <c r="X3566" s="35" t="str">
        <f>MID(Tabla1[[#This Row],[Aplicación]],14,6)</f>
        <v>632</v>
      </c>
    </row>
    <row r="3567" spans="1:24" x14ac:dyDescent="0.25">
      <c r="A3567" s="45">
        <v>220210056289</v>
      </c>
      <c r="B3567" s="46" t="s">
        <v>9</v>
      </c>
      <c r="C3567" s="47">
        <v>44454</v>
      </c>
      <c r="D3567" s="45">
        <v>22021005812</v>
      </c>
      <c r="E3567" s="46" t="s">
        <v>2668</v>
      </c>
      <c r="F3567" s="48">
        <v>104.03</v>
      </c>
      <c r="G3567" s="46" t="s">
        <v>3889</v>
      </c>
      <c r="H3567" s="46" t="s">
        <v>5140</v>
      </c>
      <c r="I3567" s="45" t="s">
        <v>216</v>
      </c>
      <c r="J3567" s="46" t="s">
        <v>203</v>
      </c>
      <c r="K3567" s="46" t="s">
        <v>203</v>
      </c>
      <c r="L3567" s="46" t="s">
        <v>31</v>
      </c>
      <c r="M3567" s="46" t="s">
        <v>13</v>
      </c>
      <c r="N3567" s="46" t="s">
        <v>14</v>
      </c>
      <c r="O3567" s="49" t="s">
        <v>814</v>
      </c>
      <c r="P3567" s="49" t="s">
        <v>4910</v>
      </c>
      <c r="Q3567" s="35" t="str">
        <f>MID(Tabla1[[#This Row],[Aplicación]],14,1)</f>
        <v>6</v>
      </c>
      <c r="R3567" s="35" t="s">
        <v>496</v>
      </c>
      <c r="S3567" s="35" t="str">
        <f>MID(Tabla1[[#This Row],[Aplicación]],6,2)</f>
        <v>10</v>
      </c>
      <c r="T3567" s="35" t="str">
        <f>VLOOKUP(Tabla1[[#This Row],[AREA]],Hoja1!A:B,2,FALSE)</f>
        <v>10. Servicios sociales y mediación comunitaria</v>
      </c>
      <c r="U3567" s="35" t="str">
        <f>MID(Tabla1[[#This Row],[Aplicación]],9,4)</f>
        <v>2311</v>
      </c>
      <c r="V3567" s="35" t="str">
        <f>VLOOKUP(Tabla1[[#This Row],[PROGRAMA]],Hoja1!A:B,2,FALSE)</f>
        <v>2311. Intervención social</v>
      </c>
      <c r="W3567" s="35" t="str">
        <f>MID(Tabla1[[#This Row],[Aplicación]],14,2)</f>
        <v>63</v>
      </c>
      <c r="X3567" s="35" t="str">
        <f>MID(Tabla1[[#This Row],[Aplicación]],14,6)</f>
        <v>632</v>
      </c>
    </row>
    <row r="3568" spans="1:24" x14ac:dyDescent="0.25">
      <c r="A3568" s="45">
        <v>220210046277</v>
      </c>
      <c r="B3568" s="46" t="s">
        <v>9</v>
      </c>
      <c r="C3568" s="47">
        <v>44419</v>
      </c>
      <c r="D3568" s="45">
        <v>22021005028</v>
      </c>
      <c r="E3568" s="46" t="s">
        <v>827</v>
      </c>
      <c r="F3568" s="48">
        <v>11070.31</v>
      </c>
      <c r="G3568" s="46" t="s">
        <v>196</v>
      </c>
      <c r="H3568" s="46" t="s">
        <v>5141</v>
      </c>
      <c r="I3568" s="45" t="s">
        <v>125</v>
      </c>
      <c r="J3568" s="46" t="s">
        <v>197</v>
      </c>
      <c r="K3568" s="46" t="s">
        <v>197</v>
      </c>
      <c r="L3568" s="46" t="s">
        <v>12</v>
      </c>
      <c r="M3568" s="46" t="s">
        <v>13</v>
      </c>
      <c r="N3568" s="46" t="s">
        <v>14</v>
      </c>
      <c r="O3568" s="49" t="s">
        <v>803</v>
      </c>
      <c r="P3568" s="49" t="s">
        <v>4910</v>
      </c>
      <c r="Q3568" s="35" t="str">
        <f>MID(Tabla1[[#This Row],[Aplicación]],14,1)</f>
        <v>2</v>
      </c>
      <c r="R3568" s="35" t="s">
        <v>495</v>
      </c>
      <c r="S3568" s="35" t="str">
        <f>MID(Tabla1[[#This Row],[Aplicación]],6,2)</f>
        <v>04</v>
      </c>
      <c r="T3568" s="35" t="str">
        <f>VLOOKUP(Tabla1[[#This Row],[AREA]],Hoja1!A:B,2,FALSE)</f>
        <v>04. Planificación y recursos</v>
      </c>
      <c r="U3568" s="35" t="str">
        <f>MID(Tabla1[[#This Row],[Aplicación]],9,4)</f>
        <v>9204</v>
      </c>
      <c r="V3568" s="35" t="str">
        <f>VLOOKUP(Tabla1[[#This Row],[PROGRAMA]],Hoja1!A:B,2,FALSE)</f>
        <v>9204. Tecnologías de la información y comunicación</v>
      </c>
      <c r="W3568" s="35" t="str">
        <f>MID(Tabla1[[#This Row],[Aplicación]],14,2)</f>
        <v>21</v>
      </c>
      <c r="X3568" s="35" t="str">
        <f>MID(Tabla1[[#This Row],[Aplicación]],14,6)</f>
        <v>216</v>
      </c>
    </row>
    <row r="3569" spans="1:24" x14ac:dyDescent="0.25">
      <c r="A3569" s="45">
        <v>220210040131</v>
      </c>
      <c r="B3569" s="46" t="s">
        <v>204</v>
      </c>
      <c r="C3569" s="47">
        <v>44396</v>
      </c>
      <c r="D3569" s="45">
        <v>22021001275</v>
      </c>
      <c r="E3569" s="46" t="s">
        <v>1334</v>
      </c>
      <c r="F3569" s="48">
        <v>169.43</v>
      </c>
      <c r="G3569" s="46" t="s">
        <v>1407</v>
      </c>
      <c r="H3569" s="46" t="s">
        <v>5142</v>
      </c>
      <c r="I3569" s="45" t="s">
        <v>205</v>
      </c>
      <c r="J3569" s="46" t="s">
        <v>127</v>
      </c>
      <c r="K3569" s="46" t="s">
        <v>127</v>
      </c>
      <c r="L3569" s="46" t="s">
        <v>15</v>
      </c>
      <c r="M3569" s="46" t="s">
        <v>13</v>
      </c>
      <c r="N3569" s="46" t="s">
        <v>14</v>
      </c>
      <c r="O3569" s="49" t="s">
        <v>814</v>
      </c>
      <c r="P3569" s="49" t="s">
        <v>4910</v>
      </c>
      <c r="Q3569" s="35" t="str">
        <f>MID(Tabla1[[#This Row],[Aplicación]],14,1)</f>
        <v>2</v>
      </c>
      <c r="R3569" s="35" t="s">
        <v>495</v>
      </c>
      <c r="S3569" s="35" t="str">
        <f>MID(Tabla1[[#This Row],[Aplicación]],6,2)</f>
        <v>07</v>
      </c>
      <c r="T3569" s="35" t="str">
        <f>VLOOKUP(Tabla1[[#This Row],[AREA]],Hoja1!A:B,2,FALSE)</f>
        <v>07. Medio ambiente y desarrollo sostenible</v>
      </c>
      <c r="U3569" s="35" t="str">
        <f>MID(Tabla1[[#This Row],[Aplicación]],9,4)</f>
        <v>1711</v>
      </c>
      <c r="V3569" s="35" t="str">
        <f>VLOOKUP(Tabla1[[#This Row],[PROGRAMA]],Hoja1!A:B,2,FALSE)</f>
        <v>1711. Parques y jardines</v>
      </c>
      <c r="W3569" s="35" t="str">
        <f>MID(Tabla1[[#This Row],[Aplicación]],14,2)</f>
        <v>22</v>
      </c>
      <c r="X3569" s="35" t="str">
        <f>MID(Tabla1[[#This Row],[Aplicación]],14,6)</f>
        <v>22199</v>
      </c>
    </row>
    <row r="3570" spans="1:24" x14ac:dyDescent="0.25">
      <c r="A3570" s="45">
        <v>220210040951</v>
      </c>
      <c r="B3570" s="46" t="s">
        <v>204</v>
      </c>
      <c r="C3570" s="47">
        <v>44397</v>
      </c>
      <c r="D3570" s="45">
        <v>22021001275</v>
      </c>
      <c r="E3570" s="46" t="s">
        <v>1334</v>
      </c>
      <c r="F3570" s="48">
        <v>24</v>
      </c>
      <c r="G3570" s="46" t="s">
        <v>1407</v>
      </c>
      <c r="H3570" s="46" t="s">
        <v>5143</v>
      </c>
      <c r="I3570" s="45" t="s">
        <v>205</v>
      </c>
      <c r="J3570" s="46" t="s">
        <v>127</v>
      </c>
      <c r="K3570" s="46" t="s">
        <v>127</v>
      </c>
      <c r="L3570" s="46" t="s">
        <v>15</v>
      </c>
      <c r="M3570" s="46" t="s">
        <v>13</v>
      </c>
      <c r="N3570" s="46" t="s">
        <v>14</v>
      </c>
      <c r="O3570" s="49" t="s">
        <v>814</v>
      </c>
      <c r="P3570" s="49" t="s">
        <v>4910</v>
      </c>
      <c r="Q3570" s="35" t="str">
        <f>MID(Tabla1[[#This Row],[Aplicación]],14,1)</f>
        <v>2</v>
      </c>
      <c r="R3570" s="35" t="s">
        <v>495</v>
      </c>
      <c r="S3570" s="35" t="str">
        <f>MID(Tabla1[[#This Row],[Aplicación]],6,2)</f>
        <v>07</v>
      </c>
      <c r="T3570" s="35" t="str">
        <f>VLOOKUP(Tabla1[[#This Row],[AREA]],Hoja1!A:B,2,FALSE)</f>
        <v>07. Medio ambiente y desarrollo sostenible</v>
      </c>
      <c r="U3570" s="35" t="str">
        <f>MID(Tabla1[[#This Row],[Aplicación]],9,4)</f>
        <v>1711</v>
      </c>
      <c r="V3570" s="35" t="str">
        <f>VLOOKUP(Tabla1[[#This Row],[PROGRAMA]],Hoja1!A:B,2,FALSE)</f>
        <v>1711. Parques y jardines</v>
      </c>
      <c r="W3570" s="35" t="str">
        <f>MID(Tabla1[[#This Row],[Aplicación]],14,2)</f>
        <v>22</v>
      </c>
      <c r="X3570" s="35" t="str">
        <f>MID(Tabla1[[#This Row],[Aplicación]],14,6)</f>
        <v>22199</v>
      </c>
    </row>
    <row r="3571" spans="1:24" x14ac:dyDescent="0.25">
      <c r="A3571" s="45">
        <v>220210045411</v>
      </c>
      <c r="B3571" s="46" t="s">
        <v>204</v>
      </c>
      <c r="C3571" s="47">
        <v>44413</v>
      </c>
      <c r="D3571" s="45">
        <v>22021004322</v>
      </c>
      <c r="E3571" s="46" t="s">
        <v>1724</v>
      </c>
      <c r="F3571" s="48">
        <v>402.6</v>
      </c>
      <c r="G3571" s="46" t="s">
        <v>1407</v>
      </c>
      <c r="H3571" s="46" t="s">
        <v>3268</v>
      </c>
      <c r="I3571" s="45" t="s">
        <v>205</v>
      </c>
      <c r="J3571" s="46" t="s">
        <v>127</v>
      </c>
      <c r="K3571" s="46" t="s">
        <v>127</v>
      </c>
      <c r="L3571" s="46" t="s">
        <v>15</v>
      </c>
      <c r="M3571" s="46" t="s">
        <v>13</v>
      </c>
      <c r="N3571" s="46" t="s">
        <v>14</v>
      </c>
      <c r="O3571" s="49" t="s">
        <v>814</v>
      </c>
      <c r="P3571" s="49" t="s">
        <v>4910</v>
      </c>
      <c r="Q3571" s="35" t="str">
        <f>MID(Tabla1[[#This Row],[Aplicación]],14,1)</f>
        <v>6</v>
      </c>
      <c r="R3571" s="35" t="s">
        <v>496</v>
      </c>
      <c r="S3571" s="35" t="str">
        <f>MID(Tabla1[[#This Row],[Aplicación]],6,2)</f>
        <v>07</v>
      </c>
      <c r="T3571" s="35" t="str">
        <f>VLOOKUP(Tabla1[[#This Row],[AREA]],Hoja1!A:B,2,FALSE)</f>
        <v>07. Medio ambiente y desarrollo sostenible</v>
      </c>
      <c r="U3571" s="35" t="str">
        <f>MID(Tabla1[[#This Row],[Aplicación]],9,4)</f>
        <v>1711</v>
      </c>
      <c r="V3571" s="35" t="str">
        <f>VLOOKUP(Tabla1[[#This Row],[PROGRAMA]],Hoja1!A:B,2,FALSE)</f>
        <v>1711. Parques y jardines</v>
      </c>
      <c r="W3571" s="35" t="str">
        <f>MID(Tabla1[[#This Row],[Aplicación]],14,2)</f>
        <v>61</v>
      </c>
      <c r="X3571" s="35" t="str">
        <f>MID(Tabla1[[#This Row],[Aplicación]],14,6)</f>
        <v>619</v>
      </c>
    </row>
    <row r="3572" spans="1:24" x14ac:dyDescent="0.25">
      <c r="A3572" s="45">
        <v>220210045355</v>
      </c>
      <c r="B3572" s="46" t="s">
        <v>9</v>
      </c>
      <c r="C3572" s="47">
        <v>44412</v>
      </c>
      <c r="D3572" s="45">
        <v>22021005931</v>
      </c>
      <c r="E3572" s="46" t="s">
        <v>5144</v>
      </c>
      <c r="F3572" s="48">
        <v>6594.5</v>
      </c>
      <c r="G3572" s="46" t="s">
        <v>5145</v>
      </c>
      <c r="H3572" s="46" t="s">
        <v>5146</v>
      </c>
      <c r="I3572" s="45" t="s">
        <v>125</v>
      </c>
      <c r="J3572" s="46" t="s">
        <v>127</v>
      </c>
      <c r="K3572" s="46" t="s">
        <v>127</v>
      </c>
      <c r="L3572" s="46" t="s">
        <v>12</v>
      </c>
      <c r="M3572" s="46" t="s">
        <v>10</v>
      </c>
      <c r="N3572" s="46" t="s">
        <v>11</v>
      </c>
      <c r="O3572" s="49" t="s">
        <v>815</v>
      </c>
      <c r="P3572" s="49" t="s">
        <v>4910</v>
      </c>
      <c r="Q3572" s="35" t="str">
        <f>MID(Tabla1[[#This Row],[Aplicación]],14,1)</f>
        <v>6</v>
      </c>
      <c r="R3572" s="35" t="s">
        <v>496</v>
      </c>
      <c r="S3572" s="35" t="str">
        <f>MID(Tabla1[[#This Row],[Aplicación]],6,2)</f>
        <v>06</v>
      </c>
      <c r="T3572" s="35" t="str">
        <f>VLOOKUP(Tabla1[[#This Row],[AREA]],Hoja1!A:B,2,FALSE)</f>
        <v>06. Educación, infancia, juventud e igualdad</v>
      </c>
      <c r="U3572" s="35" t="str">
        <f>MID(Tabla1[[#This Row],[Aplicación]],9,4)</f>
        <v>2314</v>
      </c>
      <c r="V3572" s="35" t="str">
        <f>VLOOKUP(Tabla1[[#This Row],[PROGRAMA]],Hoja1!A:B,2,FALSE)</f>
        <v>2314. Centro de programas juveniles</v>
      </c>
      <c r="W3572" s="35" t="str">
        <f>MID(Tabla1[[#This Row],[Aplicación]],14,2)</f>
        <v>62</v>
      </c>
      <c r="X3572" s="35" t="str">
        <f>MID(Tabla1[[#This Row],[Aplicación]],14,6)</f>
        <v>623</v>
      </c>
    </row>
    <row r="3573" spans="1:24" x14ac:dyDescent="0.25">
      <c r="A3573" s="45">
        <v>220210044014</v>
      </c>
      <c r="B3573" s="46" t="s">
        <v>204</v>
      </c>
      <c r="C3573" s="47">
        <v>44405</v>
      </c>
      <c r="D3573" s="45">
        <v>22021001275</v>
      </c>
      <c r="E3573" s="46" t="s">
        <v>1334</v>
      </c>
      <c r="F3573" s="48">
        <v>61.14</v>
      </c>
      <c r="G3573" s="46" t="s">
        <v>1475</v>
      </c>
      <c r="H3573" s="46" t="s">
        <v>3150</v>
      </c>
      <c r="I3573" s="45" t="s">
        <v>205</v>
      </c>
      <c r="J3573" s="46" t="s">
        <v>127</v>
      </c>
      <c r="K3573" s="46" t="s">
        <v>127</v>
      </c>
      <c r="L3573" s="46" t="s">
        <v>15</v>
      </c>
      <c r="M3573" s="46" t="s">
        <v>13</v>
      </c>
      <c r="N3573" s="46" t="s">
        <v>14</v>
      </c>
      <c r="O3573" s="49" t="s">
        <v>814</v>
      </c>
      <c r="P3573" s="49" t="s">
        <v>4910</v>
      </c>
      <c r="Q3573" s="35" t="str">
        <f>MID(Tabla1[[#This Row],[Aplicación]],14,1)</f>
        <v>2</v>
      </c>
      <c r="R3573" s="35" t="s">
        <v>495</v>
      </c>
      <c r="S3573" s="35" t="str">
        <f>MID(Tabla1[[#This Row],[Aplicación]],6,2)</f>
        <v>07</v>
      </c>
      <c r="T3573" s="35" t="str">
        <f>VLOOKUP(Tabla1[[#This Row],[AREA]],Hoja1!A:B,2,FALSE)</f>
        <v>07. Medio ambiente y desarrollo sostenible</v>
      </c>
      <c r="U3573" s="35" t="str">
        <f>MID(Tabla1[[#This Row],[Aplicación]],9,4)</f>
        <v>1711</v>
      </c>
      <c r="V3573" s="35" t="str">
        <f>VLOOKUP(Tabla1[[#This Row],[PROGRAMA]],Hoja1!A:B,2,FALSE)</f>
        <v>1711. Parques y jardines</v>
      </c>
      <c r="W3573" s="35" t="str">
        <f>MID(Tabla1[[#This Row],[Aplicación]],14,2)</f>
        <v>22</v>
      </c>
      <c r="X3573" s="35" t="str">
        <f>MID(Tabla1[[#This Row],[Aplicación]],14,6)</f>
        <v>22199</v>
      </c>
    </row>
    <row r="3574" spans="1:24" x14ac:dyDescent="0.25">
      <c r="A3574" s="45">
        <v>220210040201</v>
      </c>
      <c r="B3574" s="46" t="s">
        <v>204</v>
      </c>
      <c r="C3574" s="47">
        <v>44396</v>
      </c>
      <c r="D3574" s="45">
        <v>22021001968</v>
      </c>
      <c r="E3574" s="46" t="s">
        <v>1388</v>
      </c>
      <c r="F3574" s="48">
        <v>40.79</v>
      </c>
      <c r="G3574" s="46" t="s">
        <v>1475</v>
      </c>
      <c r="H3574" s="46" t="s">
        <v>5147</v>
      </c>
      <c r="I3574" s="45" t="s">
        <v>205</v>
      </c>
      <c r="J3574" s="46" t="s">
        <v>127</v>
      </c>
      <c r="K3574" s="46" t="s">
        <v>127</v>
      </c>
      <c r="L3574" s="46" t="s">
        <v>15</v>
      </c>
      <c r="M3574" s="46" t="s">
        <v>13</v>
      </c>
      <c r="N3574" s="46" t="s">
        <v>14</v>
      </c>
      <c r="O3574" s="49" t="s">
        <v>814</v>
      </c>
      <c r="P3574" s="49" t="s">
        <v>4910</v>
      </c>
      <c r="Q3574" s="35" t="str">
        <f>MID(Tabla1[[#This Row],[Aplicación]],14,1)</f>
        <v>2</v>
      </c>
      <c r="R3574" s="35" t="s">
        <v>495</v>
      </c>
      <c r="S3574" s="35" t="str">
        <f>MID(Tabla1[[#This Row],[Aplicación]],6,2)</f>
        <v>11</v>
      </c>
      <c r="T3574" s="35" t="str">
        <f>VLOOKUP(Tabla1[[#This Row],[AREA]],Hoja1!A:B,2,FALSE)</f>
        <v>11. Salud pública y seguridad ciudadana</v>
      </c>
      <c r="U3574" s="35" t="str">
        <f>MID(Tabla1[[#This Row],[Aplicación]],9,4)</f>
        <v>1321</v>
      </c>
      <c r="V3574" s="35" t="str">
        <f>VLOOKUP(Tabla1[[#This Row],[PROGRAMA]],Hoja1!A:B,2,FALSE)</f>
        <v>1321. Policía municipal</v>
      </c>
      <c r="W3574" s="35" t="str">
        <f>MID(Tabla1[[#This Row],[Aplicación]],14,2)</f>
        <v>22</v>
      </c>
      <c r="X3574" s="35" t="str">
        <f>MID(Tabla1[[#This Row],[Aplicación]],14,6)</f>
        <v>22199</v>
      </c>
    </row>
    <row r="3575" spans="1:24" x14ac:dyDescent="0.25">
      <c r="A3575" s="45">
        <v>220210046008</v>
      </c>
      <c r="B3575" s="46" t="s">
        <v>204</v>
      </c>
      <c r="C3575" s="47">
        <v>44418</v>
      </c>
      <c r="D3575" s="45">
        <v>22021002228</v>
      </c>
      <c r="E3575" s="46" t="s">
        <v>1471</v>
      </c>
      <c r="F3575" s="48">
        <v>303.23</v>
      </c>
      <c r="G3575" s="46" t="s">
        <v>1475</v>
      </c>
      <c r="H3575" s="46" t="s">
        <v>5148</v>
      </c>
      <c r="I3575" s="45" t="s">
        <v>205</v>
      </c>
      <c r="J3575" s="46" t="s">
        <v>127</v>
      </c>
      <c r="K3575" s="46" t="s">
        <v>127</v>
      </c>
      <c r="L3575" s="46" t="s">
        <v>15</v>
      </c>
      <c r="M3575" s="46" t="s">
        <v>13</v>
      </c>
      <c r="N3575" s="46" t="s">
        <v>16</v>
      </c>
      <c r="O3575" s="49" t="s">
        <v>814</v>
      </c>
      <c r="P3575" s="49" t="s">
        <v>4910</v>
      </c>
      <c r="Q3575" s="35" t="str">
        <f>MID(Tabla1[[#This Row],[Aplicación]],14,1)</f>
        <v>2</v>
      </c>
      <c r="R3575" s="35" t="s">
        <v>495</v>
      </c>
      <c r="S3575" s="35" t="str">
        <f>MID(Tabla1[[#This Row],[Aplicación]],6,2)</f>
        <v>06</v>
      </c>
      <c r="T3575" s="35" t="str">
        <f>VLOOKUP(Tabla1[[#This Row],[AREA]],Hoja1!A:B,2,FALSE)</f>
        <v>06. Educación, infancia, juventud e igualdad</v>
      </c>
      <c r="U3575" s="35" t="str">
        <f>MID(Tabla1[[#This Row],[Aplicación]],9,4)</f>
        <v>3232</v>
      </c>
      <c r="V3575" s="35" t="str">
        <f>VLOOKUP(Tabla1[[#This Row],[PROGRAMA]],Hoja1!A:B,2,FALSE)</f>
        <v>3232. Conservación y mantenimiento centros educación infantil y primaria</v>
      </c>
      <c r="W3575" s="35" t="str">
        <f>MID(Tabla1[[#This Row],[Aplicación]],14,2)</f>
        <v>21</v>
      </c>
      <c r="X3575" s="35" t="str">
        <f>MID(Tabla1[[#This Row],[Aplicación]],14,6)</f>
        <v>212</v>
      </c>
    </row>
    <row r="3576" spans="1:24" x14ac:dyDescent="0.25">
      <c r="A3576" s="45">
        <v>220210054502</v>
      </c>
      <c r="B3576" s="46" t="s">
        <v>9</v>
      </c>
      <c r="C3576" s="47">
        <v>44453</v>
      </c>
      <c r="D3576" s="45">
        <v>22021006480</v>
      </c>
      <c r="E3576" s="46" t="s">
        <v>5149</v>
      </c>
      <c r="F3576" s="48">
        <v>3538.58</v>
      </c>
      <c r="G3576" s="46" t="s">
        <v>1475</v>
      </c>
      <c r="H3576" s="46" t="s">
        <v>5150</v>
      </c>
      <c r="I3576" s="45" t="s">
        <v>125</v>
      </c>
      <c r="J3576" s="46" t="s">
        <v>127</v>
      </c>
      <c r="K3576" s="46" t="s">
        <v>127</v>
      </c>
      <c r="L3576" s="46" t="s">
        <v>15</v>
      </c>
      <c r="M3576" s="46" t="s">
        <v>13</v>
      </c>
      <c r="N3576" s="46" t="s">
        <v>14</v>
      </c>
      <c r="O3576" s="49" t="s">
        <v>814</v>
      </c>
      <c r="P3576" s="49" t="s">
        <v>4910</v>
      </c>
      <c r="Q3576" s="35" t="str">
        <f>MID(Tabla1[[#This Row],[Aplicación]],14,1)</f>
        <v>6</v>
      </c>
      <c r="R3576" s="35" t="s">
        <v>496</v>
      </c>
      <c r="S3576" s="35" t="str">
        <f>MID(Tabla1[[#This Row],[Aplicación]],6,2)</f>
        <v>10</v>
      </c>
      <c r="T3576" s="35" t="str">
        <f>VLOOKUP(Tabla1[[#This Row],[AREA]],Hoja1!A:B,2,FALSE)</f>
        <v>10. Servicios sociales y mediación comunitaria</v>
      </c>
      <c r="U3576" s="35" t="str">
        <f>MID(Tabla1[[#This Row],[Aplicación]],9,4)</f>
        <v>2412</v>
      </c>
      <c r="V3576" s="35" t="str">
        <f>VLOOKUP(Tabla1[[#This Row],[PROGRAMA]],Hoja1!A:B,2,FALSE)</f>
        <v>2412. Formación para el empleo</v>
      </c>
      <c r="W3576" s="35" t="str">
        <f>MID(Tabla1[[#This Row],[Aplicación]],14,2)</f>
        <v>63</v>
      </c>
      <c r="X3576" s="35" t="str">
        <f>MID(Tabla1[[#This Row],[Aplicación]],14,6)</f>
        <v>632</v>
      </c>
    </row>
    <row r="3577" spans="1:24" x14ac:dyDescent="0.25">
      <c r="A3577" s="45">
        <v>220210053646</v>
      </c>
      <c r="B3577" s="46" t="s">
        <v>204</v>
      </c>
      <c r="C3577" s="47">
        <v>44452</v>
      </c>
      <c r="D3577" s="45">
        <v>22021002228</v>
      </c>
      <c r="E3577" s="46" t="s">
        <v>1471</v>
      </c>
      <c r="F3577" s="48">
        <v>1009.79</v>
      </c>
      <c r="G3577" s="46" t="s">
        <v>1475</v>
      </c>
      <c r="H3577" s="46" t="s">
        <v>5151</v>
      </c>
      <c r="I3577" s="45" t="s">
        <v>205</v>
      </c>
      <c r="J3577" s="46" t="s">
        <v>127</v>
      </c>
      <c r="K3577" s="46" t="s">
        <v>127</v>
      </c>
      <c r="L3577" s="46" t="s">
        <v>15</v>
      </c>
      <c r="M3577" s="46" t="s">
        <v>13</v>
      </c>
      <c r="N3577" s="46" t="s">
        <v>16</v>
      </c>
      <c r="O3577" s="49" t="s">
        <v>814</v>
      </c>
      <c r="P3577" s="49" t="s">
        <v>4910</v>
      </c>
      <c r="Q3577" s="35" t="str">
        <f>MID(Tabla1[[#This Row],[Aplicación]],14,1)</f>
        <v>2</v>
      </c>
      <c r="R3577" s="35" t="s">
        <v>495</v>
      </c>
      <c r="S3577" s="35" t="str">
        <f>MID(Tabla1[[#This Row],[Aplicación]],6,2)</f>
        <v>06</v>
      </c>
      <c r="T3577" s="35" t="str">
        <f>VLOOKUP(Tabla1[[#This Row],[AREA]],Hoja1!A:B,2,FALSE)</f>
        <v>06. Educación, infancia, juventud e igualdad</v>
      </c>
      <c r="U3577" s="35" t="str">
        <f>MID(Tabla1[[#This Row],[Aplicación]],9,4)</f>
        <v>3232</v>
      </c>
      <c r="V3577" s="35" t="str">
        <f>VLOOKUP(Tabla1[[#This Row],[PROGRAMA]],Hoja1!A:B,2,FALSE)</f>
        <v>3232. Conservación y mantenimiento centros educación infantil y primaria</v>
      </c>
      <c r="W3577" s="35" t="str">
        <f>MID(Tabla1[[#This Row],[Aplicación]],14,2)</f>
        <v>21</v>
      </c>
      <c r="X3577" s="35" t="str">
        <f>MID(Tabla1[[#This Row],[Aplicación]],14,6)</f>
        <v>212</v>
      </c>
    </row>
    <row r="3578" spans="1:24" x14ac:dyDescent="0.25">
      <c r="A3578" s="45">
        <v>220210049857</v>
      </c>
      <c r="B3578" s="46" t="s">
        <v>204</v>
      </c>
      <c r="C3578" s="47">
        <v>44433</v>
      </c>
      <c r="D3578" s="45">
        <v>22021002228</v>
      </c>
      <c r="E3578" s="46" t="s">
        <v>1471</v>
      </c>
      <c r="F3578" s="48">
        <v>437.89</v>
      </c>
      <c r="G3578" s="46" t="s">
        <v>1475</v>
      </c>
      <c r="H3578" s="46" t="s">
        <v>5152</v>
      </c>
      <c r="I3578" s="45" t="s">
        <v>205</v>
      </c>
      <c r="J3578" s="46" t="s">
        <v>127</v>
      </c>
      <c r="K3578" s="46" t="s">
        <v>127</v>
      </c>
      <c r="L3578" s="46" t="s">
        <v>15</v>
      </c>
      <c r="M3578" s="46" t="s">
        <v>13</v>
      </c>
      <c r="N3578" s="46" t="s">
        <v>16</v>
      </c>
      <c r="O3578" s="49" t="s">
        <v>814</v>
      </c>
      <c r="P3578" s="49" t="s">
        <v>4910</v>
      </c>
      <c r="Q3578" s="35" t="str">
        <f>MID(Tabla1[[#This Row],[Aplicación]],14,1)</f>
        <v>2</v>
      </c>
      <c r="R3578" s="35" t="s">
        <v>495</v>
      </c>
      <c r="S3578" s="35" t="str">
        <f>MID(Tabla1[[#This Row],[Aplicación]],6,2)</f>
        <v>06</v>
      </c>
      <c r="T3578" s="35" t="str">
        <f>VLOOKUP(Tabla1[[#This Row],[AREA]],Hoja1!A:B,2,FALSE)</f>
        <v>06. Educación, infancia, juventud e igualdad</v>
      </c>
      <c r="U3578" s="35" t="str">
        <f>MID(Tabla1[[#This Row],[Aplicación]],9,4)</f>
        <v>3232</v>
      </c>
      <c r="V3578" s="35" t="str">
        <f>VLOOKUP(Tabla1[[#This Row],[PROGRAMA]],Hoja1!A:B,2,FALSE)</f>
        <v>3232. Conservación y mantenimiento centros educación infantil y primaria</v>
      </c>
      <c r="W3578" s="35" t="str">
        <f>MID(Tabla1[[#This Row],[Aplicación]],14,2)</f>
        <v>21</v>
      </c>
      <c r="X3578" s="35" t="str">
        <f>MID(Tabla1[[#This Row],[Aplicación]],14,6)</f>
        <v>212</v>
      </c>
    </row>
    <row r="3579" spans="1:24" x14ac:dyDescent="0.25">
      <c r="A3579" s="45">
        <v>220210049877</v>
      </c>
      <c r="B3579" s="46" t="s">
        <v>204</v>
      </c>
      <c r="C3579" s="47">
        <v>44433</v>
      </c>
      <c r="D3579" s="45">
        <v>22021001968</v>
      </c>
      <c r="E3579" s="46" t="s">
        <v>1388</v>
      </c>
      <c r="F3579" s="48">
        <v>84.78</v>
      </c>
      <c r="G3579" s="46" t="s">
        <v>1475</v>
      </c>
      <c r="H3579" s="46" t="s">
        <v>5153</v>
      </c>
      <c r="I3579" s="45" t="s">
        <v>205</v>
      </c>
      <c r="J3579" s="46" t="s">
        <v>127</v>
      </c>
      <c r="K3579" s="46" t="s">
        <v>127</v>
      </c>
      <c r="L3579" s="46" t="s">
        <v>15</v>
      </c>
      <c r="M3579" s="46" t="s">
        <v>13</v>
      </c>
      <c r="N3579" s="46" t="s">
        <v>14</v>
      </c>
      <c r="O3579" s="49" t="s">
        <v>814</v>
      </c>
      <c r="P3579" s="49" t="s">
        <v>4910</v>
      </c>
      <c r="Q3579" s="35" t="str">
        <f>MID(Tabla1[[#This Row],[Aplicación]],14,1)</f>
        <v>2</v>
      </c>
      <c r="R3579" s="35" t="s">
        <v>495</v>
      </c>
      <c r="S3579" s="35" t="str">
        <f>MID(Tabla1[[#This Row],[Aplicación]],6,2)</f>
        <v>11</v>
      </c>
      <c r="T3579" s="35" t="str">
        <f>VLOOKUP(Tabla1[[#This Row],[AREA]],Hoja1!A:B,2,FALSE)</f>
        <v>11. Salud pública y seguridad ciudadana</v>
      </c>
      <c r="U3579" s="35" t="str">
        <f>MID(Tabla1[[#This Row],[Aplicación]],9,4)</f>
        <v>1321</v>
      </c>
      <c r="V3579" s="35" t="str">
        <f>VLOOKUP(Tabla1[[#This Row],[PROGRAMA]],Hoja1!A:B,2,FALSE)</f>
        <v>1321. Policía municipal</v>
      </c>
      <c r="W3579" s="35" t="str">
        <f>MID(Tabla1[[#This Row],[Aplicación]],14,2)</f>
        <v>22</v>
      </c>
      <c r="X3579" s="35" t="str">
        <f>MID(Tabla1[[#This Row],[Aplicación]],14,6)</f>
        <v>22199</v>
      </c>
    </row>
    <row r="3580" spans="1:24" x14ac:dyDescent="0.25">
      <c r="A3580" s="45">
        <v>220210050619</v>
      </c>
      <c r="B3580" s="46" t="s">
        <v>204</v>
      </c>
      <c r="C3580" s="47">
        <v>44441</v>
      </c>
      <c r="D3580" s="45">
        <v>22021002088</v>
      </c>
      <c r="E3580" s="46" t="s">
        <v>1478</v>
      </c>
      <c r="F3580" s="48">
        <v>76.25</v>
      </c>
      <c r="G3580" s="46" t="s">
        <v>1475</v>
      </c>
      <c r="H3580" s="46" t="s">
        <v>5154</v>
      </c>
      <c r="I3580" s="45" t="s">
        <v>205</v>
      </c>
      <c r="J3580" s="46" t="s">
        <v>127</v>
      </c>
      <c r="K3580" s="46" t="s">
        <v>127</v>
      </c>
      <c r="L3580" s="46" t="s">
        <v>15</v>
      </c>
      <c r="M3580" s="46" t="s">
        <v>13</v>
      </c>
      <c r="N3580" s="46" t="s">
        <v>14</v>
      </c>
      <c r="O3580" s="49" t="s">
        <v>814</v>
      </c>
      <c r="P3580" s="49" t="s">
        <v>4910</v>
      </c>
      <c r="Q3580" s="35" t="str">
        <f>MID(Tabla1[[#This Row],[Aplicación]],14,1)</f>
        <v>2</v>
      </c>
      <c r="R3580" s="35" t="s">
        <v>495</v>
      </c>
      <c r="S3580" s="35" t="str">
        <f>MID(Tabla1[[#This Row],[Aplicación]],6,2)</f>
        <v>03</v>
      </c>
      <c r="T3580" s="35" t="str">
        <f>VLOOKUP(Tabla1[[#This Row],[AREA]],Hoja1!A:B,2,FALSE)</f>
        <v>03. Participación ciudadana y deportes</v>
      </c>
      <c r="U3580" s="35" t="str">
        <f>MID(Tabla1[[#This Row],[Aplicación]],9,4)</f>
        <v>9241</v>
      </c>
      <c r="V3580" s="35" t="str">
        <f>VLOOKUP(Tabla1[[#This Row],[PROGRAMA]],Hoja1!A:B,2,FALSE)</f>
        <v>9241. Participación ciudadana</v>
      </c>
      <c r="W3580" s="35" t="str">
        <f>MID(Tabla1[[#This Row],[Aplicación]],14,2)</f>
        <v>21</v>
      </c>
      <c r="X3580" s="35" t="str">
        <f>MID(Tabla1[[#This Row],[Aplicación]],14,6)</f>
        <v>212</v>
      </c>
    </row>
    <row r="3581" spans="1:24" x14ac:dyDescent="0.25">
      <c r="A3581" s="45">
        <v>220210050585</v>
      </c>
      <c r="B3581" s="46" t="s">
        <v>204</v>
      </c>
      <c r="C3581" s="47">
        <v>44441</v>
      </c>
      <c r="D3581" s="45">
        <v>22021002143</v>
      </c>
      <c r="E3581" s="46" t="s">
        <v>1328</v>
      </c>
      <c r="F3581" s="48">
        <v>38.549999999999997</v>
      </c>
      <c r="G3581" s="46" t="s">
        <v>1475</v>
      </c>
      <c r="H3581" s="46" t="s">
        <v>5155</v>
      </c>
      <c r="I3581" s="45" t="s">
        <v>205</v>
      </c>
      <c r="J3581" s="46" t="s">
        <v>127</v>
      </c>
      <c r="K3581" s="46" t="s">
        <v>127</v>
      </c>
      <c r="L3581" s="46" t="s">
        <v>15</v>
      </c>
      <c r="M3581" s="46" t="s">
        <v>13</v>
      </c>
      <c r="N3581" s="46" t="s">
        <v>14</v>
      </c>
      <c r="O3581" s="49" t="s">
        <v>814</v>
      </c>
      <c r="P3581" s="49" t="s">
        <v>4910</v>
      </c>
      <c r="Q3581" s="35" t="str">
        <f>MID(Tabla1[[#This Row],[Aplicación]],14,1)</f>
        <v>2</v>
      </c>
      <c r="R3581" s="35" t="s">
        <v>495</v>
      </c>
      <c r="S3581" s="35" t="str">
        <f>MID(Tabla1[[#This Row],[Aplicación]],6,2)</f>
        <v>10</v>
      </c>
      <c r="T3581" s="35" t="str">
        <f>VLOOKUP(Tabla1[[#This Row],[AREA]],Hoja1!A:B,2,FALSE)</f>
        <v>10. Servicios sociales y mediación comunitaria</v>
      </c>
      <c r="U3581" s="35" t="str">
        <f>MID(Tabla1[[#This Row],[Aplicación]],9,4)</f>
        <v>2311</v>
      </c>
      <c r="V3581" s="35" t="str">
        <f>VLOOKUP(Tabla1[[#This Row],[PROGRAMA]],Hoja1!A:B,2,FALSE)</f>
        <v>2311. Intervención social</v>
      </c>
      <c r="W3581" s="35" t="str">
        <f>MID(Tabla1[[#This Row],[Aplicación]],14,2)</f>
        <v>21</v>
      </c>
      <c r="X3581" s="35" t="str">
        <f>MID(Tabla1[[#This Row],[Aplicación]],14,6)</f>
        <v>212</v>
      </c>
    </row>
    <row r="3582" spans="1:24" x14ac:dyDescent="0.25">
      <c r="A3582" s="45">
        <v>220210043870</v>
      </c>
      <c r="B3582" s="46" t="s">
        <v>9</v>
      </c>
      <c r="C3582" s="47">
        <v>44405</v>
      </c>
      <c r="D3582" s="45">
        <v>22021005872</v>
      </c>
      <c r="E3582" s="46" t="s">
        <v>1267</v>
      </c>
      <c r="F3582" s="48">
        <v>108.9</v>
      </c>
      <c r="G3582" s="46" t="s">
        <v>4633</v>
      </c>
      <c r="H3582" s="46" t="s">
        <v>5156</v>
      </c>
      <c r="I3582" s="45" t="s">
        <v>125</v>
      </c>
      <c r="J3582" s="46" t="s">
        <v>127</v>
      </c>
      <c r="K3582" s="46" t="s">
        <v>127</v>
      </c>
      <c r="L3582" s="46" t="s">
        <v>12</v>
      </c>
      <c r="M3582" s="46" t="s">
        <v>10</v>
      </c>
      <c r="N3582" s="46" t="s">
        <v>11</v>
      </c>
      <c r="O3582" s="49" t="s">
        <v>815</v>
      </c>
      <c r="P3582" s="49" t="s">
        <v>4910</v>
      </c>
      <c r="Q3582" s="35" t="str">
        <f>MID(Tabla1[[#This Row],[Aplicación]],14,1)</f>
        <v>2</v>
      </c>
      <c r="R3582" s="35" t="s">
        <v>495</v>
      </c>
      <c r="S3582" s="35" t="str">
        <f>MID(Tabla1[[#This Row],[Aplicación]],6,2)</f>
        <v>03</v>
      </c>
      <c r="T3582" s="35" t="str">
        <f>VLOOKUP(Tabla1[[#This Row],[AREA]],Hoja1!A:B,2,FALSE)</f>
        <v>03. Participación ciudadana y deportes</v>
      </c>
      <c r="U3582" s="35" t="str">
        <f>MID(Tabla1[[#This Row],[Aplicación]],9,4)</f>
        <v>9241</v>
      </c>
      <c r="V3582" s="35" t="str">
        <f>VLOOKUP(Tabla1[[#This Row],[PROGRAMA]],Hoja1!A:B,2,FALSE)</f>
        <v>9241. Participación ciudadana</v>
      </c>
      <c r="W3582" s="35" t="str">
        <f>MID(Tabla1[[#This Row],[Aplicación]],14,2)</f>
        <v>22</v>
      </c>
      <c r="X3582" s="35" t="str">
        <f>MID(Tabla1[[#This Row],[Aplicación]],14,6)</f>
        <v>22602</v>
      </c>
    </row>
    <row r="3583" spans="1:24" x14ac:dyDescent="0.25">
      <c r="A3583" s="45">
        <v>220210039544</v>
      </c>
      <c r="B3583" s="46" t="s">
        <v>9</v>
      </c>
      <c r="C3583" s="47">
        <v>44393</v>
      </c>
      <c r="D3583" s="45">
        <v>22021005722</v>
      </c>
      <c r="E3583" s="46" t="s">
        <v>1180</v>
      </c>
      <c r="F3583" s="48">
        <v>1578.64</v>
      </c>
      <c r="G3583" s="46" t="s">
        <v>5157</v>
      </c>
      <c r="H3583" s="46" t="s">
        <v>5158</v>
      </c>
      <c r="I3583" s="45" t="s">
        <v>125</v>
      </c>
      <c r="J3583" s="46" t="s">
        <v>5159</v>
      </c>
      <c r="K3583" s="46" t="s">
        <v>2480</v>
      </c>
      <c r="L3583" s="46" t="s">
        <v>15</v>
      </c>
      <c r="M3583" s="46" t="s">
        <v>10</v>
      </c>
      <c r="N3583" s="46" t="s">
        <v>11</v>
      </c>
      <c r="O3583" s="49" t="s">
        <v>815</v>
      </c>
      <c r="P3583" s="49" t="s">
        <v>4910</v>
      </c>
      <c r="Q3583" s="35" t="str">
        <f>MID(Tabla1[[#This Row],[Aplicación]],14,1)</f>
        <v>2</v>
      </c>
      <c r="R3583" s="35" t="s">
        <v>495</v>
      </c>
      <c r="S3583" s="35" t="str">
        <f>MID(Tabla1[[#This Row],[Aplicación]],6,2)</f>
        <v>08</v>
      </c>
      <c r="T3583" s="35" t="str">
        <f>VLOOKUP(Tabla1[[#This Row],[AREA]],Hoja1!A:B,2,FALSE)</f>
        <v>08. Movilidad y espacio urbano</v>
      </c>
      <c r="U3583" s="35" t="str">
        <f>MID(Tabla1[[#This Row],[Aplicación]],9,4)</f>
        <v>1532</v>
      </c>
      <c r="V3583" s="35" t="str">
        <f>VLOOKUP(Tabla1[[#This Row],[PROGRAMA]],Hoja1!A:B,2,FALSE)</f>
        <v>1532. Pavimentación vias públicas y otros servicios urbanísticos</v>
      </c>
      <c r="W3583" s="35" t="str">
        <f>MID(Tabla1[[#This Row],[Aplicación]],14,2)</f>
        <v>21</v>
      </c>
      <c r="X3583" s="35" t="str">
        <f>MID(Tabla1[[#This Row],[Aplicación]],14,6)</f>
        <v>210</v>
      </c>
    </row>
    <row r="3584" spans="1:24" x14ac:dyDescent="0.25">
      <c r="A3584" s="45">
        <v>220210036830</v>
      </c>
      <c r="B3584" s="46" t="s">
        <v>9</v>
      </c>
      <c r="C3584" s="47">
        <v>44386</v>
      </c>
      <c r="D3584" s="45">
        <v>22021005567</v>
      </c>
      <c r="E3584" s="46" t="s">
        <v>832</v>
      </c>
      <c r="F3584" s="48">
        <v>252.5</v>
      </c>
      <c r="G3584" s="46" t="s">
        <v>5160</v>
      </c>
      <c r="H3584" s="46" t="s">
        <v>5161</v>
      </c>
      <c r="I3584" s="45" t="s">
        <v>125</v>
      </c>
      <c r="J3584" s="46" t="s">
        <v>127</v>
      </c>
      <c r="K3584" s="46" t="s">
        <v>127</v>
      </c>
      <c r="L3584" s="46" t="s">
        <v>15</v>
      </c>
      <c r="M3584" s="46" t="s">
        <v>10</v>
      </c>
      <c r="N3584" s="46" t="s">
        <v>11</v>
      </c>
      <c r="O3584" s="49" t="s">
        <v>815</v>
      </c>
      <c r="P3584" s="49" t="s">
        <v>4910</v>
      </c>
      <c r="Q3584" s="35" t="str">
        <f>MID(Tabla1[[#This Row],[Aplicación]],14,1)</f>
        <v>2</v>
      </c>
      <c r="R3584" s="35" t="s">
        <v>495</v>
      </c>
      <c r="S3584" s="35" t="str">
        <f>MID(Tabla1[[#This Row],[Aplicación]],6,2)</f>
        <v>11</v>
      </c>
      <c r="T3584" s="35" t="str">
        <f>VLOOKUP(Tabla1[[#This Row],[AREA]],Hoja1!A:B,2,FALSE)</f>
        <v>11. Salud pública y seguridad ciudadana</v>
      </c>
      <c r="U3584" s="35" t="str">
        <f>MID(Tabla1[[#This Row],[Aplicación]],9,4)</f>
        <v>1321</v>
      </c>
      <c r="V3584" s="35" t="str">
        <f>VLOOKUP(Tabla1[[#This Row],[PROGRAMA]],Hoja1!A:B,2,FALSE)</f>
        <v>1321. Policía municipal</v>
      </c>
      <c r="W3584" s="35" t="str">
        <f>MID(Tabla1[[#This Row],[Aplicación]],14,2)</f>
        <v>22</v>
      </c>
      <c r="X3584" s="35" t="str">
        <f>MID(Tabla1[[#This Row],[Aplicación]],14,6)</f>
        <v>22104</v>
      </c>
    </row>
    <row r="3585" spans="1:24" x14ac:dyDescent="0.25">
      <c r="A3585" s="45">
        <v>220210044733</v>
      </c>
      <c r="B3585" s="46" t="s">
        <v>9</v>
      </c>
      <c r="C3585" s="47">
        <v>44407</v>
      </c>
      <c r="D3585" s="45">
        <v>22021000273</v>
      </c>
      <c r="E3585" s="46" t="s">
        <v>1247</v>
      </c>
      <c r="F3585" s="48">
        <v>1177000</v>
      </c>
      <c r="G3585" s="46" t="s">
        <v>5162</v>
      </c>
      <c r="H3585" s="46" t="s">
        <v>5163</v>
      </c>
      <c r="I3585" s="45" t="s">
        <v>125</v>
      </c>
      <c r="J3585" s="46" t="s">
        <v>127</v>
      </c>
      <c r="K3585" s="46" t="s">
        <v>127</v>
      </c>
      <c r="L3585" s="46" t="s">
        <v>12</v>
      </c>
      <c r="M3585" s="46" t="s">
        <v>13</v>
      </c>
      <c r="N3585" s="46" t="s">
        <v>14</v>
      </c>
      <c r="O3585" s="49" t="s">
        <v>803</v>
      </c>
      <c r="P3585" s="49" t="s">
        <v>4910</v>
      </c>
      <c r="Q3585" s="35" t="str">
        <f>MID(Tabla1[[#This Row],[Aplicación]],14,1)</f>
        <v>2</v>
      </c>
      <c r="R3585" s="35" t="s">
        <v>495</v>
      </c>
      <c r="S3585" s="35" t="str">
        <f>MID(Tabla1[[#This Row],[Aplicación]],6,2)</f>
        <v>10</v>
      </c>
      <c r="T3585" s="35" t="str">
        <f>VLOOKUP(Tabla1[[#This Row],[AREA]],Hoja1!A:B,2,FALSE)</f>
        <v>10. Servicios sociales y mediación comunitaria</v>
      </c>
      <c r="U3585" s="35" t="str">
        <f>MID(Tabla1[[#This Row],[Aplicación]],9,4)</f>
        <v>2311</v>
      </c>
      <c r="V3585" s="35" t="str">
        <f>VLOOKUP(Tabla1[[#This Row],[PROGRAMA]],Hoja1!A:B,2,FALSE)</f>
        <v>2311. Intervención social</v>
      </c>
      <c r="W3585" s="35" t="str">
        <f>MID(Tabla1[[#This Row],[Aplicación]],14,2)</f>
        <v>22</v>
      </c>
      <c r="X3585" s="35" t="str">
        <f>MID(Tabla1[[#This Row],[Aplicación]],14,6)</f>
        <v>22799</v>
      </c>
    </row>
    <row r="3586" spans="1:24" x14ac:dyDescent="0.25">
      <c r="A3586" s="45">
        <v>220210044734</v>
      </c>
      <c r="B3586" s="46" t="s">
        <v>9</v>
      </c>
      <c r="C3586" s="47">
        <v>44407</v>
      </c>
      <c r="D3586" s="45">
        <v>22021000405</v>
      </c>
      <c r="E3586" s="46" t="s">
        <v>1247</v>
      </c>
      <c r="F3586" s="48">
        <v>323000</v>
      </c>
      <c r="G3586" s="46" t="s">
        <v>5162</v>
      </c>
      <c r="H3586" s="46" t="s">
        <v>5164</v>
      </c>
      <c r="I3586" s="45" t="s">
        <v>125</v>
      </c>
      <c r="J3586" s="46" t="s">
        <v>127</v>
      </c>
      <c r="K3586" s="46" t="s">
        <v>127</v>
      </c>
      <c r="L3586" s="46" t="s">
        <v>12</v>
      </c>
      <c r="M3586" s="46" t="s">
        <v>13</v>
      </c>
      <c r="N3586" s="46" t="s">
        <v>14</v>
      </c>
      <c r="O3586" s="49" t="s">
        <v>803</v>
      </c>
      <c r="P3586" s="49" t="s">
        <v>4910</v>
      </c>
      <c r="Q3586" s="35" t="str">
        <f>MID(Tabla1[[#This Row],[Aplicación]],14,1)</f>
        <v>2</v>
      </c>
      <c r="R3586" s="35" t="s">
        <v>495</v>
      </c>
      <c r="S3586" s="35" t="str">
        <f>MID(Tabla1[[#This Row],[Aplicación]],6,2)</f>
        <v>10</v>
      </c>
      <c r="T3586" s="35" t="str">
        <f>VLOOKUP(Tabla1[[#This Row],[AREA]],Hoja1!A:B,2,FALSE)</f>
        <v>10. Servicios sociales y mediación comunitaria</v>
      </c>
      <c r="U3586" s="35" t="str">
        <f>MID(Tabla1[[#This Row],[Aplicación]],9,4)</f>
        <v>2311</v>
      </c>
      <c r="V3586" s="35" t="str">
        <f>VLOOKUP(Tabla1[[#This Row],[PROGRAMA]],Hoja1!A:B,2,FALSE)</f>
        <v>2311. Intervención social</v>
      </c>
      <c r="W3586" s="35" t="str">
        <f>MID(Tabla1[[#This Row],[Aplicación]],14,2)</f>
        <v>22</v>
      </c>
      <c r="X3586" s="35" t="str">
        <f>MID(Tabla1[[#This Row],[Aplicación]],14,6)</f>
        <v>22799</v>
      </c>
    </row>
    <row r="3587" spans="1:24" x14ac:dyDescent="0.25">
      <c r="A3587" s="45">
        <v>220210051245</v>
      </c>
      <c r="B3587" s="46" t="s">
        <v>9</v>
      </c>
      <c r="C3587" s="47">
        <v>44448</v>
      </c>
      <c r="D3587" s="45">
        <v>22021006406</v>
      </c>
      <c r="E3587" s="46" t="s">
        <v>5165</v>
      </c>
      <c r="F3587" s="48">
        <v>4653.55</v>
      </c>
      <c r="G3587" s="46" t="s">
        <v>170</v>
      </c>
      <c r="H3587" s="46" t="s">
        <v>5166</v>
      </c>
      <c r="I3587" s="45" t="s">
        <v>125</v>
      </c>
      <c r="J3587" s="46" t="s">
        <v>664</v>
      </c>
      <c r="K3587" s="46" t="s">
        <v>127</v>
      </c>
      <c r="L3587" s="46" t="s">
        <v>15</v>
      </c>
      <c r="M3587" s="46" t="s">
        <v>10</v>
      </c>
      <c r="N3587" s="46" t="s">
        <v>11</v>
      </c>
      <c r="O3587" s="49" t="s">
        <v>815</v>
      </c>
      <c r="P3587" s="49" t="s">
        <v>4910</v>
      </c>
      <c r="Q3587" s="35" t="str">
        <f>MID(Tabla1[[#This Row],[Aplicación]],14,1)</f>
        <v>6</v>
      </c>
      <c r="R3587" s="35" t="s">
        <v>496</v>
      </c>
      <c r="S3587" s="35" t="str">
        <f>MID(Tabla1[[#This Row],[Aplicación]],6,2)</f>
        <v>01</v>
      </c>
      <c r="T3587" s="35" t="str">
        <f>VLOOKUP(Tabla1[[#This Row],[AREA]],Hoja1!A:B,2,FALSE)</f>
        <v>01. Alcaldía</v>
      </c>
      <c r="U3587" s="35" t="str">
        <f>MID(Tabla1[[#This Row],[Aplicación]],9,4)</f>
        <v>9203</v>
      </c>
      <c r="V3587" s="35" t="str">
        <f>VLOOKUP(Tabla1[[#This Row],[PROGRAMA]],Hoja1!A:B,2,FALSE)</f>
        <v>9203. Unidad de régimen interior</v>
      </c>
      <c r="W3587" s="35" t="str">
        <f>MID(Tabla1[[#This Row],[Aplicación]],14,2)</f>
        <v>62</v>
      </c>
      <c r="X3587" s="35" t="str">
        <f>MID(Tabla1[[#This Row],[Aplicación]],14,6)</f>
        <v>623</v>
      </c>
    </row>
    <row r="3588" spans="1:24" x14ac:dyDescent="0.25">
      <c r="A3588" s="45">
        <v>220210036876</v>
      </c>
      <c r="B3588" s="46" t="s">
        <v>9</v>
      </c>
      <c r="C3588" s="47">
        <v>44390</v>
      </c>
      <c r="D3588" s="45">
        <v>22021005672</v>
      </c>
      <c r="E3588" s="46" t="s">
        <v>3327</v>
      </c>
      <c r="F3588" s="48">
        <v>907.5</v>
      </c>
      <c r="G3588" s="46" t="s">
        <v>5167</v>
      </c>
      <c r="H3588" s="46" t="s">
        <v>5168</v>
      </c>
      <c r="I3588" s="45" t="s">
        <v>125</v>
      </c>
      <c r="J3588" s="46" t="s">
        <v>127</v>
      </c>
      <c r="K3588" s="46" t="s">
        <v>127</v>
      </c>
      <c r="L3588" s="46" t="s">
        <v>12</v>
      </c>
      <c r="M3588" s="46" t="s">
        <v>10</v>
      </c>
      <c r="N3588" s="46" t="s">
        <v>11</v>
      </c>
      <c r="O3588" s="49" t="s">
        <v>815</v>
      </c>
      <c r="P3588" s="49" t="s">
        <v>4910</v>
      </c>
      <c r="Q3588" s="35" t="str">
        <f>MID(Tabla1[[#This Row],[Aplicación]],14,1)</f>
        <v>2</v>
      </c>
      <c r="R3588" s="35" t="s">
        <v>495</v>
      </c>
      <c r="S3588" s="35" t="str">
        <f>MID(Tabla1[[#This Row],[Aplicación]],6,2)</f>
        <v>08</v>
      </c>
      <c r="T3588" s="35" t="str">
        <f>VLOOKUP(Tabla1[[#This Row],[AREA]],Hoja1!A:B,2,FALSE)</f>
        <v>08. Movilidad y espacio urbano</v>
      </c>
      <c r="U3588" s="35" t="str">
        <f>MID(Tabla1[[#This Row],[Aplicación]],9,4)</f>
        <v>1532</v>
      </c>
      <c r="V3588" s="35" t="str">
        <f>VLOOKUP(Tabla1[[#This Row],[PROGRAMA]],Hoja1!A:B,2,FALSE)</f>
        <v>1532. Pavimentación vias públicas y otros servicios urbanísticos</v>
      </c>
      <c r="W3588" s="35" t="str">
        <f>MID(Tabla1[[#This Row],[Aplicación]],14,2)</f>
        <v>22</v>
      </c>
      <c r="X3588" s="35" t="str">
        <f>MID(Tabla1[[#This Row],[Aplicación]],14,6)</f>
        <v>22706</v>
      </c>
    </row>
    <row r="3589" spans="1:24" x14ac:dyDescent="0.25">
      <c r="A3589" s="45">
        <v>220210050708</v>
      </c>
      <c r="B3589" s="46" t="s">
        <v>9</v>
      </c>
      <c r="C3589" s="47">
        <v>44441</v>
      </c>
      <c r="D3589" s="45">
        <v>22021006322</v>
      </c>
      <c r="E3589" s="46" t="s">
        <v>1172</v>
      </c>
      <c r="F3589" s="48">
        <v>4432.62</v>
      </c>
      <c r="G3589" s="46" t="s">
        <v>53</v>
      </c>
      <c r="H3589" s="46" t="s">
        <v>5169</v>
      </c>
      <c r="I3589" s="45" t="s">
        <v>125</v>
      </c>
      <c r="J3589" s="46" t="s">
        <v>127</v>
      </c>
      <c r="K3589" s="46" t="s">
        <v>127</v>
      </c>
      <c r="L3589" s="46" t="s">
        <v>31</v>
      </c>
      <c r="M3589" s="46" t="s">
        <v>10</v>
      </c>
      <c r="N3589" s="46" t="s">
        <v>11</v>
      </c>
      <c r="O3589" s="49" t="s">
        <v>815</v>
      </c>
      <c r="P3589" s="49" t="s">
        <v>4910</v>
      </c>
      <c r="Q3589" s="35" t="str">
        <f>MID(Tabla1[[#This Row],[Aplicación]],14,1)</f>
        <v>6</v>
      </c>
      <c r="R3589" s="35" t="s">
        <v>496</v>
      </c>
      <c r="S3589" s="35" t="str">
        <f>MID(Tabla1[[#This Row],[Aplicación]],6,2)</f>
        <v>02</v>
      </c>
      <c r="T3589" s="35" t="str">
        <f>VLOOKUP(Tabla1[[#This Row],[AREA]],Hoja1!A:B,2,FALSE)</f>
        <v>02. Planeamiento urbanístico y vivienda</v>
      </c>
      <c r="U3589" s="35" t="str">
        <f>MID(Tabla1[[#This Row],[Aplicación]],9,4)</f>
        <v>9332</v>
      </c>
      <c r="V3589" s="35" t="str">
        <f>VLOOKUP(Tabla1[[#This Row],[PROGRAMA]],Hoja1!A:B,2,FALSE)</f>
        <v>9332. Mantenimiento de edificios e instalaciones municipales</v>
      </c>
      <c r="W3589" s="35" t="str">
        <f>MID(Tabla1[[#This Row],[Aplicación]],14,2)</f>
        <v>63</v>
      </c>
      <c r="X3589" s="35" t="str">
        <f>MID(Tabla1[[#This Row],[Aplicación]],14,6)</f>
        <v>632</v>
      </c>
    </row>
    <row r="3590" spans="1:24" x14ac:dyDescent="0.25">
      <c r="A3590" s="45">
        <v>220210053625</v>
      </c>
      <c r="B3590" s="46" t="s">
        <v>204</v>
      </c>
      <c r="C3590" s="47">
        <v>44452</v>
      </c>
      <c r="D3590" s="45">
        <v>22021005979</v>
      </c>
      <c r="E3590" s="46" t="s">
        <v>1372</v>
      </c>
      <c r="F3590" s="48">
        <v>3055.61</v>
      </c>
      <c r="G3590" s="46" t="s">
        <v>290</v>
      </c>
      <c r="H3590" s="46" t="s">
        <v>5170</v>
      </c>
      <c r="I3590" s="45" t="s">
        <v>205</v>
      </c>
      <c r="J3590" s="46" t="s">
        <v>127</v>
      </c>
      <c r="K3590" s="46" t="s">
        <v>127</v>
      </c>
      <c r="L3590" s="46" t="s">
        <v>12</v>
      </c>
      <c r="M3590" s="46" t="s">
        <v>13</v>
      </c>
      <c r="N3590" s="46" t="s">
        <v>14</v>
      </c>
      <c r="O3590" s="49" t="s">
        <v>814</v>
      </c>
      <c r="P3590" s="49" t="s">
        <v>4910</v>
      </c>
      <c r="Q3590" s="35" t="str">
        <f>MID(Tabla1[[#This Row],[Aplicación]],14,1)</f>
        <v>2</v>
      </c>
      <c r="R3590" s="35" t="s">
        <v>495</v>
      </c>
      <c r="S3590" s="35" t="str">
        <f>MID(Tabla1[[#This Row],[Aplicación]],6,2)</f>
        <v>07</v>
      </c>
      <c r="T3590" s="35" t="str">
        <f>VLOOKUP(Tabla1[[#This Row],[AREA]],Hoja1!A:B,2,FALSE)</f>
        <v>07. Medio ambiente y desarrollo sostenible</v>
      </c>
      <c r="U3590" s="35" t="str">
        <f>MID(Tabla1[[#This Row],[Aplicación]],9,4)</f>
        <v>1711</v>
      </c>
      <c r="V3590" s="35" t="str">
        <f>VLOOKUP(Tabla1[[#This Row],[PROGRAMA]],Hoja1!A:B,2,FALSE)</f>
        <v>1711. Parques y jardines</v>
      </c>
      <c r="W3590" s="35" t="str">
        <f>MID(Tabla1[[#This Row],[Aplicación]],14,2)</f>
        <v>21</v>
      </c>
      <c r="X3590" s="35" t="str">
        <f>MID(Tabla1[[#This Row],[Aplicación]],14,6)</f>
        <v>213</v>
      </c>
    </row>
    <row r="3591" spans="1:24" x14ac:dyDescent="0.25">
      <c r="A3591" s="45">
        <v>220210040127</v>
      </c>
      <c r="B3591" s="46" t="s">
        <v>204</v>
      </c>
      <c r="C3591" s="47">
        <v>44396</v>
      </c>
      <c r="D3591" s="45">
        <v>22021002054</v>
      </c>
      <c r="E3591" s="46" t="s">
        <v>1382</v>
      </c>
      <c r="F3591" s="48">
        <v>2284.52</v>
      </c>
      <c r="G3591" s="46" t="s">
        <v>269</v>
      </c>
      <c r="H3591" s="46" t="s">
        <v>5171</v>
      </c>
      <c r="I3591" s="45" t="s">
        <v>205</v>
      </c>
      <c r="J3591" s="46" t="s">
        <v>127</v>
      </c>
      <c r="K3591" s="46" t="s">
        <v>127</v>
      </c>
      <c r="L3591" s="46" t="s">
        <v>15</v>
      </c>
      <c r="M3591" s="46" t="s">
        <v>13</v>
      </c>
      <c r="N3591" s="46" t="s">
        <v>14</v>
      </c>
      <c r="O3591" s="49" t="s">
        <v>814</v>
      </c>
      <c r="P3591" s="49" t="s">
        <v>4910</v>
      </c>
      <c r="Q3591" s="35" t="str">
        <f>MID(Tabla1[[#This Row],[Aplicación]],14,1)</f>
        <v>2</v>
      </c>
      <c r="R3591" s="35" t="s">
        <v>495</v>
      </c>
      <c r="S3591" s="35" t="str">
        <f>MID(Tabla1[[#This Row],[Aplicación]],6,2)</f>
        <v>11</v>
      </c>
      <c r="T3591" s="35" t="str">
        <f>VLOOKUP(Tabla1[[#This Row],[AREA]],Hoja1!A:B,2,FALSE)</f>
        <v>11. Salud pública y seguridad ciudadana</v>
      </c>
      <c r="U3591" s="35" t="str">
        <f>MID(Tabla1[[#This Row],[Aplicación]],9,4)</f>
        <v>1631</v>
      </c>
      <c r="V3591" s="35" t="str">
        <f>VLOOKUP(Tabla1[[#This Row],[PROGRAMA]],Hoja1!A:B,2,FALSE)</f>
        <v>1631. Limpieza viaria</v>
      </c>
      <c r="W3591" s="35" t="str">
        <f>MID(Tabla1[[#This Row],[Aplicación]],14,2)</f>
        <v>21</v>
      </c>
      <c r="X3591" s="35" t="str">
        <f>MID(Tabla1[[#This Row],[Aplicación]],14,6)</f>
        <v>214</v>
      </c>
    </row>
    <row r="3592" spans="1:24" x14ac:dyDescent="0.25">
      <c r="A3592" s="45">
        <v>220210040113</v>
      </c>
      <c r="B3592" s="46" t="s">
        <v>204</v>
      </c>
      <c r="C3592" s="47">
        <v>44396</v>
      </c>
      <c r="D3592" s="45">
        <v>22021002048</v>
      </c>
      <c r="E3592" s="46" t="s">
        <v>890</v>
      </c>
      <c r="F3592" s="48">
        <v>1418.1</v>
      </c>
      <c r="G3592" s="46" t="s">
        <v>269</v>
      </c>
      <c r="H3592" s="46" t="s">
        <v>5172</v>
      </c>
      <c r="I3592" s="45" t="s">
        <v>205</v>
      </c>
      <c r="J3592" s="46" t="s">
        <v>127</v>
      </c>
      <c r="K3592" s="46" t="s">
        <v>127</v>
      </c>
      <c r="L3592" s="46" t="s">
        <v>15</v>
      </c>
      <c r="M3592" s="46" t="s">
        <v>13</v>
      </c>
      <c r="N3592" s="46" t="s">
        <v>14</v>
      </c>
      <c r="O3592" s="49" t="s">
        <v>814</v>
      </c>
      <c r="P3592" s="49" t="s">
        <v>4910</v>
      </c>
      <c r="Q3592" s="35" t="str">
        <f>MID(Tabla1[[#This Row],[Aplicación]],14,1)</f>
        <v>2</v>
      </c>
      <c r="R3592" s="35" t="s">
        <v>495</v>
      </c>
      <c r="S3592" s="35" t="str">
        <f>MID(Tabla1[[#This Row],[Aplicación]],6,2)</f>
        <v>11</v>
      </c>
      <c r="T3592" s="35" t="str">
        <f>VLOOKUP(Tabla1[[#This Row],[AREA]],Hoja1!A:B,2,FALSE)</f>
        <v>11. Salud pública y seguridad ciudadana</v>
      </c>
      <c r="U3592" s="35" t="str">
        <f>MID(Tabla1[[#This Row],[Aplicación]],9,4)</f>
        <v>1621</v>
      </c>
      <c r="V3592" s="35" t="str">
        <f>VLOOKUP(Tabla1[[#This Row],[PROGRAMA]],Hoja1!A:B,2,FALSE)</f>
        <v>1621. Servicio de limpieza</v>
      </c>
      <c r="W3592" s="35" t="str">
        <f>MID(Tabla1[[#This Row],[Aplicación]],14,2)</f>
        <v>21</v>
      </c>
      <c r="X3592" s="35" t="str">
        <f>MID(Tabla1[[#This Row],[Aplicación]],14,6)</f>
        <v>214</v>
      </c>
    </row>
    <row r="3593" spans="1:24" x14ac:dyDescent="0.25">
      <c r="A3593" s="45">
        <v>220210040934</v>
      </c>
      <c r="B3593" s="46" t="s">
        <v>204</v>
      </c>
      <c r="C3593" s="47">
        <v>44397</v>
      </c>
      <c r="D3593" s="45">
        <v>22021002048</v>
      </c>
      <c r="E3593" s="46" t="s">
        <v>890</v>
      </c>
      <c r="F3593" s="48">
        <v>1173.01</v>
      </c>
      <c r="G3593" s="46" t="s">
        <v>269</v>
      </c>
      <c r="H3593" s="46" t="s">
        <v>5173</v>
      </c>
      <c r="I3593" s="45" t="s">
        <v>205</v>
      </c>
      <c r="J3593" s="46" t="s">
        <v>127</v>
      </c>
      <c r="K3593" s="46" t="s">
        <v>127</v>
      </c>
      <c r="L3593" s="46" t="s">
        <v>15</v>
      </c>
      <c r="M3593" s="46" t="s">
        <v>13</v>
      </c>
      <c r="N3593" s="46" t="s">
        <v>14</v>
      </c>
      <c r="O3593" s="49" t="s">
        <v>814</v>
      </c>
      <c r="P3593" s="49" t="s">
        <v>4910</v>
      </c>
      <c r="Q3593" s="35" t="str">
        <f>MID(Tabla1[[#This Row],[Aplicación]],14,1)</f>
        <v>2</v>
      </c>
      <c r="R3593" s="35" t="s">
        <v>495</v>
      </c>
      <c r="S3593" s="35" t="str">
        <f>MID(Tabla1[[#This Row],[Aplicación]],6,2)</f>
        <v>11</v>
      </c>
      <c r="T3593" s="35" t="str">
        <f>VLOOKUP(Tabla1[[#This Row],[AREA]],Hoja1!A:B,2,FALSE)</f>
        <v>11. Salud pública y seguridad ciudadana</v>
      </c>
      <c r="U3593" s="35" t="str">
        <f>MID(Tabla1[[#This Row],[Aplicación]],9,4)</f>
        <v>1621</v>
      </c>
      <c r="V3593" s="35" t="str">
        <f>VLOOKUP(Tabla1[[#This Row],[PROGRAMA]],Hoja1!A:B,2,FALSE)</f>
        <v>1621. Servicio de limpieza</v>
      </c>
      <c r="W3593" s="35" t="str">
        <f>MID(Tabla1[[#This Row],[Aplicación]],14,2)</f>
        <v>21</v>
      </c>
      <c r="X3593" s="35" t="str">
        <f>MID(Tabla1[[#This Row],[Aplicación]],14,6)</f>
        <v>214</v>
      </c>
    </row>
    <row r="3594" spans="1:24" x14ac:dyDescent="0.25">
      <c r="A3594" s="45">
        <v>220210036811</v>
      </c>
      <c r="B3594" s="46" t="s">
        <v>204</v>
      </c>
      <c r="C3594" s="47">
        <v>44386</v>
      </c>
      <c r="D3594" s="45">
        <v>22021002048</v>
      </c>
      <c r="E3594" s="46" t="s">
        <v>890</v>
      </c>
      <c r="F3594" s="48">
        <v>554.69000000000005</v>
      </c>
      <c r="G3594" s="46" t="s">
        <v>269</v>
      </c>
      <c r="H3594" s="46" t="s">
        <v>5174</v>
      </c>
      <c r="I3594" s="45" t="s">
        <v>205</v>
      </c>
      <c r="J3594" s="46" t="s">
        <v>127</v>
      </c>
      <c r="K3594" s="46" t="s">
        <v>127</v>
      </c>
      <c r="L3594" s="46" t="s">
        <v>15</v>
      </c>
      <c r="M3594" s="46" t="s">
        <v>13</v>
      </c>
      <c r="N3594" s="46" t="s">
        <v>14</v>
      </c>
      <c r="O3594" s="49" t="s">
        <v>814</v>
      </c>
      <c r="P3594" s="49" t="s">
        <v>4910</v>
      </c>
      <c r="Q3594" s="35" t="str">
        <f>MID(Tabla1[[#This Row],[Aplicación]],14,1)</f>
        <v>2</v>
      </c>
      <c r="R3594" s="35" t="s">
        <v>495</v>
      </c>
      <c r="S3594" s="35" t="str">
        <f>MID(Tabla1[[#This Row],[Aplicación]],6,2)</f>
        <v>11</v>
      </c>
      <c r="T3594" s="35" t="str">
        <f>VLOOKUP(Tabla1[[#This Row],[AREA]],Hoja1!A:B,2,FALSE)</f>
        <v>11. Salud pública y seguridad ciudadana</v>
      </c>
      <c r="U3594" s="35" t="str">
        <f>MID(Tabla1[[#This Row],[Aplicación]],9,4)</f>
        <v>1621</v>
      </c>
      <c r="V3594" s="35" t="str">
        <f>VLOOKUP(Tabla1[[#This Row],[PROGRAMA]],Hoja1!A:B,2,FALSE)</f>
        <v>1621. Servicio de limpieza</v>
      </c>
      <c r="W3594" s="35" t="str">
        <f>MID(Tabla1[[#This Row],[Aplicación]],14,2)</f>
        <v>21</v>
      </c>
      <c r="X3594" s="35" t="str">
        <f>MID(Tabla1[[#This Row],[Aplicación]],14,6)</f>
        <v>214</v>
      </c>
    </row>
    <row r="3595" spans="1:24" x14ac:dyDescent="0.25">
      <c r="A3595" s="45">
        <v>220210047024</v>
      </c>
      <c r="B3595" s="46" t="s">
        <v>204</v>
      </c>
      <c r="C3595" s="47">
        <v>44421</v>
      </c>
      <c r="D3595" s="45">
        <v>22021002054</v>
      </c>
      <c r="E3595" s="46" t="s">
        <v>1382</v>
      </c>
      <c r="F3595" s="48">
        <v>3943.03</v>
      </c>
      <c r="G3595" s="46" t="s">
        <v>269</v>
      </c>
      <c r="H3595" s="46" t="s">
        <v>5175</v>
      </c>
      <c r="I3595" s="45" t="s">
        <v>205</v>
      </c>
      <c r="J3595" s="46" t="s">
        <v>127</v>
      </c>
      <c r="K3595" s="46" t="s">
        <v>127</v>
      </c>
      <c r="L3595" s="46" t="s">
        <v>15</v>
      </c>
      <c r="M3595" s="46" t="s">
        <v>13</v>
      </c>
      <c r="N3595" s="46" t="s">
        <v>14</v>
      </c>
      <c r="O3595" s="49" t="s">
        <v>814</v>
      </c>
      <c r="P3595" s="49" t="s">
        <v>4910</v>
      </c>
      <c r="Q3595" s="35" t="str">
        <f>MID(Tabla1[[#This Row],[Aplicación]],14,1)</f>
        <v>2</v>
      </c>
      <c r="R3595" s="35" t="s">
        <v>495</v>
      </c>
      <c r="S3595" s="35" t="str">
        <f>MID(Tabla1[[#This Row],[Aplicación]],6,2)</f>
        <v>11</v>
      </c>
      <c r="T3595" s="35" t="str">
        <f>VLOOKUP(Tabla1[[#This Row],[AREA]],Hoja1!A:B,2,FALSE)</f>
        <v>11. Salud pública y seguridad ciudadana</v>
      </c>
      <c r="U3595" s="35" t="str">
        <f>MID(Tabla1[[#This Row],[Aplicación]],9,4)</f>
        <v>1631</v>
      </c>
      <c r="V3595" s="35" t="str">
        <f>VLOOKUP(Tabla1[[#This Row],[PROGRAMA]],Hoja1!A:B,2,FALSE)</f>
        <v>1631. Limpieza viaria</v>
      </c>
      <c r="W3595" s="35" t="str">
        <f>MID(Tabla1[[#This Row],[Aplicación]],14,2)</f>
        <v>21</v>
      </c>
      <c r="X3595" s="35" t="str">
        <f>MID(Tabla1[[#This Row],[Aplicación]],14,6)</f>
        <v>214</v>
      </c>
    </row>
    <row r="3596" spans="1:24" x14ac:dyDescent="0.25">
      <c r="A3596" s="45">
        <v>220210045668</v>
      </c>
      <c r="B3596" s="46" t="s">
        <v>204</v>
      </c>
      <c r="C3596" s="47">
        <v>44414</v>
      </c>
      <c r="D3596" s="45">
        <v>22021002057</v>
      </c>
      <c r="E3596" s="46" t="s">
        <v>1715</v>
      </c>
      <c r="F3596" s="48">
        <v>364.31</v>
      </c>
      <c r="G3596" s="46" t="s">
        <v>269</v>
      </c>
      <c r="H3596" s="46" t="s">
        <v>5176</v>
      </c>
      <c r="I3596" s="45" t="s">
        <v>205</v>
      </c>
      <c r="J3596" s="46" t="s">
        <v>127</v>
      </c>
      <c r="K3596" s="46" t="s">
        <v>127</v>
      </c>
      <c r="L3596" s="46" t="s">
        <v>15</v>
      </c>
      <c r="M3596" s="46" t="s">
        <v>13</v>
      </c>
      <c r="N3596" s="46" t="s">
        <v>14</v>
      </c>
      <c r="O3596" s="49" t="s">
        <v>814</v>
      </c>
      <c r="P3596" s="49" t="s">
        <v>4910</v>
      </c>
      <c r="Q3596" s="35" t="str">
        <f>MID(Tabla1[[#This Row],[Aplicación]],14,1)</f>
        <v>2</v>
      </c>
      <c r="R3596" s="35" t="s">
        <v>495</v>
      </c>
      <c r="S3596" s="35" t="str">
        <f>MID(Tabla1[[#This Row],[Aplicación]],6,2)</f>
        <v>11</v>
      </c>
      <c r="T3596" s="35" t="str">
        <f>VLOOKUP(Tabla1[[#This Row],[AREA]],Hoja1!A:B,2,FALSE)</f>
        <v>11. Salud pública y seguridad ciudadana</v>
      </c>
      <c r="U3596" s="35" t="str">
        <f>MID(Tabla1[[#This Row],[Aplicación]],9,4)</f>
        <v>1631</v>
      </c>
      <c r="V3596" s="35" t="str">
        <f>VLOOKUP(Tabla1[[#This Row],[PROGRAMA]],Hoja1!A:B,2,FALSE)</f>
        <v>1631. Limpieza viaria</v>
      </c>
      <c r="W3596" s="35" t="str">
        <f>MID(Tabla1[[#This Row],[Aplicación]],14,2)</f>
        <v>22</v>
      </c>
      <c r="X3596" s="35" t="str">
        <f>MID(Tabla1[[#This Row],[Aplicación]],14,6)</f>
        <v>22199</v>
      </c>
    </row>
    <row r="3597" spans="1:24" x14ac:dyDescent="0.25">
      <c r="A3597" s="45">
        <v>220210045664</v>
      </c>
      <c r="B3597" s="46" t="s">
        <v>204</v>
      </c>
      <c r="C3597" s="47">
        <v>44414</v>
      </c>
      <c r="D3597" s="45">
        <v>22021002048</v>
      </c>
      <c r="E3597" s="46" t="s">
        <v>890</v>
      </c>
      <c r="F3597" s="48">
        <v>2470.9699999999998</v>
      </c>
      <c r="G3597" s="46" t="s">
        <v>269</v>
      </c>
      <c r="H3597" s="46" t="s">
        <v>5177</v>
      </c>
      <c r="I3597" s="45" t="s">
        <v>205</v>
      </c>
      <c r="J3597" s="46" t="s">
        <v>127</v>
      </c>
      <c r="K3597" s="46" t="s">
        <v>127</v>
      </c>
      <c r="L3597" s="46" t="s">
        <v>15</v>
      </c>
      <c r="M3597" s="46" t="s">
        <v>13</v>
      </c>
      <c r="N3597" s="46" t="s">
        <v>14</v>
      </c>
      <c r="O3597" s="49" t="s">
        <v>814</v>
      </c>
      <c r="P3597" s="49" t="s">
        <v>4910</v>
      </c>
      <c r="Q3597" s="35" t="str">
        <f>MID(Tabla1[[#This Row],[Aplicación]],14,1)</f>
        <v>2</v>
      </c>
      <c r="R3597" s="35" t="s">
        <v>495</v>
      </c>
      <c r="S3597" s="35" t="str">
        <f>MID(Tabla1[[#This Row],[Aplicación]],6,2)</f>
        <v>11</v>
      </c>
      <c r="T3597" s="35" t="str">
        <f>VLOOKUP(Tabla1[[#This Row],[AREA]],Hoja1!A:B,2,FALSE)</f>
        <v>11. Salud pública y seguridad ciudadana</v>
      </c>
      <c r="U3597" s="35" t="str">
        <f>MID(Tabla1[[#This Row],[Aplicación]],9,4)</f>
        <v>1621</v>
      </c>
      <c r="V3597" s="35" t="str">
        <f>VLOOKUP(Tabla1[[#This Row],[PROGRAMA]],Hoja1!A:B,2,FALSE)</f>
        <v>1621. Servicio de limpieza</v>
      </c>
      <c r="W3597" s="35" t="str">
        <f>MID(Tabla1[[#This Row],[Aplicación]],14,2)</f>
        <v>21</v>
      </c>
      <c r="X3597" s="35" t="str">
        <f>MID(Tabla1[[#This Row],[Aplicación]],14,6)</f>
        <v>214</v>
      </c>
    </row>
    <row r="3598" spans="1:24" x14ac:dyDescent="0.25">
      <c r="A3598" s="45">
        <v>220210047018</v>
      </c>
      <c r="B3598" s="46" t="s">
        <v>204</v>
      </c>
      <c r="C3598" s="47">
        <v>44421</v>
      </c>
      <c r="D3598" s="45">
        <v>22021002048</v>
      </c>
      <c r="E3598" s="46" t="s">
        <v>890</v>
      </c>
      <c r="F3598" s="48">
        <v>809.82</v>
      </c>
      <c r="G3598" s="46" t="s">
        <v>269</v>
      </c>
      <c r="H3598" s="46" t="s">
        <v>5178</v>
      </c>
      <c r="I3598" s="45" t="s">
        <v>205</v>
      </c>
      <c r="J3598" s="46" t="s">
        <v>127</v>
      </c>
      <c r="K3598" s="46" t="s">
        <v>127</v>
      </c>
      <c r="L3598" s="46" t="s">
        <v>15</v>
      </c>
      <c r="M3598" s="46" t="s">
        <v>13</v>
      </c>
      <c r="N3598" s="46" t="s">
        <v>14</v>
      </c>
      <c r="O3598" s="49" t="s">
        <v>814</v>
      </c>
      <c r="P3598" s="49" t="s">
        <v>4910</v>
      </c>
      <c r="Q3598" s="35" t="str">
        <f>MID(Tabla1[[#This Row],[Aplicación]],14,1)</f>
        <v>2</v>
      </c>
      <c r="R3598" s="35" t="s">
        <v>495</v>
      </c>
      <c r="S3598" s="35" t="str">
        <f>MID(Tabla1[[#This Row],[Aplicación]],6,2)</f>
        <v>11</v>
      </c>
      <c r="T3598" s="35" t="str">
        <f>VLOOKUP(Tabla1[[#This Row],[AREA]],Hoja1!A:B,2,FALSE)</f>
        <v>11. Salud pública y seguridad ciudadana</v>
      </c>
      <c r="U3598" s="35" t="str">
        <f>MID(Tabla1[[#This Row],[Aplicación]],9,4)</f>
        <v>1621</v>
      </c>
      <c r="V3598" s="35" t="str">
        <f>VLOOKUP(Tabla1[[#This Row],[PROGRAMA]],Hoja1!A:B,2,FALSE)</f>
        <v>1621. Servicio de limpieza</v>
      </c>
      <c r="W3598" s="35" t="str">
        <f>MID(Tabla1[[#This Row],[Aplicación]],14,2)</f>
        <v>21</v>
      </c>
      <c r="X3598" s="35" t="str">
        <f>MID(Tabla1[[#This Row],[Aplicación]],14,6)</f>
        <v>214</v>
      </c>
    </row>
    <row r="3599" spans="1:24" x14ac:dyDescent="0.25">
      <c r="A3599" s="45">
        <v>220210053494</v>
      </c>
      <c r="B3599" s="46" t="s">
        <v>204</v>
      </c>
      <c r="C3599" s="47">
        <v>44452</v>
      </c>
      <c r="D3599" s="45">
        <v>22021002048</v>
      </c>
      <c r="E3599" s="46" t="s">
        <v>890</v>
      </c>
      <c r="F3599" s="48">
        <v>2578.16</v>
      </c>
      <c r="G3599" s="46" t="s">
        <v>269</v>
      </c>
      <c r="H3599" s="46" t="s">
        <v>5179</v>
      </c>
      <c r="I3599" s="45" t="s">
        <v>205</v>
      </c>
      <c r="J3599" s="46" t="s">
        <v>127</v>
      </c>
      <c r="K3599" s="46" t="s">
        <v>127</v>
      </c>
      <c r="L3599" s="46" t="s">
        <v>15</v>
      </c>
      <c r="M3599" s="46" t="s">
        <v>13</v>
      </c>
      <c r="N3599" s="46" t="s">
        <v>14</v>
      </c>
      <c r="O3599" s="49" t="s">
        <v>814</v>
      </c>
      <c r="P3599" s="49" t="s">
        <v>4910</v>
      </c>
      <c r="Q3599" s="35" t="str">
        <f>MID(Tabla1[[#This Row],[Aplicación]],14,1)</f>
        <v>2</v>
      </c>
      <c r="R3599" s="35" t="s">
        <v>495</v>
      </c>
      <c r="S3599" s="35" t="str">
        <f>MID(Tabla1[[#This Row],[Aplicación]],6,2)</f>
        <v>11</v>
      </c>
      <c r="T3599" s="35" t="str">
        <f>VLOOKUP(Tabla1[[#This Row],[AREA]],Hoja1!A:B,2,FALSE)</f>
        <v>11. Salud pública y seguridad ciudadana</v>
      </c>
      <c r="U3599" s="35" t="str">
        <f>MID(Tabla1[[#This Row],[Aplicación]],9,4)</f>
        <v>1621</v>
      </c>
      <c r="V3599" s="35" t="str">
        <f>VLOOKUP(Tabla1[[#This Row],[PROGRAMA]],Hoja1!A:B,2,FALSE)</f>
        <v>1621. Servicio de limpieza</v>
      </c>
      <c r="W3599" s="35" t="str">
        <f>MID(Tabla1[[#This Row],[Aplicación]],14,2)</f>
        <v>21</v>
      </c>
      <c r="X3599" s="35" t="str">
        <f>MID(Tabla1[[#This Row],[Aplicación]],14,6)</f>
        <v>214</v>
      </c>
    </row>
    <row r="3600" spans="1:24" x14ac:dyDescent="0.25">
      <c r="A3600" s="45">
        <v>220210053498</v>
      </c>
      <c r="B3600" s="46" t="s">
        <v>204</v>
      </c>
      <c r="C3600" s="47">
        <v>44452</v>
      </c>
      <c r="D3600" s="45">
        <v>22021002048</v>
      </c>
      <c r="E3600" s="46" t="s">
        <v>890</v>
      </c>
      <c r="F3600" s="48">
        <v>2435.83</v>
      </c>
      <c r="G3600" s="46" t="s">
        <v>269</v>
      </c>
      <c r="H3600" s="46" t="s">
        <v>5180</v>
      </c>
      <c r="I3600" s="45" t="s">
        <v>205</v>
      </c>
      <c r="J3600" s="46" t="s">
        <v>127</v>
      </c>
      <c r="K3600" s="46" t="s">
        <v>127</v>
      </c>
      <c r="L3600" s="46" t="s">
        <v>15</v>
      </c>
      <c r="M3600" s="46" t="s">
        <v>13</v>
      </c>
      <c r="N3600" s="46" t="s">
        <v>14</v>
      </c>
      <c r="O3600" s="49" t="s">
        <v>814</v>
      </c>
      <c r="P3600" s="49" t="s">
        <v>4910</v>
      </c>
      <c r="Q3600" s="35" t="str">
        <f>MID(Tabla1[[#This Row],[Aplicación]],14,1)</f>
        <v>2</v>
      </c>
      <c r="R3600" s="35" t="s">
        <v>495</v>
      </c>
      <c r="S3600" s="35" t="str">
        <f>MID(Tabla1[[#This Row],[Aplicación]],6,2)</f>
        <v>11</v>
      </c>
      <c r="T3600" s="35" t="str">
        <f>VLOOKUP(Tabla1[[#This Row],[AREA]],Hoja1!A:B,2,FALSE)</f>
        <v>11. Salud pública y seguridad ciudadana</v>
      </c>
      <c r="U3600" s="35" t="str">
        <f>MID(Tabla1[[#This Row],[Aplicación]],9,4)</f>
        <v>1621</v>
      </c>
      <c r="V3600" s="35" t="str">
        <f>VLOOKUP(Tabla1[[#This Row],[PROGRAMA]],Hoja1!A:B,2,FALSE)</f>
        <v>1621. Servicio de limpieza</v>
      </c>
      <c r="W3600" s="35" t="str">
        <f>MID(Tabla1[[#This Row],[Aplicación]],14,2)</f>
        <v>21</v>
      </c>
      <c r="X3600" s="35" t="str">
        <f>MID(Tabla1[[#This Row],[Aplicación]],14,6)</f>
        <v>214</v>
      </c>
    </row>
    <row r="3601" spans="1:24" x14ac:dyDescent="0.25">
      <c r="A3601" s="45">
        <v>220210040947</v>
      </c>
      <c r="B3601" s="46" t="s">
        <v>204</v>
      </c>
      <c r="C3601" s="47">
        <v>44397</v>
      </c>
      <c r="D3601" s="45">
        <v>22021002449</v>
      </c>
      <c r="E3601" s="46" t="s">
        <v>1724</v>
      </c>
      <c r="F3601" s="48">
        <v>80.400000000000006</v>
      </c>
      <c r="G3601" s="46" t="s">
        <v>3902</v>
      </c>
      <c r="H3601" s="46" t="s">
        <v>1725</v>
      </c>
      <c r="I3601" s="45" t="s">
        <v>205</v>
      </c>
      <c r="J3601" s="46" t="s">
        <v>127</v>
      </c>
      <c r="K3601" s="46" t="s">
        <v>127</v>
      </c>
      <c r="L3601" s="46" t="s">
        <v>15</v>
      </c>
      <c r="M3601" s="46" t="s">
        <v>13</v>
      </c>
      <c r="N3601" s="46" t="s">
        <v>14</v>
      </c>
      <c r="O3601" s="49" t="s">
        <v>814</v>
      </c>
      <c r="P3601" s="49" t="s">
        <v>4910</v>
      </c>
      <c r="Q3601" s="35" t="str">
        <f>MID(Tabla1[[#This Row],[Aplicación]],14,1)</f>
        <v>6</v>
      </c>
      <c r="R3601" s="35" t="s">
        <v>496</v>
      </c>
      <c r="S3601" s="35" t="str">
        <f>MID(Tabla1[[#This Row],[Aplicación]],6,2)</f>
        <v>07</v>
      </c>
      <c r="T3601" s="35" t="str">
        <f>VLOOKUP(Tabla1[[#This Row],[AREA]],Hoja1!A:B,2,FALSE)</f>
        <v>07. Medio ambiente y desarrollo sostenible</v>
      </c>
      <c r="U3601" s="35" t="str">
        <f>MID(Tabla1[[#This Row],[Aplicación]],9,4)</f>
        <v>1711</v>
      </c>
      <c r="V3601" s="35" t="str">
        <f>VLOOKUP(Tabla1[[#This Row],[PROGRAMA]],Hoja1!A:B,2,FALSE)</f>
        <v>1711. Parques y jardines</v>
      </c>
      <c r="W3601" s="35" t="str">
        <f>MID(Tabla1[[#This Row],[Aplicación]],14,2)</f>
        <v>61</v>
      </c>
      <c r="X3601" s="35" t="str">
        <f>MID(Tabla1[[#This Row],[Aplicación]],14,6)</f>
        <v>619</v>
      </c>
    </row>
    <row r="3602" spans="1:24" x14ac:dyDescent="0.25">
      <c r="A3602" s="45">
        <v>220210036439</v>
      </c>
      <c r="B3602" s="46" t="s">
        <v>204</v>
      </c>
      <c r="C3602" s="47">
        <v>44384</v>
      </c>
      <c r="D3602" s="45">
        <v>22021001275</v>
      </c>
      <c r="E3602" s="46" t="s">
        <v>1334</v>
      </c>
      <c r="F3602" s="48">
        <v>718.32</v>
      </c>
      <c r="G3602" s="46" t="s">
        <v>135</v>
      </c>
      <c r="H3602" s="46" t="s">
        <v>1461</v>
      </c>
      <c r="I3602" s="45" t="s">
        <v>205</v>
      </c>
      <c r="J3602" s="46" t="s">
        <v>127</v>
      </c>
      <c r="K3602" s="46" t="s">
        <v>127</v>
      </c>
      <c r="L3602" s="46" t="s">
        <v>15</v>
      </c>
      <c r="M3602" s="46" t="s">
        <v>13</v>
      </c>
      <c r="N3602" s="46" t="s">
        <v>14</v>
      </c>
      <c r="O3602" s="49" t="s">
        <v>814</v>
      </c>
      <c r="P3602" s="49" t="s">
        <v>4910</v>
      </c>
      <c r="Q3602" s="35" t="str">
        <f>MID(Tabla1[[#This Row],[Aplicación]],14,1)</f>
        <v>2</v>
      </c>
      <c r="R3602" s="35" t="s">
        <v>495</v>
      </c>
      <c r="S3602" s="35" t="str">
        <f>MID(Tabla1[[#This Row],[Aplicación]],6,2)</f>
        <v>07</v>
      </c>
      <c r="T3602" s="35" t="str">
        <f>VLOOKUP(Tabla1[[#This Row],[AREA]],Hoja1!A:B,2,FALSE)</f>
        <v>07. Medio ambiente y desarrollo sostenible</v>
      </c>
      <c r="U3602" s="35" t="str">
        <f>MID(Tabla1[[#This Row],[Aplicación]],9,4)</f>
        <v>1711</v>
      </c>
      <c r="V3602" s="35" t="str">
        <f>VLOOKUP(Tabla1[[#This Row],[PROGRAMA]],Hoja1!A:B,2,FALSE)</f>
        <v>1711. Parques y jardines</v>
      </c>
      <c r="W3602" s="35" t="str">
        <f>MID(Tabla1[[#This Row],[Aplicación]],14,2)</f>
        <v>22</v>
      </c>
      <c r="X3602" s="35" t="str">
        <f>MID(Tabla1[[#This Row],[Aplicación]],14,6)</f>
        <v>22199</v>
      </c>
    </row>
    <row r="3603" spans="1:24" x14ac:dyDescent="0.25">
      <c r="A3603" s="45">
        <v>220210037289</v>
      </c>
      <c r="B3603" s="46" t="s">
        <v>9</v>
      </c>
      <c r="C3603" s="47">
        <v>44391</v>
      </c>
      <c r="D3603" s="45">
        <v>22021004840</v>
      </c>
      <c r="E3603" s="46" t="s">
        <v>2002</v>
      </c>
      <c r="F3603" s="48">
        <v>3217.63</v>
      </c>
      <c r="G3603" s="46" t="s">
        <v>135</v>
      </c>
      <c r="H3603" s="46" t="s">
        <v>5181</v>
      </c>
      <c r="I3603" s="45" t="s">
        <v>125</v>
      </c>
      <c r="J3603" s="46" t="s">
        <v>127</v>
      </c>
      <c r="K3603" s="46" t="s">
        <v>127</v>
      </c>
      <c r="L3603" s="46" t="s">
        <v>15</v>
      </c>
      <c r="M3603" s="46" t="s">
        <v>13</v>
      </c>
      <c r="N3603" s="46" t="s">
        <v>14</v>
      </c>
      <c r="O3603" s="49" t="s">
        <v>803</v>
      </c>
      <c r="P3603" s="49" t="s">
        <v>4910</v>
      </c>
      <c r="Q3603" s="35" t="str">
        <f>MID(Tabla1[[#This Row],[Aplicación]],14,1)</f>
        <v>2</v>
      </c>
      <c r="R3603" s="35" t="s">
        <v>495</v>
      </c>
      <c r="S3603" s="35" t="str">
        <f>MID(Tabla1[[#This Row],[Aplicación]],6,2)</f>
        <v>11</v>
      </c>
      <c r="T3603" s="35" t="str">
        <f>VLOOKUP(Tabla1[[#This Row],[AREA]],Hoja1!A:B,2,FALSE)</f>
        <v>11. Salud pública y seguridad ciudadana</v>
      </c>
      <c r="U3603" s="35" t="str">
        <f>MID(Tabla1[[#This Row],[Aplicación]],9,4)</f>
        <v>1621</v>
      </c>
      <c r="V3603" s="35" t="str">
        <f>VLOOKUP(Tabla1[[#This Row],[PROGRAMA]],Hoja1!A:B,2,FALSE)</f>
        <v>1621. Servicio de limpieza</v>
      </c>
      <c r="W3603" s="35" t="str">
        <f>MID(Tabla1[[#This Row],[Aplicación]],14,2)</f>
        <v>22</v>
      </c>
      <c r="X3603" s="35" t="str">
        <f>MID(Tabla1[[#This Row],[Aplicación]],14,6)</f>
        <v>22104</v>
      </c>
    </row>
    <row r="3604" spans="1:24" x14ac:dyDescent="0.25">
      <c r="A3604" s="45">
        <v>220210037292</v>
      </c>
      <c r="B3604" s="46" t="s">
        <v>9</v>
      </c>
      <c r="C3604" s="47">
        <v>44391</v>
      </c>
      <c r="D3604" s="45">
        <v>22021004844</v>
      </c>
      <c r="E3604" s="46" t="s">
        <v>1613</v>
      </c>
      <c r="F3604" s="48">
        <v>6837.47</v>
      </c>
      <c r="G3604" s="46" t="s">
        <v>135</v>
      </c>
      <c r="H3604" s="46" t="s">
        <v>5182</v>
      </c>
      <c r="I3604" s="45" t="s">
        <v>125</v>
      </c>
      <c r="J3604" s="46" t="s">
        <v>127</v>
      </c>
      <c r="K3604" s="46" t="s">
        <v>127</v>
      </c>
      <c r="L3604" s="46" t="s">
        <v>15</v>
      </c>
      <c r="M3604" s="46" t="s">
        <v>13</v>
      </c>
      <c r="N3604" s="46" t="s">
        <v>14</v>
      </c>
      <c r="O3604" s="49" t="s">
        <v>803</v>
      </c>
      <c r="P3604" s="49" t="s">
        <v>4910</v>
      </c>
      <c r="Q3604" s="35" t="str">
        <f>MID(Tabla1[[#This Row],[Aplicación]],14,1)</f>
        <v>2</v>
      </c>
      <c r="R3604" s="35" t="s">
        <v>495</v>
      </c>
      <c r="S3604" s="35" t="str">
        <f>MID(Tabla1[[#This Row],[Aplicación]],6,2)</f>
        <v>11</v>
      </c>
      <c r="T3604" s="35" t="str">
        <f>VLOOKUP(Tabla1[[#This Row],[AREA]],Hoja1!A:B,2,FALSE)</f>
        <v>11. Salud pública y seguridad ciudadana</v>
      </c>
      <c r="U3604" s="35" t="str">
        <f>MID(Tabla1[[#This Row],[Aplicación]],9,4)</f>
        <v>1631</v>
      </c>
      <c r="V3604" s="35" t="str">
        <f>VLOOKUP(Tabla1[[#This Row],[PROGRAMA]],Hoja1!A:B,2,FALSE)</f>
        <v>1631. Limpieza viaria</v>
      </c>
      <c r="W3604" s="35" t="str">
        <f>MID(Tabla1[[#This Row],[Aplicación]],14,2)</f>
        <v>22</v>
      </c>
      <c r="X3604" s="35" t="str">
        <f>MID(Tabla1[[#This Row],[Aplicación]],14,6)</f>
        <v>22104</v>
      </c>
    </row>
    <row r="3605" spans="1:24" x14ac:dyDescent="0.25">
      <c r="A3605" s="45">
        <v>220210036394</v>
      </c>
      <c r="B3605" s="46" t="s">
        <v>204</v>
      </c>
      <c r="C3605" s="47">
        <v>44384</v>
      </c>
      <c r="D3605" s="45">
        <v>22021000542</v>
      </c>
      <c r="E3605" s="46" t="s">
        <v>2913</v>
      </c>
      <c r="F3605" s="48">
        <v>49.32</v>
      </c>
      <c r="G3605" s="46" t="s">
        <v>135</v>
      </c>
      <c r="H3605" s="46" t="s">
        <v>5183</v>
      </c>
      <c r="I3605" s="45" t="s">
        <v>205</v>
      </c>
      <c r="J3605" s="46" t="s">
        <v>127</v>
      </c>
      <c r="K3605" s="46" t="s">
        <v>127</v>
      </c>
      <c r="L3605" s="46" t="s">
        <v>17</v>
      </c>
      <c r="M3605" s="46" t="s">
        <v>13</v>
      </c>
      <c r="N3605" s="46" t="s">
        <v>14</v>
      </c>
      <c r="O3605" s="49" t="s">
        <v>814</v>
      </c>
      <c r="P3605" s="49" t="s">
        <v>4910</v>
      </c>
      <c r="Q3605" s="35" t="str">
        <f>MID(Tabla1[[#This Row],[Aplicación]],14,1)</f>
        <v>2</v>
      </c>
      <c r="R3605" s="35" t="s">
        <v>495</v>
      </c>
      <c r="S3605" s="35" t="str">
        <f>MID(Tabla1[[#This Row],[Aplicación]],6,2)</f>
        <v>08</v>
      </c>
      <c r="T3605" s="35" t="str">
        <f>VLOOKUP(Tabla1[[#This Row],[AREA]],Hoja1!A:B,2,FALSE)</f>
        <v>08. Movilidad y espacio urbano</v>
      </c>
      <c r="U3605" s="35" t="str">
        <f>MID(Tabla1[[#This Row],[Aplicación]],9,4)</f>
        <v>1341</v>
      </c>
      <c r="V3605" s="35" t="str">
        <f>VLOOKUP(Tabla1[[#This Row],[PROGRAMA]],Hoja1!A:B,2,FALSE)</f>
        <v>1341. Movilidad</v>
      </c>
      <c r="W3605" s="35" t="str">
        <f>MID(Tabla1[[#This Row],[Aplicación]],14,2)</f>
        <v>22</v>
      </c>
      <c r="X3605" s="35" t="str">
        <f>MID(Tabla1[[#This Row],[Aplicación]],14,6)</f>
        <v>22699</v>
      </c>
    </row>
    <row r="3606" spans="1:24" x14ac:dyDescent="0.25">
      <c r="A3606" s="45">
        <v>220210043921</v>
      </c>
      <c r="B3606" s="46" t="s">
        <v>204</v>
      </c>
      <c r="C3606" s="47">
        <v>44405</v>
      </c>
      <c r="D3606" s="45">
        <v>22021001968</v>
      </c>
      <c r="E3606" s="46" t="s">
        <v>1388</v>
      </c>
      <c r="F3606" s="48">
        <v>93.56</v>
      </c>
      <c r="G3606" s="46" t="s">
        <v>135</v>
      </c>
      <c r="H3606" s="46" t="s">
        <v>5184</v>
      </c>
      <c r="I3606" s="45" t="s">
        <v>205</v>
      </c>
      <c r="J3606" s="46" t="s">
        <v>127</v>
      </c>
      <c r="K3606" s="46" t="s">
        <v>127</v>
      </c>
      <c r="L3606" s="46" t="s">
        <v>15</v>
      </c>
      <c r="M3606" s="46" t="s">
        <v>13</v>
      </c>
      <c r="N3606" s="46" t="s">
        <v>14</v>
      </c>
      <c r="O3606" s="49" t="s">
        <v>814</v>
      </c>
      <c r="P3606" s="49" t="s">
        <v>4910</v>
      </c>
      <c r="Q3606" s="35" t="str">
        <f>MID(Tabla1[[#This Row],[Aplicación]],14,1)</f>
        <v>2</v>
      </c>
      <c r="R3606" s="35" t="s">
        <v>495</v>
      </c>
      <c r="S3606" s="35" t="str">
        <f>MID(Tabla1[[#This Row],[Aplicación]],6,2)</f>
        <v>11</v>
      </c>
      <c r="T3606" s="35" t="str">
        <f>VLOOKUP(Tabla1[[#This Row],[AREA]],Hoja1!A:B,2,FALSE)</f>
        <v>11. Salud pública y seguridad ciudadana</v>
      </c>
      <c r="U3606" s="35" t="str">
        <f>MID(Tabla1[[#This Row],[Aplicación]],9,4)</f>
        <v>1321</v>
      </c>
      <c r="V3606" s="35" t="str">
        <f>VLOOKUP(Tabla1[[#This Row],[PROGRAMA]],Hoja1!A:B,2,FALSE)</f>
        <v>1321. Policía municipal</v>
      </c>
      <c r="W3606" s="35" t="str">
        <f>MID(Tabla1[[#This Row],[Aplicación]],14,2)</f>
        <v>22</v>
      </c>
      <c r="X3606" s="35" t="str">
        <f>MID(Tabla1[[#This Row],[Aplicación]],14,6)</f>
        <v>22199</v>
      </c>
    </row>
    <row r="3607" spans="1:24" x14ac:dyDescent="0.25">
      <c r="A3607" s="45">
        <v>220210044622</v>
      </c>
      <c r="B3607" s="46" t="s">
        <v>204</v>
      </c>
      <c r="C3607" s="47">
        <v>44407</v>
      </c>
      <c r="D3607" s="45">
        <v>22021001970</v>
      </c>
      <c r="E3607" s="46" t="s">
        <v>1596</v>
      </c>
      <c r="F3607" s="48">
        <v>1210</v>
      </c>
      <c r="G3607" s="46" t="s">
        <v>135</v>
      </c>
      <c r="H3607" s="46" t="s">
        <v>5185</v>
      </c>
      <c r="I3607" s="45" t="s">
        <v>205</v>
      </c>
      <c r="J3607" s="46" t="s">
        <v>127</v>
      </c>
      <c r="K3607" s="46" t="s">
        <v>127</v>
      </c>
      <c r="L3607" s="46" t="s">
        <v>15</v>
      </c>
      <c r="M3607" s="46" t="s">
        <v>13</v>
      </c>
      <c r="N3607" s="46" t="s">
        <v>14</v>
      </c>
      <c r="O3607" s="49" t="s">
        <v>814</v>
      </c>
      <c r="P3607" s="49" t="s">
        <v>4910</v>
      </c>
      <c r="Q3607" s="35" t="str">
        <f>MID(Tabla1[[#This Row],[Aplicación]],14,1)</f>
        <v>2</v>
      </c>
      <c r="R3607" s="35" t="s">
        <v>495</v>
      </c>
      <c r="S3607" s="35" t="str">
        <f>MID(Tabla1[[#This Row],[Aplicación]],6,2)</f>
        <v>11</v>
      </c>
      <c r="T3607" s="35" t="str">
        <f>VLOOKUP(Tabla1[[#This Row],[AREA]],Hoja1!A:B,2,FALSE)</f>
        <v>11. Salud pública y seguridad ciudadana</v>
      </c>
      <c r="U3607" s="35" t="str">
        <f>MID(Tabla1[[#This Row],[Aplicación]],9,4)</f>
        <v>1321</v>
      </c>
      <c r="V3607" s="35" t="str">
        <f>VLOOKUP(Tabla1[[#This Row],[PROGRAMA]],Hoja1!A:B,2,FALSE)</f>
        <v>1321. Policía municipal</v>
      </c>
      <c r="W3607" s="35" t="str">
        <f>MID(Tabla1[[#This Row],[Aplicación]],14,2)</f>
        <v>22</v>
      </c>
      <c r="X3607" s="35" t="str">
        <f>MID(Tabla1[[#This Row],[Aplicación]],14,6)</f>
        <v>22699</v>
      </c>
    </row>
    <row r="3608" spans="1:24" x14ac:dyDescent="0.25">
      <c r="A3608" s="45">
        <v>220210043905</v>
      </c>
      <c r="B3608" s="46" t="s">
        <v>204</v>
      </c>
      <c r="C3608" s="47">
        <v>44405</v>
      </c>
      <c r="D3608" s="45">
        <v>22021003381</v>
      </c>
      <c r="E3608" s="46" t="s">
        <v>1183</v>
      </c>
      <c r="F3608" s="48">
        <v>29.89</v>
      </c>
      <c r="G3608" s="46" t="s">
        <v>135</v>
      </c>
      <c r="H3608" s="46" t="s">
        <v>5186</v>
      </c>
      <c r="I3608" s="45" t="s">
        <v>205</v>
      </c>
      <c r="J3608" s="46" t="s">
        <v>127</v>
      </c>
      <c r="K3608" s="46" t="s">
        <v>127</v>
      </c>
      <c r="L3608" s="46" t="s">
        <v>15</v>
      </c>
      <c r="M3608" s="46" t="s">
        <v>13</v>
      </c>
      <c r="N3608" s="46" t="s">
        <v>14</v>
      </c>
      <c r="O3608" s="49" t="s">
        <v>814</v>
      </c>
      <c r="P3608" s="49" t="s">
        <v>4910</v>
      </c>
      <c r="Q3608" s="35" t="str">
        <f>MID(Tabla1[[#This Row],[Aplicación]],14,1)</f>
        <v>2</v>
      </c>
      <c r="R3608" s="35" t="s">
        <v>495</v>
      </c>
      <c r="S3608" s="35" t="str">
        <f>MID(Tabla1[[#This Row],[Aplicación]],6,2)</f>
        <v>11</v>
      </c>
      <c r="T3608" s="35" t="str">
        <f>VLOOKUP(Tabla1[[#This Row],[AREA]],Hoja1!A:B,2,FALSE)</f>
        <v>11. Salud pública y seguridad ciudadana</v>
      </c>
      <c r="U3608" s="35" t="str">
        <f>MID(Tabla1[[#This Row],[Aplicación]],9,4)</f>
        <v>1361</v>
      </c>
      <c r="V3608" s="35" t="str">
        <f>VLOOKUP(Tabla1[[#This Row],[PROGRAMA]],Hoja1!A:B,2,FALSE)</f>
        <v>1361. Prevención y extinción de incencios</v>
      </c>
      <c r="W3608" s="35" t="str">
        <f>MID(Tabla1[[#This Row],[Aplicación]],14,2)</f>
        <v>22</v>
      </c>
      <c r="X3608" s="35" t="str">
        <f>MID(Tabla1[[#This Row],[Aplicación]],14,6)</f>
        <v>22199</v>
      </c>
    </row>
    <row r="3609" spans="1:24" x14ac:dyDescent="0.25">
      <c r="A3609" s="45">
        <v>220210043903</v>
      </c>
      <c r="B3609" s="46" t="s">
        <v>204</v>
      </c>
      <c r="C3609" s="47">
        <v>44405</v>
      </c>
      <c r="D3609" s="45">
        <v>22021003381</v>
      </c>
      <c r="E3609" s="46" t="s">
        <v>1183</v>
      </c>
      <c r="F3609" s="48">
        <v>74.2</v>
      </c>
      <c r="G3609" s="46" t="s">
        <v>135</v>
      </c>
      <c r="H3609" s="46" t="s">
        <v>5187</v>
      </c>
      <c r="I3609" s="45" t="s">
        <v>205</v>
      </c>
      <c r="J3609" s="46" t="s">
        <v>127</v>
      </c>
      <c r="K3609" s="46" t="s">
        <v>127</v>
      </c>
      <c r="L3609" s="46" t="s">
        <v>15</v>
      </c>
      <c r="M3609" s="46" t="s">
        <v>13</v>
      </c>
      <c r="N3609" s="46" t="s">
        <v>14</v>
      </c>
      <c r="O3609" s="49" t="s">
        <v>814</v>
      </c>
      <c r="P3609" s="49" t="s">
        <v>4910</v>
      </c>
      <c r="Q3609" s="35" t="str">
        <f>MID(Tabla1[[#This Row],[Aplicación]],14,1)</f>
        <v>2</v>
      </c>
      <c r="R3609" s="35" t="s">
        <v>495</v>
      </c>
      <c r="S3609" s="35" t="str">
        <f>MID(Tabla1[[#This Row],[Aplicación]],6,2)</f>
        <v>11</v>
      </c>
      <c r="T3609" s="35" t="str">
        <f>VLOOKUP(Tabla1[[#This Row],[AREA]],Hoja1!A:B,2,FALSE)</f>
        <v>11. Salud pública y seguridad ciudadana</v>
      </c>
      <c r="U3609" s="35" t="str">
        <f>MID(Tabla1[[#This Row],[Aplicación]],9,4)</f>
        <v>1361</v>
      </c>
      <c r="V3609" s="35" t="str">
        <f>VLOOKUP(Tabla1[[#This Row],[PROGRAMA]],Hoja1!A:B,2,FALSE)</f>
        <v>1361. Prevención y extinción de incencios</v>
      </c>
      <c r="W3609" s="35" t="str">
        <f>MID(Tabla1[[#This Row],[Aplicación]],14,2)</f>
        <v>22</v>
      </c>
      <c r="X3609" s="35" t="str">
        <f>MID(Tabla1[[#This Row],[Aplicación]],14,6)</f>
        <v>22199</v>
      </c>
    </row>
    <row r="3610" spans="1:24" x14ac:dyDescent="0.25">
      <c r="A3610" s="45">
        <v>220210044492</v>
      </c>
      <c r="B3610" s="46" t="s">
        <v>204</v>
      </c>
      <c r="C3610" s="47">
        <v>44407</v>
      </c>
      <c r="D3610" s="45">
        <v>22021002006</v>
      </c>
      <c r="E3610" s="46" t="s">
        <v>1310</v>
      </c>
      <c r="F3610" s="48">
        <v>150.68</v>
      </c>
      <c r="G3610" s="46" t="s">
        <v>135</v>
      </c>
      <c r="H3610" s="46" t="s">
        <v>5188</v>
      </c>
      <c r="I3610" s="45" t="s">
        <v>205</v>
      </c>
      <c r="J3610" s="46" t="s">
        <v>127</v>
      </c>
      <c r="K3610" s="46" t="s">
        <v>127</v>
      </c>
      <c r="L3610" s="46" t="s">
        <v>15</v>
      </c>
      <c r="M3610" s="46" t="s">
        <v>13</v>
      </c>
      <c r="N3610" s="46" t="s">
        <v>14</v>
      </c>
      <c r="O3610" s="49" t="s">
        <v>814</v>
      </c>
      <c r="P3610" s="49" t="s">
        <v>4910</v>
      </c>
      <c r="Q3610" s="35" t="str">
        <f>MID(Tabla1[[#This Row],[Aplicación]],14,1)</f>
        <v>2</v>
      </c>
      <c r="R3610" s="35" t="s">
        <v>495</v>
      </c>
      <c r="S3610" s="35" t="str">
        <f>MID(Tabla1[[#This Row],[Aplicación]],6,2)</f>
        <v>11</v>
      </c>
      <c r="T3610" s="35" t="str">
        <f>VLOOKUP(Tabla1[[#This Row],[AREA]],Hoja1!A:B,2,FALSE)</f>
        <v>11. Salud pública y seguridad ciudadana</v>
      </c>
      <c r="U3610" s="35" t="str">
        <f>MID(Tabla1[[#This Row],[Aplicación]],9,4)</f>
        <v>3111</v>
      </c>
      <c r="V3610" s="35" t="str">
        <f>VLOOKUP(Tabla1[[#This Row],[PROGRAMA]],Hoja1!A:B,2,FALSE)</f>
        <v>3111. Protección de la salubridad pública</v>
      </c>
      <c r="W3610" s="35" t="str">
        <f>MID(Tabla1[[#This Row],[Aplicación]],14,2)</f>
        <v>22</v>
      </c>
      <c r="X3610" s="35" t="str">
        <f>MID(Tabla1[[#This Row],[Aplicación]],14,6)</f>
        <v>22199</v>
      </c>
    </row>
    <row r="3611" spans="1:24" x14ac:dyDescent="0.25">
      <c r="A3611" s="45">
        <v>220210036384</v>
      </c>
      <c r="B3611" s="46" t="s">
        <v>204</v>
      </c>
      <c r="C3611" s="47">
        <v>44384</v>
      </c>
      <c r="D3611" s="45">
        <v>22021002006</v>
      </c>
      <c r="E3611" s="46" t="s">
        <v>1310</v>
      </c>
      <c r="F3611" s="48">
        <v>107.45</v>
      </c>
      <c r="G3611" s="46" t="s">
        <v>135</v>
      </c>
      <c r="H3611" s="46" t="s">
        <v>5189</v>
      </c>
      <c r="I3611" s="45" t="s">
        <v>205</v>
      </c>
      <c r="J3611" s="46" t="s">
        <v>127</v>
      </c>
      <c r="K3611" s="46" t="s">
        <v>127</v>
      </c>
      <c r="L3611" s="46" t="s">
        <v>15</v>
      </c>
      <c r="M3611" s="46" t="s">
        <v>13</v>
      </c>
      <c r="N3611" s="46" t="s">
        <v>14</v>
      </c>
      <c r="O3611" s="49" t="s">
        <v>814</v>
      </c>
      <c r="P3611" s="49" t="s">
        <v>4910</v>
      </c>
      <c r="Q3611" s="35" t="str">
        <f>MID(Tabla1[[#This Row],[Aplicación]],14,1)</f>
        <v>2</v>
      </c>
      <c r="R3611" s="35" t="s">
        <v>495</v>
      </c>
      <c r="S3611" s="35" t="str">
        <f>MID(Tabla1[[#This Row],[Aplicación]],6,2)</f>
        <v>11</v>
      </c>
      <c r="T3611" s="35" t="str">
        <f>VLOOKUP(Tabla1[[#This Row],[AREA]],Hoja1!A:B,2,FALSE)</f>
        <v>11. Salud pública y seguridad ciudadana</v>
      </c>
      <c r="U3611" s="35" t="str">
        <f>MID(Tabla1[[#This Row],[Aplicación]],9,4)</f>
        <v>3111</v>
      </c>
      <c r="V3611" s="35" t="str">
        <f>VLOOKUP(Tabla1[[#This Row],[PROGRAMA]],Hoja1!A:B,2,FALSE)</f>
        <v>3111. Protección de la salubridad pública</v>
      </c>
      <c r="W3611" s="35" t="str">
        <f>MID(Tabla1[[#This Row],[Aplicación]],14,2)</f>
        <v>22</v>
      </c>
      <c r="X3611" s="35" t="str">
        <f>MID(Tabla1[[#This Row],[Aplicación]],14,6)</f>
        <v>22199</v>
      </c>
    </row>
    <row r="3612" spans="1:24" x14ac:dyDescent="0.25">
      <c r="A3612" s="45">
        <v>220210045419</v>
      </c>
      <c r="B3612" s="46" t="s">
        <v>204</v>
      </c>
      <c r="C3612" s="47">
        <v>44413</v>
      </c>
      <c r="D3612" s="45">
        <v>22021001275</v>
      </c>
      <c r="E3612" s="46" t="s">
        <v>1334</v>
      </c>
      <c r="F3612" s="48">
        <v>401.72</v>
      </c>
      <c r="G3612" s="46" t="s">
        <v>135</v>
      </c>
      <c r="H3612" s="46" t="s">
        <v>1461</v>
      </c>
      <c r="I3612" s="45" t="s">
        <v>205</v>
      </c>
      <c r="J3612" s="46" t="s">
        <v>127</v>
      </c>
      <c r="K3612" s="46" t="s">
        <v>127</v>
      </c>
      <c r="L3612" s="46" t="s">
        <v>15</v>
      </c>
      <c r="M3612" s="46" t="s">
        <v>13</v>
      </c>
      <c r="N3612" s="46" t="s">
        <v>14</v>
      </c>
      <c r="O3612" s="49" t="s">
        <v>814</v>
      </c>
      <c r="P3612" s="49" t="s">
        <v>4910</v>
      </c>
      <c r="Q3612" s="35" t="str">
        <f>MID(Tabla1[[#This Row],[Aplicación]],14,1)</f>
        <v>2</v>
      </c>
      <c r="R3612" s="35" t="s">
        <v>495</v>
      </c>
      <c r="S3612" s="35" t="str">
        <f>MID(Tabla1[[#This Row],[Aplicación]],6,2)</f>
        <v>07</v>
      </c>
      <c r="T3612" s="35" t="str">
        <f>VLOOKUP(Tabla1[[#This Row],[AREA]],Hoja1!A:B,2,FALSE)</f>
        <v>07. Medio ambiente y desarrollo sostenible</v>
      </c>
      <c r="U3612" s="35" t="str">
        <f>MID(Tabla1[[#This Row],[Aplicación]],9,4)</f>
        <v>1711</v>
      </c>
      <c r="V3612" s="35" t="str">
        <f>VLOOKUP(Tabla1[[#This Row],[PROGRAMA]],Hoja1!A:B,2,FALSE)</f>
        <v>1711. Parques y jardines</v>
      </c>
      <c r="W3612" s="35" t="str">
        <f>MID(Tabla1[[#This Row],[Aplicación]],14,2)</f>
        <v>22</v>
      </c>
      <c r="X3612" s="35" t="str">
        <f>MID(Tabla1[[#This Row],[Aplicación]],14,6)</f>
        <v>22199</v>
      </c>
    </row>
    <row r="3613" spans="1:24" x14ac:dyDescent="0.25">
      <c r="A3613" s="45">
        <v>220210045149</v>
      </c>
      <c r="B3613" s="46" t="s">
        <v>204</v>
      </c>
      <c r="C3613" s="47">
        <v>44411</v>
      </c>
      <c r="D3613" s="45">
        <v>22021001275</v>
      </c>
      <c r="E3613" s="46" t="s">
        <v>1334</v>
      </c>
      <c r="F3613" s="48">
        <v>207.82</v>
      </c>
      <c r="G3613" s="46" t="s">
        <v>135</v>
      </c>
      <c r="H3613" s="46" t="s">
        <v>1461</v>
      </c>
      <c r="I3613" s="45" t="s">
        <v>205</v>
      </c>
      <c r="J3613" s="46" t="s">
        <v>127</v>
      </c>
      <c r="K3613" s="46" t="s">
        <v>127</v>
      </c>
      <c r="L3613" s="46" t="s">
        <v>15</v>
      </c>
      <c r="M3613" s="46" t="s">
        <v>13</v>
      </c>
      <c r="N3613" s="46" t="s">
        <v>14</v>
      </c>
      <c r="O3613" s="49" t="s">
        <v>814</v>
      </c>
      <c r="P3613" s="49" t="s">
        <v>4910</v>
      </c>
      <c r="Q3613" s="35" t="str">
        <f>MID(Tabla1[[#This Row],[Aplicación]],14,1)</f>
        <v>2</v>
      </c>
      <c r="R3613" s="35" t="s">
        <v>495</v>
      </c>
      <c r="S3613" s="35" t="str">
        <f>MID(Tabla1[[#This Row],[Aplicación]],6,2)</f>
        <v>07</v>
      </c>
      <c r="T3613" s="35" t="str">
        <f>VLOOKUP(Tabla1[[#This Row],[AREA]],Hoja1!A:B,2,FALSE)</f>
        <v>07. Medio ambiente y desarrollo sostenible</v>
      </c>
      <c r="U3613" s="35" t="str">
        <f>MID(Tabla1[[#This Row],[Aplicación]],9,4)</f>
        <v>1711</v>
      </c>
      <c r="V3613" s="35" t="str">
        <f>VLOOKUP(Tabla1[[#This Row],[PROGRAMA]],Hoja1!A:B,2,FALSE)</f>
        <v>1711. Parques y jardines</v>
      </c>
      <c r="W3613" s="35" t="str">
        <f>MID(Tabla1[[#This Row],[Aplicación]],14,2)</f>
        <v>22</v>
      </c>
      <c r="X3613" s="35" t="str">
        <f>MID(Tabla1[[#This Row],[Aplicación]],14,6)</f>
        <v>22199</v>
      </c>
    </row>
    <row r="3614" spans="1:24" x14ac:dyDescent="0.25">
      <c r="A3614" s="45">
        <v>220210045101</v>
      </c>
      <c r="B3614" s="46" t="s">
        <v>204</v>
      </c>
      <c r="C3614" s="47">
        <v>44411</v>
      </c>
      <c r="D3614" s="45">
        <v>22021003381</v>
      </c>
      <c r="E3614" s="46" t="s">
        <v>1183</v>
      </c>
      <c r="F3614" s="48">
        <v>41.31</v>
      </c>
      <c r="G3614" s="46" t="s">
        <v>135</v>
      </c>
      <c r="H3614" s="46" t="s">
        <v>5190</v>
      </c>
      <c r="I3614" s="45" t="s">
        <v>205</v>
      </c>
      <c r="J3614" s="46" t="s">
        <v>127</v>
      </c>
      <c r="K3614" s="46" t="s">
        <v>127</v>
      </c>
      <c r="L3614" s="46" t="s">
        <v>15</v>
      </c>
      <c r="M3614" s="46" t="s">
        <v>13</v>
      </c>
      <c r="N3614" s="46" t="s">
        <v>14</v>
      </c>
      <c r="O3614" s="49" t="s">
        <v>814</v>
      </c>
      <c r="P3614" s="49" t="s">
        <v>4910</v>
      </c>
      <c r="Q3614" s="35" t="str">
        <f>MID(Tabla1[[#This Row],[Aplicación]],14,1)</f>
        <v>2</v>
      </c>
      <c r="R3614" s="35" t="s">
        <v>495</v>
      </c>
      <c r="S3614" s="35" t="str">
        <f>MID(Tabla1[[#This Row],[Aplicación]],6,2)</f>
        <v>11</v>
      </c>
      <c r="T3614" s="35" t="str">
        <f>VLOOKUP(Tabla1[[#This Row],[AREA]],Hoja1!A:B,2,FALSE)</f>
        <v>11. Salud pública y seguridad ciudadana</v>
      </c>
      <c r="U3614" s="35" t="str">
        <f>MID(Tabla1[[#This Row],[Aplicación]],9,4)</f>
        <v>1361</v>
      </c>
      <c r="V3614" s="35" t="str">
        <f>VLOOKUP(Tabla1[[#This Row],[PROGRAMA]],Hoja1!A:B,2,FALSE)</f>
        <v>1361. Prevención y extinción de incencios</v>
      </c>
      <c r="W3614" s="35" t="str">
        <f>MID(Tabla1[[#This Row],[Aplicación]],14,2)</f>
        <v>22</v>
      </c>
      <c r="X3614" s="35" t="str">
        <f>MID(Tabla1[[#This Row],[Aplicación]],14,6)</f>
        <v>22199</v>
      </c>
    </row>
    <row r="3615" spans="1:24" x14ac:dyDescent="0.25">
      <c r="A3615" s="45">
        <v>220210045103</v>
      </c>
      <c r="B3615" s="46" t="s">
        <v>204</v>
      </c>
      <c r="C3615" s="47">
        <v>44411</v>
      </c>
      <c r="D3615" s="45">
        <v>22021003381</v>
      </c>
      <c r="E3615" s="46" t="s">
        <v>1183</v>
      </c>
      <c r="F3615" s="48">
        <v>16.27</v>
      </c>
      <c r="G3615" s="46" t="s">
        <v>135</v>
      </c>
      <c r="H3615" s="46" t="s">
        <v>5191</v>
      </c>
      <c r="I3615" s="45" t="s">
        <v>205</v>
      </c>
      <c r="J3615" s="46" t="s">
        <v>127</v>
      </c>
      <c r="K3615" s="46" t="s">
        <v>127</v>
      </c>
      <c r="L3615" s="46" t="s">
        <v>15</v>
      </c>
      <c r="M3615" s="46" t="s">
        <v>13</v>
      </c>
      <c r="N3615" s="46" t="s">
        <v>14</v>
      </c>
      <c r="O3615" s="49" t="s">
        <v>814</v>
      </c>
      <c r="P3615" s="49" t="s">
        <v>4910</v>
      </c>
      <c r="Q3615" s="35" t="str">
        <f>MID(Tabla1[[#This Row],[Aplicación]],14,1)</f>
        <v>2</v>
      </c>
      <c r="R3615" s="35" t="s">
        <v>495</v>
      </c>
      <c r="S3615" s="35" t="str">
        <f>MID(Tabla1[[#This Row],[Aplicación]],6,2)</f>
        <v>11</v>
      </c>
      <c r="T3615" s="35" t="str">
        <f>VLOOKUP(Tabla1[[#This Row],[AREA]],Hoja1!A:B,2,FALSE)</f>
        <v>11. Salud pública y seguridad ciudadana</v>
      </c>
      <c r="U3615" s="35" t="str">
        <f>MID(Tabla1[[#This Row],[Aplicación]],9,4)</f>
        <v>1361</v>
      </c>
      <c r="V3615" s="35" t="str">
        <f>VLOOKUP(Tabla1[[#This Row],[PROGRAMA]],Hoja1!A:B,2,FALSE)</f>
        <v>1361. Prevención y extinción de incencios</v>
      </c>
      <c r="W3615" s="35" t="str">
        <f>MID(Tabla1[[#This Row],[Aplicación]],14,2)</f>
        <v>22</v>
      </c>
      <c r="X3615" s="35" t="str">
        <f>MID(Tabla1[[#This Row],[Aplicación]],14,6)</f>
        <v>22199</v>
      </c>
    </row>
    <row r="3616" spans="1:24" x14ac:dyDescent="0.25">
      <c r="A3616" s="45">
        <v>220210045641</v>
      </c>
      <c r="B3616" s="46" t="s">
        <v>204</v>
      </c>
      <c r="C3616" s="47">
        <v>44414</v>
      </c>
      <c r="D3616" s="45">
        <v>22021004482</v>
      </c>
      <c r="E3616" s="46" t="s">
        <v>921</v>
      </c>
      <c r="F3616" s="48">
        <v>279.56</v>
      </c>
      <c r="G3616" s="46" t="s">
        <v>135</v>
      </c>
      <c r="H3616" s="46" t="s">
        <v>5192</v>
      </c>
      <c r="I3616" s="45" t="s">
        <v>205</v>
      </c>
      <c r="J3616" s="46" t="s">
        <v>127</v>
      </c>
      <c r="K3616" s="46" t="s">
        <v>127</v>
      </c>
      <c r="L3616" s="46" t="s">
        <v>15</v>
      </c>
      <c r="M3616" s="46" t="s">
        <v>13</v>
      </c>
      <c r="N3616" s="46" t="s">
        <v>14</v>
      </c>
      <c r="O3616" s="49" t="s">
        <v>814</v>
      </c>
      <c r="P3616" s="49" t="s">
        <v>4910</v>
      </c>
      <c r="Q3616" s="35" t="str">
        <f>MID(Tabla1[[#This Row],[Aplicación]],14,1)</f>
        <v>2</v>
      </c>
      <c r="R3616" s="35" t="s">
        <v>495</v>
      </c>
      <c r="S3616" s="35" t="str">
        <f>MID(Tabla1[[#This Row],[Aplicación]],6,2)</f>
        <v>04</v>
      </c>
      <c r="T3616" s="35" t="str">
        <f>VLOOKUP(Tabla1[[#This Row],[AREA]],Hoja1!A:B,2,FALSE)</f>
        <v>04. Planificación y recursos</v>
      </c>
      <c r="U3616" s="35" t="str">
        <f>MID(Tabla1[[#This Row],[Aplicación]],9,4)</f>
        <v>9204</v>
      </c>
      <c r="V3616" s="35" t="str">
        <f>VLOOKUP(Tabla1[[#This Row],[PROGRAMA]],Hoja1!A:B,2,FALSE)</f>
        <v>9204. Tecnologías de la información y comunicación</v>
      </c>
      <c r="W3616" s="35" t="str">
        <f>MID(Tabla1[[#This Row],[Aplicación]],14,2)</f>
        <v>21</v>
      </c>
      <c r="X3616" s="35" t="str">
        <f>MID(Tabla1[[#This Row],[Aplicación]],14,6)</f>
        <v>213</v>
      </c>
    </row>
    <row r="3617" spans="1:24" x14ac:dyDescent="0.25">
      <c r="A3617" s="45">
        <v>220210048763</v>
      </c>
      <c r="B3617" s="46" t="s">
        <v>204</v>
      </c>
      <c r="C3617" s="47">
        <v>44428</v>
      </c>
      <c r="D3617" s="45">
        <v>22021000542</v>
      </c>
      <c r="E3617" s="46" t="s">
        <v>2913</v>
      </c>
      <c r="F3617" s="48">
        <v>33.69</v>
      </c>
      <c r="G3617" s="46" t="s">
        <v>135</v>
      </c>
      <c r="H3617" s="46" t="s">
        <v>5193</v>
      </c>
      <c r="I3617" s="45" t="s">
        <v>205</v>
      </c>
      <c r="J3617" s="46" t="s">
        <v>127</v>
      </c>
      <c r="K3617" s="46" t="s">
        <v>127</v>
      </c>
      <c r="L3617" s="46" t="s">
        <v>15</v>
      </c>
      <c r="M3617" s="46" t="s">
        <v>13</v>
      </c>
      <c r="N3617" s="46" t="s">
        <v>14</v>
      </c>
      <c r="O3617" s="49" t="s">
        <v>814</v>
      </c>
      <c r="P3617" s="49" t="s">
        <v>4910</v>
      </c>
      <c r="Q3617" s="35" t="str">
        <f>MID(Tabla1[[#This Row],[Aplicación]],14,1)</f>
        <v>2</v>
      </c>
      <c r="R3617" s="35" t="s">
        <v>495</v>
      </c>
      <c r="S3617" s="35" t="str">
        <f>MID(Tabla1[[#This Row],[Aplicación]],6,2)</f>
        <v>08</v>
      </c>
      <c r="T3617" s="35" t="str">
        <f>VLOOKUP(Tabla1[[#This Row],[AREA]],Hoja1!A:B,2,FALSE)</f>
        <v>08. Movilidad y espacio urbano</v>
      </c>
      <c r="U3617" s="35" t="str">
        <f>MID(Tabla1[[#This Row],[Aplicación]],9,4)</f>
        <v>1341</v>
      </c>
      <c r="V3617" s="35" t="str">
        <f>VLOOKUP(Tabla1[[#This Row],[PROGRAMA]],Hoja1!A:B,2,FALSE)</f>
        <v>1341. Movilidad</v>
      </c>
      <c r="W3617" s="35" t="str">
        <f>MID(Tabla1[[#This Row],[Aplicación]],14,2)</f>
        <v>22</v>
      </c>
      <c r="X3617" s="35" t="str">
        <f>MID(Tabla1[[#This Row],[Aplicación]],14,6)</f>
        <v>22699</v>
      </c>
    </row>
    <row r="3618" spans="1:24" x14ac:dyDescent="0.25">
      <c r="A3618" s="45">
        <v>220210036212</v>
      </c>
      <c r="B3618" s="46" t="s">
        <v>9</v>
      </c>
      <c r="C3618" s="47">
        <v>44383</v>
      </c>
      <c r="D3618" s="45">
        <v>22021005306</v>
      </c>
      <c r="E3618" s="46" t="s">
        <v>3371</v>
      </c>
      <c r="F3618" s="48">
        <v>7080.92</v>
      </c>
      <c r="G3618" s="46" t="s">
        <v>199</v>
      </c>
      <c r="H3618" s="46" t="s">
        <v>5194</v>
      </c>
      <c r="I3618" s="45" t="s">
        <v>125</v>
      </c>
      <c r="J3618" s="46" t="s">
        <v>661</v>
      </c>
      <c r="K3618" s="46" t="s">
        <v>127</v>
      </c>
      <c r="L3618" s="46" t="s">
        <v>12</v>
      </c>
      <c r="M3618" s="46" t="s">
        <v>10</v>
      </c>
      <c r="N3618" s="46" t="s">
        <v>11</v>
      </c>
      <c r="O3618" s="49" t="s">
        <v>815</v>
      </c>
      <c r="P3618" s="49" t="s">
        <v>4910</v>
      </c>
      <c r="Q3618" s="35" t="str">
        <f>MID(Tabla1[[#This Row],[Aplicación]],14,1)</f>
        <v>2</v>
      </c>
      <c r="R3618" s="35" t="s">
        <v>495</v>
      </c>
      <c r="S3618" s="35" t="str">
        <f>MID(Tabla1[[#This Row],[Aplicación]],6,2)</f>
        <v>10</v>
      </c>
      <c r="T3618" s="35" t="str">
        <f>VLOOKUP(Tabla1[[#This Row],[AREA]],Hoja1!A:B,2,FALSE)</f>
        <v>10. Servicios sociales y mediación comunitaria</v>
      </c>
      <c r="U3618" s="35" t="str">
        <f>MID(Tabla1[[#This Row],[Aplicación]],9,4)</f>
        <v>2313</v>
      </c>
      <c r="V3618" s="35" t="str">
        <f>VLOOKUP(Tabla1[[#This Row],[PROGRAMA]],Hoja1!A:B,2,FALSE)</f>
        <v>2313. Dirección del área de servicios sociales</v>
      </c>
      <c r="W3618" s="35" t="str">
        <f>MID(Tabla1[[#This Row],[Aplicación]],14,2)</f>
        <v>22</v>
      </c>
      <c r="X3618" s="35" t="str">
        <f>MID(Tabla1[[#This Row],[Aplicación]],14,6)</f>
        <v>22699</v>
      </c>
    </row>
    <row r="3619" spans="1:24" x14ac:dyDescent="0.25">
      <c r="A3619" s="45">
        <v>220210037246</v>
      </c>
      <c r="B3619" s="46" t="s">
        <v>204</v>
      </c>
      <c r="C3619" s="47">
        <v>44391</v>
      </c>
      <c r="D3619" s="45">
        <v>22021002927</v>
      </c>
      <c r="E3619" s="46" t="s">
        <v>3161</v>
      </c>
      <c r="F3619" s="48">
        <v>51271.86</v>
      </c>
      <c r="G3619" s="46" t="s">
        <v>5195</v>
      </c>
      <c r="H3619" s="46" t="s">
        <v>5196</v>
      </c>
      <c r="I3619" s="45" t="s">
        <v>205</v>
      </c>
      <c r="J3619" s="46" t="s">
        <v>180</v>
      </c>
      <c r="K3619" s="46" t="s">
        <v>180</v>
      </c>
      <c r="L3619" s="46" t="s">
        <v>31</v>
      </c>
      <c r="M3619" s="46" t="s">
        <v>13</v>
      </c>
      <c r="N3619" s="46" t="s">
        <v>14</v>
      </c>
      <c r="O3619" s="49" t="s">
        <v>803</v>
      </c>
      <c r="P3619" s="49" t="s">
        <v>4910</v>
      </c>
      <c r="Q3619" s="35" t="str">
        <f>MID(Tabla1[[#This Row],[Aplicación]],14,1)</f>
        <v>6</v>
      </c>
      <c r="R3619" s="35" t="s">
        <v>496</v>
      </c>
      <c r="S3619" s="35" t="str">
        <f>MID(Tabla1[[#This Row],[Aplicación]],6,2)</f>
        <v>10</v>
      </c>
      <c r="T3619" s="35" t="str">
        <f>VLOOKUP(Tabla1[[#This Row],[AREA]],Hoja1!A:B,2,FALSE)</f>
        <v>10. Servicios sociales y mediación comunitaria</v>
      </c>
      <c r="U3619" s="35" t="str">
        <f>MID(Tabla1[[#This Row],[Aplicación]],9,4)</f>
        <v>2312</v>
      </c>
      <c r="V3619" s="35" t="str">
        <f>VLOOKUP(Tabla1[[#This Row],[PROGRAMA]],Hoja1!A:B,2,FALSE)</f>
        <v>2312. Iniciativas sociales</v>
      </c>
      <c r="W3619" s="35" t="str">
        <f>MID(Tabla1[[#This Row],[Aplicación]],14,2)</f>
        <v>63</v>
      </c>
      <c r="X3619" s="35" t="str">
        <f>MID(Tabla1[[#This Row],[Aplicación]],14,6)</f>
        <v>632</v>
      </c>
    </row>
    <row r="3620" spans="1:24" x14ac:dyDescent="0.25">
      <c r="A3620" s="45">
        <v>220210050925</v>
      </c>
      <c r="B3620" s="46" t="s">
        <v>9</v>
      </c>
      <c r="C3620" s="47">
        <v>44445</v>
      </c>
      <c r="D3620" s="45">
        <v>22021006418</v>
      </c>
      <c r="E3620" s="46" t="s">
        <v>1172</v>
      </c>
      <c r="F3620" s="48">
        <v>4070.03</v>
      </c>
      <c r="G3620" s="46" t="s">
        <v>70</v>
      </c>
      <c r="H3620" s="46" t="s">
        <v>5197</v>
      </c>
      <c r="I3620" s="45" t="s">
        <v>125</v>
      </c>
      <c r="J3620" s="46" t="s">
        <v>127</v>
      </c>
      <c r="K3620" s="46" t="s">
        <v>127</v>
      </c>
      <c r="L3620" s="46" t="s">
        <v>12</v>
      </c>
      <c r="M3620" s="46" t="s">
        <v>10</v>
      </c>
      <c r="N3620" s="46" t="s">
        <v>11</v>
      </c>
      <c r="O3620" s="49" t="s">
        <v>815</v>
      </c>
      <c r="P3620" s="49" t="s">
        <v>4910</v>
      </c>
      <c r="Q3620" s="35" t="str">
        <f>MID(Tabla1[[#This Row],[Aplicación]],14,1)</f>
        <v>6</v>
      </c>
      <c r="R3620" s="35" t="s">
        <v>496</v>
      </c>
      <c r="S3620" s="35" t="str">
        <f>MID(Tabla1[[#This Row],[Aplicación]],6,2)</f>
        <v>02</v>
      </c>
      <c r="T3620" s="35" t="str">
        <f>VLOOKUP(Tabla1[[#This Row],[AREA]],Hoja1!A:B,2,FALSE)</f>
        <v>02. Planeamiento urbanístico y vivienda</v>
      </c>
      <c r="U3620" s="35" t="str">
        <f>MID(Tabla1[[#This Row],[Aplicación]],9,4)</f>
        <v>9332</v>
      </c>
      <c r="V3620" s="35" t="str">
        <f>VLOOKUP(Tabla1[[#This Row],[PROGRAMA]],Hoja1!A:B,2,FALSE)</f>
        <v>9332. Mantenimiento de edificios e instalaciones municipales</v>
      </c>
      <c r="W3620" s="35" t="str">
        <f>MID(Tabla1[[#This Row],[Aplicación]],14,2)</f>
        <v>63</v>
      </c>
      <c r="X3620" s="35" t="str">
        <f>MID(Tabla1[[#This Row],[Aplicación]],14,6)</f>
        <v>632</v>
      </c>
    </row>
    <row r="3621" spans="1:24" x14ac:dyDescent="0.25">
      <c r="A3621" s="45">
        <v>220210034308</v>
      </c>
      <c r="B3621" s="46" t="s">
        <v>9</v>
      </c>
      <c r="C3621" s="47">
        <v>44378</v>
      </c>
      <c r="D3621" s="45">
        <v>22021005114</v>
      </c>
      <c r="E3621" s="46" t="s">
        <v>3310</v>
      </c>
      <c r="F3621" s="48">
        <v>19831.5</v>
      </c>
      <c r="G3621" s="46" t="s">
        <v>575</v>
      </c>
      <c r="H3621" s="46" t="s">
        <v>5198</v>
      </c>
      <c r="I3621" s="45" t="s">
        <v>125</v>
      </c>
      <c r="J3621" s="46" t="s">
        <v>127</v>
      </c>
      <c r="K3621" s="46" t="s">
        <v>127</v>
      </c>
      <c r="L3621" s="46" t="s">
        <v>31</v>
      </c>
      <c r="M3621" s="46" t="s">
        <v>10</v>
      </c>
      <c r="N3621" s="46" t="s">
        <v>11</v>
      </c>
      <c r="O3621" s="49" t="s">
        <v>815</v>
      </c>
      <c r="P3621" s="49" t="s">
        <v>4910</v>
      </c>
      <c r="Q3621" s="35" t="str">
        <f>MID(Tabla1[[#This Row],[Aplicación]],14,1)</f>
        <v>6</v>
      </c>
      <c r="R3621" s="35" t="s">
        <v>496</v>
      </c>
      <c r="S3621" s="35" t="str">
        <f>MID(Tabla1[[#This Row],[Aplicación]],6,2)</f>
        <v>06</v>
      </c>
      <c r="T3621" s="35" t="str">
        <f>VLOOKUP(Tabla1[[#This Row],[AREA]],Hoja1!A:B,2,FALSE)</f>
        <v>06. Educación, infancia, juventud e igualdad</v>
      </c>
      <c r="U3621" s="35" t="str">
        <f>MID(Tabla1[[#This Row],[Aplicación]],9,4)</f>
        <v>3231</v>
      </c>
      <c r="V3621" s="35" t="str">
        <f>VLOOKUP(Tabla1[[#This Row],[PROGRAMA]],Hoja1!A:B,2,FALSE)</f>
        <v>3231. Escuelas infantiles</v>
      </c>
      <c r="W3621" s="35" t="str">
        <f>MID(Tabla1[[#This Row],[Aplicación]],14,2)</f>
        <v>63</v>
      </c>
      <c r="X3621" s="35" t="str">
        <f>MID(Tabla1[[#This Row],[Aplicación]],14,6)</f>
        <v>632</v>
      </c>
    </row>
    <row r="3622" spans="1:24" x14ac:dyDescent="0.25">
      <c r="A3622" s="45">
        <v>220210043796</v>
      </c>
      <c r="B3622" s="46" t="s">
        <v>9</v>
      </c>
      <c r="C3622" s="47">
        <v>44404</v>
      </c>
      <c r="D3622" s="45">
        <v>22021005576</v>
      </c>
      <c r="E3622" s="46" t="s">
        <v>2668</v>
      </c>
      <c r="F3622" s="48">
        <v>10248.65</v>
      </c>
      <c r="G3622" s="46" t="s">
        <v>575</v>
      </c>
      <c r="H3622" s="46" t="s">
        <v>5199</v>
      </c>
      <c r="I3622" s="45" t="s">
        <v>125</v>
      </c>
      <c r="J3622" s="46" t="s">
        <v>127</v>
      </c>
      <c r="K3622" s="46" t="s">
        <v>127</v>
      </c>
      <c r="L3622" s="46" t="s">
        <v>31</v>
      </c>
      <c r="M3622" s="46" t="s">
        <v>10</v>
      </c>
      <c r="N3622" s="46" t="s">
        <v>11</v>
      </c>
      <c r="O3622" s="49" t="s">
        <v>815</v>
      </c>
      <c r="P3622" s="49" t="s">
        <v>4910</v>
      </c>
      <c r="Q3622" s="35" t="str">
        <f>MID(Tabla1[[#This Row],[Aplicación]],14,1)</f>
        <v>6</v>
      </c>
      <c r="R3622" s="35" t="s">
        <v>496</v>
      </c>
      <c r="S3622" s="35" t="str">
        <f>MID(Tabla1[[#This Row],[Aplicación]],6,2)</f>
        <v>10</v>
      </c>
      <c r="T3622" s="35" t="str">
        <f>VLOOKUP(Tabla1[[#This Row],[AREA]],Hoja1!A:B,2,FALSE)</f>
        <v>10. Servicios sociales y mediación comunitaria</v>
      </c>
      <c r="U3622" s="35" t="str">
        <f>MID(Tabla1[[#This Row],[Aplicación]],9,4)</f>
        <v>2311</v>
      </c>
      <c r="V3622" s="35" t="str">
        <f>VLOOKUP(Tabla1[[#This Row],[PROGRAMA]],Hoja1!A:B,2,FALSE)</f>
        <v>2311. Intervención social</v>
      </c>
      <c r="W3622" s="35" t="str">
        <f>MID(Tabla1[[#This Row],[Aplicación]],14,2)</f>
        <v>63</v>
      </c>
      <c r="X3622" s="35" t="str">
        <f>MID(Tabla1[[#This Row],[Aplicación]],14,6)</f>
        <v>632</v>
      </c>
    </row>
    <row r="3623" spans="1:24" x14ac:dyDescent="0.25">
      <c r="A3623" s="45">
        <v>220210043874</v>
      </c>
      <c r="B3623" s="46" t="s">
        <v>9</v>
      </c>
      <c r="C3623" s="47">
        <v>44405</v>
      </c>
      <c r="D3623" s="45">
        <v>22021005789</v>
      </c>
      <c r="E3623" s="46" t="s">
        <v>2955</v>
      </c>
      <c r="F3623" s="48">
        <v>174.9</v>
      </c>
      <c r="G3623" s="46" t="s">
        <v>302</v>
      </c>
      <c r="H3623" s="46" t="s">
        <v>5200</v>
      </c>
      <c r="I3623" s="45" t="s">
        <v>125</v>
      </c>
      <c r="J3623" s="46" t="s">
        <v>700</v>
      </c>
      <c r="K3623" s="46" t="s">
        <v>127</v>
      </c>
      <c r="L3623" s="46" t="s">
        <v>12</v>
      </c>
      <c r="M3623" s="46" t="s">
        <v>10</v>
      </c>
      <c r="N3623" s="46" t="s">
        <v>11</v>
      </c>
      <c r="O3623" s="49" t="s">
        <v>815</v>
      </c>
      <c r="P3623" s="49" t="s">
        <v>4910</v>
      </c>
      <c r="Q3623" s="35" t="str">
        <f>MID(Tabla1[[#This Row],[Aplicación]],14,1)</f>
        <v>2</v>
      </c>
      <c r="R3623" s="35" t="s">
        <v>495</v>
      </c>
      <c r="S3623" s="35" t="str">
        <f>MID(Tabla1[[#This Row],[Aplicación]],6,2)</f>
        <v>11</v>
      </c>
      <c r="T3623" s="35" t="str">
        <f>VLOOKUP(Tabla1[[#This Row],[AREA]],Hoja1!A:B,2,FALSE)</f>
        <v>11. Salud pública y seguridad ciudadana</v>
      </c>
      <c r="U3623" s="35" t="str">
        <f>MID(Tabla1[[#This Row],[Aplicación]],9,4)</f>
        <v>1321</v>
      </c>
      <c r="V3623" s="35" t="str">
        <f>VLOOKUP(Tabla1[[#This Row],[PROGRAMA]],Hoja1!A:B,2,FALSE)</f>
        <v>1321. Policía municipal</v>
      </c>
      <c r="W3623" s="35" t="str">
        <f>MID(Tabla1[[#This Row],[Aplicación]],14,2)</f>
        <v>21</v>
      </c>
      <c r="X3623" s="35" t="str">
        <f>MID(Tabla1[[#This Row],[Aplicación]],14,6)</f>
        <v>212</v>
      </c>
    </row>
    <row r="3624" spans="1:24" x14ac:dyDescent="0.25">
      <c r="A3624" s="45">
        <v>220210036879</v>
      </c>
      <c r="B3624" s="46" t="s">
        <v>9</v>
      </c>
      <c r="C3624" s="47">
        <v>44390</v>
      </c>
      <c r="D3624" s="45">
        <v>22021005676</v>
      </c>
      <c r="E3624" s="46" t="s">
        <v>1511</v>
      </c>
      <c r="F3624" s="48">
        <v>132</v>
      </c>
      <c r="G3624" s="46" t="s">
        <v>302</v>
      </c>
      <c r="H3624" s="46" t="s">
        <v>5201</v>
      </c>
      <c r="I3624" s="45" t="s">
        <v>125</v>
      </c>
      <c r="J3624" s="46" t="s">
        <v>700</v>
      </c>
      <c r="K3624" s="46" t="s">
        <v>127</v>
      </c>
      <c r="L3624" s="46" t="s">
        <v>12</v>
      </c>
      <c r="M3624" s="46" t="s">
        <v>10</v>
      </c>
      <c r="N3624" s="46" t="s">
        <v>11</v>
      </c>
      <c r="O3624" s="49" t="s">
        <v>815</v>
      </c>
      <c r="P3624" s="49" t="s">
        <v>4910</v>
      </c>
      <c r="Q3624" s="35" t="str">
        <f>MID(Tabla1[[#This Row],[Aplicación]],14,1)</f>
        <v>2</v>
      </c>
      <c r="R3624" s="35" t="s">
        <v>495</v>
      </c>
      <c r="S3624" s="35" t="str">
        <f>MID(Tabla1[[#This Row],[Aplicación]],6,2)</f>
        <v>11</v>
      </c>
      <c r="T3624" s="35" t="str">
        <f>VLOOKUP(Tabla1[[#This Row],[AREA]],Hoja1!A:B,2,FALSE)</f>
        <v>11. Salud pública y seguridad ciudadana</v>
      </c>
      <c r="U3624" s="35" t="str">
        <f>MID(Tabla1[[#This Row],[Aplicación]],9,4)</f>
        <v>1631</v>
      </c>
      <c r="V3624" s="35" t="str">
        <f>VLOOKUP(Tabla1[[#This Row],[PROGRAMA]],Hoja1!A:B,2,FALSE)</f>
        <v>1631. Limpieza viaria</v>
      </c>
      <c r="W3624" s="35" t="str">
        <f>MID(Tabla1[[#This Row],[Aplicación]],14,2)</f>
        <v>22</v>
      </c>
      <c r="X3624" s="35" t="str">
        <f>MID(Tabla1[[#This Row],[Aplicación]],14,6)</f>
        <v>22700</v>
      </c>
    </row>
    <row r="3625" spans="1:24" x14ac:dyDescent="0.25">
      <c r="A3625" s="45">
        <v>220210056294</v>
      </c>
      <c r="B3625" s="46" t="s">
        <v>9</v>
      </c>
      <c r="C3625" s="47">
        <v>44454</v>
      </c>
      <c r="D3625" s="45">
        <v>22021006330</v>
      </c>
      <c r="E3625" s="46" t="s">
        <v>3347</v>
      </c>
      <c r="F3625" s="48">
        <v>3580</v>
      </c>
      <c r="G3625" s="46" t="s">
        <v>5202</v>
      </c>
      <c r="H3625" s="46" t="s">
        <v>5203</v>
      </c>
      <c r="I3625" s="45" t="s">
        <v>125</v>
      </c>
      <c r="J3625" s="46" t="s">
        <v>127</v>
      </c>
      <c r="K3625" s="46" t="s">
        <v>127</v>
      </c>
      <c r="L3625" s="46" t="s">
        <v>12</v>
      </c>
      <c r="M3625" s="46" t="s">
        <v>10</v>
      </c>
      <c r="N3625" s="46" t="s">
        <v>11</v>
      </c>
      <c r="O3625" s="49" t="s">
        <v>815</v>
      </c>
      <c r="P3625" s="49" t="s">
        <v>4910</v>
      </c>
      <c r="Q3625" s="35" t="str">
        <f>MID(Tabla1[[#This Row],[Aplicación]],14,1)</f>
        <v>2</v>
      </c>
      <c r="R3625" s="35" t="s">
        <v>495</v>
      </c>
      <c r="S3625" s="35" t="str">
        <f>MID(Tabla1[[#This Row],[Aplicación]],6,2)</f>
        <v>06</v>
      </c>
      <c r="T3625" s="35" t="str">
        <f>VLOOKUP(Tabla1[[#This Row],[AREA]],Hoja1!A:B,2,FALSE)</f>
        <v>06. Educación, infancia, juventud e igualdad</v>
      </c>
      <c r="U3625" s="35" t="str">
        <f>MID(Tabla1[[#This Row],[Aplicación]],9,4)</f>
        <v>2315</v>
      </c>
      <c r="V3625" s="35" t="str">
        <f>VLOOKUP(Tabla1[[#This Row],[PROGRAMA]],Hoja1!A:B,2,FALSE)</f>
        <v>2315. Políticas de Igualdad e infancia</v>
      </c>
      <c r="W3625" s="35" t="str">
        <f>MID(Tabla1[[#This Row],[Aplicación]],14,2)</f>
        <v>22</v>
      </c>
      <c r="X3625" s="35" t="str">
        <f>MID(Tabla1[[#This Row],[Aplicación]],14,6)</f>
        <v>22614</v>
      </c>
    </row>
    <row r="3626" spans="1:24" x14ac:dyDescent="0.25">
      <c r="A3626" s="45">
        <v>220210050953</v>
      </c>
      <c r="B3626" s="46" t="s">
        <v>9</v>
      </c>
      <c r="C3626" s="47">
        <v>44446</v>
      </c>
      <c r="D3626" s="45">
        <v>22021006402</v>
      </c>
      <c r="E3626" s="46" t="s">
        <v>3291</v>
      </c>
      <c r="F3626" s="48">
        <v>3448.5</v>
      </c>
      <c r="G3626" s="46" t="s">
        <v>5204</v>
      </c>
      <c r="H3626" s="46" t="s">
        <v>5205</v>
      </c>
      <c r="I3626" s="45" t="s">
        <v>125</v>
      </c>
      <c r="J3626" s="46" t="s">
        <v>127</v>
      </c>
      <c r="K3626" s="46" t="s">
        <v>127</v>
      </c>
      <c r="L3626" s="46" t="s">
        <v>12</v>
      </c>
      <c r="M3626" s="46" t="s">
        <v>10</v>
      </c>
      <c r="N3626" s="46" t="s">
        <v>11</v>
      </c>
      <c r="O3626" s="49" t="s">
        <v>815</v>
      </c>
      <c r="P3626" s="49" t="s">
        <v>4910</v>
      </c>
      <c r="Q3626" s="35" t="str">
        <f>MID(Tabla1[[#This Row],[Aplicación]],14,1)</f>
        <v>2</v>
      </c>
      <c r="R3626" s="35" t="s">
        <v>495</v>
      </c>
      <c r="S3626" s="35" t="str">
        <f>MID(Tabla1[[#This Row],[Aplicación]],6,2)</f>
        <v>02</v>
      </c>
      <c r="T3626" s="35" t="str">
        <f>VLOOKUP(Tabla1[[#This Row],[AREA]],Hoja1!A:B,2,FALSE)</f>
        <v>02. Planeamiento urbanístico y vivienda</v>
      </c>
      <c r="U3626" s="35" t="str">
        <f>MID(Tabla1[[#This Row],[Aplicación]],9,4)</f>
        <v>9332</v>
      </c>
      <c r="V3626" s="35" t="str">
        <f>VLOOKUP(Tabla1[[#This Row],[PROGRAMA]],Hoja1!A:B,2,FALSE)</f>
        <v>9332. Mantenimiento de edificios e instalaciones municipales</v>
      </c>
      <c r="W3626" s="35" t="str">
        <f>MID(Tabla1[[#This Row],[Aplicación]],14,2)</f>
        <v>20</v>
      </c>
      <c r="X3626" s="35" t="str">
        <f>MID(Tabla1[[#This Row],[Aplicación]],14,6)</f>
        <v>203</v>
      </c>
    </row>
    <row r="3627" spans="1:24" x14ac:dyDescent="0.25">
      <c r="A3627" s="45">
        <v>220210047099</v>
      </c>
      <c r="B3627" s="46" t="s">
        <v>9</v>
      </c>
      <c r="C3627" s="47">
        <v>44421</v>
      </c>
      <c r="D3627" s="45">
        <v>22021002235</v>
      </c>
      <c r="E3627" s="46" t="s">
        <v>1491</v>
      </c>
      <c r="F3627" s="48">
        <v>9500</v>
      </c>
      <c r="G3627" s="46" t="s">
        <v>110</v>
      </c>
      <c r="H3627" s="46" t="s">
        <v>5206</v>
      </c>
      <c r="I3627" s="45" t="s">
        <v>125</v>
      </c>
      <c r="J3627" s="46" t="s">
        <v>729</v>
      </c>
      <c r="K3627" s="46" t="s">
        <v>126</v>
      </c>
      <c r="L3627" s="46" t="s">
        <v>15</v>
      </c>
      <c r="M3627" s="46" t="s">
        <v>10</v>
      </c>
      <c r="N3627" s="46" t="s">
        <v>11</v>
      </c>
      <c r="O3627" s="49" t="s">
        <v>815</v>
      </c>
      <c r="P3627" s="49" t="s">
        <v>4910</v>
      </c>
      <c r="Q3627" s="35" t="str">
        <f>MID(Tabla1[[#This Row],[Aplicación]],14,1)</f>
        <v>2</v>
      </c>
      <c r="R3627" s="35" t="s">
        <v>495</v>
      </c>
      <c r="S3627" s="35" t="str">
        <f>MID(Tabla1[[#This Row],[Aplicación]],6,2)</f>
        <v>11</v>
      </c>
      <c r="T3627" s="35" t="str">
        <f>VLOOKUP(Tabla1[[#This Row],[AREA]],Hoja1!A:B,2,FALSE)</f>
        <v>11. Salud pública y seguridad ciudadana</v>
      </c>
      <c r="U3627" s="35" t="str">
        <f>MID(Tabla1[[#This Row],[Aplicación]],9,4)</f>
        <v>1621</v>
      </c>
      <c r="V3627" s="35" t="str">
        <f>VLOOKUP(Tabla1[[#This Row],[PROGRAMA]],Hoja1!A:B,2,FALSE)</f>
        <v>1621. Servicio de limpieza</v>
      </c>
      <c r="W3627" s="35" t="str">
        <f>MID(Tabla1[[#This Row],[Aplicación]],14,2)</f>
        <v>21</v>
      </c>
      <c r="X3627" s="35" t="str">
        <f>MID(Tabla1[[#This Row],[Aplicación]],14,6)</f>
        <v>219</v>
      </c>
    </row>
    <row r="3628" spans="1:24" x14ac:dyDescent="0.25">
      <c r="A3628" s="45">
        <v>220210043881</v>
      </c>
      <c r="B3628" s="46" t="s">
        <v>9</v>
      </c>
      <c r="C3628" s="47">
        <v>44405</v>
      </c>
      <c r="D3628" s="45">
        <v>22021005728</v>
      </c>
      <c r="E3628" s="46" t="s">
        <v>2155</v>
      </c>
      <c r="F3628" s="48">
        <v>7980.19</v>
      </c>
      <c r="G3628" s="46" t="s">
        <v>1514</v>
      </c>
      <c r="H3628" s="46" t="s">
        <v>5207</v>
      </c>
      <c r="I3628" s="45" t="s">
        <v>125</v>
      </c>
      <c r="J3628" s="46" t="s">
        <v>519</v>
      </c>
      <c r="K3628" s="46" t="s">
        <v>519</v>
      </c>
      <c r="L3628" s="46" t="s">
        <v>15</v>
      </c>
      <c r="M3628" s="46" t="s">
        <v>10</v>
      </c>
      <c r="N3628" s="46" t="s">
        <v>11</v>
      </c>
      <c r="O3628" s="49" t="s">
        <v>815</v>
      </c>
      <c r="P3628" s="49" t="s">
        <v>4910</v>
      </c>
      <c r="Q3628" s="35" t="str">
        <f>MID(Tabla1[[#This Row],[Aplicación]],14,1)</f>
        <v>2</v>
      </c>
      <c r="R3628" s="35" t="s">
        <v>495</v>
      </c>
      <c r="S3628" s="35" t="str">
        <f>MID(Tabla1[[#This Row],[Aplicación]],6,2)</f>
        <v>11</v>
      </c>
      <c r="T3628" s="35" t="str">
        <f>VLOOKUP(Tabla1[[#This Row],[AREA]],Hoja1!A:B,2,FALSE)</f>
        <v>11. Salud pública y seguridad ciudadana</v>
      </c>
      <c r="U3628" s="35" t="str">
        <f>MID(Tabla1[[#This Row],[Aplicación]],9,4)</f>
        <v>1621</v>
      </c>
      <c r="V3628" s="35" t="str">
        <f>VLOOKUP(Tabla1[[#This Row],[PROGRAMA]],Hoja1!A:B,2,FALSE)</f>
        <v>1621. Servicio de limpieza</v>
      </c>
      <c r="W3628" s="35" t="str">
        <f>MID(Tabla1[[#This Row],[Aplicación]],14,2)</f>
        <v>21</v>
      </c>
      <c r="X3628" s="35" t="str">
        <f>MID(Tabla1[[#This Row],[Aplicación]],14,6)</f>
        <v>212</v>
      </c>
    </row>
    <row r="3629" spans="1:24" x14ac:dyDescent="0.25">
      <c r="A3629" s="45">
        <v>220210045521</v>
      </c>
      <c r="B3629" s="46" t="s">
        <v>2924</v>
      </c>
      <c r="C3629" s="47">
        <v>44413</v>
      </c>
      <c r="D3629" s="45">
        <v>22020003682</v>
      </c>
      <c r="E3629" s="46" t="s">
        <v>1371</v>
      </c>
      <c r="F3629" s="48">
        <v>-112757.92</v>
      </c>
      <c r="G3629" s="46" t="s">
        <v>1514</v>
      </c>
      <c r="H3629" s="46" t="s">
        <v>5208</v>
      </c>
      <c r="I3629" s="45" t="s">
        <v>2926</v>
      </c>
      <c r="J3629" s="46" t="s">
        <v>519</v>
      </c>
      <c r="K3629" s="46" t="s">
        <v>519</v>
      </c>
      <c r="L3629" s="46" t="s">
        <v>31</v>
      </c>
      <c r="M3629" s="46" t="s">
        <v>13</v>
      </c>
      <c r="N3629" s="46" t="s">
        <v>14</v>
      </c>
      <c r="O3629" s="49" t="s">
        <v>803</v>
      </c>
      <c r="P3629" s="49" t="s">
        <v>4910</v>
      </c>
      <c r="Q3629" s="35" t="str">
        <f>MID(Tabla1[[#This Row],[Aplicación]],14,1)</f>
        <v>6</v>
      </c>
      <c r="R3629" s="35" t="s">
        <v>496</v>
      </c>
      <c r="S3629" s="35" t="str">
        <f>MID(Tabla1[[#This Row],[Aplicación]],6,2)</f>
        <v>10</v>
      </c>
      <c r="T3629" s="35" t="str">
        <f>VLOOKUP(Tabla1[[#This Row],[AREA]],Hoja1!A:B,2,FALSE)</f>
        <v>10. Servicios sociales y mediación comunitaria</v>
      </c>
      <c r="U3629" s="35" t="str">
        <f>MID(Tabla1[[#This Row],[Aplicación]],9,4)</f>
        <v>2312</v>
      </c>
      <c r="V3629" s="35" t="str">
        <f>VLOOKUP(Tabla1[[#This Row],[PROGRAMA]],Hoja1!A:B,2,FALSE)</f>
        <v>2312. Iniciativas sociales</v>
      </c>
      <c r="W3629" s="35" t="str">
        <f>MID(Tabla1[[#This Row],[Aplicación]],14,2)</f>
        <v>62</v>
      </c>
      <c r="X3629" s="35" t="str">
        <f>MID(Tabla1[[#This Row],[Aplicación]],14,6)</f>
        <v>622</v>
      </c>
    </row>
    <row r="3630" spans="1:24" x14ac:dyDescent="0.25">
      <c r="A3630" s="45">
        <v>220210050962</v>
      </c>
      <c r="B3630" s="46" t="s">
        <v>9</v>
      </c>
      <c r="C3630" s="47">
        <v>44446</v>
      </c>
      <c r="D3630" s="45">
        <v>22021003203</v>
      </c>
      <c r="E3630" s="46" t="s">
        <v>944</v>
      </c>
      <c r="F3630" s="48">
        <v>3441.36</v>
      </c>
      <c r="G3630" s="46" t="s">
        <v>206</v>
      </c>
      <c r="H3630" s="46" t="s">
        <v>5209</v>
      </c>
      <c r="I3630" s="45" t="s">
        <v>125</v>
      </c>
      <c r="J3630" s="46" t="s">
        <v>664</v>
      </c>
      <c r="K3630" s="46" t="s">
        <v>127</v>
      </c>
      <c r="L3630" s="46" t="s">
        <v>12</v>
      </c>
      <c r="M3630" s="46" t="s">
        <v>10</v>
      </c>
      <c r="N3630" s="46" t="s">
        <v>11</v>
      </c>
      <c r="O3630" s="49" t="s">
        <v>815</v>
      </c>
      <c r="P3630" s="49" t="s">
        <v>4910</v>
      </c>
      <c r="Q3630" s="35" t="str">
        <f>MID(Tabla1[[#This Row],[Aplicación]],14,1)</f>
        <v>2</v>
      </c>
      <c r="R3630" s="35" t="s">
        <v>495</v>
      </c>
      <c r="S3630" s="35" t="str">
        <f>MID(Tabla1[[#This Row],[Aplicación]],6,2)</f>
        <v>11</v>
      </c>
      <c r="T3630" s="35" t="str">
        <f>VLOOKUP(Tabla1[[#This Row],[AREA]],Hoja1!A:B,2,FALSE)</f>
        <v>11. Salud pública y seguridad ciudadana</v>
      </c>
      <c r="U3630" s="35" t="str">
        <f>MID(Tabla1[[#This Row],[Aplicación]],9,4)</f>
        <v>1621</v>
      </c>
      <c r="V3630" s="35" t="str">
        <f>VLOOKUP(Tabla1[[#This Row],[PROGRAMA]],Hoja1!A:B,2,FALSE)</f>
        <v>1621. Servicio de limpieza</v>
      </c>
      <c r="W3630" s="35" t="str">
        <f>MID(Tabla1[[#This Row],[Aplicación]],14,2)</f>
        <v>21</v>
      </c>
      <c r="X3630" s="35" t="str">
        <f>MID(Tabla1[[#This Row],[Aplicación]],14,6)</f>
        <v>213</v>
      </c>
    </row>
    <row r="3631" spans="1:24" x14ac:dyDescent="0.25">
      <c r="A3631" s="45">
        <v>220210044921</v>
      </c>
      <c r="B3631" s="46" t="s">
        <v>9</v>
      </c>
      <c r="C3631" s="47">
        <v>44410</v>
      </c>
      <c r="D3631" s="45">
        <v>22021005961</v>
      </c>
      <c r="E3631" s="46" t="s">
        <v>921</v>
      </c>
      <c r="F3631" s="48">
        <v>3327.5</v>
      </c>
      <c r="G3631" s="46" t="s">
        <v>50</v>
      </c>
      <c r="H3631" s="46" t="s">
        <v>5210</v>
      </c>
      <c r="I3631" s="45" t="s">
        <v>125</v>
      </c>
      <c r="J3631" s="46" t="s">
        <v>127</v>
      </c>
      <c r="K3631" s="46" t="s">
        <v>127</v>
      </c>
      <c r="L3631" s="46" t="s">
        <v>12</v>
      </c>
      <c r="M3631" s="46" t="s">
        <v>10</v>
      </c>
      <c r="N3631" s="46" t="s">
        <v>11</v>
      </c>
      <c r="O3631" s="49" t="s">
        <v>815</v>
      </c>
      <c r="P3631" s="49" t="s">
        <v>4910</v>
      </c>
      <c r="Q3631" s="35" t="str">
        <f>MID(Tabla1[[#This Row],[Aplicación]],14,1)</f>
        <v>2</v>
      </c>
      <c r="R3631" s="35" t="s">
        <v>495</v>
      </c>
      <c r="S3631" s="35" t="str">
        <f>MID(Tabla1[[#This Row],[Aplicación]],6,2)</f>
        <v>04</v>
      </c>
      <c r="T3631" s="35" t="str">
        <f>VLOOKUP(Tabla1[[#This Row],[AREA]],Hoja1!A:B,2,FALSE)</f>
        <v>04. Planificación y recursos</v>
      </c>
      <c r="U3631" s="35" t="str">
        <f>MID(Tabla1[[#This Row],[Aplicación]],9,4)</f>
        <v>9204</v>
      </c>
      <c r="V3631" s="35" t="str">
        <f>VLOOKUP(Tabla1[[#This Row],[PROGRAMA]],Hoja1!A:B,2,FALSE)</f>
        <v>9204. Tecnologías de la información y comunicación</v>
      </c>
      <c r="W3631" s="35" t="str">
        <f>MID(Tabla1[[#This Row],[Aplicación]],14,2)</f>
        <v>21</v>
      </c>
      <c r="X3631" s="35" t="str">
        <f>MID(Tabla1[[#This Row],[Aplicación]],14,6)</f>
        <v>213</v>
      </c>
    </row>
    <row r="3632" spans="1:24" x14ac:dyDescent="0.25">
      <c r="A3632" s="45">
        <v>220210056314</v>
      </c>
      <c r="B3632" s="46" t="s">
        <v>9</v>
      </c>
      <c r="C3632" s="47">
        <v>44454</v>
      </c>
      <c r="D3632" s="45">
        <v>22021006462</v>
      </c>
      <c r="E3632" s="46" t="s">
        <v>881</v>
      </c>
      <c r="F3632" s="48">
        <v>3351.7</v>
      </c>
      <c r="G3632" s="46" t="s">
        <v>5211</v>
      </c>
      <c r="H3632" s="46" t="s">
        <v>5212</v>
      </c>
      <c r="I3632" s="45" t="s">
        <v>125</v>
      </c>
      <c r="J3632" s="46" t="s">
        <v>5213</v>
      </c>
      <c r="K3632" s="46" t="s">
        <v>127</v>
      </c>
      <c r="L3632" s="46" t="s">
        <v>12</v>
      </c>
      <c r="M3632" s="46" t="s">
        <v>10</v>
      </c>
      <c r="N3632" s="46" t="s">
        <v>11</v>
      </c>
      <c r="O3632" s="49" t="s">
        <v>815</v>
      </c>
      <c r="P3632" s="49" t="s">
        <v>4910</v>
      </c>
      <c r="Q3632" s="35" t="str">
        <f>MID(Tabla1[[#This Row],[Aplicación]],14,1)</f>
        <v>2</v>
      </c>
      <c r="R3632" s="35" t="s">
        <v>495</v>
      </c>
      <c r="S3632" s="35" t="str">
        <f>MID(Tabla1[[#This Row],[Aplicación]],6,2)</f>
        <v>05</v>
      </c>
      <c r="T3632" s="35" t="str">
        <f>VLOOKUP(Tabla1[[#This Row],[AREA]],Hoja1!A:B,2,FALSE)</f>
        <v>05. Innovación, desarrollo económico, empleo y comercio</v>
      </c>
      <c r="U3632" s="35" t="str">
        <f>MID(Tabla1[[#This Row],[Aplicación]],9,4)</f>
        <v>4331</v>
      </c>
      <c r="V3632" s="35" t="str">
        <f>VLOOKUP(Tabla1[[#This Row],[PROGRAMA]],Hoja1!A:B,2,FALSE)</f>
        <v>4331. Desarrollo empresarial</v>
      </c>
      <c r="W3632" s="35" t="str">
        <f>MID(Tabla1[[#This Row],[Aplicación]],14,2)</f>
        <v>22</v>
      </c>
      <c r="X3632" s="35" t="str">
        <f>MID(Tabla1[[#This Row],[Aplicación]],14,6)</f>
        <v>22799</v>
      </c>
    </row>
    <row r="3633" spans="1:24" x14ac:dyDescent="0.25">
      <c r="A3633" s="45">
        <v>220210054484</v>
      </c>
      <c r="B3633" s="46" t="s">
        <v>9</v>
      </c>
      <c r="C3633" s="47">
        <v>44453</v>
      </c>
      <c r="D3633" s="45">
        <v>22021006331</v>
      </c>
      <c r="E3633" s="46" t="s">
        <v>1397</v>
      </c>
      <c r="F3633" s="48">
        <v>3327.5</v>
      </c>
      <c r="G3633" s="46" t="s">
        <v>3773</v>
      </c>
      <c r="H3633" s="46" t="s">
        <v>5214</v>
      </c>
      <c r="I3633" s="45" t="s">
        <v>125</v>
      </c>
      <c r="J3633" s="46" t="s">
        <v>1663</v>
      </c>
      <c r="K3633" s="46" t="s">
        <v>127</v>
      </c>
      <c r="L3633" s="46" t="s">
        <v>12</v>
      </c>
      <c r="M3633" s="46" t="s">
        <v>10</v>
      </c>
      <c r="N3633" s="46" t="s">
        <v>11</v>
      </c>
      <c r="O3633" s="49" t="s">
        <v>815</v>
      </c>
      <c r="P3633" s="49" t="s">
        <v>4910</v>
      </c>
      <c r="Q3633" s="35" t="str">
        <f>MID(Tabla1[[#This Row],[Aplicación]],14,1)</f>
        <v>2</v>
      </c>
      <c r="R3633" s="35" t="s">
        <v>495</v>
      </c>
      <c r="S3633" s="35" t="str">
        <f>MID(Tabla1[[#This Row],[Aplicación]],6,2)</f>
        <v>11</v>
      </c>
      <c r="T3633" s="35" t="str">
        <f>VLOOKUP(Tabla1[[#This Row],[AREA]],Hoja1!A:B,2,FALSE)</f>
        <v>11. Salud pública y seguridad ciudadana</v>
      </c>
      <c r="U3633" s="35" t="str">
        <f>MID(Tabla1[[#This Row],[Aplicación]],9,4)</f>
        <v>1361</v>
      </c>
      <c r="V3633" s="35" t="str">
        <f>VLOOKUP(Tabla1[[#This Row],[PROGRAMA]],Hoja1!A:B,2,FALSE)</f>
        <v>1361. Prevención y extinción de incencios</v>
      </c>
      <c r="W3633" s="35" t="str">
        <f>MID(Tabla1[[#This Row],[Aplicación]],14,2)</f>
        <v>21</v>
      </c>
      <c r="X3633" s="35" t="str">
        <f>MID(Tabla1[[#This Row],[Aplicación]],14,6)</f>
        <v>214</v>
      </c>
    </row>
    <row r="3634" spans="1:24" x14ac:dyDescent="0.25">
      <c r="A3634" s="45">
        <v>220210056713</v>
      </c>
      <c r="B3634" s="46" t="s">
        <v>204</v>
      </c>
      <c r="C3634" s="47">
        <v>44455</v>
      </c>
      <c r="D3634" s="45">
        <v>22021002054</v>
      </c>
      <c r="E3634" s="46" t="s">
        <v>1382</v>
      </c>
      <c r="F3634" s="48">
        <v>4192.24</v>
      </c>
      <c r="G3634" s="46" t="s">
        <v>269</v>
      </c>
      <c r="H3634" s="46" t="s">
        <v>5215</v>
      </c>
      <c r="I3634" s="45" t="s">
        <v>205</v>
      </c>
      <c r="J3634" s="46" t="s">
        <v>127</v>
      </c>
      <c r="K3634" s="46" t="s">
        <v>127</v>
      </c>
      <c r="L3634" s="46" t="s">
        <v>15</v>
      </c>
      <c r="M3634" s="46" t="s">
        <v>13</v>
      </c>
      <c r="N3634" s="46" t="s">
        <v>14</v>
      </c>
      <c r="O3634" s="49" t="s">
        <v>814</v>
      </c>
      <c r="P3634" s="49" t="s">
        <v>4910</v>
      </c>
      <c r="Q3634" s="35" t="str">
        <f>MID(Tabla1[[#This Row],[Aplicación]],14,1)</f>
        <v>2</v>
      </c>
      <c r="R3634" s="35" t="s">
        <v>495</v>
      </c>
      <c r="S3634" s="35" t="str">
        <f>MID(Tabla1[[#This Row],[Aplicación]],6,2)</f>
        <v>11</v>
      </c>
      <c r="T3634" s="35" t="str">
        <f>VLOOKUP(Tabla1[[#This Row],[AREA]],Hoja1!A:B,2,FALSE)</f>
        <v>11. Salud pública y seguridad ciudadana</v>
      </c>
      <c r="U3634" s="35" t="str">
        <f>MID(Tabla1[[#This Row],[Aplicación]],9,4)</f>
        <v>1631</v>
      </c>
      <c r="V3634" s="35" t="str">
        <f>VLOOKUP(Tabla1[[#This Row],[PROGRAMA]],Hoja1!A:B,2,FALSE)</f>
        <v>1631. Limpieza viaria</v>
      </c>
      <c r="W3634" s="35" t="str">
        <f>MID(Tabla1[[#This Row],[Aplicación]],14,2)</f>
        <v>21</v>
      </c>
      <c r="X3634" s="35" t="str">
        <f>MID(Tabla1[[#This Row],[Aplicación]],14,6)</f>
        <v>214</v>
      </c>
    </row>
    <row r="3635" spans="1:24" x14ac:dyDescent="0.25">
      <c r="A3635" s="45">
        <v>220210056632</v>
      </c>
      <c r="B3635" s="46" t="s">
        <v>204</v>
      </c>
      <c r="C3635" s="47">
        <v>44455</v>
      </c>
      <c r="D3635" s="45">
        <v>22021002048</v>
      </c>
      <c r="E3635" s="46" t="s">
        <v>890</v>
      </c>
      <c r="F3635" s="48">
        <v>1518.6</v>
      </c>
      <c r="G3635" s="46" t="s">
        <v>269</v>
      </c>
      <c r="H3635" s="46" t="s">
        <v>5216</v>
      </c>
      <c r="I3635" s="45" t="s">
        <v>205</v>
      </c>
      <c r="J3635" s="46" t="s">
        <v>127</v>
      </c>
      <c r="K3635" s="46" t="s">
        <v>127</v>
      </c>
      <c r="L3635" s="46" t="s">
        <v>15</v>
      </c>
      <c r="M3635" s="46" t="s">
        <v>13</v>
      </c>
      <c r="N3635" s="46" t="s">
        <v>14</v>
      </c>
      <c r="O3635" s="49" t="s">
        <v>814</v>
      </c>
      <c r="P3635" s="49" t="s">
        <v>4910</v>
      </c>
      <c r="Q3635" s="35" t="str">
        <f>MID(Tabla1[[#This Row],[Aplicación]],14,1)</f>
        <v>2</v>
      </c>
      <c r="R3635" s="35" t="s">
        <v>495</v>
      </c>
      <c r="S3635" s="35" t="str">
        <f>MID(Tabla1[[#This Row],[Aplicación]],6,2)</f>
        <v>11</v>
      </c>
      <c r="T3635" s="35" t="str">
        <f>VLOOKUP(Tabla1[[#This Row],[AREA]],Hoja1!A:B,2,FALSE)</f>
        <v>11. Salud pública y seguridad ciudadana</v>
      </c>
      <c r="U3635" s="35" t="str">
        <f>MID(Tabla1[[#This Row],[Aplicación]],9,4)</f>
        <v>1621</v>
      </c>
      <c r="V3635" s="35" t="str">
        <f>VLOOKUP(Tabla1[[#This Row],[PROGRAMA]],Hoja1!A:B,2,FALSE)</f>
        <v>1621. Servicio de limpieza</v>
      </c>
      <c r="W3635" s="35" t="str">
        <f>MID(Tabla1[[#This Row],[Aplicación]],14,2)</f>
        <v>21</v>
      </c>
      <c r="X3635" s="35" t="str">
        <f>MID(Tabla1[[#This Row],[Aplicación]],14,6)</f>
        <v>214</v>
      </c>
    </row>
    <row r="3636" spans="1:24" x14ac:dyDescent="0.25">
      <c r="A3636" s="45">
        <v>220210061326</v>
      </c>
      <c r="B3636" s="46" t="s">
        <v>204</v>
      </c>
      <c r="C3636" s="47">
        <v>44468</v>
      </c>
      <c r="D3636" s="45">
        <v>22021002048</v>
      </c>
      <c r="E3636" s="46" t="s">
        <v>890</v>
      </c>
      <c r="F3636" s="48">
        <v>1260.71</v>
      </c>
      <c r="G3636" s="46" t="s">
        <v>269</v>
      </c>
      <c r="H3636" s="46" t="s">
        <v>5217</v>
      </c>
      <c r="I3636" s="45" t="s">
        <v>205</v>
      </c>
      <c r="J3636" s="46" t="s">
        <v>127</v>
      </c>
      <c r="K3636" s="46" t="s">
        <v>127</v>
      </c>
      <c r="L3636" s="46" t="s">
        <v>15</v>
      </c>
      <c r="M3636" s="46" t="s">
        <v>13</v>
      </c>
      <c r="N3636" s="46" t="s">
        <v>14</v>
      </c>
      <c r="O3636" s="49" t="s">
        <v>814</v>
      </c>
      <c r="P3636" s="49" t="s">
        <v>4910</v>
      </c>
      <c r="Q3636" s="35" t="str">
        <f>MID(Tabla1[[#This Row],[Aplicación]],14,1)</f>
        <v>2</v>
      </c>
      <c r="R3636" s="35" t="s">
        <v>495</v>
      </c>
      <c r="S3636" s="35" t="str">
        <f>MID(Tabla1[[#This Row],[Aplicación]],6,2)</f>
        <v>11</v>
      </c>
      <c r="T3636" s="35" t="str">
        <f>VLOOKUP(Tabla1[[#This Row],[AREA]],Hoja1!A:B,2,FALSE)</f>
        <v>11. Salud pública y seguridad ciudadana</v>
      </c>
      <c r="U3636" s="35" t="str">
        <f>MID(Tabla1[[#This Row],[Aplicación]],9,4)</f>
        <v>1621</v>
      </c>
      <c r="V3636" s="35" t="str">
        <f>VLOOKUP(Tabla1[[#This Row],[PROGRAMA]],Hoja1!A:B,2,FALSE)</f>
        <v>1621. Servicio de limpieza</v>
      </c>
      <c r="W3636" s="35" t="str">
        <f>MID(Tabla1[[#This Row],[Aplicación]],14,2)</f>
        <v>21</v>
      </c>
      <c r="X3636" s="35" t="str">
        <f>MID(Tabla1[[#This Row],[Aplicación]],14,6)</f>
        <v>214</v>
      </c>
    </row>
    <row r="3637" spans="1:24" x14ac:dyDescent="0.25">
      <c r="A3637" s="45">
        <v>220210056647</v>
      </c>
      <c r="B3637" s="46" t="s">
        <v>204</v>
      </c>
      <c r="C3637" s="47">
        <v>44455</v>
      </c>
      <c r="D3637" s="45">
        <v>22021002057</v>
      </c>
      <c r="E3637" s="46" t="s">
        <v>1715</v>
      </c>
      <c r="F3637" s="48">
        <v>364.31</v>
      </c>
      <c r="G3637" s="46" t="s">
        <v>269</v>
      </c>
      <c r="H3637" s="46" t="s">
        <v>5218</v>
      </c>
      <c r="I3637" s="45" t="s">
        <v>205</v>
      </c>
      <c r="J3637" s="46" t="s">
        <v>127</v>
      </c>
      <c r="K3637" s="46" t="s">
        <v>127</v>
      </c>
      <c r="L3637" s="46" t="s">
        <v>15</v>
      </c>
      <c r="M3637" s="46" t="s">
        <v>13</v>
      </c>
      <c r="N3637" s="46" t="s">
        <v>14</v>
      </c>
      <c r="O3637" s="49" t="s">
        <v>814</v>
      </c>
      <c r="P3637" s="49" t="s">
        <v>4910</v>
      </c>
      <c r="Q3637" s="35" t="str">
        <f>MID(Tabla1[[#This Row],[Aplicación]],14,1)</f>
        <v>2</v>
      </c>
      <c r="R3637" s="35" t="s">
        <v>495</v>
      </c>
      <c r="S3637" s="35" t="str">
        <f>MID(Tabla1[[#This Row],[Aplicación]],6,2)</f>
        <v>11</v>
      </c>
      <c r="T3637" s="35" t="str">
        <f>VLOOKUP(Tabla1[[#This Row],[AREA]],Hoja1!A:B,2,FALSE)</f>
        <v>11. Salud pública y seguridad ciudadana</v>
      </c>
      <c r="U3637" s="35" t="str">
        <f>MID(Tabla1[[#This Row],[Aplicación]],9,4)</f>
        <v>1631</v>
      </c>
      <c r="V3637" s="35" t="str">
        <f>VLOOKUP(Tabla1[[#This Row],[PROGRAMA]],Hoja1!A:B,2,FALSE)</f>
        <v>1631. Limpieza viaria</v>
      </c>
      <c r="W3637" s="35" t="str">
        <f>MID(Tabla1[[#This Row],[Aplicación]],14,2)</f>
        <v>22</v>
      </c>
      <c r="X3637" s="35" t="str">
        <f>MID(Tabla1[[#This Row],[Aplicación]],14,6)</f>
        <v>22199</v>
      </c>
    </row>
    <row r="3638" spans="1:24" x14ac:dyDescent="0.25">
      <c r="A3638" s="45">
        <v>220210058672</v>
      </c>
      <c r="B3638" s="46" t="s">
        <v>204</v>
      </c>
      <c r="C3638" s="47">
        <v>44461</v>
      </c>
      <c r="D3638" s="45">
        <v>22021002048</v>
      </c>
      <c r="E3638" s="46" t="s">
        <v>890</v>
      </c>
      <c r="F3638" s="48">
        <v>1731.95</v>
      </c>
      <c r="G3638" s="46" t="s">
        <v>269</v>
      </c>
      <c r="H3638" s="46" t="s">
        <v>3931</v>
      </c>
      <c r="I3638" s="45" t="s">
        <v>205</v>
      </c>
      <c r="J3638" s="46" t="s">
        <v>127</v>
      </c>
      <c r="K3638" s="46" t="s">
        <v>127</v>
      </c>
      <c r="L3638" s="46" t="s">
        <v>15</v>
      </c>
      <c r="M3638" s="46" t="s">
        <v>13</v>
      </c>
      <c r="N3638" s="46" t="s">
        <v>14</v>
      </c>
      <c r="O3638" s="49" t="s">
        <v>814</v>
      </c>
      <c r="P3638" s="49" t="s">
        <v>4910</v>
      </c>
      <c r="Q3638" s="35" t="str">
        <f>MID(Tabla1[[#This Row],[Aplicación]],14,1)</f>
        <v>2</v>
      </c>
      <c r="R3638" s="35" t="s">
        <v>495</v>
      </c>
      <c r="S3638" s="35" t="str">
        <f>MID(Tabla1[[#This Row],[Aplicación]],6,2)</f>
        <v>11</v>
      </c>
      <c r="T3638" s="35" t="str">
        <f>VLOOKUP(Tabla1[[#This Row],[AREA]],Hoja1!A:B,2,FALSE)</f>
        <v>11. Salud pública y seguridad ciudadana</v>
      </c>
      <c r="U3638" s="35" t="str">
        <f>MID(Tabla1[[#This Row],[Aplicación]],9,4)</f>
        <v>1621</v>
      </c>
      <c r="V3638" s="35" t="str">
        <f>VLOOKUP(Tabla1[[#This Row],[PROGRAMA]],Hoja1!A:B,2,FALSE)</f>
        <v>1621. Servicio de limpieza</v>
      </c>
      <c r="W3638" s="35" t="str">
        <f>MID(Tabla1[[#This Row],[Aplicación]],14,2)</f>
        <v>21</v>
      </c>
      <c r="X3638" s="35" t="str">
        <f>MID(Tabla1[[#This Row],[Aplicación]],14,6)</f>
        <v>214</v>
      </c>
    </row>
    <row r="3639" spans="1:24" x14ac:dyDescent="0.25">
      <c r="A3639" s="45">
        <v>220210044274</v>
      </c>
      <c r="B3639" s="46" t="s">
        <v>9</v>
      </c>
      <c r="C3639" s="47">
        <v>44406</v>
      </c>
      <c r="D3639" s="45">
        <v>22021005945</v>
      </c>
      <c r="E3639" s="46" t="s">
        <v>1314</v>
      </c>
      <c r="F3639" s="48">
        <v>150.02000000000001</v>
      </c>
      <c r="G3639" s="46" t="s">
        <v>4378</v>
      </c>
      <c r="H3639" s="46" t="s">
        <v>5219</v>
      </c>
      <c r="I3639" s="45" t="s">
        <v>125</v>
      </c>
      <c r="J3639" s="46" t="s">
        <v>664</v>
      </c>
      <c r="K3639" s="46" t="s">
        <v>127</v>
      </c>
      <c r="L3639" s="46" t="s">
        <v>15</v>
      </c>
      <c r="M3639" s="46" t="s">
        <v>13</v>
      </c>
      <c r="N3639" s="46" t="s">
        <v>14</v>
      </c>
      <c r="O3639" s="49" t="s">
        <v>814</v>
      </c>
      <c r="P3639" s="49" t="s">
        <v>4910</v>
      </c>
      <c r="Q3639" s="35" t="str">
        <f>MID(Tabla1[[#This Row],[Aplicación]],14,1)</f>
        <v>2</v>
      </c>
      <c r="R3639" s="35" t="s">
        <v>495</v>
      </c>
      <c r="S3639" s="35" t="str">
        <f>MID(Tabla1[[#This Row],[Aplicación]],6,2)</f>
        <v>01</v>
      </c>
      <c r="T3639" s="35" t="str">
        <f>VLOOKUP(Tabla1[[#This Row],[AREA]],Hoja1!A:B,2,FALSE)</f>
        <v>01. Alcaldía</v>
      </c>
      <c r="U3639" s="35" t="str">
        <f>MID(Tabla1[[#This Row],[Aplicación]],9,4)</f>
        <v>9206</v>
      </c>
      <c r="V3639" s="35" t="str">
        <f>VLOOKUP(Tabla1[[#This Row],[PROGRAMA]],Hoja1!A:B,2,FALSE)</f>
        <v>9206. Archivo municipal</v>
      </c>
      <c r="W3639" s="35" t="str">
        <f>MID(Tabla1[[#This Row],[Aplicación]],14,2)</f>
        <v>22</v>
      </c>
      <c r="X3639" s="35" t="str">
        <f>MID(Tabla1[[#This Row],[Aplicación]],14,6)</f>
        <v>22199</v>
      </c>
    </row>
    <row r="3640" spans="1:24" x14ac:dyDescent="0.25">
      <c r="A3640" s="45">
        <v>220210036408</v>
      </c>
      <c r="B3640" s="46" t="s">
        <v>204</v>
      </c>
      <c r="C3640" s="47">
        <v>44384</v>
      </c>
      <c r="D3640" s="45">
        <v>22021002228</v>
      </c>
      <c r="E3640" s="46" t="s">
        <v>1471</v>
      </c>
      <c r="F3640" s="48">
        <v>1955.73</v>
      </c>
      <c r="G3640" s="46" t="s">
        <v>4378</v>
      </c>
      <c r="H3640" s="46" t="s">
        <v>5220</v>
      </c>
      <c r="I3640" s="45" t="s">
        <v>205</v>
      </c>
      <c r="J3640" s="46" t="s">
        <v>664</v>
      </c>
      <c r="K3640" s="46" t="s">
        <v>127</v>
      </c>
      <c r="L3640" s="46" t="s">
        <v>15</v>
      </c>
      <c r="M3640" s="46" t="s">
        <v>13</v>
      </c>
      <c r="N3640" s="46" t="s">
        <v>16</v>
      </c>
      <c r="O3640" s="49" t="s">
        <v>814</v>
      </c>
      <c r="P3640" s="49" t="s">
        <v>4910</v>
      </c>
      <c r="Q3640" s="35" t="str">
        <f>MID(Tabla1[[#This Row],[Aplicación]],14,1)</f>
        <v>2</v>
      </c>
      <c r="R3640" s="35" t="s">
        <v>495</v>
      </c>
      <c r="S3640" s="35" t="str">
        <f>MID(Tabla1[[#This Row],[Aplicación]],6,2)</f>
        <v>06</v>
      </c>
      <c r="T3640" s="35" t="str">
        <f>VLOOKUP(Tabla1[[#This Row],[AREA]],Hoja1!A:B,2,FALSE)</f>
        <v>06. Educación, infancia, juventud e igualdad</v>
      </c>
      <c r="U3640" s="35" t="str">
        <f>MID(Tabla1[[#This Row],[Aplicación]],9,4)</f>
        <v>3232</v>
      </c>
      <c r="V3640" s="35" t="str">
        <f>VLOOKUP(Tabla1[[#This Row],[PROGRAMA]],Hoja1!A:B,2,FALSE)</f>
        <v>3232. Conservación y mantenimiento centros educación infantil y primaria</v>
      </c>
      <c r="W3640" s="35" t="str">
        <f>MID(Tabla1[[#This Row],[Aplicación]],14,2)</f>
        <v>21</v>
      </c>
      <c r="X3640" s="35" t="str">
        <f>MID(Tabla1[[#This Row],[Aplicación]],14,6)</f>
        <v>212</v>
      </c>
    </row>
    <row r="3641" spans="1:24" x14ac:dyDescent="0.25">
      <c r="A3641" s="45">
        <v>220210044413</v>
      </c>
      <c r="B3641" s="46" t="s">
        <v>204</v>
      </c>
      <c r="C3641" s="47">
        <v>44407</v>
      </c>
      <c r="D3641" s="45">
        <v>22021002088</v>
      </c>
      <c r="E3641" s="46" t="s">
        <v>1478</v>
      </c>
      <c r="F3641" s="48">
        <v>1015.78</v>
      </c>
      <c r="G3641" s="46" t="s">
        <v>4378</v>
      </c>
      <c r="H3641" s="46" t="s">
        <v>5221</v>
      </c>
      <c r="I3641" s="45" t="s">
        <v>205</v>
      </c>
      <c r="J3641" s="46" t="s">
        <v>664</v>
      </c>
      <c r="K3641" s="46" t="s">
        <v>127</v>
      </c>
      <c r="L3641" s="46" t="s">
        <v>15</v>
      </c>
      <c r="M3641" s="46" t="s">
        <v>13</v>
      </c>
      <c r="N3641" s="46" t="s">
        <v>16</v>
      </c>
      <c r="O3641" s="49" t="s">
        <v>814</v>
      </c>
      <c r="P3641" s="49" t="s">
        <v>4910</v>
      </c>
      <c r="Q3641" s="35" t="str">
        <f>MID(Tabla1[[#This Row],[Aplicación]],14,1)</f>
        <v>2</v>
      </c>
      <c r="R3641" s="35" t="s">
        <v>495</v>
      </c>
      <c r="S3641" s="35" t="str">
        <f>MID(Tabla1[[#This Row],[Aplicación]],6,2)</f>
        <v>03</v>
      </c>
      <c r="T3641" s="35" t="str">
        <f>VLOOKUP(Tabla1[[#This Row],[AREA]],Hoja1!A:B,2,FALSE)</f>
        <v>03. Participación ciudadana y deportes</v>
      </c>
      <c r="U3641" s="35" t="str">
        <f>MID(Tabla1[[#This Row],[Aplicación]],9,4)</f>
        <v>9241</v>
      </c>
      <c r="V3641" s="35" t="str">
        <f>VLOOKUP(Tabla1[[#This Row],[PROGRAMA]],Hoja1!A:B,2,FALSE)</f>
        <v>9241. Participación ciudadana</v>
      </c>
      <c r="W3641" s="35" t="str">
        <f>MID(Tabla1[[#This Row],[Aplicación]],14,2)</f>
        <v>21</v>
      </c>
      <c r="X3641" s="35" t="str">
        <f>MID(Tabla1[[#This Row],[Aplicación]],14,6)</f>
        <v>212</v>
      </c>
    </row>
    <row r="3642" spans="1:24" x14ac:dyDescent="0.25">
      <c r="A3642" s="45">
        <v>220210050707</v>
      </c>
      <c r="B3642" s="46" t="s">
        <v>9</v>
      </c>
      <c r="C3642" s="47">
        <v>44441</v>
      </c>
      <c r="D3642" s="45">
        <v>22021006194</v>
      </c>
      <c r="E3642" s="46" t="s">
        <v>1172</v>
      </c>
      <c r="F3642" s="48">
        <v>2879.8</v>
      </c>
      <c r="G3642" s="46" t="s">
        <v>103</v>
      </c>
      <c r="H3642" s="46" t="s">
        <v>5222</v>
      </c>
      <c r="I3642" s="45" t="s">
        <v>125</v>
      </c>
      <c r="J3642" s="46" t="s">
        <v>127</v>
      </c>
      <c r="K3642" s="46" t="s">
        <v>127</v>
      </c>
      <c r="L3642" s="46" t="s">
        <v>31</v>
      </c>
      <c r="M3642" s="46" t="s">
        <v>10</v>
      </c>
      <c r="N3642" s="46" t="s">
        <v>11</v>
      </c>
      <c r="O3642" s="49" t="s">
        <v>815</v>
      </c>
      <c r="P3642" s="49" t="s">
        <v>4910</v>
      </c>
      <c r="Q3642" s="35" t="str">
        <f>MID(Tabla1[[#This Row],[Aplicación]],14,1)</f>
        <v>6</v>
      </c>
      <c r="R3642" s="35" t="s">
        <v>496</v>
      </c>
      <c r="S3642" s="35" t="str">
        <f>MID(Tabla1[[#This Row],[Aplicación]],6,2)</f>
        <v>02</v>
      </c>
      <c r="T3642" s="35" t="str">
        <f>VLOOKUP(Tabla1[[#This Row],[AREA]],Hoja1!A:B,2,FALSE)</f>
        <v>02. Planeamiento urbanístico y vivienda</v>
      </c>
      <c r="U3642" s="35" t="str">
        <f>MID(Tabla1[[#This Row],[Aplicación]],9,4)</f>
        <v>9332</v>
      </c>
      <c r="V3642" s="35" t="str">
        <f>VLOOKUP(Tabla1[[#This Row],[PROGRAMA]],Hoja1!A:B,2,FALSE)</f>
        <v>9332. Mantenimiento de edificios e instalaciones municipales</v>
      </c>
      <c r="W3642" s="35" t="str">
        <f>MID(Tabla1[[#This Row],[Aplicación]],14,2)</f>
        <v>63</v>
      </c>
      <c r="X3642" s="35" t="str">
        <f>MID(Tabla1[[#This Row],[Aplicación]],14,6)</f>
        <v>632</v>
      </c>
    </row>
    <row r="3643" spans="1:24" x14ac:dyDescent="0.25">
      <c r="A3643" s="45">
        <v>220210045985</v>
      </c>
      <c r="B3643" s="46" t="s">
        <v>9</v>
      </c>
      <c r="C3643" s="47">
        <v>44418</v>
      </c>
      <c r="D3643" s="45">
        <v>22021006016</v>
      </c>
      <c r="E3643" s="46" t="s">
        <v>3310</v>
      </c>
      <c r="F3643" s="48">
        <v>30199.4</v>
      </c>
      <c r="G3643" s="46" t="s">
        <v>5223</v>
      </c>
      <c r="H3643" s="46" t="s">
        <v>5224</v>
      </c>
      <c r="I3643" s="45" t="s">
        <v>125</v>
      </c>
      <c r="J3643" s="46" t="s">
        <v>127</v>
      </c>
      <c r="K3643" s="46" t="s">
        <v>127</v>
      </c>
      <c r="L3643" s="46" t="s">
        <v>31</v>
      </c>
      <c r="M3643" s="46" t="s">
        <v>10</v>
      </c>
      <c r="N3643" s="46" t="s">
        <v>11</v>
      </c>
      <c r="O3643" s="49" t="s">
        <v>815</v>
      </c>
      <c r="P3643" s="49" t="s">
        <v>4910</v>
      </c>
      <c r="Q3643" s="35" t="str">
        <f>MID(Tabla1[[#This Row],[Aplicación]],14,1)</f>
        <v>6</v>
      </c>
      <c r="R3643" s="35" t="s">
        <v>496</v>
      </c>
      <c r="S3643" s="35" t="str">
        <f>MID(Tabla1[[#This Row],[Aplicación]],6,2)</f>
        <v>06</v>
      </c>
      <c r="T3643" s="35" t="str">
        <f>VLOOKUP(Tabla1[[#This Row],[AREA]],Hoja1!A:B,2,FALSE)</f>
        <v>06. Educación, infancia, juventud e igualdad</v>
      </c>
      <c r="U3643" s="35" t="str">
        <f>MID(Tabla1[[#This Row],[Aplicación]],9,4)</f>
        <v>3231</v>
      </c>
      <c r="V3643" s="35" t="str">
        <f>VLOOKUP(Tabla1[[#This Row],[PROGRAMA]],Hoja1!A:B,2,FALSE)</f>
        <v>3231. Escuelas infantiles</v>
      </c>
      <c r="W3643" s="35" t="str">
        <f>MID(Tabla1[[#This Row],[Aplicación]],14,2)</f>
        <v>63</v>
      </c>
      <c r="X3643" s="35" t="str">
        <f>MID(Tabla1[[#This Row],[Aplicación]],14,6)</f>
        <v>632</v>
      </c>
    </row>
    <row r="3644" spans="1:24" x14ac:dyDescent="0.25">
      <c r="A3644" s="45">
        <v>220210036221</v>
      </c>
      <c r="B3644" s="46" t="s">
        <v>9</v>
      </c>
      <c r="C3644" s="47">
        <v>44383</v>
      </c>
      <c r="D3644" s="45">
        <v>22021005095</v>
      </c>
      <c r="E3644" s="46" t="s">
        <v>1660</v>
      </c>
      <c r="F3644" s="48">
        <v>1796.69</v>
      </c>
      <c r="G3644" s="46" t="s">
        <v>1523</v>
      </c>
      <c r="H3644" s="46" t="s">
        <v>5225</v>
      </c>
      <c r="I3644" s="45" t="s">
        <v>125</v>
      </c>
      <c r="J3644" s="46" t="s">
        <v>127</v>
      </c>
      <c r="K3644" s="46" t="s">
        <v>127</v>
      </c>
      <c r="L3644" s="46" t="s">
        <v>12</v>
      </c>
      <c r="M3644" s="46" t="s">
        <v>10</v>
      </c>
      <c r="N3644" s="46" t="s">
        <v>11</v>
      </c>
      <c r="O3644" s="49" t="s">
        <v>815</v>
      </c>
      <c r="P3644" s="49" t="s">
        <v>4910</v>
      </c>
      <c r="Q3644" s="35" t="str">
        <f>MID(Tabla1[[#This Row],[Aplicación]],14,1)</f>
        <v>2</v>
      </c>
      <c r="R3644" s="35" t="s">
        <v>495</v>
      </c>
      <c r="S3644" s="35" t="str">
        <f>MID(Tabla1[[#This Row],[Aplicación]],6,2)</f>
        <v>04</v>
      </c>
      <c r="T3644" s="35" t="str">
        <f>VLOOKUP(Tabla1[[#This Row],[AREA]],Hoja1!A:B,2,FALSE)</f>
        <v>04. Planificación y recursos</v>
      </c>
      <c r="U3644" s="35" t="str">
        <f>MID(Tabla1[[#This Row],[Aplicación]],9,4)</f>
        <v>9202</v>
      </c>
      <c r="V3644" s="35" t="str">
        <f>VLOOKUP(Tabla1[[#This Row],[PROGRAMA]],Hoja1!A:B,2,FALSE)</f>
        <v>9202. Gestión de recursos humanos</v>
      </c>
      <c r="W3644" s="35" t="str">
        <f>MID(Tabla1[[#This Row],[Aplicación]],14,2)</f>
        <v>22</v>
      </c>
      <c r="X3644" s="35" t="str">
        <f>MID(Tabla1[[#This Row],[Aplicación]],14,6)</f>
        <v>22607</v>
      </c>
    </row>
    <row r="3645" spans="1:24" x14ac:dyDescent="0.25">
      <c r="A3645" s="45">
        <v>220210051247</v>
      </c>
      <c r="B3645" s="46" t="s">
        <v>9</v>
      </c>
      <c r="C3645" s="47">
        <v>44448</v>
      </c>
      <c r="D3645" s="45">
        <v>22021006390</v>
      </c>
      <c r="E3645" s="46" t="s">
        <v>5034</v>
      </c>
      <c r="F3645" s="48">
        <v>2846.13</v>
      </c>
      <c r="G3645" s="46" t="s">
        <v>3491</v>
      </c>
      <c r="H3645" s="46" t="s">
        <v>5226</v>
      </c>
      <c r="I3645" s="45" t="s">
        <v>125</v>
      </c>
      <c r="J3645" s="46" t="s">
        <v>127</v>
      </c>
      <c r="K3645" s="46" t="s">
        <v>127</v>
      </c>
      <c r="L3645" s="46" t="s">
        <v>31</v>
      </c>
      <c r="M3645" s="46" t="s">
        <v>10</v>
      </c>
      <c r="N3645" s="46" t="s">
        <v>11</v>
      </c>
      <c r="O3645" s="49" t="s">
        <v>815</v>
      </c>
      <c r="P3645" s="49" t="s">
        <v>4910</v>
      </c>
      <c r="Q3645" s="35" t="str">
        <f>MID(Tabla1[[#This Row],[Aplicación]],14,1)</f>
        <v>6</v>
      </c>
      <c r="R3645" s="35" t="s">
        <v>496</v>
      </c>
      <c r="S3645" s="35" t="str">
        <f>MID(Tabla1[[#This Row],[Aplicación]],6,2)</f>
        <v>05</v>
      </c>
      <c r="T3645" s="35" t="str">
        <f>VLOOKUP(Tabla1[[#This Row],[AREA]],Hoja1!A:B,2,FALSE)</f>
        <v>05. Innovación, desarrollo económico, empleo y comercio</v>
      </c>
      <c r="U3645" s="35" t="str">
        <f>MID(Tabla1[[#This Row],[Aplicación]],9,4)</f>
        <v>4331</v>
      </c>
      <c r="V3645" s="35" t="str">
        <f>VLOOKUP(Tabla1[[#This Row],[PROGRAMA]],Hoja1!A:B,2,FALSE)</f>
        <v>4331. Desarrollo empresarial</v>
      </c>
      <c r="W3645" s="35" t="str">
        <f>MID(Tabla1[[#This Row],[Aplicación]],14,2)</f>
        <v>62</v>
      </c>
      <c r="X3645" s="35" t="str">
        <f>MID(Tabla1[[#This Row],[Aplicación]],14,6)</f>
        <v>622</v>
      </c>
    </row>
    <row r="3646" spans="1:24" x14ac:dyDescent="0.25">
      <c r="A3646" s="45">
        <v>220210043792</v>
      </c>
      <c r="B3646" s="46" t="s">
        <v>204</v>
      </c>
      <c r="C3646" s="47">
        <v>44404</v>
      </c>
      <c r="D3646" s="45">
        <v>22021003344</v>
      </c>
      <c r="E3646" s="46" t="s">
        <v>827</v>
      </c>
      <c r="F3646" s="48">
        <v>3012.9</v>
      </c>
      <c r="G3646" s="46" t="s">
        <v>5227</v>
      </c>
      <c r="H3646" s="46" t="s">
        <v>5228</v>
      </c>
      <c r="I3646" s="45" t="s">
        <v>205</v>
      </c>
      <c r="J3646" s="46" t="s">
        <v>5229</v>
      </c>
      <c r="K3646" s="46" t="s">
        <v>133</v>
      </c>
      <c r="L3646" s="46" t="s">
        <v>15</v>
      </c>
      <c r="M3646" s="46" t="s">
        <v>13</v>
      </c>
      <c r="N3646" s="46" t="s">
        <v>16</v>
      </c>
      <c r="O3646" s="49" t="s">
        <v>803</v>
      </c>
      <c r="P3646" s="49" t="s">
        <v>4910</v>
      </c>
      <c r="Q3646" s="35" t="str">
        <f>MID(Tabla1[[#This Row],[Aplicación]],14,1)</f>
        <v>2</v>
      </c>
      <c r="R3646" s="35" t="s">
        <v>495</v>
      </c>
      <c r="S3646" s="35" t="str">
        <f>MID(Tabla1[[#This Row],[Aplicación]],6,2)</f>
        <v>04</v>
      </c>
      <c r="T3646" s="35" t="str">
        <f>VLOOKUP(Tabla1[[#This Row],[AREA]],Hoja1!A:B,2,FALSE)</f>
        <v>04. Planificación y recursos</v>
      </c>
      <c r="U3646" s="35" t="str">
        <f>MID(Tabla1[[#This Row],[Aplicación]],9,4)</f>
        <v>9204</v>
      </c>
      <c r="V3646" s="35" t="str">
        <f>VLOOKUP(Tabla1[[#This Row],[PROGRAMA]],Hoja1!A:B,2,FALSE)</f>
        <v>9204. Tecnologías de la información y comunicación</v>
      </c>
      <c r="W3646" s="35" t="str">
        <f>MID(Tabla1[[#This Row],[Aplicación]],14,2)</f>
        <v>21</v>
      </c>
      <c r="X3646" s="35" t="str">
        <f>MID(Tabla1[[#This Row],[Aplicación]],14,6)</f>
        <v>216</v>
      </c>
    </row>
    <row r="3647" spans="1:24" x14ac:dyDescent="0.25">
      <c r="A3647" s="45">
        <v>220210038358</v>
      </c>
      <c r="B3647" s="46" t="s">
        <v>9</v>
      </c>
      <c r="C3647" s="47">
        <v>44392</v>
      </c>
      <c r="D3647" s="45">
        <v>22021005612</v>
      </c>
      <c r="E3647" s="46" t="s">
        <v>1167</v>
      </c>
      <c r="F3647" s="48">
        <v>1919.23</v>
      </c>
      <c r="G3647" s="46" t="s">
        <v>4088</v>
      </c>
      <c r="H3647" s="46" t="s">
        <v>5230</v>
      </c>
      <c r="I3647" s="45" t="s">
        <v>125</v>
      </c>
      <c r="J3647" s="46" t="s">
        <v>127</v>
      </c>
      <c r="K3647" s="46" t="s">
        <v>127</v>
      </c>
      <c r="L3647" s="46" t="s">
        <v>12</v>
      </c>
      <c r="M3647" s="46" t="s">
        <v>10</v>
      </c>
      <c r="N3647" s="46" t="s">
        <v>11</v>
      </c>
      <c r="O3647" s="49" t="s">
        <v>815</v>
      </c>
      <c r="P3647" s="49" t="s">
        <v>4910</v>
      </c>
      <c r="Q3647" s="35" t="str">
        <f>MID(Tabla1[[#This Row],[Aplicación]],14,1)</f>
        <v>2</v>
      </c>
      <c r="R3647" s="35" t="s">
        <v>495</v>
      </c>
      <c r="S3647" s="35" t="str">
        <f>MID(Tabla1[[#This Row],[Aplicación]],6,2)</f>
        <v>11</v>
      </c>
      <c r="T3647" s="35" t="str">
        <f>VLOOKUP(Tabla1[[#This Row],[AREA]],Hoja1!A:B,2,FALSE)</f>
        <v>11. Salud pública y seguridad ciudadana</v>
      </c>
      <c r="U3647" s="35" t="str">
        <f>MID(Tabla1[[#This Row],[Aplicación]],9,4)</f>
        <v>1321</v>
      </c>
      <c r="V3647" s="35" t="str">
        <f>VLOOKUP(Tabla1[[#This Row],[PROGRAMA]],Hoja1!A:B,2,FALSE)</f>
        <v>1321. Policía municipal</v>
      </c>
      <c r="W3647" s="35" t="str">
        <f>MID(Tabla1[[#This Row],[Aplicación]],14,2)</f>
        <v>21</v>
      </c>
      <c r="X3647" s="35" t="str">
        <f>MID(Tabla1[[#This Row],[Aplicación]],14,6)</f>
        <v>214</v>
      </c>
    </row>
    <row r="3648" spans="1:24" x14ac:dyDescent="0.25">
      <c r="A3648" s="45">
        <v>220210045362</v>
      </c>
      <c r="B3648" s="46" t="s">
        <v>9</v>
      </c>
      <c r="C3648" s="47">
        <v>44413</v>
      </c>
      <c r="D3648" s="45">
        <v>22021005965</v>
      </c>
      <c r="E3648" s="46" t="s">
        <v>5231</v>
      </c>
      <c r="F3648" s="48">
        <v>8999.01</v>
      </c>
      <c r="G3648" s="46" t="s">
        <v>4088</v>
      </c>
      <c r="H3648" s="46" t="s">
        <v>5232</v>
      </c>
      <c r="I3648" s="45" t="s">
        <v>125</v>
      </c>
      <c r="J3648" s="46" t="s">
        <v>127</v>
      </c>
      <c r="K3648" s="46" t="s">
        <v>127</v>
      </c>
      <c r="L3648" s="46" t="s">
        <v>15</v>
      </c>
      <c r="M3648" s="46" t="s">
        <v>10</v>
      </c>
      <c r="N3648" s="46" t="s">
        <v>11</v>
      </c>
      <c r="O3648" s="49" t="s">
        <v>815</v>
      </c>
      <c r="P3648" s="49" t="s">
        <v>4910</v>
      </c>
      <c r="Q3648" s="35" t="str">
        <f>MID(Tabla1[[#This Row],[Aplicación]],14,1)</f>
        <v>6</v>
      </c>
      <c r="R3648" s="35" t="s">
        <v>496</v>
      </c>
      <c r="S3648" s="35" t="str">
        <f>MID(Tabla1[[#This Row],[Aplicación]],6,2)</f>
        <v>07</v>
      </c>
      <c r="T3648" s="35" t="str">
        <f>VLOOKUP(Tabla1[[#This Row],[AREA]],Hoja1!A:B,2,FALSE)</f>
        <v>07. Medio ambiente y desarrollo sostenible</v>
      </c>
      <c r="U3648" s="35" t="str">
        <f>MID(Tabla1[[#This Row],[Aplicación]],9,4)</f>
        <v>1711</v>
      </c>
      <c r="V3648" s="35" t="str">
        <f>VLOOKUP(Tabla1[[#This Row],[PROGRAMA]],Hoja1!A:B,2,FALSE)</f>
        <v>1711. Parques y jardines</v>
      </c>
      <c r="W3648" s="35" t="str">
        <f>MID(Tabla1[[#This Row],[Aplicación]],14,2)</f>
        <v>62</v>
      </c>
      <c r="X3648" s="35" t="str">
        <f>MID(Tabla1[[#This Row],[Aplicación]],14,6)</f>
        <v>624</v>
      </c>
    </row>
    <row r="3649" spans="1:24" x14ac:dyDescent="0.25">
      <c r="A3649" s="45">
        <v>220210049867</v>
      </c>
      <c r="B3649" s="46" t="s">
        <v>204</v>
      </c>
      <c r="C3649" s="47">
        <v>44433</v>
      </c>
      <c r="D3649" s="45">
        <v>22021005946</v>
      </c>
      <c r="E3649" s="46" t="s">
        <v>1167</v>
      </c>
      <c r="F3649" s="48">
        <v>752.29</v>
      </c>
      <c r="G3649" s="46" t="s">
        <v>4088</v>
      </c>
      <c r="H3649" s="46" t="s">
        <v>5233</v>
      </c>
      <c r="I3649" s="45" t="s">
        <v>205</v>
      </c>
      <c r="J3649" s="46" t="s">
        <v>127</v>
      </c>
      <c r="K3649" s="46" t="s">
        <v>127</v>
      </c>
      <c r="L3649" s="46" t="s">
        <v>12</v>
      </c>
      <c r="M3649" s="46" t="s">
        <v>13</v>
      </c>
      <c r="N3649" s="46" t="s">
        <v>14</v>
      </c>
      <c r="O3649" s="49" t="s">
        <v>814</v>
      </c>
      <c r="P3649" s="49" t="s">
        <v>4910</v>
      </c>
      <c r="Q3649" s="35" t="str">
        <f>MID(Tabla1[[#This Row],[Aplicación]],14,1)</f>
        <v>2</v>
      </c>
      <c r="R3649" s="35" t="s">
        <v>495</v>
      </c>
      <c r="S3649" s="35" t="str">
        <f>MID(Tabla1[[#This Row],[Aplicación]],6,2)</f>
        <v>11</v>
      </c>
      <c r="T3649" s="35" t="str">
        <f>VLOOKUP(Tabla1[[#This Row],[AREA]],Hoja1!A:B,2,FALSE)</f>
        <v>11. Salud pública y seguridad ciudadana</v>
      </c>
      <c r="U3649" s="35" t="str">
        <f>MID(Tabla1[[#This Row],[Aplicación]],9,4)</f>
        <v>1321</v>
      </c>
      <c r="V3649" s="35" t="str">
        <f>VLOOKUP(Tabla1[[#This Row],[PROGRAMA]],Hoja1!A:B,2,FALSE)</f>
        <v>1321. Policía municipal</v>
      </c>
      <c r="W3649" s="35" t="str">
        <f>MID(Tabla1[[#This Row],[Aplicación]],14,2)</f>
        <v>21</v>
      </c>
      <c r="X3649" s="35" t="str">
        <f>MID(Tabla1[[#This Row],[Aplicación]],14,6)</f>
        <v>214</v>
      </c>
    </row>
    <row r="3650" spans="1:24" x14ac:dyDescent="0.25">
      <c r="A3650" s="45">
        <v>220210049773</v>
      </c>
      <c r="B3650" s="46" t="s">
        <v>204</v>
      </c>
      <c r="C3650" s="47">
        <v>44433</v>
      </c>
      <c r="D3650" s="45">
        <v>22021005946</v>
      </c>
      <c r="E3650" s="46" t="s">
        <v>1167</v>
      </c>
      <c r="F3650" s="48">
        <v>622.82000000000005</v>
      </c>
      <c r="G3650" s="46" t="s">
        <v>4088</v>
      </c>
      <c r="H3650" s="46" t="s">
        <v>5234</v>
      </c>
      <c r="I3650" s="45" t="s">
        <v>205</v>
      </c>
      <c r="J3650" s="46" t="s">
        <v>127</v>
      </c>
      <c r="K3650" s="46" t="s">
        <v>127</v>
      </c>
      <c r="L3650" s="46" t="s">
        <v>12</v>
      </c>
      <c r="M3650" s="46" t="s">
        <v>13</v>
      </c>
      <c r="N3650" s="46" t="s">
        <v>14</v>
      </c>
      <c r="O3650" s="49" t="s">
        <v>814</v>
      </c>
      <c r="P3650" s="49" t="s">
        <v>4910</v>
      </c>
      <c r="Q3650" s="35" t="str">
        <f>MID(Tabla1[[#This Row],[Aplicación]],14,1)</f>
        <v>2</v>
      </c>
      <c r="R3650" s="35" t="s">
        <v>495</v>
      </c>
      <c r="S3650" s="35" t="str">
        <f>MID(Tabla1[[#This Row],[Aplicación]],6,2)</f>
        <v>11</v>
      </c>
      <c r="T3650" s="35" t="str">
        <f>VLOOKUP(Tabla1[[#This Row],[AREA]],Hoja1!A:B,2,FALSE)</f>
        <v>11. Salud pública y seguridad ciudadana</v>
      </c>
      <c r="U3650" s="35" t="str">
        <f>MID(Tabla1[[#This Row],[Aplicación]],9,4)</f>
        <v>1321</v>
      </c>
      <c r="V3650" s="35" t="str">
        <f>VLOOKUP(Tabla1[[#This Row],[PROGRAMA]],Hoja1!A:B,2,FALSE)</f>
        <v>1321. Policía municipal</v>
      </c>
      <c r="W3650" s="35" t="str">
        <f>MID(Tabla1[[#This Row],[Aplicación]],14,2)</f>
        <v>21</v>
      </c>
      <c r="X3650" s="35" t="str">
        <f>MID(Tabla1[[#This Row],[Aplicación]],14,6)</f>
        <v>214</v>
      </c>
    </row>
    <row r="3651" spans="1:24" x14ac:dyDescent="0.25">
      <c r="A3651" s="45">
        <v>220210050903</v>
      </c>
      <c r="B3651" s="46" t="s">
        <v>9</v>
      </c>
      <c r="C3651" s="47">
        <v>44442</v>
      </c>
      <c r="D3651" s="45">
        <v>22021006388</v>
      </c>
      <c r="E3651" s="46" t="s">
        <v>3361</v>
      </c>
      <c r="F3651" s="48">
        <v>2831.4</v>
      </c>
      <c r="G3651" s="46" t="s">
        <v>5235</v>
      </c>
      <c r="H3651" s="46" t="s">
        <v>5236</v>
      </c>
      <c r="I3651" s="45" t="s">
        <v>125</v>
      </c>
      <c r="J3651" s="46" t="s">
        <v>5237</v>
      </c>
      <c r="K3651" s="46" t="s">
        <v>5237</v>
      </c>
      <c r="L3651" s="46" t="s">
        <v>12</v>
      </c>
      <c r="M3651" s="46" t="s">
        <v>10</v>
      </c>
      <c r="N3651" s="46" t="s">
        <v>11</v>
      </c>
      <c r="O3651" s="49" t="s">
        <v>815</v>
      </c>
      <c r="P3651" s="49" t="s">
        <v>4910</v>
      </c>
      <c r="Q3651" s="35" t="str">
        <f>MID(Tabla1[[#This Row],[Aplicación]],14,1)</f>
        <v>6</v>
      </c>
      <c r="R3651" s="35" t="s">
        <v>496</v>
      </c>
      <c r="S3651" s="35" t="str">
        <f>MID(Tabla1[[#This Row],[Aplicación]],6,2)</f>
        <v>02</v>
      </c>
      <c r="T3651" s="35" t="str">
        <f>VLOOKUP(Tabla1[[#This Row],[AREA]],Hoja1!A:B,2,FALSE)</f>
        <v>02. Planeamiento urbanístico y vivienda</v>
      </c>
      <c r="U3651" s="35" t="str">
        <f>MID(Tabla1[[#This Row],[Aplicación]],9,4)</f>
        <v>1511</v>
      </c>
      <c r="V3651" s="35" t="str">
        <f>VLOOKUP(Tabla1[[#This Row],[PROGRAMA]],Hoja1!A:B,2,FALSE)</f>
        <v>1511. Planficación y gestión del urbanismo</v>
      </c>
      <c r="W3651" s="35" t="str">
        <f>MID(Tabla1[[#This Row],[Aplicación]],14,2)</f>
        <v>64</v>
      </c>
      <c r="X3651" s="35" t="str">
        <f>MID(Tabla1[[#This Row],[Aplicación]],14,6)</f>
        <v>641</v>
      </c>
    </row>
    <row r="3652" spans="1:24" x14ac:dyDescent="0.25">
      <c r="A3652" s="45">
        <v>220210050960</v>
      </c>
      <c r="B3652" s="46" t="s">
        <v>9</v>
      </c>
      <c r="C3652" s="47">
        <v>44446</v>
      </c>
      <c r="D3652" s="45">
        <v>22021006417</v>
      </c>
      <c r="E3652" s="46" t="s">
        <v>3356</v>
      </c>
      <c r="F3652" s="48">
        <v>2662</v>
      </c>
      <c r="G3652" s="46" t="s">
        <v>3431</v>
      </c>
      <c r="H3652" s="46" t="s">
        <v>5238</v>
      </c>
      <c r="I3652" s="45" t="s">
        <v>125</v>
      </c>
      <c r="J3652" s="46" t="s">
        <v>127</v>
      </c>
      <c r="K3652" s="46" t="s">
        <v>127</v>
      </c>
      <c r="L3652" s="46" t="s">
        <v>12</v>
      </c>
      <c r="M3652" s="46" t="s">
        <v>10</v>
      </c>
      <c r="N3652" s="46" t="s">
        <v>11</v>
      </c>
      <c r="O3652" s="49" t="s">
        <v>815</v>
      </c>
      <c r="P3652" s="49" t="s">
        <v>4910</v>
      </c>
      <c r="Q3652" s="35" t="str">
        <f>MID(Tabla1[[#This Row],[Aplicación]],14,1)</f>
        <v>2</v>
      </c>
      <c r="R3652" s="35" t="s">
        <v>495</v>
      </c>
      <c r="S3652" s="35" t="str">
        <f>MID(Tabla1[[#This Row],[Aplicación]],6,2)</f>
        <v>08</v>
      </c>
      <c r="T3652" s="35" t="str">
        <f>VLOOKUP(Tabla1[[#This Row],[AREA]],Hoja1!A:B,2,FALSE)</f>
        <v>08. Movilidad y espacio urbano</v>
      </c>
      <c r="U3652" s="35" t="str">
        <f>MID(Tabla1[[#This Row],[Aplicación]],9,4)</f>
        <v>1532</v>
      </c>
      <c r="V3652" s="35" t="str">
        <f>VLOOKUP(Tabla1[[#This Row],[PROGRAMA]],Hoja1!A:B,2,FALSE)</f>
        <v>1532. Pavimentación vias públicas y otros servicios urbanísticos</v>
      </c>
      <c r="W3652" s="35" t="str">
        <f>MID(Tabla1[[#This Row],[Aplicación]],14,2)</f>
        <v>22</v>
      </c>
      <c r="X3652" s="35" t="str">
        <f>MID(Tabla1[[#This Row],[Aplicación]],14,6)</f>
        <v>22699</v>
      </c>
    </row>
    <row r="3653" spans="1:24" x14ac:dyDescent="0.25">
      <c r="A3653" s="45">
        <v>220210044272</v>
      </c>
      <c r="B3653" s="46" t="s">
        <v>9</v>
      </c>
      <c r="C3653" s="47">
        <v>44406</v>
      </c>
      <c r="D3653" s="45">
        <v>22021005923</v>
      </c>
      <c r="E3653" s="46" t="s">
        <v>2323</v>
      </c>
      <c r="F3653" s="48">
        <v>544.5</v>
      </c>
      <c r="G3653" s="46" t="s">
        <v>5239</v>
      </c>
      <c r="H3653" s="46" t="s">
        <v>5240</v>
      </c>
      <c r="I3653" s="45" t="s">
        <v>125</v>
      </c>
      <c r="J3653" s="46" t="s">
        <v>127</v>
      </c>
      <c r="K3653" s="46" t="s">
        <v>127</v>
      </c>
      <c r="L3653" s="46" t="s">
        <v>12</v>
      </c>
      <c r="M3653" s="46" t="s">
        <v>10</v>
      </c>
      <c r="N3653" s="46" t="s">
        <v>11</v>
      </c>
      <c r="O3653" s="49" t="s">
        <v>815</v>
      </c>
      <c r="P3653" s="49" t="s">
        <v>4910</v>
      </c>
      <c r="Q3653" s="35" t="str">
        <f>MID(Tabla1[[#This Row],[Aplicación]],14,1)</f>
        <v>2</v>
      </c>
      <c r="R3653" s="35" t="s">
        <v>495</v>
      </c>
      <c r="S3653" s="35" t="str">
        <f>MID(Tabla1[[#This Row],[Aplicación]],6,2)</f>
        <v>07</v>
      </c>
      <c r="T3653" s="35" t="str">
        <f>VLOOKUP(Tabla1[[#This Row],[AREA]],Hoja1!A:B,2,FALSE)</f>
        <v>07. Medio ambiente y desarrollo sostenible</v>
      </c>
      <c r="U3653" s="35" t="str">
        <f>MID(Tabla1[[#This Row],[Aplicación]],9,4)</f>
        <v>1701</v>
      </c>
      <c r="V3653" s="35" t="str">
        <f>VLOOKUP(Tabla1[[#This Row],[PROGRAMA]],Hoja1!A:B,2,FALSE)</f>
        <v>1701. Dirección del área de medio ambiente</v>
      </c>
      <c r="W3653" s="35" t="str">
        <f>MID(Tabla1[[#This Row],[Aplicación]],14,2)</f>
        <v>22</v>
      </c>
      <c r="X3653" s="35" t="str">
        <f>MID(Tabla1[[#This Row],[Aplicación]],14,6)</f>
        <v>22706</v>
      </c>
    </row>
    <row r="3654" spans="1:24" x14ac:dyDescent="0.25">
      <c r="A3654" s="45">
        <v>220210037306</v>
      </c>
      <c r="B3654" s="46" t="s">
        <v>9</v>
      </c>
      <c r="C3654" s="47">
        <v>44392</v>
      </c>
      <c r="D3654" s="45">
        <v>22021005719</v>
      </c>
      <c r="E3654" s="46" t="s">
        <v>3333</v>
      </c>
      <c r="F3654" s="48">
        <v>242</v>
      </c>
      <c r="G3654" s="46" t="s">
        <v>5241</v>
      </c>
      <c r="H3654" s="46" t="s">
        <v>5242</v>
      </c>
      <c r="I3654" s="45" t="s">
        <v>125</v>
      </c>
      <c r="J3654" s="46" t="s">
        <v>127</v>
      </c>
      <c r="K3654" s="46" t="s">
        <v>127</v>
      </c>
      <c r="L3654" s="46" t="s">
        <v>17</v>
      </c>
      <c r="M3654" s="46" t="s">
        <v>10</v>
      </c>
      <c r="N3654" s="46" t="s">
        <v>11</v>
      </c>
      <c r="O3654" s="49" t="s">
        <v>815</v>
      </c>
      <c r="P3654" s="49" t="s">
        <v>4910</v>
      </c>
      <c r="Q3654" s="35" t="str">
        <f>MID(Tabla1[[#This Row],[Aplicación]],14,1)</f>
        <v>2</v>
      </c>
      <c r="R3654" s="35" t="s">
        <v>495</v>
      </c>
      <c r="S3654" s="35" t="str">
        <f>MID(Tabla1[[#This Row],[Aplicación]],6,2)</f>
        <v>10</v>
      </c>
      <c r="T3654" s="35" t="str">
        <f>VLOOKUP(Tabla1[[#This Row],[AREA]],Hoja1!A:B,2,FALSE)</f>
        <v>10. Servicios sociales y mediación comunitaria</v>
      </c>
      <c r="U3654" s="35" t="str">
        <f>MID(Tabla1[[#This Row],[Aplicación]],9,4)</f>
        <v>2316</v>
      </c>
      <c r="V3654" s="35" t="str">
        <f>VLOOKUP(Tabla1[[#This Row],[PROGRAMA]],Hoja1!A:B,2,FALSE)</f>
        <v>2316. Mediación comunitaria</v>
      </c>
      <c r="W3654" s="35" t="str">
        <f>MID(Tabla1[[#This Row],[Aplicación]],14,2)</f>
        <v>22</v>
      </c>
      <c r="X3654" s="35" t="str">
        <f>MID(Tabla1[[#This Row],[Aplicación]],14,6)</f>
        <v>22616</v>
      </c>
    </row>
    <row r="3655" spans="1:24" x14ac:dyDescent="0.25">
      <c r="A3655" s="45">
        <v>220210036877</v>
      </c>
      <c r="B3655" s="46" t="s">
        <v>9</v>
      </c>
      <c r="C3655" s="47">
        <v>44390</v>
      </c>
      <c r="D3655" s="45">
        <v>22021005673</v>
      </c>
      <c r="E3655" s="46" t="s">
        <v>1180</v>
      </c>
      <c r="F3655" s="48">
        <v>7260</v>
      </c>
      <c r="G3655" s="46" t="s">
        <v>91</v>
      </c>
      <c r="H3655" s="46" t="s">
        <v>5243</v>
      </c>
      <c r="I3655" s="45" t="s">
        <v>125</v>
      </c>
      <c r="J3655" s="46" t="s">
        <v>127</v>
      </c>
      <c r="K3655" s="46" t="s">
        <v>127</v>
      </c>
      <c r="L3655" s="46" t="s">
        <v>15</v>
      </c>
      <c r="M3655" s="46" t="s">
        <v>10</v>
      </c>
      <c r="N3655" s="46" t="s">
        <v>11</v>
      </c>
      <c r="O3655" s="49" t="s">
        <v>815</v>
      </c>
      <c r="P3655" s="49" t="s">
        <v>4910</v>
      </c>
      <c r="Q3655" s="35" t="str">
        <f>MID(Tabla1[[#This Row],[Aplicación]],14,1)</f>
        <v>2</v>
      </c>
      <c r="R3655" s="35" t="s">
        <v>495</v>
      </c>
      <c r="S3655" s="35" t="str">
        <f>MID(Tabla1[[#This Row],[Aplicación]],6,2)</f>
        <v>08</v>
      </c>
      <c r="T3655" s="35" t="str">
        <f>VLOOKUP(Tabla1[[#This Row],[AREA]],Hoja1!A:B,2,FALSE)</f>
        <v>08. Movilidad y espacio urbano</v>
      </c>
      <c r="U3655" s="35" t="str">
        <f>MID(Tabla1[[#This Row],[Aplicación]],9,4)</f>
        <v>1532</v>
      </c>
      <c r="V3655" s="35" t="str">
        <f>VLOOKUP(Tabla1[[#This Row],[PROGRAMA]],Hoja1!A:B,2,FALSE)</f>
        <v>1532. Pavimentación vias públicas y otros servicios urbanísticos</v>
      </c>
      <c r="W3655" s="35" t="str">
        <f>MID(Tabla1[[#This Row],[Aplicación]],14,2)</f>
        <v>21</v>
      </c>
      <c r="X3655" s="35" t="str">
        <f>MID(Tabla1[[#This Row],[Aplicación]],14,6)</f>
        <v>210</v>
      </c>
    </row>
    <row r="3656" spans="1:24" x14ac:dyDescent="0.25">
      <c r="A3656" s="45">
        <v>220210037254</v>
      </c>
      <c r="B3656" s="46" t="s">
        <v>9</v>
      </c>
      <c r="C3656" s="47">
        <v>44391</v>
      </c>
      <c r="D3656" s="45">
        <v>22021005616</v>
      </c>
      <c r="E3656" s="46" t="s">
        <v>1336</v>
      </c>
      <c r="F3656" s="48">
        <v>587.02</v>
      </c>
      <c r="G3656" s="46" t="s">
        <v>91</v>
      </c>
      <c r="H3656" s="46" t="s">
        <v>5244</v>
      </c>
      <c r="I3656" s="45" t="s">
        <v>125</v>
      </c>
      <c r="J3656" s="46" t="s">
        <v>127</v>
      </c>
      <c r="K3656" s="46" t="s">
        <v>127</v>
      </c>
      <c r="L3656" s="46" t="s">
        <v>15</v>
      </c>
      <c r="M3656" s="46" t="s">
        <v>10</v>
      </c>
      <c r="N3656" s="46" t="s">
        <v>11</v>
      </c>
      <c r="O3656" s="49" t="s">
        <v>815</v>
      </c>
      <c r="P3656" s="49" t="s">
        <v>4910</v>
      </c>
      <c r="Q3656" s="35" t="str">
        <f>MID(Tabla1[[#This Row],[Aplicación]],14,1)</f>
        <v>2</v>
      </c>
      <c r="R3656" s="35" t="s">
        <v>495</v>
      </c>
      <c r="S3656" s="35" t="str">
        <f>MID(Tabla1[[#This Row],[Aplicación]],6,2)</f>
        <v>02</v>
      </c>
      <c r="T3656" s="35" t="str">
        <f>VLOOKUP(Tabla1[[#This Row],[AREA]],Hoja1!A:B,2,FALSE)</f>
        <v>02. Planeamiento urbanístico y vivienda</v>
      </c>
      <c r="U3656" s="35" t="str">
        <f>MID(Tabla1[[#This Row],[Aplicación]],9,4)</f>
        <v>9332</v>
      </c>
      <c r="V3656" s="35" t="str">
        <f>VLOOKUP(Tabla1[[#This Row],[PROGRAMA]],Hoja1!A:B,2,FALSE)</f>
        <v>9332. Mantenimiento de edificios e instalaciones municipales</v>
      </c>
      <c r="W3656" s="35" t="str">
        <f>MID(Tabla1[[#This Row],[Aplicación]],14,2)</f>
        <v>21</v>
      </c>
      <c r="X3656" s="35" t="str">
        <f>MID(Tabla1[[#This Row],[Aplicación]],14,6)</f>
        <v>212</v>
      </c>
    </row>
    <row r="3657" spans="1:24" x14ac:dyDescent="0.25">
      <c r="A3657" s="45">
        <v>220210051311</v>
      </c>
      <c r="B3657" s="46" t="s">
        <v>9</v>
      </c>
      <c r="C3657" s="47">
        <v>44449</v>
      </c>
      <c r="D3657" s="45">
        <v>22021001302</v>
      </c>
      <c r="E3657" s="46" t="s">
        <v>890</v>
      </c>
      <c r="F3657" s="48">
        <v>2500</v>
      </c>
      <c r="G3657" s="46" t="s">
        <v>106</v>
      </c>
      <c r="H3657" s="46" t="s">
        <v>5245</v>
      </c>
      <c r="I3657" s="45" t="s">
        <v>125</v>
      </c>
      <c r="J3657" s="46" t="s">
        <v>613</v>
      </c>
      <c r="K3657" s="46" t="s">
        <v>127</v>
      </c>
      <c r="L3657" s="46" t="s">
        <v>12</v>
      </c>
      <c r="M3657" s="46" t="s">
        <v>10</v>
      </c>
      <c r="N3657" s="46" t="s">
        <v>11</v>
      </c>
      <c r="O3657" s="49" t="s">
        <v>815</v>
      </c>
      <c r="P3657" s="49" t="s">
        <v>4910</v>
      </c>
      <c r="Q3657" s="35" t="str">
        <f>MID(Tabla1[[#This Row],[Aplicación]],14,1)</f>
        <v>2</v>
      </c>
      <c r="R3657" s="35" t="s">
        <v>495</v>
      </c>
      <c r="S3657" s="35" t="str">
        <f>MID(Tabla1[[#This Row],[Aplicación]],6,2)</f>
        <v>11</v>
      </c>
      <c r="T3657" s="35" t="str">
        <f>VLOOKUP(Tabla1[[#This Row],[AREA]],Hoja1!A:B,2,FALSE)</f>
        <v>11. Salud pública y seguridad ciudadana</v>
      </c>
      <c r="U3657" s="35" t="str">
        <f>MID(Tabla1[[#This Row],[Aplicación]],9,4)</f>
        <v>1621</v>
      </c>
      <c r="V3657" s="35" t="str">
        <f>VLOOKUP(Tabla1[[#This Row],[PROGRAMA]],Hoja1!A:B,2,FALSE)</f>
        <v>1621. Servicio de limpieza</v>
      </c>
      <c r="W3657" s="35" t="str">
        <f>MID(Tabla1[[#This Row],[Aplicación]],14,2)</f>
        <v>21</v>
      </c>
      <c r="X3657" s="35" t="str">
        <f>MID(Tabla1[[#This Row],[Aplicación]],14,6)</f>
        <v>214</v>
      </c>
    </row>
    <row r="3658" spans="1:24" x14ac:dyDescent="0.25">
      <c r="A3658" s="45">
        <v>220210036479</v>
      </c>
      <c r="B3658" s="46" t="s">
        <v>9</v>
      </c>
      <c r="C3658" s="47">
        <v>44384</v>
      </c>
      <c r="D3658" s="45">
        <v>22021005527</v>
      </c>
      <c r="E3658" s="46" t="s">
        <v>2159</v>
      </c>
      <c r="F3658" s="48">
        <v>508.2</v>
      </c>
      <c r="G3658" s="46" t="s">
        <v>5246</v>
      </c>
      <c r="H3658" s="46" t="s">
        <v>5247</v>
      </c>
      <c r="I3658" s="45" t="s">
        <v>125</v>
      </c>
      <c r="J3658" s="46" t="s">
        <v>778</v>
      </c>
      <c r="K3658" s="46" t="s">
        <v>126</v>
      </c>
      <c r="L3658" s="46" t="s">
        <v>12</v>
      </c>
      <c r="M3658" s="46" t="s">
        <v>10</v>
      </c>
      <c r="N3658" s="46" t="s">
        <v>11</v>
      </c>
      <c r="O3658" s="49" t="s">
        <v>815</v>
      </c>
      <c r="P3658" s="49" t="s">
        <v>4910</v>
      </c>
      <c r="Q3658" s="35" t="str">
        <f>MID(Tabla1[[#This Row],[Aplicación]],14,1)</f>
        <v>2</v>
      </c>
      <c r="R3658" s="35" t="s">
        <v>495</v>
      </c>
      <c r="S3658" s="35" t="str">
        <f>MID(Tabla1[[#This Row],[Aplicación]],6,2)</f>
        <v>11</v>
      </c>
      <c r="T3658" s="35" t="str">
        <f>VLOOKUP(Tabla1[[#This Row],[AREA]],Hoja1!A:B,2,FALSE)</f>
        <v>11. Salud pública y seguridad ciudadana</v>
      </c>
      <c r="U3658" s="35" t="str">
        <f>MID(Tabla1[[#This Row],[Aplicación]],9,4)</f>
        <v>3111</v>
      </c>
      <c r="V3658" s="35" t="str">
        <f>VLOOKUP(Tabla1[[#This Row],[PROGRAMA]],Hoja1!A:B,2,FALSE)</f>
        <v>3111. Protección de la salubridad pública</v>
      </c>
      <c r="W3658" s="35" t="str">
        <f>MID(Tabla1[[#This Row],[Aplicación]],14,2)</f>
        <v>21</v>
      </c>
      <c r="X3658" s="35" t="str">
        <f>MID(Tabla1[[#This Row],[Aplicación]],14,6)</f>
        <v>214</v>
      </c>
    </row>
    <row r="3659" spans="1:24" x14ac:dyDescent="0.25">
      <c r="A3659" s="45">
        <v>220210044920</v>
      </c>
      <c r="B3659" s="46" t="s">
        <v>9</v>
      </c>
      <c r="C3659" s="47">
        <v>44410</v>
      </c>
      <c r="D3659" s="45">
        <v>22021005578</v>
      </c>
      <c r="E3659" s="46" t="s">
        <v>1648</v>
      </c>
      <c r="F3659" s="48">
        <v>9790.98</v>
      </c>
      <c r="G3659" s="46" t="s">
        <v>52</v>
      </c>
      <c r="H3659" s="46" t="s">
        <v>5248</v>
      </c>
      <c r="I3659" s="45" t="s">
        <v>125</v>
      </c>
      <c r="J3659" s="46" t="s">
        <v>127</v>
      </c>
      <c r="K3659" s="46" t="s">
        <v>127</v>
      </c>
      <c r="L3659" s="46" t="s">
        <v>12</v>
      </c>
      <c r="M3659" s="46" t="s">
        <v>13</v>
      </c>
      <c r="N3659" s="46" t="s">
        <v>14</v>
      </c>
      <c r="O3659" s="49" t="s">
        <v>803</v>
      </c>
      <c r="P3659" s="49" t="s">
        <v>4910</v>
      </c>
      <c r="Q3659" s="35" t="str">
        <f>MID(Tabla1[[#This Row],[Aplicación]],14,1)</f>
        <v>2</v>
      </c>
      <c r="R3659" s="35" t="s">
        <v>495</v>
      </c>
      <c r="S3659" s="35" t="str">
        <f>MID(Tabla1[[#This Row],[Aplicación]],6,2)</f>
        <v>09</v>
      </c>
      <c r="T3659" s="35" t="str">
        <f>VLOOKUP(Tabla1[[#This Row],[AREA]],Hoja1!A:B,2,FALSE)</f>
        <v>09. Cultura y turismo</v>
      </c>
      <c r="U3659" s="35" t="str">
        <f>MID(Tabla1[[#This Row],[Aplicación]],9,4)</f>
        <v>3341</v>
      </c>
      <c r="V3659" s="35" t="str">
        <f>VLOOKUP(Tabla1[[#This Row],[PROGRAMA]],Hoja1!A:B,2,FALSE)</f>
        <v>3341. Coordinación de políticas culturales</v>
      </c>
      <c r="W3659" s="35" t="str">
        <f>MID(Tabla1[[#This Row],[Aplicación]],14,2)</f>
        <v>22</v>
      </c>
      <c r="X3659" s="35" t="str">
        <f>MID(Tabla1[[#This Row],[Aplicación]],14,6)</f>
        <v>22799</v>
      </c>
    </row>
    <row r="3660" spans="1:24" x14ac:dyDescent="0.25">
      <c r="A3660" s="45">
        <v>220210045353</v>
      </c>
      <c r="B3660" s="46" t="s">
        <v>9</v>
      </c>
      <c r="C3660" s="47">
        <v>44412</v>
      </c>
      <c r="D3660" s="45">
        <v>22021005889</v>
      </c>
      <c r="E3660" s="46" t="s">
        <v>1163</v>
      </c>
      <c r="F3660" s="48">
        <v>57.03</v>
      </c>
      <c r="G3660" s="46" t="s">
        <v>5249</v>
      </c>
      <c r="H3660" s="46" t="s">
        <v>5250</v>
      </c>
      <c r="I3660" s="45" t="s">
        <v>125</v>
      </c>
      <c r="J3660" s="46" t="s">
        <v>126</v>
      </c>
      <c r="K3660" s="46" t="s">
        <v>126</v>
      </c>
      <c r="L3660" s="46" t="s">
        <v>15</v>
      </c>
      <c r="M3660" s="46" t="s">
        <v>10</v>
      </c>
      <c r="N3660" s="46" t="s">
        <v>11</v>
      </c>
      <c r="O3660" s="49" t="s">
        <v>815</v>
      </c>
      <c r="P3660" s="49" t="s">
        <v>4910</v>
      </c>
      <c r="Q3660" s="35" t="str">
        <f>MID(Tabla1[[#This Row],[Aplicación]],14,1)</f>
        <v>2</v>
      </c>
      <c r="R3660" s="35" t="s">
        <v>495</v>
      </c>
      <c r="S3660" s="35" t="str">
        <f>MID(Tabla1[[#This Row],[Aplicación]],6,2)</f>
        <v>06</v>
      </c>
      <c r="T3660" s="35" t="str">
        <f>VLOOKUP(Tabla1[[#This Row],[AREA]],Hoja1!A:B,2,FALSE)</f>
        <v>06. Educación, infancia, juventud e igualdad</v>
      </c>
      <c r="U3660" s="35" t="str">
        <f>MID(Tabla1[[#This Row],[Aplicación]],9,4)</f>
        <v>3321</v>
      </c>
      <c r="V3660" s="35" t="str">
        <f>VLOOKUP(Tabla1[[#This Row],[PROGRAMA]],Hoja1!A:B,2,FALSE)</f>
        <v>3321. Bibliotecas públicas</v>
      </c>
      <c r="W3660" s="35" t="str">
        <f>MID(Tabla1[[#This Row],[Aplicación]],14,2)</f>
        <v>22</v>
      </c>
      <c r="X3660" s="35" t="str">
        <f>MID(Tabla1[[#This Row],[Aplicación]],14,6)</f>
        <v>22001</v>
      </c>
    </row>
    <row r="3661" spans="1:24" x14ac:dyDescent="0.25">
      <c r="A3661" s="45">
        <v>220210036226</v>
      </c>
      <c r="B3661" s="46" t="s">
        <v>9</v>
      </c>
      <c r="C3661" s="47">
        <v>44383</v>
      </c>
      <c r="D3661" s="45">
        <v>22021005031</v>
      </c>
      <c r="E3661" s="46" t="s">
        <v>1617</v>
      </c>
      <c r="F3661" s="48">
        <v>3630</v>
      </c>
      <c r="G3661" s="46" t="s">
        <v>5251</v>
      </c>
      <c r="H3661" s="46" t="s">
        <v>5252</v>
      </c>
      <c r="I3661" s="45" t="s">
        <v>125</v>
      </c>
      <c r="J3661" s="46" t="s">
        <v>126</v>
      </c>
      <c r="K3661" s="46" t="s">
        <v>126</v>
      </c>
      <c r="L3661" s="46" t="s">
        <v>12</v>
      </c>
      <c r="M3661" s="46" t="s">
        <v>10</v>
      </c>
      <c r="N3661" s="46" t="s">
        <v>11</v>
      </c>
      <c r="O3661" s="49" t="s">
        <v>815</v>
      </c>
      <c r="P3661" s="49" t="s">
        <v>4910</v>
      </c>
      <c r="Q3661" s="35" t="str">
        <f>MID(Tabla1[[#This Row],[Aplicación]],14,1)</f>
        <v>2</v>
      </c>
      <c r="R3661" s="35" t="s">
        <v>495</v>
      </c>
      <c r="S3661" s="35" t="str">
        <f>MID(Tabla1[[#This Row],[Aplicación]],6,2)</f>
        <v>05</v>
      </c>
      <c r="T3661" s="35" t="str">
        <f>VLOOKUP(Tabla1[[#This Row],[AREA]],Hoja1!A:B,2,FALSE)</f>
        <v>05. Innovación, desarrollo económico, empleo y comercio</v>
      </c>
      <c r="U3661" s="35" t="str">
        <f>MID(Tabla1[[#This Row],[Aplicación]],9,4)</f>
        <v>4331</v>
      </c>
      <c r="V3661" s="35" t="str">
        <f>VLOOKUP(Tabla1[[#This Row],[PROGRAMA]],Hoja1!A:B,2,FALSE)</f>
        <v>4331. Desarrollo empresarial</v>
      </c>
      <c r="W3661" s="35" t="str">
        <f>MID(Tabla1[[#This Row],[Aplicación]],14,2)</f>
        <v>22</v>
      </c>
      <c r="X3661" s="35" t="str">
        <f>MID(Tabla1[[#This Row],[Aplicación]],14,6)</f>
        <v>22602</v>
      </c>
    </row>
    <row r="3662" spans="1:24" x14ac:dyDescent="0.25">
      <c r="A3662" s="45">
        <v>220210048445</v>
      </c>
      <c r="B3662" s="46" t="s">
        <v>9</v>
      </c>
      <c r="C3662" s="47">
        <v>44427</v>
      </c>
      <c r="D3662" s="45">
        <v>22021006107</v>
      </c>
      <c r="E3662" s="46" t="s">
        <v>1304</v>
      </c>
      <c r="F3662" s="48">
        <v>2464.62</v>
      </c>
      <c r="G3662" s="46" t="s">
        <v>230</v>
      </c>
      <c r="H3662" s="46" t="s">
        <v>5253</v>
      </c>
      <c r="I3662" s="45" t="s">
        <v>125</v>
      </c>
      <c r="J3662" s="46" t="s">
        <v>127</v>
      </c>
      <c r="K3662" s="46" t="s">
        <v>127</v>
      </c>
      <c r="L3662" s="46" t="s">
        <v>12</v>
      </c>
      <c r="M3662" s="46" t="s">
        <v>10</v>
      </c>
      <c r="N3662" s="46" t="s">
        <v>11</v>
      </c>
      <c r="O3662" s="49" t="s">
        <v>815</v>
      </c>
      <c r="P3662" s="49" t="s">
        <v>4910</v>
      </c>
      <c r="Q3662" s="35" t="str">
        <f>MID(Tabla1[[#This Row],[Aplicación]],14,1)</f>
        <v>2</v>
      </c>
      <c r="R3662" s="35" t="s">
        <v>495</v>
      </c>
      <c r="S3662" s="35" t="str">
        <f>MID(Tabla1[[#This Row],[Aplicación]],6,2)</f>
        <v>07</v>
      </c>
      <c r="T3662" s="35" t="str">
        <f>VLOOKUP(Tabla1[[#This Row],[AREA]],Hoja1!A:B,2,FALSE)</f>
        <v>07. Medio ambiente y desarrollo sostenible</v>
      </c>
      <c r="U3662" s="35" t="str">
        <f>MID(Tabla1[[#This Row],[Aplicación]],9,4)</f>
        <v>1721</v>
      </c>
      <c r="V3662" s="35" t="str">
        <f>VLOOKUP(Tabla1[[#This Row],[PROGRAMA]],Hoja1!A:B,2,FALSE)</f>
        <v>1721. Protección del medio ambiente</v>
      </c>
      <c r="W3662" s="35" t="str">
        <f>MID(Tabla1[[#This Row],[Aplicación]],14,2)</f>
        <v>22</v>
      </c>
      <c r="X3662" s="35" t="str">
        <f>MID(Tabla1[[#This Row],[Aplicación]],14,6)</f>
        <v>22799</v>
      </c>
    </row>
    <row r="3663" spans="1:24" x14ac:dyDescent="0.25">
      <c r="A3663" s="45">
        <v>220210042229</v>
      </c>
      <c r="B3663" s="46" t="s">
        <v>204</v>
      </c>
      <c r="C3663" s="47">
        <v>44400</v>
      </c>
      <c r="D3663" s="45">
        <v>22021002723</v>
      </c>
      <c r="E3663" s="46" t="s">
        <v>1438</v>
      </c>
      <c r="F3663" s="48">
        <v>282.44</v>
      </c>
      <c r="G3663" s="46" t="s">
        <v>4264</v>
      </c>
      <c r="H3663" s="46" t="s">
        <v>5254</v>
      </c>
      <c r="I3663" s="45" t="s">
        <v>205</v>
      </c>
      <c r="J3663" s="46" t="s">
        <v>126</v>
      </c>
      <c r="K3663" s="46" t="s">
        <v>126</v>
      </c>
      <c r="L3663" s="46" t="s">
        <v>15</v>
      </c>
      <c r="M3663" s="46" t="s">
        <v>10</v>
      </c>
      <c r="N3663" s="46" t="s">
        <v>11</v>
      </c>
      <c r="O3663" s="49" t="s">
        <v>815</v>
      </c>
      <c r="P3663" s="49" t="s">
        <v>4910</v>
      </c>
      <c r="Q3663" s="35" t="str">
        <f>MID(Tabla1[[#This Row],[Aplicación]],14,1)</f>
        <v>2</v>
      </c>
      <c r="R3663" s="35" t="s">
        <v>495</v>
      </c>
      <c r="S3663" s="35" t="str">
        <f>MID(Tabla1[[#This Row],[Aplicación]],6,2)</f>
        <v>01</v>
      </c>
      <c r="T3663" s="35" t="str">
        <f>VLOOKUP(Tabla1[[#This Row],[AREA]],Hoja1!A:B,2,FALSE)</f>
        <v>01. Alcaldía</v>
      </c>
      <c r="U3663" s="35" t="str">
        <f>MID(Tabla1[[#This Row],[Aplicación]],9,4)</f>
        <v>9206</v>
      </c>
      <c r="V3663" s="35" t="str">
        <f>VLOOKUP(Tabla1[[#This Row],[PROGRAMA]],Hoja1!A:B,2,FALSE)</f>
        <v>9206. Archivo municipal</v>
      </c>
      <c r="W3663" s="35" t="str">
        <f>MID(Tabla1[[#This Row],[Aplicación]],14,2)</f>
        <v>22</v>
      </c>
      <c r="X3663" s="35" t="str">
        <f>MID(Tabla1[[#This Row],[Aplicación]],14,6)</f>
        <v>22001</v>
      </c>
    </row>
    <row r="3664" spans="1:24" x14ac:dyDescent="0.25">
      <c r="A3664" s="45">
        <v>220210043787</v>
      </c>
      <c r="B3664" s="46" t="s">
        <v>204</v>
      </c>
      <c r="C3664" s="47">
        <v>44404</v>
      </c>
      <c r="D3664" s="45">
        <v>22021003305</v>
      </c>
      <c r="E3664" s="46" t="s">
        <v>827</v>
      </c>
      <c r="F3664" s="48">
        <v>3296.62</v>
      </c>
      <c r="G3664" s="46" t="s">
        <v>5255</v>
      </c>
      <c r="H3664" s="46" t="s">
        <v>5256</v>
      </c>
      <c r="I3664" s="45" t="s">
        <v>205</v>
      </c>
      <c r="J3664" s="46" t="s">
        <v>610</v>
      </c>
      <c r="K3664" s="46" t="s">
        <v>559</v>
      </c>
      <c r="L3664" s="46" t="s">
        <v>15</v>
      </c>
      <c r="M3664" s="46" t="s">
        <v>13</v>
      </c>
      <c r="N3664" s="46" t="s">
        <v>16</v>
      </c>
      <c r="O3664" s="49" t="s">
        <v>803</v>
      </c>
      <c r="P3664" s="49" t="s">
        <v>4910</v>
      </c>
      <c r="Q3664" s="35" t="str">
        <f>MID(Tabla1[[#This Row],[Aplicación]],14,1)</f>
        <v>2</v>
      </c>
      <c r="R3664" s="35" t="s">
        <v>495</v>
      </c>
      <c r="S3664" s="35" t="str">
        <f>MID(Tabla1[[#This Row],[Aplicación]],6,2)</f>
        <v>04</v>
      </c>
      <c r="T3664" s="35" t="str">
        <f>VLOOKUP(Tabla1[[#This Row],[AREA]],Hoja1!A:B,2,FALSE)</f>
        <v>04. Planificación y recursos</v>
      </c>
      <c r="U3664" s="35" t="str">
        <f>MID(Tabla1[[#This Row],[Aplicación]],9,4)</f>
        <v>9204</v>
      </c>
      <c r="V3664" s="35" t="str">
        <f>VLOOKUP(Tabla1[[#This Row],[PROGRAMA]],Hoja1!A:B,2,FALSE)</f>
        <v>9204. Tecnologías de la información y comunicación</v>
      </c>
      <c r="W3664" s="35" t="str">
        <f>MID(Tabla1[[#This Row],[Aplicación]],14,2)</f>
        <v>21</v>
      </c>
      <c r="X3664" s="35" t="str">
        <f>MID(Tabla1[[#This Row],[Aplicación]],14,6)</f>
        <v>216</v>
      </c>
    </row>
    <row r="3665" spans="1:24" x14ac:dyDescent="0.25">
      <c r="A3665" s="45">
        <v>220210036412</v>
      </c>
      <c r="B3665" s="46" t="s">
        <v>204</v>
      </c>
      <c r="C3665" s="47">
        <v>44384</v>
      </c>
      <c r="D3665" s="45">
        <v>22021002602</v>
      </c>
      <c r="E3665" s="46" t="s">
        <v>3362</v>
      </c>
      <c r="F3665" s="48">
        <v>2720.29</v>
      </c>
      <c r="G3665" s="46" t="s">
        <v>5257</v>
      </c>
      <c r="H3665" s="46" t="s">
        <v>5258</v>
      </c>
      <c r="I3665" s="45" t="s">
        <v>205</v>
      </c>
      <c r="J3665" s="46" t="s">
        <v>127</v>
      </c>
      <c r="K3665" s="46" t="s">
        <v>127</v>
      </c>
      <c r="L3665" s="46" t="s">
        <v>15</v>
      </c>
      <c r="M3665" s="46" t="s">
        <v>13</v>
      </c>
      <c r="N3665" s="46" t="s">
        <v>14</v>
      </c>
      <c r="O3665" s="49" t="s">
        <v>814</v>
      </c>
      <c r="P3665" s="49" t="s">
        <v>4910</v>
      </c>
      <c r="Q3665" s="35" t="str">
        <f>MID(Tabla1[[#This Row],[Aplicación]],14,1)</f>
        <v>6</v>
      </c>
      <c r="R3665" s="35" t="s">
        <v>496</v>
      </c>
      <c r="S3665" s="35" t="str">
        <f>MID(Tabla1[[#This Row],[Aplicación]],6,2)</f>
        <v>06</v>
      </c>
      <c r="T3665" s="35" t="str">
        <f>VLOOKUP(Tabla1[[#This Row],[AREA]],Hoja1!A:B,2,FALSE)</f>
        <v>06. Educación, infancia, juventud e igualdad</v>
      </c>
      <c r="U3665" s="35" t="str">
        <f>MID(Tabla1[[#This Row],[Aplicación]],9,4)</f>
        <v>3321</v>
      </c>
      <c r="V3665" s="35" t="str">
        <f>VLOOKUP(Tabla1[[#This Row],[PROGRAMA]],Hoja1!A:B,2,FALSE)</f>
        <v>3321. Bibliotecas públicas</v>
      </c>
      <c r="W3665" s="35" t="str">
        <f>MID(Tabla1[[#This Row],[Aplicación]],14,2)</f>
        <v>62</v>
      </c>
      <c r="X3665" s="35" t="str">
        <f>MID(Tabla1[[#This Row],[Aplicación]],14,6)</f>
        <v>629</v>
      </c>
    </row>
    <row r="3666" spans="1:24" x14ac:dyDescent="0.25">
      <c r="A3666" s="45">
        <v>220210043998</v>
      </c>
      <c r="B3666" s="46" t="s">
        <v>204</v>
      </c>
      <c r="C3666" s="47">
        <v>44405</v>
      </c>
      <c r="D3666" s="45">
        <v>22021002602</v>
      </c>
      <c r="E3666" s="46" t="s">
        <v>3362</v>
      </c>
      <c r="F3666" s="48">
        <v>145.71</v>
      </c>
      <c r="G3666" s="46" t="s">
        <v>5257</v>
      </c>
      <c r="H3666" s="46" t="s">
        <v>5259</v>
      </c>
      <c r="I3666" s="45" t="s">
        <v>205</v>
      </c>
      <c r="J3666" s="46" t="s">
        <v>127</v>
      </c>
      <c r="K3666" s="46" t="s">
        <v>127</v>
      </c>
      <c r="L3666" s="46" t="s">
        <v>15</v>
      </c>
      <c r="M3666" s="46" t="s">
        <v>13</v>
      </c>
      <c r="N3666" s="46" t="s">
        <v>14</v>
      </c>
      <c r="O3666" s="49" t="s">
        <v>814</v>
      </c>
      <c r="P3666" s="49" t="s">
        <v>4910</v>
      </c>
      <c r="Q3666" s="35" t="str">
        <f>MID(Tabla1[[#This Row],[Aplicación]],14,1)</f>
        <v>6</v>
      </c>
      <c r="R3666" s="35" t="s">
        <v>496</v>
      </c>
      <c r="S3666" s="35" t="str">
        <f>MID(Tabla1[[#This Row],[Aplicación]],6,2)</f>
        <v>06</v>
      </c>
      <c r="T3666" s="35" t="str">
        <f>VLOOKUP(Tabla1[[#This Row],[AREA]],Hoja1!A:B,2,FALSE)</f>
        <v>06. Educación, infancia, juventud e igualdad</v>
      </c>
      <c r="U3666" s="35" t="str">
        <f>MID(Tabla1[[#This Row],[Aplicación]],9,4)</f>
        <v>3321</v>
      </c>
      <c r="V3666" s="35" t="str">
        <f>VLOOKUP(Tabla1[[#This Row],[PROGRAMA]],Hoja1!A:B,2,FALSE)</f>
        <v>3321. Bibliotecas públicas</v>
      </c>
      <c r="W3666" s="35" t="str">
        <f>MID(Tabla1[[#This Row],[Aplicación]],14,2)</f>
        <v>62</v>
      </c>
      <c r="X3666" s="35" t="str">
        <f>MID(Tabla1[[#This Row],[Aplicación]],14,6)</f>
        <v>629</v>
      </c>
    </row>
    <row r="3667" spans="1:24" x14ac:dyDescent="0.25">
      <c r="A3667" s="45">
        <v>220210039687</v>
      </c>
      <c r="B3667" s="46" t="s">
        <v>9</v>
      </c>
      <c r="C3667" s="47">
        <v>44393</v>
      </c>
      <c r="D3667" s="45">
        <v>22021005730</v>
      </c>
      <c r="E3667" s="46" t="s">
        <v>1267</v>
      </c>
      <c r="F3667" s="48">
        <v>60.5</v>
      </c>
      <c r="G3667" s="46" t="s">
        <v>1576</v>
      </c>
      <c r="H3667" s="46" t="s">
        <v>5260</v>
      </c>
      <c r="I3667" s="45" t="s">
        <v>125</v>
      </c>
      <c r="J3667" s="46" t="s">
        <v>127</v>
      </c>
      <c r="K3667" s="46" t="s">
        <v>127</v>
      </c>
      <c r="L3667" s="46" t="s">
        <v>15</v>
      </c>
      <c r="M3667" s="46" t="s">
        <v>10</v>
      </c>
      <c r="N3667" s="46" t="s">
        <v>11</v>
      </c>
      <c r="O3667" s="49" t="s">
        <v>815</v>
      </c>
      <c r="P3667" s="49" t="s">
        <v>4910</v>
      </c>
      <c r="Q3667" s="35" t="str">
        <f>MID(Tabla1[[#This Row],[Aplicación]],14,1)</f>
        <v>2</v>
      </c>
      <c r="R3667" s="35" t="s">
        <v>495</v>
      </c>
      <c r="S3667" s="35" t="str">
        <f>MID(Tabla1[[#This Row],[Aplicación]],6,2)</f>
        <v>03</v>
      </c>
      <c r="T3667" s="35" t="str">
        <f>VLOOKUP(Tabla1[[#This Row],[AREA]],Hoja1!A:B,2,FALSE)</f>
        <v>03. Participación ciudadana y deportes</v>
      </c>
      <c r="U3667" s="35" t="str">
        <f>MID(Tabla1[[#This Row],[Aplicación]],9,4)</f>
        <v>9241</v>
      </c>
      <c r="V3667" s="35" t="str">
        <f>VLOOKUP(Tabla1[[#This Row],[PROGRAMA]],Hoja1!A:B,2,FALSE)</f>
        <v>9241. Participación ciudadana</v>
      </c>
      <c r="W3667" s="35" t="str">
        <f>MID(Tabla1[[#This Row],[Aplicación]],14,2)</f>
        <v>22</v>
      </c>
      <c r="X3667" s="35" t="str">
        <f>MID(Tabla1[[#This Row],[Aplicación]],14,6)</f>
        <v>22602</v>
      </c>
    </row>
    <row r="3668" spans="1:24" x14ac:dyDescent="0.25">
      <c r="A3668" s="45">
        <v>220210036848</v>
      </c>
      <c r="B3668" s="46" t="s">
        <v>9</v>
      </c>
      <c r="C3668" s="47">
        <v>44389</v>
      </c>
      <c r="D3668" s="45">
        <v>22021005574</v>
      </c>
      <c r="E3668" s="46" t="s">
        <v>3377</v>
      </c>
      <c r="F3668" s="48">
        <v>54.64</v>
      </c>
      <c r="G3668" s="46" t="s">
        <v>1576</v>
      </c>
      <c r="H3668" s="46" t="s">
        <v>5261</v>
      </c>
      <c r="I3668" s="45" t="s">
        <v>125</v>
      </c>
      <c r="J3668" s="46" t="s">
        <v>127</v>
      </c>
      <c r="K3668" s="46" t="s">
        <v>127</v>
      </c>
      <c r="L3668" s="46" t="s">
        <v>15</v>
      </c>
      <c r="M3668" s="46" t="s">
        <v>10</v>
      </c>
      <c r="N3668" s="46" t="s">
        <v>11</v>
      </c>
      <c r="O3668" s="49" t="s">
        <v>815</v>
      </c>
      <c r="P3668" s="49" t="s">
        <v>4910</v>
      </c>
      <c r="Q3668" s="35" t="str">
        <f>MID(Tabla1[[#This Row],[Aplicación]],14,1)</f>
        <v>2</v>
      </c>
      <c r="R3668" s="35" t="s">
        <v>495</v>
      </c>
      <c r="S3668" s="35" t="str">
        <f>MID(Tabla1[[#This Row],[Aplicación]],6,2)</f>
        <v>07</v>
      </c>
      <c r="T3668" s="35" t="str">
        <f>VLOOKUP(Tabla1[[#This Row],[AREA]],Hoja1!A:B,2,FALSE)</f>
        <v>07. Medio ambiente y desarrollo sostenible</v>
      </c>
      <c r="U3668" s="35" t="str">
        <f>MID(Tabla1[[#This Row],[Aplicación]],9,4)</f>
        <v>1701</v>
      </c>
      <c r="V3668" s="35" t="str">
        <f>VLOOKUP(Tabla1[[#This Row],[PROGRAMA]],Hoja1!A:B,2,FALSE)</f>
        <v>1701. Dirección del área de medio ambiente</v>
      </c>
      <c r="W3668" s="35" t="str">
        <f>MID(Tabla1[[#This Row],[Aplicación]],14,2)</f>
        <v>22</v>
      </c>
      <c r="X3668" s="35" t="str">
        <f>MID(Tabla1[[#This Row],[Aplicación]],14,6)</f>
        <v>22699</v>
      </c>
    </row>
    <row r="3669" spans="1:24" x14ac:dyDescent="0.25">
      <c r="A3669" s="45">
        <v>220210036638</v>
      </c>
      <c r="B3669" s="46" t="s">
        <v>9</v>
      </c>
      <c r="C3669" s="47">
        <v>44385</v>
      </c>
      <c r="D3669" s="45">
        <v>22021005585</v>
      </c>
      <c r="E3669" s="46" t="s">
        <v>1183</v>
      </c>
      <c r="F3669" s="48">
        <v>7.08</v>
      </c>
      <c r="G3669" s="46" t="s">
        <v>109</v>
      </c>
      <c r="H3669" s="46" t="s">
        <v>5262</v>
      </c>
      <c r="I3669" s="45" t="s">
        <v>125</v>
      </c>
      <c r="J3669" s="46" t="s">
        <v>732</v>
      </c>
      <c r="K3669" s="46" t="s">
        <v>127</v>
      </c>
      <c r="L3669" s="46" t="s">
        <v>15</v>
      </c>
      <c r="M3669" s="46" t="s">
        <v>10</v>
      </c>
      <c r="N3669" s="46" t="s">
        <v>11</v>
      </c>
      <c r="O3669" s="49" t="s">
        <v>815</v>
      </c>
      <c r="P3669" s="49" t="s">
        <v>4910</v>
      </c>
      <c r="Q3669" s="35" t="str">
        <f>MID(Tabla1[[#This Row],[Aplicación]],14,1)</f>
        <v>2</v>
      </c>
      <c r="R3669" s="35" t="s">
        <v>495</v>
      </c>
      <c r="S3669" s="35" t="str">
        <f>MID(Tabla1[[#This Row],[Aplicación]],6,2)</f>
        <v>11</v>
      </c>
      <c r="T3669" s="35" t="str">
        <f>VLOOKUP(Tabla1[[#This Row],[AREA]],Hoja1!A:B,2,FALSE)</f>
        <v>11. Salud pública y seguridad ciudadana</v>
      </c>
      <c r="U3669" s="35" t="str">
        <f>MID(Tabla1[[#This Row],[Aplicación]],9,4)</f>
        <v>1361</v>
      </c>
      <c r="V3669" s="35" t="str">
        <f>VLOOKUP(Tabla1[[#This Row],[PROGRAMA]],Hoja1!A:B,2,FALSE)</f>
        <v>1361. Prevención y extinción de incencios</v>
      </c>
      <c r="W3669" s="35" t="str">
        <f>MID(Tabla1[[#This Row],[Aplicación]],14,2)</f>
        <v>22</v>
      </c>
      <c r="X3669" s="35" t="str">
        <f>MID(Tabla1[[#This Row],[Aplicación]],14,6)</f>
        <v>22199</v>
      </c>
    </row>
    <row r="3670" spans="1:24" x14ac:dyDescent="0.25">
      <c r="A3670" s="45">
        <v>220210048681</v>
      </c>
      <c r="B3670" s="46" t="s">
        <v>204</v>
      </c>
      <c r="C3670" s="47">
        <v>44428</v>
      </c>
      <c r="D3670" s="45">
        <v>22021005716</v>
      </c>
      <c r="E3670" s="46" t="s">
        <v>1270</v>
      </c>
      <c r="F3670" s="48">
        <v>1021.4</v>
      </c>
      <c r="G3670" s="46" t="s">
        <v>109</v>
      </c>
      <c r="H3670" s="46" t="s">
        <v>5263</v>
      </c>
      <c r="I3670" s="45" t="s">
        <v>205</v>
      </c>
      <c r="J3670" s="46" t="s">
        <v>732</v>
      </c>
      <c r="K3670" s="46" t="s">
        <v>127</v>
      </c>
      <c r="L3670" s="46" t="s">
        <v>12</v>
      </c>
      <c r="M3670" s="46" t="s">
        <v>13</v>
      </c>
      <c r="N3670" s="46" t="s">
        <v>14</v>
      </c>
      <c r="O3670" s="49" t="s">
        <v>814</v>
      </c>
      <c r="P3670" s="49" t="s">
        <v>4910</v>
      </c>
      <c r="Q3670" s="35" t="str">
        <f>MID(Tabla1[[#This Row],[Aplicación]],14,1)</f>
        <v>6</v>
      </c>
      <c r="R3670" s="35" t="s">
        <v>496</v>
      </c>
      <c r="S3670" s="35" t="str">
        <f>MID(Tabla1[[#This Row],[Aplicación]],6,2)</f>
        <v>11</v>
      </c>
      <c r="T3670" s="35" t="str">
        <f>VLOOKUP(Tabla1[[#This Row],[AREA]],Hoja1!A:B,2,FALSE)</f>
        <v>11. Salud pública y seguridad ciudadana</v>
      </c>
      <c r="U3670" s="35" t="str">
        <f>MID(Tabla1[[#This Row],[Aplicación]],9,4)</f>
        <v>1621</v>
      </c>
      <c r="V3670" s="35" t="str">
        <f>VLOOKUP(Tabla1[[#This Row],[PROGRAMA]],Hoja1!A:B,2,FALSE)</f>
        <v>1621. Servicio de limpieza</v>
      </c>
      <c r="W3670" s="35" t="str">
        <f>MID(Tabla1[[#This Row],[Aplicación]],14,2)</f>
        <v>63</v>
      </c>
      <c r="X3670" s="35" t="str">
        <f>MID(Tabla1[[#This Row],[Aplicación]],14,6)</f>
        <v>634</v>
      </c>
    </row>
    <row r="3671" spans="1:24" x14ac:dyDescent="0.25">
      <c r="A3671" s="45">
        <v>220210045354</v>
      </c>
      <c r="B3671" s="46" t="s">
        <v>9</v>
      </c>
      <c r="C3671" s="47">
        <v>44412</v>
      </c>
      <c r="D3671" s="45">
        <v>22021005891</v>
      </c>
      <c r="E3671" s="46" t="s">
        <v>1758</v>
      </c>
      <c r="F3671" s="48">
        <v>998.25</v>
      </c>
      <c r="G3671" s="46" t="s">
        <v>5264</v>
      </c>
      <c r="H3671" s="46" t="s">
        <v>5265</v>
      </c>
      <c r="I3671" s="45" t="s">
        <v>125</v>
      </c>
      <c r="J3671" s="46" t="s">
        <v>127</v>
      </c>
      <c r="K3671" s="46" t="s">
        <v>127</v>
      </c>
      <c r="L3671" s="46" t="s">
        <v>15</v>
      </c>
      <c r="M3671" s="46" t="s">
        <v>10</v>
      </c>
      <c r="N3671" s="46" t="s">
        <v>11</v>
      </c>
      <c r="O3671" s="49" t="s">
        <v>815</v>
      </c>
      <c r="P3671" s="49" t="s">
        <v>4910</v>
      </c>
      <c r="Q3671" s="35" t="str">
        <f>MID(Tabla1[[#This Row],[Aplicación]],14,1)</f>
        <v>2</v>
      </c>
      <c r="R3671" s="35" t="s">
        <v>495</v>
      </c>
      <c r="S3671" s="35" t="str">
        <f>MID(Tabla1[[#This Row],[Aplicación]],6,2)</f>
        <v>06</v>
      </c>
      <c r="T3671" s="35" t="str">
        <f>VLOOKUP(Tabla1[[#This Row],[AREA]],Hoja1!A:B,2,FALSE)</f>
        <v>06. Educación, infancia, juventud e igualdad</v>
      </c>
      <c r="U3671" s="35" t="str">
        <f>MID(Tabla1[[#This Row],[Aplicación]],9,4)</f>
        <v>3321</v>
      </c>
      <c r="V3671" s="35" t="str">
        <f>VLOOKUP(Tabla1[[#This Row],[PROGRAMA]],Hoja1!A:B,2,FALSE)</f>
        <v>3321. Bibliotecas públicas</v>
      </c>
      <c r="W3671" s="35" t="str">
        <f>MID(Tabla1[[#This Row],[Aplicación]],14,2)</f>
        <v>22</v>
      </c>
      <c r="X3671" s="35" t="str">
        <f>MID(Tabla1[[#This Row],[Aplicación]],14,6)</f>
        <v>22199</v>
      </c>
    </row>
    <row r="3672" spans="1:24" x14ac:dyDescent="0.25">
      <c r="A3672" s="45">
        <v>220210045561</v>
      </c>
      <c r="B3672" s="46" t="s">
        <v>9</v>
      </c>
      <c r="C3672" s="47">
        <v>44414</v>
      </c>
      <c r="D3672" s="45">
        <v>22021006028</v>
      </c>
      <c r="E3672" s="46" t="s">
        <v>1511</v>
      </c>
      <c r="F3672" s="48">
        <v>86.92</v>
      </c>
      <c r="G3672" s="46" t="s">
        <v>1597</v>
      </c>
      <c r="H3672" s="46" t="s">
        <v>5266</v>
      </c>
      <c r="I3672" s="45" t="s">
        <v>125</v>
      </c>
      <c r="J3672" s="46" t="s">
        <v>127</v>
      </c>
      <c r="K3672" s="46" t="s">
        <v>127</v>
      </c>
      <c r="L3672" s="46" t="s">
        <v>12</v>
      </c>
      <c r="M3672" s="46" t="s">
        <v>10</v>
      </c>
      <c r="N3672" s="46" t="s">
        <v>11</v>
      </c>
      <c r="O3672" s="49" t="s">
        <v>815</v>
      </c>
      <c r="P3672" s="49" t="s">
        <v>4910</v>
      </c>
      <c r="Q3672" s="35" t="str">
        <f>MID(Tabla1[[#This Row],[Aplicación]],14,1)</f>
        <v>2</v>
      </c>
      <c r="R3672" s="35" t="s">
        <v>495</v>
      </c>
      <c r="S3672" s="35" t="str">
        <f>MID(Tabla1[[#This Row],[Aplicación]],6,2)</f>
        <v>11</v>
      </c>
      <c r="T3672" s="35" t="str">
        <f>VLOOKUP(Tabla1[[#This Row],[AREA]],Hoja1!A:B,2,FALSE)</f>
        <v>11. Salud pública y seguridad ciudadana</v>
      </c>
      <c r="U3672" s="35" t="str">
        <f>MID(Tabla1[[#This Row],[Aplicación]],9,4)</f>
        <v>1631</v>
      </c>
      <c r="V3672" s="35" t="str">
        <f>VLOOKUP(Tabla1[[#This Row],[PROGRAMA]],Hoja1!A:B,2,FALSE)</f>
        <v>1631. Limpieza viaria</v>
      </c>
      <c r="W3672" s="35" t="str">
        <f>MID(Tabla1[[#This Row],[Aplicación]],14,2)</f>
        <v>22</v>
      </c>
      <c r="X3672" s="35" t="str">
        <f>MID(Tabla1[[#This Row],[Aplicación]],14,6)</f>
        <v>22700</v>
      </c>
    </row>
    <row r="3673" spans="1:24" x14ac:dyDescent="0.25">
      <c r="A3673" s="45">
        <v>220210048520</v>
      </c>
      <c r="B3673" s="46" t="s">
        <v>9</v>
      </c>
      <c r="C3673" s="47">
        <v>44428</v>
      </c>
      <c r="D3673" s="45">
        <v>22021006053</v>
      </c>
      <c r="E3673" s="46" t="s">
        <v>1884</v>
      </c>
      <c r="F3673" s="48">
        <v>2445</v>
      </c>
      <c r="G3673" s="46" t="s">
        <v>5167</v>
      </c>
      <c r="H3673" s="46" t="s">
        <v>5267</v>
      </c>
      <c r="I3673" s="45" t="s">
        <v>125</v>
      </c>
      <c r="J3673" s="46" t="s">
        <v>127</v>
      </c>
      <c r="K3673" s="46" t="s">
        <v>127</v>
      </c>
      <c r="L3673" s="46" t="s">
        <v>12</v>
      </c>
      <c r="M3673" s="46" t="s">
        <v>10</v>
      </c>
      <c r="N3673" s="46" t="s">
        <v>11</v>
      </c>
      <c r="O3673" s="49" t="s">
        <v>815</v>
      </c>
      <c r="P3673" s="49" t="s">
        <v>4910</v>
      </c>
      <c r="Q3673" s="35" t="str">
        <f>MID(Tabla1[[#This Row],[Aplicación]],14,1)</f>
        <v>2</v>
      </c>
      <c r="R3673" s="35" t="s">
        <v>495</v>
      </c>
      <c r="S3673" s="35" t="str">
        <f>MID(Tabla1[[#This Row],[Aplicación]],6,2)</f>
        <v>06</v>
      </c>
      <c r="T3673" s="35" t="str">
        <f>VLOOKUP(Tabla1[[#This Row],[AREA]],Hoja1!A:B,2,FALSE)</f>
        <v>06. Educación, infancia, juventud e igualdad</v>
      </c>
      <c r="U3673" s="35" t="str">
        <f>MID(Tabla1[[#This Row],[Aplicación]],9,4)</f>
        <v>2314</v>
      </c>
      <c r="V3673" s="35" t="str">
        <f>VLOOKUP(Tabla1[[#This Row],[PROGRAMA]],Hoja1!A:B,2,FALSE)</f>
        <v>2314. Centro de programas juveniles</v>
      </c>
      <c r="W3673" s="35" t="str">
        <f>MID(Tabla1[[#This Row],[Aplicación]],14,2)</f>
        <v>21</v>
      </c>
      <c r="X3673" s="35" t="str">
        <f>MID(Tabla1[[#This Row],[Aplicación]],14,6)</f>
        <v>212</v>
      </c>
    </row>
    <row r="3674" spans="1:24" x14ac:dyDescent="0.25">
      <c r="A3674" s="45">
        <v>220210043880</v>
      </c>
      <c r="B3674" s="46" t="s">
        <v>9</v>
      </c>
      <c r="C3674" s="47">
        <v>44405</v>
      </c>
      <c r="D3674" s="45">
        <v>22021005911</v>
      </c>
      <c r="E3674" s="46" t="s">
        <v>4914</v>
      </c>
      <c r="F3674" s="48">
        <v>23340.14</v>
      </c>
      <c r="G3674" s="46" t="s">
        <v>557</v>
      </c>
      <c r="H3674" s="46" t="s">
        <v>5268</v>
      </c>
      <c r="I3674" s="45" t="s">
        <v>125</v>
      </c>
      <c r="J3674" s="46" t="s">
        <v>634</v>
      </c>
      <c r="K3674" s="46" t="s">
        <v>127</v>
      </c>
      <c r="L3674" s="46" t="s">
        <v>31</v>
      </c>
      <c r="M3674" s="46" t="s">
        <v>10</v>
      </c>
      <c r="N3674" s="46" t="s">
        <v>11</v>
      </c>
      <c r="O3674" s="49" t="s">
        <v>815</v>
      </c>
      <c r="P3674" s="49" t="s">
        <v>4910</v>
      </c>
      <c r="Q3674" s="35" t="str">
        <f>MID(Tabla1[[#This Row],[Aplicación]],14,1)</f>
        <v>6</v>
      </c>
      <c r="R3674" s="35" t="s">
        <v>496</v>
      </c>
      <c r="S3674" s="35" t="str">
        <f>MID(Tabla1[[#This Row],[Aplicación]],6,2)</f>
        <v>05</v>
      </c>
      <c r="T3674" s="35" t="str">
        <f>VLOOKUP(Tabla1[[#This Row],[AREA]],Hoja1!A:B,2,FALSE)</f>
        <v>05. Innovación, desarrollo económico, empleo y comercio</v>
      </c>
      <c r="U3674" s="35" t="str">
        <f>MID(Tabla1[[#This Row],[Aplicación]],9,4)</f>
        <v>4314</v>
      </c>
      <c r="V3674" s="35" t="str">
        <f>VLOOKUP(Tabla1[[#This Row],[PROGRAMA]],Hoja1!A:B,2,FALSE)</f>
        <v>4314. Fomento del comercio</v>
      </c>
      <c r="W3674" s="35" t="str">
        <f>MID(Tabla1[[#This Row],[Aplicación]],14,2)</f>
        <v>63</v>
      </c>
      <c r="X3674" s="35" t="str">
        <f>MID(Tabla1[[#This Row],[Aplicación]],14,6)</f>
        <v>632</v>
      </c>
    </row>
    <row r="3675" spans="1:24" x14ac:dyDescent="0.25">
      <c r="A3675" s="45">
        <v>220210056309</v>
      </c>
      <c r="B3675" s="46" t="s">
        <v>9</v>
      </c>
      <c r="C3675" s="47">
        <v>44454</v>
      </c>
      <c r="D3675" s="45">
        <v>22021005092</v>
      </c>
      <c r="E3675" s="46" t="s">
        <v>1474</v>
      </c>
      <c r="F3675" s="48">
        <v>2208.9499999999998</v>
      </c>
      <c r="G3675" s="46" t="s">
        <v>2262</v>
      </c>
      <c r="H3675" s="46" t="s">
        <v>5269</v>
      </c>
      <c r="I3675" s="45" t="s">
        <v>125</v>
      </c>
      <c r="J3675" s="46" t="s">
        <v>127</v>
      </c>
      <c r="K3675" s="46" t="s">
        <v>127</v>
      </c>
      <c r="L3675" s="46" t="s">
        <v>12</v>
      </c>
      <c r="M3675" s="46" t="s">
        <v>13</v>
      </c>
      <c r="N3675" s="46" t="s">
        <v>14</v>
      </c>
      <c r="O3675" s="49" t="s">
        <v>803</v>
      </c>
      <c r="P3675" s="49" t="s">
        <v>4910</v>
      </c>
      <c r="Q3675" s="35" t="str">
        <f>MID(Tabla1[[#This Row],[Aplicación]],14,1)</f>
        <v>6</v>
      </c>
      <c r="R3675" s="35" t="s">
        <v>496</v>
      </c>
      <c r="S3675" s="35" t="str">
        <f>MID(Tabla1[[#This Row],[Aplicación]],6,2)</f>
        <v>08</v>
      </c>
      <c r="T3675" s="35" t="str">
        <f>VLOOKUP(Tabla1[[#This Row],[AREA]],Hoja1!A:B,2,FALSE)</f>
        <v>08. Movilidad y espacio urbano</v>
      </c>
      <c r="U3675" s="35" t="str">
        <f>MID(Tabla1[[#This Row],[Aplicación]],9,4)</f>
        <v>1651</v>
      </c>
      <c r="V3675" s="35" t="str">
        <f>VLOOKUP(Tabla1[[#This Row],[PROGRAMA]],Hoja1!A:B,2,FALSE)</f>
        <v>1651. Alumbrado público</v>
      </c>
      <c r="W3675" s="35" t="str">
        <f>MID(Tabla1[[#This Row],[Aplicación]],14,2)</f>
        <v>61</v>
      </c>
      <c r="X3675" s="35" t="str">
        <f>MID(Tabla1[[#This Row],[Aplicación]],14,6)</f>
        <v>619</v>
      </c>
    </row>
    <row r="3676" spans="1:24" x14ac:dyDescent="0.25">
      <c r="A3676" s="45">
        <v>220210045980</v>
      </c>
      <c r="B3676" s="46" t="s">
        <v>9</v>
      </c>
      <c r="C3676" s="47">
        <v>44418</v>
      </c>
      <c r="D3676" s="45">
        <v>22021006027</v>
      </c>
      <c r="E3676" s="46" t="s">
        <v>5270</v>
      </c>
      <c r="F3676" s="48">
        <v>3023.94</v>
      </c>
      <c r="G3676" s="46" t="s">
        <v>5271</v>
      </c>
      <c r="H3676" s="46" t="s">
        <v>5272</v>
      </c>
      <c r="I3676" s="45" t="s">
        <v>125</v>
      </c>
      <c r="J3676" s="46" t="s">
        <v>127</v>
      </c>
      <c r="K3676" s="46" t="s">
        <v>127</v>
      </c>
      <c r="L3676" s="46" t="s">
        <v>15</v>
      </c>
      <c r="M3676" s="46" t="s">
        <v>10</v>
      </c>
      <c r="N3676" s="46" t="s">
        <v>11</v>
      </c>
      <c r="O3676" s="49" t="s">
        <v>815</v>
      </c>
      <c r="P3676" s="49" t="s">
        <v>4910</v>
      </c>
      <c r="Q3676" s="35" t="str">
        <f>MID(Tabla1[[#This Row],[Aplicación]],14,1)</f>
        <v>6</v>
      </c>
      <c r="R3676" s="35" t="s">
        <v>496</v>
      </c>
      <c r="S3676" s="35" t="str">
        <f>MID(Tabla1[[#This Row],[Aplicación]],6,2)</f>
        <v>06</v>
      </c>
      <c r="T3676" s="35" t="str">
        <f>VLOOKUP(Tabla1[[#This Row],[AREA]],Hoja1!A:B,2,FALSE)</f>
        <v>06. Educación, infancia, juventud e igualdad</v>
      </c>
      <c r="U3676" s="35" t="str">
        <f>MID(Tabla1[[#This Row],[Aplicación]],9,4)</f>
        <v>3231</v>
      </c>
      <c r="V3676" s="35" t="str">
        <f>VLOOKUP(Tabla1[[#This Row],[PROGRAMA]],Hoja1!A:B,2,FALSE)</f>
        <v>3231. Escuelas infantiles</v>
      </c>
      <c r="W3676" s="35" t="str">
        <f>MID(Tabla1[[#This Row],[Aplicación]],14,2)</f>
        <v>63</v>
      </c>
      <c r="X3676" s="35" t="str">
        <f>MID(Tabla1[[#This Row],[Aplicación]],14,6)</f>
        <v>633</v>
      </c>
    </row>
    <row r="3677" spans="1:24" x14ac:dyDescent="0.25">
      <c r="A3677" s="45">
        <v>220210043873</v>
      </c>
      <c r="B3677" s="46" t="s">
        <v>9</v>
      </c>
      <c r="C3677" s="47">
        <v>44405</v>
      </c>
      <c r="D3677" s="45">
        <v>22021005810</v>
      </c>
      <c r="E3677" s="46" t="s">
        <v>1623</v>
      </c>
      <c r="F3677" s="48">
        <v>880.06</v>
      </c>
      <c r="G3677" s="46" t="s">
        <v>5273</v>
      </c>
      <c r="H3677" s="46" t="s">
        <v>5274</v>
      </c>
      <c r="I3677" s="45" t="s">
        <v>125</v>
      </c>
      <c r="J3677" s="46" t="s">
        <v>126</v>
      </c>
      <c r="K3677" s="46" t="s">
        <v>126</v>
      </c>
      <c r="L3677" s="46" t="s">
        <v>15</v>
      </c>
      <c r="M3677" s="46" t="s">
        <v>10</v>
      </c>
      <c r="N3677" s="46" t="s">
        <v>11</v>
      </c>
      <c r="O3677" s="49" t="s">
        <v>815</v>
      </c>
      <c r="P3677" s="49" t="s">
        <v>4910</v>
      </c>
      <c r="Q3677" s="35" t="str">
        <f>MID(Tabla1[[#This Row],[Aplicación]],14,1)</f>
        <v>2</v>
      </c>
      <c r="R3677" s="35" t="s">
        <v>495</v>
      </c>
      <c r="S3677" s="35" t="str">
        <f>MID(Tabla1[[#This Row],[Aplicación]],6,2)</f>
        <v>01</v>
      </c>
      <c r="T3677" s="35" t="str">
        <f>VLOOKUP(Tabla1[[#This Row],[AREA]],Hoja1!A:B,2,FALSE)</f>
        <v>01. Alcaldía</v>
      </c>
      <c r="U3677" s="35" t="str">
        <f>MID(Tabla1[[#This Row],[Aplicación]],9,4)</f>
        <v>9207</v>
      </c>
      <c r="V3677" s="35" t="str">
        <f>VLOOKUP(Tabla1[[#This Row],[PROGRAMA]],Hoja1!A:B,2,FALSE)</f>
        <v>9207. Gobierno y relaciones</v>
      </c>
      <c r="W3677" s="35" t="str">
        <f>MID(Tabla1[[#This Row],[Aplicación]],14,2)</f>
        <v>22</v>
      </c>
      <c r="X3677" s="35" t="str">
        <f>MID(Tabla1[[#This Row],[Aplicación]],14,6)</f>
        <v>22001</v>
      </c>
    </row>
    <row r="3678" spans="1:24" x14ac:dyDescent="0.25">
      <c r="A3678" s="45">
        <v>220210043778</v>
      </c>
      <c r="B3678" s="46" t="s">
        <v>9</v>
      </c>
      <c r="C3678" s="47">
        <v>44404</v>
      </c>
      <c r="D3678" s="45">
        <v>22021005811</v>
      </c>
      <c r="E3678" s="46" t="s">
        <v>1623</v>
      </c>
      <c r="F3678" s="48">
        <v>55</v>
      </c>
      <c r="G3678" s="46" t="s">
        <v>5275</v>
      </c>
      <c r="H3678" s="46" t="s">
        <v>5276</v>
      </c>
      <c r="I3678" s="45" t="s">
        <v>125</v>
      </c>
      <c r="J3678" s="46" t="s">
        <v>126</v>
      </c>
      <c r="K3678" s="46" t="s">
        <v>126</v>
      </c>
      <c r="L3678" s="46" t="s">
        <v>12</v>
      </c>
      <c r="M3678" s="46" t="s">
        <v>10</v>
      </c>
      <c r="N3678" s="46" t="s">
        <v>11</v>
      </c>
      <c r="O3678" s="49" t="s">
        <v>815</v>
      </c>
      <c r="P3678" s="49" t="s">
        <v>4910</v>
      </c>
      <c r="Q3678" s="35" t="str">
        <f>MID(Tabla1[[#This Row],[Aplicación]],14,1)</f>
        <v>2</v>
      </c>
      <c r="R3678" s="35" t="s">
        <v>495</v>
      </c>
      <c r="S3678" s="35" t="str">
        <f>MID(Tabla1[[#This Row],[Aplicación]],6,2)</f>
        <v>01</v>
      </c>
      <c r="T3678" s="35" t="str">
        <f>VLOOKUP(Tabla1[[#This Row],[AREA]],Hoja1!A:B,2,FALSE)</f>
        <v>01. Alcaldía</v>
      </c>
      <c r="U3678" s="35" t="str">
        <f>MID(Tabla1[[#This Row],[Aplicación]],9,4)</f>
        <v>9207</v>
      </c>
      <c r="V3678" s="35" t="str">
        <f>VLOOKUP(Tabla1[[#This Row],[PROGRAMA]],Hoja1!A:B,2,FALSE)</f>
        <v>9207. Gobierno y relaciones</v>
      </c>
      <c r="W3678" s="35" t="str">
        <f>MID(Tabla1[[#This Row],[Aplicación]],14,2)</f>
        <v>22</v>
      </c>
      <c r="X3678" s="35" t="str">
        <f>MID(Tabla1[[#This Row],[Aplicación]],14,6)</f>
        <v>22001</v>
      </c>
    </row>
    <row r="3679" spans="1:24" x14ac:dyDescent="0.25">
      <c r="A3679" s="45">
        <v>220210048418</v>
      </c>
      <c r="B3679" s="46" t="s">
        <v>204</v>
      </c>
      <c r="C3679" s="47">
        <v>44426</v>
      </c>
      <c r="D3679" s="45">
        <v>22021000545</v>
      </c>
      <c r="E3679" s="46" t="s">
        <v>2913</v>
      </c>
      <c r="F3679" s="48">
        <v>7500</v>
      </c>
      <c r="G3679" s="46" t="s">
        <v>1692</v>
      </c>
      <c r="H3679" s="46" t="s">
        <v>5277</v>
      </c>
      <c r="I3679" s="45" t="s">
        <v>205</v>
      </c>
      <c r="J3679" s="46" t="s">
        <v>127</v>
      </c>
      <c r="K3679" s="46" t="s">
        <v>127</v>
      </c>
      <c r="L3679" s="46" t="s">
        <v>12</v>
      </c>
      <c r="M3679" s="46" t="s">
        <v>13</v>
      </c>
      <c r="N3679" s="46" t="s">
        <v>14</v>
      </c>
      <c r="O3679" s="49" t="s">
        <v>814</v>
      </c>
      <c r="P3679" s="49" t="s">
        <v>4910</v>
      </c>
      <c r="Q3679" s="35" t="str">
        <f>MID(Tabla1[[#This Row],[Aplicación]],14,1)</f>
        <v>2</v>
      </c>
      <c r="R3679" s="35" t="s">
        <v>495</v>
      </c>
      <c r="S3679" s="35" t="str">
        <f>MID(Tabla1[[#This Row],[Aplicación]],6,2)</f>
        <v>08</v>
      </c>
      <c r="T3679" s="35" t="str">
        <f>VLOOKUP(Tabla1[[#This Row],[AREA]],Hoja1!A:B,2,FALSE)</f>
        <v>08. Movilidad y espacio urbano</v>
      </c>
      <c r="U3679" s="35" t="str">
        <f>MID(Tabla1[[#This Row],[Aplicación]],9,4)</f>
        <v>1341</v>
      </c>
      <c r="V3679" s="35" t="str">
        <f>VLOOKUP(Tabla1[[#This Row],[PROGRAMA]],Hoja1!A:B,2,FALSE)</f>
        <v>1341. Movilidad</v>
      </c>
      <c r="W3679" s="35" t="str">
        <f>MID(Tabla1[[#This Row],[Aplicación]],14,2)</f>
        <v>22</v>
      </c>
      <c r="X3679" s="35" t="str">
        <f>MID(Tabla1[[#This Row],[Aplicación]],14,6)</f>
        <v>22699</v>
      </c>
    </row>
    <row r="3680" spans="1:24" x14ac:dyDescent="0.25">
      <c r="A3680" s="45">
        <v>220210048417</v>
      </c>
      <c r="B3680" s="46" t="s">
        <v>204</v>
      </c>
      <c r="C3680" s="47">
        <v>44426</v>
      </c>
      <c r="D3680" s="45">
        <v>22021000543</v>
      </c>
      <c r="E3680" s="46" t="s">
        <v>5278</v>
      </c>
      <c r="F3680" s="48">
        <v>3000</v>
      </c>
      <c r="G3680" s="46" t="s">
        <v>1692</v>
      </c>
      <c r="H3680" s="46" t="s">
        <v>5277</v>
      </c>
      <c r="I3680" s="45" t="s">
        <v>205</v>
      </c>
      <c r="J3680" s="46" t="s">
        <v>127</v>
      </c>
      <c r="K3680" s="46" t="s">
        <v>127</v>
      </c>
      <c r="L3680" s="46" t="s">
        <v>12</v>
      </c>
      <c r="M3680" s="46" t="s">
        <v>13</v>
      </c>
      <c r="N3680" s="46" t="s">
        <v>14</v>
      </c>
      <c r="O3680" s="49" t="s">
        <v>814</v>
      </c>
      <c r="P3680" s="49" t="s">
        <v>4910</v>
      </c>
      <c r="Q3680" s="35" t="str">
        <f>MID(Tabla1[[#This Row],[Aplicación]],14,1)</f>
        <v>2</v>
      </c>
      <c r="R3680" s="35" t="s">
        <v>495</v>
      </c>
      <c r="S3680" s="35" t="str">
        <f>MID(Tabla1[[#This Row],[Aplicación]],6,2)</f>
        <v>08</v>
      </c>
      <c r="T3680" s="35" t="str">
        <f>VLOOKUP(Tabla1[[#This Row],[AREA]],Hoja1!A:B,2,FALSE)</f>
        <v>08. Movilidad y espacio urbano</v>
      </c>
      <c r="U3680" s="35" t="str">
        <f>MID(Tabla1[[#This Row],[Aplicación]],9,4)</f>
        <v>1341</v>
      </c>
      <c r="V3680" s="35" t="str">
        <f>VLOOKUP(Tabla1[[#This Row],[PROGRAMA]],Hoja1!A:B,2,FALSE)</f>
        <v>1341. Movilidad</v>
      </c>
      <c r="W3680" s="35" t="str">
        <f>MID(Tabla1[[#This Row],[Aplicación]],14,2)</f>
        <v>22</v>
      </c>
      <c r="X3680" s="35" t="str">
        <f>MID(Tabla1[[#This Row],[Aplicación]],14,6)</f>
        <v>22602</v>
      </c>
    </row>
    <row r="3681" spans="1:24" x14ac:dyDescent="0.25">
      <c r="A3681" s="45">
        <v>220210048419</v>
      </c>
      <c r="B3681" s="46" t="s">
        <v>204</v>
      </c>
      <c r="C3681" s="47">
        <v>44426</v>
      </c>
      <c r="D3681" s="45">
        <v>22021000546</v>
      </c>
      <c r="E3681" s="46" t="s">
        <v>1589</v>
      </c>
      <c r="F3681" s="48">
        <v>2500</v>
      </c>
      <c r="G3681" s="46" t="s">
        <v>1692</v>
      </c>
      <c r="H3681" s="46" t="s">
        <v>5277</v>
      </c>
      <c r="I3681" s="45" t="s">
        <v>205</v>
      </c>
      <c r="J3681" s="46" t="s">
        <v>127</v>
      </c>
      <c r="K3681" s="46" t="s">
        <v>127</v>
      </c>
      <c r="L3681" s="46" t="s">
        <v>12</v>
      </c>
      <c r="M3681" s="46" t="s">
        <v>13</v>
      </c>
      <c r="N3681" s="46" t="s">
        <v>14</v>
      </c>
      <c r="O3681" s="49" t="s">
        <v>814</v>
      </c>
      <c r="P3681" s="49" t="s">
        <v>4910</v>
      </c>
      <c r="Q3681" s="35" t="str">
        <f>MID(Tabla1[[#This Row],[Aplicación]],14,1)</f>
        <v>2</v>
      </c>
      <c r="R3681" s="35" t="s">
        <v>495</v>
      </c>
      <c r="S3681" s="35" t="str">
        <f>MID(Tabla1[[#This Row],[Aplicación]],6,2)</f>
        <v>08</v>
      </c>
      <c r="T3681" s="35" t="str">
        <f>VLOOKUP(Tabla1[[#This Row],[AREA]],Hoja1!A:B,2,FALSE)</f>
        <v>08. Movilidad y espacio urbano</v>
      </c>
      <c r="U3681" s="35" t="str">
        <f>MID(Tabla1[[#This Row],[Aplicación]],9,4)</f>
        <v>1341</v>
      </c>
      <c r="V3681" s="35" t="str">
        <f>VLOOKUP(Tabla1[[#This Row],[PROGRAMA]],Hoja1!A:B,2,FALSE)</f>
        <v>1341. Movilidad</v>
      </c>
      <c r="W3681" s="35" t="str">
        <f>MID(Tabla1[[#This Row],[Aplicación]],14,2)</f>
        <v>22</v>
      </c>
      <c r="X3681" s="35" t="str">
        <f>MID(Tabla1[[#This Row],[Aplicación]],14,6)</f>
        <v>22799</v>
      </c>
    </row>
    <row r="3682" spans="1:24" x14ac:dyDescent="0.25">
      <c r="A3682" s="45">
        <v>220210039699</v>
      </c>
      <c r="B3682" s="46" t="s">
        <v>9</v>
      </c>
      <c r="C3682" s="47">
        <v>44393</v>
      </c>
      <c r="D3682" s="45">
        <v>22021005763</v>
      </c>
      <c r="E3682" s="46" t="s">
        <v>3381</v>
      </c>
      <c r="F3682" s="48">
        <v>425.92</v>
      </c>
      <c r="G3682" s="46" t="s">
        <v>513</v>
      </c>
      <c r="H3682" s="46" t="s">
        <v>5279</v>
      </c>
      <c r="I3682" s="45" t="s">
        <v>125</v>
      </c>
      <c r="J3682" s="46" t="s">
        <v>127</v>
      </c>
      <c r="K3682" s="46" t="s">
        <v>127</v>
      </c>
      <c r="L3682" s="46" t="s">
        <v>17</v>
      </c>
      <c r="M3682" s="46" t="s">
        <v>13</v>
      </c>
      <c r="N3682" s="46" t="s">
        <v>14</v>
      </c>
      <c r="O3682" s="49" t="s">
        <v>814</v>
      </c>
      <c r="P3682" s="49" t="s">
        <v>4910</v>
      </c>
      <c r="Q3682" s="35" t="str">
        <f>MID(Tabla1[[#This Row],[Aplicación]],14,1)</f>
        <v>2</v>
      </c>
      <c r="R3682" s="35" t="s">
        <v>495</v>
      </c>
      <c r="S3682" s="35" t="str">
        <f>MID(Tabla1[[#This Row],[Aplicación]],6,2)</f>
        <v>02</v>
      </c>
      <c r="T3682" s="35" t="str">
        <f>VLOOKUP(Tabla1[[#This Row],[AREA]],Hoja1!A:B,2,FALSE)</f>
        <v>02. Planeamiento urbanístico y vivienda</v>
      </c>
      <c r="U3682" s="35" t="str">
        <f>MID(Tabla1[[#This Row],[Aplicación]],9,4)</f>
        <v>1511</v>
      </c>
      <c r="V3682" s="35" t="str">
        <f>VLOOKUP(Tabla1[[#This Row],[PROGRAMA]],Hoja1!A:B,2,FALSE)</f>
        <v>1511. Planficación y gestión del urbanismo</v>
      </c>
      <c r="W3682" s="35" t="str">
        <f>MID(Tabla1[[#This Row],[Aplicación]],14,2)</f>
        <v>22</v>
      </c>
      <c r="X3682" s="35" t="str">
        <f>MID(Tabla1[[#This Row],[Aplicación]],14,6)</f>
        <v>22602</v>
      </c>
    </row>
    <row r="3683" spans="1:24" x14ac:dyDescent="0.25">
      <c r="A3683" s="45">
        <v>220210043877</v>
      </c>
      <c r="B3683" s="46" t="s">
        <v>9</v>
      </c>
      <c r="C3683" s="47">
        <v>44405</v>
      </c>
      <c r="D3683" s="45">
        <v>22021005754</v>
      </c>
      <c r="E3683" s="46" t="s">
        <v>1454</v>
      </c>
      <c r="F3683" s="48">
        <v>6000</v>
      </c>
      <c r="G3683" s="46" t="s">
        <v>257</v>
      </c>
      <c r="H3683" s="46" t="s">
        <v>5280</v>
      </c>
      <c r="I3683" s="45" t="s">
        <v>125</v>
      </c>
      <c r="J3683" s="46" t="s">
        <v>127</v>
      </c>
      <c r="K3683" s="46" t="s">
        <v>127</v>
      </c>
      <c r="L3683" s="46" t="s">
        <v>15</v>
      </c>
      <c r="M3683" s="46" t="s">
        <v>10</v>
      </c>
      <c r="N3683" s="46" t="s">
        <v>11</v>
      </c>
      <c r="O3683" s="49" t="s">
        <v>815</v>
      </c>
      <c r="P3683" s="49" t="s">
        <v>4910</v>
      </c>
      <c r="Q3683" s="35" t="str">
        <f>MID(Tabla1[[#This Row],[Aplicación]],14,1)</f>
        <v>2</v>
      </c>
      <c r="R3683" s="35" t="s">
        <v>495</v>
      </c>
      <c r="S3683" s="35" t="str">
        <f>MID(Tabla1[[#This Row],[Aplicación]],6,2)</f>
        <v>07</v>
      </c>
      <c r="T3683" s="35" t="str">
        <f>VLOOKUP(Tabla1[[#This Row],[AREA]],Hoja1!A:B,2,FALSE)</f>
        <v>07. Medio ambiente y desarrollo sostenible</v>
      </c>
      <c r="U3683" s="35" t="str">
        <f>MID(Tabla1[[#This Row],[Aplicación]],9,4)</f>
        <v>1711</v>
      </c>
      <c r="V3683" s="35" t="str">
        <f>VLOOKUP(Tabla1[[#This Row],[PROGRAMA]],Hoja1!A:B,2,FALSE)</f>
        <v>1711. Parques y jardines</v>
      </c>
      <c r="W3683" s="35" t="str">
        <f>MID(Tabla1[[#This Row],[Aplicación]],14,2)</f>
        <v>22</v>
      </c>
      <c r="X3683" s="35" t="str">
        <f>MID(Tabla1[[#This Row],[Aplicación]],14,6)</f>
        <v>22104</v>
      </c>
    </row>
    <row r="3684" spans="1:24" x14ac:dyDescent="0.25">
      <c r="A3684" s="45">
        <v>220210040953</v>
      </c>
      <c r="B3684" s="46" t="s">
        <v>204</v>
      </c>
      <c r="C3684" s="47">
        <v>44397</v>
      </c>
      <c r="D3684" s="45">
        <v>22021001275</v>
      </c>
      <c r="E3684" s="46" t="s">
        <v>1334</v>
      </c>
      <c r="F3684" s="48">
        <v>1257.6600000000001</v>
      </c>
      <c r="G3684" s="46" t="s">
        <v>257</v>
      </c>
      <c r="H3684" s="46" t="s">
        <v>1461</v>
      </c>
      <c r="I3684" s="45" t="s">
        <v>205</v>
      </c>
      <c r="J3684" s="46" t="s">
        <v>127</v>
      </c>
      <c r="K3684" s="46" t="s">
        <v>127</v>
      </c>
      <c r="L3684" s="46" t="s">
        <v>15</v>
      </c>
      <c r="M3684" s="46" t="s">
        <v>13</v>
      </c>
      <c r="N3684" s="46" t="s">
        <v>14</v>
      </c>
      <c r="O3684" s="49" t="s">
        <v>814</v>
      </c>
      <c r="P3684" s="49" t="s">
        <v>4910</v>
      </c>
      <c r="Q3684" s="35" t="str">
        <f>MID(Tabla1[[#This Row],[Aplicación]],14,1)</f>
        <v>2</v>
      </c>
      <c r="R3684" s="35" t="s">
        <v>495</v>
      </c>
      <c r="S3684" s="35" t="str">
        <f>MID(Tabla1[[#This Row],[Aplicación]],6,2)</f>
        <v>07</v>
      </c>
      <c r="T3684" s="35" t="str">
        <f>VLOOKUP(Tabla1[[#This Row],[AREA]],Hoja1!A:B,2,FALSE)</f>
        <v>07. Medio ambiente y desarrollo sostenible</v>
      </c>
      <c r="U3684" s="35" t="str">
        <f>MID(Tabla1[[#This Row],[Aplicación]],9,4)</f>
        <v>1711</v>
      </c>
      <c r="V3684" s="35" t="str">
        <f>VLOOKUP(Tabla1[[#This Row],[PROGRAMA]],Hoja1!A:B,2,FALSE)</f>
        <v>1711. Parques y jardines</v>
      </c>
      <c r="W3684" s="35" t="str">
        <f>MID(Tabla1[[#This Row],[Aplicación]],14,2)</f>
        <v>22</v>
      </c>
      <c r="X3684" s="35" t="str">
        <f>MID(Tabla1[[#This Row],[Aplicación]],14,6)</f>
        <v>22199</v>
      </c>
    </row>
    <row r="3685" spans="1:24" x14ac:dyDescent="0.25">
      <c r="A3685" s="45">
        <v>220210040900</v>
      </c>
      <c r="B3685" s="46" t="s">
        <v>204</v>
      </c>
      <c r="C3685" s="47">
        <v>44397</v>
      </c>
      <c r="D3685" s="45">
        <v>22021001183</v>
      </c>
      <c r="E3685" s="46" t="s">
        <v>873</v>
      </c>
      <c r="F3685" s="48">
        <v>205.1</v>
      </c>
      <c r="G3685" s="46" t="s">
        <v>257</v>
      </c>
      <c r="H3685" s="46" t="s">
        <v>5281</v>
      </c>
      <c r="I3685" s="45" t="s">
        <v>205</v>
      </c>
      <c r="J3685" s="46" t="s">
        <v>127</v>
      </c>
      <c r="K3685" s="46" t="s">
        <v>127</v>
      </c>
      <c r="L3685" s="46" t="s">
        <v>15</v>
      </c>
      <c r="M3685" s="46" t="s">
        <v>13</v>
      </c>
      <c r="N3685" s="46" t="s">
        <v>14</v>
      </c>
      <c r="O3685" s="49" t="s">
        <v>814</v>
      </c>
      <c r="P3685" s="49" t="s">
        <v>4910</v>
      </c>
      <c r="Q3685" s="35" t="str">
        <f>MID(Tabla1[[#This Row],[Aplicación]],14,1)</f>
        <v>2</v>
      </c>
      <c r="R3685" s="35" t="s">
        <v>495</v>
      </c>
      <c r="S3685" s="35" t="str">
        <f>MID(Tabla1[[#This Row],[Aplicación]],6,2)</f>
        <v>10</v>
      </c>
      <c r="T3685" s="35" t="str">
        <f>VLOOKUP(Tabla1[[#This Row],[AREA]],Hoja1!A:B,2,FALSE)</f>
        <v>10. Servicios sociales y mediación comunitaria</v>
      </c>
      <c r="U3685" s="35" t="str">
        <f>MID(Tabla1[[#This Row],[Aplicación]],9,4)</f>
        <v>2412</v>
      </c>
      <c r="V3685" s="35" t="str">
        <f>VLOOKUP(Tabla1[[#This Row],[PROGRAMA]],Hoja1!A:B,2,FALSE)</f>
        <v>2412. Formación para el empleo</v>
      </c>
      <c r="W3685" s="35" t="str">
        <f>MID(Tabla1[[#This Row],[Aplicación]],14,2)</f>
        <v>22</v>
      </c>
      <c r="X3685" s="35" t="str">
        <f>MID(Tabla1[[#This Row],[Aplicación]],14,6)</f>
        <v>22199</v>
      </c>
    </row>
    <row r="3686" spans="1:24" x14ac:dyDescent="0.25">
      <c r="A3686" s="45">
        <v>220210040898</v>
      </c>
      <c r="B3686" s="46" t="s">
        <v>204</v>
      </c>
      <c r="C3686" s="47">
        <v>44397</v>
      </c>
      <c r="D3686" s="45">
        <v>22021001169</v>
      </c>
      <c r="E3686" s="46" t="s">
        <v>1319</v>
      </c>
      <c r="F3686" s="48">
        <v>162.62</v>
      </c>
      <c r="G3686" s="46" t="s">
        <v>257</v>
      </c>
      <c r="H3686" s="46" t="s">
        <v>5282</v>
      </c>
      <c r="I3686" s="45" t="s">
        <v>205</v>
      </c>
      <c r="J3686" s="46" t="s">
        <v>127</v>
      </c>
      <c r="K3686" s="46" t="s">
        <v>127</v>
      </c>
      <c r="L3686" s="46" t="s">
        <v>15</v>
      </c>
      <c r="M3686" s="46" t="s">
        <v>13</v>
      </c>
      <c r="N3686" s="46" t="s">
        <v>14</v>
      </c>
      <c r="O3686" s="49" t="s">
        <v>814</v>
      </c>
      <c r="P3686" s="49" t="s">
        <v>4910</v>
      </c>
      <c r="Q3686" s="35" t="str">
        <f>MID(Tabla1[[#This Row],[Aplicación]],14,1)</f>
        <v>2</v>
      </c>
      <c r="R3686" s="35" t="s">
        <v>495</v>
      </c>
      <c r="S3686" s="35" t="str">
        <f>MID(Tabla1[[#This Row],[Aplicación]],6,2)</f>
        <v>10</v>
      </c>
      <c r="T3686" s="35" t="str">
        <f>VLOOKUP(Tabla1[[#This Row],[AREA]],Hoja1!A:B,2,FALSE)</f>
        <v>10. Servicios sociales y mediación comunitaria</v>
      </c>
      <c r="U3686" s="35" t="str">
        <f>MID(Tabla1[[#This Row],[Aplicación]],9,4)</f>
        <v>2412</v>
      </c>
      <c r="V3686" s="35" t="str">
        <f>VLOOKUP(Tabla1[[#This Row],[PROGRAMA]],Hoja1!A:B,2,FALSE)</f>
        <v>2412. Formación para el empleo</v>
      </c>
      <c r="W3686" s="35" t="str">
        <f>MID(Tabla1[[#This Row],[Aplicación]],14,2)</f>
        <v>21</v>
      </c>
      <c r="X3686" s="35" t="str">
        <f>MID(Tabla1[[#This Row],[Aplicación]],14,6)</f>
        <v>212</v>
      </c>
    </row>
    <row r="3687" spans="1:24" x14ac:dyDescent="0.25">
      <c r="A3687" s="45">
        <v>220210040123</v>
      </c>
      <c r="B3687" s="46" t="s">
        <v>204</v>
      </c>
      <c r="C3687" s="47">
        <v>44396</v>
      </c>
      <c r="D3687" s="45">
        <v>22021002055</v>
      </c>
      <c r="E3687" s="46" t="s">
        <v>1613</v>
      </c>
      <c r="F3687" s="48">
        <v>116.11</v>
      </c>
      <c r="G3687" s="46" t="s">
        <v>257</v>
      </c>
      <c r="H3687" s="46" t="s">
        <v>5283</v>
      </c>
      <c r="I3687" s="45" t="s">
        <v>205</v>
      </c>
      <c r="J3687" s="46" t="s">
        <v>127</v>
      </c>
      <c r="K3687" s="46" t="s">
        <v>127</v>
      </c>
      <c r="L3687" s="46" t="s">
        <v>15</v>
      </c>
      <c r="M3687" s="46" t="s">
        <v>13</v>
      </c>
      <c r="N3687" s="46" t="s">
        <v>14</v>
      </c>
      <c r="O3687" s="49" t="s">
        <v>814</v>
      </c>
      <c r="P3687" s="49" t="s">
        <v>4910</v>
      </c>
      <c r="Q3687" s="35" t="str">
        <f>MID(Tabla1[[#This Row],[Aplicación]],14,1)</f>
        <v>2</v>
      </c>
      <c r="R3687" s="35" t="s">
        <v>495</v>
      </c>
      <c r="S3687" s="35" t="str">
        <f>MID(Tabla1[[#This Row],[Aplicación]],6,2)</f>
        <v>11</v>
      </c>
      <c r="T3687" s="35" t="str">
        <f>VLOOKUP(Tabla1[[#This Row],[AREA]],Hoja1!A:B,2,FALSE)</f>
        <v>11. Salud pública y seguridad ciudadana</v>
      </c>
      <c r="U3687" s="35" t="str">
        <f>MID(Tabla1[[#This Row],[Aplicación]],9,4)</f>
        <v>1631</v>
      </c>
      <c r="V3687" s="35" t="str">
        <f>VLOOKUP(Tabla1[[#This Row],[PROGRAMA]],Hoja1!A:B,2,FALSE)</f>
        <v>1631. Limpieza viaria</v>
      </c>
      <c r="W3687" s="35" t="str">
        <f>MID(Tabla1[[#This Row],[Aplicación]],14,2)</f>
        <v>22</v>
      </c>
      <c r="X3687" s="35" t="str">
        <f>MID(Tabla1[[#This Row],[Aplicación]],14,6)</f>
        <v>22104</v>
      </c>
    </row>
    <row r="3688" spans="1:24" x14ac:dyDescent="0.25">
      <c r="A3688" s="45">
        <v>220210040100</v>
      </c>
      <c r="B3688" s="46" t="s">
        <v>204</v>
      </c>
      <c r="C3688" s="47">
        <v>44396</v>
      </c>
      <c r="D3688" s="45">
        <v>22021003381</v>
      </c>
      <c r="E3688" s="46" t="s">
        <v>1183</v>
      </c>
      <c r="F3688" s="48">
        <v>38.26</v>
      </c>
      <c r="G3688" s="46" t="s">
        <v>257</v>
      </c>
      <c r="H3688" s="46" t="s">
        <v>5284</v>
      </c>
      <c r="I3688" s="45" t="s">
        <v>205</v>
      </c>
      <c r="J3688" s="46" t="s">
        <v>127</v>
      </c>
      <c r="K3688" s="46" t="s">
        <v>127</v>
      </c>
      <c r="L3688" s="46" t="s">
        <v>15</v>
      </c>
      <c r="M3688" s="46" t="s">
        <v>13</v>
      </c>
      <c r="N3688" s="46" t="s">
        <v>14</v>
      </c>
      <c r="O3688" s="49" t="s">
        <v>814</v>
      </c>
      <c r="P3688" s="49" t="s">
        <v>4910</v>
      </c>
      <c r="Q3688" s="35" t="str">
        <f>MID(Tabla1[[#This Row],[Aplicación]],14,1)</f>
        <v>2</v>
      </c>
      <c r="R3688" s="35" t="s">
        <v>495</v>
      </c>
      <c r="S3688" s="35" t="str">
        <f>MID(Tabla1[[#This Row],[Aplicación]],6,2)</f>
        <v>11</v>
      </c>
      <c r="T3688" s="35" t="str">
        <f>VLOOKUP(Tabla1[[#This Row],[AREA]],Hoja1!A:B,2,FALSE)</f>
        <v>11. Salud pública y seguridad ciudadana</v>
      </c>
      <c r="U3688" s="35" t="str">
        <f>MID(Tabla1[[#This Row],[Aplicación]],9,4)</f>
        <v>1361</v>
      </c>
      <c r="V3688" s="35" t="str">
        <f>VLOOKUP(Tabla1[[#This Row],[PROGRAMA]],Hoja1!A:B,2,FALSE)</f>
        <v>1361. Prevención y extinción de incencios</v>
      </c>
      <c r="W3688" s="35" t="str">
        <f>MID(Tabla1[[#This Row],[Aplicación]],14,2)</f>
        <v>22</v>
      </c>
      <c r="X3688" s="35" t="str">
        <f>MID(Tabla1[[#This Row],[Aplicación]],14,6)</f>
        <v>22199</v>
      </c>
    </row>
    <row r="3689" spans="1:24" x14ac:dyDescent="0.25">
      <c r="A3689" s="45">
        <v>220210044012</v>
      </c>
      <c r="B3689" s="46" t="s">
        <v>204</v>
      </c>
      <c r="C3689" s="47">
        <v>44405</v>
      </c>
      <c r="D3689" s="45">
        <v>22021001275</v>
      </c>
      <c r="E3689" s="46" t="s">
        <v>1334</v>
      </c>
      <c r="F3689" s="48">
        <v>20.61</v>
      </c>
      <c r="G3689" s="46" t="s">
        <v>257</v>
      </c>
      <c r="H3689" s="46" t="s">
        <v>1461</v>
      </c>
      <c r="I3689" s="45" t="s">
        <v>205</v>
      </c>
      <c r="J3689" s="46" t="s">
        <v>127</v>
      </c>
      <c r="K3689" s="46" t="s">
        <v>127</v>
      </c>
      <c r="L3689" s="46" t="s">
        <v>15</v>
      </c>
      <c r="M3689" s="46" t="s">
        <v>13</v>
      </c>
      <c r="N3689" s="46" t="s">
        <v>14</v>
      </c>
      <c r="O3689" s="49" t="s">
        <v>814</v>
      </c>
      <c r="P3689" s="49" t="s">
        <v>4910</v>
      </c>
      <c r="Q3689" s="35" t="str">
        <f>MID(Tabla1[[#This Row],[Aplicación]],14,1)</f>
        <v>2</v>
      </c>
      <c r="R3689" s="35" t="s">
        <v>495</v>
      </c>
      <c r="S3689" s="35" t="str">
        <f>MID(Tabla1[[#This Row],[Aplicación]],6,2)</f>
        <v>07</v>
      </c>
      <c r="T3689" s="35" t="str">
        <f>VLOOKUP(Tabla1[[#This Row],[AREA]],Hoja1!A:B,2,FALSE)</f>
        <v>07. Medio ambiente y desarrollo sostenible</v>
      </c>
      <c r="U3689" s="35" t="str">
        <f>MID(Tabla1[[#This Row],[Aplicación]],9,4)</f>
        <v>1711</v>
      </c>
      <c r="V3689" s="35" t="str">
        <f>VLOOKUP(Tabla1[[#This Row],[PROGRAMA]],Hoja1!A:B,2,FALSE)</f>
        <v>1711. Parques y jardines</v>
      </c>
      <c r="W3689" s="35" t="str">
        <f>MID(Tabla1[[#This Row],[Aplicación]],14,2)</f>
        <v>22</v>
      </c>
      <c r="X3689" s="35" t="str">
        <f>MID(Tabla1[[#This Row],[Aplicación]],14,6)</f>
        <v>22199</v>
      </c>
    </row>
    <row r="3690" spans="1:24" x14ac:dyDescent="0.25">
      <c r="A3690" s="45">
        <v>220210040139</v>
      </c>
      <c r="B3690" s="46" t="s">
        <v>204</v>
      </c>
      <c r="C3690" s="47">
        <v>44396</v>
      </c>
      <c r="D3690" s="45">
        <v>22021002227</v>
      </c>
      <c r="E3690" s="46" t="s">
        <v>1324</v>
      </c>
      <c r="F3690" s="48">
        <v>14.94</v>
      </c>
      <c r="G3690" s="46" t="s">
        <v>257</v>
      </c>
      <c r="H3690" s="46" t="s">
        <v>5285</v>
      </c>
      <c r="I3690" s="45" t="s">
        <v>205</v>
      </c>
      <c r="J3690" s="46" t="s">
        <v>127</v>
      </c>
      <c r="K3690" s="46" t="s">
        <v>127</v>
      </c>
      <c r="L3690" s="46" t="s">
        <v>15</v>
      </c>
      <c r="M3690" s="46" t="s">
        <v>13</v>
      </c>
      <c r="N3690" s="46" t="s">
        <v>16</v>
      </c>
      <c r="O3690" s="49" t="s">
        <v>814</v>
      </c>
      <c r="P3690" s="49" t="s">
        <v>4910</v>
      </c>
      <c r="Q3690" s="35" t="str">
        <f>MID(Tabla1[[#This Row],[Aplicación]],14,1)</f>
        <v>2</v>
      </c>
      <c r="R3690" s="35" t="s">
        <v>495</v>
      </c>
      <c r="S3690" s="35" t="str">
        <f>MID(Tabla1[[#This Row],[Aplicación]],6,2)</f>
        <v>06</v>
      </c>
      <c r="T3690" s="35" t="str">
        <f>VLOOKUP(Tabla1[[#This Row],[AREA]],Hoja1!A:B,2,FALSE)</f>
        <v>06. Educación, infancia, juventud e igualdad</v>
      </c>
      <c r="U3690" s="35" t="str">
        <f>MID(Tabla1[[#This Row],[Aplicación]],9,4)</f>
        <v>3321</v>
      </c>
      <c r="V3690" s="35" t="str">
        <f>VLOOKUP(Tabla1[[#This Row],[PROGRAMA]],Hoja1!A:B,2,FALSE)</f>
        <v>3321. Bibliotecas públicas</v>
      </c>
      <c r="W3690" s="35" t="str">
        <f>MID(Tabla1[[#This Row],[Aplicación]],14,2)</f>
        <v>21</v>
      </c>
      <c r="X3690" s="35" t="str">
        <f>MID(Tabla1[[#This Row],[Aplicación]],14,6)</f>
        <v>212</v>
      </c>
    </row>
    <row r="3691" spans="1:24" x14ac:dyDescent="0.25">
      <c r="A3691" s="45">
        <v>220210040137</v>
      </c>
      <c r="B3691" s="46" t="s">
        <v>204</v>
      </c>
      <c r="C3691" s="47">
        <v>44396</v>
      </c>
      <c r="D3691" s="45">
        <v>22021002227</v>
      </c>
      <c r="E3691" s="46" t="s">
        <v>1324</v>
      </c>
      <c r="F3691" s="48">
        <v>2.92</v>
      </c>
      <c r="G3691" s="46" t="s">
        <v>257</v>
      </c>
      <c r="H3691" s="46" t="s">
        <v>5286</v>
      </c>
      <c r="I3691" s="45" t="s">
        <v>205</v>
      </c>
      <c r="J3691" s="46" t="s">
        <v>127</v>
      </c>
      <c r="K3691" s="46" t="s">
        <v>127</v>
      </c>
      <c r="L3691" s="46" t="s">
        <v>15</v>
      </c>
      <c r="M3691" s="46" t="s">
        <v>13</v>
      </c>
      <c r="N3691" s="46" t="s">
        <v>16</v>
      </c>
      <c r="O3691" s="49" t="s">
        <v>814</v>
      </c>
      <c r="P3691" s="49" t="s">
        <v>4910</v>
      </c>
      <c r="Q3691" s="35" t="str">
        <f>MID(Tabla1[[#This Row],[Aplicación]],14,1)</f>
        <v>2</v>
      </c>
      <c r="R3691" s="35" t="s">
        <v>495</v>
      </c>
      <c r="S3691" s="35" t="str">
        <f>MID(Tabla1[[#This Row],[Aplicación]],6,2)</f>
        <v>06</v>
      </c>
      <c r="T3691" s="35" t="str">
        <f>VLOOKUP(Tabla1[[#This Row],[AREA]],Hoja1!A:B,2,FALSE)</f>
        <v>06. Educación, infancia, juventud e igualdad</v>
      </c>
      <c r="U3691" s="35" t="str">
        <f>MID(Tabla1[[#This Row],[Aplicación]],9,4)</f>
        <v>3321</v>
      </c>
      <c r="V3691" s="35" t="str">
        <f>VLOOKUP(Tabla1[[#This Row],[PROGRAMA]],Hoja1!A:B,2,FALSE)</f>
        <v>3321. Bibliotecas públicas</v>
      </c>
      <c r="W3691" s="35" t="str">
        <f>MID(Tabla1[[#This Row],[Aplicación]],14,2)</f>
        <v>21</v>
      </c>
      <c r="X3691" s="35" t="str">
        <f>MID(Tabla1[[#This Row],[Aplicación]],14,6)</f>
        <v>212</v>
      </c>
    </row>
    <row r="3692" spans="1:24" x14ac:dyDescent="0.25">
      <c r="A3692" s="45">
        <v>220210046992</v>
      </c>
      <c r="B3692" s="46" t="s">
        <v>204</v>
      </c>
      <c r="C3692" s="47">
        <v>44421</v>
      </c>
      <c r="D3692" s="45">
        <v>22021002052</v>
      </c>
      <c r="E3692" s="46" t="s">
        <v>1340</v>
      </c>
      <c r="F3692" s="48">
        <v>22.02</v>
      </c>
      <c r="G3692" s="46" t="s">
        <v>257</v>
      </c>
      <c r="H3692" s="46" t="s">
        <v>5287</v>
      </c>
      <c r="I3692" s="45" t="s">
        <v>205</v>
      </c>
      <c r="J3692" s="46" t="s">
        <v>127</v>
      </c>
      <c r="K3692" s="46" t="s">
        <v>127</v>
      </c>
      <c r="L3692" s="46" t="s">
        <v>15</v>
      </c>
      <c r="M3692" s="46" t="s">
        <v>13</v>
      </c>
      <c r="N3692" s="46" t="s">
        <v>14</v>
      </c>
      <c r="O3692" s="49" t="s">
        <v>814</v>
      </c>
      <c r="P3692" s="49" t="s">
        <v>4910</v>
      </c>
      <c r="Q3692" s="35" t="str">
        <f>MID(Tabla1[[#This Row],[Aplicación]],14,1)</f>
        <v>2</v>
      </c>
      <c r="R3692" s="35" t="s">
        <v>495</v>
      </c>
      <c r="S3692" s="35" t="str">
        <f>MID(Tabla1[[#This Row],[Aplicación]],6,2)</f>
        <v>11</v>
      </c>
      <c r="T3692" s="35" t="str">
        <f>VLOOKUP(Tabla1[[#This Row],[AREA]],Hoja1!A:B,2,FALSE)</f>
        <v>11. Salud pública y seguridad ciudadana</v>
      </c>
      <c r="U3692" s="35" t="str">
        <f>MID(Tabla1[[#This Row],[Aplicación]],9,4)</f>
        <v>1621</v>
      </c>
      <c r="V3692" s="35" t="str">
        <f>VLOOKUP(Tabla1[[#This Row],[PROGRAMA]],Hoja1!A:B,2,FALSE)</f>
        <v>1621. Servicio de limpieza</v>
      </c>
      <c r="W3692" s="35" t="str">
        <f>MID(Tabla1[[#This Row],[Aplicación]],14,2)</f>
        <v>22</v>
      </c>
      <c r="X3692" s="35" t="str">
        <f>MID(Tabla1[[#This Row],[Aplicación]],14,6)</f>
        <v>22199</v>
      </c>
    </row>
    <row r="3693" spans="1:24" x14ac:dyDescent="0.25">
      <c r="A3693" s="45">
        <v>220210046994</v>
      </c>
      <c r="B3693" s="46" t="s">
        <v>204</v>
      </c>
      <c r="C3693" s="47">
        <v>44421</v>
      </c>
      <c r="D3693" s="45">
        <v>22021002055</v>
      </c>
      <c r="E3693" s="46" t="s">
        <v>1613</v>
      </c>
      <c r="F3693" s="48">
        <v>152.86000000000001</v>
      </c>
      <c r="G3693" s="46" t="s">
        <v>257</v>
      </c>
      <c r="H3693" s="46" t="s">
        <v>5288</v>
      </c>
      <c r="I3693" s="45" t="s">
        <v>205</v>
      </c>
      <c r="J3693" s="46" t="s">
        <v>127</v>
      </c>
      <c r="K3693" s="46" t="s">
        <v>127</v>
      </c>
      <c r="L3693" s="46" t="s">
        <v>15</v>
      </c>
      <c r="M3693" s="46" t="s">
        <v>13</v>
      </c>
      <c r="N3693" s="46" t="s">
        <v>14</v>
      </c>
      <c r="O3693" s="49" t="s">
        <v>814</v>
      </c>
      <c r="P3693" s="49" t="s">
        <v>4910</v>
      </c>
      <c r="Q3693" s="35" t="str">
        <f>MID(Tabla1[[#This Row],[Aplicación]],14,1)</f>
        <v>2</v>
      </c>
      <c r="R3693" s="35" t="s">
        <v>495</v>
      </c>
      <c r="S3693" s="35" t="str">
        <f>MID(Tabla1[[#This Row],[Aplicación]],6,2)</f>
        <v>11</v>
      </c>
      <c r="T3693" s="35" t="str">
        <f>VLOOKUP(Tabla1[[#This Row],[AREA]],Hoja1!A:B,2,FALSE)</f>
        <v>11. Salud pública y seguridad ciudadana</v>
      </c>
      <c r="U3693" s="35" t="str">
        <f>MID(Tabla1[[#This Row],[Aplicación]],9,4)</f>
        <v>1631</v>
      </c>
      <c r="V3693" s="35" t="str">
        <f>VLOOKUP(Tabla1[[#This Row],[PROGRAMA]],Hoja1!A:B,2,FALSE)</f>
        <v>1631. Limpieza viaria</v>
      </c>
      <c r="W3693" s="35" t="str">
        <f>MID(Tabla1[[#This Row],[Aplicación]],14,2)</f>
        <v>22</v>
      </c>
      <c r="X3693" s="35" t="str">
        <f>MID(Tabla1[[#This Row],[Aplicación]],14,6)</f>
        <v>22104</v>
      </c>
    </row>
    <row r="3694" spans="1:24" x14ac:dyDescent="0.25">
      <c r="A3694" s="45">
        <v>220210047039</v>
      </c>
      <c r="B3694" s="46" t="s">
        <v>204</v>
      </c>
      <c r="C3694" s="47">
        <v>44421</v>
      </c>
      <c r="D3694" s="45">
        <v>22021001275</v>
      </c>
      <c r="E3694" s="46" t="s">
        <v>1334</v>
      </c>
      <c r="F3694" s="48">
        <v>413.12</v>
      </c>
      <c r="G3694" s="46" t="s">
        <v>257</v>
      </c>
      <c r="H3694" s="46" t="s">
        <v>1461</v>
      </c>
      <c r="I3694" s="45" t="s">
        <v>205</v>
      </c>
      <c r="J3694" s="46" t="s">
        <v>127</v>
      </c>
      <c r="K3694" s="46" t="s">
        <v>127</v>
      </c>
      <c r="L3694" s="46" t="s">
        <v>15</v>
      </c>
      <c r="M3694" s="46" t="s">
        <v>13</v>
      </c>
      <c r="N3694" s="46" t="s">
        <v>14</v>
      </c>
      <c r="O3694" s="49" t="s">
        <v>814</v>
      </c>
      <c r="P3694" s="49" t="s">
        <v>4910</v>
      </c>
      <c r="Q3694" s="35" t="str">
        <f>MID(Tabla1[[#This Row],[Aplicación]],14,1)</f>
        <v>2</v>
      </c>
      <c r="R3694" s="35" t="s">
        <v>495</v>
      </c>
      <c r="S3694" s="35" t="str">
        <f>MID(Tabla1[[#This Row],[Aplicación]],6,2)</f>
        <v>07</v>
      </c>
      <c r="T3694" s="35" t="str">
        <f>VLOOKUP(Tabla1[[#This Row],[AREA]],Hoja1!A:B,2,FALSE)</f>
        <v>07. Medio ambiente y desarrollo sostenible</v>
      </c>
      <c r="U3694" s="35" t="str">
        <f>MID(Tabla1[[#This Row],[Aplicación]],9,4)</f>
        <v>1711</v>
      </c>
      <c r="V3694" s="35" t="str">
        <f>VLOOKUP(Tabla1[[#This Row],[PROGRAMA]],Hoja1!A:B,2,FALSE)</f>
        <v>1711. Parques y jardines</v>
      </c>
      <c r="W3694" s="35" t="str">
        <f>MID(Tabla1[[#This Row],[Aplicación]],14,2)</f>
        <v>22</v>
      </c>
      <c r="X3694" s="35" t="str">
        <f>MID(Tabla1[[#This Row],[Aplicación]],14,6)</f>
        <v>22199</v>
      </c>
    </row>
    <row r="3695" spans="1:24" x14ac:dyDescent="0.25">
      <c r="A3695" s="45">
        <v>220210045447</v>
      </c>
      <c r="B3695" s="46" t="s">
        <v>204</v>
      </c>
      <c r="C3695" s="47">
        <v>44413</v>
      </c>
      <c r="D3695" s="45">
        <v>22021002228</v>
      </c>
      <c r="E3695" s="46" t="s">
        <v>1471</v>
      </c>
      <c r="F3695" s="48">
        <v>22.26</v>
      </c>
      <c r="G3695" s="46" t="s">
        <v>257</v>
      </c>
      <c r="H3695" s="46" t="s">
        <v>5289</v>
      </c>
      <c r="I3695" s="45" t="s">
        <v>205</v>
      </c>
      <c r="J3695" s="46" t="s">
        <v>127</v>
      </c>
      <c r="K3695" s="46" t="s">
        <v>127</v>
      </c>
      <c r="L3695" s="46" t="s">
        <v>15</v>
      </c>
      <c r="M3695" s="46" t="s">
        <v>13</v>
      </c>
      <c r="N3695" s="46" t="s">
        <v>16</v>
      </c>
      <c r="O3695" s="49" t="s">
        <v>814</v>
      </c>
      <c r="P3695" s="49" t="s">
        <v>4910</v>
      </c>
      <c r="Q3695" s="35" t="str">
        <f>MID(Tabla1[[#This Row],[Aplicación]],14,1)</f>
        <v>2</v>
      </c>
      <c r="R3695" s="35" t="s">
        <v>495</v>
      </c>
      <c r="S3695" s="35" t="str">
        <f>MID(Tabla1[[#This Row],[Aplicación]],6,2)</f>
        <v>06</v>
      </c>
      <c r="T3695" s="35" t="str">
        <f>VLOOKUP(Tabla1[[#This Row],[AREA]],Hoja1!A:B,2,FALSE)</f>
        <v>06. Educación, infancia, juventud e igualdad</v>
      </c>
      <c r="U3695" s="35" t="str">
        <f>MID(Tabla1[[#This Row],[Aplicación]],9,4)</f>
        <v>3232</v>
      </c>
      <c r="V3695" s="35" t="str">
        <f>VLOOKUP(Tabla1[[#This Row],[PROGRAMA]],Hoja1!A:B,2,FALSE)</f>
        <v>3232. Conservación y mantenimiento centros educación infantil y primaria</v>
      </c>
      <c r="W3695" s="35" t="str">
        <f>MID(Tabla1[[#This Row],[Aplicación]],14,2)</f>
        <v>21</v>
      </c>
      <c r="X3695" s="35" t="str">
        <f>MID(Tabla1[[#This Row],[Aplicación]],14,6)</f>
        <v>212</v>
      </c>
    </row>
    <row r="3696" spans="1:24" x14ac:dyDescent="0.25">
      <c r="A3696" s="45">
        <v>220210046066</v>
      </c>
      <c r="B3696" s="46" t="s">
        <v>204</v>
      </c>
      <c r="C3696" s="47">
        <v>44418</v>
      </c>
      <c r="D3696" s="45">
        <v>22021002089</v>
      </c>
      <c r="E3696" s="46" t="s">
        <v>1220</v>
      </c>
      <c r="F3696" s="48">
        <v>12.98</v>
      </c>
      <c r="G3696" s="46" t="s">
        <v>257</v>
      </c>
      <c r="H3696" s="46" t="s">
        <v>5290</v>
      </c>
      <c r="I3696" s="45" t="s">
        <v>205</v>
      </c>
      <c r="J3696" s="46" t="s">
        <v>127</v>
      </c>
      <c r="K3696" s="46" t="s">
        <v>127</v>
      </c>
      <c r="L3696" s="46" t="s">
        <v>15</v>
      </c>
      <c r="M3696" s="46" t="s">
        <v>13</v>
      </c>
      <c r="N3696" s="46" t="s">
        <v>14</v>
      </c>
      <c r="O3696" s="49" t="s">
        <v>814</v>
      </c>
      <c r="P3696" s="49" t="s">
        <v>4910</v>
      </c>
      <c r="Q3696" s="35" t="str">
        <f>MID(Tabla1[[#This Row],[Aplicación]],14,1)</f>
        <v>2</v>
      </c>
      <c r="R3696" s="35" t="s">
        <v>495</v>
      </c>
      <c r="S3696" s="35" t="str">
        <f>MID(Tabla1[[#This Row],[Aplicación]],6,2)</f>
        <v>03</v>
      </c>
      <c r="T3696" s="35" t="str">
        <f>VLOOKUP(Tabla1[[#This Row],[AREA]],Hoja1!A:B,2,FALSE)</f>
        <v>03. Participación ciudadana y deportes</v>
      </c>
      <c r="U3696" s="35" t="str">
        <f>MID(Tabla1[[#This Row],[Aplicación]],9,4)</f>
        <v>9241</v>
      </c>
      <c r="V3696" s="35" t="str">
        <f>VLOOKUP(Tabla1[[#This Row],[PROGRAMA]],Hoja1!A:B,2,FALSE)</f>
        <v>9241. Participación ciudadana</v>
      </c>
      <c r="W3696" s="35" t="str">
        <f>MID(Tabla1[[#This Row],[Aplicación]],14,2)</f>
        <v>21</v>
      </c>
      <c r="X3696" s="35" t="str">
        <f>MID(Tabla1[[#This Row],[Aplicación]],14,6)</f>
        <v>213</v>
      </c>
    </row>
    <row r="3697" spans="1:24" x14ac:dyDescent="0.25">
      <c r="A3697" s="45">
        <v>220210047001</v>
      </c>
      <c r="B3697" s="46" t="s">
        <v>204</v>
      </c>
      <c r="C3697" s="47">
        <v>44421</v>
      </c>
      <c r="D3697" s="45">
        <v>22021001038</v>
      </c>
      <c r="E3697" s="46" t="s">
        <v>844</v>
      </c>
      <c r="F3697" s="48">
        <v>51.52</v>
      </c>
      <c r="G3697" s="46" t="s">
        <v>257</v>
      </c>
      <c r="H3697" s="46" t="s">
        <v>5291</v>
      </c>
      <c r="I3697" s="45" t="s">
        <v>205</v>
      </c>
      <c r="J3697" s="46" t="s">
        <v>127</v>
      </c>
      <c r="K3697" s="46" t="s">
        <v>127</v>
      </c>
      <c r="L3697" s="46" t="s">
        <v>15</v>
      </c>
      <c r="M3697" s="46" t="s">
        <v>13</v>
      </c>
      <c r="N3697" s="46" t="s">
        <v>14</v>
      </c>
      <c r="O3697" s="49" t="s">
        <v>814</v>
      </c>
      <c r="P3697" s="49" t="s">
        <v>4910</v>
      </c>
      <c r="Q3697" s="35" t="str">
        <f>MID(Tabla1[[#This Row],[Aplicación]],14,1)</f>
        <v>2</v>
      </c>
      <c r="R3697" s="35" t="s">
        <v>495</v>
      </c>
      <c r="S3697" s="35" t="str">
        <f>MID(Tabla1[[#This Row],[Aplicación]],6,2)</f>
        <v>10</v>
      </c>
      <c r="T3697" s="35" t="str">
        <f>VLOOKUP(Tabla1[[#This Row],[AREA]],Hoja1!A:B,2,FALSE)</f>
        <v>10. Servicios sociales y mediación comunitaria</v>
      </c>
      <c r="U3697" s="35" t="str">
        <f>MID(Tabla1[[#This Row],[Aplicación]],9,4)</f>
        <v>2312</v>
      </c>
      <c r="V3697" s="35" t="str">
        <f>VLOOKUP(Tabla1[[#This Row],[PROGRAMA]],Hoja1!A:B,2,FALSE)</f>
        <v>2312. Iniciativas sociales</v>
      </c>
      <c r="W3697" s="35" t="str">
        <f>MID(Tabla1[[#This Row],[Aplicación]],14,2)</f>
        <v>21</v>
      </c>
      <c r="X3697" s="35" t="str">
        <f>MID(Tabla1[[#This Row],[Aplicación]],14,6)</f>
        <v>212</v>
      </c>
    </row>
    <row r="3698" spans="1:24" x14ac:dyDescent="0.25">
      <c r="A3698" s="45">
        <v>220210047001</v>
      </c>
      <c r="B3698" s="46" t="s">
        <v>204</v>
      </c>
      <c r="C3698" s="47">
        <v>44421</v>
      </c>
      <c r="D3698" s="45">
        <v>22021001039</v>
      </c>
      <c r="E3698" s="46" t="s">
        <v>844</v>
      </c>
      <c r="F3698" s="48">
        <v>48.6</v>
      </c>
      <c r="G3698" s="46" t="s">
        <v>257</v>
      </c>
      <c r="H3698" s="46" t="s">
        <v>5291</v>
      </c>
      <c r="I3698" s="45" t="s">
        <v>205</v>
      </c>
      <c r="J3698" s="46" t="s">
        <v>127</v>
      </c>
      <c r="K3698" s="46" t="s">
        <v>127</v>
      </c>
      <c r="L3698" s="46" t="s">
        <v>15</v>
      </c>
      <c r="M3698" s="46" t="s">
        <v>13</v>
      </c>
      <c r="N3698" s="46" t="s">
        <v>14</v>
      </c>
      <c r="O3698" s="49" t="s">
        <v>814</v>
      </c>
      <c r="P3698" s="49" t="s">
        <v>4910</v>
      </c>
      <c r="Q3698" s="35" t="str">
        <f>MID(Tabla1[[#This Row],[Aplicación]],14,1)</f>
        <v>2</v>
      </c>
      <c r="R3698" s="35" t="s">
        <v>495</v>
      </c>
      <c r="S3698" s="35" t="str">
        <f>MID(Tabla1[[#This Row],[Aplicación]],6,2)</f>
        <v>10</v>
      </c>
      <c r="T3698" s="35" t="str">
        <f>VLOOKUP(Tabla1[[#This Row],[AREA]],Hoja1!A:B,2,FALSE)</f>
        <v>10. Servicios sociales y mediación comunitaria</v>
      </c>
      <c r="U3698" s="35" t="str">
        <f>MID(Tabla1[[#This Row],[Aplicación]],9,4)</f>
        <v>2312</v>
      </c>
      <c r="V3698" s="35" t="str">
        <f>VLOOKUP(Tabla1[[#This Row],[PROGRAMA]],Hoja1!A:B,2,FALSE)</f>
        <v>2312. Iniciativas sociales</v>
      </c>
      <c r="W3698" s="35" t="str">
        <f>MID(Tabla1[[#This Row],[Aplicación]],14,2)</f>
        <v>21</v>
      </c>
      <c r="X3698" s="35" t="str">
        <f>MID(Tabla1[[#This Row],[Aplicación]],14,6)</f>
        <v>212</v>
      </c>
    </row>
    <row r="3699" spans="1:24" x14ac:dyDescent="0.25">
      <c r="A3699" s="45">
        <v>220210046986</v>
      </c>
      <c r="B3699" s="46" t="s">
        <v>204</v>
      </c>
      <c r="C3699" s="47">
        <v>44421</v>
      </c>
      <c r="D3699" s="45">
        <v>22021001169</v>
      </c>
      <c r="E3699" s="46" t="s">
        <v>1319</v>
      </c>
      <c r="F3699" s="48">
        <v>255.03</v>
      </c>
      <c r="G3699" s="46" t="s">
        <v>257</v>
      </c>
      <c r="H3699" s="46" t="s">
        <v>5292</v>
      </c>
      <c r="I3699" s="45" t="s">
        <v>205</v>
      </c>
      <c r="J3699" s="46" t="s">
        <v>127</v>
      </c>
      <c r="K3699" s="46" t="s">
        <v>127</v>
      </c>
      <c r="L3699" s="46" t="s">
        <v>15</v>
      </c>
      <c r="M3699" s="46" t="s">
        <v>13</v>
      </c>
      <c r="N3699" s="46" t="s">
        <v>14</v>
      </c>
      <c r="O3699" s="49" t="s">
        <v>814</v>
      </c>
      <c r="P3699" s="49" t="s">
        <v>4910</v>
      </c>
      <c r="Q3699" s="35" t="str">
        <f>MID(Tabla1[[#This Row],[Aplicación]],14,1)</f>
        <v>2</v>
      </c>
      <c r="R3699" s="35" t="s">
        <v>495</v>
      </c>
      <c r="S3699" s="35" t="str">
        <f>MID(Tabla1[[#This Row],[Aplicación]],6,2)</f>
        <v>10</v>
      </c>
      <c r="T3699" s="35" t="str">
        <f>VLOOKUP(Tabla1[[#This Row],[AREA]],Hoja1!A:B,2,FALSE)</f>
        <v>10. Servicios sociales y mediación comunitaria</v>
      </c>
      <c r="U3699" s="35" t="str">
        <f>MID(Tabla1[[#This Row],[Aplicación]],9,4)</f>
        <v>2412</v>
      </c>
      <c r="V3699" s="35" t="str">
        <f>VLOOKUP(Tabla1[[#This Row],[PROGRAMA]],Hoja1!A:B,2,FALSE)</f>
        <v>2412. Formación para el empleo</v>
      </c>
      <c r="W3699" s="35" t="str">
        <f>MID(Tabla1[[#This Row],[Aplicación]],14,2)</f>
        <v>21</v>
      </c>
      <c r="X3699" s="35" t="str">
        <f>MID(Tabla1[[#This Row],[Aplicación]],14,6)</f>
        <v>212</v>
      </c>
    </row>
    <row r="3700" spans="1:24" x14ac:dyDescent="0.25">
      <c r="A3700" s="45">
        <v>220210046988</v>
      </c>
      <c r="B3700" s="46" t="s">
        <v>204</v>
      </c>
      <c r="C3700" s="47">
        <v>44421</v>
      </c>
      <c r="D3700" s="45">
        <v>22021001183</v>
      </c>
      <c r="E3700" s="46" t="s">
        <v>873</v>
      </c>
      <c r="F3700" s="48">
        <v>47.98</v>
      </c>
      <c r="G3700" s="46" t="s">
        <v>257</v>
      </c>
      <c r="H3700" s="46" t="s">
        <v>5293</v>
      </c>
      <c r="I3700" s="45" t="s">
        <v>205</v>
      </c>
      <c r="J3700" s="46" t="s">
        <v>127</v>
      </c>
      <c r="K3700" s="46" t="s">
        <v>127</v>
      </c>
      <c r="L3700" s="46" t="s">
        <v>15</v>
      </c>
      <c r="M3700" s="46" t="s">
        <v>13</v>
      </c>
      <c r="N3700" s="46" t="s">
        <v>14</v>
      </c>
      <c r="O3700" s="49" t="s">
        <v>814</v>
      </c>
      <c r="P3700" s="49" t="s">
        <v>4910</v>
      </c>
      <c r="Q3700" s="35" t="str">
        <f>MID(Tabla1[[#This Row],[Aplicación]],14,1)</f>
        <v>2</v>
      </c>
      <c r="R3700" s="35" t="s">
        <v>495</v>
      </c>
      <c r="S3700" s="35" t="str">
        <f>MID(Tabla1[[#This Row],[Aplicación]],6,2)</f>
        <v>10</v>
      </c>
      <c r="T3700" s="35" t="str">
        <f>VLOOKUP(Tabla1[[#This Row],[AREA]],Hoja1!A:B,2,FALSE)</f>
        <v>10. Servicios sociales y mediación comunitaria</v>
      </c>
      <c r="U3700" s="35" t="str">
        <f>MID(Tabla1[[#This Row],[Aplicación]],9,4)</f>
        <v>2412</v>
      </c>
      <c r="V3700" s="35" t="str">
        <f>VLOOKUP(Tabla1[[#This Row],[PROGRAMA]],Hoja1!A:B,2,FALSE)</f>
        <v>2412. Formación para el empleo</v>
      </c>
      <c r="W3700" s="35" t="str">
        <f>MID(Tabla1[[#This Row],[Aplicación]],14,2)</f>
        <v>22</v>
      </c>
      <c r="X3700" s="35" t="str">
        <f>MID(Tabla1[[#This Row],[Aplicación]],14,6)</f>
        <v>22199</v>
      </c>
    </row>
    <row r="3701" spans="1:24" x14ac:dyDescent="0.25">
      <c r="A3701" s="45">
        <v>220210046061</v>
      </c>
      <c r="B3701" s="46" t="s">
        <v>204</v>
      </c>
      <c r="C3701" s="47">
        <v>44418</v>
      </c>
      <c r="D3701" s="45">
        <v>22021002228</v>
      </c>
      <c r="E3701" s="46" t="s">
        <v>1471</v>
      </c>
      <c r="F3701" s="48">
        <v>131.71</v>
      </c>
      <c r="G3701" s="46" t="s">
        <v>257</v>
      </c>
      <c r="H3701" s="46" t="s">
        <v>5294</v>
      </c>
      <c r="I3701" s="45" t="s">
        <v>205</v>
      </c>
      <c r="J3701" s="46" t="s">
        <v>127</v>
      </c>
      <c r="K3701" s="46" t="s">
        <v>127</v>
      </c>
      <c r="L3701" s="46" t="s">
        <v>15</v>
      </c>
      <c r="M3701" s="46" t="s">
        <v>13</v>
      </c>
      <c r="N3701" s="46" t="s">
        <v>16</v>
      </c>
      <c r="O3701" s="49" t="s">
        <v>814</v>
      </c>
      <c r="P3701" s="49" t="s">
        <v>4910</v>
      </c>
      <c r="Q3701" s="35" t="str">
        <f>MID(Tabla1[[#This Row],[Aplicación]],14,1)</f>
        <v>2</v>
      </c>
      <c r="R3701" s="35" t="s">
        <v>495</v>
      </c>
      <c r="S3701" s="35" t="str">
        <f>MID(Tabla1[[#This Row],[Aplicación]],6,2)</f>
        <v>06</v>
      </c>
      <c r="T3701" s="35" t="str">
        <f>VLOOKUP(Tabla1[[#This Row],[AREA]],Hoja1!A:B,2,FALSE)</f>
        <v>06. Educación, infancia, juventud e igualdad</v>
      </c>
      <c r="U3701" s="35" t="str">
        <f>MID(Tabla1[[#This Row],[Aplicación]],9,4)</f>
        <v>3232</v>
      </c>
      <c r="V3701" s="35" t="str">
        <f>VLOOKUP(Tabla1[[#This Row],[PROGRAMA]],Hoja1!A:B,2,FALSE)</f>
        <v>3232. Conservación y mantenimiento centros educación infantil y primaria</v>
      </c>
      <c r="W3701" s="35" t="str">
        <f>MID(Tabla1[[#This Row],[Aplicación]],14,2)</f>
        <v>21</v>
      </c>
      <c r="X3701" s="35" t="str">
        <f>MID(Tabla1[[#This Row],[Aplicación]],14,6)</f>
        <v>212</v>
      </c>
    </row>
    <row r="3702" spans="1:24" x14ac:dyDescent="0.25">
      <c r="A3702" s="45">
        <v>220210047102</v>
      </c>
      <c r="B3702" s="46" t="s">
        <v>9</v>
      </c>
      <c r="C3702" s="47">
        <v>44421</v>
      </c>
      <c r="D3702" s="45">
        <v>22021006063</v>
      </c>
      <c r="E3702" s="46" t="s">
        <v>3325</v>
      </c>
      <c r="F3702" s="48">
        <v>3827.84</v>
      </c>
      <c r="G3702" s="46" t="s">
        <v>257</v>
      </c>
      <c r="H3702" s="46" t="s">
        <v>5295</v>
      </c>
      <c r="I3702" s="45" t="s">
        <v>125</v>
      </c>
      <c r="J3702" s="46" t="s">
        <v>127</v>
      </c>
      <c r="K3702" s="46" t="s">
        <v>127</v>
      </c>
      <c r="L3702" s="46" t="s">
        <v>15</v>
      </c>
      <c r="M3702" s="46" t="s">
        <v>10</v>
      </c>
      <c r="N3702" s="46" t="s">
        <v>11</v>
      </c>
      <c r="O3702" s="49" t="s">
        <v>815</v>
      </c>
      <c r="P3702" s="49" t="s">
        <v>4910</v>
      </c>
      <c r="Q3702" s="35" t="str">
        <f>MID(Tabla1[[#This Row],[Aplicación]],14,1)</f>
        <v>2</v>
      </c>
      <c r="R3702" s="35" t="s">
        <v>495</v>
      </c>
      <c r="S3702" s="35" t="str">
        <f>MID(Tabla1[[#This Row],[Aplicación]],6,2)</f>
        <v>08</v>
      </c>
      <c r="T3702" s="35" t="str">
        <f>VLOOKUP(Tabla1[[#This Row],[AREA]],Hoja1!A:B,2,FALSE)</f>
        <v>08. Movilidad y espacio urbano</v>
      </c>
      <c r="U3702" s="35" t="str">
        <f>MID(Tabla1[[#This Row],[Aplicación]],9,4)</f>
        <v>1532</v>
      </c>
      <c r="V3702" s="35" t="str">
        <f>VLOOKUP(Tabla1[[#This Row],[PROGRAMA]],Hoja1!A:B,2,FALSE)</f>
        <v>1532. Pavimentación vias públicas y otros servicios urbanísticos</v>
      </c>
      <c r="W3702" s="35" t="str">
        <f>MID(Tabla1[[#This Row],[Aplicación]],14,2)</f>
        <v>22</v>
      </c>
      <c r="X3702" s="35" t="str">
        <f>MID(Tabla1[[#This Row],[Aplicación]],14,6)</f>
        <v>22104</v>
      </c>
    </row>
    <row r="3703" spans="1:24" x14ac:dyDescent="0.25">
      <c r="A3703" s="45">
        <v>220210051076</v>
      </c>
      <c r="B3703" s="46" t="s">
        <v>204</v>
      </c>
      <c r="C3703" s="47">
        <v>44448</v>
      </c>
      <c r="D3703" s="45">
        <v>22021002132</v>
      </c>
      <c r="E3703" s="46" t="s">
        <v>1180</v>
      </c>
      <c r="F3703" s="48">
        <v>2223.42</v>
      </c>
      <c r="G3703" s="46" t="s">
        <v>257</v>
      </c>
      <c r="H3703" s="46" t="s">
        <v>5296</v>
      </c>
      <c r="I3703" s="45" t="s">
        <v>205</v>
      </c>
      <c r="J3703" s="46" t="s">
        <v>127</v>
      </c>
      <c r="K3703" s="46" t="s">
        <v>127</v>
      </c>
      <c r="L3703" s="46" t="s">
        <v>15</v>
      </c>
      <c r="M3703" s="46" t="s">
        <v>13</v>
      </c>
      <c r="N3703" s="46" t="s">
        <v>14</v>
      </c>
      <c r="O3703" s="49" t="s">
        <v>814</v>
      </c>
      <c r="P3703" s="49" t="s">
        <v>4910</v>
      </c>
      <c r="Q3703" s="35" t="str">
        <f>MID(Tabla1[[#This Row],[Aplicación]],14,1)</f>
        <v>2</v>
      </c>
      <c r="R3703" s="35" t="s">
        <v>495</v>
      </c>
      <c r="S3703" s="35" t="str">
        <f>MID(Tabla1[[#This Row],[Aplicación]],6,2)</f>
        <v>08</v>
      </c>
      <c r="T3703" s="35" t="str">
        <f>VLOOKUP(Tabla1[[#This Row],[AREA]],Hoja1!A:B,2,FALSE)</f>
        <v>08. Movilidad y espacio urbano</v>
      </c>
      <c r="U3703" s="35" t="str">
        <f>MID(Tabla1[[#This Row],[Aplicación]],9,4)</f>
        <v>1532</v>
      </c>
      <c r="V3703" s="35" t="str">
        <f>VLOOKUP(Tabla1[[#This Row],[PROGRAMA]],Hoja1!A:B,2,FALSE)</f>
        <v>1532. Pavimentación vias públicas y otros servicios urbanísticos</v>
      </c>
      <c r="W3703" s="35" t="str">
        <f>MID(Tabla1[[#This Row],[Aplicación]],14,2)</f>
        <v>21</v>
      </c>
      <c r="X3703" s="35" t="str">
        <f>MID(Tabla1[[#This Row],[Aplicación]],14,6)</f>
        <v>210</v>
      </c>
    </row>
    <row r="3704" spans="1:24" x14ac:dyDescent="0.25">
      <c r="A3704" s="45">
        <v>220210051177</v>
      </c>
      <c r="B3704" s="46" t="s">
        <v>204</v>
      </c>
      <c r="C3704" s="47">
        <v>44448</v>
      </c>
      <c r="D3704" s="45">
        <v>22021002055</v>
      </c>
      <c r="E3704" s="46" t="s">
        <v>1613</v>
      </c>
      <c r="F3704" s="48">
        <v>187.22</v>
      </c>
      <c r="G3704" s="46" t="s">
        <v>257</v>
      </c>
      <c r="H3704" s="46" t="s">
        <v>5297</v>
      </c>
      <c r="I3704" s="45" t="s">
        <v>205</v>
      </c>
      <c r="J3704" s="46" t="s">
        <v>127</v>
      </c>
      <c r="K3704" s="46" t="s">
        <v>127</v>
      </c>
      <c r="L3704" s="46" t="s">
        <v>15</v>
      </c>
      <c r="M3704" s="46" t="s">
        <v>13</v>
      </c>
      <c r="N3704" s="46" t="s">
        <v>14</v>
      </c>
      <c r="O3704" s="49" t="s">
        <v>814</v>
      </c>
      <c r="P3704" s="49" t="s">
        <v>4910</v>
      </c>
      <c r="Q3704" s="35" t="str">
        <f>MID(Tabla1[[#This Row],[Aplicación]],14,1)</f>
        <v>2</v>
      </c>
      <c r="R3704" s="35" t="s">
        <v>495</v>
      </c>
      <c r="S3704" s="35" t="str">
        <f>MID(Tabla1[[#This Row],[Aplicación]],6,2)</f>
        <v>11</v>
      </c>
      <c r="T3704" s="35" t="str">
        <f>VLOOKUP(Tabla1[[#This Row],[AREA]],Hoja1!A:B,2,FALSE)</f>
        <v>11. Salud pública y seguridad ciudadana</v>
      </c>
      <c r="U3704" s="35" t="str">
        <f>MID(Tabla1[[#This Row],[Aplicación]],9,4)</f>
        <v>1631</v>
      </c>
      <c r="V3704" s="35" t="str">
        <f>VLOOKUP(Tabla1[[#This Row],[PROGRAMA]],Hoja1!A:B,2,FALSE)</f>
        <v>1631. Limpieza viaria</v>
      </c>
      <c r="W3704" s="35" t="str">
        <f>MID(Tabla1[[#This Row],[Aplicación]],14,2)</f>
        <v>22</v>
      </c>
      <c r="X3704" s="35" t="str">
        <f>MID(Tabla1[[#This Row],[Aplicación]],14,6)</f>
        <v>22104</v>
      </c>
    </row>
    <row r="3705" spans="1:24" x14ac:dyDescent="0.25">
      <c r="A3705" s="45">
        <v>220210051215</v>
      </c>
      <c r="B3705" s="46" t="s">
        <v>204</v>
      </c>
      <c r="C3705" s="47">
        <v>44448</v>
      </c>
      <c r="D3705" s="45">
        <v>22021002228</v>
      </c>
      <c r="E3705" s="46" t="s">
        <v>1471</v>
      </c>
      <c r="F3705" s="48">
        <v>76.75</v>
      </c>
      <c r="G3705" s="46" t="s">
        <v>257</v>
      </c>
      <c r="H3705" s="46" t="s">
        <v>5298</v>
      </c>
      <c r="I3705" s="45" t="s">
        <v>205</v>
      </c>
      <c r="J3705" s="46" t="s">
        <v>127</v>
      </c>
      <c r="K3705" s="46" t="s">
        <v>127</v>
      </c>
      <c r="L3705" s="46" t="s">
        <v>15</v>
      </c>
      <c r="M3705" s="46" t="s">
        <v>13</v>
      </c>
      <c r="N3705" s="46" t="s">
        <v>16</v>
      </c>
      <c r="O3705" s="49" t="s">
        <v>814</v>
      </c>
      <c r="P3705" s="49" t="s">
        <v>4910</v>
      </c>
      <c r="Q3705" s="35" t="str">
        <f>MID(Tabla1[[#This Row],[Aplicación]],14,1)</f>
        <v>2</v>
      </c>
      <c r="R3705" s="35" t="s">
        <v>495</v>
      </c>
      <c r="S3705" s="35" t="str">
        <f>MID(Tabla1[[#This Row],[Aplicación]],6,2)</f>
        <v>06</v>
      </c>
      <c r="T3705" s="35" t="str">
        <f>VLOOKUP(Tabla1[[#This Row],[AREA]],Hoja1!A:B,2,FALSE)</f>
        <v>06. Educación, infancia, juventud e igualdad</v>
      </c>
      <c r="U3705" s="35" t="str">
        <f>MID(Tabla1[[#This Row],[Aplicación]],9,4)</f>
        <v>3232</v>
      </c>
      <c r="V3705" s="35" t="str">
        <f>VLOOKUP(Tabla1[[#This Row],[PROGRAMA]],Hoja1!A:B,2,FALSE)</f>
        <v>3232. Conservación y mantenimiento centros educación infantil y primaria</v>
      </c>
      <c r="W3705" s="35" t="str">
        <f>MID(Tabla1[[#This Row],[Aplicación]],14,2)</f>
        <v>21</v>
      </c>
      <c r="X3705" s="35" t="str">
        <f>MID(Tabla1[[#This Row],[Aplicación]],14,6)</f>
        <v>212</v>
      </c>
    </row>
    <row r="3706" spans="1:24" x14ac:dyDescent="0.25">
      <c r="A3706" s="45">
        <v>220210048786</v>
      </c>
      <c r="B3706" s="46" t="s">
        <v>204</v>
      </c>
      <c r="C3706" s="47">
        <v>44428</v>
      </c>
      <c r="D3706" s="45">
        <v>22021002369</v>
      </c>
      <c r="E3706" s="46" t="s">
        <v>1336</v>
      </c>
      <c r="F3706" s="48">
        <v>70.48</v>
      </c>
      <c r="G3706" s="46" t="s">
        <v>257</v>
      </c>
      <c r="H3706" s="46" t="s">
        <v>5299</v>
      </c>
      <c r="I3706" s="45" t="s">
        <v>205</v>
      </c>
      <c r="J3706" s="46" t="s">
        <v>127</v>
      </c>
      <c r="K3706" s="46" t="s">
        <v>127</v>
      </c>
      <c r="L3706" s="46" t="s">
        <v>15</v>
      </c>
      <c r="M3706" s="46" t="s">
        <v>13</v>
      </c>
      <c r="N3706" s="46" t="s">
        <v>14</v>
      </c>
      <c r="O3706" s="49" t="s">
        <v>814</v>
      </c>
      <c r="P3706" s="49" t="s">
        <v>4910</v>
      </c>
      <c r="Q3706" s="35" t="str">
        <f>MID(Tabla1[[#This Row],[Aplicación]],14,1)</f>
        <v>2</v>
      </c>
      <c r="R3706" s="35" t="s">
        <v>495</v>
      </c>
      <c r="S3706" s="35" t="str">
        <f>MID(Tabla1[[#This Row],[Aplicación]],6,2)</f>
        <v>02</v>
      </c>
      <c r="T3706" s="35" t="str">
        <f>VLOOKUP(Tabla1[[#This Row],[AREA]],Hoja1!A:B,2,FALSE)</f>
        <v>02. Planeamiento urbanístico y vivienda</v>
      </c>
      <c r="U3706" s="35" t="str">
        <f>MID(Tabla1[[#This Row],[Aplicación]],9,4)</f>
        <v>9332</v>
      </c>
      <c r="V3706" s="35" t="str">
        <f>VLOOKUP(Tabla1[[#This Row],[PROGRAMA]],Hoja1!A:B,2,FALSE)</f>
        <v>9332. Mantenimiento de edificios e instalaciones municipales</v>
      </c>
      <c r="W3706" s="35" t="str">
        <f>MID(Tabla1[[#This Row],[Aplicación]],14,2)</f>
        <v>21</v>
      </c>
      <c r="X3706" s="35" t="str">
        <f>MID(Tabla1[[#This Row],[Aplicación]],14,6)</f>
        <v>212</v>
      </c>
    </row>
    <row r="3707" spans="1:24" x14ac:dyDescent="0.25">
      <c r="A3707" s="45">
        <v>220210048528</v>
      </c>
      <c r="B3707" s="46" t="s">
        <v>9</v>
      </c>
      <c r="C3707" s="47">
        <v>44428</v>
      </c>
      <c r="D3707" s="45">
        <v>22021006104</v>
      </c>
      <c r="E3707" s="46" t="s">
        <v>2563</v>
      </c>
      <c r="F3707" s="48">
        <v>67.650000000000006</v>
      </c>
      <c r="G3707" s="46" t="s">
        <v>257</v>
      </c>
      <c r="H3707" s="46" t="s">
        <v>5300</v>
      </c>
      <c r="I3707" s="45" t="s">
        <v>125</v>
      </c>
      <c r="J3707" s="46" t="s">
        <v>127</v>
      </c>
      <c r="K3707" s="46" t="s">
        <v>127</v>
      </c>
      <c r="L3707" s="46" t="s">
        <v>15</v>
      </c>
      <c r="M3707" s="46" t="s">
        <v>10</v>
      </c>
      <c r="N3707" s="46" t="s">
        <v>11</v>
      </c>
      <c r="O3707" s="49" t="s">
        <v>815</v>
      </c>
      <c r="P3707" s="49" t="s">
        <v>4910</v>
      </c>
      <c r="Q3707" s="35" t="str">
        <f>MID(Tabla1[[#This Row],[Aplicación]],14,1)</f>
        <v>2</v>
      </c>
      <c r="R3707" s="35" t="s">
        <v>495</v>
      </c>
      <c r="S3707" s="35" t="str">
        <f>MID(Tabla1[[#This Row],[Aplicación]],6,2)</f>
        <v>10</v>
      </c>
      <c r="T3707" s="35" t="str">
        <f>VLOOKUP(Tabla1[[#This Row],[AREA]],Hoja1!A:B,2,FALSE)</f>
        <v>10. Servicios sociales y mediación comunitaria</v>
      </c>
      <c r="U3707" s="35" t="str">
        <f>MID(Tabla1[[#This Row],[Aplicación]],9,4)</f>
        <v>2412</v>
      </c>
      <c r="V3707" s="35" t="str">
        <f>VLOOKUP(Tabla1[[#This Row],[PROGRAMA]],Hoja1!A:B,2,FALSE)</f>
        <v>2412. Formación para el empleo</v>
      </c>
      <c r="W3707" s="35" t="str">
        <f>MID(Tabla1[[#This Row],[Aplicación]],14,2)</f>
        <v>22</v>
      </c>
      <c r="X3707" s="35" t="str">
        <f>MID(Tabla1[[#This Row],[Aplicación]],14,6)</f>
        <v>22699</v>
      </c>
    </row>
    <row r="3708" spans="1:24" x14ac:dyDescent="0.25">
      <c r="A3708" s="45">
        <v>220210048676</v>
      </c>
      <c r="B3708" s="46" t="s">
        <v>204</v>
      </c>
      <c r="C3708" s="47">
        <v>44428</v>
      </c>
      <c r="D3708" s="45">
        <v>22021002088</v>
      </c>
      <c r="E3708" s="46" t="s">
        <v>1478</v>
      </c>
      <c r="F3708" s="48">
        <v>4.33</v>
      </c>
      <c r="G3708" s="46" t="s">
        <v>257</v>
      </c>
      <c r="H3708" s="46" t="s">
        <v>5301</v>
      </c>
      <c r="I3708" s="45" t="s">
        <v>205</v>
      </c>
      <c r="J3708" s="46" t="s">
        <v>127</v>
      </c>
      <c r="K3708" s="46" t="s">
        <v>127</v>
      </c>
      <c r="L3708" s="46" t="s">
        <v>15</v>
      </c>
      <c r="M3708" s="46" t="s">
        <v>13</v>
      </c>
      <c r="N3708" s="46" t="s">
        <v>14</v>
      </c>
      <c r="O3708" s="49" t="s">
        <v>814</v>
      </c>
      <c r="P3708" s="49" t="s">
        <v>4910</v>
      </c>
      <c r="Q3708" s="35" t="str">
        <f>MID(Tabla1[[#This Row],[Aplicación]],14,1)</f>
        <v>2</v>
      </c>
      <c r="R3708" s="35" t="s">
        <v>495</v>
      </c>
      <c r="S3708" s="35" t="str">
        <f>MID(Tabla1[[#This Row],[Aplicación]],6,2)</f>
        <v>03</v>
      </c>
      <c r="T3708" s="35" t="str">
        <f>VLOOKUP(Tabla1[[#This Row],[AREA]],Hoja1!A:B,2,FALSE)</f>
        <v>03. Participación ciudadana y deportes</v>
      </c>
      <c r="U3708" s="35" t="str">
        <f>MID(Tabla1[[#This Row],[Aplicación]],9,4)</f>
        <v>9241</v>
      </c>
      <c r="V3708" s="35" t="str">
        <f>VLOOKUP(Tabla1[[#This Row],[PROGRAMA]],Hoja1!A:B,2,FALSE)</f>
        <v>9241. Participación ciudadana</v>
      </c>
      <c r="W3708" s="35" t="str">
        <f>MID(Tabla1[[#This Row],[Aplicación]],14,2)</f>
        <v>21</v>
      </c>
      <c r="X3708" s="35" t="str">
        <f>MID(Tabla1[[#This Row],[Aplicación]],14,6)</f>
        <v>212</v>
      </c>
    </row>
    <row r="3709" spans="1:24" x14ac:dyDescent="0.25">
      <c r="A3709" s="45">
        <v>220210049417</v>
      </c>
      <c r="B3709" s="46" t="s">
        <v>9</v>
      </c>
      <c r="C3709" s="47">
        <v>44432</v>
      </c>
      <c r="D3709" s="45">
        <v>22021006165</v>
      </c>
      <c r="E3709" s="46" t="s">
        <v>818</v>
      </c>
      <c r="F3709" s="48">
        <v>2000</v>
      </c>
      <c r="G3709" s="46" t="s">
        <v>5302</v>
      </c>
      <c r="H3709" s="46" t="s">
        <v>5303</v>
      </c>
      <c r="I3709" s="45" t="s">
        <v>125</v>
      </c>
      <c r="J3709" s="46" t="s">
        <v>127</v>
      </c>
      <c r="K3709" s="46" t="s">
        <v>127</v>
      </c>
      <c r="L3709" s="46" t="s">
        <v>12</v>
      </c>
      <c r="M3709" s="46" t="s">
        <v>10</v>
      </c>
      <c r="N3709" s="46" t="s">
        <v>11</v>
      </c>
      <c r="O3709" s="49" t="s">
        <v>815</v>
      </c>
      <c r="P3709" s="49" t="s">
        <v>4910</v>
      </c>
      <c r="Q3709" s="35" t="str">
        <f>MID(Tabla1[[#This Row],[Aplicación]],14,1)</f>
        <v>2</v>
      </c>
      <c r="R3709" s="35" t="s">
        <v>495</v>
      </c>
      <c r="S3709" s="35" t="str">
        <f>MID(Tabla1[[#This Row],[Aplicación]],6,2)</f>
        <v>09</v>
      </c>
      <c r="T3709" s="35" t="str">
        <f>VLOOKUP(Tabla1[[#This Row],[AREA]],Hoja1!A:B,2,FALSE)</f>
        <v>09. Cultura y turismo</v>
      </c>
      <c r="U3709" s="35" t="str">
        <f>MID(Tabla1[[#This Row],[Aplicación]],9,4)</f>
        <v>3341</v>
      </c>
      <c r="V3709" s="35" t="str">
        <f>VLOOKUP(Tabla1[[#This Row],[PROGRAMA]],Hoja1!A:B,2,FALSE)</f>
        <v>3341. Coordinación de políticas culturales</v>
      </c>
      <c r="W3709" s="35" t="str">
        <f>MID(Tabla1[[#This Row],[Aplicación]],14,2)</f>
        <v>22</v>
      </c>
      <c r="X3709" s="35" t="str">
        <f>MID(Tabla1[[#This Row],[Aplicación]],14,6)</f>
        <v>22609</v>
      </c>
    </row>
    <row r="3710" spans="1:24" x14ac:dyDescent="0.25">
      <c r="A3710" s="45">
        <v>220210037250</v>
      </c>
      <c r="B3710" s="46" t="s">
        <v>9</v>
      </c>
      <c r="C3710" s="47">
        <v>44391</v>
      </c>
      <c r="D3710" s="45">
        <v>22021005528</v>
      </c>
      <c r="E3710" s="46" t="s">
        <v>1617</v>
      </c>
      <c r="F3710" s="48">
        <v>7260</v>
      </c>
      <c r="G3710" s="46" t="s">
        <v>65</v>
      </c>
      <c r="H3710" s="46" t="s">
        <v>5304</v>
      </c>
      <c r="I3710" s="45" t="s">
        <v>125</v>
      </c>
      <c r="J3710" s="46" t="s">
        <v>127</v>
      </c>
      <c r="K3710" s="46" t="s">
        <v>127</v>
      </c>
      <c r="L3710" s="46" t="s">
        <v>17</v>
      </c>
      <c r="M3710" s="46" t="s">
        <v>10</v>
      </c>
      <c r="N3710" s="46" t="s">
        <v>11</v>
      </c>
      <c r="O3710" s="49" t="s">
        <v>815</v>
      </c>
      <c r="P3710" s="49" t="s">
        <v>4910</v>
      </c>
      <c r="Q3710" s="35" t="str">
        <f>MID(Tabla1[[#This Row],[Aplicación]],14,1)</f>
        <v>2</v>
      </c>
      <c r="R3710" s="35" t="s">
        <v>495</v>
      </c>
      <c r="S3710" s="35" t="str">
        <f>MID(Tabla1[[#This Row],[Aplicación]],6,2)</f>
        <v>05</v>
      </c>
      <c r="T3710" s="35" t="str">
        <f>VLOOKUP(Tabla1[[#This Row],[AREA]],Hoja1!A:B,2,FALSE)</f>
        <v>05. Innovación, desarrollo económico, empleo y comercio</v>
      </c>
      <c r="U3710" s="35" t="str">
        <f>MID(Tabla1[[#This Row],[Aplicación]],9,4)</f>
        <v>4331</v>
      </c>
      <c r="V3710" s="35" t="str">
        <f>VLOOKUP(Tabla1[[#This Row],[PROGRAMA]],Hoja1!A:B,2,FALSE)</f>
        <v>4331. Desarrollo empresarial</v>
      </c>
      <c r="W3710" s="35" t="str">
        <f>MID(Tabla1[[#This Row],[Aplicación]],14,2)</f>
        <v>22</v>
      </c>
      <c r="X3710" s="35" t="str">
        <f>MID(Tabla1[[#This Row],[Aplicación]],14,6)</f>
        <v>22602</v>
      </c>
    </row>
    <row r="3711" spans="1:24" x14ac:dyDescent="0.25">
      <c r="A3711" s="45">
        <v>220210039685</v>
      </c>
      <c r="B3711" s="46" t="s">
        <v>9</v>
      </c>
      <c r="C3711" s="47">
        <v>44393</v>
      </c>
      <c r="D3711" s="45">
        <v>22021005721</v>
      </c>
      <c r="E3711" s="46" t="s">
        <v>1187</v>
      </c>
      <c r="F3711" s="48">
        <v>4840</v>
      </c>
      <c r="G3711" s="46" t="s">
        <v>65</v>
      </c>
      <c r="H3711" s="46" t="s">
        <v>5305</v>
      </c>
      <c r="I3711" s="45" t="s">
        <v>125</v>
      </c>
      <c r="J3711" s="46" t="s">
        <v>127</v>
      </c>
      <c r="K3711" s="46" t="s">
        <v>127</v>
      </c>
      <c r="L3711" s="46" t="s">
        <v>12</v>
      </c>
      <c r="M3711" s="46" t="s">
        <v>10</v>
      </c>
      <c r="N3711" s="46" t="s">
        <v>11</v>
      </c>
      <c r="O3711" s="49" t="s">
        <v>815</v>
      </c>
      <c r="P3711" s="49" t="s">
        <v>4910</v>
      </c>
      <c r="Q3711" s="35" t="str">
        <f>MID(Tabla1[[#This Row],[Aplicación]],14,1)</f>
        <v>2</v>
      </c>
      <c r="R3711" s="35" t="s">
        <v>495</v>
      </c>
      <c r="S3711" s="35" t="str">
        <f>MID(Tabla1[[#This Row],[Aplicación]],6,2)</f>
        <v>06</v>
      </c>
      <c r="T3711" s="35" t="str">
        <f>VLOOKUP(Tabla1[[#This Row],[AREA]],Hoja1!A:B,2,FALSE)</f>
        <v>06. Educación, infancia, juventud e igualdad</v>
      </c>
      <c r="U3711" s="35" t="str">
        <f>MID(Tabla1[[#This Row],[Aplicación]],9,4)</f>
        <v>2315</v>
      </c>
      <c r="V3711" s="35" t="str">
        <f>VLOOKUP(Tabla1[[#This Row],[PROGRAMA]],Hoja1!A:B,2,FALSE)</f>
        <v>2315. Políticas de Igualdad e infancia</v>
      </c>
      <c r="W3711" s="35" t="str">
        <f>MID(Tabla1[[#This Row],[Aplicación]],14,2)</f>
        <v>22</v>
      </c>
      <c r="X3711" s="35" t="str">
        <f>MID(Tabla1[[#This Row],[Aplicación]],14,6)</f>
        <v>22611</v>
      </c>
    </row>
    <row r="3712" spans="1:24" x14ac:dyDescent="0.25">
      <c r="A3712" s="45">
        <v>220210036636</v>
      </c>
      <c r="B3712" s="46" t="s">
        <v>9</v>
      </c>
      <c r="C3712" s="47">
        <v>44385</v>
      </c>
      <c r="D3712" s="45">
        <v>22021005555</v>
      </c>
      <c r="E3712" s="46" t="s">
        <v>2513</v>
      </c>
      <c r="F3712" s="48">
        <v>3630</v>
      </c>
      <c r="G3712" s="46" t="s">
        <v>65</v>
      </c>
      <c r="H3712" s="46" t="s">
        <v>5306</v>
      </c>
      <c r="I3712" s="45" t="s">
        <v>125</v>
      </c>
      <c r="J3712" s="46" t="s">
        <v>127</v>
      </c>
      <c r="K3712" s="46" t="s">
        <v>127</v>
      </c>
      <c r="L3712" s="46" t="s">
        <v>12</v>
      </c>
      <c r="M3712" s="46" t="s">
        <v>10</v>
      </c>
      <c r="N3712" s="46" t="s">
        <v>11</v>
      </c>
      <c r="O3712" s="49" t="s">
        <v>815</v>
      </c>
      <c r="P3712" s="49" t="s">
        <v>4910</v>
      </c>
      <c r="Q3712" s="35" t="str">
        <f>MID(Tabla1[[#This Row],[Aplicación]],14,1)</f>
        <v>2</v>
      </c>
      <c r="R3712" s="35" t="s">
        <v>495</v>
      </c>
      <c r="S3712" s="35" t="str">
        <f>MID(Tabla1[[#This Row],[Aplicación]],6,2)</f>
        <v>05</v>
      </c>
      <c r="T3712" s="35" t="str">
        <f>VLOOKUP(Tabla1[[#This Row],[AREA]],Hoja1!A:B,2,FALSE)</f>
        <v>05. Innovación, desarrollo económico, empleo y comercio</v>
      </c>
      <c r="U3712" s="35" t="str">
        <f>MID(Tabla1[[#This Row],[Aplicación]],9,4)</f>
        <v>4314</v>
      </c>
      <c r="V3712" s="35" t="str">
        <f>VLOOKUP(Tabla1[[#This Row],[PROGRAMA]],Hoja1!A:B,2,FALSE)</f>
        <v>4314. Fomento del comercio</v>
      </c>
      <c r="W3712" s="35" t="str">
        <f>MID(Tabla1[[#This Row],[Aplicación]],14,2)</f>
        <v>22</v>
      </c>
      <c r="X3712" s="35" t="str">
        <f>MID(Tabla1[[#This Row],[Aplicación]],14,6)</f>
        <v>22602</v>
      </c>
    </row>
    <row r="3713" spans="1:24" x14ac:dyDescent="0.25">
      <c r="A3713" s="45">
        <v>220210036635</v>
      </c>
      <c r="B3713" s="46" t="s">
        <v>9</v>
      </c>
      <c r="C3713" s="47">
        <v>44385</v>
      </c>
      <c r="D3713" s="45">
        <v>22021005546</v>
      </c>
      <c r="E3713" s="46" t="s">
        <v>5307</v>
      </c>
      <c r="F3713" s="48">
        <v>2541</v>
      </c>
      <c r="G3713" s="46" t="s">
        <v>65</v>
      </c>
      <c r="H3713" s="46" t="s">
        <v>5308</v>
      </c>
      <c r="I3713" s="45" t="s">
        <v>125</v>
      </c>
      <c r="J3713" s="46" t="s">
        <v>127</v>
      </c>
      <c r="K3713" s="46" t="s">
        <v>127</v>
      </c>
      <c r="L3713" s="46" t="s">
        <v>17</v>
      </c>
      <c r="M3713" s="46" t="s">
        <v>13</v>
      </c>
      <c r="N3713" s="46" t="s">
        <v>14</v>
      </c>
      <c r="O3713" s="49" t="s">
        <v>814</v>
      </c>
      <c r="P3713" s="49" t="s">
        <v>4910</v>
      </c>
      <c r="Q3713" s="35" t="str">
        <f>MID(Tabla1[[#This Row],[Aplicación]],14,1)</f>
        <v>2</v>
      </c>
      <c r="R3713" s="35" t="s">
        <v>495</v>
      </c>
      <c r="S3713" s="35" t="str">
        <f>MID(Tabla1[[#This Row],[Aplicación]],6,2)</f>
        <v>10</v>
      </c>
      <c r="T3713" s="35" t="str">
        <f>VLOOKUP(Tabla1[[#This Row],[AREA]],Hoja1!A:B,2,FALSE)</f>
        <v>10. Servicios sociales y mediación comunitaria</v>
      </c>
      <c r="U3713" s="35" t="str">
        <f>MID(Tabla1[[#This Row],[Aplicación]],9,4)</f>
        <v>2312</v>
      </c>
      <c r="V3713" s="35" t="str">
        <f>VLOOKUP(Tabla1[[#This Row],[PROGRAMA]],Hoja1!A:B,2,FALSE)</f>
        <v>2312. Iniciativas sociales</v>
      </c>
      <c r="W3713" s="35" t="str">
        <f>MID(Tabla1[[#This Row],[Aplicación]],14,2)</f>
        <v>22</v>
      </c>
      <c r="X3713" s="35" t="str">
        <f>MID(Tabla1[[#This Row],[Aplicación]],14,6)</f>
        <v>22602</v>
      </c>
    </row>
    <row r="3714" spans="1:24" x14ac:dyDescent="0.25">
      <c r="A3714" s="45">
        <v>220210036635</v>
      </c>
      <c r="B3714" s="46" t="s">
        <v>9</v>
      </c>
      <c r="C3714" s="47">
        <v>44385</v>
      </c>
      <c r="D3714" s="45">
        <v>22021005547</v>
      </c>
      <c r="E3714" s="46" t="s">
        <v>5307</v>
      </c>
      <c r="F3714" s="48">
        <v>2541</v>
      </c>
      <c r="G3714" s="46" t="s">
        <v>65</v>
      </c>
      <c r="H3714" s="46" t="s">
        <v>5308</v>
      </c>
      <c r="I3714" s="45" t="s">
        <v>125</v>
      </c>
      <c r="J3714" s="46" t="s">
        <v>127</v>
      </c>
      <c r="K3714" s="46" t="s">
        <v>127</v>
      </c>
      <c r="L3714" s="46" t="s">
        <v>17</v>
      </c>
      <c r="M3714" s="46" t="s">
        <v>13</v>
      </c>
      <c r="N3714" s="46" t="s">
        <v>14</v>
      </c>
      <c r="O3714" s="49" t="s">
        <v>814</v>
      </c>
      <c r="P3714" s="49" t="s">
        <v>4910</v>
      </c>
      <c r="Q3714" s="35" t="str">
        <f>MID(Tabla1[[#This Row],[Aplicación]],14,1)</f>
        <v>2</v>
      </c>
      <c r="R3714" s="35" t="s">
        <v>495</v>
      </c>
      <c r="S3714" s="35" t="str">
        <f>MID(Tabla1[[#This Row],[Aplicación]],6,2)</f>
        <v>10</v>
      </c>
      <c r="T3714" s="35" t="str">
        <f>VLOOKUP(Tabla1[[#This Row],[AREA]],Hoja1!A:B,2,FALSE)</f>
        <v>10. Servicios sociales y mediación comunitaria</v>
      </c>
      <c r="U3714" s="35" t="str">
        <f>MID(Tabla1[[#This Row],[Aplicación]],9,4)</f>
        <v>2312</v>
      </c>
      <c r="V3714" s="35" t="str">
        <f>VLOOKUP(Tabla1[[#This Row],[PROGRAMA]],Hoja1!A:B,2,FALSE)</f>
        <v>2312. Iniciativas sociales</v>
      </c>
      <c r="W3714" s="35" t="str">
        <f>MID(Tabla1[[#This Row],[Aplicación]],14,2)</f>
        <v>22</v>
      </c>
      <c r="X3714" s="35" t="str">
        <f>MID(Tabla1[[#This Row],[Aplicación]],14,6)</f>
        <v>22602</v>
      </c>
    </row>
    <row r="3715" spans="1:24" x14ac:dyDescent="0.25">
      <c r="A3715" s="45">
        <v>220210036827</v>
      </c>
      <c r="B3715" s="46" t="s">
        <v>9</v>
      </c>
      <c r="C3715" s="47">
        <v>44386</v>
      </c>
      <c r="D3715" s="45">
        <v>22021005013</v>
      </c>
      <c r="E3715" s="46" t="s">
        <v>1267</v>
      </c>
      <c r="F3715" s="48">
        <v>2000</v>
      </c>
      <c r="G3715" s="46" t="s">
        <v>65</v>
      </c>
      <c r="H3715" s="46" t="s">
        <v>5309</v>
      </c>
      <c r="I3715" s="45" t="s">
        <v>125</v>
      </c>
      <c r="J3715" s="46" t="s">
        <v>127</v>
      </c>
      <c r="K3715" s="46" t="s">
        <v>127</v>
      </c>
      <c r="L3715" s="46" t="s">
        <v>12</v>
      </c>
      <c r="M3715" s="46" t="s">
        <v>13</v>
      </c>
      <c r="N3715" s="46" t="s">
        <v>14</v>
      </c>
      <c r="O3715" s="49" t="s">
        <v>814</v>
      </c>
      <c r="P3715" s="49" t="s">
        <v>4910</v>
      </c>
      <c r="Q3715" s="35" t="str">
        <f>MID(Tabla1[[#This Row],[Aplicación]],14,1)</f>
        <v>2</v>
      </c>
      <c r="R3715" s="35" t="s">
        <v>495</v>
      </c>
      <c r="S3715" s="35" t="str">
        <f>MID(Tabla1[[#This Row],[Aplicación]],6,2)</f>
        <v>03</v>
      </c>
      <c r="T3715" s="35" t="str">
        <f>VLOOKUP(Tabla1[[#This Row],[AREA]],Hoja1!A:B,2,FALSE)</f>
        <v>03. Participación ciudadana y deportes</v>
      </c>
      <c r="U3715" s="35" t="str">
        <f>MID(Tabla1[[#This Row],[Aplicación]],9,4)</f>
        <v>9241</v>
      </c>
      <c r="V3715" s="35" t="str">
        <f>VLOOKUP(Tabla1[[#This Row],[PROGRAMA]],Hoja1!A:B,2,FALSE)</f>
        <v>9241. Participación ciudadana</v>
      </c>
      <c r="W3715" s="35" t="str">
        <f>MID(Tabla1[[#This Row],[Aplicación]],14,2)</f>
        <v>22</v>
      </c>
      <c r="X3715" s="35" t="str">
        <f>MID(Tabla1[[#This Row],[Aplicación]],14,6)</f>
        <v>22602</v>
      </c>
    </row>
    <row r="3716" spans="1:24" x14ac:dyDescent="0.25">
      <c r="A3716" s="45">
        <v>220210044968</v>
      </c>
      <c r="B3716" s="46" t="s">
        <v>9</v>
      </c>
      <c r="C3716" s="47">
        <v>44411</v>
      </c>
      <c r="D3716" s="45">
        <v>22021005927</v>
      </c>
      <c r="E3716" s="46" t="s">
        <v>849</v>
      </c>
      <c r="F3716" s="48">
        <v>7139</v>
      </c>
      <c r="G3716" s="46" t="s">
        <v>65</v>
      </c>
      <c r="H3716" s="46" t="s">
        <v>5310</v>
      </c>
      <c r="I3716" s="45" t="s">
        <v>125</v>
      </c>
      <c r="J3716" s="46" t="s">
        <v>127</v>
      </c>
      <c r="K3716" s="46" t="s">
        <v>127</v>
      </c>
      <c r="L3716" s="46" t="s">
        <v>12</v>
      </c>
      <c r="M3716" s="46" t="s">
        <v>10</v>
      </c>
      <c r="N3716" s="46" t="s">
        <v>11</v>
      </c>
      <c r="O3716" s="49" t="s">
        <v>815</v>
      </c>
      <c r="P3716" s="49" t="s">
        <v>4910</v>
      </c>
      <c r="Q3716" s="35" t="str">
        <f>MID(Tabla1[[#This Row],[Aplicación]],14,1)</f>
        <v>2</v>
      </c>
      <c r="R3716" s="35" t="s">
        <v>495</v>
      </c>
      <c r="S3716" s="35" t="str">
        <f>MID(Tabla1[[#This Row],[Aplicación]],6,2)</f>
        <v>08</v>
      </c>
      <c r="T3716" s="35" t="str">
        <f>VLOOKUP(Tabla1[[#This Row],[AREA]],Hoja1!A:B,2,FALSE)</f>
        <v>08. Movilidad y espacio urbano</v>
      </c>
      <c r="U3716" s="35" t="str">
        <f>MID(Tabla1[[#This Row],[Aplicación]],9,4)</f>
        <v>1301</v>
      </c>
      <c r="V3716" s="35" t="str">
        <f>VLOOKUP(Tabla1[[#This Row],[PROGRAMA]],Hoja1!A:B,2,FALSE)</f>
        <v>1301. Dirección del área de seguridad</v>
      </c>
      <c r="W3716" s="35" t="str">
        <f>MID(Tabla1[[#This Row],[Aplicación]],14,2)</f>
        <v>22</v>
      </c>
      <c r="X3716" s="35" t="str">
        <f>MID(Tabla1[[#This Row],[Aplicación]],14,6)</f>
        <v>22699</v>
      </c>
    </row>
    <row r="3717" spans="1:24" x14ac:dyDescent="0.25">
      <c r="A3717" s="45">
        <v>220210037247</v>
      </c>
      <c r="B3717" s="46" t="s">
        <v>9</v>
      </c>
      <c r="C3717" s="47">
        <v>44391</v>
      </c>
      <c r="D3717" s="45">
        <v>22021004641</v>
      </c>
      <c r="E3717" s="46" t="s">
        <v>5311</v>
      </c>
      <c r="F3717" s="48">
        <v>9485.36</v>
      </c>
      <c r="G3717" s="46" t="s">
        <v>230</v>
      </c>
      <c r="H3717" s="46" t="s">
        <v>5312</v>
      </c>
      <c r="I3717" s="45" t="s">
        <v>125</v>
      </c>
      <c r="J3717" s="46" t="s">
        <v>127</v>
      </c>
      <c r="K3717" s="46" t="s">
        <v>127</v>
      </c>
      <c r="L3717" s="46" t="s">
        <v>15</v>
      </c>
      <c r="M3717" s="46" t="s">
        <v>10</v>
      </c>
      <c r="N3717" s="46" t="s">
        <v>11</v>
      </c>
      <c r="O3717" s="49" t="s">
        <v>815</v>
      </c>
      <c r="P3717" s="49" t="s">
        <v>4910</v>
      </c>
      <c r="Q3717" s="35" t="str">
        <f>MID(Tabla1[[#This Row],[Aplicación]],14,1)</f>
        <v>6</v>
      </c>
      <c r="R3717" s="35" t="s">
        <v>496</v>
      </c>
      <c r="S3717" s="35" t="str">
        <f>MID(Tabla1[[#This Row],[Aplicación]],6,2)</f>
        <v>08</v>
      </c>
      <c r="T3717" s="35" t="str">
        <f>VLOOKUP(Tabla1[[#This Row],[AREA]],Hoja1!A:B,2,FALSE)</f>
        <v>08. Movilidad y espacio urbano</v>
      </c>
      <c r="U3717" s="35" t="str">
        <f>MID(Tabla1[[#This Row],[Aplicación]],9,4)</f>
        <v>1532</v>
      </c>
      <c r="V3717" s="35" t="str">
        <f>VLOOKUP(Tabla1[[#This Row],[PROGRAMA]],Hoja1!A:B,2,FALSE)</f>
        <v>1532. Pavimentación vias públicas y otros servicios urbanísticos</v>
      </c>
      <c r="W3717" s="35" t="str">
        <f>MID(Tabla1[[#This Row],[Aplicación]],14,2)</f>
        <v>62</v>
      </c>
      <c r="X3717" s="35" t="str">
        <f>MID(Tabla1[[#This Row],[Aplicación]],14,6)</f>
        <v>623</v>
      </c>
    </row>
    <row r="3718" spans="1:24" x14ac:dyDescent="0.25">
      <c r="A3718" s="45">
        <v>220210050963</v>
      </c>
      <c r="B3718" s="46" t="s">
        <v>9</v>
      </c>
      <c r="C3718" s="47">
        <v>44446</v>
      </c>
      <c r="D3718" s="45">
        <v>22021006432</v>
      </c>
      <c r="E3718" s="46" t="s">
        <v>5313</v>
      </c>
      <c r="F3718" s="48">
        <v>2000</v>
      </c>
      <c r="G3718" s="46" t="s">
        <v>115</v>
      </c>
      <c r="H3718" s="46" t="s">
        <v>5314</v>
      </c>
      <c r="I3718" s="45" t="s">
        <v>125</v>
      </c>
      <c r="J3718" s="46" t="s">
        <v>127</v>
      </c>
      <c r="K3718" s="46" t="s">
        <v>127</v>
      </c>
      <c r="L3718" s="46" t="s">
        <v>15</v>
      </c>
      <c r="M3718" s="46" t="s">
        <v>10</v>
      </c>
      <c r="N3718" s="46" t="s">
        <v>11</v>
      </c>
      <c r="O3718" s="49" t="s">
        <v>815</v>
      </c>
      <c r="P3718" s="49" t="s">
        <v>4910</v>
      </c>
      <c r="Q3718" s="35" t="str">
        <f>MID(Tabla1[[#This Row],[Aplicación]],14,1)</f>
        <v>2</v>
      </c>
      <c r="R3718" s="35" t="s">
        <v>495</v>
      </c>
      <c r="S3718" s="35" t="str">
        <f>MID(Tabla1[[#This Row],[Aplicación]],6,2)</f>
        <v>11</v>
      </c>
      <c r="T3718" s="35" t="str">
        <f>VLOOKUP(Tabla1[[#This Row],[AREA]],Hoja1!A:B,2,FALSE)</f>
        <v>11. Salud pública y seguridad ciudadana</v>
      </c>
      <c r="U3718" s="35" t="str">
        <f>MID(Tabla1[[#This Row],[Aplicación]],9,4)</f>
        <v>3111</v>
      </c>
      <c r="V3718" s="35" t="str">
        <f>VLOOKUP(Tabla1[[#This Row],[PROGRAMA]],Hoja1!A:B,2,FALSE)</f>
        <v>3111. Protección de la salubridad pública</v>
      </c>
      <c r="W3718" s="35" t="str">
        <f>MID(Tabla1[[#This Row],[Aplicación]],14,2)</f>
        <v>22</v>
      </c>
      <c r="X3718" s="35" t="str">
        <f>MID(Tabla1[[#This Row],[Aplicación]],14,6)</f>
        <v>22110</v>
      </c>
    </row>
    <row r="3719" spans="1:24" x14ac:dyDescent="0.25">
      <c r="A3719" s="45">
        <v>220210048516</v>
      </c>
      <c r="B3719" s="46" t="s">
        <v>9</v>
      </c>
      <c r="C3719" s="47">
        <v>44428</v>
      </c>
      <c r="D3719" s="45">
        <v>22021006118</v>
      </c>
      <c r="E3719" s="46" t="s">
        <v>1487</v>
      </c>
      <c r="F3719" s="48">
        <v>1671.09</v>
      </c>
      <c r="G3719" s="46" t="s">
        <v>2262</v>
      </c>
      <c r="H3719" s="46" t="s">
        <v>5315</v>
      </c>
      <c r="I3719" s="45" t="s">
        <v>125</v>
      </c>
      <c r="J3719" s="46" t="s">
        <v>127</v>
      </c>
      <c r="K3719" s="46" t="s">
        <v>127</v>
      </c>
      <c r="L3719" s="46" t="s">
        <v>12</v>
      </c>
      <c r="M3719" s="46" t="s">
        <v>13</v>
      </c>
      <c r="N3719" s="46" t="s">
        <v>11</v>
      </c>
      <c r="O3719" s="49" t="s">
        <v>803</v>
      </c>
      <c r="P3719" s="49" t="s">
        <v>4910</v>
      </c>
      <c r="Q3719" s="35" t="str">
        <f>MID(Tabla1[[#This Row],[Aplicación]],14,1)</f>
        <v>6</v>
      </c>
      <c r="R3719" s="35" t="s">
        <v>496</v>
      </c>
      <c r="S3719" s="35" t="str">
        <f>MID(Tabla1[[#This Row],[Aplicación]],6,2)</f>
        <v>08</v>
      </c>
      <c r="T3719" s="35" t="str">
        <f>VLOOKUP(Tabla1[[#This Row],[AREA]],Hoja1!A:B,2,FALSE)</f>
        <v>08. Movilidad y espacio urbano</v>
      </c>
      <c r="U3719" s="35" t="str">
        <f>MID(Tabla1[[#This Row],[Aplicación]],9,4)</f>
        <v>1532</v>
      </c>
      <c r="V3719" s="35" t="str">
        <f>VLOOKUP(Tabla1[[#This Row],[PROGRAMA]],Hoja1!A:B,2,FALSE)</f>
        <v>1532. Pavimentación vias públicas y otros servicios urbanísticos</v>
      </c>
      <c r="W3719" s="35" t="str">
        <f>MID(Tabla1[[#This Row],[Aplicación]],14,2)</f>
        <v>61</v>
      </c>
      <c r="X3719" s="35" t="str">
        <f>MID(Tabla1[[#This Row],[Aplicación]],14,6)</f>
        <v>619</v>
      </c>
    </row>
    <row r="3720" spans="1:24" x14ac:dyDescent="0.25">
      <c r="A3720" s="45">
        <v>220210051248</v>
      </c>
      <c r="B3720" s="46" t="s">
        <v>9</v>
      </c>
      <c r="C3720" s="47">
        <v>44448</v>
      </c>
      <c r="D3720" s="45">
        <v>22021006326</v>
      </c>
      <c r="E3720" s="46" t="s">
        <v>1286</v>
      </c>
      <c r="F3720" s="48">
        <v>1631.56</v>
      </c>
      <c r="G3720" s="46" t="s">
        <v>577</v>
      </c>
      <c r="H3720" s="46" t="s">
        <v>5316</v>
      </c>
      <c r="I3720" s="45" t="s">
        <v>125</v>
      </c>
      <c r="J3720" s="46" t="s">
        <v>146</v>
      </c>
      <c r="K3720" s="46" t="s">
        <v>146</v>
      </c>
      <c r="L3720" s="46" t="s">
        <v>12</v>
      </c>
      <c r="M3720" s="46" t="s">
        <v>10</v>
      </c>
      <c r="N3720" s="46" t="s">
        <v>11</v>
      </c>
      <c r="O3720" s="49" t="s">
        <v>815</v>
      </c>
      <c r="P3720" s="49" t="s">
        <v>4910</v>
      </c>
      <c r="Q3720" s="35" t="str">
        <f>MID(Tabla1[[#This Row],[Aplicación]],14,1)</f>
        <v>6</v>
      </c>
      <c r="R3720" s="35" t="s">
        <v>496</v>
      </c>
      <c r="S3720" s="35" t="str">
        <f>MID(Tabla1[[#This Row],[Aplicación]],6,2)</f>
        <v>04</v>
      </c>
      <c r="T3720" s="35" t="str">
        <f>VLOOKUP(Tabla1[[#This Row],[AREA]],Hoja1!A:B,2,FALSE)</f>
        <v>04. Planificación y recursos</v>
      </c>
      <c r="U3720" s="35" t="str">
        <f>MID(Tabla1[[#This Row],[Aplicación]],9,4)</f>
        <v>9204</v>
      </c>
      <c r="V3720" s="35" t="str">
        <f>VLOOKUP(Tabla1[[#This Row],[PROGRAMA]],Hoja1!A:B,2,FALSE)</f>
        <v>9204. Tecnologías de la información y comunicación</v>
      </c>
      <c r="W3720" s="35" t="str">
        <f>MID(Tabla1[[#This Row],[Aplicación]],14,2)</f>
        <v>64</v>
      </c>
      <c r="X3720" s="35" t="str">
        <f>MID(Tabla1[[#This Row],[Aplicación]],14,6)</f>
        <v>641</v>
      </c>
    </row>
    <row r="3721" spans="1:24" x14ac:dyDescent="0.25">
      <c r="A3721" s="45">
        <v>220210050349</v>
      </c>
      <c r="B3721" s="46" t="s">
        <v>9</v>
      </c>
      <c r="C3721" s="47">
        <v>44438</v>
      </c>
      <c r="D3721" s="45">
        <v>22021006203</v>
      </c>
      <c r="E3721" s="46" t="s">
        <v>1596</v>
      </c>
      <c r="F3721" s="48">
        <v>1573</v>
      </c>
      <c r="G3721" s="46" t="s">
        <v>245</v>
      </c>
      <c r="H3721" s="46" t="s">
        <v>5317</v>
      </c>
      <c r="I3721" s="45" t="s">
        <v>125</v>
      </c>
      <c r="J3721" s="46" t="s">
        <v>126</v>
      </c>
      <c r="K3721" s="46" t="s">
        <v>126</v>
      </c>
      <c r="L3721" s="46" t="s">
        <v>15</v>
      </c>
      <c r="M3721" s="46" t="s">
        <v>10</v>
      </c>
      <c r="N3721" s="46" t="s">
        <v>11</v>
      </c>
      <c r="O3721" s="49" t="s">
        <v>815</v>
      </c>
      <c r="P3721" s="49" t="s">
        <v>4910</v>
      </c>
      <c r="Q3721" s="35" t="str">
        <f>MID(Tabla1[[#This Row],[Aplicación]],14,1)</f>
        <v>2</v>
      </c>
      <c r="R3721" s="35" t="s">
        <v>495</v>
      </c>
      <c r="S3721" s="35" t="str">
        <f>MID(Tabla1[[#This Row],[Aplicación]],6,2)</f>
        <v>11</v>
      </c>
      <c r="T3721" s="35" t="str">
        <f>VLOOKUP(Tabla1[[#This Row],[AREA]],Hoja1!A:B,2,FALSE)</f>
        <v>11. Salud pública y seguridad ciudadana</v>
      </c>
      <c r="U3721" s="35" t="str">
        <f>MID(Tabla1[[#This Row],[Aplicación]],9,4)</f>
        <v>1321</v>
      </c>
      <c r="V3721" s="35" t="str">
        <f>VLOOKUP(Tabla1[[#This Row],[PROGRAMA]],Hoja1!A:B,2,FALSE)</f>
        <v>1321. Policía municipal</v>
      </c>
      <c r="W3721" s="35" t="str">
        <f>MID(Tabla1[[#This Row],[Aplicación]],14,2)</f>
        <v>22</v>
      </c>
      <c r="X3721" s="35" t="str">
        <f>MID(Tabla1[[#This Row],[Aplicación]],14,6)</f>
        <v>22699</v>
      </c>
    </row>
    <row r="3722" spans="1:24" x14ac:dyDescent="0.25">
      <c r="A3722" s="45">
        <v>220210050898</v>
      </c>
      <c r="B3722" s="46" t="s">
        <v>9</v>
      </c>
      <c r="C3722" s="47">
        <v>44442</v>
      </c>
      <c r="D3722" s="45">
        <v>22021006366</v>
      </c>
      <c r="E3722" s="46" t="s">
        <v>941</v>
      </c>
      <c r="F3722" s="48">
        <v>1490.72</v>
      </c>
      <c r="G3722" s="46" t="s">
        <v>50</v>
      </c>
      <c r="H3722" s="46" t="s">
        <v>5318</v>
      </c>
      <c r="I3722" s="45" t="s">
        <v>125</v>
      </c>
      <c r="J3722" s="46" t="s">
        <v>127</v>
      </c>
      <c r="K3722" s="46" t="s">
        <v>127</v>
      </c>
      <c r="L3722" s="46" t="s">
        <v>12</v>
      </c>
      <c r="M3722" s="46" t="s">
        <v>10</v>
      </c>
      <c r="N3722" s="46" t="s">
        <v>11</v>
      </c>
      <c r="O3722" s="49" t="s">
        <v>815</v>
      </c>
      <c r="P3722" s="49" t="s">
        <v>4910</v>
      </c>
      <c r="Q3722" s="35" t="str">
        <f>MID(Tabla1[[#This Row],[Aplicación]],14,1)</f>
        <v>2</v>
      </c>
      <c r="R3722" s="35" t="s">
        <v>495</v>
      </c>
      <c r="S3722" s="35" t="str">
        <f>MID(Tabla1[[#This Row],[Aplicación]],6,2)</f>
        <v>06</v>
      </c>
      <c r="T3722" s="35" t="str">
        <f>VLOOKUP(Tabla1[[#This Row],[AREA]],Hoja1!A:B,2,FALSE)</f>
        <v>06. Educación, infancia, juventud e igualdad</v>
      </c>
      <c r="U3722" s="35" t="str">
        <f>MID(Tabla1[[#This Row],[Aplicación]],9,4)</f>
        <v>3232</v>
      </c>
      <c r="V3722" s="35" t="str">
        <f>VLOOKUP(Tabla1[[#This Row],[PROGRAMA]],Hoja1!A:B,2,FALSE)</f>
        <v>3232. Conservación y mantenimiento centros educación infantil y primaria</v>
      </c>
      <c r="W3722" s="35" t="str">
        <f>MID(Tabla1[[#This Row],[Aplicación]],14,2)</f>
        <v>21</v>
      </c>
      <c r="X3722" s="35" t="str">
        <f>MID(Tabla1[[#This Row],[Aplicación]],14,6)</f>
        <v>213</v>
      </c>
    </row>
    <row r="3723" spans="1:24" x14ac:dyDescent="0.25">
      <c r="A3723" s="45">
        <v>220210048793</v>
      </c>
      <c r="B3723" s="46" t="s">
        <v>204</v>
      </c>
      <c r="C3723" s="47">
        <v>44428</v>
      </c>
      <c r="D3723" s="45">
        <v>22021005716</v>
      </c>
      <c r="E3723" s="46" t="s">
        <v>1270</v>
      </c>
      <c r="F3723" s="48">
        <v>550.04999999999995</v>
      </c>
      <c r="G3723" s="46" t="s">
        <v>5319</v>
      </c>
      <c r="H3723" s="46" t="s">
        <v>5320</v>
      </c>
      <c r="I3723" s="45" t="s">
        <v>205</v>
      </c>
      <c r="J3723" s="46" t="s">
        <v>127</v>
      </c>
      <c r="K3723" s="46" t="s">
        <v>127</v>
      </c>
      <c r="L3723" s="46" t="s">
        <v>12</v>
      </c>
      <c r="M3723" s="46" t="s">
        <v>13</v>
      </c>
      <c r="N3723" s="46" t="s">
        <v>14</v>
      </c>
      <c r="O3723" s="49" t="s">
        <v>814</v>
      </c>
      <c r="P3723" s="49" t="s">
        <v>4910</v>
      </c>
      <c r="Q3723" s="35" t="str">
        <f>MID(Tabla1[[#This Row],[Aplicación]],14,1)</f>
        <v>6</v>
      </c>
      <c r="R3723" s="35" t="s">
        <v>496</v>
      </c>
      <c r="S3723" s="35" t="str">
        <f>MID(Tabla1[[#This Row],[Aplicación]],6,2)</f>
        <v>11</v>
      </c>
      <c r="T3723" s="35" t="str">
        <f>VLOOKUP(Tabla1[[#This Row],[AREA]],Hoja1!A:B,2,FALSE)</f>
        <v>11. Salud pública y seguridad ciudadana</v>
      </c>
      <c r="U3723" s="35" t="str">
        <f>MID(Tabla1[[#This Row],[Aplicación]],9,4)</f>
        <v>1621</v>
      </c>
      <c r="V3723" s="35" t="str">
        <f>VLOOKUP(Tabla1[[#This Row],[PROGRAMA]],Hoja1!A:B,2,FALSE)</f>
        <v>1621. Servicio de limpieza</v>
      </c>
      <c r="W3723" s="35" t="str">
        <f>MID(Tabla1[[#This Row],[Aplicación]],14,2)</f>
        <v>63</v>
      </c>
      <c r="X3723" s="35" t="str">
        <f>MID(Tabla1[[#This Row],[Aplicación]],14,6)</f>
        <v>634</v>
      </c>
    </row>
    <row r="3724" spans="1:24" x14ac:dyDescent="0.25">
      <c r="A3724" s="45">
        <v>220210036187</v>
      </c>
      <c r="B3724" s="46" t="s">
        <v>9</v>
      </c>
      <c r="C3724" s="47">
        <v>44383</v>
      </c>
      <c r="D3724" s="45">
        <v>22021005315</v>
      </c>
      <c r="E3724" s="46" t="s">
        <v>950</v>
      </c>
      <c r="F3724" s="48">
        <v>1445.95</v>
      </c>
      <c r="G3724" s="46" t="s">
        <v>535</v>
      </c>
      <c r="H3724" s="46" t="s">
        <v>5321</v>
      </c>
      <c r="I3724" s="45" t="s">
        <v>125</v>
      </c>
      <c r="J3724" s="46" t="s">
        <v>127</v>
      </c>
      <c r="K3724" s="46" t="s">
        <v>127</v>
      </c>
      <c r="L3724" s="46" t="s">
        <v>12</v>
      </c>
      <c r="M3724" s="46" t="s">
        <v>10</v>
      </c>
      <c r="N3724" s="46" t="s">
        <v>11</v>
      </c>
      <c r="O3724" s="49" t="s">
        <v>815</v>
      </c>
      <c r="P3724" s="49" t="s">
        <v>4910</v>
      </c>
      <c r="Q3724" s="35" t="str">
        <f>MID(Tabla1[[#This Row],[Aplicación]],14,1)</f>
        <v>2</v>
      </c>
      <c r="R3724" s="35" t="s">
        <v>495</v>
      </c>
      <c r="S3724" s="35" t="str">
        <f>MID(Tabla1[[#This Row],[Aplicación]],6,2)</f>
        <v>11</v>
      </c>
      <c r="T3724" s="35" t="str">
        <f>VLOOKUP(Tabla1[[#This Row],[AREA]],Hoja1!A:B,2,FALSE)</f>
        <v>11. Salud pública y seguridad ciudadana</v>
      </c>
      <c r="U3724" s="35" t="str">
        <f>MID(Tabla1[[#This Row],[Aplicación]],9,4)</f>
        <v>1321</v>
      </c>
      <c r="V3724" s="35" t="str">
        <f>VLOOKUP(Tabla1[[#This Row],[PROGRAMA]],Hoja1!A:B,2,FALSE)</f>
        <v>1321. Policía municipal</v>
      </c>
      <c r="W3724" s="35" t="str">
        <f>MID(Tabla1[[#This Row],[Aplicación]],14,2)</f>
        <v>21</v>
      </c>
      <c r="X3724" s="35" t="str">
        <f>MID(Tabla1[[#This Row],[Aplicación]],14,6)</f>
        <v>213</v>
      </c>
    </row>
    <row r="3725" spans="1:24" x14ac:dyDescent="0.25">
      <c r="A3725" s="45">
        <v>220210036186</v>
      </c>
      <c r="B3725" s="46" t="s">
        <v>9</v>
      </c>
      <c r="C3725" s="47">
        <v>44383</v>
      </c>
      <c r="D3725" s="45">
        <v>22021005316</v>
      </c>
      <c r="E3725" s="46" t="s">
        <v>950</v>
      </c>
      <c r="F3725" s="48">
        <v>631.62</v>
      </c>
      <c r="G3725" s="46" t="s">
        <v>535</v>
      </c>
      <c r="H3725" s="46" t="s">
        <v>5322</v>
      </c>
      <c r="I3725" s="45" t="s">
        <v>125</v>
      </c>
      <c r="J3725" s="46" t="s">
        <v>127</v>
      </c>
      <c r="K3725" s="46" t="s">
        <v>127</v>
      </c>
      <c r="L3725" s="46" t="s">
        <v>12</v>
      </c>
      <c r="M3725" s="46" t="s">
        <v>10</v>
      </c>
      <c r="N3725" s="46" t="s">
        <v>11</v>
      </c>
      <c r="O3725" s="49" t="s">
        <v>815</v>
      </c>
      <c r="P3725" s="49" t="s">
        <v>4910</v>
      </c>
      <c r="Q3725" s="35" t="str">
        <f>MID(Tabla1[[#This Row],[Aplicación]],14,1)</f>
        <v>2</v>
      </c>
      <c r="R3725" s="35" t="s">
        <v>495</v>
      </c>
      <c r="S3725" s="35" t="str">
        <f>MID(Tabla1[[#This Row],[Aplicación]],6,2)</f>
        <v>11</v>
      </c>
      <c r="T3725" s="35" t="str">
        <f>VLOOKUP(Tabla1[[#This Row],[AREA]],Hoja1!A:B,2,FALSE)</f>
        <v>11. Salud pública y seguridad ciudadana</v>
      </c>
      <c r="U3725" s="35" t="str">
        <f>MID(Tabla1[[#This Row],[Aplicación]],9,4)</f>
        <v>1321</v>
      </c>
      <c r="V3725" s="35" t="str">
        <f>VLOOKUP(Tabla1[[#This Row],[PROGRAMA]],Hoja1!A:B,2,FALSE)</f>
        <v>1321. Policía municipal</v>
      </c>
      <c r="W3725" s="35" t="str">
        <f>MID(Tabla1[[#This Row],[Aplicación]],14,2)</f>
        <v>21</v>
      </c>
      <c r="X3725" s="35" t="str">
        <f>MID(Tabla1[[#This Row],[Aplicación]],14,6)</f>
        <v>213</v>
      </c>
    </row>
    <row r="3726" spans="1:24" x14ac:dyDescent="0.25">
      <c r="A3726" s="45">
        <v>220210045366</v>
      </c>
      <c r="B3726" s="46" t="s">
        <v>9</v>
      </c>
      <c r="C3726" s="47">
        <v>44413</v>
      </c>
      <c r="D3726" s="45">
        <v>22021005987</v>
      </c>
      <c r="E3726" s="46" t="s">
        <v>950</v>
      </c>
      <c r="F3726" s="48">
        <v>3509</v>
      </c>
      <c r="G3726" s="46" t="s">
        <v>535</v>
      </c>
      <c r="H3726" s="46" t="s">
        <v>5323</v>
      </c>
      <c r="I3726" s="45" t="s">
        <v>125</v>
      </c>
      <c r="J3726" s="46" t="s">
        <v>127</v>
      </c>
      <c r="K3726" s="46" t="s">
        <v>127</v>
      </c>
      <c r="L3726" s="46" t="s">
        <v>12</v>
      </c>
      <c r="M3726" s="46" t="s">
        <v>10</v>
      </c>
      <c r="N3726" s="46" t="s">
        <v>11</v>
      </c>
      <c r="O3726" s="49" t="s">
        <v>815</v>
      </c>
      <c r="P3726" s="49" t="s">
        <v>4910</v>
      </c>
      <c r="Q3726" s="35" t="str">
        <f>MID(Tabla1[[#This Row],[Aplicación]],14,1)</f>
        <v>2</v>
      </c>
      <c r="R3726" s="35" t="s">
        <v>495</v>
      </c>
      <c r="S3726" s="35" t="str">
        <f>MID(Tabla1[[#This Row],[Aplicación]],6,2)</f>
        <v>11</v>
      </c>
      <c r="T3726" s="35" t="str">
        <f>VLOOKUP(Tabla1[[#This Row],[AREA]],Hoja1!A:B,2,FALSE)</f>
        <v>11. Salud pública y seguridad ciudadana</v>
      </c>
      <c r="U3726" s="35" t="str">
        <f>MID(Tabla1[[#This Row],[Aplicación]],9,4)</f>
        <v>1321</v>
      </c>
      <c r="V3726" s="35" t="str">
        <f>VLOOKUP(Tabla1[[#This Row],[PROGRAMA]],Hoja1!A:B,2,FALSE)</f>
        <v>1321. Policía municipal</v>
      </c>
      <c r="W3726" s="35" t="str">
        <f>MID(Tabla1[[#This Row],[Aplicación]],14,2)</f>
        <v>21</v>
      </c>
      <c r="X3726" s="35" t="str">
        <f>MID(Tabla1[[#This Row],[Aplicación]],14,6)</f>
        <v>213</v>
      </c>
    </row>
    <row r="3727" spans="1:24" x14ac:dyDescent="0.25">
      <c r="A3727" s="45">
        <v>220210045367</v>
      </c>
      <c r="B3727" s="46" t="s">
        <v>9</v>
      </c>
      <c r="C3727" s="47">
        <v>44413</v>
      </c>
      <c r="D3727" s="45">
        <v>22021005988</v>
      </c>
      <c r="E3727" s="46" t="s">
        <v>950</v>
      </c>
      <c r="F3727" s="48">
        <v>6382.75</v>
      </c>
      <c r="G3727" s="46" t="s">
        <v>535</v>
      </c>
      <c r="H3727" s="46" t="s">
        <v>5324</v>
      </c>
      <c r="I3727" s="45" t="s">
        <v>125</v>
      </c>
      <c r="J3727" s="46" t="s">
        <v>127</v>
      </c>
      <c r="K3727" s="46" t="s">
        <v>127</v>
      </c>
      <c r="L3727" s="46" t="s">
        <v>12</v>
      </c>
      <c r="M3727" s="46" t="s">
        <v>10</v>
      </c>
      <c r="N3727" s="46" t="s">
        <v>11</v>
      </c>
      <c r="O3727" s="49" t="s">
        <v>815</v>
      </c>
      <c r="P3727" s="49" t="s">
        <v>4910</v>
      </c>
      <c r="Q3727" s="35" t="str">
        <f>MID(Tabla1[[#This Row],[Aplicación]],14,1)</f>
        <v>2</v>
      </c>
      <c r="R3727" s="35" t="s">
        <v>495</v>
      </c>
      <c r="S3727" s="35" t="str">
        <f>MID(Tabla1[[#This Row],[Aplicación]],6,2)</f>
        <v>11</v>
      </c>
      <c r="T3727" s="35" t="str">
        <f>VLOOKUP(Tabla1[[#This Row],[AREA]],Hoja1!A:B,2,FALSE)</f>
        <v>11. Salud pública y seguridad ciudadana</v>
      </c>
      <c r="U3727" s="35" t="str">
        <f>MID(Tabla1[[#This Row],[Aplicación]],9,4)</f>
        <v>1321</v>
      </c>
      <c r="V3727" s="35" t="str">
        <f>VLOOKUP(Tabla1[[#This Row],[PROGRAMA]],Hoja1!A:B,2,FALSE)</f>
        <v>1321. Policía municipal</v>
      </c>
      <c r="W3727" s="35" t="str">
        <f>MID(Tabla1[[#This Row],[Aplicación]],14,2)</f>
        <v>21</v>
      </c>
      <c r="X3727" s="35" t="str">
        <f>MID(Tabla1[[#This Row],[Aplicación]],14,6)</f>
        <v>213</v>
      </c>
    </row>
    <row r="3728" spans="1:24" x14ac:dyDescent="0.25">
      <c r="A3728" s="45">
        <v>220210036445</v>
      </c>
      <c r="B3728" s="46" t="s">
        <v>204</v>
      </c>
      <c r="C3728" s="47">
        <v>44384</v>
      </c>
      <c r="D3728" s="45">
        <v>22021002006</v>
      </c>
      <c r="E3728" s="46" t="s">
        <v>1310</v>
      </c>
      <c r="F3728" s="48">
        <v>13.31</v>
      </c>
      <c r="G3728" s="46" t="s">
        <v>5325</v>
      </c>
      <c r="H3728" s="46" t="s">
        <v>5326</v>
      </c>
      <c r="I3728" s="45" t="s">
        <v>205</v>
      </c>
      <c r="J3728" s="46" t="s">
        <v>127</v>
      </c>
      <c r="K3728" s="46" t="s">
        <v>127</v>
      </c>
      <c r="L3728" s="46" t="s">
        <v>15</v>
      </c>
      <c r="M3728" s="46" t="s">
        <v>10</v>
      </c>
      <c r="N3728" s="46" t="s">
        <v>11</v>
      </c>
      <c r="O3728" s="49" t="s">
        <v>815</v>
      </c>
      <c r="P3728" s="49" t="s">
        <v>4910</v>
      </c>
      <c r="Q3728" s="35" t="str">
        <f>MID(Tabla1[[#This Row],[Aplicación]],14,1)</f>
        <v>2</v>
      </c>
      <c r="R3728" s="35" t="s">
        <v>495</v>
      </c>
      <c r="S3728" s="35" t="str">
        <f>MID(Tabla1[[#This Row],[Aplicación]],6,2)</f>
        <v>11</v>
      </c>
      <c r="T3728" s="35" t="str">
        <f>VLOOKUP(Tabla1[[#This Row],[AREA]],Hoja1!A:B,2,FALSE)</f>
        <v>11. Salud pública y seguridad ciudadana</v>
      </c>
      <c r="U3728" s="35" t="str">
        <f>MID(Tabla1[[#This Row],[Aplicación]],9,4)</f>
        <v>3111</v>
      </c>
      <c r="V3728" s="35" t="str">
        <f>VLOOKUP(Tabla1[[#This Row],[PROGRAMA]],Hoja1!A:B,2,FALSE)</f>
        <v>3111. Protección de la salubridad pública</v>
      </c>
      <c r="W3728" s="35" t="str">
        <f>MID(Tabla1[[#This Row],[Aplicación]],14,2)</f>
        <v>22</v>
      </c>
      <c r="X3728" s="35" t="str">
        <f>MID(Tabla1[[#This Row],[Aplicación]],14,6)</f>
        <v>22199</v>
      </c>
    </row>
    <row r="3729" spans="1:24" x14ac:dyDescent="0.25">
      <c r="A3729" s="45">
        <v>220210048391</v>
      </c>
      <c r="B3729" s="46" t="s">
        <v>9</v>
      </c>
      <c r="C3729" s="47">
        <v>44426</v>
      </c>
      <c r="D3729" s="45">
        <v>22021006079</v>
      </c>
      <c r="E3729" s="46" t="s">
        <v>5327</v>
      </c>
      <c r="F3729" s="48">
        <v>1287.5</v>
      </c>
      <c r="G3729" s="46" t="s">
        <v>3687</v>
      </c>
      <c r="H3729" s="46" t="s">
        <v>5328</v>
      </c>
      <c r="I3729" s="45" t="s">
        <v>125</v>
      </c>
      <c r="J3729" s="46" t="s">
        <v>127</v>
      </c>
      <c r="K3729" s="46" t="s">
        <v>127</v>
      </c>
      <c r="L3729" s="46" t="s">
        <v>15</v>
      </c>
      <c r="M3729" s="46" t="s">
        <v>10</v>
      </c>
      <c r="N3729" s="46" t="s">
        <v>11</v>
      </c>
      <c r="O3729" s="49" t="s">
        <v>815</v>
      </c>
      <c r="P3729" s="49" t="s">
        <v>4910</v>
      </c>
      <c r="Q3729" s="35" t="str">
        <f>MID(Tabla1[[#This Row],[Aplicación]],14,1)</f>
        <v>2</v>
      </c>
      <c r="R3729" s="35" t="s">
        <v>495</v>
      </c>
      <c r="S3729" s="35" t="str">
        <f>MID(Tabla1[[#This Row],[Aplicación]],6,2)</f>
        <v>01</v>
      </c>
      <c r="T3729" s="35" t="str">
        <f>VLOOKUP(Tabla1[[#This Row],[AREA]],Hoja1!A:B,2,FALSE)</f>
        <v>01. Alcaldía</v>
      </c>
      <c r="U3729" s="35" t="str">
        <f>MID(Tabla1[[#This Row],[Aplicación]],9,4)</f>
        <v>9203</v>
      </c>
      <c r="V3729" s="35" t="str">
        <f>VLOOKUP(Tabla1[[#This Row],[PROGRAMA]],Hoja1!A:B,2,FALSE)</f>
        <v>9203. Unidad de régimen interior</v>
      </c>
      <c r="W3729" s="35" t="str">
        <f>MID(Tabla1[[#This Row],[Aplicación]],14,2)</f>
        <v>22</v>
      </c>
      <c r="X3729" s="35" t="str">
        <f>MID(Tabla1[[#This Row],[Aplicación]],14,6)</f>
        <v>22601</v>
      </c>
    </row>
    <row r="3730" spans="1:24" x14ac:dyDescent="0.25">
      <c r="A3730" s="45">
        <v>220210044487</v>
      </c>
      <c r="B3730" s="46" t="s">
        <v>204</v>
      </c>
      <c r="C3730" s="47">
        <v>44407</v>
      </c>
      <c r="D3730" s="45">
        <v>22021002006</v>
      </c>
      <c r="E3730" s="46" t="s">
        <v>1310</v>
      </c>
      <c r="F3730" s="48">
        <v>55.26</v>
      </c>
      <c r="G3730" s="46" t="s">
        <v>4378</v>
      </c>
      <c r="H3730" s="46" t="s">
        <v>5329</v>
      </c>
      <c r="I3730" s="45" t="s">
        <v>205</v>
      </c>
      <c r="J3730" s="46" t="s">
        <v>664</v>
      </c>
      <c r="K3730" s="46" t="s">
        <v>127</v>
      </c>
      <c r="L3730" s="46" t="s">
        <v>15</v>
      </c>
      <c r="M3730" s="46" t="s">
        <v>13</v>
      </c>
      <c r="N3730" s="46" t="s">
        <v>14</v>
      </c>
      <c r="O3730" s="49" t="s">
        <v>814</v>
      </c>
      <c r="P3730" s="49" t="s">
        <v>4910</v>
      </c>
      <c r="Q3730" s="35" t="str">
        <f>MID(Tabla1[[#This Row],[Aplicación]],14,1)</f>
        <v>2</v>
      </c>
      <c r="R3730" s="35" t="s">
        <v>495</v>
      </c>
      <c r="S3730" s="35" t="str">
        <f>MID(Tabla1[[#This Row],[Aplicación]],6,2)</f>
        <v>11</v>
      </c>
      <c r="T3730" s="35" t="str">
        <f>VLOOKUP(Tabla1[[#This Row],[AREA]],Hoja1!A:B,2,FALSE)</f>
        <v>11. Salud pública y seguridad ciudadana</v>
      </c>
      <c r="U3730" s="35" t="str">
        <f>MID(Tabla1[[#This Row],[Aplicación]],9,4)</f>
        <v>3111</v>
      </c>
      <c r="V3730" s="35" t="str">
        <f>VLOOKUP(Tabla1[[#This Row],[PROGRAMA]],Hoja1!A:B,2,FALSE)</f>
        <v>3111. Protección de la salubridad pública</v>
      </c>
      <c r="W3730" s="35" t="str">
        <f>MID(Tabla1[[#This Row],[Aplicación]],14,2)</f>
        <v>22</v>
      </c>
      <c r="X3730" s="35" t="str">
        <f>MID(Tabla1[[#This Row],[Aplicación]],14,6)</f>
        <v>22199</v>
      </c>
    </row>
    <row r="3731" spans="1:24" x14ac:dyDescent="0.25">
      <c r="A3731" s="45">
        <v>220210036431</v>
      </c>
      <c r="B3731" s="46" t="s">
        <v>204</v>
      </c>
      <c r="C3731" s="47">
        <v>44384</v>
      </c>
      <c r="D3731" s="45">
        <v>22021002052</v>
      </c>
      <c r="E3731" s="46" t="s">
        <v>1340</v>
      </c>
      <c r="F3731" s="48">
        <v>51.49</v>
      </c>
      <c r="G3731" s="46" t="s">
        <v>4378</v>
      </c>
      <c r="H3731" s="46" t="s">
        <v>5330</v>
      </c>
      <c r="I3731" s="45" t="s">
        <v>205</v>
      </c>
      <c r="J3731" s="46" t="s">
        <v>664</v>
      </c>
      <c r="K3731" s="46" t="s">
        <v>127</v>
      </c>
      <c r="L3731" s="46" t="s">
        <v>15</v>
      </c>
      <c r="M3731" s="46" t="s">
        <v>13</v>
      </c>
      <c r="N3731" s="46" t="s">
        <v>14</v>
      </c>
      <c r="O3731" s="49" t="s">
        <v>814</v>
      </c>
      <c r="P3731" s="49" t="s">
        <v>4910</v>
      </c>
      <c r="Q3731" s="35" t="str">
        <f>MID(Tabla1[[#This Row],[Aplicación]],14,1)</f>
        <v>2</v>
      </c>
      <c r="R3731" s="35" t="s">
        <v>495</v>
      </c>
      <c r="S3731" s="35" t="str">
        <f>MID(Tabla1[[#This Row],[Aplicación]],6,2)</f>
        <v>11</v>
      </c>
      <c r="T3731" s="35" t="str">
        <f>VLOOKUP(Tabla1[[#This Row],[AREA]],Hoja1!A:B,2,FALSE)</f>
        <v>11. Salud pública y seguridad ciudadana</v>
      </c>
      <c r="U3731" s="35" t="str">
        <f>MID(Tabla1[[#This Row],[Aplicación]],9,4)</f>
        <v>1621</v>
      </c>
      <c r="V3731" s="35" t="str">
        <f>VLOOKUP(Tabla1[[#This Row],[PROGRAMA]],Hoja1!A:B,2,FALSE)</f>
        <v>1621. Servicio de limpieza</v>
      </c>
      <c r="W3731" s="35" t="str">
        <f>MID(Tabla1[[#This Row],[Aplicación]],14,2)</f>
        <v>22</v>
      </c>
      <c r="X3731" s="35" t="str">
        <f>MID(Tabla1[[#This Row],[Aplicación]],14,6)</f>
        <v>22199</v>
      </c>
    </row>
    <row r="3732" spans="1:24" x14ac:dyDescent="0.25">
      <c r="A3732" s="45">
        <v>220210036787</v>
      </c>
      <c r="B3732" s="46" t="s">
        <v>204</v>
      </c>
      <c r="C3732" s="47">
        <v>44386</v>
      </c>
      <c r="D3732" s="45">
        <v>22021002375</v>
      </c>
      <c r="E3732" s="46" t="s">
        <v>1336</v>
      </c>
      <c r="F3732" s="48">
        <v>26.52</v>
      </c>
      <c r="G3732" s="46" t="s">
        <v>4378</v>
      </c>
      <c r="H3732" s="46" t="s">
        <v>5331</v>
      </c>
      <c r="I3732" s="45" t="s">
        <v>205</v>
      </c>
      <c r="J3732" s="46" t="s">
        <v>664</v>
      </c>
      <c r="K3732" s="46" t="s">
        <v>127</v>
      </c>
      <c r="L3732" s="46" t="s">
        <v>15</v>
      </c>
      <c r="M3732" s="46" t="s">
        <v>13</v>
      </c>
      <c r="N3732" s="46" t="s">
        <v>14</v>
      </c>
      <c r="O3732" s="49" t="s">
        <v>814</v>
      </c>
      <c r="P3732" s="49" t="s">
        <v>4910</v>
      </c>
      <c r="Q3732" s="35" t="str">
        <f>MID(Tabla1[[#This Row],[Aplicación]],14,1)</f>
        <v>2</v>
      </c>
      <c r="R3732" s="35" t="s">
        <v>495</v>
      </c>
      <c r="S3732" s="35" t="str">
        <f>MID(Tabla1[[#This Row],[Aplicación]],6,2)</f>
        <v>02</v>
      </c>
      <c r="T3732" s="35" t="str">
        <f>VLOOKUP(Tabla1[[#This Row],[AREA]],Hoja1!A:B,2,FALSE)</f>
        <v>02. Planeamiento urbanístico y vivienda</v>
      </c>
      <c r="U3732" s="35" t="str">
        <f>MID(Tabla1[[#This Row],[Aplicación]],9,4)</f>
        <v>9332</v>
      </c>
      <c r="V3732" s="35" t="str">
        <f>VLOOKUP(Tabla1[[#This Row],[PROGRAMA]],Hoja1!A:B,2,FALSE)</f>
        <v>9332. Mantenimiento de edificios e instalaciones municipales</v>
      </c>
      <c r="W3732" s="35" t="str">
        <f>MID(Tabla1[[#This Row],[Aplicación]],14,2)</f>
        <v>21</v>
      </c>
      <c r="X3732" s="35" t="str">
        <f>MID(Tabla1[[#This Row],[Aplicación]],14,6)</f>
        <v>212</v>
      </c>
    </row>
    <row r="3733" spans="1:24" x14ac:dyDescent="0.25">
      <c r="A3733" s="45">
        <v>220210046043</v>
      </c>
      <c r="B3733" s="46" t="s">
        <v>204</v>
      </c>
      <c r="C3733" s="47">
        <v>44418</v>
      </c>
      <c r="D3733" s="45">
        <v>22021002228</v>
      </c>
      <c r="E3733" s="46" t="s">
        <v>1471</v>
      </c>
      <c r="F3733" s="48">
        <v>3093.66</v>
      </c>
      <c r="G3733" s="46" t="s">
        <v>4378</v>
      </c>
      <c r="H3733" s="46" t="s">
        <v>5332</v>
      </c>
      <c r="I3733" s="45" t="s">
        <v>205</v>
      </c>
      <c r="J3733" s="46" t="s">
        <v>664</v>
      </c>
      <c r="K3733" s="46" t="s">
        <v>127</v>
      </c>
      <c r="L3733" s="46" t="s">
        <v>15</v>
      </c>
      <c r="M3733" s="46" t="s">
        <v>13</v>
      </c>
      <c r="N3733" s="46" t="s">
        <v>16</v>
      </c>
      <c r="O3733" s="49" t="s">
        <v>814</v>
      </c>
      <c r="P3733" s="49" t="s">
        <v>4910</v>
      </c>
      <c r="Q3733" s="35" t="str">
        <f>MID(Tabla1[[#This Row],[Aplicación]],14,1)</f>
        <v>2</v>
      </c>
      <c r="R3733" s="35" t="s">
        <v>495</v>
      </c>
      <c r="S3733" s="35" t="str">
        <f>MID(Tabla1[[#This Row],[Aplicación]],6,2)</f>
        <v>06</v>
      </c>
      <c r="T3733" s="35" t="str">
        <f>VLOOKUP(Tabla1[[#This Row],[AREA]],Hoja1!A:B,2,FALSE)</f>
        <v>06. Educación, infancia, juventud e igualdad</v>
      </c>
      <c r="U3733" s="35" t="str">
        <f>MID(Tabla1[[#This Row],[Aplicación]],9,4)</f>
        <v>3232</v>
      </c>
      <c r="V3733" s="35" t="str">
        <f>VLOOKUP(Tabla1[[#This Row],[PROGRAMA]],Hoja1!A:B,2,FALSE)</f>
        <v>3232. Conservación y mantenimiento centros educación infantil y primaria</v>
      </c>
      <c r="W3733" s="35" t="str">
        <f>MID(Tabla1[[#This Row],[Aplicación]],14,2)</f>
        <v>21</v>
      </c>
      <c r="X3733" s="35" t="str">
        <f>MID(Tabla1[[#This Row],[Aplicación]],14,6)</f>
        <v>212</v>
      </c>
    </row>
    <row r="3734" spans="1:24" x14ac:dyDescent="0.25">
      <c r="A3734" s="45">
        <v>220210045192</v>
      </c>
      <c r="B3734" s="46" t="s">
        <v>204</v>
      </c>
      <c r="C3734" s="47">
        <v>44411</v>
      </c>
      <c r="D3734" s="45">
        <v>22021004466</v>
      </c>
      <c r="E3734" s="46" t="s">
        <v>1328</v>
      </c>
      <c r="F3734" s="48">
        <v>146.13999999999999</v>
      </c>
      <c r="G3734" s="46" t="s">
        <v>4378</v>
      </c>
      <c r="H3734" s="46" t="s">
        <v>5333</v>
      </c>
      <c r="I3734" s="45" t="s">
        <v>205</v>
      </c>
      <c r="J3734" s="46" t="s">
        <v>664</v>
      </c>
      <c r="K3734" s="46" t="s">
        <v>127</v>
      </c>
      <c r="L3734" s="46" t="s">
        <v>15</v>
      </c>
      <c r="M3734" s="46" t="s">
        <v>13</v>
      </c>
      <c r="N3734" s="46" t="s">
        <v>14</v>
      </c>
      <c r="O3734" s="49" t="s">
        <v>814</v>
      </c>
      <c r="P3734" s="49" t="s">
        <v>4910</v>
      </c>
      <c r="Q3734" s="35" t="str">
        <f>MID(Tabla1[[#This Row],[Aplicación]],14,1)</f>
        <v>2</v>
      </c>
      <c r="R3734" s="35" t="s">
        <v>495</v>
      </c>
      <c r="S3734" s="35" t="str">
        <f>MID(Tabla1[[#This Row],[Aplicación]],6,2)</f>
        <v>10</v>
      </c>
      <c r="T3734" s="35" t="str">
        <f>VLOOKUP(Tabla1[[#This Row],[AREA]],Hoja1!A:B,2,FALSE)</f>
        <v>10. Servicios sociales y mediación comunitaria</v>
      </c>
      <c r="U3734" s="35" t="str">
        <f>MID(Tabla1[[#This Row],[Aplicación]],9,4)</f>
        <v>2311</v>
      </c>
      <c r="V3734" s="35" t="str">
        <f>VLOOKUP(Tabla1[[#This Row],[PROGRAMA]],Hoja1!A:B,2,FALSE)</f>
        <v>2311. Intervención social</v>
      </c>
      <c r="W3734" s="35" t="str">
        <f>MID(Tabla1[[#This Row],[Aplicación]],14,2)</f>
        <v>21</v>
      </c>
      <c r="X3734" s="35" t="str">
        <f>MID(Tabla1[[#This Row],[Aplicación]],14,6)</f>
        <v>212</v>
      </c>
    </row>
    <row r="3735" spans="1:24" x14ac:dyDescent="0.25">
      <c r="A3735" s="45">
        <v>220210048732</v>
      </c>
      <c r="B3735" s="46" t="s">
        <v>204</v>
      </c>
      <c r="C3735" s="47">
        <v>44428</v>
      </c>
      <c r="D3735" s="45">
        <v>22021002375</v>
      </c>
      <c r="E3735" s="46" t="s">
        <v>1336</v>
      </c>
      <c r="F3735" s="48">
        <v>71.87</v>
      </c>
      <c r="G3735" s="46" t="s">
        <v>4378</v>
      </c>
      <c r="H3735" s="46" t="s">
        <v>5334</v>
      </c>
      <c r="I3735" s="45" t="s">
        <v>205</v>
      </c>
      <c r="J3735" s="46" t="s">
        <v>664</v>
      </c>
      <c r="K3735" s="46" t="s">
        <v>127</v>
      </c>
      <c r="L3735" s="46" t="s">
        <v>15</v>
      </c>
      <c r="M3735" s="46" t="s">
        <v>13</v>
      </c>
      <c r="N3735" s="46" t="s">
        <v>14</v>
      </c>
      <c r="O3735" s="49" t="s">
        <v>814</v>
      </c>
      <c r="P3735" s="49" t="s">
        <v>4910</v>
      </c>
      <c r="Q3735" s="35" t="str">
        <f>MID(Tabla1[[#This Row],[Aplicación]],14,1)</f>
        <v>2</v>
      </c>
      <c r="R3735" s="35" t="s">
        <v>495</v>
      </c>
      <c r="S3735" s="35" t="str">
        <f>MID(Tabla1[[#This Row],[Aplicación]],6,2)</f>
        <v>02</v>
      </c>
      <c r="T3735" s="35" t="str">
        <f>VLOOKUP(Tabla1[[#This Row],[AREA]],Hoja1!A:B,2,FALSE)</f>
        <v>02. Planeamiento urbanístico y vivienda</v>
      </c>
      <c r="U3735" s="35" t="str">
        <f>MID(Tabla1[[#This Row],[Aplicación]],9,4)</f>
        <v>9332</v>
      </c>
      <c r="V3735" s="35" t="str">
        <f>VLOOKUP(Tabla1[[#This Row],[PROGRAMA]],Hoja1!A:B,2,FALSE)</f>
        <v>9332. Mantenimiento de edificios e instalaciones municipales</v>
      </c>
      <c r="W3735" s="35" t="str">
        <f>MID(Tabla1[[#This Row],[Aplicación]],14,2)</f>
        <v>21</v>
      </c>
      <c r="X3735" s="35" t="str">
        <f>MID(Tabla1[[#This Row],[Aplicación]],14,6)</f>
        <v>212</v>
      </c>
    </row>
    <row r="3736" spans="1:24" x14ac:dyDescent="0.25">
      <c r="A3736" s="45">
        <v>220210061295</v>
      </c>
      <c r="B3736" s="46" t="s">
        <v>204</v>
      </c>
      <c r="C3736" s="47">
        <v>44468</v>
      </c>
      <c r="D3736" s="45">
        <v>22021001968</v>
      </c>
      <c r="E3736" s="46" t="s">
        <v>1388</v>
      </c>
      <c r="F3736" s="48">
        <v>627.03</v>
      </c>
      <c r="G3736" s="46" t="s">
        <v>4378</v>
      </c>
      <c r="H3736" s="46" t="s">
        <v>5335</v>
      </c>
      <c r="I3736" s="45" t="s">
        <v>205</v>
      </c>
      <c r="J3736" s="46" t="s">
        <v>664</v>
      </c>
      <c r="K3736" s="46" t="s">
        <v>127</v>
      </c>
      <c r="L3736" s="46" t="s">
        <v>15</v>
      </c>
      <c r="M3736" s="46" t="s">
        <v>13</v>
      </c>
      <c r="N3736" s="46" t="s">
        <v>14</v>
      </c>
      <c r="O3736" s="49" t="s">
        <v>814</v>
      </c>
      <c r="P3736" s="49" t="s">
        <v>4910</v>
      </c>
      <c r="Q3736" s="35" t="str">
        <f>MID(Tabla1[[#This Row],[Aplicación]],14,1)</f>
        <v>2</v>
      </c>
      <c r="R3736" s="35" t="s">
        <v>495</v>
      </c>
      <c r="S3736" s="35" t="str">
        <f>MID(Tabla1[[#This Row],[Aplicación]],6,2)</f>
        <v>11</v>
      </c>
      <c r="T3736" s="35" t="str">
        <f>VLOOKUP(Tabla1[[#This Row],[AREA]],Hoja1!A:B,2,FALSE)</f>
        <v>11. Salud pública y seguridad ciudadana</v>
      </c>
      <c r="U3736" s="35" t="str">
        <f>MID(Tabla1[[#This Row],[Aplicación]],9,4)</f>
        <v>1321</v>
      </c>
      <c r="V3736" s="35" t="str">
        <f>VLOOKUP(Tabla1[[#This Row],[PROGRAMA]],Hoja1!A:B,2,FALSE)</f>
        <v>1321. Policía municipal</v>
      </c>
      <c r="W3736" s="35" t="str">
        <f>MID(Tabla1[[#This Row],[Aplicación]],14,2)</f>
        <v>22</v>
      </c>
      <c r="X3736" s="35" t="str">
        <f>MID(Tabla1[[#This Row],[Aplicación]],14,6)</f>
        <v>22199</v>
      </c>
    </row>
    <row r="3737" spans="1:24" x14ac:dyDescent="0.25">
      <c r="A3737" s="45">
        <v>220210058820</v>
      </c>
      <c r="B3737" s="46" t="s">
        <v>204</v>
      </c>
      <c r="C3737" s="47">
        <v>44462</v>
      </c>
      <c r="D3737" s="45">
        <v>22021002228</v>
      </c>
      <c r="E3737" s="46" t="s">
        <v>1471</v>
      </c>
      <c r="F3737" s="48">
        <v>1413.11</v>
      </c>
      <c r="G3737" s="46" t="s">
        <v>4378</v>
      </c>
      <c r="H3737" s="46" t="s">
        <v>5336</v>
      </c>
      <c r="I3737" s="45" t="s">
        <v>205</v>
      </c>
      <c r="J3737" s="46" t="s">
        <v>664</v>
      </c>
      <c r="K3737" s="46" t="s">
        <v>127</v>
      </c>
      <c r="L3737" s="46" t="s">
        <v>15</v>
      </c>
      <c r="M3737" s="46" t="s">
        <v>13</v>
      </c>
      <c r="N3737" s="46" t="s">
        <v>16</v>
      </c>
      <c r="O3737" s="49" t="s">
        <v>814</v>
      </c>
      <c r="P3737" s="49" t="s">
        <v>4910</v>
      </c>
      <c r="Q3737" s="35" t="str">
        <f>MID(Tabla1[[#This Row],[Aplicación]],14,1)</f>
        <v>2</v>
      </c>
      <c r="R3737" s="35" t="s">
        <v>495</v>
      </c>
      <c r="S3737" s="35" t="str">
        <f>MID(Tabla1[[#This Row],[Aplicación]],6,2)</f>
        <v>06</v>
      </c>
      <c r="T3737" s="35" t="str">
        <f>VLOOKUP(Tabla1[[#This Row],[AREA]],Hoja1!A:B,2,FALSE)</f>
        <v>06. Educación, infancia, juventud e igualdad</v>
      </c>
      <c r="U3737" s="35" t="str">
        <f>MID(Tabla1[[#This Row],[Aplicación]],9,4)</f>
        <v>3232</v>
      </c>
      <c r="V3737" s="35" t="str">
        <f>VLOOKUP(Tabla1[[#This Row],[PROGRAMA]],Hoja1!A:B,2,FALSE)</f>
        <v>3232. Conservación y mantenimiento centros educación infantil y primaria</v>
      </c>
      <c r="W3737" s="35" t="str">
        <f>MID(Tabla1[[#This Row],[Aplicación]],14,2)</f>
        <v>21</v>
      </c>
      <c r="X3737" s="35" t="str">
        <f>MID(Tabla1[[#This Row],[Aplicación]],14,6)</f>
        <v>212</v>
      </c>
    </row>
    <row r="3738" spans="1:24" x14ac:dyDescent="0.25">
      <c r="A3738" s="45">
        <v>220210063178</v>
      </c>
      <c r="B3738" s="46" t="s">
        <v>204</v>
      </c>
      <c r="C3738" s="47">
        <v>44469</v>
      </c>
      <c r="D3738" s="45">
        <v>22021002228</v>
      </c>
      <c r="E3738" s="46" t="s">
        <v>1471</v>
      </c>
      <c r="F3738" s="48">
        <v>1275.93</v>
      </c>
      <c r="G3738" s="46" t="s">
        <v>4378</v>
      </c>
      <c r="H3738" s="46" t="s">
        <v>5337</v>
      </c>
      <c r="I3738" s="45" t="s">
        <v>205</v>
      </c>
      <c r="J3738" s="46" t="s">
        <v>664</v>
      </c>
      <c r="K3738" s="46" t="s">
        <v>127</v>
      </c>
      <c r="L3738" s="46" t="s">
        <v>15</v>
      </c>
      <c r="M3738" s="46" t="s">
        <v>13</v>
      </c>
      <c r="N3738" s="46" t="s">
        <v>16</v>
      </c>
      <c r="O3738" s="49" t="s">
        <v>814</v>
      </c>
      <c r="P3738" s="49" t="s">
        <v>4910</v>
      </c>
      <c r="Q3738" s="35" t="str">
        <f>MID(Tabla1[[#This Row],[Aplicación]],14,1)</f>
        <v>2</v>
      </c>
      <c r="R3738" s="35" t="s">
        <v>495</v>
      </c>
      <c r="S3738" s="35" t="str">
        <f>MID(Tabla1[[#This Row],[Aplicación]],6,2)</f>
        <v>06</v>
      </c>
      <c r="T3738" s="35" t="str">
        <f>VLOOKUP(Tabla1[[#This Row],[AREA]],Hoja1!A:B,2,FALSE)</f>
        <v>06. Educación, infancia, juventud e igualdad</v>
      </c>
      <c r="U3738" s="35" t="str">
        <f>MID(Tabla1[[#This Row],[Aplicación]],9,4)</f>
        <v>3232</v>
      </c>
      <c r="V3738" s="35" t="str">
        <f>VLOOKUP(Tabla1[[#This Row],[PROGRAMA]],Hoja1!A:B,2,FALSE)</f>
        <v>3232. Conservación y mantenimiento centros educación infantil y primaria</v>
      </c>
      <c r="W3738" s="35" t="str">
        <f>MID(Tabla1[[#This Row],[Aplicación]],14,2)</f>
        <v>21</v>
      </c>
      <c r="X3738" s="35" t="str">
        <f>MID(Tabla1[[#This Row],[Aplicación]],14,6)</f>
        <v>212</v>
      </c>
    </row>
    <row r="3739" spans="1:24" x14ac:dyDescent="0.25">
      <c r="A3739" s="45">
        <v>220210050347</v>
      </c>
      <c r="B3739" s="46" t="s">
        <v>9</v>
      </c>
      <c r="C3739" s="47">
        <v>44438</v>
      </c>
      <c r="D3739" s="45">
        <v>22021004954</v>
      </c>
      <c r="E3739" s="46" t="s">
        <v>1574</v>
      </c>
      <c r="F3739" s="48">
        <v>1210</v>
      </c>
      <c r="G3739" s="46" t="s">
        <v>302</v>
      </c>
      <c r="H3739" s="46" t="s">
        <v>5338</v>
      </c>
      <c r="I3739" s="45" t="s">
        <v>125</v>
      </c>
      <c r="J3739" s="46" t="s">
        <v>700</v>
      </c>
      <c r="K3739" s="46" t="s">
        <v>127</v>
      </c>
      <c r="L3739" s="46" t="s">
        <v>15</v>
      </c>
      <c r="M3739" s="46" t="s">
        <v>10</v>
      </c>
      <c r="N3739" s="46" t="s">
        <v>11</v>
      </c>
      <c r="O3739" s="49" t="s">
        <v>815</v>
      </c>
      <c r="P3739" s="49" t="s">
        <v>4910</v>
      </c>
      <c r="Q3739" s="35" t="str">
        <f>MID(Tabla1[[#This Row],[Aplicación]],14,1)</f>
        <v>2</v>
      </c>
      <c r="R3739" s="35" t="s">
        <v>495</v>
      </c>
      <c r="S3739" s="35" t="str">
        <f>MID(Tabla1[[#This Row],[Aplicación]],6,2)</f>
        <v>06</v>
      </c>
      <c r="T3739" s="35" t="str">
        <f>VLOOKUP(Tabla1[[#This Row],[AREA]],Hoja1!A:B,2,FALSE)</f>
        <v>06. Educación, infancia, juventud e igualdad</v>
      </c>
      <c r="U3739" s="35" t="str">
        <f>MID(Tabla1[[#This Row],[Aplicación]],9,4)</f>
        <v>3231</v>
      </c>
      <c r="V3739" s="35" t="str">
        <f>VLOOKUP(Tabla1[[#This Row],[PROGRAMA]],Hoja1!A:B,2,FALSE)</f>
        <v>3231. Escuelas infantiles</v>
      </c>
      <c r="W3739" s="35" t="str">
        <f>MID(Tabla1[[#This Row],[Aplicación]],14,2)</f>
        <v>21</v>
      </c>
      <c r="X3739" s="35" t="str">
        <f>MID(Tabla1[[#This Row],[Aplicación]],14,6)</f>
        <v>212</v>
      </c>
    </row>
    <row r="3740" spans="1:24" x14ac:dyDescent="0.25">
      <c r="A3740" s="45">
        <v>220210043882</v>
      </c>
      <c r="B3740" s="46" t="s">
        <v>9</v>
      </c>
      <c r="C3740" s="47">
        <v>44405</v>
      </c>
      <c r="D3740" s="45">
        <v>22021005615</v>
      </c>
      <c r="E3740" s="46" t="s">
        <v>2678</v>
      </c>
      <c r="F3740" s="48">
        <v>21812.79</v>
      </c>
      <c r="G3740" s="46" t="s">
        <v>229</v>
      </c>
      <c r="H3740" s="46" t="s">
        <v>5339</v>
      </c>
      <c r="I3740" s="45" t="s">
        <v>125</v>
      </c>
      <c r="J3740" s="46" t="s">
        <v>610</v>
      </c>
      <c r="K3740" s="46" t="s">
        <v>195</v>
      </c>
      <c r="L3740" s="46" t="s">
        <v>15</v>
      </c>
      <c r="M3740" s="46" t="s">
        <v>13</v>
      </c>
      <c r="N3740" s="46" t="s">
        <v>14</v>
      </c>
      <c r="O3740" s="49" t="s">
        <v>803</v>
      </c>
      <c r="P3740" s="49" t="s">
        <v>4910</v>
      </c>
      <c r="Q3740" s="35" t="str">
        <f>MID(Tabla1[[#This Row],[Aplicación]],14,1)</f>
        <v>6</v>
      </c>
      <c r="R3740" s="35" t="s">
        <v>496</v>
      </c>
      <c r="S3740" s="35" t="str">
        <f>MID(Tabla1[[#This Row],[Aplicación]],6,2)</f>
        <v>07</v>
      </c>
      <c r="T3740" s="35" t="str">
        <f>VLOOKUP(Tabla1[[#This Row],[AREA]],Hoja1!A:B,2,FALSE)</f>
        <v>07. Medio ambiente y desarrollo sostenible</v>
      </c>
      <c r="U3740" s="35" t="str">
        <f>MID(Tabla1[[#This Row],[Aplicación]],9,4)</f>
        <v>1721</v>
      </c>
      <c r="V3740" s="35" t="str">
        <f>VLOOKUP(Tabla1[[#This Row],[PROGRAMA]],Hoja1!A:B,2,FALSE)</f>
        <v>1721. Protección del medio ambiente</v>
      </c>
      <c r="W3740" s="35" t="str">
        <f>MID(Tabla1[[#This Row],[Aplicación]],14,2)</f>
        <v>62</v>
      </c>
      <c r="X3740" s="35" t="str">
        <f>MID(Tabla1[[#This Row],[Aplicación]],14,6)</f>
        <v>623</v>
      </c>
    </row>
    <row r="3741" spans="1:24" x14ac:dyDescent="0.25">
      <c r="A3741" s="45">
        <v>220210041569</v>
      </c>
      <c r="B3741" s="46" t="s">
        <v>9</v>
      </c>
      <c r="C3741" s="47">
        <v>44398</v>
      </c>
      <c r="D3741" s="45">
        <v>22021005688</v>
      </c>
      <c r="E3741" s="46" t="s">
        <v>1304</v>
      </c>
      <c r="F3741" s="48">
        <v>3790.7</v>
      </c>
      <c r="G3741" s="46" t="s">
        <v>229</v>
      </c>
      <c r="H3741" s="46" t="s">
        <v>5340</v>
      </c>
      <c r="I3741" s="45" t="s">
        <v>125</v>
      </c>
      <c r="J3741" s="46" t="s">
        <v>610</v>
      </c>
      <c r="K3741" s="46" t="s">
        <v>195</v>
      </c>
      <c r="L3741" s="46" t="s">
        <v>12</v>
      </c>
      <c r="M3741" s="46" t="s">
        <v>10</v>
      </c>
      <c r="N3741" s="46" t="s">
        <v>11</v>
      </c>
      <c r="O3741" s="49" t="s">
        <v>815</v>
      </c>
      <c r="P3741" s="49" t="s">
        <v>4910</v>
      </c>
      <c r="Q3741" s="35" t="str">
        <f>MID(Tabla1[[#This Row],[Aplicación]],14,1)</f>
        <v>2</v>
      </c>
      <c r="R3741" s="35" t="s">
        <v>495</v>
      </c>
      <c r="S3741" s="35" t="str">
        <f>MID(Tabla1[[#This Row],[Aplicación]],6,2)</f>
        <v>07</v>
      </c>
      <c r="T3741" s="35" t="str">
        <f>VLOOKUP(Tabla1[[#This Row],[AREA]],Hoja1!A:B,2,FALSE)</f>
        <v>07. Medio ambiente y desarrollo sostenible</v>
      </c>
      <c r="U3741" s="35" t="str">
        <f>MID(Tabla1[[#This Row],[Aplicación]],9,4)</f>
        <v>1721</v>
      </c>
      <c r="V3741" s="35" t="str">
        <f>VLOOKUP(Tabla1[[#This Row],[PROGRAMA]],Hoja1!A:B,2,FALSE)</f>
        <v>1721. Protección del medio ambiente</v>
      </c>
      <c r="W3741" s="35" t="str">
        <f>MID(Tabla1[[#This Row],[Aplicación]],14,2)</f>
        <v>22</v>
      </c>
      <c r="X3741" s="35" t="str">
        <f>MID(Tabla1[[#This Row],[Aplicación]],14,6)</f>
        <v>22799</v>
      </c>
    </row>
    <row r="3742" spans="1:24" x14ac:dyDescent="0.25">
      <c r="A3742" s="45">
        <v>220210039692</v>
      </c>
      <c r="B3742" s="46" t="s">
        <v>9</v>
      </c>
      <c r="C3742" s="47">
        <v>44393</v>
      </c>
      <c r="D3742" s="45">
        <v>22021005735</v>
      </c>
      <c r="E3742" s="46" t="s">
        <v>1380</v>
      </c>
      <c r="F3742" s="48">
        <v>853.05</v>
      </c>
      <c r="G3742" s="46" t="s">
        <v>5341</v>
      </c>
      <c r="H3742" s="46" t="s">
        <v>5342</v>
      </c>
      <c r="I3742" s="45" t="s">
        <v>125</v>
      </c>
      <c r="J3742" s="46" t="s">
        <v>5343</v>
      </c>
      <c r="K3742" s="46" t="s">
        <v>127</v>
      </c>
      <c r="L3742" s="46" t="s">
        <v>12</v>
      </c>
      <c r="M3742" s="46" t="s">
        <v>10</v>
      </c>
      <c r="N3742" s="46" t="s">
        <v>11</v>
      </c>
      <c r="O3742" s="49" t="s">
        <v>815</v>
      </c>
      <c r="P3742" s="49" t="s">
        <v>4910</v>
      </c>
      <c r="Q3742" s="35" t="str">
        <f>MID(Tabla1[[#This Row],[Aplicación]],14,1)</f>
        <v>2</v>
      </c>
      <c r="R3742" s="35" t="s">
        <v>495</v>
      </c>
      <c r="S3742" s="35" t="str">
        <f>MID(Tabla1[[#This Row],[Aplicación]],6,2)</f>
        <v>03</v>
      </c>
      <c r="T3742" s="35" t="str">
        <f>VLOOKUP(Tabla1[[#This Row],[AREA]],Hoja1!A:B,2,FALSE)</f>
        <v>03. Participación ciudadana y deportes</v>
      </c>
      <c r="U3742" s="35" t="str">
        <f>MID(Tabla1[[#This Row],[Aplicación]],9,4)</f>
        <v>9241</v>
      </c>
      <c r="V3742" s="35" t="str">
        <f>VLOOKUP(Tabla1[[#This Row],[PROGRAMA]],Hoja1!A:B,2,FALSE)</f>
        <v>9241. Participación ciudadana</v>
      </c>
      <c r="W3742" s="35" t="str">
        <f>MID(Tabla1[[#This Row],[Aplicación]],14,2)</f>
        <v>22</v>
      </c>
      <c r="X3742" s="35" t="str">
        <f>MID(Tabla1[[#This Row],[Aplicación]],14,6)</f>
        <v>22699</v>
      </c>
    </row>
    <row r="3743" spans="1:24" x14ac:dyDescent="0.25">
      <c r="A3743" s="45">
        <v>220210043989</v>
      </c>
      <c r="B3743" s="46" t="s">
        <v>204</v>
      </c>
      <c r="C3743" s="47">
        <v>44405</v>
      </c>
      <c r="D3743" s="45">
        <v>22021002601</v>
      </c>
      <c r="E3743" s="46" t="s">
        <v>3362</v>
      </c>
      <c r="F3743" s="48">
        <v>125.67</v>
      </c>
      <c r="G3743" s="46" t="s">
        <v>3939</v>
      </c>
      <c r="H3743" s="46" t="s">
        <v>5344</v>
      </c>
      <c r="I3743" s="45" t="s">
        <v>205</v>
      </c>
      <c r="J3743" s="46" t="s">
        <v>751</v>
      </c>
      <c r="K3743" s="46" t="s">
        <v>126</v>
      </c>
      <c r="L3743" s="46" t="s">
        <v>15</v>
      </c>
      <c r="M3743" s="46" t="s">
        <v>13</v>
      </c>
      <c r="N3743" s="46" t="s">
        <v>14</v>
      </c>
      <c r="O3743" s="49" t="s">
        <v>814</v>
      </c>
      <c r="P3743" s="49" t="s">
        <v>4910</v>
      </c>
      <c r="Q3743" s="35" t="str">
        <f>MID(Tabla1[[#This Row],[Aplicación]],14,1)</f>
        <v>6</v>
      </c>
      <c r="R3743" s="35" t="s">
        <v>496</v>
      </c>
      <c r="S3743" s="35" t="str">
        <f>MID(Tabla1[[#This Row],[Aplicación]],6,2)</f>
        <v>06</v>
      </c>
      <c r="T3743" s="35" t="str">
        <f>VLOOKUP(Tabla1[[#This Row],[AREA]],Hoja1!A:B,2,FALSE)</f>
        <v>06. Educación, infancia, juventud e igualdad</v>
      </c>
      <c r="U3743" s="35" t="str">
        <f>MID(Tabla1[[#This Row],[Aplicación]],9,4)</f>
        <v>3321</v>
      </c>
      <c r="V3743" s="35" t="str">
        <f>VLOOKUP(Tabla1[[#This Row],[PROGRAMA]],Hoja1!A:B,2,FALSE)</f>
        <v>3321. Bibliotecas públicas</v>
      </c>
      <c r="W3743" s="35" t="str">
        <f>MID(Tabla1[[#This Row],[Aplicación]],14,2)</f>
        <v>62</v>
      </c>
      <c r="X3743" s="35" t="str">
        <f>MID(Tabla1[[#This Row],[Aplicación]],14,6)</f>
        <v>629</v>
      </c>
    </row>
    <row r="3744" spans="1:24" x14ac:dyDescent="0.25">
      <c r="A3744" s="45">
        <v>220210037309</v>
      </c>
      <c r="B3744" s="46" t="s">
        <v>9</v>
      </c>
      <c r="C3744" s="47">
        <v>44392</v>
      </c>
      <c r="D3744" s="45">
        <v>22021005696</v>
      </c>
      <c r="E3744" s="46" t="s">
        <v>881</v>
      </c>
      <c r="F3744" s="48">
        <v>2394.25</v>
      </c>
      <c r="G3744" s="46" t="s">
        <v>119</v>
      </c>
      <c r="H3744" s="46" t="s">
        <v>5345</v>
      </c>
      <c r="I3744" s="45" t="s">
        <v>125</v>
      </c>
      <c r="J3744" s="46" t="s">
        <v>127</v>
      </c>
      <c r="K3744" s="46" t="s">
        <v>127</v>
      </c>
      <c r="L3744" s="46" t="s">
        <v>12</v>
      </c>
      <c r="M3744" s="46" t="s">
        <v>10</v>
      </c>
      <c r="N3744" s="46" t="s">
        <v>11</v>
      </c>
      <c r="O3744" s="49" t="s">
        <v>815</v>
      </c>
      <c r="P3744" s="49" t="s">
        <v>4910</v>
      </c>
      <c r="Q3744" s="35" t="str">
        <f>MID(Tabla1[[#This Row],[Aplicación]],14,1)</f>
        <v>2</v>
      </c>
      <c r="R3744" s="35" t="s">
        <v>495</v>
      </c>
      <c r="S3744" s="35" t="str">
        <f>MID(Tabla1[[#This Row],[Aplicación]],6,2)</f>
        <v>05</v>
      </c>
      <c r="T3744" s="35" t="str">
        <f>VLOOKUP(Tabla1[[#This Row],[AREA]],Hoja1!A:B,2,FALSE)</f>
        <v>05. Innovación, desarrollo económico, empleo y comercio</v>
      </c>
      <c r="U3744" s="35" t="str">
        <f>MID(Tabla1[[#This Row],[Aplicación]],9,4)</f>
        <v>4331</v>
      </c>
      <c r="V3744" s="35" t="str">
        <f>VLOOKUP(Tabla1[[#This Row],[PROGRAMA]],Hoja1!A:B,2,FALSE)</f>
        <v>4331. Desarrollo empresarial</v>
      </c>
      <c r="W3744" s="35" t="str">
        <f>MID(Tabla1[[#This Row],[Aplicación]],14,2)</f>
        <v>22</v>
      </c>
      <c r="X3744" s="35" t="str">
        <f>MID(Tabla1[[#This Row],[Aplicación]],14,6)</f>
        <v>22799</v>
      </c>
    </row>
    <row r="3745" spans="1:24" x14ac:dyDescent="0.25">
      <c r="A3745" s="45">
        <v>220210045983</v>
      </c>
      <c r="B3745" s="46" t="s">
        <v>9</v>
      </c>
      <c r="C3745" s="47">
        <v>44418</v>
      </c>
      <c r="D3745" s="45">
        <v>22021005699</v>
      </c>
      <c r="E3745" s="46" t="s">
        <v>881</v>
      </c>
      <c r="F3745" s="48">
        <v>10000</v>
      </c>
      <c r="G3745" s="46" t="s">
        <v>119</v>
      </c>
      <c r="H3745" s="46" t="s">
        <v>5346</v>
      </c>
      <c r="I3745" s="45" t="s">
        <v>125</v>
      </c>
      <c r="J3745" s="46" t="s">
        <v>127</v>
      </c>
      <c r="K3745" s="46" t="s">
        <v>127</v>
      </c>
      <c r="L3745" s="46" t="s">
        <v>12</v>
      </c>
      <c r="M3745" s="46" t="s">
        <v>13</v>
      </c>
      <c r="N3745" s="46" t="s">
        <v>14</v>
      </c>
      <c r="O3745" s="49" t="s">
        <v>803</v>
      </c>
      <c r="P3745" s="49" t="s">
        <v>4910</v>
      </c>
      <c r="Q3745" s="35" t="str">
        <f>MID(Tabla1[[#This Row],[Aplicación]],14,1)</f>
        <v>2</v>
      </c>
      <c r="R3745" s="35" t="s">
        <v>495</v>
      </c>
      <c r="S3745" s="35" t="str">
        <f>MID(Tabla1[[#This Row],[Aplicación]],6,2)</f>
        <v>05</v>
      </c>
      <c r="T3745" s="35" t="str">
        <f>VLOOKUP(Tabla1[[#This Row],[AREA]],Hoja1!A:B,2,FALSE)</f>
        <v>05. Innovación, desarrollo económico, empleo y comercio</v>
      </c>
      <c r="U3745" s="35" t="str">
        <f>MID(Tabla1[[#This Row],[Aplicación]],9,4)</f>
        <v>4331</v>
      </c>
      <c r="V3745" s="35" t="str">
        <f>VLOOKUP(Tabla1[[#This Row],[PROGRAMA]],Hoja1!A:B,2,FALSE)</f>
        <v>4331. Desarrollo empresarial</v>
      </c>
      <c r="W3745" s="35" t="str">
        <f>MID(Tabla1[[#This Row],[Aplicación]],14,2)</f>
        <v>22</v>
      </c>
      <c r="X3745" s="35" t="str">
        <f>MID(Tabla1[[#This Row],[Aplicación]],14,6)</f>
        <v>22799</v>
      </c>
    </row>
    <row r="3746" spans="1:24" x14ac:dyDescent="0.25">
      <c r="A3746" s="45">
        <v>220210045359</v>
      </c>
      <c r="B3746" s="46" t="s">
        <v>9</v>
      </c>
      <c r="C3746" s="47">
        <v>44413</v>
      </c>
      <c r="D3746" s="45">
        <v>22021004507</v>
      </c>
      <c r="E3746" s="46" t="s">
        <v>1279</v>
      </c>
      <c r="F3746" s="48">
        <v>78750</v>
      </c>
      <c r="G3746" s="46" t="s">
        <v>119</v>
      </c>
      <c r="H3746" s="46" t="s">
        <v>5347</v>
      </c>
      <c r="I3746" s="45" t="s">
        <v>125</v>
      </c>
      <c r="J3746" s="46" t="s">
        <v>127</v>
      </c>
      <c r="K3746" s="46" t="s">
        <v>127</v>
      </c>
      <c r="L3746" s="46" t="s">
        <v>12</v>
      </c>
      <c r="M3746" s="46" t="s">
        <v>13</v>
      </c>
      <c r="N3746" s="46" t="s">
        <v>14</v>
      </c>
      <c r="O3746" s="49" t="s">
        <v>803</v>
      </c>
      <c r="P3746" s="49" t="s">
        <v>4910</v>
      </c>
      <c r="Q3746" s="35" t="str">
        <f>MID(Tabla1[[#This Row],[Aplicación]],14,1)</f>
        <v>2</v>
      </c>
      <c r="R3746" s="35" t="s">
        <v>495</v>
      </c>
      <c r="S3746" s="35" t="str">
        <f>MID(Tabla1[[#This Row],[Aplicación]],6,2)</f>
        <v>04</v>
      </c>
      <c r="T3746" s="35" t="str">
        <f>VLOOKUP(Tabla1[[#This Row],[AREA]],Hoja1!A:B,2,FALSE)</f>
        <v>04. Planificación y recursos</v>
      </c>
      <c r="U3746" s="35" t="str">
        <f>MID(Tabla1[[#This Row],[Aplicación]],9,4)</f>
        <v>9231</v>
      </c>
      <c r="V3746" s="35" t="str">
        <f>VLOOKUP(Tabla1[[#This Row],[PROGRAMA]],Hoja1!A:B,2,FALSE)</f>
        <v>9231. Información, registro y gestión del padrón</v>
      </c>
      <c r="W3746" s="35" t="str">
        <f>MID(Tabla1[[#This Row],[Aplicación]],14,2)</f>
        <v>22</v>
      </c>
      <c r="X3746" s="35" t="str">
        <f>MID(Tabla1[[#This Row],[Aplicación]],14,6)</f>
        <v>22799</v>
      </c>
    </row>
    <row r="3747" spans="1:24" x14ac:dyDescent="0.25">
      <c r="A3747" s="45">
        <v>220210043981</v>
      </c>
      <c r="B3747" s="46" t="s">
        <v>204</v>
      </c>
      <c r="C3747" s="47">
        <v>44405</v>
      </c>
      <c r="D3747" s="45">
        <v>22021002601</v>
      </c>
      <c r="E3747" s="46" t="s">
        <v>3362</v>
      </c>
      <c r="F3747" s="48">
        <v>3627.9</v>
      </c>
      <c r="G3747" s="46" t="s">
        <v>3954</v>
      </c>
      <c r="H3747" s="46" t="s">
        <v>5348</v>
      </c>
      <c r="I3747" s="45" t="s">
        <v>205</v>
      </c>
      <c r="J3747" s="46" t="s">
        <v>127</v>
      </c>
      <c r="K3747" s="46" t="s">
        <v>127</v>
      </c>
      <c r="L3747" s="46" t="s">
        <v>15</v>
      </c>
      <c r="M3747" s="46" t="s">
        <v>13</v>
      </c>
      <c r="N3747" s="46" t="s">
        <v>14</v>
      </c>
      <c r="O3747" s="49" t="s">
        <v>814</v>
      </c>
      <c r="P3747" s="49" t="s">
        <v>4910</v>
      </c>
      <c r="Q3747" s="35" t="str">
        <f>MID(Tabla1[[#This Row],[Aplicación]],14,1)</f>
        <v>6</v>
      </c>
      <c r="R3747" s="35" t="s">
        <v>496</v>
      </c>
      <c r="S3747" s="35" t="str">
        <f>MID(Tabla1[[#This Row],[Aplicación]],6,2)</f>
        <v>06</v>
      </c>
      <c r="T3747" s="35" t="str">
        <f>VLOOKUP(Tabla1[[#This Row],[AREA]],Hoja1!A:B,2,FALSE)</f>
        <v>06. Educación, infancia, juventud e igualdad</v>
      </c>
      <c r="U3747" s="35" t="str">
        <f>MID(Tabla1[[#This Row],[Aplicación]],9,4)</f>
        <v>3321</v>
      </c>
      <c r="V3747" s="35" t="str">
        <f>VLOOKUP(Tabla1[[#This Row],[PROGRAMA]],Hoja1!A:B,2,FALSE)</f>
        <v>3321. Bibliotecas públicas</v>
      </c>
      <c r="W3747" s="35" t="str">
        <f>MID(Tabla1[[#This Row],[Aplicación]],14,2)</f>
        <v>62</v>
      </c>
      <c r="X3747" s="35" t="str">
        <f>MID(Tabla1[[#This Row],[Aplicación]],14,6)</f>
        <v>629</v>
      </c>
    </row>
    <row r="3748" spans="1:24" x14ac:dyDescent="0.25">
      <c r="A3748" s="45">
        <v>220210043983</v>
      </c>
      <c r="B3748" s="46" t="s">
        <v>204</v>
      </c>
      <c r="C3748" s="47">
        <v>44405</v>
      </c>
      <c r="D3748" s="45">
        <v>22021002601</v>
      </c>
      <c r="E3748" s="46" t="s">
        <v>3362</v>
      </c>
      <c r="F3748" s="48">
        <v>227.97</v>
      </c>
      <c r="G3748" s="46" t="s">
        <v>3954</v>
      </c>
      <c r="H3748" s="46" t="s">
        <v>5349</v>
      </c>
      <c r="I3748" s="45" t="s">
        <v>205</v>
      </c>
      <c r="J3748" s="46" t="s">
        <v>127</v>
      </c>
      <c r="K3748" s="46" t="s">
        <v>127</v>
      </c>
      <c r="L3748" s="46" t="s">
        <v>15</v>
      </c>
      <c r="M3748" s="46" t="s">
        <v>13</v>
      </c>
      <c r="N3748" s="46" t="s">
        <v>14</v>
      </c>
      <c r="O3748" s="49" t="s">
        <v>814</v>
      </c>
      <c r="P3748" s="49" t="s">
        <v>4910</v>
      </c>
      <c r="Q3748" s="35" t="str">
        <f>MID(Tabla1[[#This Row],[Aplicación]],14,1)</f>
        <v>6</v>
      </c>
      <c r="R3748" s="35" t="s">
        <v>496</v>
      </c>
      <c r="S3748" s="35" t="str">
        <f>MID(Tabla1[[#This Row],[Aplicación]],6,2)</f>
        <v>06</v>
      </c>
      <c r="T3748" s="35" t="str">
        <f>VLOOKUP(Tabla1[[#This Row],[AREA]],Hoja1!A:B,2,FALSE)</f>
        <v>06. Educación, infancia, juventud e igualdad</v>
      </c>
      <c r="U3748" s="35" t="str">
        <f>MID(Tabla1[[#This Row],[Aplicación]],9,4)</f>
        <v>3321</v>
      </c>
      <c r="V3748" s="35" t="str">
        <f>VLOOKUP(Tabla1[[#This Row],[PROGRAMA]],Hoja1!A:B,2,FALSE)</f>
        <v>3321. Bibliotecas públicas</v>
      </c>
      <c r="W3748" s="35" t="str">
        <f>MID(Tabla1[[#This Row],[Aplicación]],14,2)</f>
        <v>62</v>
      </c>
      <c r="X3748" s="35" t="str">
        <f>MID(Tabla1[[#This Row],[Aplicación]],14,6)</f>
        <v>629</v>
      </c>
    </row>
    <row r="3749" spans="1:24" x14ac:dyDescent="0.25">
      <c r="A3749" s="45">
        <v>220210041568</v>
      </c>
      <c r="B3749" s="46" t="s">
        <v>9</v>
      </c>
      <c r="C3749" s="47">
        <v>44398</v>
      </c>
      <c r="D3749" s="45">
        <v>22021005684</v>
      </c>
      <c r="E3749" s="46" t="s">
        <v>1304</v>
      </c>
      <c r="F3749" s="48">
        <v>2147.75</v>
      </c>
      <c r="G3749" s="46" t="s">
        <v>5350</v>
      </c>
      <c r="H3749" s="46" t="s">
        <v>5351</v>
      </c>
      <c r="I3749" s="45" t="s">
        <v>125</v>
      </c>
      <c r="J3749" s="46" t="s">
        <v>146</v>
      </c>
      <c r="K3749" s="46" t="s">
        <v>146</v>
      </c>
      <c r="L3749" s="46" t="s">
        <v>12</v>
      </c>
      <c r="M3749" s="46" t="s">
        <v>10</v>
      </c>
      <c r="N3749" s="46" t="s">
        <v>11</v>
      </c>
      <c r="O3749" s="49" t="s">
        <v>815</v>
      </c>
      <c r="P3749" s="49" t="s">
        <v>4910</v>
      </c>
      <c r="Q3749" s="35" t="str">
        <f>MID(Tabla1[[#This Row],[Aplicación]],14,1)</f>
        <v>2</v>
      </c>
      <c r="R3749" s="35" t="s">
        <v>495</v>
      </c>
      <c r="S3749" s="35" t="str">
        <f>MID(Tabla1[[#This Row],[Aplicación]],6,2)</f>
        <v>07</v>
      </c>
      <c r="T3749" s="35" t="str">
        <f>VLOOKUP(Tabla1[[#This Row],[AREA]],Hoja1!A:B,2,FALSE)</f>
        <v>07. Medio ambiente y desarrollo sostenible</v>
      </c>
      <c r="U3749" s="35" t="str">
        <f>MID(Tabla1[[#This Row],[Aplicación]],9,4)</f>
        <v>1721</v>
      </c>
      <c r="V3749" s="35" t="str">
        <f>VLOOKUP(Tabla1[[#This Row],[PROGRAMA]],Hoja1!A:B,2,FALSE)</f>
        <v>1721. Protección del medio ambiente</v>
      </c>
      <c r="W3749" s="35" t="str">
        <f>MID(Tabla1[[#This Row],[Aplicación]],14,2)</f>
        <v>22</v>
      </c>
      <c r="X3749" s="35" t="str">
        <f>MID(Tabla1[[#This Row],[Aplicación]],14,6)</f>
        <v>22799</v>
      </c>
    </row>
    <row r="3750" spans="1:24" x14ac:dyDescent="0.25">
      <c r="A3750" s="45">
        <v>220210043816</v>
      </c>
      <c r="B3750" s="46" t="s">
        <v>9</v>
      </c>
      <c r="C3750" s="47">
        <v>44404</v>
      </c>
      <c r="D3750" s="45">
        <v>22021005873</v>
      </c>
      <c r="E3750" s="46" t="s">
        <v>823</v>
      </c>
      <c r="F3750" s="48">
        <v>544.5</v>
      </c>
      <c r="G3750" s="46" t="s">
        <v>82</v>
      </c>
      <c r="H3750" s="46" t="s">
        <v>5352</v>
      </c>
      <c r="I3750" s="45" t="s">
        <v>125</v>
      </c>
      <c r="J3750" s="46" t="s">
        <v>629</v>
      </c>
      <c r="K3750" s="46" t="s">
        <v>127</v>
      </c>
      <c r="L3750" s="46" t="s">
        <v>12</v>
      </c>
      <c r="M3750" s="46" t="s">
        <v>10</v>
      </c>
      <c r="N3750" s="46" t="s">
        <v>11</v>
      </c>
      <c r="O3750" s="49" t="s">
        <v>815</v>
      </c>
      <c r="P3750" s="49" t="s">
        <v>4910</v>
      </c>
      <c r="Q3750" s="35" t="str">
        <f>MID(Tabla1[[#This Row],[Aplicación]],14,1)</f>
        <v>2</v>
      </c>
      <c r="R3750" s="35" t="s">
        <v>495</v>
      </c>
      <c r="S3750" s="35" t="str">
        <f>MID(Tabla1[[#This Row],[Aplicación]],6,2)</f>
        <v>03</v>
      </c>
      <c r="T3750" s="35" t="str">
        <f>VLOOKUP(Tabla1[[#This Row],[AREA]],Hoja1!A:B,2,FALSE)</f>
        <v>03. Participación ciudadana y deportes</v>
      </c>
      <c r="U3750" s="35" t="str">
        <f>MID(Tabla1[[#This Row],[Aplicación]],9,4)</f>
        <v>9241</v>
      </c>
      <c r="V3750" s="35" t="str">
        <f>VLOOKUP(Tabla1[[#This Row],[PROGRAMA]],Hoja1!A:B,2,FALSE)</f>
        <v>9241. Participación ciudadana</v>
      </c>
      <c r="W3750" s="35" t="str">
        <f>MID(Tabla1[[#This Row],[Aplicación]],14,2)</f>
        <v>22</v>
      </c>
      <c r="X3750" s="35" t="str">
        <f>MID(Tabla1[[#This Row],[Aplicación]],14,6)</f>
        <v>22609</v>
      </c>
    </row>
    <row r="3751" spans="1:24" x14ac:dyDescent="0.25">
      <c r="A3751" s="45">
        <v>220210063187</v>
      </c>
      <c r="B3751" s="46" t="s">
        <v>204</v>
      </c>
      <c r="C3751" s="47">
        <v>44469</v>
      </c>
      <c r="D3751" s="45">
        <v>22021002228</v>
      </c>
      <c r="E3751" s="46" t="s">
        <v>1471</v>
      </c>
      <c r="F3751" s="48">
        <v>1015.57</v>
      </c>
      <c r="G3751" s="46" t="s">
        <v>4378</v>
      </c>
      <c r="H3751" s="46" t="s">
        <v>5353</v>
      </c>
      <c r="I3751" s="45" t="s">
        <v>205</v>
      </c>
      <c r="J3751" s="46" t="s">
        <v>664</v>
      </c>
      <c r="K3751" s="46" t="s">
        <v>127</v>
      </c>
      <c r="L3751" s="46" t="s">
        <v>15</v>
      </c>
      <c r="M3751" s="46" t="s">
        <v>13</v>
      </c>
      <c r="N3751" s="46" t="s">
        <v>14</v>
      </c>
      <c r="O3751" s="49" t="s">
        <v>814</v>
      </c>
      <c r="P3751" s="49" t="s">
        <v>4910</v>
      </c>
      <c r="Q3751" s="35" t="str">
        <f>MID(Tabla1[[#This Row],[Aplicación]],14,1)</f>
        <v>2</v>
      </c>
      <c r="R3751" s="35" t="s">
        <v>495</v>
      </c>
      <c r="S3751" s="35" t="str">
        <f>MID(Tabla1[[#This Row],[Aplicación]],6,2)</f>
        <v>06</v>
      </c>
      <c r="T3751" s="35" t="str">
        <f>VLOOKUP(Tabla1[[#This Row],[AREA]],Hoja1!A:B,2,FALSE)</f>
        <v>06. Educación, infancia, juventud e igualdad</v>
      </c>
      <c r="U3751" s="35" t="str">
        <f>MID(Tabla1[[#This Row],[Aplicación]],9,4)</f>
        <v>3232</v>
      </c>
      <c r="V3751" s="35" t="str">
        <f>VLOOKUP(Tabla1[[#This Row],[PROGRAMA]],Hoja1!A:B,2,FALSE)</f>
        <v>3232. Conservación y mantenimiento centros educación infantil y primaria</v>
      </c>
      <c r="W3751" s="35" t="str">
        <f>MID(Tabla1[[#This Row],[Aplicación]],14,2)</f>
        <v>21</v>
      </c>
      <c r="X3751" s="35" t="str">
        <f>MID(Tabla1[[#This Row],[Aplicación]],14,6)</f>
        <v>212</v>
      </c>
    </row>
    <row r="3752" spans="1:24" x14ac:dyDescent="0.25">
      <c r="A3752" s="45">
        <v>220210063153</v>
      </c>
      <c r="B3752" s="46" t="s">
        <v>204</v>
      </c>
      <c r="C3752" s="47">
        <v>44469</v>
      </c>
      <c r="D3752" s="45">
        <v>22021002375</v>
      </c>
      <c r="E3752" s="46" t="s">
        <v>1336</v>
      </c>
      <c r="F3752" s="48">
        <v>119.91</v>
      </c>
      <c r="G3752" s="46" t="s">
        <v>4378</v>
      </c>
      <c r="H3752" s="46" t="s">
        <v>5354</v>
      </c>
      <c r="I3752" s="45" t="s">
        <v>205</v>
      </c>
      <c r="J3752" s="46" t="s">
        <v>664</v>
      </c>
      <c r="K3752" s="46" t="s">
        <v>127</v>
      </c>
      <c r="L3752" s="46" t="s">
        <v>15</v>
      </c>
      <c r="M3752" s="46" t="s">
        <v>13</v>
      </c>
      <c r="N3752" s="46" t="s">
        <v>14</v>
      </c>
      <c r="O3752" s="49" t="s">
        <v>814</v>
      </c>
      <c r="P3752" s="49" t="s">
        <v>4910</v>
      </c>
      <c r="Q3752" s="35" t="str">
        <f>MID(Tabla1[[#This Row],[Aplicación]],14,1)</f>
        <v>2</v>
      </c>
      <c r="R3752" s="35" t="s">
        <v>495</v>
      </c>
      <c r="S3752" s="35" t="str">
        <f>MID(Tabla1[[#This Row],[Aplicación]],6,2)</f>
        <v>02</v>
      </c>
      <c r="T3752" s="35" t="str">
        <f>VLOOKUP(Tabla1[[#This Row],[AREA]],Hoja1!A:B,2,FALSE)</f>
        <v>02. Planeamiento urbanístico y vivienda</v>
      </c>
      <c r="U3752" s="35" t="str">
        <f>MID(Tabla1[[#This Row],[Aplicación]],9,4)</f>
        <v>9332</v>
      </c>
      <c r="V3752" s="35" t="str">
        <f>VLOOKUP(Tabla1[[#This Row],[PROGRAMA]],Hoja1!A:B,2,FALSE)</f>
        <v>9332. Mantenimiento de edificios e instalaciones municipales</v>
      </c>
      <c r="W3752" s="35" t="str">
        <f>MID(Tabla1[[#This Row],[Aplicación]],14,2)</f>
        <v>21</v>
      </c>
      <c r="X3752" s="35" t="str">
        <f>MID(Tabla1[[#This Row],[Aplicación]],14,6)</f>
        <v>212</v>
      </c>
    </row>
    <row r="3753" spans="1:24" x14ac:dyDescent="0.25">
      <c r="A3753" s="45">
        <v>220210063163</v>
      </c>
      <c r="B3753" s="46" t="s">
        <v>204</v>
      </c>
      <c r="C3753" s="47">
        <v>44469</v>
      </c>
      <c r="D3753" s="45">
        <v>22021002088</v>
      </c>
      <c r="E3753" s="46" t="s">
        <v>1478</v>
      </c>
      <c r="F3753" s="48">
        <v>98.59</v>
      </c>
      <c r="G3753" s="46" t="s">
        <v>4378</v>
      </c>
      <c r="H3753" s="46" t="s">
        <v>5355</v>
      </c>
      <c r="I3753" s="45" t="s">
        <v>205</v>
      </c>
      <c r="J3753" s="46" t="s">
        <v>664</v>
      </c>
      <c r="K3753" s="46" t="s">
        <v>127</v>
      </c>
      <c r="L3753" s="46" t="s">
        <v>15</v>
      </c>
      <c r="M3753" s="46" t="s">
        <v>13</v>
      </c>
      <c r="N3753" s="46" t="s">
        <v>16</v>
      </c>
      <c r="O3753" s="49" t="s">
        <v>814</v>
      </c>
      <c r="P3753" s="49" t="s">
        <v>4910</v>
      </c>
      <c r="Q3753" s="35" t="str">
        <f>MID(Tabla1[[#This Row],[Aplicación]],14,1)</f>
        <v>2</v>
      </c>
      <c r="R3753" s="35" t="s">
        <v>495</v>
      </c>
      <c r="S3753" s="35" t="str">
        <f>MID(Tabla1[[#This Row],[Aplicación]],6,2)</f>
        <v>03</v>
      </c>
      <c r="T3753" s="35" t="str">
        <f>VLOOKUP(Tabla1[[#This Row],[AREA]],Hoja1!A:B,2,FALSE)</f>
        <v>03. Participación ciudadana y deportes</v>
      </c>
      <c r="U3753" s="35" t="str">
        <f>MID(Tabla1[[#This Row],[Aplicación]],9,4)</f>
        <v>9241</v>
      </c>
      <c r="V3753" s="35" t="str">
        <f>VLOOKUP(Tabla1[[#This Row],[PROGRAMA]],Hoja1!A:B,2,FALSE)</f>
        <v>9241. Participación ciudadana</v>
      </c>
      <c r="W3753" s="35" t="str">
        <f>MID(Tabla1[[#This Row],[Aplicación]],14,2)</f>
        <v>21</v>
      </c>
      <c r="X3753" s="35" t="str">
        <f>MID(Tabla1[[#This Row],[Aplicación]],14,6)</f>
        <v>212</v>
      </c>
    </row>
    <row r="3754" spans="1:24" x14ac:dyDescent="0.25">
      <c r="A3754" s="45">
        <v>220210058817</v>
      </c>
      <c r="B3754" s="46" t="s">
        <v>204</v>
      </c>
      <c r="C3754" s="47">
        <v>44462</v>
      </c>
      <c r="D3754" s="45">
        <v>22021002225</v>
      </c>
      <c r="E3754" s="46" t="s">
        <v>1574</v>
      </c>
      <c r="F3754" s="48">
        <v>84.3</v>
      </c>
      <c r="G3754" s="46" t="s">
        <v>4378</v>
      </c>
      <c r="H3754" s="46" t="s">
        <v>5356</v>
      </c>
      <c r="I3754" s="45" t="s">
        <v>205</v>
      </c>
      <c r="J3754" s="46" t="s">
        <v>664</v>
      </c>
      <c r="K3754" s="46" t="s">
        <v>127</v>
      </c>
      <c r="L3754" s="46" t="s">
        <v>15</v>
      </c>
      <c r="M3754" s="46" t="s">
        <v>13</v>
      </c>
      <c r="N3754" s="46" t="s">
        <v>16</v>
      </c>
      <c r="O3754" s="49" t="s">
        <v>814</v>
      </c>
      <c r="P3754" s="49" t="s">
        <v>4910</v>
      </c>
      <c r="Q3754" s="35" t="str">
        <f>MID(Tabla1[[#This Row],[Aplicación]],14,1)</f>
        <v>2</v>
      </c>
      <c r="R3754" s="35" t="s">
        <v>495</v>
      </c>
      <c r="S3754" s="35" t="str">
        <f>MID(Tabla1[[#This Row],[Aplicación]],6,2)</f>
        <v>06</v>
      </c>
      <c r="T3754" s="35" t="str">
        <f>VLOOKUP(Tabla1[[#This Row],[AREA]],Hoja1!A:B,2,FALSE)</f>
        <v>06. Educación, infancia, juventud e igualdad</v>
      </c>
      <c r="U3754" s="35" t="str">
        <f>MID(Tabla1[[#This Row],[Aplicación]],9,4)</f>
        <v>3231</v>
      </c>
      <c r="V3754" s="35" t="str">
        <f>VLOOKUP(Tabla1[[#This Row],[PROGRAMA]],Hoja1!A:B,2,FALSE)</f>
        <v>3231. Escuelas infantiles</v>
      </c>
      <c r="W3754" s="35" t="str">
        <f>MID(Tabla1[[#This Row],[Aplicación]],14,2)</f>
        <v>21</v>
      </c>
      <c r="X3754" s="35" t="str">
        <f>MID(Tabla1[[#This Row],[Aplicación]],14,6)</f>
        <v>212</v>
      </c>
    </row>
    <row r="3755" spans="1:24" x14ac:dyDescent="0.25">
      <c r="A3755" s="45">
        <v>220210040197</v>
      </c>
      <c r="B3755" s="46" t="s">
        <v>204</v>
      </c>
      <c r="C3755" s="47">
        <v>44396</v>
      </c>
      <c r="D3755" s="45">
        <v>22021003187</v>
      </c>
      <c r="E3755" s="46" t="s">
        <v>1884</v>
      </c>
      <c r="F3755" s="48">
        <v>935.49</v>
      </c>
      <c r="G3755" s="46" t="s">
        <v>223</v>
      </c>
      <c r="H3755" s="46" t="s">
        <v>5357</v>
      </c>
      <c r="I3755" s="45" t="s">
        <v>205</v>
      </c>
      <c r="J3755" s="46" t="s">
        <v>127</v>
      </c>
      <c r="K3755" s="46" t="s">
        <v>127</v>
      </c>
      <c r="L3755" s="46" t="s">
        <v>15</v>
      </c>
      <c r="M3755" s="46" t="s">
        <v>13</v>
      </c>
      <c r="N3755" s="46" t="s">
        <v>14</v>
      </c>
      <c r="O3755" s="49" t="s">
        <v>814</v>
      </c>
      <c r="P3755" s="49" t="s">
        <v>4910</v>
      </c>
      <c r="Q3755" s="35" t="str">
        <f>MID(Tabla1[[#This Row],[Aplicación]],14,1)</f>
        <v>2</v>
      </c>
      <c r="R3755" s="35" t="s">
        <v>495</v>
      </c>
      <c r="S3755" s="35" t="str">
        <f>MID(Tabla1[[#This Row],[Aplicación]],6,2)</f>
        <v>06</v>
      </c>
      <c r="T3755" s="35" t="str">
        <f>VLOOKUP(Tabla1[[#This Row],[AREA]],Hoja1!A:B,2,FALSE)</f>
        <v>06. Educación, infancia, juventud e igualdad</v>
      </c>
      <c r="U3755" s="35" t="str">
        <f>MID(Tabla1[[#This Row],[Aplicación]],9,4)</f>
        <v>2314</v>
      </c>
      <c r="V3755" s="35" t="str">
        <f>VLOOKUP(Tabla1[[#This Row],[PROGRAMA]],Hoja1!A:B,2,FALSE)</f>
        <v>2314. Centro de programas juveniles</v>
      </c>
      <c r="W3755" s="35" t="str">
        <f>MID(Tabla1[[#This Row],[Aplicación]],14,2)</f>
        <v>21</v>
      </c>
      <c r="X3755" s="35" t="str">
        <f>MID(Tabla1[[#This Row],[Aplicación]],14,6)</f>
        <v>212</v>
      </c>
    </row>
    <row r="3756" spans="1:24" x14ac:dyDescent="0.25">
      <c r="A3756" s="45">
        <v>220210040197</v>
      </c>
      <c r="B3756" s="46" t="s">
        <v>204</v>
      </c>
      <c r="C3756" s="47">
        <v>44396</v>
      </c>
      <c r="D3756" s="45">
        <v>22021003187</v>
      </c>
      <c r="E3756" s="46" t="s">
        <v>1884</v>
      </c>
      <c r="F3756" s="48">
        <v>653.97</v>
      </c>
      <c r="G3756" s="46" t="s">
        <v>223</v>
      </c>
      <c r="H3756" s="46" t="s">
        <v>5357</v>
      </c>
      <c r="I3756" s="45" t="s">
        <v>205</v>
      </c>
      <c r="J3756" s="46" t="s">
        <v>127</v>
      </c>
      <c r="K3756" s="46" t="s">
        <v>127</v>
      </c>
      <c r="L3756" s="46" t="s">
        <v>15</v>
      </c>
      <c r="M3756" s="46" t="s">
        <v>13</v>
      </c>
      <c r="N3756" s="46" t="s">
        <v>14</v>
      </c>
      <c r="O3756" s="49" t="s">
        <v>814</v>
      </c>
      <c r="P3756" s="49" t="s">
        <v>4910</v>
      </c>
      <c r="Q3756" s="35" t="str">
        <f>MID(Tabla1[[#This Row],[Aplicación]],14,1)</f>
        <v>2</v>
      </c>
      <c r="R3756" s="35" t="s">
        <v>495</v>
      </c>
      <c r="S3756" s="35" t="str">
        <f>MID(Tabla1[[#This Row],[Aplicación]],6,2)</f>
        <v>06</v>
      </c>
      <c r="T3756" s="35" t="str">
        <f>VLOOKUP(Tabla1[[#This Row],[AREA]],Hoja1!A:B,2,FALSE)</f>
        <v>06. Educación, infancia, juventud e igualdad</v>
      </c>
      <c r="U3756" s="35" t="str">
        <f>MID(Tabla1[[#This Row],[Aplicación]],9,4)</f>
        <v>2314</v>
      </c>
      <c r="V3756" s="35" t="str">
        <f>VLOOKUP(Tabla1[[#This Row],[PROGRAMA]],Hoja1!A:B,2,FALSE)</f>
        <v>2314. Centro de programas juveniles</v>
      </c>
      <c r="W3756" s="35" t="str">
        <f>MID(Tabla1[[#This Row],[Aplicación]],14,2)</f>
        <v>21</v>
      </c>
      <c r="X3756" s="35" t="str">
        <f>MID(Tabla1[[#This Row],[Aplicación]],14,6)</f>
        <v>212</v>
      </c>
    </row>
    <row r="3757" spans="1:24" x14ac:dyDescent="0.25">
      <c r="A3757" s="45">
        <v>220210040180</v>
      </c>
      <c r="B3757" s="46" t="s">
        <v>204</v>
      </c>
      <c r="C3757" s="47">
        <v>44396</v>
      </c>
      <c r="D3757" s="45">
        <v>22021002089</v>
      </c>
      <c r="E3757" s="46" t="s">
        <v>1220</v>
      </c>
      <c r="F3757" s="48">
        <v>1401.45</v>
      </c>
      <c r="G3757" s="46" t="s">
        <v>223</v>
      </c>
      <c r="H3757" s="46" t="s">
        <v>5358</v>
      </c>
      <c r="I3757" s="45" t="s">
        <v>205</v>
      </c>
      <c r="J3757" s="46" t="s">
        <v>127</v>
      </c>
      <c r="K3757" s="46" t="s">
        <v>127</v>
      </c>
      <c r="L3757" s="46" t="s">
        <v>15</v>
      </c>
      <c r="M3757" s="46" t="s">
        <v>13</v>
      </c>
      <c r="N3757" s="46" t="s">
        <v>16</v>
      </c>
      <c r="O3757" s="49" t="s">
        <v>814</v>
      </c>
      <c r="P3757" s="49" t="s">
        <v>4910</v>
      </c>
      <c r="Q3757" s="35" t="str">
        <f>MID(Tabla1[[#This Row],[Aplicación]],14,1)</f>
        <v>2</v>
      </c>
      <c r="R3757" s="35" t="s">
        <v>495</v>
      </c>
      <c r="S3757" s="35" t="str">
        <f>MID(Tabla1[[#This Row],[Aplicación]],6,2)</f>
        <v>03</v>
      </c>
      <c r="T3757" s="35" t="str">
        <f>VLOOKUP(Tabla1[[#This Row],[AREA]],Hoja1!A:B,2,FALSE)</f>
        <v>03. Participación ciudadana y deportes</v>
      </c>
      <c r="U3757" s="35" t="str">
        <f>MID(Tabla1[[#This Row],[Aplicación]],9,4)</f>
        <v>9241</v>
      </c>
      <c r="V3757" s="35" t="str">
        <f>VLOOKUP(Tabla1[[#This Row],[PROGRAMA]],Hoja1!A:B,2,FALSE)</f>
        <v>9241. Participación ciudadana</v>
      </c>
      <c r="W3757" s="35" t="str">
        <f>MID(Tabla1[[#This Row],[Aplicación]],14,2)</f>
        <v>21</v>
      </c>
      <c r="X3757" s="35" t="str">
        <f>MID(Tabla1[[#This Row],[Aplicación]],14,6)</f>
        <v>213</v>
      </c>
    </row>
    <row r="3758" spans="1:24" x14ac:dyDescent="0.25">
      <c r="A3758" s="45">
        <v>220210036773</v>
      </c>
      <c r="B3758" s="46" t="s">
        <v>204</v>
      </c>
      <c r="C3758" s="47">
        <v>44386</v>
      </c>
      <c r="D3758" s="45">
        <v>22021001966</v>
      </c>
      <c r="E3758" s="46" t="s">
        <v>950</v>
      </c>
      <c r="F3758" s="48">
        <v>916.97</v>
      </c>
      <c r="G3758" s="46" t="s">
        <v>223</v>
      </c>
      <c r="H3758" s="46" t="s">
        <v>5359</v>
      </c>
      <c r="I3758" s="45" t="s">
        <v>205</v>
      </c>
      <c r="J3758" s="46" t="s">
        <v>127</v>
      </c>
      <c r="K3758" s="46" t="s">
        <v>127</v>
      </c>
      <c r="L3758" s="46" t="s">
        <v>15</v>
      </c>
      <c r="M3758" s="46" t="s">
        <v>13</v>
      </c>
      <c r="N3758" s="46" t="s">
        <v>14</v>
      </c>
      <c r="O3758" s="49" t="s">
        <v>814</v>
      </c>
      <c r="P3758" s="49" t="s">
        <v>4910</v>
      </c>
      <c r="Q3758" s="35" t="str">
        <f>MID(Tabla1[[#This Row],[Aplicación]],14,1)</f>
        <v>2</v>
      </c>
      <c r="R3758" s="35" t="s">
        <v>495</v>
      </c>
      <c r="S3758" s="35" t="str">
        <f>MID(Tabla1[[#This Row],[Aplicación]],6,2)</f>
        <v>11</v>
      </c>
      <c r="T3758" s="35" t="str">
        <f>VLOOKUP(Tabla1[[#This Row],[AREA]],Hoja1!A:B,2,FALSE)</f>
        <v>11. Salud pública y seguridad ciudadana</v>
      </c>
      <c r="U3758" s="35" t="str">
        <f>MID(Tabla1[[#This Row],[Aplicación]],9,4)</f>
        <v>1321</v>
      </c>
      <c r="V3758" s="35" t="str">
        <f>VLOOKUP(Tabla1[[#This Row],[PROGRAMA]],Hoja1!A:B,2,FALSE)</f>
        <v>1321. Policía municipal</v>
      </c>
      <c r="W3758" s="35" t="str">
        <f>MID(Tabla1[[#This Row],[Aplicación]],14,2)</f>
        <v>21</v>
      </c>
      <c r="X3758" s="35" t="str">
        <f>MID(Tabla1[[#This Row],[Aplicación]],14,6)</f>
        <v>213</v>
      </c>
    </row>
    <row r="3759" spans="1:24" x14ac:dyDescent="0.25">
      <c r="A3759" s="45">
        <v>220210043974</v>
      </c>
      <c r="B3759" s="46" t="s">
        <v>204</v>
      </c>
      <c r="C3759" s="47">
        <v>44405</v>
      </c>
      <c r="D3759" s="45">
        <v>22021003381</v>
      </c>
      <c r="E3759" s="46" t="s">
        <v>1183</v>
      </c>
      <c r="F3759" s="48">
        <v>322.58999999999997</v>
      </c>
      <c r="G3759" s="46" t="s">
        <v>223</v>
      </c>
      <c r="H3759" s="46" t="s">
        <v>5360</v>
      </c>
      <c r="I3759" s="45" t="s">
        <v>205</v>
      </c>
      <c r="J3759" s="46" t="s">
        <v>127</v>
      </c>
      <c r="K3759" s="46" t="s">
        <v>127</v>
      </c>
      <c r="L3759" s="46" t="s">
        <v>15</v>
      </c>
      <c r="M3759" s="46" t="s">
        <v>13</v>
      </c>
      <c r="N3759" s="46" t="s">
        <v>14</v>
      </c>
      <c r="O3759" s="49" t="s">
        <v>814</v>
      </c>
      <c r="P3759" s="49" t="s">
        <v>4910</v>
      </c>
      <c r="Q3759" s="35" t="str">
        <f>MID(Tabla1[[#This Row],[Aplicación]],14,1)</f>
        <v>2</v>
      </c>
      <c r="R3759" s="35" t="s">
        <v>495</v>
      </c>
      <c r="S3759" s="35" t="str">
        <f>MID(Tabla1[[#This Row],[Aplicación]],6,2)</f>
        <v>11</v>
      </c>
      <c r="T3759" s="35" t="str">
        <f>VLOOKUP(Tabla1[[#This Row],[AREA]],Hoja1!A:B,2,FALSE)</f>
        <v>11. Salud pública y seguridad ciudadana</v>
      </c>
      <c r="U3759" s="35" t="str">
        <f>MID(Tabla1[[#This Row],[Aplicación]],9,4)</f>
        <v>1361</v>
      </c>
      <c r="V3759" s="35" t="str">
        <f>VLOOKUP(Tabla1[[#This Row],[PROGRAMA]],Hoja1!A:B,2,FALSE)</f>
        <v>1361. Prevención y extinción de incencios</v>
      </c>
      <c r="W3759" s="35" t="str">
        <f>MID(Tabla1[[#This Row],[Aplicación]],14,2)</f>
        <v>22</v>
      </c>
      <c r="X3759" s="35" t="str">
        <f>MID(Tabla1[[#This Row],[Aplicación]],14,6)</f>
        <v>22199</v>
      </c>
    </row>
    <row r="3760" spans="1:24" x14ac:dyDescent="0.25">
      <c r="A3760" s="45">
        <v>220210040908</v>
      </c>
      <c r="B3760" s="46" t="s">
        <v>204</v>
      </c>
      <c r="C3760" s="47">
        <v>44397</v>
      </c>
      <c r="D3760" s="45">
        <v>22021002371</v>
      </c>
      <c r="E3760" s="46" t="s">
        <v>1336</v>
      </c>
      <c r="F3760" s="48">
        <v>45.85</v>
      </c>
      <c r="G3760" s="46" t="s">
        <v>223</v>
      </c>
      <c r="H3760" s="46" t="s">
        <v>5361</v>
      </c>
      <c r="I3760" s="45" t="s">
        <v>205</v>
      </c>
      <c r="J3760" s="46" t="s">
        <v>127</v>
      </c>
      <c r="K3760" s="46" t="s">
        <v>127</v>
      </c>
      <c r="L3760" s="46" t="s">
        <v>15</v>
      </c>
      <c r="M3760" s="46" t="s">
        <v>13</v>
      </c>
      <c r="N3760" s="46" t="s">
        <v>14</v>
      </c>
      <c r="O3760" s="49" t="s">
        <v>814</v>
      </c>
      <c r="P3760" s="49" t="s">
        <v>4910</v>
      </c>
      <c r="Q3760" s="35" t="str">
        <f>MID(Tabla1[[#This Row],[Aplicación]],14,1)</f>
        <v>2</v>
      </c>
      <c r="R3760" s="35" t="s">
        <v>495</v>
      </c>
      <c r="S3760" s="35" t="str">
        <f>MID(Tabla1[[#This Row],[Aplicación]],6,2)</f>
        <v>02</v>
      </c>
      <c r="T3760" s="35" t="str">
        <f>VLOOKUP(Tabla1[[#This Row],[AREA]],Hoja1!A:B,2,FALSE)</f>
        <v>02. Planeamiento urbanístico y vivienda</v>
      </c>
      <c r="U3760" s="35" t="str">
        <f>MID(Tabla1[[#This Row],[Aplicación]],9,4)</f>
        <v>9332</v>
      </c>
      <c r="V3760" s="35" t="str">
        <f>VLOOKUP(Tabla1[[#This Row],[PROGRAMA]],Hoja1!A:B,2,FALSE)</f>
        <v>9332. Mantenimiento de edificios e instalaciones municipales</v>
      </c>
      <c r="W3760" s="35" t="str">
        <f>MID(Tabla1[[#This Row],[Aplicación]],14,2)</f>
        <v>21</v>
      </c>
      <c r="X3760" s="35" t="str">
        <f>MID(Tabla1[[#This Row],[Aplicación]],14,6)</f>
        <v>212</v>
      </c>
    </row>
    <row r="3761" spans="1:24" x14ac:dyDescent="0.25">
      <c r="A3761" s="45">
        <v>220210040092</v>
      </c>
      <c r="B3761" s="46" t="s">
        <v>204</v>
      </c>
      <c r="C3761" s="47">
        <v>44396</v>
      </c>
      <c r="D3761" s="45">
        <v>22021003381</v>
      </c>
      <c r="E3761" s="46" t="s">
        <v>1183</v>
      </c>
      <c r="F3761" s="48">
        <v>9.9</v>
      </c>
      <c r="G3761" s="46" t="s">
        <v>223</v>
      </c>
      <c r="H3761" s="46" t="s">
        <v>5362</v>
      </c>
      <c r="I3761" s="45" t="s">
        <v>205</v>
      </c>
      <c r="J3761" s="46" t="s">
        <v>127</v>
      </c>
      <c r="K3761" s="46" t="s">
        <v>127</v>
      </c>
      <c r="L3761" s="46" t="s">
        <v>15</v>
      </c>
      <c r="M3761" s="46" t="s">
        <v>13</v>
      </c>
      <c r="N3761" s="46" t="s">
        <v>14</v>
      </c>
      <c r="O3761" s="49" t="s">
        <v>814</v>
      </c>
      <c r="P3761" s="49" t="s">
        <v>4910</v>
      </c>
      <c r="Q3761" s="35" t="str">
        <f>MID(Tabla1[[#This Row],[Aplicación]],14,1)</f>
        <v>2</v>
      </c>
      <c r="R3761" s="35" t="s">
        <v>495</v>
      </c>
      <c r="S3761" s="35" t="str">
        <f>MID(Tabla1[[#This Row],[Aplicación]],6,2)</f>
        <v>11</v>
      </c>
      <c r="T3761" s="35" t="str">
        <f>VLOOKUP(Tabla1[[#This Row],[AREA]],Hoja1!A:B,2,FALSE)</f>
        <v>11. Salud pública y seguridad ciudadana</v>
      </c>
      <c r="U3761" s="35" t="str">
        <f>MID(Tabla1[[#This Row],[Aplicación]],9,4)</f>
        <v>1361</v>
      </c>
      <c r="V3761" s="35" t="str">
        <f>VLOOKUP(Tabla1[[#This Row],[PROGRAMA]],Hoja1!A:B,2,FALSE)</f>
        <v>1361. Prevención y extinción de incencios</v>
      </c>
      <c r="W3761" s="35" t="str">
        <f>MID(Tabla1[[#This Row],[Aplicación]],14,2)</f>
        <v>22</v>
      </c>
      <c r="X3761" s="35" t="str">
        <f>MID(Tabla1[[#This Row],[Aplicación]],14,6)</f>
        <v>22199</v>
      </c>
    </row>
    <row r="3762" spans="1:24" x14ac:dyDescent="0.25">
      <c r="A3762" s="45">
        <v>220210050153</v>
      </c>
      <c r="B3762" s="46" t="s">
        <v>204</v>
      </c>
      <c r="C3762" s="47">
        <v>44435</v>
      </c>
      <c r="D3762" s="45">
        <v>22021002048</v>
      </c>
      <c r="E3762" s="46" t="s">
        <v>890</v>
      </c>
      <c r="F3762" s="48">
        <v>216.83</v>
      </c>
      <c r="G3762" s="46" t="s">
        <v>223</v>
      </c>
      <c r="H3762" s="46" t="s">
        <v>5363</v>
      </c>
      <c r="I3762" s="45" t="s">
        <v>205</v>
      </c>
      <c r="J3762" s="46" t="s">
        <v>127</v>
      </c>
      <c r="K3762" s="46" t="s">
        <v>127</v>
      </c>
      <c r="L3762" s="46" t="s">
        <v>15</v>
      </c>
      <c r="M3762" s="46" t="s">
        <v>13</v>
      </c>
      <c r="N3762" s="46" t="s">
        <v>14</v>
      </c>
      <c r="O3762" s="49" t="s">
        <v>814</v>
      </c>
      <c r="P3762" s="49" t="s">
        <v>4910</v>
      </c>
      <c r="Q3762" s="35" t="str">
        <f>MID(Tabla1[[#This Row],[Aplicación]],14,1)</f>
        <v>2</v>
      </c>
      <c r="R3762" s="35" t="s">
        <v>495</v>
      </c>
      <c r="S3762" s="35" t="str">
        <f>MID(Tabla1[[#This Row],[Aplicación]],6,2)</f>
        <v>11</v>
      </c>
      <c r="T3762" s="35" t="str">
        <f>VLOOKUP(Tabla1[[#This Row],[AREA]],Hoja1!A:B,2,FALSE)</f>
        <v>11. Salud pública y seguridad ciudadana</v>
      </c>
      <c r="U3762" s="35" t="str">
        <f>MID(Tabla1[[#This Row],[Aplicación]],9,4)</f>
        <v>1621</v>
      </c>
      <c r="V3762" s="35" t="str">
        <f>VLOOKUP(Tabla1[[#This Row],[PROGRAMA]],Hoja1!A:B,2,FALSE)</f>
        <v>1621. Servicio de limpieza</v>
      </c>
      <c r="W3762" s="35" t="str">
        <f>MID(Tabla1[[#This Row],[Aplicación]],14,2)</f>
        <v>21</v>
      </c>
      <c r="X3762" s="35" t="str">
        <f>MID(Tabla1[[#This Row],[Aplicación]],14,6)</f>
        <v>214</v>
      </c>
    </row>
    <row r="3763" spans="1:24" x14ac:dyDescent="0.25">
      <c r="A3763" s="45">
        <v>220210049873</v>
      </c>
      <c r="B3763" s="46" t="s">
        <v>204</v>
      </c>
      <c r="C3763" s="47">
        <v>44433</v>
      </c>
      <c r="D3763" s="45">
        <v>22021001966</v>
      </c>
      <c r="E3763" s="46" t="s">
        <v>950</v>
      </c>
      <c r="F3763" s="48">
        <v>38.97</v>
      </c>
      <c r="G3763" s="46" t="s">
        <v>223</v>
      </c>
      <c r="H3763" s="46" t="s">
        <v>5364</v>
      </c>
      <c r="I3763" s="45" t="s">
        <v>205</v>
      </c>
      <c r="J3763" s="46" t="s">
        <v>127</v>
      </c>
      <c r="K3763" s="46" t="s">
        <v>127</v>
      </c>
      <c r="L3763" s="46" t="s">
        <v>15</v>
      </c>
      <c r="M3763" s="46" t="s">
        <v>13</v>
      </c>
      <c r="N3763" s="46" t="s">
        <v>14</v>
      </c>
      <c r="O3763" s="49" t="s">
        <v>814</v>
      </c>
      <c r="P3763" s="49" t="s">
        <v>4910</v>
      </c>
      <c r="Q3763" s="35" t="str">
        <f>MID(Tabla1[[#This Row],[Aplicación]],14,1)</f>
        <v>2</v>
      </c>
      <c r="R3763" s="35" t="s">
        <v>495</v>
      </c>
      <c r="S3763" s="35" t="str">
        <f>MID(Tabla1[[#This Row],[Aplicación]],6,2)</f>
        <v>11</v>
      </c>
      <c r="T3763" s="35" t="str">
        <f>VLOOKUP(Tabla1[[#This Row],[AREA]],Hoja1!A:B,2,FALSE)</f>
        <v>11. Salud pública y seguridad ciudadana</v>
      </c>
      <c r="U3763" s="35" t="str">
        <f>MID(Tabla1[[#This Row],[Aplicación]],9,4)</f>
        <v>1321</v>
      </c>
      <c r="V3763" s="35" t="str">
        <f>VLOOKUP(Tabla1[[#This Row],[PROGRAMA]],Hoja1!A:B,2,FALSE)</f>
        <v>1321. Policía municipal</v>
      </c>
      <c r="W3763" s="35" t="str">
        <f>MID(Tabla1[[#This Row],[Aplicación]],14,2)</f>
        <v>21</v>
      </c>
      <c r="X3763" s="35" t="str">
        <f>MID(Tabla1[[#This Row],[Aplicación]],14,6)</f>
        <v>213</v>
      </c>
    </row>
    <row r="3764" spans="1:24" x14ac:dyDescent="0.25">
      <c r="A3764" s="45">
        <v>220210061282</v>
      </c>
      <c r="B3764" s="46" t="s">
        <v>204</v>
      </c>
      <c r="C3764" s="47">
        <v>44468</v>
      </c>
      <c r="D3764" s="45">
        <v>22021001039</v>
      </c>
      <c r="E3764" s="46" t="s">
        <v>844</v>
      </c>
      <c r="F3764" s="48">
        <v>184.43</v>
      </c>
      <c r="G3764" s="46" t="s">
        <v>223</v>
      </c>
      <c r="H3764" s="46" t="s">
        <v>5365</v>
      </c>
      <c r="I3764" s="45" t="s">
        <v>205</v>
      </c>
      <c r="J3764" s="46" t="s">
        <v>127</v>
      </c>
      <c r="K3764" s="46" t="s">
        <v>127</v>
      </c>
      <c r="L3764" s="46" t="s">
        <v>15</v>
      </c>
      <c r="M3764" s="46" t="s">
        <v>13</v>
      </c>
      <c r="N3764" s="46" t="s">
        <v>14</v>
      </c>
      <c r="O3764" s="49" t="s">
        <v>814</v>
      </c>
      <c r="P3764" s="49" t="s">
        <v>4910</v>
      </c>
      <c r="Q3764" s="35" t="str">
        <f>MID(Tabla1[[#This Row],[Aplicación]],14,1)</f>
        <v>2</v>
      </c>
      <c r="R3764" s="35" t="s">
        <v>495</v>
      </c>
      <c r="S3764" s="35" t="str">
        <f>MID(Tabla1[[#This Row],[Aplicación]],6,2)</f>
        <v>10</v>
      </c>
      <c r="T3764" s="35" t="str">
        <f>VLOOKUP(Tabla1[[#This Row],[AREA]],Hoja1!A:B,2,FALSE)</f>
        <v>10. Servicios sociales y mediación comunitaria</v>
      </c>
      <c r="U3764" s="35" t="str">
        <f>MID(Tabla1[[#This Row],[Aplicación]],9,4)</f>
        <v>2312</v>
      </c>
      <c r="V3764" s="35" t="str">
        <f>VLOOKUP(Tabla1[[#This Row],[PROGRAMA]],Hoja1!A:B,2,FALSE)</f>
        <v>2312. Iniciativas sociales</v>
      </c>
      <c r="W3764" s="35" t="str">
        <f>MID(Tabla1[[#This Row],[Aplicación]],14,2)</f>
        <v>21</v>
      </c>
      <c r="X3764" s="35" t="str">
        <f>MID(Tabla1[[#This Row],[Aplicación]],14,6)</f>
        <v>212</v>
      </c>
    </row>
    <row r="3765" spans="1:24" x14ac:dyDescent="0.25">
      <c r="A3765" s="45">
        <v>220210036817</v>
      </c>
      <c r="B3765" s="46" t="s">
        <v>204</v>
      </c>
      <c r="C3765" s="47">
        <v>44386</v>
      </c>
      <c r="D3765" s="45">
        <v>22021002047</v>
      </c>
      <c r="E3765" s="46" t="s">
        <v>944</v>
      </c>
      <c r="F3765" s="48">
        <v>244.37</v>
      </c>
      <c r="G3765" s="46" t="s">
        <v>238</v>
      </c>
      <c r="H3765" s="46" t="s">
        <v>5366</v>
      </c>
      <c r="I3765" s="45" t="s">
        <v>205</v>
      </c>
      <c r="J3765" s="46" t="s">
        <v>127</v>
      </c>
      <c r="K3765" s="46" t="s">
        <v>127</v>
      </c>
      <c r="L3765" s="46" t="s">
        <v>15</v>
      </c>
      <c r="M3765" s="46" t="s">
        <v>13</v>
      </c>
      <c r="N3765" s="46" t="s">
        <v>14</v>
      </c>
      <c r="O3765" s="49" t="s">
        <v>814</v>
      </c>
      <c r="P3765" s="49" t="s">
        <v>4910</v>
      </c>
      <c r="Q3765" s="35" t="str">
        <f>MID(Tabla1[[#This Row],[Aplicación]],14,1)</f>
        <v>2</v>
      </c>
      <c r="R3765" s="35" t="s">
        <v>495</v>
      </c>
      <c r="S3765" s="35" t="str">
        <f>MID(Tabla1[[#This Row],[Aplicación]],6,2)</f>
        <v>11</v>
      </c>
      <c r="T3765" s="35" t="str">
        <f>VLOOKUP(Tabla1[[#This Row],[AREA]],Hoja1!A:B,2,FALSE)</f>
        <v>11. Salud pública y seguridad ciudadana</v>
      </c>
      <c r="U3765" s="35" t="str">
        <f>MID(Tabla1[[#This Row],[Aplicación]],9,4)</f>
        <v>1621</v>
      </c>
      <c r="V3765" s="35" t="str">
        <f>VLOOKUP(Tabla1[[#This Row],[PROGRAMA]],Hoja1!A:B,2,FALSE)</f>
        <v>1621. Servicio de limpieza</v>
      </c>
      <c r="W3765" s="35" t="str">
        <f>MID(Tabla1[[#This Row],[Aplicación]],14,2)</f>
        <v>21</v>
      </c>
      <c r="X3765" s="35" t="str">
        <f>MID(Tabla1[[#This Row],[Aplicación]],14,6)</f>
        <v>213</v>
      </c>
    </row>
    <row r="3766" spans="1:24" x14ac:dyDescent="0.25">
      <c r="A3766" s="45">
        <v>220210040912</v>
      </c>
      <c r="B3766" s="46" t="s">
        <v>204</v>
      </c>
      <c r="C3766" s="47">
        <v>44397</v>
      </c>
      <c r="D3766" s="45">
        <v>22021002371</v>
      </c>
      <c r="E3766" s="46" t="s">
        <v>1336</v>
      </c>
      <c r="F3766" s="48">
        <v>181.28</v>
      </c>
      <c r="G3766" s="46" t="s">
        <v>238</v>
      </c>
      <c r="H3766" s="46" t="s">
        <v>5367</v>
      </c>
      <c r="I3766" s="45" t="s">
        <v>205</v>
      </c>
      <c r="J3766" s="46" t="s">
        <v>127</v>
      </c>
      <c r="K3766" s="46" t="s">
        <v>127</v>
      </c>
      <c r="L3766" s="46" t="s">
        <v>15</v>
      </c>
      <c r="M3766" s="46" t="s">
        <v>13</v>
      </c>
      <c r="N3766" s="46" t="s">
        <v>14</v>
      </c>
      <c r="O3766" s="49" t="s">
        <v>814</v>
      </c>
      <c r="P3766" s="49" t="s">
        <v>4910</v>
      </c>
      <c r="Q3766" s="35" t="str">
        <f>MID(Tabla1[[#This Row],[Aplicación]],14,1)</f>
        <v>2</v>
      </c>
      <c r="R3766" s="35" t="s">
        <v>495</v>
      </c>
      <c r="S3766" s="35" t="str">
        <f>MID(Tabla1[[#This Row],[Aplicación]],6,2)</f>
        <v>02</v>
      </c>
      <c r="T3766" s="35" t="str">
        <f>VLOOKUP(Tabla1[[#This Row],[AREA]],Hoja1!A:B,2,FALSE)</f>
        <v>02. Planeamiento urbanístico y vivienda</v>
      </c>
      <c r="U3766" s="35" t="str">
        <f>MID(Tabla1[[#This Row],[Aplicación]],9,4)</f>
        <v>9332</v>
      </c>
      <c r="V3766" s="35" t="str">
        <f>VLOOKUP(Tabla1[[#This Row],[PROGRAMA]],Hoja1!A:B,2,FALSE)</f>
        <v>9332. Mantenimiento de edificios e instalaciones municipales</v>
      </c>
      <c r="W3766" s="35" t="str">
        <f>MID(Tabla1[[#This Row],[Aplicación]],14,2)</f>
        <v>21</v>
      </c>
      <c r="X3766" s="35" t="str">
        <f>MID(Tabla1[[#This Row],[Aplicación]],14,6)</f>
        <v>212</v>
      </c>
    </row>
    <row r="3767" spans="1:24" x14ac:dyDescent="0.25">
      <c r="A3767" s="45">
        <v>220210040141</v>
      </c>
      <c r="B3767" s="46" t="s">
        <v>204</v>
      </c>
      <c r="C3767" s="47">
        <v>44396</v>
      </c>
      <c r="D3767" s="45">
        <v>22021002227</v>
      </c>
      <c r="E3767" s="46" t="s">
        <v>1324</v>
      </c>
      <c r="F3767" s="48">
        <v>149.56</v>
      </c>
      <c r="G3767" s="46" t="s">
        <v>238</v>
      </c>
      <c r="H3767" s="46" t="s">
        <v>5368</v>
      </c>
      <c r="I3767" s="45" t="s">
        <v>205</v>
      </c>
      <c r="J3767" s="46" t="s">
        <v>127</v>
      </c>
      <c r="K3767" s="46" t="s">
        <v>127</v>
      </c>
      <c r="L3767" s="46" t="s">
        <v>15</v>
      </c>
      <c r="M3767" s="46" t="s">
        <v>13</v>
      </c>
      <c r="N3767" s="46" t="s">
        <v>16</v>
      </c>
      <c r="O3767" s="49" t="s">
        <v>814</v>
      </c>
      <c r="P3767" s="49" t="s">
        <v>4910</v>
      </c>
      <c r="Q3767" s="35" t="str">
        <f>MID(Tabla1[[#This Row],[Aplicación]],14,1)</f>
        <v>2</v>
      </c>
      <c r="R3767" s="35" t="s">
        <v>495</v>
      </c>
      <c r="S3767" s="35" t="str">
        <f>MID(Tabla1[[#This Row],[Aplicación]],6,2)</f>
        <v>06</v>
      </c>
      <c r="T3767" s="35" t="str">
        <f>VLOOKUP(Tabla1[[#This Row],[AREA]],Hoja1!A:B,2,FALSE)</f>
        <v>06. Educación, infancia, juventud e igualdad</v>
      </c>
      <c r="U3767" s="35" t="str">
        <f>MID(Tabla1[[#This Row],[Aplicación]],9,4)</f>
        <v>3321</v>
      </c>
      <c r="V3767" s="35" t="str">
        <f>VLOOKUP(Tabla1[[#This Row],[PROGRAMA]],Hoja1!A:B,2,FALSE)</f>
        <v>3321. Bibliotecas públicas</v>
      </c>
      <c r="W3767" s="35" t="str">
        <f>MID(Tabla1[[#This Row],[Aplicación]],14,2)</f>
        <v>21</v>
      </c>
      <c r="X3767" s="35" t="str">
        <f>MID(Tabla1[[#This Row],[Aplicación]],14,6)</f>
        <v>212</v>
      </c>
    </row>
    <row r="3768" spans="1:24" x14ac:dyDescent="0.25">
      <c r="A3768" s="45">
        <v>220210036804</v>
      </c>
      <c r="B3768" s="46" t="s">
        <v>204</v>
      </c>
      <c r="C3768" s="47">
        <v>44386</v>
      </c>
      <c r="D3768" s="45">
        <v>22021002047</v>
      </c>
      <c r="E3768" s="46" t="s">
        <v>944</v>
      </c>
      <c r="F3768" s="48">
        <v>124</v>
      </c>
      <c r="G3768" s="46" t="s">
        <v>238</v>
      </c>
      <c r="H3768" s="46" t="s">
        <v>5369</v>
      </c>
      <c r="I3768" s="45" t="s">
        <v>205</v>
      </c>
      <c r="J3768" s="46" t="s">
        <v>127</v>
      </c>
      <c r="K3768" s="46" t="s">
        <v>127</v>
      </c>
      <c r="L3768" s="46" t="s">
        <v>15</v>
      </c>
      <c r="M3768" s="46" t="s">
        <v>13</v>
      </c>
      <c r="N3768" s="46" t="s">
        <v>14</v>
      </c>
      <c r="O3768" s="49" t="s">
        <v>814</v>
      </c>
      <c r="P3768" s="49" t="s">
        <v>4910</v>
      </c>
      <c r="Q3768" s="35" t="str">
        <f>MID(Tabla1[[#This Row],[Aplicación]],14,1)</f>
        <v>2</v>
      </c>
      <c r="R3768" s="35" t="s">
        <v>495</v>
      </c>
      <c r="S3768" s="35" t="str">
        <f>MID(Tabla1[[#This Row],[Aplicación]],6,2)</f>
        <v>11</v>
      </c>
      <c r="T3768" s="35" t="str">
        <f>VLOOKUP(Tabla1[[#This Row],[AREA]],Hoja1!A:B,2,FALSE)</f>
        <v>11. Salud pública y seguridad ciudadana</v>
      </c>
      <c r="U3768" s="35" t="str">
        <f>MID(Tabla1[[#This Row],[Aplicación]],9,4)</f>
        <v>1621</v>
      </c>
      <c r="V3768" s="35" t="str">
        <f>VLOOKUP(Tabla1[[#This Row],[PROGRAMA]],Hoja1!A:B,2,FALSE)</f>
        <v>1621. Servicio de limpieza</v>
      </c>
      <c r="W3768" s="35" t="str">
        <f>MID(Tabla1[[#This Row],[Aplicación]],14,2)</f>
        <v>21</v>
      </c>
      <c r="X3768" s="35" t="str">
        <f>MID(Tabla1[[#This Row],[Aplicación]],14,6)</f>
        <v>213</v>
      </c>
    </row>
    <row r="3769" spans="1:24" x14ac:dyDescent="0.25">
      <c r="A3769" s="45">
        <v>220210041864</v>
      </c>
      <c r="B3769" s="46" t="s">
        <v>204</v>
      </c>
      <c r="C3769" s="47">
        <v>44399</v>
      </c>
      <c r="D3769" s="45">
        <v>22021002143</v>
      </c>
      <c r="E3769" s="46" t="s">
        <v>1328</v>
      </c>
      <c r="F3769" s="48">
        <v>121.46</v>
      </c>
      <c r="G3769" s="46" t="s">
        <v>238</v>
      </c>
      <c r="H3769" s="46" t="s">
        <v>5370</v>
      </c>
      <c r="I3769" s="45" t="s">
        <v>205</v>
      </c>
      <c r="J3769" s="46" t="s">
        <v>127</v>
      </c>
      <c r="K3769" s="46" t="s">
        <v>127</v>
      </c>
      <c r="L3769" s="46" t="s">
        <v>15</v>
      </c>
      <c r="M3769" s="46" t="s">
        <v>13</v>
      </c>
      <c r="N3769" s="46" t="s">
        <v>14</v>
      </c>
      <c r="O3769" s="49" t="s">
        <v>814</v>
      </c>
      <c r="P3769" s="49" t="s">
        <v>4910</v>
      </c>
      <c r="Q3769" s="35" t="str">
        <f>MID(Tabla1[[#This Row],[Aplicación]],14,1)</f>
        <v>2</v>
      </c>
      <c r="R3769" s="35" t="s">
        <v>495</v>
      </c>
      <c r="S3769" s="35" t="str">
        <f>MID(Tabla1[[#This Row],[Aplicación]],6,2)</f>
        <v>10</v>
      </c>
      <c r="T3769" s="35" t="str">
        <f>VLOOKUP(Tabla1[[#This Row],[AREA]],Hoja1!A:B,2,FALSE)</f>
        <v>10. Servicios sociales y mediación comunitaria</v>
      </c>
      <c r="U3769" s="35" t="str">
        <f>MID(Tabla1[[#This Row],[Aplicación]],9,4)</f>
        <v>2311</v>
      </c>
      <c r="V3769" s="35" t="str">
        <f>VLOOKUP(Tabla1[[#This Row],[PROGRAMA]],Hoja1!A:B,2,FALSE)</f>
        <v>2311. Intervención social</v>
      </c>
      <c r="W3769" s="35" t="str">
        <f>MID(Tabla1[[#This Row],[Aplicación]],14,2)</f>
        <v>21</v>
      </c>
      <c r="X3769" s="35" t="str">
        <f>MID(Tabla1[[#This Row],[Aplicación]],14,6)</f>
        <v>212</v>
      </c>
    </row>
    <row r="3770" spans="1:24" x14ac:dyDescent="0.25">
      <c r="A3770" s="45">
        <v>220210040938</v>
      </c>
      <c r="B3770" s="46" t="s">
        <v>204</v>
      </c>
      <c r="C3770" s="47">
        <v>44397</v>
      </c>
      <c r="D3770" s="45">
        <v>22021002047</v>
      </c>
      <c r="E3770" s="46" t="s">
        <v>944</v>
      </c>
      <c r="F3770" s="48">
        <v>98.62</v>
      </c>
      <c r="G3770" s="46" t="s">
        <v>238</v>
      </c>
      <c r="H3770" s="46" t="s">
        <v>5371</v>
      </c>
      <c r="I3770" s="45" t="s">
        <v>205</v>
      </c>
      <c r="J3770" s="46" t="s">
        <v>127</v>
      </c>
      <c r="K3770" s="46" t="s">
        <v>127</v>
      </c>
      <c r="L3770" s="46" t="s">
        <v>15</v>
      </c>
      <c r="M3770" s="46" t="s">
        <v>13</v>
      </c>
      <c r="N3770" s="46" t="s">
        <v>14</v>
      </c>
      <c r="O3770" s="49" t="s">
        <v>814</v>
      </c>
      <c r="P3770" s="49" t="s">
        <v>4910</v>
      </c>
      <c r="Q3770" s="35" t="str">
        <f>MID(Tabla1[[#This Row],[Aplicación]],14,1)</f>
        <v>2</v>
      </c>
      <c r="R3770" s="35" t="s">
        <v>495</v>
      </c>
      <c r="S3770" s="35" t="str">
        <f>MID(Tabla1[[#This Row],[Aplicación]],6,2)</f>
        <v>11</v>
      </c>
      <c r="T3770" s="35" t="str">
        <f>VLOOKUP(Tabla1[[#This Row],[AREA]],Hoja1!A:B,2,FALSE)</f>
        <v>11. Salud pública y seguridad ciudadana</v>
      </c>
      <c r="U3770" s="35" t="str">
        <f>MID(Tabla1[[#This Row],[Aplicación]],9,4)</f>
        <v>1621</v>
      </c>
      <c r="V3770" s="35" t="str">
        <f>VLOOKUP(Tabla1[[#This Row],[PROGRAMA]],Hoja1!A:B,2,FALSE)</f>
        <v>1621. Servicio de limpieza</v>
      </c>
      <c r="W3770" s="35" t="str">
        <f>MID(Tabla1[[#This Row],[Aplicación]],14,2)</f>
        <v>21</v>
      </c>
      <c r="X3770" s="35" t="str">
        <f>MID(Tabla1[[#This Row],[Aplicación]],14,6)</f>
        <v>213</v>
      </c>
    </row>
    <row r="3771" spans="1:24" x14ac:dyDescent="0.25">
      <c r="A3771" s="45">
        <v>220210040186</v>
      </c>
      <c r="B3771" s="46" t="s">
        <v>204</v>
      </c>
      <c r="C3771" s="47">
        <v>44396</v>
      </c>
      <c r="D3771" s="45">
        <v>22021002088</v>
      </c>
      <c r="E3771" s="46" t="s">
        <v>1478</v>
      </c>
      <c r="F3771" s="48">
        <v>29.38</v>
      </c>
      <c r="G3771" s="46" t="s">
        <v>238</v>
      </c>
      <c r="H3771" s="46" t="s">
        <v>5372</v>
      </c>
      <c r="I3771" s="45" t="s">
        <v>205</v>
      </c>
      <c r="J3771" s="46" t="s">
        <v>127</v>
      </c>
      <c r="K3771" s="46" t="s">
        <v>127</v>
      </c>
      <c r="L3771" s="46" t="s">
        <v>15</v>
      </c>
      <c r="M3771" s="46" t="s">
        <v>13</v>
      </c>
      <c r="N3771" s="46" t="s">
        <v>16</v>
      </c>
      <c r="O3771" s="49" t="s">
        <v>814</v>
      </c>
      <c r="P3771" s="49" t="s">
        <v>4910</v>
      </c>
      <c r="Q3771" s="35" t="str">
        <f>MID(Tabla1[[#This Row],[Aplicación]],14,1)</f>
        <v>2</v>
      </c>
      <c r="R3771" s="35" t="s">
        <v>495</v>
      </c>
      <c r="S3771" s="35" t="str">
        <f>MID(Tabla1[[#This Row],[Aplicación]],6,2)</f>
        <v>03</v>
      </c>
      <c r="T3771" s="35" t="str">
        <f>VLOOKUP(Tabla1[[#This Row],[AREA]],Hoja1!A:B,2,FALSE)</f>
        <v>03. Participación ciudadana y deportes</v>
      </c>
      <c r="U3771" s="35" t="str">
        <f>MID(Tabla1[[#This Row],[Aplicación]],9,4)</f>
        <v>9241</v>
      </c>
      <c r="V3771" s="35" t="str">
        <f>VLOOKUP(Tabla1[[#This Row],[PROGRAMA]],Hoja1!A:B,2,FALSE)</f>
        <v>9241. Participación ciudadana</v>
      </c>
      <c r="W3771" s="35" t="str">
        <f>MID(Tabla1[[#This Row],[Aplicación]],14,2)</f>
        <v>21</v>
      </c>
      <c r="X3771" s="35" t="str">
        <f>MID(Tabla1[[#This Row],[Aplicación]],14,6)</f>
        <v>212</v>
      </c>
    </row>
    <row r="3772" spans="1:24" x14ac:dyDescent="0.25">
      <c r="A3772" s="45">
        <v>220210036823</v>
      </c>
      <c r="B3772" s="46" t="s">
        <v>204</v>
      </c>
      <c r="C3772" s="47">
        <v>44386</v>
      </c>
      <c r="D3772" s="45">
        <v>22021002057</v>
      </c>
      <c r="E3772" s="46" t="s">
        <v>1715</v>
      </c>
      <c r="F3772" s="48">
        <v>7.26</v>
      </c>
      <c r="G3772" s="46" t="s">
        <v>238</v>
      </c>
      <c r="H3772" s="46" t="s">
        <v>5373</v>
      </c>
      <c r="I3772" s="45" t="s">
        <v>205</v>
      </c>
      <c r="J3772" s="46" t="s">
        <v>127</v>
      </c>
      <c r="K3772" s="46" t="s">
        <v>127</v>
      </c>
      <c r="L3772" s="46" t="s">
        <v>15</v>
      </c>
      <c r="M3772" s="46" t="s">
        <v>13</v>
      </c>
      <c r="N3772" s="46" t="s">
        <v>14</v>
      </c>
      <c r="O3772" s="49" t="s">
        <v>814</v>
      </c>
      <c r="P3772" s="49" t="s">
        <v>4910</v>
      </c>
      <c r="Q3772" s="35" t="str">
        <f>MID(Tabla1[[#This Row],[Aplicación]],14,1)</f>
        <v>2</v>
      </c>
      <c r="R3772" s="35" t="s">
        <v>495</v>
      </c>
      <c r="S3772" s="35" t="str">
        <f>MID(Tabla1[[#This Row],[Aplicación]],6,2)</f>
        <v>11</v>
      </c>
      <c r="T3772" s="35" t="str">
        <f>VLOOKUP(Tabla1[[#This Row],[AREA]],Hoja1!A:B,2,FALSE)</f>
        <v>11. Salud pública y seguridad ciudadana</v>
      </c>
      <c r="U3772" s="35" t="str">
        <f>MID(Tabla1[[#This Row],[Aplicación]],9,4)</f>
        <v>1631</v>
      </c>
      <c r="V3772" s="35" t="str">
        <f>VLOOKUP(Tabla1[[#This Row],[PROGRAMA]],Hoja1!A:B,2,FALSE)</f>
        <v>1631. Limpieza viaria</v>
      </c>
      <c r="W3772" s="35" t="str">
        <f>MID(Tabla1[[#This Row],[Aplicación]],14,2)</f>
        <v>22</v>
      </c>
      <c r="X3772" s="35" t="str">
        <f>MID(Tabla1[[#This Row],[Aplicación]],14,6)</f>
        <v>22199</v>
      </c>
    </row>
    <row r="3773" spans="1:24" x14ac:dyDescent="0.25">
      <c r="A3773" s="45">
        <v>220210043958</v>
      </c>
      <c r="B3773" s="46" t="s">
        <v>204</v>
      </c>
      <c r="C3773" s="47">
        <v>44405</v>
      </c>
      <c r="D3773" s="45">
        <v>22021002006</v>
      </c>
      <c r="E3773" s="46" t="s">
        <v>1310</v>
      </c>
      <c r="F3773" s="48">
        <v>6.39</v>
      </c>
      <c r="G3773" s="46" t="s">
        <v>238</v>
      </c>
      <c r="H3773" s="46" t="s">
        <v>5374</v>
      </c>
      <c r="I3773" s="45" t="s">
        <v>205</v>
      </c>
      <c r="J3773" s="46" t="s">
        <v>127</v>
      </c>
      <c r="K3773" s="46" t="s">
        <v>127</v>
      </c>
      <c r="L3773" s="46" t="s">
        <v>15</v>
      </c>
      <c r="M3773" s="46" t="s">
        <v>13</v>
      </c>
      <c r="N3773" s="46" t="s">
        <v>14</v>
      </c>
      <c r="O3773" s="49" t="s">
        <v>814</v>
      </c>
      <c r="P3773" s="49" t="s">
        <v>4910</v>
      </c>
      <c r="Q3773" s="35" t="str">
        <f>MID(Tabla1[[#This Row],[Aplicación]],14,1)</f>
        <v>2</v>
      </c>
      <c r="R3773" s="35" t="s">
        <v>495</v>
      </c>
      <c r="S3773" s="35" t="str">
        <f>MID(Tabla1[[#This Row],[Aplicación]],6,2)</f>
        <v>11</v>
      </c>
      <c r="T3773" s="35" t="str">
        <f>VLOOKUP(Tabla1[[#This Row],[AREA]],Hoja1!A:B,2,FALSE)</f>
        <v>11. Salud pública y seguridad ciudadana</v>
      </c>
      <c r="U3773" s="35" t="str">
        <f>MID(Tabla1[[#This Row],[Aplicación]],9,4)</f>
        <v>3111</v>
      </c>
      <c r="V3773" s="35" t="str">
        <f>VLOOKUP(Tabla1[[#This Row],[PROGRAMA]],Hoja1!A:B,2,FALSE)</f>
        <v>3111. Protección de la salubridad pública</v>
      </c>
      <c r="W3773" s="35" t="str">
        <f>MID(Tabla1[[#This Row],[Aplicación]],14,2)</f>
        <v>22</v>
      </c>
      <c r="X3773" s="35" t="str">
        <f>MID(Tabla1[[#This Row],[Aplicación]],14,6)</f>
        <v>22199</v>
      </c>
    </row>
    <row r="3774" spans="1:24" x14ac:dyDescent="0.25">
      <c r="A3774" s="45">
        <v>220210045662</v>
      </c>
      <c r="B3774" s="46" t="s">
        <v>204</v>
      </c>
      <c r="C3774" s="47">
        <v>44414</v>
      </c>
      <c r="D3774" s="45">
        <v>22021002047</v>
      </c>
      <c r="E3774" s="46" t="s">
        <v>944</v>
      </c>
      <c r="F3774" s="48">
        <v>145.43</v>
      </c>
      <c r="G3774" s="46" t="s">
        <v>238</v>
      </c>
      <c r="H3774" s="46" t="s">
        <v>5375</v>
      </c>
      <c r="I3774" s="45" t="s">
        <v>205</v>
      </c>
      <c r="J3774" s="46" t="s">
        <v>127</v>
      </c>
      <c r="K3774" s="46" t="s">
        <v>127</v>
      </c>
      <c r="L3774" s="46" t="s">
        <v>15</v>
      </c>
      <c r="M3774" s="46" t="s">
        <v>13</v>
      </c>
      <c r="N3774" s="46" t="s">
        <v>14</v>
      </c>
      <c r="O3774" s="49" t="s">
        <v>814</v>
      </c>
      <c r="P3774" s="49" t="s">
        <v>4910</v>
      </c>
      <c r="Q3774" s="35" t="str">
        <f>MID(Tabla1[[#This Row],[Aplicación]],14,1)</f>
        <v>2</v>
      </c>
      <c r="R3774" s="35" t="s">
        <v>495</v>
      </c>
      <c r="S3774" s="35" t="str">
        <f>MID(Tabla1[[#This Row],[Aplicación]],6,2)</f>
        <v>11</v>
      </c>
      <c r="T3774" s="35" t="str">
        <f>VLOOKUP(Tabla1[[#This Row],[AREA]],Hoja1!A:B,2,FALSE)</f>
        <v>11. Salud pública y seguridad ciudadana</v>
      </c>
      <c r="U3774" s="35" t="str">
        <f>MID(Tabla1[[#This Row],[Aplicación]],9,4)</f>
        <v>1621</v>
      </c>
      <c r="V3774" s="35" t="str">
        <f>VLOOKUP(Tabla1[[#This Row],[PROGRAMA]],Hoja1!A:B,2,FALSE)</f>
        <v>1621. Servicio de limpieza</v>
      </c>
      <c r="W3774" s="35" t="str">
        <f>MID(Tabla1[[#This Row],[Aplicación]],14,2)</f>
        <v>21</v>
      </c>
      <c r="X3774" s="35" t="str">
        <f>MID(Tabla1[[#This Row],[Aplicación]],14,6)</f>
        <v>213</v>
      </c>
    </row>
    <row r="3775" spans="1:24" x14ac:dyDescent="0.25">
      <c r="A3775" s="45">
        <v>220210047016</v>
      </c>
      <c r="B3775" s="46" t="s">
        <v>204</v>
      </c>
      <c r="C3775" s="47">
        <v>44421</v>
      </c>
      <c r="D3775" s="45">
        <v>22021002052</v>
      </c>
      <c r="E3775" s="46" t="s">
        <v>1340</v>
      </c>
      <c r="F3775" s="48">
        <v>78.09</v>
      </c>
      <c r="G3775" s="46" t="s">
        <v>238</v>
      </c>
      <c r="H3775" s="46" t="s">
        <v>2001</v>
      </c>
      <c r="I3775" s="45" t="s">
        <v>205</v>
      </c>
      <c r="J3775" s="46" t="s">
        <v>127</v>
      </c>
      <c r="K3775" s="46" t="s">
        <v>127</v>
      </c>
      <c r="L3775" s="46" t="s">
        <v>15</v>
      </c>
      <c r="M3775" s="46" t="s">
        <v>13</v>
      </c>
      <c r="N3775" s="46" t="s">
        <v>14</v>
      </c>
      <c r="O3775" s="49" t="s">
        <v>814</v>
      </c>
      <c r="P3775" s="49" t="s">
        <v>4910</v>
      </c>
      <c r="Q3775" s="35" t="str">
        <f>MID(Tabla1[[#This Row],[Aplicación]],14,1)</f>
        <v>2</v>
      </c>
      <c r="R3775" s="35" t="s">
        <v>495</v>
      </c>
      <c r="S3775" s="35" t="str">
        <f>MID(Tabla1[[#This Row],[Aplicación]],6,2)</f>
        <v>11</v>
      </c>
      <c r="T3775" s="35" t="str">
        <f>VLOOKUP(Tabla1[[#This Row],[AREA]],Hoja1!A:B,2,FALSE)</f>
        <v>11. Salud pública y seguridad ciudadana</v>
      </c>
      <c r="U3775" s="35" t="str">
        <f>MID(Tabla1[[#This Row],[Aplicación]],9,4)</f>
        <v>1621</v>
      </c>
      <c r="V3775" s="35" t="str">
        <f>VLOOKUP(Tabla1[[#This Row],[PROGRAMA]],Hoja1!A:B,2,FALSE)</f>
        <v>1621. Servicio de limpieza</v>
      </c>
      <c r="W3775" s="35" t="str">
        <f>MID(Tabla1[[#This Row],[Aplicación]],14,2)</f>
        <v>22</v>
      </c>
      <c r="X3775" s="35" t="str">
        <f>MID(Tabla1[[#This Row],[Aplicación]],14,6)</f>
        <v>22199</v>
      </c>
    </row>
    <row r="3776" spans="1:24" x14ac:dyDescent="0.25">
      <c r="A3776" s="45">
        <v>220210045094</v>
      </c>
      <c r="B3776" s="46" t="s">
        <v>204</v>
      </c>
      <c r="C3776" s="47">
        <v>44411</v>
      </c>
      <c r="D3776" s="45">
        <v>22021003381</v>
      </c>
      <c r="E3776" s="46" t="s">
        <v>1183</v>
      </c>
      <c r="F3776" s="48">
        <v>15.9</v>
      </c>
      <c r="G3776" s="46" t="s">
        <v>238</v>
      </c>
      <c r="H3776" s="46" t="s">
        <v>5376</v>
      </c>
      <c r="I3776" s="45" t="s">
        <v>205</v>
      </c>
      <c r="J3776" s="46" t="s">
        <v>127</v>
      </c>
      <c r="K3776" s="46" t="s">
        <v>127</v>
      </c>
      <c r="L3776" s="46" t="s">
        <v>15</v>
      </c>
      <c r="M3776" s="46" t="s">
        <v>13</v>
      </c>
      <c r="N3776" s="46" t="s">
        <v>14</v>
      </c>
      <c r="O3776" s="49" t="s">
        <v>814</v>
      </c>
      <c r="P3776" s="49" t="s">
        <v>4910</v>
      </c>
      <c r="Q3776" s="35" t="str">
        <f>MID(Tabla1[[#This Row],[Aplicación]],14,1)</f>
        <v>2</v>
      </c>
      <c r="R3776" s="35" t="s">
        <v>495</v>
      </c>
      <c r="S3776" s="35" t="str">
        <f>MID(Tabla1[[#This Row],[Aplicación]],6,2)</f>
        <v>11</v>
      </c>
      <c r="T3776" s="35" t="str">
        <f>VLOOKUP(Tabla1[[#This Row],[AREA]],Hoja1!A:B,2,FALSE)</f>
        <v>11. Salud pública y seguridad ciudadana</v>
      </c>
      <c r="U3776" s="35" t="str">
        <f>MID(Tabla1[[#This Row],[Aplicación]],9,4)</f>
        <v>1361</v>
      </c>
      <c r="V3776" s="35" t="str">
        <f>VLOOKUP(Tabla1[[#This Row],[PROGRAMA]],Hoja1!A:B,2,FALSE)</f>
        <v>1361. Prevención y extinción de incencios</v>
      </c>
      <c r="W3776" s="35" t="str">
        <f>MID(Tabla1[[#This Row],[Aplicación]],14,2)</f>
        <v>22</v>
      </c>
      <c r="X3776" s="35" t="str">
        <f>MID(Tabla1[[#This Row],[Aplicación]],14,6)</f>
        <v>22199</v>
      </c>
    </row>
    <row r="3777" spans="1:24" x14ac:dyDescent="0.25">
      <c r="A3777" s="45">
        <v>220210047048</v>
      </c>
      <c r="B3777" s="46" t="s">
        <v>204</v>
      </c>
      <c r="C3777" s="47">
        <v>44421</v>
      </c>
      <c r="D3777" s="45">
        <v>22021002225</v>
      </c>
      <c r="E3777" s="46" t="s">
        <v>1574</v>
      </c>
      <c r="F3777" s="48">
        <v>8.43</v>
      </c>
      <c r="G3777" s="46" t="s">
        <v>238</v>
      </c>
      <c r="H3777" s="46" t="s">
        <v>5377</v>
      </c>
      <c r="I3777" s="45" t="s">
        <v>205</v>
      </c>
      <c r="J3777" s="46" t="s">
        <v>127</v>
      </c>
      <c r="K3777" s="46" t="s">
        <v>127</v>
      </c>
      <c r="L3777" s="46" t="s">
        <v>15</v>
      </c>
      <c r="M3777" s="46" t="s">
        <v>13</v>
      </c>
      <c r="N3777" s="46" t="s">
        <v>16</v>
      </c>
      <c r="O3777" s="49" t="s">
        <v>814</v>
      </c>
      <c r="P3777" s="49" t="s">
        <v>4910</v>
      </c>
      <c r="Q3777" s="35" t="str">
        <f>MID(Tabla1[[#This Row],[Aplicación]],14,1)</f>
        <v>2</v>
      </c>
      <c r="R3777" s="35" t="s">
        <v>495</v>
      </c>
      <c r="S3777" s="35" t="str">
        <f>MID(Tabla1[[#This Row],[Aplicación]],6,2)</f>
        <v>06</v>
      </c>
      <c r="T3777" s="35" t="str">
        <f>VLOOKUP(Tabla1[[#This Row],[AREA]],Hoja1!A:B,2,FALSE)</f>
        <v>06. Educación, infancia, juventud e igualdad</v>
      </c>
      <c r="U3777" s="35" t="str">
        <f>MID(Tabla1[[#This Row],[Aplicación]],9,4)</f>
        <v>3231</v>
      </c>
      <c r="V3777" s="35" t="str">
        <f>VLOOKUP(Tabla1[[#This Row],[PROGRAMA]],Hoja1!A:B,2,FALSE)</f>
        <v>3231. Escuelas infantiles</v>
      </c>
      <c r="W3777" s="35" t="str">
        <f>MID(Tabla1[[#This Row],[Aplicación]],14,2)</f>
        <v>21</v>
      </c>
      <c r="X3777" s="35" t="str">
        <f>MID(Tabla1[[#This Row],[Aplicación]],14,6)</f>
        <v>212</v>
      </c>
    </row>
    <row r="3778" spans="1:24" x14ac:dyDescent="0.25">
      <c r="A3778" s="45">
        <v>220210046063</v>
      </c>
      <c r="B3778" s="46" t="s">
        <v>204</v>
      </c>
      <c r="C3778" s="47">
        <v>44418</v>
      </c>
      <c r="D3778" s="45">
        <v>22021002228</v>
      </c>
      <c r="E3778" s="46" t="s">
        <v>1471</v>
      </c>
      <c r="F3778" s="48">
        <v>380.15</v>
      </c>
      <c r="G3778" s="46" t="s">
        <v>238</v>
      </c>
      <c r="H3778" s="46" t="s">
        <v>5378</v>
      </c>
      <c r="I3778" s="45" t="s">
        <v>205</v>
      </c>
      <c r="J3778" s="46" t="s">
        <v>127</v>
      </c>
      <c r="K3778" s="46" t="s">
        <v>127</v>
      </c>
      <c r="L3778" s="46" t="s">
        <v>15</v>
      </c>
      <c r="M3778" s="46" t="s">
        <v>13</v>
      </c>
      <c r="N3778" s="46" t="s">
        <v>16</v>
      </c>
      <c r="O3778" s="49" t="s">
        <v>814</v>
      </c>
      <c r="P3778" s="49" t="s">
        <v>4910</v>
      </c>
      <c r="Q3778" s="35" t="str">
        <f>MID(Tabla1[[#This Row],[Aplicación]],14,1)</f>
        <v>2</v>
      </c>
      <c r="R3778" s="35" t="s">
        <v>495</v>
      </c>
      <c r="S3778" s="35" t="str">
        <f>MID(Tabla1[[#This Row],[Aplicación]],6,2)</f>
        <v>06</v>
      </c>
      <c r="T3778" s="35" t="str">
        <f>VLOOKUP(Tabla1[[#This Row],[AREA]],Hoja1!A:B,2,FALSE)</f>
        <v>06. Educación, infancia, juventud e igualdad</v>
      </c>
      <c r="U3778" s="35" t="str">
        <f>MID(Tabla1[[#This Row],[Aplicación]],9,4)</f>
        <v>3232</v>
      </c>
      <c r="V3778" s="35" t="str">
        <f>VLOOKUP(Tabla1[[#This Row],[PROGRAMA]],Hoja1!A:B,2,FALSE)</f>
        <v>3232. Conservación y mantenimiento centros educación infantil y primaria</v>
      </c>
      <c r="W3778" s="35" t="str">
        <f>MID(Tabla1[[#This Row],[Aplicación]],14,2)</f>
        <v>21</v>
      </c>
      <c r="X3778" s="35" t="str">
        <f>MID(Tabla1[[#This Row],[Aplicación]],14,6)</f>
        <v>212</v>
      </c>
    </row>
    <row r="3779" spans="1:24" x14ac:dyDescent="0.25">
      <c r="A3779" s="45">
        <v>220210046003</v>
      </c>
      <c r="B3779" s="46" t="s">
        <v>204</v>
      </c>
      <c r="C3779" s="47">
        <v>44418</v>
      </c>
      <c r="D3779" s="45">
        <v>22021002228</v>
      </c>
      <c r="E3779" s="46" t="s">
        <v>1471</v>
      </c>
      <c r="F3779" s="48">
        <v>115.39</v>
      </c>
      <c r="G3779" s="46" t="s">
        <v>238</v>
      </c>
      <c r="H3779" s="46" t="s">
        <v>5379</v>
      </c>
      <c r="I3779" s="45" t="s">
        <v>205</v>
      </c>
      <c r="J3779" s="46" t="s">
        <v>127</v>
      </c>
      <c r="K3779" s="46" t="s">
        <v>127</v>
      </c>
      <c r="L3779" s="46" t="s">
        <v>15</v>
      </c>
      <c r="M3779" s="46" t="s">
        <v>13</v>
      </c>
      <c r="N3779" s="46" t="s">
        <v>16</v>
      </c>
      <c r="O3779" s="49" t="s">
        <v>814</v>
      </c>
      <c r="P3779" s="49" t="s">
        <v>4910</v>
      </c>
      <c r="Q3779" s="35" t="str">
        <f>MID(Tabla1[[#This Row],[Aplicación]],14,1)</f>
        <v>2</v>
      </c>
      <c r="R3779" s="35" t="s">
        <v>495</v>
      </c>
      <c r="S3779" s="35" t="str">
        <f>MID(Tabla1[[#This Row],[Aplicación]],6,2)</f>
        <v>06</v>
      </c>
      <c r="T3779" s="35" t="str">
        <f>VLOOKUP(Tabla1[[#This Row],[AREA]],Hoja1!A:B,2,FALSE)</f>
        <v>06. Educación, infancia, juventud e igualdad</v>
      </c>
      <c r="U3779" s="35" t="str">
        <f>MID(Tabla1[[#This Row],[Aplicación]],9,4)</f>
        <v>3232</v>
      </c>
      <c r="V3779" s="35" t="str">
        <f>VLOOKUP(Tabla1[[#This Row],[PROGRAMA]],Hoja1!A:B,2,FALSE)</f>
        <v>3232. Conservación y mantenimiento centros educación infantil y primaria</v>
      </c>
      <c r="W3779" s="35" t="str">
        <f>MID(Tabla1[[#This Row],[Aplicación]],14,2)</f>
        <v>21</v>
      </c>
      <c r="X3779" s="35" t="str">
        <f>MID(Tabla1[[#This Row],[Aplicación]],14,6)</f>
        <v>212</v>
      </c>
    </row>
    <row r="3780" spans="1:24" x14ac:dyDescent="0.25">
      <c r="A3780" s="45">
        <v>220210045457</v>
      </c>
      <c r="B3780" s="46" t="s">
        <v>204</v>
      </c>
      <c r="C3780" s="47">
        <v>44413</v>
      </c>
      <c r="D3780" s="45">
        <v>22021002225</v>
      </c>
      <c r="E3780" s="46" t="s">
        <v>1574</v>
      </c>
      <c r="F3780" s="48">
        <v>18.760000000000002</v>
      </c>
      <c r="G3780" s="46" t="s">
        <v>238</v>
      </c>
      <c r="H3780" s="46" t="s">
        <v>5380</v>
      </c>
      <c r="I3780" s="45" t="s">
        <v>205</v>
      </c>
      <c r="J3780" s="46" t="s">
        <v>127</v>
      </c>
      <c r="K3780" s="46" t="s">
        <v>127</v>
      </c>
      <c r="L3780" s="46" t="s">
        <v>15</v>
      </c>
      <c r="M3780" s="46" t="s">
        <v>13</v>
      </c>
      <c r="N3780" s="46" t="s">
        <v>16</v>
      </c>
      <c r="O3780" s="49" t="s">
        <v>814</v>
      </c>
      <c r="P3780" s="49" t="s">
        <v>4910</v>
      </c>
      <c r="Q3780" s="35" t="str">
        <f>MID(Tabla1[[#This Row],[Aplicación]],14,1)</f>
        <v>2</v>
      </c>
      <c r="R3780" s="35" t="s">
        <v>495</v>
      </c>
      <c r="S3780" s="35" t="str">
        <f>MID(Tabla1[[#This Row],[Aplicación]],6,2)</f>
        <v>06</v>
      </c>
      <c r="T3780" s="35" t="str">
        <f>VLOOKUP(Tabla1[[#This Row],[AREA]],Hoja1!A:B,2,FALSE)</f>
        <v>06. Educación, infancia, juventud e igualdad</v>
      </c>
      <c r="U3780" s="35" t="str">
        <f>MID(Tabla1[[#This Row],[Aplicación]],9,4)</f>
        <v>3231</v>
      </c>
      <c r="V3780" s="35" t="str">
        <f>VLOOKUP(Tabla1[[#This Row],[PROGRAMA]],Hoja1!A:B,2,FALSE)</f>
        <v>3231. Escuelas infantiles</v>
      </c>
      <c r="W3780" s="35" t="str">
        <f>MID(Tabla1[[#This Row],[Aplicación]],14,2)</f>
        <v>21</v>
      </c>
      <c r="X3780" s="35" t="str">
        <f>MID(Tabla1[[#This Row],[Aplicación]],14,6)</f>
        <v>212</v>
      </c>
    </row>
    <row r="3781" spans="1:24" x14ac:dyDescent="0.25">
      <c r="A3781" s="45">
        <v>220210036312</v>
      </c>
      <c r="B3781" s="46" t="s">
        <v>9</v>
      </c>
      <c r="C3781" s="47">
        <v>44384</v>
      </c>
      <c r="D3781" s="45">
        <v>22021005557</v>
      </c>
      <c r="E3781" s="46" t="s">
        <v>3333</v>
      </c>
      <c r="F3781" s="48">
        <v>1357.62</v>
      </c>
      <c r="G3781" s="46" t="s">
        <v>5381</v>
      </c>
      <c r="H3781" s="46" t="s">
        <v>5382</v>
      </c>
      <c r="I3781" s="45" t="s">
        <v>125</v>
      </c>
      <c r="J3781" s="46" t="s">
        <v>127</v>
      </c>
      <c r="K3781" s="46" t="s">
        <v>127</v>
      </c>
      <c r="L3781" s="46" t="s">
        <v>12</v>
      </c>
      <c r="M3781" s="46" t="s">
        <v>10</v>
      </c>
      <c r="N3781" s="46" t="s">
        <v>11</v>
      </c>
      <c r="O3781" s="49" t="s">
        <v>815</v>
      </c>
      <c r="P3781" s="49" t="s">
        <v>4910</v>
      </c>
      <c r="Q3781" s="35" t="str">
        <f>MID(Tabla1[[#This Row],[Aplicación]],14,1)</f>
        <v>2</v>
      </c>
      <c r="R3781" s="35" t="s">
        <v>495</v>
      </c>
      <c r="S3781" s="35" t="str">
        <f>MID(Tabla1[[#This Row],[Aplicación]],6,2)</f>
        <v>10</v>
      </c>
      <c r="T3781" s="35" t="str">
        <f>VLOOKUP(Tabla1[[#This Row],[AREA]],Hoja1!A:B,2,FALSE)</f>
        <v>10. Servicios sociales y mediación comunitaria</v>
      </c>
      <c r="U3781" s="35" t="str">
        <f>MID(Tabla1[[#This Row],[Aplicación]],9,4)</f>
        <v>2316</v>
      </c>
      <c r="V3781" s="35" t="str">
        <f>VLOOKUP(Tabla1[[#This Row],[PROGRAMA]],Hoja1!A:B,2,FALSE)</f>
        <v>2316. Mediación comunitaria</v>
      </c>
      <c r="W3781" s="35" t="str">
        <f>MID(Tabla1[[#This Row],[Aplicación]],14,2)</f>
        <v>22</v>
      </c>
      <c r="X3781" s="35" t="str">
        <f>MID(Tabla1[[#This Row],[Aplicación]],14,6)</f>
        <v>22616</v>
      </c>
    </row>
    <row r="3782" spans="1:24" x14ac:dyDescent="0.25">
      <c r="A3782" s="45">
        <v>220210039400</v>
      </c>
      <c r="B3782" s="46" t="s">
        <v>9</v>
      </c>
      <c r="C3782" s="47">
        <v>44392</v>
      </c>
      <c r="D3782" s="45">
        <v>22021005466</v>
      </c>
      <c r="E3782" s="46" t="s">
        <v>3333</v>
      </c>
      <c r="F3782" s="48">
        <v>3872</v>
      </c>
      <c r="G3782" s="46" t="s">
        <v>5383</v>
      </c>
      <c r="H3782" s="46" t="s">
        <v>5384</v>
      </c>
      <c r="I3782" s="45" t="s">
        <v>125</v>
      </c>
      <c r="J3782" s="46" t="s">
        <v>136</v>
      </c>
      <c r="K3782" s="46" t="s">
        <v>136</v>
      </c>
      <c r="L3782" s="46" t="s">
        <v>12</v>
      </c>
      <c r="M3782" s="46" t="s">
        <v>10</v>
      </c>
      <c r="N3782" s="46" t="s">
        <v>11</v>
      </c>
      <c r="O3782" s="49" t="s">
        <v>815</v>
      </c>
      <c r="P3782" s="49" t="s">
        <v>4910</v>
      </c>
      <c r="Q3782" s="35" t="str">
        <f>MID(Tabla1[[#This Row],[Aplicación]],14,1)</f>
        <v>2</v>
      </c>
      <c r="R3782" s="35" t="s">
        <v>495</v>
      </c>
      <c r="S3782" s="35" t="str">
        <f>MID(Tabla1[[#This Row],[Aplicación]],6,2)</f>
        <v>10</v>
      </c>
      <c r="T3782" s="35" t="str">
        <f>VLOOKUP(Tabla1[[#This Row],[AREA]],Hoja1!A:B,2,FALSE)</f>
        <v>10. Servicios sociales y mediación comunitaria</v>
      </c>
      <c r="U3782" s="35" t="str">
        <f>MID(Tabla1[[#This Row],[Aplicación]],9,4)</f>
        <v>2316</v>
      </c>
      <c r="V3782" s="35" t="str">
        <f>VLOOKUP(Tabla1[[#This Row],[PROGRAMA]],Hoja1!A:B,2,FALSE)</f>
        <v>2316. Mediación comunitaria</v>
      </c>
      <c r="W3782" s="35" t="str">
        <f>MID(Tabla1[[#This Row],[Aplicación]],14,2)</f>
        <v>22</v>
      </c>
      <c r="X3782" s="35" t="str">
        <f>MID(Tabla1[[#This Row],[Aplicación]],14,6)</f>
        <v>22616</v>
      </c>
    </row>
    <row r="3783" spans="1:24" x14ac:dyDescent="0.25">
      <c r="A3783" s="45">
        <v>220210051243</v>
      </c>
      <c r="B3783" s="46" t="s">
        <v>9</v>
      </c>
      <c r="C3783" s="47">
        <v>44448</v>
      </c>
      <c r="D3783" s="45">
        <v>22021006427</v>
      </c>
      <c r="E3783" s="46" t="s">
        <v>3291</v>
      </c>
      <c r="F3783" s="48">
        <v>1200</v>
      </c>
      <c r="G3783" s="46" t="s">
        <v>302</v>
      </c>
      <c r="H3783" s="46" t="s">
        <v>5385</v>
      </c>
      <c r="I3783" s="45" t="s">
        <v>125</v>
      </c>
      <c r="J3783" s="46" t="s">
        <v>700</v>
      </c>
      <c r="K3783" s="46" t="s">
        <v>127</v>
      </c>
      <c r="L3783" s="46" t="s">
        <v>15</v>
      </c>
      <c r="M3783" s="46" t="s">
        <v>10</v>
      </c>
      <c r="N3783" s="46" t="s">
        <v>11</v>
      </c>
      <c r="O3783" s="49" t="s">
        <v>815</v>
      </c>
      <c r="P3783" s="49" t="s">
        <v>4910</v>
      </c>
      <c r="Q3783" s="35" t="str">
        <f>MID(Tabla1[[#This Row],[Aplicación]],14,1)</f>
        <v>2</v>
      </c>
      <c r="R3783" s="35" t="s">
        <v>495</v>
      </c>
      <c r="S3783" s="35" t="str">
        <f>MID(Tabla1[[#This Row],[Aplicación]],6,2)</f>
        <v>02</v>
      </c>
      <c r="T3783" s="35" t="str">
        <f>VLOOKUP(Tabla1[[#This Row],[AREA]],Hoja1!A:B,2,FALSE)</f>
        <v>02. Planeamiento urbanístico y vivienda</v>
      </c>
      <c r="U3783" s="35" t="str">
        <f>MID(Tabla1[[#This Row],[Aplicación]],9,4)</f>
        <v>9332</v>
      </c>
      <c r="V3783" s="35" t="str">
        <f>VLOOKUP(Tabla1[[#This Row],[PROGRAMA]],Hoja1!A:B,2,FALSE)</f>
        <v>9332. Mantenimiento de edificios e instalaciones municipales</v>
      </c>
      <c r="W3783" s="35" t="str">
        <f>MID(Tabla1[[#This Row],[Aplicación]],14,2)</f>
        <v>20</v>
      </c>
      <c r="X3783" s="35" t="str">
        <f>MID(Tabla1[[#This Row],[Aplicación]],14,6)</f>
        <v>203</v>
      </c>
    </row>
    <row r="3784" spans="1:24" x14ac:dyDescent="0.25">
      <c r="A3784" s="45">
        <v>220210036213</v>
      </c>
      <c r="B3784" s="46" t="s">
        <v>501</v>
      </c>
      <c r="C3784" s="47">
        <v>44383</v>
      </c>
      <c r="D3784" s="45">
        <v>22021004583</v>
      </c>
      <c r="E3784" s="46" t="s">
        <v>1621</v>
      </c>
      <c r="F3784" s="48">
        <v>-1754.5</v>
      </c>
      <c r="G3784" s="46" t="s">
        <v>531</v>
      </c>
      <c r="H3784" s="46" t="s">
        <v>5386</v>
      </c>
      <c r="I3784" s="45" t="s">
        <v>125</v>
      </c>
      <c r="J3784" s="46" t="s">
        <v>127</v>
      </c>
      <c r="K3784" s="46" t="s">
        <v>127</v>
      </c>
      <c r="L3784" s="46" t="s">
        <v>12</v>
      </c>
      <c r="M3784" s="46" t="s">
        <v>10</v>
      </c>
      <c r="N3784" s="46" t="s">
        <v>11</v>
      </c>
      <c r="O3784" s="49" t="s">
        <v>815</v>
      </c>
      <c r="P3784" s="49" t="s">
        <v>4910</v>
      </c>
      <c r="Q3784" s="35" t="str">
        <f>MID(Tabla1[[#This Row],[Aplicación]],14,1)</f>
        <v>2</v>
      </c>
      <c r="R3784" s="35" t="s">
        <v>495</v>
      </c>
      <c r="S3784" s="35" t="str">
        <f>MID(Tabla1[[#This Row],[Aplicación]],6,2)</f>
        <v>01</v>
      </c>
      <c r="T3784" s="35" t="str">
        <f>VLOOKUP(Tabla1[[#This Row],[AREA]],Hoja1!A:B,2,FALSE)</f>
        <v>01. Alcaldía</v>
      </c>
      <c r="U3784" s="35" t="str">
        <f>MID(Tabla1[[#This Row],[Aplicación]],9,4)</f>
        <v>9207</v>
      </c>
      <c r="V3784" s="35" t="str">
        <f>VLOOKUP(Tabla1[[#This Row],[PROGRAMA]],Hoja1!A:B,2,FALSE)</f>
        <v>9207. Gobierno y relaciones</v>
      </c>
      <c r="W3784" s="35" t="str">
        <f>MID(Tabla1[[#This Row],[Aplicación]],14,2)</f>
        <v>22</v>
      </c>
      <c r="X3784" s="35" t="str">
        <f>MID(Tabla1[[#This Row],[Aplicación]],14,6)</f>
        <v>22602</v>
      </c>
    </row>
    <row r="3785" spans="1:24" x14ac:dyDescent="0.25">
      <c r="A3785" s="45">
        <v>220210045550</v>
      </c>
      <c r="B3785" s="46" t="s">
        <v>9</v>
      </c>
      <c r="C3785" s="47">
        <v>44414</v>
      </c>
      <c r="D3785" s="45">
        <v>22021005771</v>
      </c>
      <c r="E3785" s="46" t="s">
        <v>4917</v>
      </c>
      <c r="F3785" s="48">
        <v>44831.71</v>
      </c>
      <c r="G3785" s="46" t="s">
        <v>5387</v>
      </c>
      <c r="H3785" s="46" t="s">
        <v>5388</v>
      </c>
      <c r="I3785" s="45" t="s">
        <v>216</v>
      </c>
      <c r="J3785" s="46" t="s">
        <v>619</v>
      </c>
      <c r="K3785" s="46" t="s">
        <v>127</v>
      </c>
      <c r="L3785" s="46" t="s">
        <v>31</v>
      </c>
      <c r="M3785" s="46" t="s">
        <v>10</v>
      </c>
      <c r="N3785" s="46" t="s">
        <v>11</v>
      </c>
      <c r="O3785" s="49" t="s">
        <v>815</v>
      </c>
      <c r="P3785" s="49" t="s">
        <v>4910</v>
      </c>
      <c r="Q3785" s="35" t="str">
        <f>MID(Tabla1[[#This Row],[Aplicación]],14,1)</f>
        <v>6</v>
      </c>
      <c r="R3785" s="35" t="s">
        <v>496</v>
      </c>
      <c r="S3785" s="35" t="str">
        <f>MID(Tabla1[[#This Row],[Aplicación]],6,2)</f>
        <v>11</v>
      </c>
      <c r="T3785" s="35" t="str">
        <f>VLOOKUP(Tabla1[[#This Row],[AREA]],Hoja1!A:B,2,FALSE)</f>
        <v>11. Salud pública y seguridad ciudadana</v>
      </c>
      <c r="U3785" s="35" t="str">
        <f>MID(Tabla1[[#This Row],[Aplicación]],9,4)</f>
        <v>1631</v>
      </c>
      <c r="V3785" s="35" t="str">
        <f>VLOOKUP(Tabla1[[#This Row],[PROGRAMA]],Hoja1!A:B,2,FALSE)</f>
        <v>1631. Limpieza viaria</v>
      </c>
      <c r="W3785" s="35" t="str">
        <f>MID(Tabla1[[#This Row],[Aplicación]],14,2)</f>
        <v>63</v>
      </c>
      <c r="X3785" s="35" t="str">
        <f>MID(Tabla1[[#This Row],[Aplicación]],14,6)</f>
        <v>632</v>
      </c>
    </row>
    <row r="3786" spans="1:24" x14ac:dyDescent="0.25">
      <c r="A3786" s="45">
        <v>220210047053</v>
      </c>
      <c r="B3786" s="46" t="s">
        <v>204</v>
      </c>
      <c r="C3786" s="47">
        <v>44421</v>
      </c>
      <c r="D3786" s="45">
        <v>22021002006</v>
      </c>
      <c r="E3786" s="46" t="s">
        <v>1310</v>
      </c>
      <c r="F3786" s="48">
        <v>281.54000000000002</v>
      </c>
      <c r="G3786" s="46" t="s">
        <v>238</v>
      </c>
      <c r="H3786" s="46" t="s">
        <v>5389</v>
      </c>
      <c r="I3786" s="45" t="s">
        <v>205</v>
      </c>
      <c r="J3786" s="46" t="s">
        <v>127</v>
      </c>
      <c r="K3786" s="46" t="s">
        <v>127</v>
      </c>
      <c r="L3786" s="46" t="s">
        <v>15</v>
      </c>
      <c r="M3786" s="46" t="s">
        <v>13</v>
      </c>
      <c r="N3786" s="46" t="s">
        <v>14</v>
      </c>
      <c r="O3786" s="49" t="s">
        <v>814</v>
      </c>
      <c r="P3786" s="49" t="s">
        <v>4910</v>
      </c>
      <c r="Q3786" s="35" t="str">
        <f>MID(Tabla1[[#This Row],[Aplicación]],14,1)</f>
        <v>2</v>
      </c>
      <c r="R3786" s="35" t="s">
        <v>495</v>
      </c>
      <c r="S3786" s="35" t="str">
        <f>MID(Tabla1[[#This Row],[Aplicación]],6,2)</f>
        <v>11</v>
      </c>
      <c r="T3786" s="35" t="str">
        <f>VLOOKUP(Tabla1[[#This Row],[AREA]],Hoja1!A:B,2,FALSE)</f>
        <v>11. Salud pública y seguridad ciudadana</v>
      </c>
      <c r="U3786" s="35" t="str">
        <f>MID(Tabla1[[#This Row],[Aplicación]],9,4)</f>
        <v>3111</v>
      </c>
      <c r="V3786" s="35" t="str">
        <f>VLOOKUP(Tabla1[[#This Row],[PROGRAMA]],Hoja1!A:B,2,FALSE)</f>
        <v>3111. Protección de la salubridad pública</v>
      </c>
      <c r="W3786" s="35" t="str">
        <f>MID(Tabla1[[#This Row],[Aplicación]],14,2)</f>
        <v>22</v>
      </c>
      <c r="X3786" s="35" t="str">
        <f>MID(Tabla1[[#This Row],[Aplicación]],14,6)</f>
        <v>22199</v>
      </c>
    </row>
    <row r="3787" spans="1:24" x14ac:dyDescent="0.25">
      <c r="A3787" s="45">
        <v>220210046014</v>
      </c>
      <c r="B3787" s="46" t="s">
        <v>204</v>
      </c>
      <c r="C3787" s="47">
        <v>44418</v>
      </c>
      <c r="D3787" s="45">
        <v>22021002228</v>
      </c>
      <c r="E3787" s="46" t="s">
        <v>1471</v>
      </c>
      <c r="F3787" s="48">
        <v>294.99</v>
      </c>
      <c r="G3787" s="46" t="s">
        <v>238</v>
      </c>
      <c r="H3787" s="46" t="s">
        <v>5390</v>
      </c>
      <c r="I3787" s="45" t="s">
        <v>205</v>
      </c>
      <c r="J3787" s="46" t="s">
        <v>127</v>
      </c>
      <c r="K3787" s="46" t="s">
        <v>127</v>
      </c>
      <c r="L3787" s="46" t="s">
        <v>15</v>
      </c>
      <c r="M3787" s="46" t="s">
        <v>13</v>
      </c>
      <c r="N3787" s="46" t="s">
        <v>16</v>
      </c>
      <c r="O3787" s="49" t="s">
        <v>814</v>
      </c>
      <c r="P3787" s="49" t="s">
        <v>4910</v>
      </c>
      <c r="Q3787" s="35" t="str">
        <f>MID(Tabla1[[#This Row],[Aplicación]],14,1)</f>
        <v>2</v>
      </c>
      <c r="R3787" s="35" t="s">
        <v>495</v>
      </c>
      <c r="S3787" s="35" t="str">
        <f>MID(Tabla1[[#This Row],[Aplicación]],6,2)</f>
        <v>06</v>
      </c>
      <c r="T3787" s="35" t="str">
        <f>VLOOKUP(Tabla1[[#This Row],[AREA]],Hoja1!A:B,2,FALSE)</f>
        <v>06. Educación, infancia, juventud e igualdad</v>
      </c>
      <c r="U3787" s="35" t="str">
        <f>MID(Tabla1[[#This Row],[Aplicación]],9,4)</f>
        <v>3232</v>
      </c>
      <c r="V3787" s="35" t="str">
        <f>VLOOKUP(Tabla1[[#This Row],[PROGRAMA]],Hoja1!A:B,2,FALSE)</f>
        <v>3232. Conservación y mantenimiento centros educación infantil y primaria</v>
      </c>
      <c r="W3787" s="35" t="str">
        <f>MID(Tabla1[[#This Row],[Aplicación]],14,2)</f>
        <v>21</v>
      </c>
      <c r="X3787" s="35" t="str">
        <f>MID(Tabla1[[#This Row],[Aplicación]],14,6)</f>
        <v>212</v>
      </c>
    </row>
    <row r="3788" spans="1:24" x14ac:dyDescent="0.25">
      <c r="A3788" s="45">
        <v>220210053634</v>
      </c>
      <c r="B3788" s="46" t="s">
        <v>204</v>
      </c>
      <c r="C3788" s="47">
        <v>44452</v>
      </c>
      <c r="D3788" s="45">
        <v>22021005979</v>
      </c>
      <c r="E3788" s="46" t="s">
        <v>1372</v>
      </c>
      <c r="F3788" s="48">
        <v>5446.54</v>
      </c>
      <c r="G3788" s="46" t="s">
        <v>238</v>
      </c>
      <c r="H3788" s="46" t="s">
        <v>5170</v>
      </c>
      <c r="I3788" s="45" t="s">
        <v>205</v>
      </c>
      <c r="J3788" s="46" t="s">
        <v>127</v>
      </c>
      <c r="K3788" s="46" t="s">
        <v>127</v>
      </c>
      <c r="L3788" s="46" t="s">
        <v>12</v>
      </c>
      <c r="M3788" s="46" t="s">
        <v>13</v>
      </c>
      <c r="N3788" s="46" t="s">
        <v>14</v>
      </c>
      <c r="O3788" s="49" t="s">
        <v>814</v>
      </c>
      <c r="P3788" s="49" t="s">
        <v>4910</v>
      </c>
      <c r="Q3788" s="35" t="str">
        <f>MID(Tabla1[[#This Row],[Aplicación]],14,1)</f>
        <v>2</v>
      </c>
      <c r="R3788" s="35" t="s">
        <v>495</v>
      </c>
      <c r="S3788" s="35" t="str">
        <f>MID(Tabla1[[#This Row],[Aplicación]],6,2)</f>
        <v>07</v>
      </c>
      <c r="T3788" s="35" t="str">
        <f>VLOOKUP(Tabla1[[#This Row],[AREA]],Hoja1!A:B,2,FALSE)</f>
        <v>07. Medio ambiente y desarrollo sostenible</v>
      </c>
      <c r="U3788" s="35" t="str">
        <f>MID(Tabla1[[#This Row],[Aplicación]],9,4)</f>
        <v>1711</v>
      </c>
      <c r="V3788" s="35" t="str">
        <f>VLOOKUP(Tabla1[[#This Row],[PROGRAMA]],Hoja1!A:B,2,FALSE)</f>
        <v>1711. Parques y jardines</v>
      </c>
      <c r="W3788" s="35" t="str">
        <f>MID(Tabla1[[#This Row],[Aplicación]],14,2)</f>
        <v>21</v>
      </c>
      <c r="X3788" s="35" t="str">
        <f>MID(Tabla1[[#This Row],[Aplicación]],14,6)</f>
        <v>213</v>
      </c>
    </row>
    <row r="3789" spans="1:24" x14ac:dyDescent="0.25">
      <c r="A3789" s="45">
        <v>220210053609</v>
      </c>
      <c r="B3789" s="46" t="s">
        <v>204</v>
      </c>
      <c r="C3789" s="47">
        <v>44452</v>
      </c>
      <c r="D3789" s="45">
        <v>22021005979</v>
      </c>
      <c r="E3789" s="46" t="s">
        <v>1372</v>
      </c>
      <c r="F3789" s="48">
        <v>1669.92</v>
      </c>
      <c r="G3789" s="46" t="s">
        <v>238</v>
      </c>
      <c r="H3789" s="46" t="s">
        <v>5391</v>
      </c>
      <c r="I3789" s="45" t="s">
        <v>205</v>
      </c>
      <c r="J3789" s="46" t="s">
        <v>127</v>
      </c>
      <c r="K3789" s="46" t="s">
        <v>127</v>
      </c>
      <c r="L3789" s="46" t="s">
        <v>12</v>
      </c>
      <c r="M3789" s="46" t="s">
        <v>13</v>
      </c>
      <c r="N3789" s="46" t="s">
        <v>14</v>
      </c>
      <c r="O3789" s="49" t="s">
        <v>814</v>
      </c>
      <c r="P3789" s="49" t="s">
        <v>4910</v>
      </c>
      <c r="Q3789" s="35" t="str">
        <f>MID(Tabla1[[#This Row],[Aplicación]],14,1)</f>
        <v>2</v>
      </c>
      <c r="R3789" s="35" t="s">
        <v>495</v>
      </c>
      <c r="S3789" s="35" t="str">
        <f>MID(Tabla1[[#This Row],[Aplicación]],6,2)</f>
        <v>07</v>
      </c>
      <c r="T3789" s="35" t="str">
        <f>VLOOKUP(Tabla1[[#This Row],[AREA]],Hoja1!A:B,2,FALSE)</f>
        <v>07. Medio ambiente y desarrollo sostenible</v>
      </c>
      <c r="U3789" s="35" t="str">
        <f>MID(Tabla1[[#This Row],[Aplicación]],9,4)</f>
        <v>1711</v>
      </c>
      <c r="V3789" s="35" t="str">
        <f>VLOOKUP(Tabla1[[#This Row],[PROGRAMA]],Hoja1!A:B,2,FALSE)</f>
        <v>1711. Parques y jardines</v>
      </c>
      <c r="W3789" s="35" t="str">
        <f>MID(Tabla1[[#This Row],[Aplicación]],14,2)</f>
        <v>21</v>
      </c>
      <c r="X3789" s="35" t="str">
        <f>MID(Tabla1[[#This Row],[Aplicación]],14,6)</f>
        <v>213</v>
      </c>
    </row>
    <row r="3790" spans="1:24" x14ac:dyDescent="0.25">
      <c r="A3790" s="45">
        <v>220210048527</v>
      </c>
      <c r="B3790" s="46" t="s">
        <v>9</v>
      </c>
      <c r="C3790" s="47">
        <v>44428</v>
      </c>
      <c r="D3790" s="45">
        <v>22021006103</v>
      </c>
      <c r="E3790" s="46" t="s">
        <v>3341</v>
      </c>
      <c r="F3790" s="48">
        <v>650.98</v>
      </c>
      <c r="G3790" s="46" t="s">
        <v>238</v>
      </c>
      <c r="H3790" s="46" t="s">
        <v>5392</v>
      </c>
      <c r="I3790" s="45" t="s">
        <v>125</v>
      </c>
      <c r="J3790" s="46" t="s">
        <v>127</v>
      </c>
      <c r="K3790" s="46" t="s">
        <v>127</v>
      </c>
      <c r="L3790" s="46" t="s">
        <v>15</v>
      </c>
      <c r="M3790" s="46" t="s">
        <v>10</v>
      </c>
      <c r="N3790" s="46" t="s">
        <v>11</v>
      </c>
      <c r="O3790" s="49" t="s">
        <v>815</v>
      </c>
      <c r="P3790" s="49" t="s">
        <v>4910</v>
      </c>
      <c r="Q3790" s="35" t="str">
        <f>MID(Tabla1[[#This Row],[Aplicación]],14,1)</f>
        <v>6</v>
      </c>
      <c r="R3790" s="35" t="s">
        <v>496</v>
      </c>
      <c r="S3790" s="35" t="str">
        <f>MID(Tabla1[[#This Row],[Aplicación]],6,2)</f>
        <v>10</v>
      </c>
      <c r="T3790" s="35" t="str">
        <f>VLOOKUP(Tabla1[[#This Row],[AREA]],Hoja1!A:B,2,FALSE)</f>
        <v>10. Servicios sociales y mediación comunitaria</v>
      </c>
      <c r="U3790" s="35" t="str">
        <f>MID(Tabla1[[#This Row],[Aplicación]],9,4)</f>
        <v>2412</v>
      </c>
      <c r="V3790" s="35" t="str">
        <f>VLOOKUP(Tabla1[[#This Row],[PROGRAMA]],Hoja1!A:B,2,FALSE)</f>
        <v>2412. Formación para el empleo</v>
      </c>
      <c r="W3790" s="35" t="str">
        <f>MID(Tabla1[[#This Row],[Aplicación]],14,2)</f>
        <v>63</v>
      </c>
      <c r="X3790" s="35" t="str">
        <f>MID(Tabla1[[#This Row],[Aplicación]],14,6)</f>
        <v>633</v>
      </c>
    </row>
    <row r="3791" spans="1:24" x14ac:dyDescent="0.25">
      <c r="A3791" s="45">
        <v>220210051217</v>
      </c>
      <c r="B3791" s="46" t="s">
        <v>204</v>
      </c>
      <c r="C3791" s="47">
        <v>44448</v>
      </c>
      <c r="D3791" s="45">
        <v>22021002228</v>
      </c>
      <c r="E3791" s="46" t="s">
        <v>1471</v>
      </c>
      <c r="F3791" s="48">
        <v>626.79</v>
      </c>
      <c r="G3791" s="46" t="s">
        <v>238</v>
      </c>
      <c r="H3791" s="46" t="s">
        <v>5393</v>
      </c>
      <c r="I3791" s="45" t="s">
        <v>205</v>
      </c>
      <c r="J3791" s="46" t="s">
        <v>127</v>
      </c>
      <c r="K3791" s="46" t="s">
        <v>127</v>
      </c>
      <c r="L3791" s="46" t="s">
        <v>15</v>
      </c>
      <c r="M3791" s="46" t="s">
        <v>13</v>
      </c>
      <c r="N3791" s="46" t="s">
        <v>16</v>
      </c>
      <c r="O3791" s="49" t="s">
        <v>814</v>
      </c>
      <c r="P3791" s="49" t="s">
        <v>4910</v>
      </c>
      <c r="Q3791" s="35" t="str">
        <f>MID(Tabla1[[#This Row],[Aplicación]],14,1)</f>
        <v>2</v>
      </c>
      <c r="R3791" s="35" t="s">
        <v>495</v>
      </c>
      <c r="S3791" s="35" t="str">
        <f>MID(Tabla1[[#This Row],[Aplicación]],6,2)</f>
        <v>06</v>
      </c>
      <c r="T3791" s="35" t="str">
        <f>VLOOKUP(Tabla1[[#This Row],[AREA]],Hoja1!A:B,2,FALSE)</f>
        <v>06. Educación, infancia, juventud e igualdad</v>
      </c>
      <c r="U3791" s="35" t="str">
        <f>MID(Tabla1[[#This Row],[Aplicación]],9,4)</f>
        <v>3232</v>
      </c>
      <c r="V3791" s="35" t="str">
        <f>VLOOKUP(Tabla1[[#This Row],[PROGRAMA]],Hoja1!A:B,2,FALSE)</f>
        <v>3232. Conservación y mantenimiento centros educación infantil y primaria</v>
      </c>
      <c r="W3791" s="35" t="str">
        <f>MID(Tabla1[[#This Row],[Aplicación]],14,2)</f>
        <v>21</v>
      </c>
      <c r="X3791" s="35" t="str">
        <f>MID(Tabla1[[#This Row],[Aplicación]],14,6)</f>
        <v>212</v>
      </c>
    </row>
    <row r="3792" spans="1:24" x14ac:dyDescent="0.25">
      <c r="A3792" s="45">
        <v>220210053505</v>
      </c>
      <c r="B3792" s="46" t="s">
        <v>204</v>
      </c>
      <c r="C3792" s="47">
        <v>44452</v>
      </c>
      <c r="D3792" s="45">
        <v>22021002047</v>
      </c>
      <c r="E3792" s="46" t="s">
        <v>944</v>
      </c>
      <c r="F3792" s="48">
        <v>122.98</v>
      </c>
      <c r="G3792" s="46" t="s">
        <v>238</v>
      </c>
      <c r="H3792" s="46" t="s">
        <v>5394</v>
      </c>
      <c r="I3792" s="45" t="s">
        <v>205</v>
      </c>
      <c r="J3792" s="46" t="s">
        <v>127</v>
      </c>
      <c r="K3792" s="46" t="s">
        <v>127</v>
      </c>
      <c r="L3792" s="46" t="s">
        <v>15</v>
      </c>
      <c r="M3792" s="46" t="s">
        <v>13</v>
      </c>
      <c r="N3792" s="46" t="s">
        <v>14</v>
      </c>
      <c r="O3792" s="49" t="s">
        <v>814</v>
      </c>
      <c r="P3792" s="49" t="s">
        <v>4910</v>
      </c>
      <c r="Q3792" s="35" t="str">
        <f>MID(Tabla1[[#This Row],[Aplicación]],14,1)</f>
        <v>2</v>
      </c>
      <c r="R3792" s="35" t="s">
        <v>495</v>
      </c>
      <c r="S3792" s="35" t="str">
        <f>MID(Tabla1[[#This Row],[Aplicación]],6,2)</f>
        <v>11</v>
      </c>
      <c r="T3792" s="35" t="str">
        <f>VLOOKUP(Tabla1[[#This Row],[AREA]],Hoja1!A:B,2,FALSE)</f>
        <v>11. Salud pública y seguridad ciudadana</v>
      </c>
      <c r="U3792" s="35" t="str">
        <f>MID(Tabla1[[#This Row],[Aplicación]],9,4)</f>
        <v>1621</v>
      </c>
      <c r="V3792" s="35" t="str">
        <f>VLOOKUP(Tabla1[[#This Row],[PROGRAMA]],Hoja1!A:B,2,FALSE)</f>
        <v>1621. Servicio de limpieza</v>
      </c>
      <c r="W3792" s="35" t="str">
        <f>MID(Tabla1[[#This Row],[Aplicación]],14,2)</f>
        <v>21</v>
      </c>
      <c r="X3792" s="35" t="str">
        <f>MID(Tabla1[[#This Row],[Aplicación]],14,6)</f>
        <v>213</v>
      </c>
    </row>
    <row r="3793" spans="1:24" x14ac:dyDescent="0.25">
      <c r="A3793" s="45">
        <v>220210049853</v>
      </c>
      <c r="B3793" s="46" t="s">
        <v>204</v>
      </c>
      <c r="C3793" s="47">
        <v>44433</v>
      </c>
      <c r="D3793" s="45">
        <v>22021002228</v>
      </c>
      <c r="E3793" s="46" t="s">
        <v>1471</v>
      </c>
      <c r="F3793" s="48">
        <v>100.19</v>
      </c>
      <c r="G3793" s="46" t="s">
        <v>238</v>
      </c>
      <c r="H3793" s="46" t="s">
        <v>5395</v>
      </c>
      <c r="I3793" s="45" t="s">
        <v>205</v>
      </c>
      <c r="J3793" s="46" t="s">
        <v>127</v>
      </c>
      <c r="K3793" s="46" t="s">
        <v>127</v>
      </c>
      <c r="L3793" s="46" t="s">
        <v>15</v>
      </c>
      <c r="M3793" s="46" t="s">
        <v>13</v>
      </c>
      <c r="N3793" s="46" t="s">
        <v>16</v>
      </c>
      <c r="O3793" s="49" t="s">
        <v>814</v>
      </c>
      <c r="P3793" s="49" t="s">
        <v>4910</v>
      </c>
      <c r="Q3793" s="35" t="str">
        <f>MID(Tabla1[[#This Row],[Aplicación]],14,1)</f>
        <v>2</v>
      </c>
      <c r="R3793" s="35" t="s">
        <v>495</v>
      </c>
      <c r="S3793" s="35" t="str">
        <f>MID(Tabla1[[#This Row],[Aplicación]],6,2)</f>
        <v>06</v>
      </c>
      <c r="T3793" s="35" t="str">
        <f>VLOOKUP(Tabla1[[#This Row],[AREA]],Hoja1!A:B,2,FALSE)</f>
        <v>06. Educación, infancia, juventud e igualdad</v>
      </c>
      <c r="U3793" s="35" t="str">
        <f>MID(Tabla1[[#This Row],[Aplicación]],9,4)</f>
        <v>3232</v>
      </c>
      <c r="V3793" s="35" t="str">
        <f>VLOOKUP(Tabla1[[#This Row],[PROGRAMA]],Hoja1!A:B,2,FALSE)</f>
        <v>3232. Conservación y mantenimiento centros educación infantil y primaria</v>
      </c>
      <c r="W3793" s="35" t="str">
        <f>MID(Tabla1[[#This Row],[Aplicación]],14,2)</f>
        <v>21</v>
      </c>
      <c r="X3793" s="35" t="str">
        <f>MID(Tabla1[[#This Row],[Aplicación]],14,6)</f>
        <v>212</v>
      </c>
    </row>
    <row r="3794" spans="1:24" x14ac:dyDescent="0.25">
      <c r="A3794" s="45">
        <v>220210048730</v>
      </c>
      <c r="B3794" s="46" t="s">
        <v>204</v>
      </c>
      <c r="C3794" s="47">
        <v>44428</v>
      </c>
      <c r="D3794" s="45">
        <v>22021002374</v>
      </c>
      <c r="E3794" s="46" t="s">
        <v>1336</v>
      </c>
      <c r="F3794" s="48">
        <v>87.89</v>
      </c>
      <c r="G3794" s="46" t="s">
        <v>238</v>
      </c>
      <c r="H3794" s="46" t="s">
        <v>5396</v>
      </c>
      <c r="I3794" s="45" t="s">
        <v>205</v>
      </c>
      <c r="J3794" s="46" t="s">
        <v>127</v>
      </c>
      <c r="K3794" s="46" t="s">
        <v>127</v>
      </c>
      <c r="L3794" s="46" t="s">
        <v>15</v>
      </c>
      <c r="M3794" s="46" t="s">
        <v>13</v>
      </c>
      <c r="N3794" s="46" t="s">
        <v>14</v>
      </c>
      <c r="O3794" s="49" t="s">
        <v>814</v>
      </c>
      <c r="P3794" s="49" t="s">
        <v>4910</v>
      </c>
      <c r="Q3794" s="35" t="str">
        <f>MID(Tabla1[[#This Row],[Aplicación]],14,1)</f>
        <v>2</v>
      </c>
      <c r="R3794" s="35" t="s">
        <v>495</v>
      </c>
      <c r="S3794" s="35" t="str">
        <f>MID(Tabla1[[#This Row],[Aplicación]],6,2)</f>
        <v>02</v>
      </c>
      <c r="T3794" s="35" t="str">
        <f>VLOOKUP(Tabla1[[#This Row],[AREA]],Hoja1!A:B,2,FALSE)</f>
        <v>02. Planeamiento urbanístico y vivienda</v>
      </c>
      <c r="U3794" s="35" t="str">
        <f>MID(Tabla1[[#This Row],[Aplicación]],9,4)</f>
        <v>9332</v>
      </c>
      <c r="V3794" s="35" t="str">
        <f>VLOOKUP(Tabla1[[#This Row],[PROGRAMA]],Hoja1!A:B,2,FALSE)</f>
        <v>9332. Mantenimiento de edificios e instalaciones municipales</v>
      </c>
      <c r="W3794" s="35" t="str">
        <f>MID(Tabla1[[#This Row],[Aplicación]],14,2)</f>
        <v>21</v>
      </c>
      <c r="X3794" s="35" t="str">
        <f>MID(Tabla1[[#This Row],[Aplicación]],14,6)</f>
        <v>212</v>
      </c>
    </row>
    <row r="3795" spans="1:24" x14ac:dyDescent="0.25">
      <c r="A3795" s="45">
        <v>220210053511</v>
      </c>
      <c r="B3795" s="46" t="s">
        <v>204</v>
      </c>
      <c r="C3795" s="47">
        <v>44452</v>
      </c>
      <c r="D3795" s="45">
        <v>22021002088</v>
      </c>
      <c r="E3795" s="46" t="s">
        <v>1478</v>
      </c>
      <c r="F3795" s="48">
        <v>38.44</v>
      </c>
      <c r="G3795" s="46" t="s">
        <v>238</v>
      </c>
      <c r="H3795" s="46" t="s">
        <v>5397</v>
      </c>
      <c r="I3795" s="45" t="s">
        <v>205</v>
      </c>
      <c r="J3795" s="46" t="s">
        <v>127</v>
      </c>
      <c r="K3795" s="46" t="s">
        <v>127</v>
      </c>
      <c r="L3795" s="46" t="s">
        <v>15</v>
      </c>
      <c r="M3795" s="46" t="s">
        <v>13</v>
      </c>
      <c r="N3795" s="46" t="s">
        <v>16</v>
      </c>
      <c r="O3795" s="49" t="s">
        <v>814</v>
      </c>
      <c r="P3795" s="49" t="s">
        <v>4910</v>
      </c>
      <c r="Q3795" s="35" t="str">
        <f>MID(Tabla1[[#This Row],[Aplicación]],14,1)</f>
        <v>2</v>
      </c>
      <c r="R3795" s="35" t="s">
        <v>495</v>
      </c>
      <c r="S3795" s="35" t="str">
        <f>MID(Tabla1[[#This Row],[Aplicación]],6,2)</f>
        <v>03</v>
      </c>
      <c r="T3795" s="35" t="str">
        <f>VLOOKUP(Tabla1[[#This Row],[AREA]],Hoja1!A:B,2,FALSE)</f>
        <v>03. Participación ciudadana y deportes</v>
      </c>
      <c r="U3795" s="35" t="str">
        <f>MID(Tabla1[[#This Row],[Aplicación]],9,4)</f>
        <v>9241</v>
      </c>
      <c r="V3795" s="35" t="str">
        <f>VLOOKUP(Tabla1[[#This Row],[PROGRAMA]],Hoja1!A:B,2,FALSE)</f>
        <v>9241. Participación ciudadana</v>
      </c>
      <c r="W3795" s="35" t="str">
        <f>MID(Tabla1[[#This Row],[Aplicación]],14,2)</f>
        <v>21</v>
      </c>
      <c r="X3795" s="35" t="str">
        <f>MID(Tabla1[[#This Row],[Aplicación]],14,6)</f>
        <v>212</v>
      </c>
    </row>
    <row r="3796" spans="1:24" x14ac:dyDescent="0.25">
      <c r="A3796" s="45">
        <v>220210053467</v>
      </c>
      <c r="B3796" s="46" t="s">
        <v>204</v>
      </c>
      <c r="C3796" s="47">
        <v>44452</v>
      </c>
      <c r="D3796" s="45">
        <v>22021001169</v>
      </c>
      <c r="E3796" s="46" t="s">
        <v>1319</v>
      </c>
      <c r="F3796" s="48">
        <v>30.24</v>
      </c>
      <c r="G3796" s="46" t="s">
        <v>238</v>
      </c>
      <c r="H3796" s="46" t="s">
        <v>5398</v>
      </c>
      <c r="I3796" s="45" t="s">
        <v>205</v>
      </c>
      <c r="J3796" s="46" t="s">
        <v>127</v>
      </c>
      <c r="K3796" s="46" t="s">
        <v>127</v>
      </c>
      <c r="L3796" s="46" t="s">
        <v>15</v>
      </c>
      <c r="M3796" s="46" t="s">
        <v>13</v>
      </c>
      <c r="N3796" s="46" t="s">
        <v>14</v>
      </c>
      <c r="O3796" s="49" t="s">
        <v>814</v>
      </c>
      <c r="P3796" s="49" t="s">
        <v>4910</v>
      </c>
      <c r="Q3796" s="35" t="str">
        <f>MID(Tabla1[[#This Row],[Aplicación]],14,1)</f>
        <v>2</v>
      </c>
      <c r="R3796" s="35" t="s">
        <v>495</v>
      </c>
      <c r="S3796" s="35" t="str">
        <f>MID(Tabla1[[#This Row],[Aplicación]],6,2)</f>
        <v>10</v>
      </c>
      <c r="T3796" s="35" t="str">
        <f>VLOOKUP(Tabla1[[#This Row],[AREA]],Hoja1!A:B,2,FALSE)</f>
        <v>10. Servicios sociales y mediación comunitaria</v>
      </c>
      <c r="U3796" s="35" t="str">
        <f>MID(Tabla1[[#This Row],[Aplicación]],9,4)</f>
        <v>2412</v>
      </c>
      <c r="V3796" s="35" t="str">
        <f>VLOOKUP(Tabla1[[#This Row],[PROGRAMA]],Hoja1!A:B,2,FALSE)</f>
        <v>2412. Formación para el empleo</v>
      </c>
      <c r="W3796" s="35" t="str">
        <f>MID(Tabla1[[#This Row],[Aplicación]],14,2)</f>
        <v>21</v>
      </c>
      <c r="X3796" s="35" t="str">
        <f>MID(Tabla1[[#This Row],[Aplicación]],14,6)</f>
        <v>212</v>
      </c>
    </row>
    <row r="3797" spans="1:24" x14ac:dyDescent="0.25">
      <c r="A3797" s="45">
        <v>220210050581</v>
      </c>
      <c r="B3797" s="46" t="s">
        <v>204</v>
      </c>
      <c r="C3797" s="47">
        <v>44441</v>
      </c>
      <c r="D3797" s="45">
        <v>22021004466</v>
      </c>
      <c r="E3797" s="46" t="s">
        <v>1328</v>
      </c>
      <c r="F3797" s="48">
        <v>28.89</v>
      </c>
      <c r="G3797" s="46" t="s">
        <v>238</v>
      </c>
      <c r="H3797" s="46" t="s">
        <v>5399</v>
      </c>
      <c r="I3797" s="45" t="s">
        <v>205</v>
      </c>
      <c r="J3797" s="46" t="s">
        <v>127</v>
      </c>
      <c r="K3797" s="46" t="s">
        <v>127</v>
      </c>
      <c r="L3797" s="46" t="s">
        <v>15</v>
      </c>
      <c r="M3797" s="46" t="s">
        <v>13</v>
      </c>
      <c r="N3797" s="46" t="s">
        <v>14</v>
      </c>
      <c r="O3797" s="49" t="s">
        <v>814</v>
      </c>
      <c r="P3797" s="49" t="s">
        <v>4910</v>
      </c>
      <c r="Q3797" s="35" t="str">
        <f>MID(Tabla1[[#This Row],[Aplicación]],14,1)</f>
        <v>2</v>
      </c>
      <c r="R3797" s="35" t="s">
        <v>495</v>
      </c>
      <c r="S3797" s="35" t="str">
        <f>MID(Tabla1[[#This Row],[Aplicación]],6,2)</f>
        <v>10</v>
      </c>
      <c r="T3797" s="35" t="str">
        <f>VLOOKUP(Tabla1[[#This Row],[AREA]],Hoja1!A:B,2,FALSE)</f>
        <v>10. Servicios sociales y mediación comunitaria</v>
      </c>
      <c r="U3797" s="35" t="str">
        <f>MID(Tabla1[[#This Row],[Aplicación]],9,4)</f>
        <v>2311</v>
      </c>
      <c r="V3797" s="35" t="str">
        <f>VLOOKUP(Tabla1[[#This Row],[PROGRAMA]],Hoja1!A:B,2,FALSE)</f>
        <v>2311. Intervención social</v>
      </c>
      <c r="W3797" s="35" t="str">
        <f>MID(Tabla1[[#This Row],[Aplicación]],14,2)</f>
        <v>21</v>
      </c>
      <c r="X3797" s="35" t="str">
        <f>MID(Tabla1[[#This Row],[Aplicación]],14,6)</f>
        <v>212</v>
      </c>
    </row>
    <row r="3798" spans="1:24" x14ac:dyDescent="0.25">
      <c r="A3798" s="45">
        <v>220210050093</v>
      </c>
      <c r="B3798" s="46" t="s">
        <v>204</v>
      </c>
      <c r="C3798" s="47">
        <v>44435</v>
      </c>
      <c r="D3798" s="45">
        <v>22021002143</v>
      </c>
      <c r="E3798" s="46" t="s">
        <v>1328</v>
      </c>
      <c r="F3798" s="48">
        <v>21.26</v>
      </c>
      <c r="G3798" s="46" t="s">
        <v>238</v>
      </c>
      <c r="H3798" s="46" t="s">
        <v>5400</v>
      </c>
      <c r="I3798" s="45" t="s">
        <v>205</v>
      </c>
      <c r="J3798" s="46" t="s">
        <v>127</v>
      </c>
      <c r="K3798" s="46" t="s">
        <v>127</v>
      </c>
      <c r="L3798" s="46" t="s">
        <v>15</v>
      </c>
      <c r="M3798" s="46" t="s">
        <v>13</v>
      </c>
      <c r="N3798" s="46" t="s">
        <v>14</v>
      </c>
      <c r="O3798" s="49" t="s">
        <v>814</v>
      </c>
      <c r="P3798" s="49" t="s">
        <v>4910</v>
      </c>
      <c r="Q3798" s="35" t="str">
        <f>MID(Tabla1[[#This Row],[Aplicación]],14,1)</f>
        <v>2</v>
      </c>
      <c r="R3798" s="35" t="s">
        <v>495</v>
      </c>
      <c r="S3798" s="35" t="str">
        <f>MID(Tabla1[[#This Row],[Aplicación]],6,2)</f>
        <v>10</v>
      </c>
      <c r="T3798" s="35" t="str">
        <f>VLOOKUP(Tabla1[[#This Row],[AREA]],Hoja1!A:B,2,FALSE)</f>
        <v>10. Servicios sociales y mediación comunitaria</v>
      </c>
      <c r="U3798" s="35" t="str">
        <f>MID(Tabla1[[#This Row],[Aplicación]],9,4)</f>
        <v>2311</v>
      </c>
      <c r="V3798" s="35" t="str">
        <f>VLOOKUP(Tabla1[[#This Row],[PROGRAMA]],Hoja1!A:B,2,FALSE)</f>
        <v>2311. Intervención social</v>
      </c>
      <c r="W3798" s="35" t="str">
        <f>MID(Tabla1[[#This Row],[Aplicación]],14,2)</f>
        <v>21</v>
      </c>
      <c r="X3798" s="35" t="str">
        <f>MID(Tabla1[[#This Row],[Aplicación]],14,6)</f>
        <v>212</v>
      </c>
    </row>
    <row r="3799" spans="1:24" x14ac:dyDescent="0.25">
      <c r="A3799" s="45">
        <v>220210053515</v>
      </c>
      <c r="B3799" s="46" t="s">
        <v>204</v>
      </c>
      <c r="C3799" s="47">
        <v>44452</v>
      </c>
      <c r="D3799" s="45">
        <v>22021002046</v>
      </c>
      <c r="E3799" s="46" t="s">
        <v>2155</v>
      </c>
      <c r="F3799" s="48">
        <v>15.32</v>
      </c>
      <c r="G3799" s="46" t="s">
        <v>238</v>
      </c>
      <c r="H3799" s="46" t="s">
        <v>5401</v>
      </c>
      <c r="I3799" s="45" t="s">
        <v>205</v>
      </c>
      <c r="J3799" s="46" t="s">
        <v>127</v>
      </c>
      <c r="K3799" s="46" t="s">
        <v>127</v>
      </c>
      <c r="L3799" s="46" t="s">
        <v>15</v>
      </c>
      <c r="M3799" s="46" t="s">
        <v>13</v>
      </c>
      <c r="N3799" s="46" t="s">
        <v>14</v>
      </c>
      <c r="O3799" s="49" t="s">
        <v>814</v>
      </c>
      <c r="P3799" s="49" t="s">
        <v>4910</v>
      </c>
      <c r="Q3799" s="35" t="str">
        <f>MID(Tabla1[[#This Row],[Aplicación]],14,1)</f>
        <v>2</v>
      </c>
      <c r="R3799" s="35" t="s">
        <v>495</v>
      </c>
      <c r="S3799" s="35" t="str">
        <f>MID(Tabla1[[#This Row],[Aplicación]],6,2)</f>
        <v>11</v>
      </c>
      <c r="T3799" s="35" t="str">
        <f>VLOOKUP(Tabla1[[#This Row],[AREA]],Hoja1!A:B,2,FALSE)</f>
        <v>11. Salud pública y seguridad ciudadana</v>
      </c>
      <c r="U3799" s="35" t="str">
        <f>MID(Tabla1[[#This Row],[Aplicación]],9,4)</f>
        <v>1621</v>
      </c>
      <c r="V3799" s="35" t="str">
        <f>VLOOKUP(Tabla1[[#This Row],[PROGRAMA]],Hoja1!A:B,2,FALSE)</f>
        <v>1621. Servicio de limpieza</v>
      </c>
      <c r="W3799" s="35" t="str">
        <f>MID(Tabla1[[#This Row],[Aplicación]],14,2)</f>
        <v>21</v>
      </c>
      <c r="X3799" s="35" t="str">
        <f>MID(Tabla1[[#This Row],[Aplicación]],14,6)</f>
        <v>212</v>
      </c>
    </row>
    <row r="3800" spans="1:24" x14ac:dyDescent="0.25">
      <c r="A3800" s="45">
        <v>220210056668</v>
      </c>
      <c r="B3800" s="46" t="s">
        <v>204</v>
      </c>
      <c r="C3800" s="47">
        <v>44455</v>
      </c>
      <c r="D3800" s="45">
        <v>22021005979</v>
      </c>
      <c r="E3800" s="46" t="s">
        <v>1372</v>
      </c>
      <c r="F3800" s="48">
        <v>2704.68</v>
      </c>
      <c r="G3800" s="46" t="s">
        <v>238</v>
      </c>
      <c r="H3800" s="46" t="s">
        <v>5391</v>
      </c>
      <c r="I3800" s="45" t="s">
        <v>205</v>
      </c>
      <c r="J3800" s="46" t="s">
        <v>127</v>
      </c>
      <c r="K3800" s="46" t="s">
        <v>127</v>
      </c>
      <c r="L3800" s="46" t="s">
        <v>15</v>
      </c>
      <c r="M3800" s="46" t="s">
        <v>13</v>
      </c>
      <c r="N3800" s="46" t="s">
        <v>14</v>
      </c>
      <c r="O3800" s="49" t="s">
        <v>814</v>
      </c>
      <c r="P3800" s="49" t="s">
        <v>4910</v>
      </c>
      <c r="Q3800" s="35" t="str">
        <f>MID(Tabla1[[#This Row],[Aplicación]],14,1)</f>
        <v>2</v>
      </c>
      <c r="R3800" s="35" t="s">
        <v>495</v>
      </c>
      <c r="S3800" s="35" t="str">
        <f>MID(Tabla1[[#This Row],[Aplicación]],6,2)</f>
        <v>07</v>
      </c>
      <c r="T3800" s="35" t="str">
        <f>VLOOKUP(Tabla1[[#This Row],[AREA]],Hoja1!A:B,2,FALSE)</f>
        <v>07. Medio ambiente y desarrollo sostenible</v>
      </c>
      <c r="U3800" s="35" t="str">
        <f>MID(Tabla1[[#This Row],[Aplicación]],9,4)</f>
        <v>1711</v>
      </c>
      <c r="V3800" s="35" t="str">
        <f>VLOOKUP(Tabla1[[#This Row],[PROGRAMA]],Hoja1!A:B,2,FALSE)</f>
        <v>1711. Parques y jardines</v>
      </c>
      <c r="W3800" s="35" t="str">
        <f>MID(Tabla1[[#This Row],[Aplicación]],14,2)</f>
        <v>21</v>
      </c>
      <c r="X3800" s="35" t="str">
        <f>MID(Tabla1[[#This Row],[Aplicación]],14,6)</f>
        <v>213</v>
      </c>
    </row>
    <row r="3801" spans="1:24" x14ac:dyDescent="0.25">
      <c r="A3801" s="45">
        <v>220210056670</v>
      </c>
      <c r="B3801" s="46" t="s">
        <v>204</v>
      </c>
      <c r="C3801" s="47">
        <v>44455</v>
      </c>
      <c r="D3801" s="45">
        <v>22021005979</v>
      </c>
      <c r="E3801" s="46" t="s">
        <v>1372</v>
      </c>
      <c r="F3801" s="48">
        <v>1271.1099999999999</v>
      </c>
      <c r="G3801" s="46" t="s">
        <v>238</v>
      </c>
      <c r="H3801" s="46" t="s">
        <v>5170</v>
      </c>
      <c r="I3801" s="45" t="s">
        <v>205</v>
      </c>
      <c r="J3801" s="46" t="s">
        <v>127</v>
      </c>
      <c r="K3801" s="46" t="s">
        <v>127</v>
      </c>
      <c r="L3801" s="46" t="s">
        <v>12</v>
      </c>
      <c r="M3801" s="46" t="s">
        <v>13</v>
      </c>
      <c r="N3801" s="46" t="s">
        <v>14</v>
      </c>
      <c r="O3801" s="49" t="s">
        <v>814</v>
      </c>
      <c r="P3801" s="49" t="s">
        <v>4910</v>
      </c>
      <c r="Q3801" s="35" t="str">
        <f>MID(Tabla1[[#This Row],[Aplicación]],14,1)</f>
        <v>2</v>
      </c>
      <c r="R3801" s="35" t="s">
        <v>495</v>
      </c>
      <c r="S3801" s="35" t="str">
        <f>MID(Tabla1[[#This Row],[Aplicación]],6,2)</f>
        <v>07</v>
      </c>
      <c r="T3801" s="35" t="str">
        <f>VLOOKUP(Tabla1[[#This Row],[AREA]],Hoja1!A:B,2,FALSE)</f>
        <v>07. Medio ambiente y desarrollo sostenible</v>
      </c>
      <c r="U3801" s="35" t="str">
        <f>MID(Tabla1[[#This Row],[Aplicación]],9,4)</f>
        <v>1711</v>
      </c>
      <c r="V3801" s="35" t="str">
        <f>VLOOKUP(Tabla1[[#This Row],[PROGRAMA]],Hoja1!A:B,2,FALSE)</f>
        <v>1711. Parques y jardines</v>
      </c>
      <c r="W3801" s="35" t="str">
        <f>MID(Tabla1[[#This Row],[Aplicación]],14,2)</f>
        <v>21</v>
      </c>
      <c r="X3801" s="35" t="str">
        <f>MID(Tabla1[[#This Row],[Aplicación]],14,6)</f>
        <v>213</v>
      </c>
    </row>
    <row r="3802" spans="1:24" x14ac:dyDescent="0.25">
      <c r="A3802" s="45">
        <v>220210056685</v>
      </c>
      <c r="B3802" s="46" t="s">
        <v>204</v>
      </c>
      <c r="C3802" s="47">
        <v>44455</v>
      </c>
      <c r="D3802" s="45">
        <v>22021005979</v>
      </c>
      <c r="E3802" s="46" t="s">
        <v>1372</v>
      </c>
      <c r="F3802" s="48">
        <v>881.07</v>
      </c>
      <c r="G3802" s="46" t="s">
        <v>238</v>
      </c>
      <c r="H3802" s="46" t="s">
        <v>5170</v>
      </c>
      <c r="I3802" s="45" t="s">
        <v>205</v>
      </c>
      <c r="J3802" s="46" t="s">
        <v>127</v>
      </c>
      <c r="K3802" s="46" t="s">
        <v>127</v>
      </c>
      <c r="L3802" s="46" t="s">
        <v>12</v>
      </c>
      <c r="M3802" s="46" t="s">
        <v>13</v>
      </c>
      <c r="N3802" s="46" t="s">
        <v>14</v>
      </c>
      <c r="O3802" s="49" t="s">
        <v>814</v>
      </c>
      <c r="P3802" s="49" t="s">
        <v>4910</v>
      </c>
      <c r="Q3802" s="35" t="str">
        <f>MID(Tabla1[[#This Row],[Aplicación]],14,1)</f>
        <v>2</v>
      </c>
      <c r="R3802" s="35" t="s">
        <v>495</v>
      </c>
      <c r="S3802" s="35" t="str">
        <f>MID(Tabla1[[#This Row],[Aplicación]],6,2)</f>
        <v>07</v>
      </c>
      <c r="T3802" s="35" t="str">
        <f>VLOOKUP(Tabla1[[#This Row],[AREA]],Hoja1!A:B,2,FALSE)</f>
        <v>07. Medio ambiente y desarrollo sostenible</v>
      </c>
      <c r="U3802" s="35" t="str">
        <f>MID(Tabla1[[#This Row],[Aplicación]],9,4)</f>
        <v>1711</v>
      </c>
      <c r="V3802" s="35" t="str">
        <f>VLOOKUP(Tabla1[[#This Row],[PROGRAMA]],Hoja1!A:B,2,FALSE)</f>
        <v>1711. Parques y jardines</v>
      </c>
      <c r="W3802" s="35" t="str">
        <f>MID(Tabla1[[#This Row],[Aplicación]],14,2)</f>
        <v>21</v>
      </c>
      <c r="X3802" s="35" t="str">
        <f>MID(Tabla1[[#This Row],[Aplicación]],14,6)</f>
        <v>213</v>
      </c>
    </row>
    <row r="3803" spans="1:24" x14ac:dyDescent="0.25">
      <c r="A3803" s="45">
        <v>220210057780</v>
      </c>
      <c r="B3803" s="46" t="s">
        <v>204</v>
      </c>
      <c r="C3803" s="47">
        <v>44459</v>
      </c>
      <c r="D3803" s="45">
        <v>22021005979</v>
      </c>
      <c r="E3803" s="46" t="s">
        <v>1372</v>
      </c>
      <c r="F3803" s="48">
        <v>292.05</v>
      </c>
      <c r="G3803" s="46" t="s">
        <v>238</v>
      </c>
      <c r="H3803" s="46" t="s">
        <v>5391</v>
      </c>
      <c r="I3803" s="45" t="s">
        <v>205</v>
      </c>
      <c r="J3803" s="46" t="s">
        <v>127</v>
      </c>
      <c r="K3803" s="46" t="s">
        <v>127</v>
      </c>
      <c r="L3803" s="46" t="s">
        <v>15</v>
      </c>
      <c r="M3803" s="46" t="s">
        <v>13</v>
      </c>
      <c r="N3803" s="46" t="s">
        <v>14</v>
      </c>
      <c r="O3803" s="49" t="s">
        <v>814</v>
      </c>
      <c r="P3803" s="49" t="s">
        <v>4910</v>
      </c>
      <c r="Q3803" s="35" t="str">
        <f>MID(Tabla1[[#This Row],[Aplicación]],14,1)</f>
        <v>2</v>
      </c>
      <c r="R3803" s="35" t="s">
        <v>495</v>
      </c>
      <c r="S3803" s="35" t="str">
        <f>MID(Tabla1[[#This Row],[Aplicación]],6,2)</f>
        <v>07</v>
      </c>
      <c r="T3803" s="35" t="str">
        <f>VLOOKUP(Tabla1[[#This Row],[AREA]],Hoja1!A:B,2,FALSE)</f>
        <v>07. Medio ambiente y desarrollo sostenible</v>
      </c>
      <c r="U3803" s="35" t="str">
        <f>MID(Tabla1[[#This Row],[Aplicación]],9,4)</f>
        <v>1711</v>
      </c>
      <c r="V3803" s="35" t="str">
        <f>VLOOKUP(Tabla1[[#This Row],[PROGRAMA]],Hoja1!A:B,2,FALSE)</f>
        <v>1711. Parques y jardines</v>
      </c>
      <c r="W3803" s="35" t="str">
        <f>MID(Tabla1[[#This Row],[Aplicación]],14,2)</f>
        <v>21</v>
      </c>
      <c r="X3803" s="35" t="str">
        <f>MID(Tabla1[[#This Row],[Aplicación]],14,6)</f>
        <v>213</v>
      </c>
    </row>
    <row r="3804" spans="1:24" x14ac:dyDescent="0.25">
      <c r="A3804" s="45">
        <v>220210057782</v>
      </c>
      <c r="B3804" s="46" t="s">
        <v>204</v>
      </c>
      <c r="C3804" s="47">
        <v>44459</v>
      </c>
      <c r="D3804" s="45">
        <v>22021001275</v>
      </c>
      <c r="E3804" s="46" t="s">
        <v>1334</v>
      </c>
      <c r="F3804" s="48">
        <v>576.80999999999995</v>
      </c>
      <c r="G3804" s="46" t="s">
        <v>238</v>
      </c>
      <c r="H3804" s="46" t="s">
        <v>1713</v>
      </c>
      <c r="I3804" s="45" t="s">
        <v>205</v>
      </c>
      <c r="J3804" s="46" t="s">
        <v>127</v>
      </c>
      <c r="K3804" s="46" t="s">
        <v>127</v>
      </c>
      <c r="L3804" s="46" t="s">
        <v>15</v>
      </c>
      <c r="M3804" s="46" t="s">
        <v>13</v>
      </c>
      <c r="N3804" s="46" t="s">
        <v>14</v>
      </c>
      <c r="O3804" s="49" t="s">
        <v>814</v>
      </c>
      <c r="P3804" s="49" t="s">
        <v>4910</v>
      </c>
      <c r="Q3804" s="35" t="str">
        <f>MID(Tabla1[[#This Row],[Aplicación]],14,1)</f>
        <v>2</v>
      </c>
      <c r="R3804" s="35" t="s">
        <v>495</v>
      </c>
      <c r="S3804" s="35" t="str">
        <f>MID(Tabla1[[#This Row],[Aplicación]],6,2)</f>
        <v>07</v>
      </c>
      <c r="T3804" s="35" t="str">
        <f>VLOOKUP(Tabla1[[#This Row],[AREA]],Hoja1!A:B,2,FALSE)</f>
        <v>07. Medio ambiente y desarrollo sostenible</v>
      </c>
      <c r="U3804" s="35" t="str">
        <f>MID(Tabla1[[#This Row],[Aplicación]],9,4)</f>
        <v>1711</v>
      </c>
      <c r="V3804" s="35" t="str">
        <f>VLOOKUP(Tabla1[[#This Row],[PROGRAMA]],Hoja1!A:B,2,FALSE)</f>
        <v>1711. Parques y jardines</v>
      </c>
      <c r="W3804" s="35" t="str">
        <f>MID(Tabla1[[#This Row],[Aplicación]],14,2)</f>
        <v>22</v>
      </c>
      <c r="X3804" s="35" t="str">
        <f>MID(Tabla1[[#This Row],[Aplicación]],14,6)</f>
        <v>22199</v>
      </c>
    </row>
    <row r="3805" spans="1:24" x14ac:dyDescent="0.25">
      <c r="A3805" s="45">
        <v>220210058785</v>
      </c>
      <c r="B3805" s="46" t="s">
        <v>204</v>
      </c>
      <c r="C3805" s="47">
        <v>44462</v>
      </c>
      <c r="D3805" s="45">
        <v>22021005979</v>
      </c>
      <c r="E3805" s="46" t="s">
        <v>1372</v>
      </c>
      <c r="F3805" s="48">
        <v>1082.99</v>
      </c>
      <c r="G3805" s="46" t="s">
        <v>238</v>
      </c>
      <c r="H3805" s="46" t="s">
        <v>5170</v>
      </c>
      <c r="I3805" s="45" t="s">
        <v>205</v>
      </c>
      <c r="J3805" s="46" t="s">
        <v>127</v>
      </c>
      <c r="K3805" s="46" t="s">
        <v>127</v>
      </c>
      <c r="L3805" s="46" t="s">
        <v>12</v>
      </c>
      <c r="M3805" s="46" t="s">
        <v>13</v>
      </c>
      <c r="N3805" s="46" t="s">
        <v>14</v>
      </c>
      <c r="O3805" s="49" t="s">
        <v>814</v>
      </c>
      <c r="P3805" s="49" t="s">
        <v>4910</v>
      </c>
      <c r="Q3805" s="35" t="str">
        <f>MID(Tabla1[[#This Row],[Aplicación]],14,1)</f>
        <v>2</v>
      </c>
      <c r="R3805" s="35" t="s">
        <v>495</v>
      </c>
      <c r="S3805" s="35" t="str">
        <f>MID(Tabla1[[#This Row],[Aplicación]],6,2)</f>
        <v>07</v>
      </c>
      <c r="T3805" s="35" t="str">
        <f>VLOOKUP(Tabla1[[#This Row],[AREA]],Hoja1!A:B,2,FALSE)</f>
        <v>07. Medio ambiente y desarrollo sostenible</v>
      </c>
      <c r="U3805" s="35" t="str">
        <f>MID(Tabla1[[#This Row],[Aplicación]],9,4)</f>
        <v>1711</v>
      </c>
      <c r="V3805" s="35" t="str">
        <f>VLOOKUP(Tabla1[[#This Row],[PROGRAMA]],Hoja1!A:B,2,FALSE)</f>
        <v>1711. Parques y jardines</v>
      </c>
      <c r="W3805" s="35" t="str">
        <f>MID(Tabla1[[#This Row],[Aplicación]],14,2)</f>
        <v>21</v>
      </c>
      <c r="X3805" s="35" t="str">
        <f>MID(Tabla1[[#This Row],[Aplicación]],14,6)</f>
        <v>213</v>
      </c>
    </row>
    <row r="3806" spans="1:24" x14ac:dyDescent="0.25">
      <c r="A3806" s="45">
        <v>220210063143</v>
      </c>
      <c r="B3806" s="46" t="s">
        <v>204</v>
      </c>
      <c r="C3806" s="47">
        <v>44469</v>
      </c>
      <c r="D3806" s="45">
        <v>22021005979</v>
      </c>
      <c r="E3806" s="46" t="s">
        <v>1372</v>
      </c>
      <c r="F3806" s="48">
        <v>1702.36</v>
      </c>
      <c r="G3806" s="46" t="s">
        <v>238</v>
      </c>
      <c r="H3806" s="46" t="s">
        <v>5391</v>
      </c>
      <c r="I3806" s="45" t="s">
        <v>205</v>
      </c>
      <c r="J3806" s="46" t="s">
        <v>127</v>
      </c>
      <c r="K3806" s="46" t="s">
        <v>127</v>
      </c>
      <c r="L3806" s="46" t="s">
        <v>15</v>
      </c>
      <c r="M3806" s="46" t="s">
        <v>13</v>
      </c>
      <c r="N3806" s="46" t="s">
        <v>14</v>
      </c>
      <c r="O3806" s="49" t="s">
        <v>814</v>
      </c>
      <c r="P3806" s="49" t="s">
        <v>4910</v>
      </c>
      <c r="Q3806" s="35" t="str">
        <f>MID(Tabla1[[#This Row],[Aplicación]],14,1)</f>
        <v>2</v>
      </c>
      <c r="R3806" s="35" t="s">
        <v>495</v>
      </c>
      <c r="S3806" s="35" t="str">
        <f>MID(Tabla1[[#This Row],[Aplicación]],6,2)</f>
        <v>07</v>
      </c>
      <c r="T3806" s="35" t="str">
        <f>VLOOKUP(Tabla1[[#This Row],[AREA]],Hoja1!A:B,2,FALSE)</f>
        <v>07. Medio ambiente y desarrollo sostenible</v>
      </c>
      <c r="U3806" s="35" t="str">
        <f>MID(Tabla1[[#This Row],[Aplicación]],9,4)</f>
        <v>1711</v>
      </c>
      <c r="V3806" s="35" t="str">
        <f>VLOOKUP(Tabla1[[#This Row],[PROGRAMA]],Hoja1!A:B,2,FALSE)</f>
        <v>1711. Parques y jardines</v>
      </c>
      <c r="W3806" s="35" t="str">
        <f>MID(Tabla1[[#This Row],[Aplicación]],14,2)</f>
        <v>21</v>
      </c>
      <c r="X3806" s="35" t="str">
        <f>MID(Tabla1[[#This Row],[Aplicación]],14,6)</f>
        <v>213</v>
      </c>
    </row>
    <row r="3807" spans="1:24" x14ac:dyDescent="0.25">
      <c r="A3807" s="45">
        <v>220210058685</v>
      </c>
      <c r="B3807" s="46" t="s">
        <v>204</v>
      </c>
      <c r="C3807" s="47">
        <v>44461</v>
      </c>
      <c r="D3807" s="45">
        <v>22021002369</v>
      </c>
      <c r="E3807" s="46" t="s">
        <v>1336</v>
      </c>
      <c r="F3807" s="48">
        <v>1591.59</v>
      </c>
      <c r="G3807" s="46" t="s">
        <v>238</v>
      </c>
      <c r="H3807" s="46" t="s">
        <v>5402</v>
      </c>
      <c r="I3807" s="45" t="s">
        <v>205</v>
      </c>
      <c r="J3807" s="46" t="s">
        <v>127</v>
      </c>
      <c r="K3807" s="46" t="s">
        <v>127</v>
      </c>
      <c r="L3807" s="46" t="s">
        <v>15</v>
      </c>
      <c r="M3807" s="46" t="s">
        <v>13</v>
      </c>
      <c r="N3807" s="46" t="s">
        <v>14</v>
      </c>
      <c r="O3807" s="49" t="s">
        <v>814</v>
      </c>
      <c r="P3807" s="49" t="s">
        <v>4910</v>
      </c>
      <c r="Q3807" s="35" t="str">
        <f>MID(Tabla1[[#This Row],[Aplicación]],14,1)</f>
        <v>2</v>
      </c>
      <c r="R3807" s="35" t="s">
        <v>495</v>
      </c>
      <c r="S3807" s="35" t="str">
        <f>MID(Tabla1[[#This Row],[Aplicación]],6,2)</f>
        <v>02</v>
      </c>
      <c r="T3807" s="35" t="str">
        <f>VLOOKUP(Tabla1[[#This Row],[AREA]],Hoja1!A:B,2,FALSE)</f>
        <v>02. Planeamiento urbanístico y vivienda</v>
      </c>
      <c r="U3807" s="35" t="str">
        <f>MID(Tabla1[[#This Row],[Aplicación]],9,4)</f>
        <v>9332</v>
      </c>
      <c r="V3807" s="35" t="str">
        <f>VLOOKUP(Tabla1[[#This Row],[PROGRAMA]],Hoja1!A:B,2,FALSE)</f>
        <v>9332. Mantenimiento de edificios e instalaciones municipales</v>
      </c>
      <c r="W3807" s="35" t="str">
        <f>MID(Tabla1[[#This Row],[Aplicación]],14,2)</f>
        <v>21</v>
      </c>
      <c r="X3807" s="35" t="str">
        <f>MID(Tabla1[[#This Row],[Aplicación]],14,6)</f>
        <v>212</v>
      </c>
    </row>
    <row r="3808" spans="1:24" x14ac:dyDescent="0.25">
      <c r="A3808" s="45">
        <v>220210057724</v>
      </c>
      <c r="B3808" s="46" t="s">
        <v>204</v>
      </c>
      <c r="C3808" s="47">
        <v>44459</v>
      </c>
      <c r="D3808" s="45">
        <v>22021002369</v>
      </c>
      <c r="E3808" s="46" t="s">
        <v>1336</v>
      </c>
      <c r="F3808" s="48">
        <v>469</v>
      </c>
      <c r="G3808" s="46" t="s">
        <v>238</v>
      </c>
      <c r="H3808" s="46" t="s">
        <v>5403</v>
      </c>
      <c r="I3808" s="45" t="s">
        <v>205</v>
      </c>
      <c r="J3808" s="46" t="s">
        <v>127</v>
      </c>
      <c r="K3808" s="46" t="s">
        <v>127</v>
      </c>
      <c r="L3808" s="46" t="s">
        <v>15</v>
      </c>
      <c r="M3808" s="46" t="s">
        <v>13</v>
      </c>
      <c r="N3808" s="46" t="s">
        <v>14</v>
      </c>
      <c r="O3808" s="49" t="s">
        <v>814</v>
      </c>
      <c r="P3808" s="49" t="s">
        <v>4910</v>
      </c>
      <c r="Q3808" s="35" t="str">
        <f>MID(Tabla1[[#This Row],[Aplicación]],14,1)</f>
        <v>2</v>
      </c>
      <c r="R3808" s="35" t="s">
        <v>495</v>
      </c>
      <c r="S3808" s="35" t="str">
        <f>MID(Tabla1[[#This Row],[Aplicación]],6,2)</f>
        <v>02</v>
      </c>
      <c r="T3808" s="35" t="str">
        <f>VLOOKUP(Tabla1[[#This Row],[AREA]],Hoja1!A:B,2,FALSE)</f>
        <v>02. Planeamiento urbanístico y vivienda</v>
      </c>
      <c r="U3808" s="35" t="str">
        <f>MID(Tabla1[[#This Row],[Aplicación]],9,4)</f>
        <v>9332</v>
      </c>
      <c r="V3808" s="35" t="str">
        <f>VLOOKUP(Tabla1[[#This Row],[PROGRAMA]],Hoja1!A:B,2,FALSE)</f>
        <v>9332. Mantenimiento de edificios e instalaciones municipales</v>
      </c>
      <c r="W3808" s="35" t="str">
        <f>MID(Tabla1[[#This Row],[Aplicación]],14,2)</f>
        <v>21</v>
      </c>
      <c r="X3808" s="35" t="str">
        <f>MID(Tabla1[[#This Row],[Aplicación]],14,6)</f>
        <v>212</v>
      </c>
    </row>
    <row r="3809" spans="1:24" x14ac:dyDescent="0.25">
      <c r="A3809" s="45">
        <v>220210058659</v>
      </c>
      <c r="B3809" s="46" t="s">
        <v>204</v>
      </c>
      <c r="C3809" s="47">
        <v>44461</v>
      </c>
      <c r="D3809" s="45">
        <v>22021002369</v>
      </c>
      <c r="E3809" s="46" t="s">
        <v>1336</v>
      </c>
      <c r="F3809" s="48">
        <v>349.61</v>
      </c>
      <c r="G3809" s="46" t="s">
        <v>238</v>
      </c>
      <c r="H3809" s="46" t="s">
        <v>5404</v>
      </c>
      <c r="I3809" s="45" t="s">
        <v>205</v>
      </c>
      <c r="J3809" s="46" t="s">
        <v>127</v>
      </c>
      <c r="K3809" s="46" t="s">
        <v>127</v>
      </c>
      <c r="L3809" s="46" t="s">
        <v>15</v>
      </c>
      <c r="M3809" s="46" t="s">
        <v>13</v>
      </c>
      <c r="N3809" s="46" t="s">
        <v>14</v>
      </c>
      <c r="O3809" s="49" t="s">
        <v>814</v>
      </c>
      <c r="P3809" s="49" t="s">
        <v>4910</v>
      </c>
      <c r="Q3809" s="35" t="str">
        <f>MID(Tabla1[[#This Row],[Aplicación]],14,1)</f>
        <v>2</v>
      </c>
      <c r="R3809" s="35" t="s">
        <v>495</v>
      </c>
      <c r="S3809" s="35" t="str">
        <f>MID(Tabla1[[#This Row],[Aplicación]],6,2)</f>
        <v>02</v>
      </c>
      <c r="T3809" s="35" t="str">
        <f>VLOOKUP(Tabla1[[#This Row],[AREA]],Hoja1!A:B,2,FALSE)</f>
        <v>02. Planeamiento urbanístico y vivienda</v>
      </c>
      <c r="U3809" s="35" t="str">
        <f>MID(Tabla1[[#This Row],[Aplicación]],9,4)</f>
        <v>9332</v>
      </c>
      <c r="V3809" s="35" t="str">
        <f>VLOOKUP(Tabla1[[#This Row],[PROGRAMA]],Hoja1!A:B,2,FALSE)</f>
        <v>9332. Mantenimiento de edificios e instalaciones municipales</v>
      </c>
      <c r="W3809" s="35" t="str">
        <f>MID(Tabla1[[#This Row],[Aplicación]],14,2)</f>
        <v>21</v>
      </c>
      <c r="X3809" s="35" t="str">
        <f>MID(Tabla1[[#This Row],[Aplicación]],14,6)</f>
        <v>212</v>
      </c>
    </row>
    <row r="3810" spans="1:24" x14ac:dyDescent="0.25">
      <c r="A3810" s="45">
        <v>220210059404</v>
      </c>
      <c r="B3810" s="46" t="s">
        <v>204</v>
      </c>
      <c r="C3810" s="47">
        <v>44466</v>
      </c>
      <c r="D3810" s="45">
        <v>22021002228</v>
      </c>
      <c r="E3810" s="46" t="s">
        <v>1471</v>
      </c>
      <c r="F3810" s="48">
        <v>205.59</v>
      </c>
      <c r="G3810" s="46" t="s">
        <v>238</v>
      </c>
      <c r="H3810" s="46" t="s">
        <v>5405</v>
      </c>
      <c r="I3810" s="45" t="s">
        <v>205</v>
      </c>
      <c r="J3810" s="46" t="s">
        <v>127</v>
      </c>
      <c r="K3810" s="46" t="s">
        <v>127</v>
      </c>
      <c r="L3810" s="46" t="s">
        <v>15</v>
      </c>
      <c r="M3810" s="46" t="s">
        <v>13</v>
      </c>
      <c r="N3810" s="46" t="s">
        <v>14</v>
      </c>
      <c r="O3810" s="49" t="s">
        <v>814</v>
      </c>
      <c r="P3810" s="49" t="s">
        <v>4910</v>
      </c>
      <c r="Q3810" s="35" t="str">
        <f>MID(Tabla1[[#This Row],[Aplicación]],14,1)</f>
        <v>2</v>
      </c>
      <c r="R3810" s="35" t="s">
        <v>495</v>
      </c>
      <c r="S3810" s="35" t="str">
        <f>MID(Tabla1[[#This Row],[Aplicación]],6,2)</f>
        <v>06</v>
      </c>
      <c r="T3810" s="35" t="str">
        <f>VLOOKUP(Tabla1[[#This Row],[AREA]],Hoja1!A:B,2,FALSE)</f>
        <v>06. Educación, infancia, juventud e igualdad</v>
      </c>
      <c r="U3810" s="35" t="str">
        <f>MID(Tabla1[[#This Row],[Aplicación]],9,4)</f>
        <v>3232</v>
      </c>
      <c r="V3810" s="35" t="str">
        <f>VLOOKUP(Tabla1[[#This Row],[PROGRAMA]],Hoja1!A:B,2,FALSE)</f>
        <v>3232. Conservación y mantenimiento centros educación infantil y primaria</v>
      </c>
      <c r="W3810" s="35" t="str">
        <f>MID(Tabla1[[#This Row],[Aplicación]],14,2)</f>
        <v>21</v>
      </c>
      <c r="X3810" s="35" t="str">
        <f>MID(Tabla1[[#This Row],[Aplicación]],14,6)</f>
        <v>212</v>
      </c>
    </row>
    <row r="3811" spans="1:24" x14ac:dyDescent="0.25">
      <c r="A3811" s="45">
        <v>220210058762</v>
      </c>
      <c r="B3811" s="46" t="s">
        <v>204</v>
      </c>
      <c r="C3811" s="47">
        <v>44462</v>
      </c>
      <c r="D3811" s="45">
        <v>22021002143</v>
      </c>
      <c r="E3811" s="46" t="s">
        <v>1328</v>
      </c>
      <c r="F3811" s="48">
        <v>77.709999999999994</v>
      </c>
      <c r="G3811" s="46" t="s">
        <v>238</v>
      </c>
      <c r="H3811" s="46" t="s">
        <v>5406</v>
      </c>
      <c r="I3811" s="45" t="s">
        <v>205</v>
      </c>
      <c r="J3811" s="46" t="s">
        <v>127</v>
      </c>
      <c r="K3811" s="46" t="s">
        <v>127</v>
      </c>
      <c r="L3811" s="46" t="s">
        <v>15</v>
      </c>
      <c r="M3811" s="46" t="s">
        <v>13</v>
      </c>
      <c r="N3811" s="46" t="s">
        <v>14</v>
      </c>
      <c r="O3811" s="49" t="s">
        <v>814</v>
      </c>
      <c r="P3811" s="49" t="s">
        <v>4910</v>
      </c>
      <c r="Q3811" s="35" t="str">
        <f>MID(Tabla1[[#This Row],[Aplicación]],14,1)</f>
        <v>2</v>
      </c>
      <c r="R3811" s="35" t="s">
        <v>495</v>
      </c>
      <c r="S3811" s="35" t="str">
        <f>MID(Tabla1[[#This Row],[Aplicación]],6,2)</f>
        <v>10</v>
      </c>
      <c r="T3811" s="35" t="str">
        <f>VLOOKUP(Tabla1[[#This Row],[AREA]],Hoja1!A:B,2,FALSE)</f>
        <v>10. Servicios sociales y mediación comunitaria</v>
      </c>
      <c r="U3811" s="35" t="str">
        <f>MID(Tabla1[[#This Row],[Aplicación]],9,4)</f>
        <v>2311</v>
      </c>
      <c r="V3811" s="35" t="str">
        <f>VLOOKUP(Tabla1[[#This Row],[PROGRAMA]],Hoja1!A:B,2,FALSE)</f>
        <v>2311. Intervención social</v>
      </c>
      <c r="W3811" s="35" t="str">
        <f>MID(Tabla1[[#This Row],[Aplicación]],14,2)</f>
        <v>21</v>
      </c>
      <c r="X3811" s="35" t="str">
        <f>MID(Tabla1[[#This Row],[Aplicación]],14,6)</f>
        <v>212</v>
      </c>
    </row>
    <row r="3812" spans="1:24" x14ac:dyDescent="0.25">
      <c r="A3812" s="45">
        <v>220210063157</v>
      </c>
      <c r="B3812" s="46" t="s">
        <v>204</v>
      </c>
      <c r="C3812" s="47">
        <v>44469</v>
      </c>
      <c r="D3812" s="45">
        <v>22021002374</v>
      </c>
      <c r="E3812" s="46" t="s">
        <v>1336</v>
      </c>
      <c r="F3812" s="48">
        <v>50.05</v>
      </c>
      <c r="G3812" s="46" t="s">
        <v>238</v>
      </c>
      <c r="H3812" s="46" t="s">
        <v>5407</v>
      </c>
      <c r="I3812" s="45" t="s">
        <v>205</v>
      </c>
      <c r="J3812" s="46" t="s">
        <v>127</v>
      </c>
      <c r="K3812" s="46" t="s">
        <v>127</v>
      </c>
      <c r="L3812" s="46" t="s">
        <v>15</v>
      </c>
      <c r="M3812" s="46" t="s">
        <v>13</v>
      </c>
      <c r="N3812" s="46" t="s">
        <v>14</v>
      </c>
      <c r="O3812" s="49" t="s">
        <v>814</v>
      </c>
      <c r="P3812" s="49" t="s">
        <v>4910</v>
      </c>
      <c r="Q3812" s="35" t="str">
        <f>MID(Tabla1[[#This Row],[Aplicación]],14,1)</f>
        <v>2</v>
      </c>
      <c r="R3812" s="35" t="s">
        <v>495</v>
      </c>
      <c r="S3812" s="35" t="str">
        <f>MID(Tabla1[[#This Row],[Aplicación]],6,2)</f>
        <v>02</v>
      </c>
      <c r="T3812" s="35" t="str">
        <f>VLOOKUP(Tabla1[[#This Row],[AREA]],Hoja1!A:B,2,FALSE)</f>
        <v>02. Planeamiento urbanístico y vivienda</v>
      </c>
      <c r="U3812" s="35" t="str">
        <f>MID(Tabla1[[#This Row],[Aplicación]],9,4)</f>
        <v>9332</v>
      </c>
      <c r="V3812" s="35" t="str">
        <f>VLOOKUP(Tabla1[[#This Row],[PROGRAMA]],Hoja1!A:B,2,FALSE)</f>
        <v>9332. Mantenimiento de edificios e instalaciones municipales</v>
      </c>
      <c r="W3812" s="35" t="str">
        <f>MID(Tabla1[[#This Row],[Aplicación]],14,2)</f>
        <v>21</v>
      </c>
      <c r="X3812" s="35" t="str">
        <f>MID(Tabla1[[#This Row],[Aplicación]],14,6)</f>
        <v>212</v>
      </c>
    </row>
    <row r="3813" spans="1:24" x14ac:dyDescent="0.25">
      <c r="A3813" s="45">
        <v>220210058643</v>
      </c>
      <c r="B3813" s="46" t="s">
        <v>204</v>
      </c>
      <c r="C3813" s="47">
        <v>44461</v>
      </c>
      <c r="D3813" s="45">
        <v>22021002374</v>
      </c>
      <c r="E3813" s="46" t="s">
        <v>1336</v>
      </c>
      <c r="F3813" s="48">
        <v>11.37</v>
      </c>
      <c r="G3813" s="46" t="s">
        <v>238</v>
      </c>
      <c r="H3813" s="46" t="s">
        <v>5408</v>
      </c>
      <c r="I3813" s="45" t="s">
        <v>205</v>
      </c>
      <c r="J3813" s="46" t="s">
        <v>127</v>
      </c>
      <c r="K3813" s="46" t="s">
        <v>127</v>
      </c>
      <c r="L3813" s="46" t="s">
        <v>15</v>
      </c>
      <c r="M3813" s="46" t="s">
        <v>13</v>
      </c>
      <c r="N3813" s="46" t="s">
        <v>14</v>
      </c>
      <c r="O3813" s="49" t="s">
        <v>814</v>
      </c>
      <c r="P3813" s="49" t="s">
        <v>4910</v>
      </c>
      <c r="Q3813" s="35" t="str">
        <f>MID(Tabla1[[#This Row],[Aplicación]],14,1)</f>
        <v>2</v>
      </c>
      <c r="R3813" s="35" t="s">
        <v>495</v>
      </c>
      <c r="S3813" s="35" t="str">
        <f>MID(Tabla1[[#This Row],[Aplicación]],6,2)</f>
        <v>02</v>
      </c>
      <c r="T3813" s="35" t="str">
        <f>VLOOKUP(Tabla1[[#This Row],[AREA]],Hoja1!A:B,2,FALSE)</f>
        <v>02. Planeamiento urbanístico y vivienda</v>
      </c>
      <c r="U3813" s="35" t="str">
        <f>MID(Tabla1[[#This Row],[Aplicación]],9,4)</f>
        <v>9332</v>
      </c>
      <c r="V3813" s="35" t="str">
        <f>VLOOKUP(Tabla1[[#This Row],[PROGRAMA]],Hoja1!A:B,2,FALSE)</f>
        <v>9332. Mantenimiento de edificios e instalaciones municipales</v>
      </c>
      <c r="W3813" s="35" t="str">
        <f>MID(Tabla1[[#This Row],[Aplicación]],14,2)</f>
        <v>21</v>
      </c>
      <c r="X3813" s="35" t="str">
        <f>MID(Tabla1[[#This Row],[Aplicación]],14,6)</f>
        <v>212</v>
      </c>
    </row>
    <row r="3814" spans="1:24" x14ac:dyDescent="0.25">
      <c r="A3814" s="45">
        <v>220210056682</v>
      </c>
      <c r="B3814" s="46" t="s">
        <v>204</v>
      </c>
      <c r="C3814" s="47">
        <v>44455</v>
      </c>
      <c r="D3814" s="45">
        <v>22021003187</v>
      </c>
      <c r="E3814" s="46" t="s">
        <v>1884</v>
      </c>
      <c r="F3814" s="48">
        <v>11.14</v>
      </c>
      <c r="G3814" s="46" t="s">
        <v>238</v>
      </c>
      <c r="H3814" s="46" t="s">
        <v>5409</v>
      </c>
      <c r="I3814" s="45" t="s">
        <v>205</v>
      </c>
      <c r="J3814" s="46" t="s">
        <v>127</v>
      </c>
      <c r="K3814" s="46" t="s">
        <v>127</v>
      </c>
      <c r="L3814" s="46" t="s">
        <v>15</v>
      </c>
      <c r="M3814" s="46" t="s">
        <v>13</v>
      </c>
      <c r="N3814" s="46" t="s">
        <v>14</v>
      </c>
      <c r="O3814" s="49" t="s">
        <v>814</v>
      </c>
      <c r="P3814" s="49" t="s">
        <v>4910</v>
      </c>
      <c r="Q3814" s="35" t="str">
        <f>MID(Tabla1[[#This Row],[Aplicación]],14,1)</f>
        <v>2</v>
      </c>
      <c r="R3814" s="35" t="s">
        <v>495</v>
      </c>
      <c r="S3814" s="35" t="str">
        <f>MID(Tabla1[[#This Row],[Aplicación]],6,2)</f>
        <v>06</v>
      </c>
      <c r="T3814" s="35" t="str">
        <f>VLOOKUP(Tabla1[[#This Row],[AREA]],Hoja1!A:B,2,FALSE)</f>
        <v>06. Educación, infancia, juventud e igualdad</v>
      </c>
      <c r="U3814" s="35" t="str">
        <f>MID(Tabla1[[#This Row],[Aplicación]],9,4)</f>
        <v>2314</v>
      </c>
      <c r="V3814" s="35" t="str">
        <f>VLOOKUP(Tabla1[[#This Row],[PROGRAMA]],Hoja1!A:B,2,FALSE)</f>
        <v>2314. Centro de programas juveniles</v>
      </c>
      <c r="W3814" s="35" t="str">
        <f>MID(Tabla1[[#This Row],[Aplicación]],14,2)</f>
        <v>21</v>
      </c>
      <c r="X3814" s="35" t="str">
        <f>MID(Tabla1[[#This Row],[Aplicación]],14,6)</f>
        <v>212</v>
      </c>
    </row>
    <row r="3815" spans="1:24" x14ac:dyDescent="0.25">
      <c r="A3815" s="45">
        <v>220210036355</v>
      </c>
      <c r="B3815" s="46" t="s">
        <v>204</v>
      </c>
      <c r="C3815" s="47">
        <v>44384</v>
      </c>
      <c r="D3815" s="45">
        <v>22021003187</v>
      </c>
      <c r="E3815" s="46" t="s">
        <v>1884</v>
      </c>
      <c r="F3815" s="48">
        <v>44.88</v>
      </c>
      <c r="G3815" s="46" t="s">
        <v>266</v>
      </c>
      <c r="H3815" s="46" t="s">
        <v>5410</v>
      </c>
      <c r="I3815" s="45" t="s">
        <v>205</v>
      </c>
      <c r="J3815" s="46" t="s">
        <v>127</v>
      </c>
      <c r="K3815" s="46" t="s">
        <v>127</v>
      </c>
      <c r="L3815" s="46" t="s">
        <v>15</v>
      </c>
      <c r="M3815" s="46" t="s">
        <v>13</v>
      </c>
      <c r="N3815" s="46" t="s">
        <v>14</v>
      </c>
      <c r="O3815" s="49" t="s">
        <v>814</v>
      </c>
      <c r="P3815" s="49" t="s">
        <v>4910</v>
      </c>
      <c r="Q3815" s="35" t="str">
        <f>MID(Tabla1[[#This Row],[Aplicación]],14,1)</f>
        <v>2</v>
      </c>
      <c r="R3815" s="35" t="s">
        <v>495</v>
      </c>
      <c r="S3815" s="35" t="str">
        <f>MID(Tabla1[[#This Row],[Aplicación]],6,2)</f>
        <v>06</v>
      </c>
      <c r="T3815" s="35" t="str">
        <f>VLOOKUP(Tabla1[[#This Row],[AREA]],Hoja1!A:B,2,FALSE)</f>
        <v>06. Educación, infancia, juventud e igualdad</v>
      </c>
      <c r="U3815" s="35" t="str">
        <f>MID(Tabla1[[#This Row],[Aplicación]],9,4)</f>
        <v>2314</v>
      </c>
      <c r="V3815" s="35" t="str">
        <f>VLOOKUP(Tabla1[[#This Row],[PROGRAMA]],Hoja1!A:B,2,FALSE)</f>
        <v>2314. Centro de programas juveniles</v>
      </c>
      <c r="W3815" s="35" t="str">
        <f>MID(Tabla1[[#This Row],[Aplicación]],14,2)</f>
        <v>21</v>
      </c>
      <c r="X3815" s="35" t="str">
        <f>MID(Tabla1[[#This Row],[Aplicación]],14,6)</f>
        <v>212</v>
      </c>
    </row>
    <row r="3816" spans="1:24" x14ac:dyDescent="0.25">
      <c r="A3816" s="45">
        <v>220210040195</v>
      </c>
      <c r="B3816" s="46" t="s">
        <v>204</v>
      </c>
      <c r="C3816" s="47">
        <v>44396</v>
      </c>
      <c r="D3816" s="45">
        <v>22021003187</v>
      </c>
      <c r="E3816" s="46" t="s">
        <v>1884</v>
      </c>
      <c r="F3816" s="48">
        <v>27.99</v>
      </c>
      <c r="G3816" s="46" t="s">
        <v>266</v>
      </c>
      <c r="H3816" s="46" t="s">
        <v>5411</v>
      </c>
      <c r="I3816" s="45" t="s">
        <v>205</v>
      </c>
      <c r="J3816" s="46" t="s">
        <v>127</v>
      </c>
      <c r="K3816" s="46" t="s">
        <v>127</v>
      </c>
      <c r="L3816" s="46" t="s">
        <v>15</v>
      </c>
      <c r="M3816" s="46" t="s">
        <v>13</v>
      </c>
      <c r="N3816" s="46" t="s">
        <v>14</v>
      </c>
      <c r="O3816" s="49" t="s">
        <v>814</v>
      </c>
      <c r="P3816" s="49" t="s">
        <v>4910</v>
      </c>
      <c r="Q3816" s="35" t="str">
        <f>MID(Tabla1[[#This Row],[Aplicación]],14,1)</f>
        <v>2</v>
      </c>
      <c r="R3816" s="35" t="s">
        <v>495</v>
      </c>
      <c r="S3816" s="35" t="str">
        <f>MID(Tabla1[[#This Row],[Aplicación]],6,2)</f>
        <v>06</v>
      </c>
      <c r="T3816" s="35" t="str">
        <f>VLOOKUP(Tabla1[[#This Row],[AREA]],Hoja1!A:B,2,FALSE)</f>
        <v>06. Educación, infancia, juventud e igualdad</v>
      </c>
      <c r="U3816" s="35" t="str">
        <f>MID(Tabla1[[#This Row],[Aplicación]],9,4)</f>
        <v>2314</v>
      </c>
      <c r="V3816" s="35" t="str">
        <f>VLOOKUP(Tabla1[[#This Row],[PROGRAMA]],Hoja1!A:B,2,FALSE)</f>
        <v>2314. Centro de programas juveniles</v>
      </c>
      <c r="W3816" s="35" t="str">
        <f>MID(Tabla1[[#This Row],[Aplicación]],14,2)</f>
        <v>21</v>
      </c>
      <c r="X3816" s="35" t="str">
        <f>MID(Tabla1[[#This Row],[Aplicación]],14,6)</f>
        <v>212</v>
      </c>
    </row>
    <row r="3817" spans="1:24" x14ac:dyDescent="0.25">
      <c r="A3817" s="45">
        <v>220210043916</v>
      </c>
      <c r="B3817" s="46" t="s">
        <v>204</v>
      </c>
      <c r="C3817" s="47">
        <v>44405</v>
      </c>
      <c r="D3817" s="45">
        <v>22021003187</v>
      </c>
      <c r="E3817" s="46" t="s">
        <v>1884</v>
      </c>
      <c r="F3817" s="48">
        <v>22.39</v>
      </c>
      <c r="G3817" s="46" t="s">
        <v>266</v>
      </c>
      <c r="H3817" s="46" t="s">
        <v>5412</v>
      </c>
      <c r="I3817" s="45" t="s">
        <v>205</v>
      </c>
      <c r="J3817" s="46" t="s">
        <v>127</v>
      </c>
      <c r="K3817" s="46" t="s">
        <v>127</v>
      </c>
      <c r="L3817" s="46" t="s">
        <v>15</v>
      </c>
      <c r="M3817" s="46" t="s">
        <v>13</v>
      </c>
      <c r="N3817" s="46" t="s">
        <v>14</v>
      </c>
      <c r="O3817" s="49" t="s">
        <v>814</v>
      </c>
      <c r="P3817" s="49" t="s">
        <v>4910</v>
      </c>
      <c r="Q3817" s="35" t="str">
        <f>MID(Tabla1[[#This Row],[Aplicación]],14,1)</f>
        <v>2</v>
      </c>
      <c r="R3817" s="35" t="s">
        <v>495</v>
      </c>
      <c r="S3817" s="35" t="str">
        <f>MID(Tabla1[[#This Row],[Aplicación]],6,2)</f>
        <v>06</v>
      </c>
      <c r="T3817" s="35" t="str">
        <f>VLOOKUP(Tabla1[[#This Row],[AREA]],Hoja1!A:B,2,FALSE)</f>
        <v>06. Educación, infancia, juventud e igualdad</v>
      </c>
      <c r="U3817" s="35" t="str">
        <f>MID(Tabla1[[#This Row],[Aplicación]],9,4)</f>
        <v>2314</v>
      </c>
      <c r="V3817" s="35" t="str">
        <f>VLOOKUP(Tabla1[[#This Row],[PROGRAMA]],Hoja1!A:B,2,FALSE)</f>
        <v>2314. Centro de programas juveniles</v>
      </c>
      <c r="W3817" s="35" t="str">
        <f>MID(Tabla1[[#This Row],[Aplicación]],14,2)</f>
        <v>21</v>
      </c>
      <c r="X3817" s="35" t="str">
        <f>MID(Tabla1[[#This Row],[Aplicación]],14,6)</f>
        <v>212</v>
      </c>
    </row>
    <row r="3818" spans="1:24" x14ac:dyDescent="0.25">
      <c r="A3818" s="45">
        <v>220210040151</v>
      </c>
      <c r="B3818" s="46" t="s">
        <v>204</v>
      </c>
      <c r="C3818" s="47">
        <v>44396</v>
      </c>
      <c r="D3818" s="45">
        <v>22021002057</v>
      </c>
      <c r="E3818" s="46" t="s">
        <v>1715</v>
      </c>
      <c r="F3818" s="48">
        <v>466.13</v>
      </c>
      <c r="G3818" s="46" t="s">
        <v>266</v>
      </c>
      <c r="H3818" s="46" t="s">
        <v>5413</v>
      </c>
      <c r="I3818" s="45" t="s">
        <v>205</v>
      </c>
      <c r="J3818" s="46" t="s">
        <v>127</v>
      </c>
      <c r="K3818" s="46" t="s">
        <v>127</v>
      </c>
      <c r="L3818" s="46" t="s">
        <v>15</v>
      </c>
      <c r="M3818" s="46" t="s">
        <v>13</v>
      </c>
      <c r="N3818" s="46" t="s">
        <v>14</v>
      </c>
      <c r="O3818" s="49" t="s">
        <v>814</v>
      </c>
      <c r="P3818" s="49" t="s">
        <v>4910</v>
      </c>
      <c r="Q3818" s="35" t="str">
        <f>MID(Tabla1[[#This Row],[Aplicación]],14,1)</f>
        <v>2</v>
      </c>
      <c r="R3818" s="35" t="s">
        <v>495</v>
      </c>
      <c r="S3818" s="35" t="str">
        <f>MID(Tabla1[[#This Row],[Aplicación]],6,2)</f>
        <v>11</v>
      </c>
      <c r="T3818" s="35" t="str">
        <f>VLOOKUP(Tabla1[[#This Row],[AREA]],Hoja1!A:B,2,FALSE)</f>
        <v>11. Salud pública y seguridad ciudadana</v>
      </c>
      <c r="U3818" s="35" t="str">
        <f>MID(Tabla1[[#This Row],[Aplicación]],9,4)</f>
        <v>1631</v>
      </c>
      <c r="V3818" s="35" t="str">
        <f>VLOOKUP(Tabla1[[#This Row],[PROGRAMA]],Hoja1!A:B,2,FALSE)</f>
        <v>1631. Limpieza viaria</v>
      </c>
      <c r="W3818" s="35" t="str">
        <f>MID(Tabla1[[#This Row],[Aplicación]],14,2)</f>
        <v>22</v>
      </c>
      <c r="X3818" s="35" t="str">
        <f>MID(Tabla1[[#This Row],[Aplicación]],14,6)</f>
        <v>22199</v>
      </c>
    </row>
    <row r="3819" spans="1:24" x14ac:dyDescent="0.25">
      <c r="A3819" s="45">
        <v>220210040090</v>
      </c>
      <c r="B3819" s="46" t="s">
        <v>204</v>
      </c>
      <c r="C3819" s="47">
        <v>44396</v>
      </c>
      <c r="D3819" s="45">
        <v>22021002088</v>
      </c>
      <c r="E3819" s="46" t="s">
        <v>1478</v>
      </c>
      <c r="F3819" s="48">
        <v>219.45</v>
      </c>
      <c r="G3819" s="46" t="s">
        <v>266</v>
      </c>
      <c r="H3819" s="46" t="s">
        <v>5414</v>
      </c>
      <c r="I3819" s="45" t="s">
        <v>205</v>
      </c>
      <c r="J3819" s="46" t="s">
        <v>127</v>
      </c>
      <c r="K3819" s="46" t="s">
        <v>127</v>
      </c>
      <c r="L3819" s="46" t="s">
        <v>15</v>
      </c>
      <c r="M3819" s="46" t="s">
        <v>13</v>
      </c>
      <c r="N3819" s="46" t="s">
        <v>16</v>
      </c>
      <c r="O3819" s="49" t="s">
        <v>814</v>
      </c>
      <c r="P3819" s="49" t="s">
        <v>4910</v>
      </c>
      <c r="Q3819" s="35" t="str">
        <f>MID(Tabla1[[#This Row],[Aplicación]],14,1)</f>
        <v>2</v>
      </c>
      <c r="R3819" s="35" t="s">
        <v>495</v>
      </c>
      <c r="S3819" s="35" t="str">
        <f>MID(Tabla1[[#This Row],[Aplicación]],6,2)</f>
        <v>03</v>
      </c>
      <c r="T3819" s="35" t="str">
        <f>VLOOKUP(Tabla1[[#This Row],[AREA]],Hoja1!A:B,2,FALSE)</f>
        <v>03. Participación ciudadana y deportes</v>
      </c>
      <c r="U3819" s="35" t="str">
        <f>MID(Tabla1[[#This Row],[Aplicación]],9,4)</f>
        <v>9241</v>
      </c>
      <c r="V3819" s="35" t="str">
        <f>VLOOKUP(Tabla1[[#This Row],[PROGRAMA]],Hoja1!A:B,2,FALSE)</f>
        <v>9241. Participación ciudadana</v>
      </c>
      <c r="W3819" s="35" t="str">
        <f>MID(Tabla1[[#This Row],[Aplicación]],14,2)</f>
        <v>21</v>
      </c>
      <c r="X3819" s="35" t="str">
        <f>MID(Tabla1[[#This Row],[Aplicación]],14,6)</f>
        <v>212</v>
      </c>
    </row>
    <row r="3820" spans="1:24" x14ac:dyDescent="0.25">
      <c r="A3820" s="45">
        <v>220210036757</v>
      </c>
      <c r="B3820" s="46" t="s">
        <v>204</v>
      </c>
      <c r="C3820" s="47">
        <v>44386</v>
      </c>
      <c r="D3820" s="45">
        <v>22021002374</v>
      </c>
      <c r="E3820" s="46" t="s">
        <v>1336</v>
      </c>
      <c r="F3820" s="48">
        <v>146.74</v>
      </c>
      <c r="G3820" s="46" t="s">
        <v>266</v>
      </c>
      <c r="H3820" s="46" t="s">
        <v>5415</v>
      </c>
      <c r="I3820" s="45" t="s">
        <v>205</v>
      </c>
      <c r="J3820" s="46" t="s">
        <v>127</v>
      </c>
      <c r="K3820" s="46" t="s">
        <v>127</v>
      </c>
      <c r="L3820" s="46" t="s">
        <v>15</v>
      </c>
      <c r="M3820" s="46" t="s">
        <v>13</v>
      </c>
      <c r="N3820" s="46" t="s">
        <v>14</v>
      </c>
      <c r="O3820" s="49" t="s">
        <v>814</v>
      </c>
      <c r="P3820" s="49" t="s">
        <v>4910</v>
      </c>
      <c r="Q3820" s="35" t="str">
        <f>MID(Tabla1[[#This Row],[Aplicación]],14,1)</f>
        <v>2</v>
      </c>
      <c r="R3820" s="35" t="s">
        <v>495</v>
      </c>
      <c r="S3820" s="35" t="str">
        <f>MID(Tabla1[[#This Row],[Aplicación]],6,2)</f>
        <v>02</v>
      </c>
      <c r="T3820" s="35" t="str">
        <f>VLOOKUP(Tabla1[[#This Row],[AREA]],Hoja1!A:B,2,FALSE)</f>
        <v>02. Planeamiento urbanístico y vivienda</v>
      </c>
      <c r="U3820" s="35" t="str">
        <f>MID(Tabla1[[#This Row],[Aplicación]],9,4)</f>
        <v>9332</v>
      </c>
      <c r="V3820" s="35" t="str">
        <f>VLOOKUP(Tabla1[[#This Row],[PROGRAMA]],Hoja1!A:B,2,FALSE)</f>
        <v>9332. Mantenimiento de edificios e instalaciones municipales</v>
      </c>
      <c r="W3820" s="35" t="str">
        <f>MID(Tabla1[[#This Row],[Aplicación]],14,2)</f>
        <v>21</v>
      </c>
      <c r="X3820" s="35" t="str">
        <f>MID(Tabla1[[#This Row],[Aplicación]],14,6)</f>
        <v>212</v>
      </c>
    </row>
    <row r="3821" spans="1:24" x14ac:dyDescent="0.25">
      <c r="A3821" s="45">
        <v>220210044441</v>
      </c>
      <c r="B3821" s="46" t="s">
        <v>204</v>
      </c>
      <c r="C3821" s="47">
        <v>44407</v>
      </c>
      <c r="D3821" s="45">
        <v>22021004466</v>
      </c>
      <c r="E3821" s="46" t="s">
        <v>1328</v>
      </c>
      <c r="F3821" s="48">
        <v>48.44</v>
      </c>
      <c r="G3821" s="46" t="s">
        <v>266</v>
      </c>
      <c r="H3821" s="46" t="s">
        <v>5416</v>
      </c>
      <c r="I3821" s="45" t="s">
        <v>205</v>
      </c>
      <c r="J3821" s="46" t="s">
        <v>127</v>
      </c>
      <c r="K3821" s="46" t="s">
        <v>127</v>
      </c>
      <c r="L3821" s="46" t="s">
        <v>15</v>
      </c>
      <c r="M3821" s="46" t="s">
        <v>13</v>
      </c>
      <c r="N3821" s="46" t="s">
        <v>14</v>
      </c>
      <c r="O3821" s="49" t="s">
        <v>814</v>
      </c>
      <c r="P3821" s="49" t="s">
        <v>4910</v>
      </c>
      <c r="Q3821" s="35" t="str">
        <f>MID(Tabla1[[#This Row],[Aplicación]],14,1)</f>
        <v>2</v>
      </c>
      <c r="R3821" s="35" t="s">
        <v>495</v>
      </c>
      <c r="S3821" s="35" t="str">
        <f>MID(Tabla1[[#This Row],[Aplicación]],6,2)</f>
        <v>10</v>
      </c>
      <c r="T3821" s="35" t="str">
        <f>VLOOKUP(Tabla1[[#This Row],[AREA]],Hoja1!A:B,2,FALSE)</f>
        <v>10. Servicios sociales y mediación comunitaria</v>
      </c>
      <c r="U3821" s="35" t="str">
        <f>MID(Tabla1[[#This Row],[Aplicación]],9,4)</f>
        <v>2311</v>
      </c>
      <c r="V3821" s="35" t="str">
        <f>VLOOKUP(Tabla1[[#This Row],[PROGRAMA]],Hoja1!A:B,2,FALSE)</f>
        <v>2311. Intervención social</v>
      </c>
      <c r="W3821" s="35" t="str">
        <f>MID(Tabla1[[#This Row],[Aplicación]],14,2)</f>
        <v>21</v>
      </c>
      <c r="X3821" s="35" t="str">
        <f>MID(Tabla1[[#This Row],[Aplicación]],14,6)</f>
        <v>212</v>
      </c>
    </row>
    <row r="3822" spans="1:24" x14ac:dyDescent="0.25">
      <c r="A3822" s="45">
        <v>220210040170</v>
      </c>
      <c r="B3822" s="46" t="s">
        <v>204</v>
      </c>
      <c r="C3822" s="47">
        <v>44396</v>
      </c>
      <c r="D3822" s="45">
        <v>22021001968</v>
      </c>
      <c r="E3822" s="46" t="s">
        <v>1388</v>
      </c>
      <c r="F3822" s="48">
        <v>14.75</v>
      </c>
      <c r="G3822" s="46" t="s">
        <v>266</v>
      </c>
      <c r="H3822" s="46" t="s">
        <v>5417</v>
      </c>
      <c r="I3822" s="45" t="s">
        <v>205</v>
      </c>
      <c r="J3822" s="46" t="s">
        <v>127</v>
      </c>
      <c r="K3822" s="46" t="s">
        <v>127</v>
      </c>
      <c r="L3822" s="46" t="s">
        <v>15</v>
      </c>
      <c r="M3822" s="46" t="s">
        <v>13</v>
      </c>
      <c r="N3822" s="46" t="s">
        <v>14</v>
      </c>
      <c r="O3822" s="49" t="s">
        <v>814</v>
      </c>
      <c r="P3822" s="49" t="s">
        <v>4910</v>
      </c>
      <c r="Q3822" s="35" t="str">
        <f>MID(Tabla1[[#This Row],[Aplicación]],14,1)</f>
        <v>2</v>
      </c>
      <c r="R3822" s="35" t="s">
        <v>495</v>
      </c>
      <c r="S3822" s="35" t="str">
        <f>MID(Tabla1[[#This Row],[Aplicación]],6,2)</f>
        <v>11</v>
      </c>
      <c r="T3822" s="35" t="str">
        <f>VLOOKUP(Tabla1[[#This Row],[AREA]],Hoja1!A:B,2,FALSE)</f>
        <v>11. Salud pública y seguridad ciudadana</v>
      </c>
      <c r="U3822" s="35" t="str">
        <f>MID(Tabla1[[#This Row],[Aplicación]],9,4)</f>
        <v>1321</v>
      </c>
      <c r="V3822" s="35" t="str">
        <f>VLOOKUP(Tabla1[[#This Row],[PROGRAMA]],Hoja1!A:B,2,FALSE)</f>
        <v>1321. Policía municipal</v>
      </c>
      <c r="W3822" s="35" t="str">
        <f>MID(Tabla1[[#This Row],[Aplicación]],14,2)</f>
        <v>22</v>
      </c>
      <c r="X3822" s="35" t="str">
        <f>MID(Tabla1[[#This Row],[Aplicación]],14,6)</f>
        <v>22199</v>
      </c>
    </row>
    <row r="3823" spans="1:24" x14ac:dyDescent="0.25">
      <c r="A3823" s="45">
        <v>220210040892</v>
      </c>
      <c r="B3823" s="46" t="s">
        <v>204</v>
      </c>
      <c r="C3823" s="47">
        <v>44397</v>
      </c>
      <c r="D3823" s="45">
        <v>22021003170</v>
      </c>
      <c r="E3823" s="46" t="s">
        <v>3388</v>
      </c>
      <c r="F3823" s="48">
        <v>12.6</v>
      </c>
      <c r="G3823" s="46" t="s">
        <v>266</v>
      </c>
      <c r="H3823" s="46" t="s">
        <v>5418</v>
      </c>
      <c r="I3823" s="45" t="s">
        <v>205</v>
      </c>
      <c r="J3823" s="46" t="s">
        <v>127</v>
      </c>
      <c r="K3823" s="46" t="s">
        <v>127</v>
      </c>
      <c r="L3823" s="46" t="s">
        <v>15</v>
      </c>
      <c r="M3823" s="46" t="s">
        <v>13</v>
      </c>
      <c r="N3823" s="46" t="s">
        <v>14</v>
      </c>
      <c r="O3823" s="49" t="s">
        <v>814</v>
      </c>
      <c r="P3823" s="49" t="s">
        <v>4910</v>
      </c>
      <c r="Q3823" s="35" t="str">
        <f>MID(Tabla1[[#This Row],[Aplicación]],14,1)</f>
        <v>2</v>
      </c>
      <c r="R3823" s="35" t="s">
        <v>495</v>
      </c>
      <c r="S3823" s="35" t="str">
        <f>MID(Tabla1[[#This Row],[Aplicación]],6,2)</f>
        <v>05</v>
      </c>
      <c r="T3823" s="35" t="str">
        <f>VLOOKUP(Tabla1[[#This Row],[AREA]],Hoja1!A:B,2,FALSE)</f>
        <v>05. Innovación, desarrollo económico, empleo y comercio</v>
      </c>
      <c r="U3823" s="35" t="str">
        <f>MID(Tabla1[[#This Row],[Aplicación]],9,4)</f>
        <v>4314</v>
      </c>
      <c r="V3823" s="35" t="str">
        <f>VLOOKUP(Tabla1[[#This Row],[PROGRAMA]],Hoja1!A:B,2,FALSE)</f>
        <v>4314. Fomento del comercio</v>
      </c>
      <c r="W3823" s="35" t="str">
        <f>MID(Tabla1[[#This Row],[Aplicación]],14,2)</f>
        <v>22</v>
      </c>
      <c r="X3823" s="35" t="str">
        <f>MID(Tabla1[[#This Row],[Aplicación]],14,6)</f>
        <v>22199</v>
      </c>
    </row>
    <row r="3824" spans="1:24" x14ac:dyDescent="0.25">
      <c r="A3824" s="45">
        <v>220210044439</v>
      </c>
      <c r="B3824" s="46" t="s">
        <v>204</v>
      </c>
      <c r="C3824" s="47">
        <v>44407</v>
      </c>
      <c r="D3824" s="45">
        <v>22021002143</v>
      </c>
      <c r="E3824" s="46" t="s">
        <v>1328</v>
      </c>
      <c r="F3824" s="48">
        <v>3.75</v>
      </c>
      <c r="G3824" s="46" t="s">
        <v>266</v>
      </c>
      <c r="H3824" s="46" t="s">
        <v>5419</v>
      </c>
      <c r="I3824" s="45" t="s">
        <v>205</v>
      </c>
      <c r="J3824" s="46" t="s">
        <v>127</v>
      </c>
      <c r="K3824" s="46" t="s">
        <v>127</v>
      </c>
      <c r="L3824" s="46" t="s">
        <v>15</v>
      </c>
      <c r="M3824" s="46" t="s">
        <v>13</v>
      </c>
      <c r="N3824" s="46" t="s">
        <v>14</v>
      </c>
      <c r="O3824" s="49" t="s">
        <v>814</v>
      </c>
      <c r="P3824" s="49" t="s">
        <v>4910</v>
      </c>
      <c r="Q3824" s="35" t="str">
        <f>MID(Tabla1[[#This Row],[Aplicación]],14,1)</f>
        <v>2</v>
      </c>
      <c r="R3824" s="35" t="s">
        <v>495</v>
      </c>
      <c r="S3824" s="35" t="str">
        <f>MID(Tabla1[[#This Row],[Aplicación]],6,2)</f>
        <v>10</v>
      </c>
      <c r="T3824" s="35" t="str">
        <f>VLOOKUP(Tabla1[[#This Row],[AREA]],Hoja1!A:B,2,FALSE)</f>
        <v>10. Servicios sociales y mediación comunitaria</v>
      </c>
      <c r="U3824" s="35" t="str">
        <f>MID(Tabla1[[#This Row],[Aplicación]],9,4)</f>
        <v>2311</v>
      </c>
      <c r="V3824" s="35" t="str">
        <f>VLOOKUP(Tabla1[[#This Row],[PROGRAMA]],Hoja1!A:B,2,FALSE)</f>
        <v>2311. Intervención social</v>
      </c>
      <c r="W3824" s="35" t="str">
        <f>MID(Tabla1[[#This Row],[Aplicación]],14,2)</f>
        <v>21</v>
      </c>
      <c r="X3824" s="35" t="str">
        <f>MID(Tabla1[[#This Row],[Aplicación]],14,6)</f>
        <v>212</v>
      </c>
    </row>
    <row r="3825" spans="1:24" x14ac:dyDescent="0.25">
      <c r="A3825" s="45">
        <v>220210047010</v>
      </c>
      <c r="B3825" s="46" t="s">
        <v>204</v>
      </c>
      <c r="C3825" s="47">
        <v>44421</v>
      </c>
      <c r="D3825" s="45">
        <v>22021004482</v>
      </c>
      <c r="E3825" s="46" t="s">
        <v>921</v>
      </c>
      <c r="F3825" s="48">
        <v>2.25</v>
      </c>
      <c r="G3825" s="46" t="s">
        <v>266</v>
      </c>
      <c r="H3825" s="46" t="s">
        <v>5420</v>
      </c>
      <c r="I3825" s="45" t="s">
        <v>205</v>
      </c>
      <c r="J3825" s="46" t="s">
        <v>127</v>
      </c>
      <c r="K3825" s="46" t="s">
        <v>127</v>
      </c>
      <c r="L3825" s="46" t="s">
        <v>15</v>
      </c>
      <c r="M3825" s="46" t="s">
        <v>13</v>
      </c>
      <c r="N3825" s="46" t="s">
        <v>14</v>
      </c>
      <c r="O3825" s="49" t="s">
        <v>814</v>
      </c>
      <c r="P3825" s="49" t="s">
        <v>4910</v>
      </c>
      <c r="Q3825" s="35" t="str">
        <f>MID(Tabla1[[#This Row],[Aplicación]],14,1)</f>
        <v>2</v>
      </c>
      <c r="R3825" s="35" t="s">
        <v>495</v>
      </c>
      <c r="S3825" s="35" t="str">
        <f>MID(Tabla1[[#This Row],[Aplicación]],6,2)</f>
        <v>04</v>
      </c>
      <c r="T3825" s="35" t="str">
        <f>VLOOKUP(Tabla1[[#This Row],[AREA]],Hoja1!A:B,2,FALSE)</f>
        <v>04. Planificación y recursos</v>
      </c>
      <c r="U3825" s="35" t="str">
        <f>MID(Tabla1[[#This Row],[Aplicación]],9,4)</f>
        <v>9204</v>
      </c>
      <c r="V3825" s="35" t="str">
        <f>VLOOKUP(Tabla1[[#This Row],[PROGRAMA]],Hoja1!A:B,2,FALSE)</f>
        <v>9204. Tecnologías de la información y comunicación</v>
      </c>
      <c r="W3825" s="35" t="str">
        <f>MID(Tabla1[[#This Row],[Aplicación]],14,2)</f>
        <v>21</v>
      </c>
      <c r="X3825" s="35" t="str">
        <f>MID(Tabla1[[#This Row],[Aplicación]],14,6)</f>
        <v>213</v>
      </c>
    </row>
    <row r="3826" spans="1:24" x14ac:dyDescent="0.25">
      <c r="A3826" s="45">
        <v>220210045670</v>
      </c>
      <c r="B3826" s="46" t="s">
        <v>204</v>
      </c>
      <c r="C3826" s="47">
        <v>44414</v>
      </c>
      <c r="D3826" s="45">
        <v>22021002057</v>
      </c>
      <c r="E3826" s="46" t="s">
        <v>1715</v>
      </c>
      <c r="F3826" s="48">
        <v>16.54</v>
      </c>
      <c r="G3826" s="46" t="s">
        <v>266</v>
      </c>
      <c r="H3826" s="46" t="s">
        <v>5421</v>
      </c>
      <c r="I3826" s="45" t="s">
        <v>205</v>
      </c>
      <c r="J3826" s="46" t="s">
        <v>127</v>
      </c>
      <c r="K3826" s="46" t="s">
        <v>127</v>
      </c>
      <c r="L3826" s="46" t="s">
        <v>15</v>
      </c>
      <c r="M3826" s="46" t="s">
        <v>13</v>
      </c>
      <c r="N3826" s="46" t="s">
        <v>14</v>
      </c>
      <c r="O3826" s="49" t="s">
        <v>814</v>
      </c>
      <c r="P3826" s="49" t="s">
        <v>4910</v>
      </c>
      <c r="Q3826" s="35" t="str">
        <f>MID(Tabla1[[#This Row],[Aplicación]],14,1)</f>
        <v>2</v>
      </c>
      <c r="R3826" s="35" t="s">
        <v>495</v>
      </c>
      <c r="S3826" s="35" t="str">
        <f>MID(Tabla1[[#This Row],[Aplicación]],6,2)</f>
        <v>11</v>
      </c>
      <c r="T3826" s="35" t="str">
        <f>VLOOKUP(Tabla1[[#This Row],[AREA]],Hoja1!A:B,2,FALSE)</f>
        <v>11. Salud pública y seguridad ciudadana</v>
      </c>
      <c r="U3826" s="35" t="str">
        <f>MID(Tabla1[[#This Row],[Aplicación]],9,4)</f>
        <v>1631</v>
      </c>
      <c r="V3826" s="35" t="str">
        <f>VLOOKUP(Tabla1[[#This Row],[PROGRAMA]],Hoja1!A:B,2,FALSE)</f>
        <v>1631. Limpieza viaria</v>
      </c>
      <c r="W3826" s="35" t="str">
        <f>MID(Tabla1[[#This Row],[Aplicación]],14,2)</f>
        <v>22</v>
      </c>
      <c r="X3826" s="35" t="str">
        <f>MID(Tabla1[[#This Row],[Aplicación]],14,6)</f>
        <v>22199</v>
      </c>
    </row>
    <row r="3827" spans="1:24" x14ac:dyDescent="0.25">
      <c r="A3827" s="45">
        <v>220210045113</v>
      </c>
      <c r="B3827" s="46" t="s">
        <v>204</v>
      </c>
      <c r="C3827" s="47">
        <v>44411</v>
      </c>
      <c r="D3827" s="45">
        <v>22021001275</v>
      </c>
      <c r="E3827" s="46" t="s">
        <v>1334</v>
      </c>
      <c r="F3827" s="48">
        <v>52.24</v>
      </c>
      <c r="G3827" s="46" t="s">
        <v>266</v>
      </c>
      <c r="H3827" s="46" t="s">
        <v>3982</v>
      </c>
      <c r="I3827" s="45" t="s">
        <v>205</v>
      </c>
      <c r="J3827" s="46" t="s">
        <v>127</v>
      </c>
      <c r="K3827" s="46" t="s">
        <v>127</v>
      </c>
      <c r="L3827" s="46" t="s">
        <v>15</v>
      </c>
      <c r="M3827" s="46" t="s">
        <v>13</v>
      </c>
      <c r="N3827" s="46" t="s">
        <v>14</v>
      </c>
      <c r="O3827" s="49" t="s">
        <v>814</v>
      </c>
      <c r="P3827" s="49" t="s">
        <v>4910</v>
      </c>
      <c r="Q3827" s="35" t="str">
        <f>MID(Tabla1[[#This Row],[Aplicación]],14,1)</f>
        <v>2</v>
      </c>
      <c r="R3827" s="35" t="s">
        <v>495</v>
      </c>
      <c r="S3827" s="35" t="str">
        <f>MID(Tabla1[[#This Row],[Aplicación]],6,2)</f>
        <v>07</v>
      </c>
      <c r="T3827" s="35" t="str">
        <f>VLOOKUP(Tabla1[[#This Row],[AREA]],Hoja1!A:B,2,FALSE)</f>
        <v>07. Medio ambiente y desarrollo sostenible</v>
      </c>
      <c r="U3827" s="35" t="str">
        <f>MID(Tabla1[[#This Row],[Aplicación]],9,4)</f>
        <v>1711</v>
      </c>
      <c r="V3827" s="35" t="str">
        <f>VLOOKUP(Tabla1[[#This Row],[PROGRAMA]],Hoja1!A:B,2,FALSE)</f>
        <v>1711. Parques y jardines</v>
      </c>
      <c r="W3827" s="35" t="str">
        <f>MID(Tabla1[[#This Row],[Aplicación]],14,2)</f>
        <v>22</v>
      </c>
      <c r="X3827" s="35" t="str">
        <f>MID(Tabla1[[#This Row],[Aplicación]],14,6)</f>
        <v>22199</v>
      </c>
    </row>
    <row r="3828" spans="1:24" x14ac:dyDescent="0.25">
      <c r="A3828" s="45">
        <v>220210044565</v>
      </c>
      <c r="B3828" s="46" t="s">
        <v>9</v>
      </c>
      <c r="C3828" s="47">
        <v>44407</v>
      </c>
      <c r="D3828" s="45">
        <v>22021005949</v>
      </c>
      <c r="E3828" s="46" t="s">
        <v>1478</v>
      </c>
      <c r="F3828" s="48">
        <v>2288.6999999999998</v>
      </c>
      <c r="G3828" s="46" t="s">
        <v>5422</v>
      </c>
      <c r="H3828" s="46" t="s">
        <v>5423</v>
      </c>
      <c r="I3828" s="45" t="s">
        <v>125</v>
      </c>
      <c r="J3828" s="46" t="s">
        <v>126</v>
      </c>
      <c r="K3828" s="46" t="s">
        <v>126</v>
      </c>
      <c r="L3828" s="46" t="s">
        <v>12</v>
      </c>
      <c r="M3828" s="46" t="s">
        <v>10</v>
      </c>
      <c r="N3828" s="46" t="s">
        <v>11</v>
      </c>
      <c r="O3828" s="49" t="s">
        <v>815</v>
      </c>
      <c r="P3828" s="49" t="s">
        <v>4910</v>
      </c>
      <c r="Q3828" s="35" t="str">
        <f>MID(Tabla1[[#This Row],[Aplicación]],14,1)</f>
        <v>2</v>
      </c>
      <c r="R3828" s="35" t="s">
        <v>495</v>
      </c>
      <c r="S3828" s="35" t="str">
        <f>MID(Tabla1[[#This Row],[Aplicación]],6,2)</f>
        <v>03</v>
      </c>
      <c r="T3828" s="35" t="str">
        <f>VLOOKUP(Tabla1[[#This Row],[AREA]],Hoja1!A:B,2,FALSE)</f>
        <v>03. Participación ciudadana y deportes</v>
      </c>
      <c r="U3828" s="35" t="str">
        <f>MID(Tabla1[[#This Row],[Aplicación]],9,4)</f>
        <v>9241</v>
      </c>
      <c r="V3828" s="35" t="str">
        <f>VLOOKUP(Tabla1[[#This Row],[PROGRAMA]],Hoja1!A:B,2,FALSE)</f>
        <v>9241. Participación ciudadana</v>
      </c>
      <c r="W3828" s="35" t="str">
        <f>MID(Tabla1[[#This Row],[Aplicación]],14,2)</f>
        <v>21</v>
      </c>
      <c r="X3828" s="35" t="str">
        <f>MID(Tabla1[[#This Row],[Aplicación]],14,6)</f>
        <v>212</v>
      </c>
    </row>
    <row r="3829" spans="1:24" x14ac:dyDescent="0.25">
      <c r="A3829" s="45">
        <v>220210040135</v>
      </c>
      <c r="B3829" s="46" t="s">
        <v>204</v>
      </c>
      <c r="C3829" s="47">
        <v>44396</v>
      </c>
      <c r="D3829" s="45">
        <v>22021001276</v>
      </c>
      <c r="E3829" s="46" t="s">
        <v>2510</v>
      </c>
      <c r="F3829" s="48">
        <v>462.37</v>
      </c>
      <c r="G3829" s="46" t="s">
        <v>3097</v>
      </c>
      <c r="H3829" s="46" t="s">
        <v>3098</v>
      </c>
      <c r="I3829" s="45" t="s">
        <v>205</v>
      </c>
      <c r="J3829" s="46" t="s">
        <v>749</v>
      </c>
      <c r="K3829" s="46" t="s">
        <v>127</v>
      </c>
      <c r="L3829" s="46" t="s">
        <v>15</v>
      </c>
      <c r="M3829" s="46" t="s">
        <v>13</v>
      </c>
      <c r="N3829" s="46" t="s">
        <v>14</v>
      </c>
      <c r="O3829" s="49" t="s">
        <v>814</v>
      </c>
      <c r="P3829" s="49" t="s">
        <v>4910</v>
      </c>
      <c r="Q3829" s="35" t="str">
        <f>MID(Tabla1[[#This Row],[Aplicación]],14,1)</f>
        <v>2</v>
      </c>
      <c r="R3829" s="35" t="s">
        <v>495</v>
      </c>
      <c r="S3829" s="35" t="str">
        <f>MID(Tabla1[[#This Row],[Aplicación]],6,2)</f>
        <v>07</v>
      </c>
      <c r="T3829" s="35" t="str">
        <f>VLOOKUP(Tabla1[[#This Row],[AREA]],Hoja1!A:B,2,FALSE)</f>
        <v>07. Medio ambiente y desarrollo sostenible</v>
      </c>
      <c r="U3829" s="35" t="str">
        <f>MID(Tabla1[[#This Row],[Aplicación]],9,4)</f>
        <v>1711</v>
      </c>
      <c r="V3829" s="35" t="str">
        <f>VLOOKUP(Tabla1[[#This Row],[PROGRAMA]],Hoja1!A:B,2,FALSE)</f>
        <v>1711. Parques y jardines</v>
      </c>
      <c r="W3829" s="35" t="str">
        <f>MID(Tabla1[[#This Row],[Aplicación]],14,2)</f>
        <v>22</v>
      </c>
      <c r="X3829" s="35" t="str">
        <f>MID(Tabla1[[#This Row],[Aplicación]],14,6)</f>
        <v>22106</v>
      </c>
    </row>
    <row r="3830" spans="1:24" x14ac:dyDescent="0.25">
      <c r="A3830" s="45">
        <v>220210045416</v>
      </c>
      <c r="B3830" s="46" t="s">
        <v>204</v>
      </c>
      <c r="C3830" s="47">
        <v>44413</v>
      </c>
      <c r="D3830" s="45">
        <v>22021001276</v>
      </c>
      <c r="E3830" s="46" t="s">
        <v>2510</v>
      </c>
      <c r="F3830" s="48">
        <v>2102.86</v>
      </c>
      <c r="G3830" s="46" t="s">
        <v>3097</v>
      </c>
      <c r="H3830" s="46" t="s">
        <v>3098</v>
      </c>
      <c r="I3830" s="45" t="s">
        <v>205</v>
      </c>
      <c r="J3830" s="46" t="s">
        <v>749</v>
      </c>
      <c r="K3830" s="46" t="s">
        <v>127</v>
      </c>
      <c r="L3830" s="46" t="s">
        <v>15</v>
      </c>
      <c r="M3830" s="46" t="s">
        <v>13</v>
      </c>
      <c r="N3830" s="46" t="s">
        <v>14</v>
      </c>
      <c r="O3830" s="49" t="s">
        <v>814</v>
      </c>
      <c r="P3830" s="49" t="s">
        <v>4910</v>
      </c>
      <c r="Q3830" s="35" t="str">
        <f>MID(Tabla1[[#This Row],[Aplicación]],14,1)</f>
        <v>2</v>
      </c>
      <c r="R3830" s="35" t="s">
        <v>495</v>
      </c>
      <c r="S3830" s="35" t="str">
        <f>MID(Tabla1[[#This Row],[Aplicación]],6,2)</f>
        <v>07</v>
      </c>
      <c r="T3830" s="35" t="str">
        <f>VLOOKUP(Tabla1[[#This Row],[AREA]],Hoja1!A:B,2,FALSE)</f>
        <v>07. Medio ambiente y desarrollo sostenible</v>
      </c>
      <c r="U3830" s="35" t="str">
        <f>MID(Tabla1[[#This Row],[Aplicación]],9,4)</f>
        <v>1711</v>
      </c>
      <c r="V3830" s="35" t="str">
        <f>VLOOKUP(Tabla1[[#This Row],[PROGRAMA]],Hoja1!A:B,2,FALSE)</f>
        <v>1711. Parques y jardines</v>
      </c>
      <c r="W3830" s="35" t="str">
        <f>MID(Tabla1[[#This Row],[Aplicación]],14,2)</f>
        <v>22</v>
      </c>
      <c r="X3830" s="35" t="str">
        <f>MID(Tabla1[[#This Row],[Aplicación]],14,6)</f>
        <v>22106</v>
      </c>
    </row>
    <row r="3831" spans="1:24" x14ac:dyDescent="0.25">
      <c r="A3831" s="45">
        <v>220210045151</v>
      </c>
      <c r="B3831" s="46" t="s">
        <v>204</v>
      </c>
      <c r="C3831" s="47">
        <v>44411</v>
      </c>
      <c r="D3831" s="45">
        <v>22021001276</v>
      </c>
      <c r="E3831" s="46" t="s">
        <v>2510</v>
      </c>
      <c r="F3831" s="48">
        <v>227.28</v>
      </c>
      <c r="G3831" s="46" t="s">
        <v>3097</v>
      </c>
      <c r="H3831" s="46" t="s">
        <v>3098</v>
      </c>
      <c r="I3831" s="45" t="s">
        <v>205</v>
      </c>
      <c r="J3831" s="46" t="s">
        <v>749</v>
      </c>
      <c r="K3831" s="46" t="s">
        <v>127</v>
      </c>
      <c r="L3831" s="46" t="s">
        <v>15</v>
      </c>
      <c r="M3831" s="46" t="s">
        <v>13</v>
      </c>
      <c r="N3831" s="46" t="s">
        <v>14</v>
      </c>
      <c r="O3831" s="49" t="s">
        <v>814</v>
      </c>
      <c r="P3831" s="49" t="s">
        <v>4910</v>
      </c>
      <c r="Q3831" s="35" t="str">
        <f>MID(Tabla1[[#This Row],[Aplicación]],14,1)</f>
        <v>2</v>
      </c>
      <c r="R3831" s="35" t="s">
        <v>495</v>
      </c>
      <c r="S3831" s="35" t="str">
        <f>MID(Tabla1[[#This Row],[Aplicación]],6,2)</f>
        <v>07</v>
      </c>
      <c r="T3831" s="35" t="str">
        <f>VLOOKUP(Tabla1[[#This Row],[AREA]],Hoja1!A:B,2,FALSE)</f>
        <v>07. Medio ambiente y desarrollo sostenible</v>
      </c>
      <c r="U3831" s="35" t="str">
        <f>MID(Tabla1[[#This Row],[Aplicación]],9,4)</f>
        <v>1711</v>
      </c>
      <c r="V3831" s="35" t="str">
        <f>VLOOKUP(Tabla1[[#This Row],[PROGRAMA]],Hoja1!A:B,2,FALSE)</f>
        <v>1711. Parques y jardines</v>
      </c>
      <c r="W3831" s="35" t="str">
        <f>MID(Tabla1[[#This Row],[Aplicación]],14,2)</f>
        <v>22</v>
      </c>
      <c r="X3831" s="35" t="str">
        <f>MID(Tabla1[[#This Row],[Aplicación]],14,6)</f>
        <v>22106</v>
      </c>
    </row>
    <row r="3832" spans="1:24" x14ac:dyDescent="0.25">
      <c r="A3832" s="45">
        <v>220210040949</v>
      </c>
      <c r="B3832" s="46" t="s">
        <v>204</v>
      </c>
      <c r="C3832" s="47">
        <v>44397</v>
      </c>
      <c r="D3832" s="45">
        <v>22021002449</v>
      </c>
      <c r="E3832" s="46" t="s">
        <v>1724</v>
      </c>
      <c r="F3832" s="48">
        <v>3352.51</v>
      </c>
      <c r="G3832" s="46" t="s">
        <v>263</v>
      </c>
      <c r="H3832" s="46" t="s">
        <v>1725</v>
      </c>
      <c r="I3832" s="45" t="s">
        <v>205</v>
      </c>
      <c r="J3832" s="46" t="s">
        <v>127</v>
      </c>
      <c r="K3832" s="46" t="s">
        <v>127</v>
      </c>
      <c r="L3832" s="46" t="s">
        <v>15</v>
      </c>
      <c r="M3832" s="46" t="s">
        <v>13</v>
      </c>
      <c r="N3832" s="46" t="s">
        <v>14</v>
      </c>
      <c r="O3832" s="49" t="s">
        <v>814</v>
      </c>
      <c r="P3832" s="49" t="s">
        <v>4910</v>
      </c>
      <c r="Q3832" s="35" t="str">
        <f>MID(Tabla1[[#This Row],[Aplicación]],14,1)</f>
        <v>6</v>
      </c>
      <c r="R3832" s="35" t="s">
        <v>496</v>
      </c>
      <c r="S3832" s="35" t="str">
        <f>MID(Tabla1[[#This Row],[Aplicación]],6,2)</f>
        <v>07</v>
      </c>
      <c r="T3832" s="35" t="str">
        <f>VLOOKUP(Tabla1[[#This Row],[AREA]],Hoja1!A:B,2,FALSE)</f>
        <v>07. Medio ambiente y desarrollo sostenible</v>
      </c>
      <c r="U3832" s="35" t="str">
        <f>MID(Tabla1[[#This Row],[Aplicación]],9,4)</f>
        <v>1711</v>
      </c>
      <c r="V3832" s="35" t="str">
        <f>VLOOKUP(Tabla1[[#This Row],[PROGRAMA]],Hoja1!A:B,2,FALSE)</f>
        <v>1711. Parques y jardines</v>
      </c>
      <c r="W3832" s="35" t="str">
        <f>MID(Tabla1[[#This Row],[Aplicación]],14,2)</f>
        <v>61</v>
      </c>
      <c r="X3832" s="35" t="str">
        <f>MID(Tabla1[[#This Row],[Aplicación]],14,6)</f>
        <v>619</v>
      </c>
    </row>
    <row r="3833" spans="1:24" x14ac:dyDescent="0.25">
      <c r="A3833" s="45">
        <v>220210036808</v>
      </c>
      <c r="B3833" s="46" t="s">
        <v>204</v>
      </c>
      <c r="C3833" s="47">
        <v>44386</v>
      </c>
      <c r="D3833" s="45">
        <v>22021002047</v>
      </c>
      <c r="E3833" s="46" t="s">
        <v>944</v>
      </c>
      <c r="F3833" s="48">
        <v>1115.5</v>
      </c>
      <c r="G3833" s="46" t="s">
        <v>263</v>
      </c>
      <c r="H3833" s="46" t="s">
        <v>5424</v>
      </c>
      <c r="I3833" s="45" t="s">
        <v>205</v>
      </c>
      <c r="J3833" s="46" t="s">
        <v>127</v>
      </c>
      <c r="K3833" s="46" t="s">
        <v>127</v>
      </c>
      <c r="L3833" s="46" t="s">
        <v>15</v>
      </c>
      <c r="M3833" s="46" t="s">
        <v>13</v>
      </c>
      <c r="N3833" s="46" t="s">
        <v>14</v>
      </c>
      <c r="O3833" s="49" t="s">
        <v>814</v>
      </c>
      <c r="P3833" s="49" t="s">
        <v>4910</v>
      </c>
      <c r="Q3833" s="35" t="str">
        <f>MID(Tabla1[[#This Row],[Aplicación]],14,1)</f>
        <v>2</v>
      </c>
      <c r="R3833" s="35" t="s">
        <v>495</v>
      </c>
      <c r="S3833" s="35" t="str">
        <f>MID(Tabla1[[#This Row],[Aplicación]],6,2)</f>
        <v>11</v>
      </c>
      <c r="T3833" s="35" t="str">
        <f>VLOOKUP(Tabla1[[#This Row],[AREA]],Hoja1!A:B,2,FALSE)</f>
        <v>11. Salud pública y seguridad ciudadana</v>
      </c>
      <c r="U3833" s="35" t="str">
        <f>MID(Tabla1[[#This Row],[Aplicación]],9,4)</f>
        <v>1621</v>
      </c>
      <c r="V3833" s="35" t="str">
        <f>VLOOKUP(Tabla1[[#This Row],[PROGRAMA]],Hoja1!A:B,2,FALSE)</f>
        <v>1621. Servicio de limpieza</v>
      </c>
      <c r="W3833" s="35" t="str">
        <f>MID(Tabla1[[#This Row],[Aplicación]],14,2)</f>
        <v>21</v>
      </c>
      <c r="X3833" s="35" t="str">
        <f>MID(Tabla1[[#This Row],[Aplicación]],14,6)</f>
        <v>213</v>
      </c>
    </row>
    <row r="3834" spans="1:24" x14ac:dyDescent="0.25">
      <c r="A3834" s="45">
        <v>220210040096</v>
      </c>
      <c r="B3834" s="46" t="s">
        <v>204</v>
      </c>
      <c r="C3834" s="47">
        <v>44396</v>
      </c>
      <c r="D3834" s="45">
        <v>22021003381</v>
      </c>
      <c r="E3834" s="46" t="s">
        <v>1183</v>
      </c>
      <c r="F3834" s="48">
        <v>511.15</v>
      </c>
      <c r="G3834" s="46" t="s">
        <v>263</v>
      </c>
      <c r="H3834" s="46" t="s">
        <v>5425</v>
      </c>
      <c r="I3834" s="45" t="s">
        <v>205</v>
      </c>
      <c r="J3834" s="46" t="s">
        <v>127</v>
      </c>
      <c r="K3834" s="46" t="s">
        <v>127</v>
      </c>
      <c r="L3834" s="46" t="s">
        <v>15</v>
      </c>
      <c r="M3834" s="46" t="s">
        <v>13</v>
      </c>
      <c r="N3834" s="46" t="s">
        <v>14</v>
      </c>
      <c r="O3834" s="49" t="s">
        <v>814</v>
      </c>
      <c r="P3834" s="49" t="s">
        <v>4910</v>
      </c>
      <c r="Q3834" s="35" t="str">
        <f>MID(Tabla1[[#This Row],[Aplicación]],14,1)</f>
        <v>2</v>
      </c>
      <c r="R3834" s="35" t="s">
        <v>495</v>
      </c>
      <c r="S3834" s="35" t="str">
        <f>MID(Tabla1[[#This Row],[Aplicación]],6,2)</f>
        <v>11</v>
      </c>
      <c r="T3834" s="35" t="str">
        <f>VLOOKUP(Tabla1[[#This Row],[AREA]],Hoja1!A:B,2,FALSE)</f>
        <v>11. Salud pública y seguridad ciudadana</v>
      </c>
      <c r="U3834" s="35" t="str">
        <f>MID(Tabla1[[#This Row],[Aplicación]],9,4)</f>
        <v>1361</v>
      </c>
      <c r="V3834" s="35" t="str">
        <f>VLOOKUP(Tabla1[[#This Row],[PROGRAMA]],Hoja1!A:B,2,FALSE)</f>
        <v>1361. Prevención y extinción de incencios</v>
      </c>
      <c r="W3834" s="35" t="str">
        <f>MID(Tabla1[[#This Row],[Aplicación]],14,2)</f>
        <v>22</v>
      </c>
      <c r="X3834" s="35" t="str">
        <f>MID(Tabla1[[#This Row],[Aplicación]],14,6)</f>
        <v>22199</v>
      </c>
    </row>
    <row r="3835" spans="1:24" x14ac:dyDescent="0.25">
      <c r="A3835" s="45">
        <v>220210040184</v>
      </c>
      <c r="B3835" s="46" t="s">
        <v>204</v>
      </c>
      <c r="C3835" s="47">
        <v>44396</v>
      </c>
      <c r="D3835" s="45">
        <v>22021002088</v>
      </c>
      <c r="E3835" s="46" t="s">
        <v>1478</v>
      </c>
      <c r="F3835" s="48">
        <v>208.94</v>
      </c>
      <c r="G3835" s="46" t="s">
        <v>263</v>
      </c>
      <c r="H3835" s="46" t="s">
        <v>5426</v>
      </c>
      <c r="I3835" s="45" t="s">
        <v>205</v>
      </c>
      <c r="J3835" s="46" t="s">
        <v>127</v>
      </c>
      <c r="K3835" s="46" t="s">
        <v>127</v>
      </c>
      <c r="L3835" s="46" t="s">
        <v>15</v>
      </c>
      <c r="M3835" s="46" t="s">
        <v>13</v>
      </c>
      <c r="N3835" s="46" t="s">
        <v>16</v>
      </c>
      <c r="O3835" s="49" t="s">
        <v>814</v>
      </c>
      <c r="P3835" s="49" t="s">
        <v>4910</v>
      </c>
      <c r="Q3835" s="35" t="str">
        <f>MID(Tabla1[[#This Row],[Aplicación]],14,1)</f>
        <v>2</v>
      </c>
      <c r="R3835" s="35" t="s">
        <v>495</v>
      </c>
      <c r="S3835" s="35" t="str">
        <f>MID(Tabla1[[#This Row],[Aplicación]],6,2)</f>
        <v>03</v>
      </c>
      <c r="T3835" s="35" t="str">
        <f>VLOOKUP(Tabla1[[#This Row],[AREA]],Hoja1!A:B,2,FALSE)</f>
        <v>03. Participación ciudadana y deportes</v>
      </c>
      <c r="U3835" s="35" t="str">
        <f>MID(Tabla1[[#This Row],[Aplicación]],9,4)</f>
        <v>9241</v>
      </c>
      <c r="V3835" s="35" t="str">
        <f>VLOOKUP(Tabla1[[#This Row],[PROGRAMA]],Hoja1!A:B,2,FALSE)</f>
        <v>9241. Participación ciudadana</v>
      </c>
      <c r="W3835" s="35" t="str">
        <f>MID(Tabla1[[#This Row],[Aplicación]],14,2)</f>
        <v>21</v>
      </c>
      <c r="X3835" s="35" t="str">
        <f>MID(Tabla1[[#This Row],[Aplicación]],14,6)</f>
        <v>212</v>
      </c>
    </row>
    <row r="3836" spans="1:24" x14ac:dyDescent="0.25">
      <c r="A3836" s="45">
        <v>220210040153</v>
      </c>
      <c r="B3836" s="46" t="s">
        <v>204</v>
      </c>
      <c r="C3836" s="47">
        <v>44396</v>
      </c>
      <c r="D3836" s="45">
        <v>22021002057</v>
      </c>
      <c r="E3836" s="46" t="s">
        <v>1715</v>
      </c>
      <c r="F3836" s="48">
        <v>186.47</v>
      </c>
      <c r="G3836" s="46" t="s">
        <v>263</v>
      </c>
      <c r="H3836" s="46" t="s">
        <v>2411</v>
      </c>
      <c r="I3836" s="45" t="s">
        <v>205</v>
      </c>
      <c r="J3836" s="46" t="s">
        <v>127</v>
      </c>
      <c r="K3836" s="46" t="s">
        <v>127</v>
      </c>
      <c r="L3836" s="46" t="s">
        <v>15</v>
      </c>
      <c r="M3836" s="46" t="s">
        <v>13</v>
      </c>
      <c r="N3836" s="46" t="s">
        <v>14</v>
      </c>
      <c r="O3836" s="49" t="s">
        <v>814</v>
      </c>
      <c r="P3836" s="49" t="s">
        <v>4910</v>
      </c>
      <c r="Q3836" s="35" t="str">
        <f>MID(Tabla1[[#This Row],[Aplicación]],14,1)</f>
        <v>2</v>
      </c>
      <c r="R3836" s="35" t="s">
        <v>495</v>
      </c>
      <c r="S3836" s="35" t="str">
        <f>MID(Tabla1[[#This Row],[Aplicación]],6,2)</f>
        <v>11</v>
      </c>
      <c r="T3836" s="35" t="str">
        <f>VLOOKUP(Tabla1[[#This Row],[AREA]],Hoja1!A:B,2,FALSE)</f>
        <v>11. Salud pública y seguridad ciudadana</v>
      </c>
      <c r="U3836" s="35" t="str">
        <f>MID(Tabla1[[#This Row],[Aplicación]],9,4)</f>
        <v>1631</v>
      </c>
      <c r="V3836" s="35" t="str">
        <f>VLOOKUP(Tabla1[[#This Row],[PROGRAMA]],Hoja1!A:B,2,FALSE)</f>
        <v>1631. Limpieza viaria</v>
      </c>
      <c r="W3836" s="35" t="str">
        <f>MID(Tabla1[[#This Row],[Aplicación]],14,2)</f>
        <v>22</v>
      </c>
      <c r="X3836" s="35" t="str">
        <f>MID(Tabla1[[#This Row],[Aplicación]],14,6)</f>
        <v>22199</v>
      </c>
    </row>
    <row r="3837" spans="1:24" x14ac:dyDescent="0.25">
      <c r="A3837" s="45">
        <v>220210040176</v>
      </c>
      <c r="B3837" s="46" t="s">
        <v>204</v>
      </c>
      <c r="C3837" s="47">
        <v>44396</v>
      </c>
      <c r="D3837" s="45">
        <v>22021002449</v>
      </c>
      <c r="E3837" s="46" t="s">
        <v>1724</v>
      </c>
      <c r="F3837" s="48">
        <v>102.55</v>
      </c>
      <c r="G3837" s="46" t="s">
        <v>263</v>
      </c>
      <c r="H3837" s="46" t="s">
        <v>1725</v>
      </c>
      <c r="I3837" s="45" t="s">
        <v>205</v>
      </c>
      <c r="J3837" s="46" t="s">
        <v>127</v>
      </c>
      <c r="K3837" s="46" t="s">
        <v>127</v>
      </c>
      <c r="L3837" s="46" t="s">
        <v>15</v>
      </c>
      <c r="M3837" s="46" t="s">
        <v>13</v>
      </c>
      <c r="N3837" s="46" t="s">
        <v>14</v>
      </c>
      <c r="O3837" s="49" t="s">
        <v>814</v>
      </c>
      <c r="P3837" s="49" t="s">
        <v>4910</v>
      </c>
      <c r="Q3837" s="35" t="str">
        <f>MID(Tabla1[[#This Row],[Aplicación]],14,1)</f>
        <v>6</v>
      </c>
      <c r="R3837" s="35" t="s">
        <v>496</v>
      </c>
      <c r="S3837" s="35" t="str">
        <f>MID(Tabla1[[#This Row],[Aplicación]],6,2)</f>
        <v>07</v>
      </c>
      <c r="T3837" s="35" t="str">
        <f>VLOOKUP(Tabla1[[#This Row],[AREA]],Hoja1!A:B,2,FALSE)</f>
        <v>07. Medio ambiente y desarrollo sostenible</v>
      </c>
      <c r="U3837" s="35" t="str">
        <f>MID(Tabla1[[#This Row],[Aplicación]],9,4)</f>
        <v>1711</v>
      </c>
      <c r="V3837" s="35" t="str">
        <f>VLOOKUP(Tabla1[[#This Row],[PROGRAMA]],Hoja1!A:B,2,FALSE)</f>
        <v>1711. Parques y jardines</v>
      </c>
      <c r="W3837" s="35" t="str">
        <f>MID(Tabla1[[#This Row],[Aplicación]],14,2)</f>
        <v>61</v>
      </c>
      <c r="X3837" s="35" t="str">
        <f>MID(Tabla1[[#This Row],[Aplicación]],14,6)</f>
        <v>619</v>
      </c>
    </row>
    <row r="3838" spans="1:24" x14ac:dyDescent="0.25">
      <c r="A3838" s="45">
        <v>220210040182</v>
      </c>
      <c r="B3838" s="46" t="s">
        <v>204</v>
      </c>
      <c r="C3838" s="47">
        <v>44396</v>
      </c>
      <c r="D3838" s="45">
        <v>22021002088</v>
      </c>
      <c r="E3838" s="46" t="s">
        <v>1478</v>
      </c>
      <c r="F3838" s="48">
        <v>32.880000000000003</v>
      </c>
      <c r="G3838" s="46" t="s">
        <v>263</v>
      </c>
      <c r="H3838" s="46" t="s">
        <v>5427</v>
      </c>
      <c r="I3838" s="45" t="s">
        <v>205</v>
      </c>
      <c r="J3838" s="46" t="s">
        <v>127</v>
      </c>
      <c r="K3838" s="46" t="s">
        <v>127</v>
      </c>
      <c r="L3838" s="46" t="s">
        <v>15</v>
      </c>
      <c r="M3838" s="46" t="s">
        <v>13</v>
      </c>
      <c r="N3838" s="46" t="s">
        <v>16</v>
      </c>
      <c r="O3838" s="49" t="s">
        <v>814</v>
      </c>
      <c r="P3838" s="49" t="s">
        <v>4910</v>
      </c>
      <c r="Q3838" s="35" t="str">
        <f>MID(Tabla1[[#This Row],[Aplicación]],14,1)</f>
        <v>2</v>
      </c>
      <c r="R3838" s="35" t="s">
        <v>495</v>
      </c>
      <c r="S3838" s="35" t="str">
        <f>MID(Tabla1[[#This Row],[Aplicación]],6,2)</f>
        <v>03</v>
      </c>
      <c r="T3838" s="35" t="str">
        <f>VLOOKUP(Tabla1[[#This Row],[AREA]],Hoja1!A:B,2,FALSE)</f>
        <v>03. Participación ciudadana y deportes</v>
      </c>
      <c r="U3838" s="35" t="str">
        <f>MID(Tabla1[[#This Row],[Aplicación]],9,4)</f>
        <v>9241</v>
      </c>
      <c r="V3838" s="35" t="str">
        <f>VLOOKUP(Tabla1[[#This Row],[PROGRAMA]],Hoja1!A:B,2,FALSE)</f>
        <v>9241. Participación ciudadana</v>
      </c>
      <c r="W3838" s="35" t="str">
        <f>MID(Tabla1[[#This Row],[Aplicación]],14,2)</f>
        <v>21</v>
      </c>
      <c r="X3838" s="35" t="str">
        <f>MID(Tabla1[[#This Row],[Aplicación]],14,6)</f>
        <v>212</v>
      </c>
    </row>
    <row r="3839" spans="1:24" x14ac:dyDescent="0.25">
      <c r="A3839" s="45">
        <v>220210040166</v>
      </c>
      <c r="B3839" s="46" t="s">
        <v>204</v>
      </c>
      <c r="C3839" s="47">
        <v>44396</v>
      </c>
      <c r="D3839" s="45">
        <v>22021001039</v>
      </c>
      <c r="E3839" s="46" t="s">
        <v>844</v>
      </c>
      <c r="F3839" s="48">
        <v>30.18</v>
      </c>
      <c r="G3839" s="46" t="s">
        <v>263</v>
      </c>
      <c r="H3839" s="46" t="s">
        <v>5428</v>
      </c>
      <c r="I3839" s="45" t="s">
        <v>205</v>
      </c>
      <c r="J3839" s="46" t="s">
        <v>127</v>
      </c>
      <c r="K3839" s="46" t="s">
        <v>127</v>
      </c>
      <c r="L3839" s="46" t="s">
        <v>15</v>
      </c>
      <c r="M3839" s="46" t="s">
        <v>13</v>
      </c>
      <c r="N3839" s="46" t="s">
        <v>14</v>
      </c>
      <c r="O3839" s="49" t="s">
        <v>814</v>
      </c>
      <c r="P3839" s="49" t="s">
        <v>4910</v>
      </c>
      <c r="Q3839" s="35" t="str">
        <f>MID(Tabla1[[#This Row],[Aplicación]],14,1)</f>
        <v>2</v>
      </c>
      <c r="R3839" s="35" t="s">
        <v>495</v>
      </c>
      <c r="S3839" s="35" t="str">
        <f>MID(Tabla1[[#This Row],[Aplicación]],6,2)</f>
        <v>10</v>
      </c>
      <c r="T3839" s="35" t="str">
        <f>VLOOKUP(Tabla1[[#This Row],[AREA]],Hoja1!A:B,2,FALSE)</f>
        <v>10. Servicios sociales y mediación comunitaria</v>
      </c>
      <c r="U3839" s="35" t="str">
        <f>MID(Tabla1[[#This Row],[Aplicación]],9,4)</f>
        <v>2312</v>
      </c>
      <c r="V3839" s="35" t="str">
        <f>VLOOKUP(Tabla1[[#This Row],[PROGRAMA]],Hoja1!A:B,2,FALSE)</f>
        <v>2312. Iniciativas sociales</v>
      </c>
      <c r="W3839" s="35" t="str">
        <f>MID(Tabla1[[#This Row],[Aplicación]],14,2)</f>
        <v>21</v>
      </c>
      <c r="X3839" s="35" t="str">
        <f>MID(Tabla1[[#This Row],[Aplicación]],14,6)</f>
        <v>212</v>
      </c>
    </row>
    <row r="3840" spans="1:24" x14ac:dyDescent="0.25">
      <c r="A3840" s="45">
        <v>220210041751</v>
      </c>
      <c r="B3840" s="46" t="s">
        <v>204</v>
      </c>
      <c r="C3840" s="47">
        <v>44399</v>
      </c>
      <c r="D3840" s="45">
        <v>22021004276</v>
      </c>
      <c r="E3840" s="46" t="s">
        <v>1678</v>
      </c>
      <c r="F3840" s="48">
        <v>29.46</v>
      </c>
      <c r="G3840" s="46" t="s">
        <v>263</v>
      </c>
      <c r="H3840" s="46" t="s">
        <v>5429</v>
      </c>
      <c r="I3840" s="45" t="s">
        <v>205</v>
      </c>
      <c r="J3840" s="46" t="s">
        <v>127</v>
      </c>
      <c r="K3840" s="46" t="s">
        <v>127</v>
      </c>
      <c r="L3840" s="46" t="s">
        <v>15</v>
      </c>
      <c r="M3840" s="46" t="s">
        <v>13</v>
      </c>
      <c r="N3840" s="46" t="s">
        <v>14</v>
      </c>
      <c r="O3840" s="49" t="s">
        <v>814</v>
      </c>
      <c r="P3840" s="49" t="s">
        <v>4910</v>
      </c>
      <c r="Q3840" s="35" t="str">
        <f>MID(Tabla1[[#This Row],[Aplicación]],14,1)</f>
        <v>2</v>
      </c>
      <c r="R3840" s="35" t="s">
        <v>495</v>
      </c>
      <c r="S3840" s="35" t="str">
        <f>MID(Tabla1[[#This Row],[Aplicación]],6,2)</f>
        <v>09</v>
      </c>
      <c r="T3840" s="35" t="str">
        <f>VLOOKUP(Tabla1[[#This Row],[AREA]],Hoja1!A:B,2,FALSE)</f>
        <v>09. Cultura y turismo</v>
      </c>
      <c r="U3840" s="35" t="str">
        <f>MID(Tabla1[[#This Row],[Aplicación]],9,4)</f>
        <v>3341</v>
      </c>
      <c r="V3840" s="35" t="str">
        <f>VLOOKUP(Tabla1[[#This Row],[PROGRAMA]],Hoja1!A:B,2,FALSE)</f>
        <v>3341. Coordinación de políticas culturales</v>
      </c>
      <c r="W3840" s="35" t="str">
        <f>MID(Tabla1[[#This Row],[Aplicación]],14,2)</f>
        <v>21</v>
      </c>
      <c r="X3840" s="35" t="str">
        <f>MID(Tabla1[[#This Row],[Aplicación]],14,6)</f>
        <v>213</v>
      </c>
    </row>
    <row r="3841" spans="1:24" x14ac:dyDescent="0.25">
      <c r="A3841" s="45">
        <v>220210040906</v>
      </c>
      <c r="B3841" s="46" t="s">
        <v>204</v>
      </c>
      <c r="C3841" s="47">
        <v>44397</v>
      </c>
      <c r="D3841" s="45">
        <v>22021002369</v>
      </c>
      <c r="E3841" s="46" t="s">
        <v>1336</v>
      </c>
      <c r="F3841" s="48">
        <v>5.46</v>
      </c>
      <c r="G3841" s="46" t="s">
        <v>263</v>
      </c>
      <c r="H3841" s="46" t="s">
        <v>5430</v>
      </c>
      <c r="I3841" s="45" t="s">
        <v>205</v>
      </c>
      <c r="J3841" s="46" t="s">
        <v>127</v>
      </c>
      <c r="K3841" s="46" t="s">
        <v>127</v>
      </c>
      <c r="L3841" s="46" t="s">
        <v>15</v>
      </c>
      <c r="M3841" s="46" t="s">
        <v>13</v>
      </c>
      <c r="N3841" s="46" t="s">
        <v>14</v>
      </c>
      <c r="O3841" s="49" t="s">
        <v>814</v>
      </c>
      <c r="P3841" s="49" t="s">
        <v>4910</v>
      </c>
      <c r="Q3841" s="35" t="str">
        <f>MID(Tabla1[[#This Row],[Aplicación]],14,1)</f>
        <v>2</v>
      </c>
      <c r="R3841" s="35" t="s">
        <v>495</v>
      </c>
      <c r="S3841" s="35" t="str">
        <f>MID(Tabla1[[#This Row],[Aplicación]],6,2)</f>
        <v>02</v>
      </c>
      <c r="T3841" s="35" t="str">
        <f>VLOOKUP(Tabla1[[#This Row],[AREA]],Hoja1!A:B,2,FALSE)</f>
        <v>02. Planeamiento urbanístico y vivienda</v>
      </c>
      <c r="U3841" s="35" t="str">
        <f>MID(Tabla1[[#This Row],[Aplicación]],9,4)</f>
        <v>9332</v>
      </c>
      <c r="V3841" s="35" t="str">
        <f>VLOOKUP(Tabla1[[#This Row],[PROGRAMA]],Hoja1!A:B,2,FALSE)</f>
        <v>9332. Mantenimiento de edificios e instalaciones municipales</v>
      </c>
      <c r="W3841" s="35" t="str">
        <f>MID(Tabla1[[#This Row],[Aplicación]],14,2)</f>
        <v>21</v>
      </c>
      <c r="X3841" s="35" t="str">
        <f>MID(Tabla1[[#This Row],[Aplicación]],14,6)</f>
        <v>212</v>
      </c>
    </row>
    <row r="3842" spans="1:24" x14ac:dyDescent="0.25">
      <c r="A3842" s="45">
        <v>220210045147</v>
      </c>
      <c r="B3842" s="46" t="s">
        <v>204</v>
      </c>
      <c r="C3842" s="47">
        <v>44411</v>
      </c>
      <c r="D3842" s="45">
        <v>22021002449</v>
      </c>
      <c r="E3842" s="46" t="s">
        <v>1724</v>
      </c>
      <c r="F3842" s="48">
        <v>1235.69</v>
      </c>
      <c r="G3842" s="46" t="s">
        <v>263</v>
      </c>
      <c r="H3842" s="46" t="s">
        <v>1725</v>
      </c>
      <c r="I3842" s="45" t="s">
        <v>205</v>
      </c>
      <c r="J3842" s="46" t="s">
        <v>127</v>
      </c>
      <c r="K3842" s="46" t="s">
        <v>127</v>
      </c>
      <c r="L3842" s="46" t="s">
        <v>15</v>
      </c>
      <c r="M3842" s="46" t="s">
        <v>13</v>
      </c>
      <c r="N3842" s="46" t="s">
        <v>14</v>
      </c>
      <c r="O3842" s="49" t="s">
        <v>814</v>
      </c>
      <c r="P3842" s="49" t="s">
        <v>4910</v>
      </c>
      <c r="Q3842" s="35" t="str">
        <f>MID(Tabla1[[#This Row],[Aplicación]],14,1)</f>
        <v>6</v>
      </c>
      <c r="R3842" s="35" t="s">
        <v>496</v>
      </c>
      <c r="S3842" s="35" t="str">
        <f>MID(Tabla1[[#This Row],[Aplicación]],6,2)</f>
        <v>07</v>
      </c>
      <c r="T3842" s="35" t="str">
        <f>VLOOKUP(Tabla1[[#This Row],[AREA]],Hoja1!A:B,2,FALSE)</f>
        <v>07. Medio ambiente y desarrollo sostenible</v>
      </c>
      <c r="U3842" s="35" t="str">
        <f>MID(Tabla1[[#This Row],[Aplicación]],9,4)</f>
        <v>1711</v>
      </c>
      <c r="V3842" s="35" t="str">
        <f>VLOOKUP(Tabla1[[#This Row],[PROGRAMA]],Hoja1!A:B,2,FALSE)</f>
        <v>1711. Parques y jardines</v>
      </c>
      <c r="W3842" s="35" t="str">
        <f>MID(Tabla1[[#This Row],[Aplicación]],14,2)</f>
        <v>61</v>
      </c>
      <c r="X3842" s="35" t="str">
        <f>MID(Tabla1[[#This Row],[Aplicación]],14,6)</f>
        <v>619</v>
      </c>
    </row>
    <row r="3843" spans="1:24" x14ac:dyDescent="0.25">
      <c r="A3843" s="45">
        <v>220210045998</v>
      </c>
      <c r="B3843" s="46" t="s">
        <v>204</v>
      </c>
      <c r="C3843" s="47">
        <v>44418</v>
      </c>
      <c r="D3843" s="45">
        <v>22021002228</v>
      </c>
      <c r="E3843" s="46" t="s">
        <v>1471</v>
      </c>
      <c r="F3843" s="48">
        <v>146.65</v>
      </c>
      <c r="G3843" s="46" t="s">
        <v>263</v>
      </c>
      <c r="H3843" s="46" t="s">
        <v>5431</v>
      </c>
      <c r="I3843" s="45" t="s">
        <v>205</v>
      </c>
      <c r="J3843" s="46" t="s">
        <v>127</v>
      </c>
      <c r="K3843" s="46" t="s">
        <v>127</v>
      </c>
      <c r="L3843" s="46" t="s">
        <v>15</v>
      </c>
      <c r="M3843" s="46" t="s">
        <v>13</v>
      </c>
      <c r="N3843" s="46" t="s">
        <v>16</v>
      </c>
      <c r="O3843" s="49" t="s">
        <v>814</v>
      </c>
      <c r="P3843" s="49" t="s">
        <v>4910</v>
      </c>
      <c r="Q3843" s="35" t="str">
        <f>MID(Tabla1[[#This Row],[Aplicación]],14,1)</f>
        <v>2</v>
      </c>
      <c r="R3843" s="35" t="s">
        <v>495</v>
      </c>
      <c r="S3843" s="35" t="str">
        <f>MID(Tabla1[[#This Row],[Aplicación]],6,2)</f>
        <v>06</v>
      </c>
      <c r="T3843" s="35" t="str">
        <f>VLOOKUP(Tabla1[[#This Row],[AREA]],Hoja1!A:B,2,FALSE)</f>
        <v>06. Educación, infancia, juventud e igualdad</v>
      </c>
      <c r="U3843" s="35" t="str">
        <f>MID(Tabla1[[#This Row],[Aplicación]],9,4)</f>
        <v>3232</v>
      </c>
      <c r="V3843" s="35" t="str">
        <f>VLOOKUP(Tabla1[[#This Row],[PROGRAMA]],Hoja1!A:B,2,FALSE)</f>
        <v>3232. Conservación y mantenimiento centros educación infantil y primaria</v>
      </c>
      <c r="W3843" s="35" t="str">
        <f>MID(Tabla1[[#This Row],[Aplicación]],14,2)</f>
        <v>21</v>
      </c>
      <c r="X3843" s="35" t="str">
        <f>MID(Tabla1[[#This Row],[Aplicación]],14,6)</f>
        <v>212</v>
      </c>
    </row>
    <row r="3844" spans="1:24" x14ac:dyDescent="0.25">
      <c r="A3844" s="45">
        <v>220210045658</v>
      </c>
      <c r="B3844" s="46" t="s">
        <v>204</v>
      </c>
      <c r="C3844" s="47">
        <v>44414</v>
      </c>
      <c r="D3844" s="45">
        <v>22021002228</v>
      </c>
      <c r="E3844" s="46" t="s">
        <v>1471</v>
      </c>
      <c r="F3844" s="48">
        <v>18.600000000000001</v>
      </c>
      <c r="G3844" s="46" t="s">
        <v>263</v>
      </c>
      <c r="H3844" s="46" t="s">
        <v>5432</v>
      </c>
      <c r="I3844" s="45" t="s">
        <v>205</v>
      </c>
      <c r="J3844" s="46" t="s">
        <v>127</v>
      </c>
      <c r="K3844" s="46" t="s">
        <v>127</v>
      </c>
      <c r="L3844" s="46" t="s">
        <v>15</v>
      </c>
      <c r="M3844" s="46" t="s">
        <v>13</v>
      </c>
      <c r="N3844" s="46" t="s">
        <v>16</v>
      </c>
      <c r="O3844" s="49" t="s">
        <v>814</v>
      </c>
      <c r="P3844" s="49" t="s">
        <v>4910</v>
      </c>
      <c r="Q3844" s="35" t="str">
        <f>MID(Tabla1[[#This Row],[Aplicación]],14,1)</f>
        <v>2</v>
      </c>
      <c r="R3844" s="35" t="s">
        <v>495</v>
      </c>
      <c r="S3844" s="35" t="str">
        <f>MID(Tabla1[[#This Row],[Aplicación]],6,2)</f>
        <v>06</v>
      </c>
      <c r="T3844" s="35" t="str">
        <f>VLOOKUP(Tabla1[[#This Row],[AREA]],Hoja1!A:B,2,FALSE)</f>
        <v>06. Educación, infancia, juventud e igualdad</v>
      </c>
      <c r="U3844" s="35" t="str">
        <f>MID(Tabla1[[#This Row],[Aplicación]],9,4)</f>
        <v>3232</v>
      </c>
      <c r="V3844" s="35" t="str">
        <f>VLOOKUP(Tabla1[[#This Row],[PROGRAMA]],Hoja1!A:B,2,FALSE)</f>
        <v>3232. Conservación y mantenimiento centros educación infantil y primaria</v>
      </c>
      <c r="W3844" s="35" t="str">
        <f>MID(Tabla1[[#This Row],[Aplicación]],14,2)</f>
        <v>21</v>
      </c>
      <c r="X3844" s="35" t="str">
        <f>MID(Tabla1[[#This Row],[Aplicación]],14,6)</f>
        <v>212</v>
      </c>
    </row>
    <row r="3845" spans="1:24" x14ac:dyDescent="0.25">
      <c r="A3845" s="45">
        <v>220210051110</v>
      </c>
      <c r="B3845" s="46" t="s">
        <v>204</v>
      </c>
      <c r="C3845" s="47">
        <v>44448</v>
      </c>
      <c r="D3845" s="45">
        <v>22021002132</v>
      </c>
      <c r="E3845" s="46" t="s">
        <v>1180</v>
      </c>
      <c r="F3845" s="48">
        <v>611.11</v>
      </c>
      <c r="G3845" s="46" t="s">
        <v>263</v>
      </c>
      <c r="H3845" s="46" t="s">
        <v>5433</v>
      </c>
      <c r="I3845" s="45" t="s">
        <v>205</v>
      </c>
      <c r="J3845" s="46" t="s">
        <v>127</v>
      </c>
      <c r="K3845" s="46" t="s">
        <v>127</v>
      </c>
      <c r="L3845" s="46" t="s">
        <v>15</v>
      </c>
      <c r="M3845" s="46" t="s">
        <v>13</v>
      </c>
      <c r="N3845" s="46" t="s">
        <v>14</v>
      </c>
      <c r="O3845" s="49" t="s">
        <v>814</v>
      </c>
      <c r="P3845" s="49" t="s">
        <v>4910</v>
      </c>
      <c r="Q3845" s="35" t="str">
        <f>MID(Tabla1[[#This Row],[Aplicación]],14,1)</f>
        <v>2</v>
      </c>
      <c r="R3845" s="35" t="s">
        <v>495</v>
      </c>
      <c r="S3845" s="35" t="str">
        <f>MID(Tabla1[[#This Row],[Aplicación]],6,2)</f>
        <v>08</v>
      </c>
      <c r="T3845" s="35" t="str">
        <f>VLOOKUP(Tabla1[[#This Row],[AREA]],Hoja1!A:B,2,FALSE)</f>
        <v>08. Movilidad y espacio urbano</v>
      </c>
      <c r="U3845" s="35" t="str">
        <f>MID(Tabla1[[#This Row],[Aplicación]],9,4)</f>
        <v>1532</v>
      </c>
      <c r="V3845" s="35" t="str">
        <f>VLOOKUP(Tabla1[[#This Row],[PROGRAMA]],Hoja1!A:B,2,FALSE)</f>
        <v>1532. Pavimentación vias públicas y otros servicios urbanísticos</v>
      </c>
      <c r="W3845" s="35" t="str">
        <f>MID(Tabla1[[#This Row],[Aplicación]],14,2)</f>
        <v>21</v>
      </c>
      <c r="X3845" s="35" t="str">
        <f>MID(Tabla1[[#This Row],[Aplicación]],14,6)</f>
        <v>210</v>
      </c>
    </row>
    <row r="3846" spans="1:24" x14ac:dyDescent="0.25">
      <c r="A3846" s="45">
        <v>220210048799</v>
      </c>
      <c r="B3846" s="46" t="s">
        <v>204</v>
      </c>
      <c r="C3846" s="47">
        <v>44428</v>
      </c>
      <c r="D3846" s="45">
        <v>22021002057</v>
      </c>
      <c r="E3846" s="46" t="s">
        <v>1715</v>
      </c>
      <c r="F3846" s="48">
        <v>295.23</v>
      </c>
      <c r="G3846" s="46" t="s">
        <v>263</v>
      </c>
      <c r="H3846" s="46" t="s">
        <v>5434</v>
      </c>
      <c r="I3846" s="45" t="s">
        <v>205</v>
      </c>
      <c r="J3846" s="46" t="s">
        <v>127</v>
      </c>
      <c r="K3846" s="46" t="s">
        <v>127</v>
      </c>
      <c r="L3846" s="46" t="s">
        <v>15</v>
      </c>
      <c r="M3846" s="46" t="s">
        <v>13</v>
      </c>
      <c r="N3846" s="46" t="s">
        <v>14</v>
      </c>
      <c r="O3846" s="49" t="s">
        <v>814</v>
      </c>
      <c r="P3846" s="49" t="s">
        <v>4910</v>
      </c>
      <c r="Q3846" s="35" t="str">
        <f>MID(Tabla1[[#This Row],[Aplicación]],14,1)</f>
        <v>2</v>
      </c>
      <c r="R3846" s="35" t="s">
        <v>495</v>
      </c>
      <c r="S3846" s="35" t="str">
        <f>MID(Tabla1[[#This Row],[Aplicación]],6,2)</f>
        <v>11</v>
      </c>
      <c r="T3846" s="35" t="str">
        <f>VLOOKUP(Tabla1[[#This Row],[AREA]],Hoja1!A:B,2,FALSE)</f>
        <v>11. Salud pública y seguridad ciudadana</v>
      </c>
      <c r="U3846" s="35" t="str">
        <f>MID(Tabla1[[#This Row],[Aplicación]],9,4)</f>
        <v>1631</v>
      </c>
      <c r="V3846" s="35" t="str">
        <f>VLOOKUP(Tabla1[[#This Row],[PROGRAMA]],Hoja1!A:B,2,FALSE)</f>
        <v>1631. Limpieza viaria</v>
      </c>
      <c r="W3846" s="35" t="str">
        <f>MID(Tabla1[[#This Row],[Aplicación]],14,2)</f>
        <v>22</v>
      </c>
      <c r="X3846" s="35" t="str">
        <f>MID(Tabla1[[#This Row],[Aplicación]],14,6)</f>
        <v>22199</v>
      </c>
    </row>
    <row r="3847" spans="1:24" x14ac:dyDescent="0.25">
      <c r="A3847" s="45">
        <v>220210050579</v>
      </c>
      <c r="B3847" s="46" t="s">
        <v>204</v>
      </c>
      <c r="C3847" s="47">
        <v>44441</v>
      </c>
      <c r="D3847" s="45">
        <v>22021002143</v>
      </c>
      <c r="E3847" s="46" t="s">
        <v>1328</v>
      </c>
      <c r="F3847" s="48">
        <v>32.96</v>
      </c>
      <c r="G3847" s="46" t="s">
        <v>263</v>
      </c>
      <c r="H3847" s="46" t="s">
        <v>5435</v>
      </c>
      <c r="I3847" s="45" t="s">
        <v>205</v>
      </c>
      <c r="J3847" s="46" t="s">
        <v>127</v>
      </c>
      <c r="K3847" s="46" t="s">
        <v>127</v>
      </c>
      <c r="L3847" s="46" t="s">
        <v>15</v>
      </c>
      <c r="M3847" s="46" t="s">
        <v>13</v>
      </c>
      <c r="N3847" s="46" t="s">
        <v>14</v>
      </c>
      <c r="O3847" s="49" t="s">
        <v>814</v>
      </c>
      <c r="P3847" s="49" t="s">
        <v>4910</v>
      </c>
      <c r="Q3847" s="35" t="str">
        <f>MID(Tabla1[[#This Row],[Aplicación]],14,1)</f>
        <v>2</v>
      </c>
      <c r="R3847" s="35" t="s">
        <v>495</v>
      </c>
      <c r="S3847" s="35" t="str">
        <f>MID(Tabla1[[#This Row],[Aplicación]],6,2)</f>
        <v>10</v>
      </c>
      <c r="T3847" s="35" t="str">
        <f>VLOOKUP(Tabla1[[#This Row],[AREA]],Hoja1!A:B,2,FALSE)</f>
        <v>10. Servicios sociales y mediación comunitaria</v>
      </c>
      <c r="U3847" s="35" t="str">
        <f>MID(Tabla1[[#This Row],[Aplicación]],9,4)</f>
        <v>2311</v>
      </c>
      <c r="V3847" s="35" t="str">
        <f>VLOOKUP(Tabla1[[#This Row],[PROGRAMA]],Hoja1!A:B,2,FALSE)</f>
        <v>2311. Intervención social</v>
      </c>
      <c r="W3847" s="35" t="str">
        <f>MID(Tabla1[[#This Row],[Aplicación]],14,2)</f>
        <v>21</v>
      </c>
      <c r="X3847" s="35" t="str">
        <f>MID(Tabla1[[#This Row],[Aplicación]],14,6)</f>
        <v>212</v>
      </c>
    </row>
    <row r="3848" spans="1:24" x14ac:dyDescent="0.25">
      <c r="A3848" s="45">
        <v>220210050577</v>
      </c>
      <c r="B3848" s="46" t="s">
        <v>204</v>
      </c>
      <c r="C3848" s="47">
        <v>44441</v>
      </c>
      <c r="D3848" s="45">
        <v>22021002143</v>
      </c>
      <c r="E3848" s="46" t="s">
        <v>1328</v>
      </c>
      <c r="F3848" s="48">
        <v>21.16</v>
      </c>
      <c r="G3848" s="46" t="s">
        <v>263</v>
      </c>
      <c r="H3848" s="46" t="s">
        <v>5436</v>
      </c>
      <c r="I3848" s="45" t="s">
        <v>205</v>
      </c>
      <c r="J3848" s="46" t="s">
        <v>127</v>
      </c>
      <c r="K3848" s="46" t="s">
        <v>127</v>
      </c>
      <c r="L3848" s="46" t="s">
        <v>15</v>
      </c>
      <c r="M3848" s="46" t="s">
        <v>13</v>
      </c>
      <c r="N3848" s="46" t="s">
        <v>14</v>
      </c>
      <c r="O3848" s="49" t="s">
        <v>814</v>
      </c>
      <c r="P3848" s="49" t="s">
        <v>4910</v>
      </c>
      <c r="Q3848" s="35" t="str">
        <f>MID(Tabla1[[#This Row],[Aplicación]],14,1)</f>
        <v>2</v>
      </c>
      <c r="R3848" s="35" t="s">
        <v>495</v>
      </c>
      <c r="S3848" s="35" t="str">
        <f>MID(Tabla1[[#This Row],[Aplicación]],6,2)</f>
        <v>10</v>
      </c>
      <c r="T3848" s="35" t="str">
        <f>VLOOKUP(Tabla1[[#This Row],[AREA]],Hoja1!A:B,2,FALSE)</f>
        <v>10. Servicios sociales y mediación comunitaria</v>
      </c>
      <c r="U3848" s="35" t="str">
        <f>MID(Tabla1[[#This Row],[Aplicación]],9,4)</f>
        <v>2311</v>
      </c>
      <c r="V3848" s="35" t="str">
        <f>VLOOKUP(Tabla1[[#This Row],[PROGRAMA]],Hoja1!A:B,2,FALSE)</f>
        <v>2311. Intervención social</v>
      </c>
      <c r="W3848" s="35" t="str">
        <f>MID(Tabla1[[#This Row],[Aplicación]],14,2)</f>
        <v>21</v>
      </c>
      <c r="X3848" s="35" t="str">
        <f>MID(Tabla1[[#This Row],[Aplicación]],14,6)</f>
        <v>212</v>
      </c>
    </row>
    <row r="3849" spans="1:24" x14ac:dyDescent="0.25">
      <c r="A3849" s="45">
        <v>220210049779</v>
      </c>
      <c r="B3849" s="46" t="s">
        <v>204</v>
      </c>
      <c r="C3849" s="47">
        <v>44433</v>
      </c>
      <c r="D3849" s="45">
        <v>22021002225</v>
      </c>
      <c r="E3849" s="46" t="s">
        <v>1574</v>
      </c>
      <c r="F3849" s="48">
        <v>16.43</v>
      </c>
      <c r="G3849" s="46" t="s">
        <v>263</v>
      </c>
      <c r="H3849" s="46" t="s">
        <v>5437</v>
      </c>
      <c r="I3849" s="45" t="s">
        <v>205</v>
      </c>
      <c r="J3849" s="46" t="s">
        <v>127</v>
      </c>
      <c r="K3849" s="46" t="s">
        <v>127</v>
      </c>
      <c r="L3849" s="46" t="s">
        <v>15</v>
      </c>
      <c r="M3849" s="46" t="s">
        <v>13</v>
      </c>
      <c r="N3849" s="46" t="s">
        <v>16</v>
      </c>
      <c r="O3849" s="49" t="s">
        <v>814</v>
      </c>
      <c r="P3849" s="49" t="s">
        <v>4910</v>
      </c>
      <c r="Q3849" s="35" t="str">
        <f>MID(Tabla1[[#This Row],[Aplicación]],14,1)</f>
        <v>2</v>
      </c>
      <c r="R3849" s="35" t="s">
        <v>495</v>
      </c>
      <c r="S3849" s="35" t="str">
        <f>MID(Tabla1[[#This Row],[Aplicación]],6,2)</f>
        <v>06</v>
      </c>
      <c r="T3849" s="35" t="str">
        <f>VLOOKUP(Tabla1[[#This Row],[AREA]],Hoja1!A:B,2,FALSE)</f>
        <v>06. Educación, infancia, juventud e igualdad</v>
      </c>
      <c r="U3849" s="35" t="str">
        <f>MID(Tabla1[[#This Row],[Aplicación]],9,4)</f>
        <v>3231</v>
      </c>
      <c r="V3849" s="35" t="str">
        <f>VLOOKUP(Tabla1[[#This Row],[PROGRAMA]],Hoja1!A:B,2,FALSE)</f>
        <v>3231. Escuelas infantiles</v>
      </c>
      <c r="W3849" s="35" t="str">
        <f>MID(Tabla1[[#This Row],[Aplicación]],14,2)</f>
        <v>21</v>
      </c>
      <c r="X3849" s="35" t="str">
        <f>MID(Tabla1[[#This Row],[Aplicación]],14,6)</f>
        <v>212</v>
      </c>
    </row>
    <row r="3850" spans="1:24" x14ac:dyDescent="0.25">
      <c r="A3850" s="45">
        <v>220210049777</v>
      </c>
      <c r="B3850" s="46" t="s">
        <v>204</v>
      </c>
      <c r="C3850" s="47">
        <v>44433</v>
      </c>
      <c r="D3850" s="45">
        <v>22021002225</v>
      </c>
      <c r="E3850" s="46" t="s">
        <v>1574</v>
      </c>
      <c r="F3850" s="48">
        <v>7.85</v>
      </c>
      <c r="G3850" s="46" t="s">
        <v>263</v>
      </c>
      <c r="H3850" s="46" t="s">
        <v>5438</v>
      </c>
      <c r="I3850" s="45" t="s">
        <v>205</v>
      </c>
      <c r="J3850" s="46" t="s">
        <v>127</v>
      </c>
      <c r="K3850" s="46" t="s">
        <v>127</v>
      </c>
      <c r="L3850" s="46" t="s">
        <v>15</v>
      </c>
      <c r="M3850" s="46" t="s">
        <v>13</v>
      </c>
      <c r="N3850" s="46" t="s">
        <v>16</v>
      </c>
      <c r="O3850" s="49" t="s">
        <v>814</v>
      </c>
      <c r="P3850" s="49" t="s">
        <v>4910</v>
      </c>
      <c r="Q3850" s="35" t="str">
        <f>MID(Tabla1[[#This Row],[Aplicación]],14,1)</f>
        <v>2</v>
      </c>
      <c r="R3850" s="35" t="s">
        <v>495</v>
      </c>
      <c r="S3850" s="35" t="str">
        <f>MID(Tabla1[[#This Row],[Aplicación]],6,2)</f>
        <v>06</v>
      </c>
      <c r="T3850" s="35" t="str">
        <f>VLOOKUP(Tabla1[[#This Row],[AREA]],Hoja1!A:B,2,FALSE)</f>
        <v>06. Educación, infancia, juventud e igualdad</v>
      </c>
      <c r="U3850" s="35" t="str">
        <f>MID(Tabla1[[#This Row],[Aplicación]],9,4)</f>
        <v>3231</v>
      </c>
      <c r="V3850" s="35" t="str">
        <f>VLOOKUP(Tabla1[[#This Row],[PROGRAMA]],Hoja1!A:B,2,FALSE)</f>
        <v>3231. Escuelas infantiles</v>
      </c>
      <c r="W3850" s="35" t="str">
        <f>MID(Tabla1[[#This Row],[Aplicación]],14,2)</f>
        <v>21</v>
      </c>
      <c r="X3850" s="35" t="str">
        <f>MID(Tabla1[[#This Row],[Aplicación]],14,6)</f>
        <v>212</v>
      </c>
    </row>
    <row r="3851" spans="1:24" x14ac:dyDescent="0.25">
      <c r="A3851" s="45">
        <v>220210049794</v>
      </c>
      <c r="B3851" s="46" t="s">
        <v>204</v>
      </c>
      <c r="C3851" s="47">
        <v>44433</v>
      </c>
      <c r="D3851" s="45">
        <v>22021002228</v>
      </c>
      <c r="E3851" s="46" t="s">
        <v>1471</v>
      </c>
      <c r="F3851" s="48">
        <v>6.72</v>
      </c>
      <c r="G3851" s="46" t="s">
        <v>263</v>
      </c>
      <c r="H3851" s="46" t="s">
        <v>5439</v>
      </c>
      <c r="I3851" s="45" t="s">
        <v>205</v>
      </c>
      <c r="J3851" s="46" t="s">
        <v>127</v>
      </c>
      <c r="K3851" s="46" t="s">
        <v>127</v>
      </c>
      <c r="L3851" s="46" t="s">
        <v>15</v>
      </c>
      <c r="M3851" s="46" t="s">
        <v>13</v>
      </c>
      <c r="N3851" s="46" t="s">
        <v>16</v>
      </c>
      <c r="O3851" s="49" t="s">
        <v>814</v>
      </c>
      <c r="P3851" s="49" t="s">
        <v>4910</v>
      </c>
      <c r="Q3851" s="35" t="str">
        <f>MID(Tabla1[[#This Row],[Aplicación]],14,1)</f>
        <v>2</v>
      </c>
      <c r="R3851" s="35" t="s">
        <v>495</v>
      </c>
      <c r="S3851" s="35" t="str">
        <f>MID(Tabla1[[#This Row],[Aplicación]],6,2)</f>
        <v>06</v>
      </c>
      <c r="T3851" s="35" t="str">
        <f>VLOOKUP(Tabla1[[#This Row],[AREA]],Hoja1!A:B,2,FALSE)</f>
        <v>06. Educación, infancia, juventud e igualdad</v>
      </c>
      <c r="U3851" s="35" t="str">
        <f>MID(Tabla1[[#This Row],[Aplicación]],9,4)</f>
        <v>3232</v>
      </c>
      <c r="V3851" s="35" t="str">
        <f>VLOOKUP(Tabla1[[#This Row],[PROGRAMA]],Hoja1!A:B,2,FALSE)</f>
        <v>3232. Conservación y mantenimiento centros educación infantil y primaria</v>
      </c>
      <c r="W3851" s="35" t="str">
        <f>MID(Tabla1[[#This Row],[Aplicación]],14,2)</f>
        <v>21</v>
      </c>
      <c r="X3851" s="35" t="str">
        <f>MID(Tabla1[[#This Row],[Aplicación]],14,6)</f>
        <v>212</v>
      </c>
    </row>
    <row r="3852" spans="1:24" x14ac:dyDescent="0.25">
      <c r="A3852" s="45">
        <v>220210056280</v>
      </c>
      <c r="B3852" s="46" t="s">
        <v>9</v>
      </c>
      <c r="C3852" s="47">
        <v>44454</v>
      </c>
      <c r="D3852" s="45">
        <v>22021006073</v>
      </c>
      <c r="E3852" s="46" t="s">
        <v>1196</v>
      </c>
      <c r="F3852" s="48">
        <v>1143.21</v>
      </c>
      <c r="G3852" s="46" t="s">
        <v>2262</v>
      </c>
      <c r="H3852" s="46" t="s">
        <v>5440</v>
      </c>
      <c r="I3852" s="45" t="s">
        <v>125</v>
      </c>
      <c r="J3852" s="46" t="s">
        <v>127</v>
      </c>
      <c r="K3852" s="46" t="s">
        <v>127</v>
      </c>
      <c r="L3852" s="46" t="s">
        <v>12</v>
      </c>
      <c r="M3852" s="46" t="s">
        <v>13</v>
      </c>
      <c r="N3852" s="46" t="s">
        <v>14</v>
      </c>
      <c r="O3852" s="49" t="s">
        <v>803</v>
      </c>
      <c r="P3852" s="49" t="s">
        <v>4910</v>
      </c>
      <c r="Q3852" s="35" t="str">
        <f>MID(Tabla1[[#This Row],[Aplicación]],14,1)</f>
        <v>6</v>
      </c>
      <c r="R3852" s="35" t="s">
        <v>496</v>
      </c>
      <c r="S3852" s="35" t="str">
        <f>MID(Tabla1[[#This Row],[Aplicación]],6,2)</f>
        <v>08</v>
      </c>
      <c r="T3852" s="35" t="str">
        <f>VLOOKUP(Tabla1[[#This Row],[AREA]],Hoja1!A:B,2,FALSE)</f>
        <v>08. Movilidad y espacio urbano</v>
      </c>
      <c r="U3852" s="35" t="str">
        <f>MID(Tabla1[[#This Row],[Aplicación]],9,4)</f>
        <v>1341</v>
      </c>
      <c r="V3852" s="35" t="str">
        <f>VLOOKUP(Tabla1[[#This Row],[PROGRAMA]],Hoja1!A:B,2,FALSE)</f>
        <v>1341. Movilidad</v>
      </c>
      <c r="W3852" s="35" t="str">
        <f>MID(Tabla1[[#This Row],[Aplicación]],14,2)</f>
        <v>61</v>
      </c>
      <c r="X3852" s="35" t="str">
        <f>MID(Tabla1[[#This Row],[Aplicación]],14,6)</f>
        <v>619</v>
      </c>
    </row>
    <row r="3853" spans="1:24" x14ac:dyDescent="0.25">
      <c r="A3853" s="45">
        <v>220210036842</v>
      </c>
      <c r="B3853" s="46" t="s">
        <v>9</v>
      </c>
      <c r="C3853" s="47">
        <v>44389</v>
      </c>
      <c r="D3853" s="45">
        <v>22021005549</v>
      </c>
      <c r="E3853" s="46" t="s">
        <v>1471</v>
      </c>
      <c r="F3853" s="48">
        <v>1790.8</v>
      </c>
      <c r="G3853" s="46" t="s">
        <v>5441</v>
      </c>
      <c r="H3853" s="46" t="s">
        <v>5442</v>
      </c>
      <c r="I3853" s="45" t="s">
        <v>125</v>
      </c>
      <c r="J3853" s="46" t="s">
        <v>127</v>
      </c>
      <c r="K3853" s="46" t="s">
        <v>127</v>
      </c>
      <c r="L3853" s="46" t="s">
        <v>31</v>
      </c>
      <c r="M3853" s="46" t="s">
        <v>10</v>
      </c>
      <c r="N3853" s="46" t="s">
        <v>11</v>
      </c>
      <c r="O3853" s="49" t="s">
        <v>815</v>
      </c>
      <c r="P3853" s="49" t="s">
        <v>4910</v>
      </c>
      <c r="Q3853" s="35" t="str">
        <f>MID(Tabla1[[#This Row],[Aplicación]],14,1)</f>
        <v>2</v>
      </c>
      <c r="R3853" s="35" t="s">
        <v>495</v>
      </c>
      <c r="S3853" s="35" t="str">
        <f>MID(Tabla1[[#This Row],[Aplicación]],6,2)</f>
        <v>06</v>
      </c>
      <c r="T3853" s="35" t="str">
        <f>VLOOKUP(Tabla1[[#This Row],[AREA]],Hoja1!A:B,2,FALSE)</f>
        <v>06. Educación, infancia, juventud e igualdad</v>
      </c>
      <c r="U3853" s="35" t="str">
        <f>MID(Tabla1[[#This Row],[Aplicación]],9,4)</f>
        <v>3232</v>
      </c>
      <c r="V3853" s="35" t="str">
        <f>VLOOKUP(Tabla1[[#This Row],[PROGRAMA]],Hoja1!A:B,2,FALSE)</f>
        <v>3232. Conservación y mantenimiento centros educación infantil y primaria</v>
      </c>
      <c r="W3853" s="35" t="str">
        <f>MID(Tabla1[[#This Row],[Aplicación]],14,2)</f>
        <v>21</v>
      </c>
      <c r="X3853" s="35" t="str">
        <f>MID(Tabla1[[#This Row],[Aplicación]],14,6)</f>
        <v>212</v>
      </c>
    </row>
    <row r="3854" spans="1:24" x14ac:dyDescent="0.25">
      <c r="A3854" s="45">
        <v>220210044266</v>
      </c>
      <c r="B3854" s="46" t="s">
        <v>9</v>
      </c>
      <c r="C3854" s="47">
        <v>44406</v>
      </c>
      <c r="D3854" s="45">
        <v>22021005870</v>
      </c>
      <c r="E3854" s="46" t="s">
        <v>886</v>
      </c>
      <c r="F3854" s="48">
        <v>211.75</v>
      </c>
      <c r="G3854" s="46" t="s">
        <v>4533</v>
      </c>
      <c r="H3854" s="46" t="s">
        <v>5443</v>
      </c>
      <c r="I3854" s="45" t="s">
        <v>125</v>
      </c>
      <c r="J3854" s="46" t="s">
        <v>127</v>
      </c>
      <c r="K3854" s="46" t="s">
        <v>127</v>
      </c>
      <c r="L3854" s="46" t="s">
        <v>12</v>
      </c>
      <c r="M3854" s="46" t="s">
        <v>10</v>
      </c>
      <c r="N3854" s="46" t="s">
        <v>11</v>
      </c>
      <c r="O3854" s="49" t="s">
        <v>815</v>
      </c>
      <c r="P3854" s="49" t="s">
        <v>4910</v>
      </c>
      <c r="Q3854" s="35" t="str">
        <f>MID(Tabla1[[#This Row],[Aplicación]],14,1)</f>
        <v>2</v>
      </c>
      <c r="R3854" s="35" t="s">
        <v>495</v>
      </c>
      <c r="S3854" s="35" t="str">
        <f>MID(Tabla1[[#This Row],[Aplicación]],6,2)</f>
        <v>10</v>
      </c>
      <c r="T3854" s="35" t="str">
        <f>VLOOKUP(Tabla1[[#This Row],[AREA]],Hoja1!A:B,2,FALSE)</f>
        <v>10. Servicios sociales y mediación comunitaria</v>
      </c>
      <c r="U3854" s="35" t="str">
        <f>MID(Tabla1[[#This Row],[Aplicación]],9,4)</f>
        <v>2311</v>
      </c>
      <c r="V3854" s="35" t="str">
        <f>VLOOKUP(Tabla1[[#This Row],[PROGRAMA]],Hoja1!A:B,2,FALSE)</f>
        <v>2311. Intervención social</v>
      </c>
      <c r="W3854" s="35" t="str">
        <f>MID(Tabla1[[#This Row],[Aplicación]],14,2)</f>
        <v>21</v>
      </c>
      <c r="X3854" s="35" t="str">
        <f>MID(Tabla1[[#This Row],[Aplicación]],14,6)</f>
        <v>213</v>
      </c>
    </row>
    <row r="3855" spans="1:24" x14ac:dyDescent="0.25">
      <c r="A3855" s="45">
        <v>220210038351</v>
      </c>
      <c r="B3855" s="46" t="s">
        <v>9</v>
      </c>
      <c r="C3855" s="47">
        <v>44392</v>
      </c>
      <c r="D3855" s="45">
        <v>22021005469</v>
      </c>
      <c r="E3855" s="46" t="s">
        <v>886</v>
      </c>
      <c r="F3855" s="48">
        <v>145.19999999999999</v>
      </c>
      <c r="G3855" s="46" t="s">
        <v>4533</v>
      </c>
      <c r="H3855" s="46" t="s">
        <v>5444</v>
      </c>
      <c r="I3855" s="45" t="s">
        <v>125</v>
      </c>
      <c r="J3855" s="46" t="s">
        <v>127</v>
      </c>
      <c r="K3855" s="46" t="s">
        <v>127</v>
      </c>
      <c r="L3855" s="46" t="s">
        <v>12</v>
      </c>
      <c r="M3855" s="46" t="s">
        <v>10</v>
      </c>
      <c r="N3855" s="46" t="s">
        <v>11</v>
      </c>
      <c r="O3855" s="49" t="s">
        <v>815</v>
      </c>
      <c r="P3855" s="49" t="s">
        <v>4910</v>
      </c>
      <c r="Q3855" s="35" t="str">
        <f>MID(Tabla1[[#This Row],[Aplicación]],14,1)</f>
        <v>2</v>
      </c>
      <c r="R3855" s="35" t="s">
        <v>495</v>
      </c>
      <c r="S3855" s="35" t="str">
        <f>MID(Tabla1[[#This Row],[Aplicación]],6,2)</f>
        <v>10</v>
      </c>
      <c r="T3855" s="35" t="str">
        <f>VLOOKUP(Tabla1[[#This Row],[AREA]],Hoja1!A:B,2,FALSE)</f>
        <v>10. Servicios sociales y mediación comunitaria</v>
      </c>
      <c r="U3855" s="35" t="str">
        <f>MID(Tabla1[[#This Row],[Aplicación]],9,4)</f>
        <v>2311</v>
      </c>
      <c r="V3855" s="35" t="str">
        <f>VLOOKUP(Tabla1[[#This Row],[PROGRAMA]],Hoja1!A:B,2,FALSE)</f>
        <v>2311. Intervención social</v>
      </c>
      <c r="W3855" s="35" t="str">
        <f>MID(Tabla1[[#This Row],[Aplicación]],14,2)</f>
        <v>21</v>
      </c>
      <c r="X3855" s="35" t="str">
        <f>MID(Tabla1[[#This Row],[Aplicación]],14,6)</f>
        <v>213</v>
      </c>
    </row>
    <row r="3856" spans="1:24" x14ac:dyDescent="0.25">
      <c r="A3856" s="45">
        <v>220210041573</v>
      </c>
      <c r="B3856" s="46" t="s">
        <v>9</v>
      </c>
      <c r="C3856" s="47">
        <v>44398</v>
      </c>
      <c r="D3856" s="45">
        <v>22021005815</v>
      </c>
      <c r="E3856" s="46" t="s">
        <v>2382</v>
      </c>
      <c r="F3856" s="48">
        <v>159.34</v>
      </c>
      <c r="G3856" s="46" t="s">
        <v>294</v>
      </c>
      <c r="H3856" s="46" t="s">
        <v>5445</v>
      </c>
      <c r="I3856" s="45" t="s">
        <v>125</v>
      </c>
      <c r="J3856" s="46" t="s">
        <v>127</v>
      </c>
      <c r="K3856" s="46" t="s">
        <v>127</v>
      </c>
      <c r="L3856" s="46" t="s">
        <v>17</v>
      </c>
      <c r="M3856" s="46" t="s">
        <v>10</v>
      </c>
      <c r="N3856" s="46" t="s">
        <v>11</v>
      </c>
      <c r="O3856" s="49" t="s">
        <v>815</v>
      </c>
      <c r="P3856" s="49" t="s">
        <v>4910</v>
      </c>
      <c r="Q3856" s="35" t="str">
        <f>MID(Tabla1[[#This Row],[Aplicación]],14,1)</f>
        <v>2</v>
      </c>
      <c r="R3856" s="35" t="s">
        <v>495</v>
      </c>
      <c r="S3856" s="35" t="str">
        <f>MID(Tabla1[[#This Row],[Aplicación]],6,2)</f>
        <v>04</v>
      </c>
      <c r="T3856" s="35" t="str">
        <f>VLOOKUP(Tabla1[[#This Row],[AREA]],Hoja1!A:B,2,FALSE)</f>
        <v>04. Planificación y recursos</v>
      </c>
      <c r="U3856" s="35" t="str">
        <f>MID(Tabla1[[#This Row],[Aplicación]],9,4)</f>
        <v>9341</v>
      </c>
      <c r="V3856" s="35" t="str">
        <f>VLOOKUP(Tabla1[[#This Row],[PROGRAMA]],Hoja1!A:B,2,FALSE)</f>
        <v>9341. Tesorería y recaudación</v>
      </c>
      <c r="W3856" s="35" t="str">
        <f>MID(Tabla1[[#This Row],[Aplicación]],14,2)</f>
        <v>22</v>
      </c>
      <c r="X3856" s="35" t="str">
        <f>MID(Tabla1[[#This Row],[Aplicación]],14,6)</f>
        <v>22699</v>
      </c>
    </row>
    <row r="3857" spans="1:24" x14ac:dyDescent="0.25">
      <c r="A3857" s="45">
        <v>220210045556</v>
      </c>
      <c r="B3857" s="46" t="s">
        <v>9</v>
      </c>
      <c r="C3857" s="47">
        <v>44414</v>
      </c>
      <c r="D3857" s="45">
        <v>22021005995</v>
      </c>
      <c r="E3857" s="46" t="s">
        <v>1380</v>
      </c>
      <c r="F3857" s="48">
        <v>140.36000000000001</v>
      </c>
      <c r="G3857" s="46" t="s">
        <v>294</v>
      </c>
      <c r="H3857" s="46" t="s">
        <v>5446</v>
      </c>
      <c r="I3857" s="45" t="s">
        <v>125</v>
      </c>
      <c r="J3857" s="46" t="s">
        <v>127</v>
      </c>
      <c r="K3857" s="46" t="s">
        <v>127</v>
      </c>
      <c r="L3857" s="46" t="s">
        <v>15</v>
      </c>
      <c r="M3857" s="46" t="s">
        <v>10</v>
      </c>
      <c r="N3857" s="46" t="s">
        <v>11</v>
      </c>
      <c r="O3857" s="49" t="s">
        <v>815</v>
      </c>
      <c r="P3857" s="49" t="s">
        <v>4910</v>
      </c>
      <c r="Q3857" s="35" t="str">
        <f>MID(Tabla1[[#This Row],[Aplicación]],14,1)</f>
        <v>2</v>
      </c>
      <c r="R3857" s="35" t="s">
        <v>495</v>
      </c>
      <c r="S3857" s="35" t="str">
        <f>MID(Tabla1[[#This Row],[Aplicación]],6,2)</f>
        <v>03</v>
      </c>
      <c r="T3857" s="35" t="str">
        <f>VLOOKUP(Tabla1[[#This Row],[AREA]],Hoja1!A:B,2,FALSE)</f>
        <v>03. Participación ciudadana y deportes</v>
      </c>
      <c r="U3857" s="35" t="str">
        <f>MID(Tabla1[[#This Row],[Aplicación]],9,4)</f>
        <v>9241</v>
      </c>
      <c r="V3857" s="35" t="str">
        <f>VLOOKUP(Tabla1[[#This Row],[PROGRAMA]],Hoja1!A:B,2,FALSE)</f>
        <v>9241. Participación ciudadana</v>
      </c>
      <c r="W3857" s="35" t="str">
        <f>MID(Tabla1[[#This Row],[Aplicación]],14,2)</f>
        <v>22</v>
      </c>
      <c r="X3857" s="35" t="str">
        <f>MID(Tabla1[[#This Row],[Aplicación]],14,6)</f>
        <v>22699</v>
      </c>
    </row>
    <row r="3858" spans="1:24" x14ac:dyDescent="0.25">
      <c r="A3858" s="45">
        <v>220210044966</v>
      </c>
      <c r="B3858" s="46" t="s">
        <v>9</v>
      </c>
      <c r="C3858" s="47">
        <v>44411</v>
      </c>
      <c r="D3858" s="45">
        <v>22021005924</v>
      </c>
      <c r="E3858" s="46" t="s">
        <v>2414</v>
      </c>
      <c r="F3858" s="48">
        <v>280.7</v>
      </c>
      <c r="G3858" s="46" t="s">
        <v>294</v>
      </c>
      <c r="H3858" s="46" t="s">
        <v>5447</v>
      </c>
      <c r="I3858" s="45" t="s">
        <v>125</v>
      </c>
      <c r="J3858" s="46" t="s">
        <v>127</v>
      </c>
      <c r="K3858" s="46" t="s">
        <v>127</v>
      </c>
      <c r="L3858" s="46" t="s">
        <v>15</v>
      </c>
      <c r="M3858" s="46" t="s">
        <v>10</v>
      </c>
      <c r="N3858" s="46" t="s">
        <v>11</v>
      </c>
      <c r="O3858" s="49" t="s">
        <v>815</v>
      </c>
      <c r="P3858" s="49" t="s">
        <v>4910</v>
      </c>
      <c r="Q3858" s="35" t="str">
        <f>MID(Tabla1[[#This Row],[Aplicación]],14,1)</f>
        <v>2</v>
      </c>
      <c r="R3858" s="35" t="s">
        <v>495</v>
      </c>
      <c r="S3858" s="35" t="str">
        <f>MID(Tabla1[[#This Row],[Aplicación]],6,2)</f>
        <v>10</v>
      </c>
      <c r="T3858" s="35" t="str">
        <f>VLOOKUP(Tabla1[[#This Row],[AREA]],Hoja1!A:B,2,FALSE)</f>
        <v>10. Servicios sociales y mediación comunitaria</v>
      </c>
      <c r="U3858" s="35" t="str">
        <f>MID(Tabla1[[#This Row],[Aplicación]],9,4)</f>
        <v>2311</v>
      </c>
      <c r="V3858" s="35" t="str">
        <f>VLOOKUP(Tabla1[[#This Row],[PROGRAMA]],Hoja1!A:B,2,FALSE)</f>
        <v>2311. Intervención social</v>
      </c>
      <c r="W3858" s="35" t="str">
        <f>MID(Tabla1[[#This Row],[Aplicación]],14,2)</f>
        <v>22</v>
      </c>
      <c r="X3858" s="35" t="str">
        <f>MID(Tabla1[[#This Row],[Aplicación]],14,6)</f>
        <v>22199</v>
      </c>
    </row>
    <row r="3859" spans="1:24" x14ac:dyDescent="0.25">
      <c r="A3859" s="45">
        <v>220210045557</v>
      </c>
      <c r="B3859" s="46" t="s">
        <v>9</v>
      </c>
      <c r="C3859" s="47">
        <v>44414</v>
      </c>
      <c r="D3859" s="45">
        <v>22021005996</v>
      </c>
      <c r="E3859" s="46" t="s">
        <v>1380</v>
      </c>
      <c r="F3859" s="48">
        <v>424.92</v>
      </c>
      <c r="G3859" s="46" t="s">
        <v>294</v>
      </c>
      <c r="H3859" s="46" t="s">
        <v>5448</v>
      </c>
      <c r="I3859" s="45" t="s">
        <v>125</v>
      </c>
      <c r="J3859" s="46" t="s">
        <v>127</v>
      </c>
      <c r="K3859" s="46" t="s">
        <v>127</v>
      </c>
      <c r="L3859" s="46" t="s">
        <v>15</v>
      </c>
      <c r="M3859" s="46" t="s">
        <v>10</v>
      </c>
      <c r="N3859" s="46" t="s">
        <v>11</v>
      </c>
      <c r="O3859" s="49" t="s">
        <v>815</v>
      </c>
      <c r="P3859" s="49" t="s">
        <v>4910</v>
      </c>
      <c r="Q3859" s="35" t="str">
        <f>MID(Tabla1[[#This Row],[Aplicación]],14,1)</f>
        <v>2</v>
      </c>
      <c r="R3859" s="35" t="s">
        <v>495</v>
      </c>
      <c r="S3859" s="35" t="str">
        <f>MID(Tabla1[[#This Row],[Aplicación]],6,2)</f>
        <v>03</v>
      </c>
      <c r="T3859" s="35" t="str">
        <f>VLOOKUP(Tabla1[[#This Row],[AREA]],Hoja1!A:B,2,FALSE)</f>
        <v>03. Participación ciudadana y deportes</v>
      </c>
      <c r="U3859" s="35" t="str">
        <f>MID(Tabla1[[#This Row],[Aplicación]],9,4)</f>
        <v>9241</v>
      </c>
      <c r="V3859" s="35" t="str">
        <f>VLOOKUP(Tabla1[[#This Row],[PROGRAMA]],Hoja1!A:B,2,FALSE)</f>
        <v>9241. Participación ciudadana</v>
      </c>
      <c r="W3859" s="35" t="str">
        <f>MID(Tabla1[[#This Row],[Aplicación]],14,2)</f>
        <v>22</v>
      </c>
      <c r="X3859" s="35" t="str">
        <f>MID(Tabla1[[#This Row],[Aplicación]],14,6)</f>
        <v>22699</v>
      </c>
    </row>
    <row r="3860" spans="1:24" x14ac:dyDescent="0.25">
      <c r="A3860" s="45">
        <v>220210050894</v>
      </c>
      <c r="B3860" s="46" t="s">
        <v>9</v>
      </c>
      <c r="C3860" s="47">
        <v>44442</v>
      </c>
      <c r="D3860" s="45">
        <v>22021006327</v>
      </c>
      <c r="E3860" s="46" t="s">
        <v>1392</v>
      </c>
      <c r="F3860" s="48">
        <v>1100.58</v>
      </c>
      <c r="G3860" s="46" t="s">
        <v>222</v>
      </c>
      <c r="H3860" s="46" t="s">
        <v>5449</v>
      </c>
      <c r="I3860" s="45" t="s">
        <v>125</v>
      </c>
      <c r="J3860" s="46" t="s">
        <v>127</v>
      </c>
      <c r="K3860" s="46" t="s">
        <v>127</v>
      </c>
      <c r="L3860" s="46" t="s">
        <v>12</v>
      </c>
      <c r="M3860" s="46" t="s">
        <v>10</v>
      </c>
      <c r="N3860" s="46" t="s">
        <v>11</v>
      </c>
      <c r="O3860" s="49" t="s">
        <v>815</v>
      </c>
      <c r="P3860" s="49" t="s">
        <v>4910</v>
      </c>
      <c r="Q3860" s="35" t="str">
        <f>MID(Tabla1[[#This Row],[Aplicación]],14,1)</f>
        <v>2</v>
      </c>
      <c r="R3860" s="35" t="s">
        <v>495</v>
      </c>
      <c r="S3860" s="35" t="str">
        <f>MID(Tabla1[[#This Row],[Aplicación]],6,2)</f>
        <v>08</v>
      </c>
      <c r="T3860" s="35" t="str">
        <f>VLOOKUP(Tabla1[[#This Row],[AREA]],Hoja1!A:B,2,FALSE)</f>
        <v>08. Movilidad y espacio urbano</v>
      </c>
      <c r="U3860" s="35" t="str">
        <f>MID(Tabla1[[#This Row],[Aplicación]],9,4)</f>
        <v>1532</v>
      </c>
      <c r="V3860" s="35" t="str">
        <f>VLOOKUP(Tabla1[[#This Row],[PROGRAMA]],Hoja1!A:B,2,FALSE)</f>
        <v>1532. Pavimentación vias públicas y otros servicios urbanísticos</v>
      </c>
      <c r="W3860" s="35" t="str">
        <f>MID(Tabla1[[#This Row],[Aplicación]],14,2)</f>
        <v>21</v>
      </c>
      <c r="X3860" s="35" t="str">
        <f>MID(Tabla1[[#This Row],[Aplicación]],14,6)</f>
        <v>214</v>
      </c>
    </row>
    <row r="3861" spans="1:24" x14ac:dyDescent="0.25">
      <c r="A3861" s="45">
        <v>220210040943</v>
      </c>
      <c r="B3861" s="46" t="s">
        <v>204</v>
      </c>
      <c r="C3861" s="47">
        <v>44397</v>
      </c>
      <c r="D3861" s="45">
        <v>22021004322</v>
      </c>
      <c r="E3861" s="46" t="s">
        <v>1724</v>
      </c>
      <c r="F3861" s="48">
        <v>1683</v>
      </c>
      <c r="G3861" s="46" t="s">
        <v>746</v>
      </c>
      <c r="H3861" s="46" t="s">
        <v>5450</v>
      </c>
      <c r="I3861" s="45" t="s">
        <v>205</v>
      </c>
      <c r="J3861" s="46" t="s">
        <v>747</v>
      </c>
      <c r="K3861" s="46" t="s">
        <v>127</v>
      </c>
      <c r="L3861" s="46" t="s">
        <v>15</v>
      </c>
      <c r="M3861" s="46" t="s">
        <v>13</v>
      </c>
      <c r="N3861" s="46" t="s">
        <v>14</v>
      </c>
      <c r="O3861" s="49" t="s">
        <v>814</v>
      </c>
      <c r="P3861" s="49" t="s">
        <v>4910</v>
      </c>
      <c r="Q3861" s="35" t="str">
        <f>MID(Tabla1[[#This Row],[Aplicación]],14,1)</f>
        <v>6</v>
      </c>
      <c r="R3861" s="35" t="s">
        <v>496</v>
      </c>
      <c r="S3861" s="35" t="str">
        <f>MID(Tabla1[[#This Row],[Aplicación]],6,2)</f>
        <v>07</v>
      </c>
      <c r="T3861" s="35" t="str">
        <f>VLOOKUP(Tabla1[[#This Row],[AREA]],Hoja1!A:B,2,FALSE)</f>
        <v>07. Medio ambiente y desarrollo sostenible</v>
      </c>
      <c r="U3861" s="35" t="str">
        <f>MID(Tabla1[[#This Row],[Aplicación]],9,4)</f>
        <v>1711</v>
      </c>
      <c r="V3861" s="35" t="str">
        <f>VLOOKUP(Tabla1[[#This Row],[PROGRAMA]],Hoja1!A:B,2,FALSE)</f>
        <v>1711. Parques y jardines</v>
      </c>
      <c r="W3861" s="35" t="str">
        <f>MID(Tabla1[[#This Row],[Aplicación]],14,2)</f>
        <v>61</v>
      </c>
      <c r="X3861" s="35" t="str">
        <f>MID(Tabla1[[#This Row],[Aplicación]],14,6)</f>
        <v>619</v>
      </c>
    </row>
    <row r="3862" spans="1:24" x14ac:dyDescent="0.25">
      <c r="A3862" s="45">
        <v>220210036380</v>
      </c>
      <c r="B3862" s="46" t="s">
        <v>204</v>
      </c>
      <c r="C3862" s="47">
        <v>44384</v>
      </c>
      <c r="D3862" s="45">
        <v>22021001275</v>
      </c>
      <c r="E3862" s="46" t="s">
        <v>1334</v>
      </c>
      <c r="F3862" s="48">
        <v>1440.2</v>
      </c>
      <c r="G3862" s="46" t="s">
        <v>746</v>
      </c>
      <c r="H3862" s="46" t="s">
        <v>1417</v>
      </c>
      <c r="I3862" s="45" t="s">
        <v>205</v>
      </c>
      <c r="J3862" s="46" t="s">
        <v>747</v>
      </c>
      <c r="K3862" s="46" t="s">
        <v>127</v>
      </c>
      <c r="L3862" s="46" t="s">
        <v>15</v>
      </c>
      <c r="M3862" s="46" t="s">
        <v>13</v>
      </c>
      <c r="N3862" s="46" t="s">
        <v>14</v>
      </c>
      <c r="O3862" s="49" t="s">
        <v>814</v>
      </c>
      <c r="P3862" s="49" t="s">
        <v>4910</v>
      </c>
      <c r="Q3862" s="35" t="str">
        <f>MID(Tabla1[[#This Row],[Aplicación]],14,1)</f>
        <v>2</v>
      </c>
      <c r="R3862" s="35" t="s">
        <v>495</v>
      </c>
      <c r="S3862" s="35" t="str">
        <f>MID(Tabla1[[#This Row],[Aplicación]],6,2)</f>
        <v>07</v>
      </c>
      <c r="T3862" s="35" t="str">
        <f>VLOOKUP(Tabla1[[#This Row],[AREA]],Hoja1!A:B,2,FALSE)</f>
        <v>07. Medio ambiente y desarrollo sostenible</v>
      </c>
      <c r="U3862" s="35" t="str">
        <f>MID(Tabla1[[#This Row],[Aplicación]],9,4)</f>
        <v>1711</v>
      </c>
      <c r="V3862" s="35" t="str">
        <f>VLOOKUP(Tabla1[[#This Row],[PROGRAMA]],Hoja1!A:B,2,FALSE)</f>
        <v>1711. Parques y jardines</v>
      </c>
      <c r="W3862" s="35" t="str">
        <f>MID(Tabla1[[#This Row],[Aplicación]],14,2)</f>
        <v>22</v>
      </c>
      <c r="X3862" s="35" t="str">
        <f>MID(Tabla1[[#This Row],[Aplicación]],14,6)</f>
        <v>22199</v>
      </c>
    </row>
    <row r="3863" spans="1:24" x14ac:dyDescent="0.25">
      <c r="A3863" s="45">
        <v>220210036437</v>
      </c>
      <c r="B3863" s="46" t="s">
        <v>204</v>
      </c>
      <c r="C3863" s="47">
        <v>44384</v>
      </c>
      <c r="D3863" s="45">
        <v>22021004322</v>
      </c>
      <c r="E3863" s="46" t="s">
        <v>1724</v>
      </c>
      <c r="F3863" s="48">
        <v>1427.25</v>
      </c>
      <c r="G3863" s="46" t="s">
        <v>746</v>
      </c>
      <c r="H3863" s="46" t="s">
        <v>5451</v>
      </c>
      <c r="I3863" s="45" t="s">
        <v>205</v>
      </c>
      <c r="J3863" s="46" t="s">
        <v>747</v>
      </c>
      <c r="K3863" s="46" t="s">
        <v>127</v>
      </c>
      <c r="L3863" s="46" t="s">
        <v>15</v>
      </c>
      <c r="M3863" s="46" t="s">
        <v>13</v>
      </c>
      <c r="N3863" s="46" t="s">
        <v>14</v>
      </c>
      <c r="O3863" s="49" t="s">
        <v>814</v>
      </c>
      <c r="P3863" s="49" t="s">
        <v>4910</v>
      </c>
      <c r="Q3863" s="35" t="str">
        <f>MID(Tabla1[[#This Row],[Aplicación]],14,1)</f>
        <v>6</v>
      </c>
      <c r="R3863" s="35" t="s">
        <v>496</v>
      </c>
      <c r="S3863" s="35" t="str">
        <f>MID(Tabla1[[#This Row],[Aplicación]],6,2)</f>
        <v>07</v>
      </c>
      <c r="T3863" s="35" t="str">
        <f>VLOOKUP(Tabla1[[#This Row],[AREA]],Hoja1!A:B,2,FALSE)</f>
        <v>07. Medio ambiente y desarrollo sostenible</v>
      </c>
      <c r="U3863" s="35" t="str">
        <f>MID(Tabla1[[#This Row],[Aplicación]],9,4)</f>
        <v>1711</v>
      </c>
      <c r="V3863" s="35" t="str">
        <f>VLOOKUP(Tabla1[[#This Row],[PROGRAMA]],Hoja1!A:B,2,FALSE)</f>
        <v>1711. Parques y jardines</v>
      </c>
      <c r="W3863" s="35" t="str">
        <f>MID(Tabla1[[#This Row],[Aplicación]],14,2)</f>
        <v>61</v>
      </c>
      <c r="X3863" s="35" t="str">
        <f>MID(Tabla1[[#This Row],[Aplicación]],14,6)</f>
        <v>619</v>
      </c>
    </row>
    <row r="3864" spans="1:24" x14ac:dyDescent="0.25">
      <c r="A3864" s="45">
        <v>220210039691</v>
      </c>
      <c r="B3864" s="46" t="s">
        <v>9</v>
      </c>
      <c r="C3864" s="47">
        <v>44393</v>
      </c>
      <c r="D3864" s="45">
        <v>22021005734</v>
      </c>
      <c r="E3864" s="46" t="s">
        <v>823</v>
      </c>
      <c r="F3864" s="48">
        <v>300</v>
      </c>
      <c r="G3864" s="46" t="s">
        <v>5452</v>
      </c>
      <c r="H3864" s="46" t="s">
        <v>5453</v>
      </c>
      <c r="I3864" s="45" t="s">
        <v>125</v>
      </c>
      <c r="J3864" s="46" t="s">
        <v>5454</v>
      </c>
      <c r="K3864" s="46" t="s">
        <v>165</v>
      </c>
      <c r="L3864" s="46" t="s">
        <v>12</v>
      </c>
      <c r="M3864" s="46" t="s">
        <v>10</v>
      </c>
      <c r="N3864" s="46" t="s">
        <v>11</v>
      </c>
      <c r="O3864" s="49" t="s">
        <v>815</v>
      </c>
      <c r="P3864" s="49" t="s">
        <v>4910</v>
      </c>
      <c r="Q3864" s="35" t="str">
        <f>MID(Tabla1[[#This Row],[Aplicación]],14,1)</f>
        <v>2</v>
      </c>
      <c r="R3864" s="35" t="s">
        <v>495</v>
      </c>
      <c r="S3864" s="35" t="str">
        <f>MID(Tabla1[[#This Row],[Aplicación]],6,2)</f>
        <v>03</v>
      </c>
      <c r="T3864" s="35" t="str">
        <f>VLOOKUP(Tabla1[[#This Row],[AREA]],Hoja1!A:B,2,FALSE)</f>
        <v>03. Participación ciudadana y deportes</v>
      </c>
      <c r="U3864" s="35" t="str">
        <f>MID(Tabla1[[#This Row],[Aplicación]],9,4)</f>
        <v>9241</v>
      </c>
      <c r="V3864" s="35" t="str">
        <f>VLOOKUP(Tabla1[[#This Row],[PROGRAMA]],Hoja1!A:B,2,FALSE)</f>
        <v>9241. Participación ciudadana</v>
      </c>
      <c r="W3864" s="35" t="str">
        <f>MID(Tabla1[[#This Row],[Aplicación]],14,2)</f>
        <v>22</v>
      </c>
      <c r="X3864" s="35" t="str">
        <f>MID(Tabla1[[#This Row],[Aplicación]],14,6)</f>
        <v>22609</v>
      </c>
    </row>
    <row r="3865" spans="1:24" x14ac:dyDescent="0.25">
      <c r="A3865" s="45">
        <v>220210039684</v>
      </c>
      <c r="B3865" s="46" t="s">
        <v>9</v>
      </c>
      <c r="C3865" s="47">
        <v>44393</v>
      </c>
      <c r="D3865" s="45">
        <v>22021005713</v>
      </c>
      <c r="E3865" s="46" t="s">
        <v>842</v>
      </c>
      <c r="F3865" s="48">
        <v>6000</v>
      </c>
      <c r="G3865" s="46" t="s">
        <v>1903</v>
      </c>
      <c r="H3865" s="46" t="s">
        <v>5455</v>
      </c>
      <c r="I3865" s="45" t="s">
        <v>125</v>
      </c>
      <c r="J3865" s="46" t="s">
        <v>127</v>
      </c>
      <c r="K3865" s="46" t="s">
        <v>127</v>
      </c>
      <c r="L3865" s="46" t="s">
        <v>12</v>
      </c>
      <c r="M3865" s="46" t="s">
        <v>10</v>
      </c>
      <c r="N3865" s="46" t="s">
        <v>11</v>
      </c>
      <c r="O3865" s="49" t="s">
        <v>815</v>
      </c>
      <c r="P3865" s="49" t="s">
        <v>4910</v>
      </c>
      <c r="Q3865" s="35" t="str">
        <f>MID(Tabla1[[#This Row],[Aplicación]],14,1)</f>
        <v>2</v>
      </c>
      <c r="R3865" s="35" t="s">
        <v>495</v>
      </c>
      <c r="S3865" s="35" t="str">
        <f>MID(Tabla1[[#This Row],[Aplicación]],6,2)</f>
        <v>06</v>
      </c>
      <c r="T3865" s="35" t="str">
        <f>VLOOKUP(Tabla1[[#This Row],[AREA]],Hoja1!A:B,2,FALSE)</f>
        <v>06. Educación, infancia, juventud e igualdad</v>
      </c>
      <c r="U3865" s="35" t="str">
        <f>MID(Tabla1[[#This Row],[Aplicación]],9,4)</f>
        <v>3261</v>
      </c>
      <c r="V3865" s="35" t="str">
        <f>VLOOKUP(Tabla1[[#This Row],[PROGRAMA]],Hoja1!A:B,2,FALSE)</f>
        <v>3261. Servicios complementarios de educación</v>
      </c>
      <c r="W3865" s="35" t="str">
        <f>MID(Tabla1[[#This Row],[Aplicación]],14,2)</f>
        <v>22</v>
      </c>
      <c r="X3865" s="35" t="str">
        <f>MID(Tabla1[[#This Row],[Aplicación]],14,6)</f>
        <v>22799</v>
      </c>
    </row>
    <row r="3866" spans="1:24" x14ac:dyDescent="0.25">
      <c r="A3866" s="45">
        <v>220210045371</v>
      </c>
      <c r="B3866" s="46" t="s">
        <v>9</v>
      </c>
      <c r="C3866" s="47">
        <v>44413</v>
      </c>
      <c r="D3866" s="45">
        <v>22021006011</v>
      </c>
      <c r="E3866" s="46" t="s">
        <v>1247</v>
      </c>
      <c r="F3866" s="48">
        <v>4000</v>
      </c>
      <c r="G3866" s="46" t="s">
        <v>1903</v>
      </c>
      <c r="H3866" s="46" t="s">
        <v>5456</v>
      </c>
      <c r="I3866" s="45" t="s">
        <v>125</v>
      </c>
      <c r="J3866" s="46" t="s">
        <v>127</v>
      </c>
      <c r="K3866" s="46" t="s">
        <v>127</v>
      </c>
      <c r="L3866" s="46" t="s">
        <v>12</v>
      </c>
      <c r="M3866" s="46" t="s">
        <v>10</v>
      </c>
      <c r="N3866" s="46" t="s">
        <v>11</v>
      </c>
      <c r="O3866" s="49" t="s">
        <v>815</v>
      </c>
      <c r="P3866" s="49" t="s">
        <v>4910</v>
      </c>
      <c r="Q3866" s="35" t="str">
        <f>MID(Tabla1[[#This Row],[Aplicación]],14,1)</f>
        <v>2</v>
      </c>
      <c r="R3866" s="35" t="s">
        <v>495</v>
      </c>
      <c r="S3866" s="35" t="str">
        <f>MID(Tabla1[[#This Row],[Aplicación]],6,2)</f>
        <v>10</v>
      </c>
      <c r="T3866" s="35" t="str">
        <f>VLOOKUP(Tabla1[[#This Row],[AREA]],Hoja1!A:B,2,FALSE)</f>
        <v>10. Servicios sociales y mediación comunitaria</v>
      </c>
      <c r="U3866" s="35" t="str">
        <f>MID(Tabla1[[#This Row],[Aplicación]],9,4)</f>
        <v>2311</v>
      </c>
      <c r="V3866" s="35" t="str">
        <f>VLOOKUP(Tabla1[[#This Row],[PROGRAMA]],Hoja1!A:B,2,FALSE)</f>
        <v>2311. Intervención social</v>
      </c>
      <c r="W3866" s="35" t="str">
        <f>MID(Tabla1[[#This Row],[Aplicación]],14,2)</f>
        <v>22</v>
      </c>
      <c r="X3866" s="35" t="str">
        <f>MID(Tabla1[[#This Row],[Aplicación]],14,6)</f>
        <v>22799</v>
      </c>
    </row>
    <row r="3867" spans="1:24" x14ac:dyDescent="0.25">
      <c r="A3867" s="45">
        <v>220210045981</v>
      </c>
      <c r="B3867" s="46" t="s">
        <v>9</v>
      </c>
      <c r="C3867" s="47">
        <v>44418</v>
      </c>
      <c r="D3867" s="45">
        <v>22021006018</v>
      </c>
      <c r="E3867" s="46" t="s">
        <v>3347</v>
      </c>
      <c r="F3867" s="48">
        <v>6000</v>
      </c>
      <c r="G3867" s="46" t="s">
        <v>1903</v>
      </c>
      <c r="H3867" s="46" t="s">
        <v>5457</v>
      </c>
      <c r="I3867" s="45" t="s">
        <v>125</v>
      </c>
      <c r="J3867" s="46" t="s">
        <v>127</v>
      </c>
      <c r="K3867" s="46" t="s">
        <v>127</v>
      </c>
      <c r="L3867" s="46" t="s">
        <v>12</v>
      </c>
      <c r="M3867" s="46" t="s">
        <v>10</v>
      </c>
      <c r="N3867" s="46" t="s">
        <v>11</v>
      </c>
      <c r="O3867" s="49" t="s">
        <v>815</v>
      </c>
      <c r="P3867" s="49" t="s">
        <v>4910</v>
      </c>
      <c r="Q3867" s="35" t="str">
        <f>MID(Tabla1[[#This Row],[Aplicación]],14,1)</f>
        <v>2</v>
      </c>
      <c r="R3867" s="35" t="s">
        <v>495</v>
      </c>
      <c r="S3867" s="35" t="str">
        <f>MID(Tabla1[[#This Row],[Aplicación]],6,2)</f>
        <v>06</v>
      </c>
      <c r="T3867" s="35" t="str">
        <f>VLOOKUP(Tabla1[[#This Row],[AREA]],Hoja1!A:B,2,FALSE)</f>
        <v>06. Educación, infancia, juventud e igualdad</v>
      </c>
      <c r="U3867" s="35" t="str">
        <f>MID(Tabla1[[#This Row],[Aplicación]],9,4)</f>
        <v>2315</v>
      </c>
      <c r="V3867" s="35" t="str">
        <f>VLOOKUP(Tabla1[[#This Row],[PROGRAMA]],Hoja1!A:B,2,FALSE)</f>
        <v>2315. Políticas de Igualdad e infancia</v>
      </c>
      <c r="W3867" s="35" t="str">
        <f>MID(Tabla1[[#This Row],[Aplicación]],14,2)</f>
        <v>22</v>
      </c>
      <c r="X3867" s="35" t="str">
        <f>MID(Tabla1[[#This Row],[Aplicación]],14,6)</f>
        <v>22614</v>
      </c>
    </row>
    <row r="3868" spans="1:24" x14ac:dyDescent="0.25">
      <c r="A3868" s="45">
        <v>220210038350</v>
      </c>
      <c r="B3868" s="46" t="s">
        <v>9</v>
      </c>
      <c r="C3868" s="47">
        <v>44392</v>
      </c>
      <c r="D3868" s="45">
        <v>22021005468</v>
      </c>
      <c r="E3868" s="46" t="s">
        <v>3333</v>
      </c>
      <c r="F3868" s="48">
        <v>732.77</v>
      </c>
      <c r="G3868" s="46" t="s">
        <v>5458</v>
      </c>
      <c r="H3868" s="46" t="s">
        <v>5459</v>
      </c>
      <c r="I3868" s="45" t="s">
        <v>125</v>
      </c>
      <c r="J3868" s="46" t="s">
        <v>127</v>
      </c>
      <c r="K3868" s="46" t="s">
        <v>127</v>
      </c>
      <c r="L3868" s="46" t="s">
        <v>15</v>
      </c>
      <c r="M3868" s="46" t="s">
        <v>10</v>
      </c>
      <c r="N3868" s="46" t="s">
        <v>11</v>
      </c>
      <c r="O3868" s="49" t="s">
        <v>815</v>
      </c>
      <c r="P3868" s="49" t="s">
        <v>4910</v>
      </c>
      <c r="Q3868" s="35" t="str">
        <f>MID(Tabla1[[#This Row],[Aplicación]],14,1)</f>
        <v>2</v>
      </c>
      <c r="R3868" s="35" t="s">
        <v>495</v>
      </c>
      <c r="S3868" s="35" t="str">
        <f>MID(Tabla1[[#This Row],[Aplicación]],6,2)</f>
        <v>10</v>
      </c>
      <c r="T3868" s="35" t="str">
        <f>VLOOKUP(Tabla1[[#This Row],[AREA]],Hoja1!A:B,2,FALSE)</f>
        <v>10. Servicios sociales y mediación comunitaria</v>
      </c>
      <c r="U3868" s="35" t="str">
        <f>MID(Tabla1[[#This Row],[Aplicación]],9,4)</f>
        <v>2316</v>
      </c>
      <c r="V3868" s="35" t="str">
        <f>VLOOKUP(Tabla1[[#This Row],[PROGRAMA]],Hoja1!A:B,2,FALSE)</f>
        <v>2316. Mediación comunitaria</v>
      </c>
      <c r="W3868" s="35" t="str">
        <f>MID(Tabla1[[#This Row],[Aplicación]],14,2)</f>
        <v>22</v>
      </c>
      <c r="X3868" s="35" t="str">
        <f>MID(Tabla1[[#This Row],[Aplicación]],14,6)</f>
        <v>22616</v>
      </c>
    </row>
    <row r="3869" spans="1:24" x14ac:dyDescent="0.25">
      <c r="A3869" s="45">
        <v>220210049717</v>
      </c>
      <c r="B3869" s="46" t="s">
        <v>9</v>
      </c>
      <c r="C3869" s="47">
        <v>44433</v>
      </c>
      <c r="D3869" s="45">
        <v>22021006191</v>
      </c>
      <c r="E3869" s="46" t="s">
        <v>1326</v>
      </c>
      <c r="F3869" s="48">
        <v>1097.94</v>
      </c>
      <c r="G3869" s="46" t="s">
        <v>87</v>
      </c>
      <c r="H3869" s="46" t="s">
        <v>5460</v>
      </c>
      <c r="I3869" s="45" t="s">
        <v>125</v>
      </c>
      <c r="J3869" s="46" t="s">
        <v>127</v>
      </c>
      <c r="K3869" s="46" t="s">
        <v>127</v>
      </c>
      <c r="L3869" s="46" t="s">
        <v>15</v>
      </c>
      <c r="M3869" s="46" t="s">
        <v>10</v>
      </c>
      <c r="N3869" s="46" t="s">
        <v>11</v>
      </c>
      <c r="O3869" s="49" t="s">
        <v>815</v>
      </c>
      <c r="P3869" s="49" t="s">
        <v>4910</v>
      </c>
      <c r="Q3869" s="35" t="str">
        <f>MID(Tabla1[[#This Row],[Aplicación]],14,1)</f>
        <v>2</v>
      </c>
      <c r="R3869" s="35" t="s">
        <v>495</v>
      </c>
      <c r="S3869" s="35" t="str">
        <f>MID(Tabla1[[#This Row],[Aplicación]],6,2)</f>
        <v>08</v>
      </c>
      <c r="T3869" s="35" t="str">
        <f>VLOOKUP(Tabla1[[#This Row],[AREA]],Hoja1!A:B,2,FALSE)</f>
        <v>08. Movilidad y espacio urbano</v>
      </c>
      <c r="U3869" s="35" t="str">
        <f>MID(Tabla1[[#This Row],[Aplicación]],9,4)</f>
        <v>1651</v>
      </c>
      <c r="V3869" s="35" t="str">
        <f>VLOOKUP(Tabla1[[#This Row],[PROGRAMA]],Hoja1!A:B,2,FALSE)</f>
        <v>1651. Alumbrado público</v>
      </c>
      <c r="W3869" s="35" t="str">
        <f>MID(Tabla1[[#This Row],[Aplicación]],14,2)</f>
        <v>22</v>
      </c>
      <c r="X3869" s="35" t="str">
        <f>MID(Tabla1[[#This Row],[Aplicación]],14,6)</f>
        <v>22199</v>
      </c>
    </row>
    <row r="3870" spans="1:24" x14ac:dyDescent="0.25">
      <c r="A3870" s="45">
        <v>220210036338</v>
      </c>
      <c r="B3870" s="46" t="s">
        <v>32</v>
      </c>
      <c r="C3870" s="47">
        <v>44384</v>
      </c>
      <c r="D3870" s="45">
        <v>22021005152</v>
      </c>
      <c r="E3870" s="46" t="s">
        <v>1660</v>
      </c>
      <c r="F3870" s="48">
        <v>2595.6</v>
      </c>
      <c r="G3870" s="46" t="s">
        <v>318</v>
      </c>
      <c r="H3870" s="46" t="s">
        <v>5461</v>
      </c>
      <c r="I3870" s="45" t="s">
        <v>234</v>
      </c>
      <c r="J3870" s="46" t="s">
        <v>127</v>
      </c>
      <c r="K3870" s="46" t="s">
        <v>127</v>
      </c>
      <c r="L3870" s="46" t="s">
        <v>12</v>
      </c>
      <c r="M3870" s="46" t="s">
        <v>10</v>
      </c>
      <c r="N3870" s="46" t="s">
        <v>11</v>
      </c>
      <c r="O3870" s="49" t="s">
        <v>815</v>
      </c>
      <c r="P3870" s="49" t="s">
        <v>4910</v>
      </c>
      <c r="Q3870" s="35" t="str">
        <f>MID(Tabla1[[#This Row],[Aplicación]],14,1)</f>
        <v>2</v>
      </c>
      <c r="R3870" s="35" t="s">
        <v>495</v>
      </c>
      <c r="S3870" s="35" t="str">
        <f>MID(Tabla1[[#This Row],[Aplicación]],6,2)</f>
        <v>04</v>
      </c>
      <c r="T3870" s="35" t="str">
        <f>VLOOKUP(Tabla1[[#This Row],[AREA]],Hoja1!A:B,2,FALSE)</f>
        <v>04. Planificación y recursos</v>
      </c>
      <c r="U3870" s="35" t="str">
        <f>MID(Tabla1[[#This Row],[Aplicación]],9,4)</f>
        <v>9202</v>
      </c>
      <c r="V3870" s="35" t="str">
        <f>VLOOKUP(Tabla1[[#This Row],[PROGRAMA]],Hoja1!A:B,2,FALSE)</f>
        <v>9202. Gestión de recursos humanos</v>
      </c>
      <c r="W3870" s="35" t="str">
        <f>MID(Tabla1[[#This Row],[Aplicación]],14,2)</f>
        <v>22</v>
      </c>
      <c r="X3870" s="35" t="str">
        <f>MID(Tabla1[[#This Row],[Aplicación]],14,6)</f>
        <v>22607</v>
      </c>
    </row>
    <row r="3871" spans="1:24" x14ac:dyDescent="0.25">
      <c r="A3871" s="45">
        <v>220210044969</v>
      </c>
      <c r="B3871" s="46" t="s">
        <v>9</v>
      </c>
      <c r="C3871" s="47">
        <v>44411</v>
      </c>
      <c r="D3871" s="45">
        <v>22021005957</v>
      </c>
      <c r="E3871" s="46" t="s">
        <v>3333</v>
      </c>
      <c r="F3871" s="48">
        <v>150</v>
      </c>
      <c r="G3871" s="46" t="s">
        <v>5462</v>
      </c>
      <c r="H3871" s="46" t="s">
        <v>5463</v>
      </c>
      <c r="I3871" s="45" t="s">
        <v>125</v>
      </c>
      <c r="J3871" s="46" t="s">
        <v>127</v>
      </c>
      <c r="K3871" s="46" t="s">
        <v>127</v>
      </c>
      <c r="L3871" s="46" t="s">
        <v>12</v>
      </c>
      <c r="M3871" s="46" t="s">
        <v>10</v>
      </c>
      <c r="N3871" s="46" t="s">
        <v>11</v>
      </c>
      <c r="O3871" s="49" t="s">
        <v>815</v>
      </c>
      <c r="P3871" s="49" t="s">
        <v>4910</v>
      </c>
      <c r="Q3871" s="35" t="str">
        <f>MID(Tabla1[[#This Row],[Aplicación]],14,1)</f>
        <v>2</v>
      </c>
      <c r="R3871" s="35" t="s">
        <v>495</v>
      </c>
      <c r="S3871" s="35" t="str">
        <f>MID(Tabla1[[#This Row],[Aplicación]],6,2)</f>
        <v>10</v>
      </c>
      <c r="T3871" s="35" t="str">
        <f>VLOOKUP(Tabla1[[#This Row],[AREA]],Hoja1!A:B,2,FALSE)</f>
        <v>10. Servicios sociales y mediación comunitaria</v>
      </c>
      <c r="U3871" s="35" t="str">
        <f>MID(Tabla1[[#This Row],[Aplicación]],9,4)</f>
        <v>2316</v>
      </c>
      <c r="V3871" s="35" t="str">
        <f>VLOOKUP(Tabla1[[#This Row],[PROGRAMA]],Hoja1!A:B,2,FALSE)</f>
        <v>2316. Mediación comunitaria</v>
      </c>
      <c r="W3871" s="35" t="str">
        <f>MID(Tabla1[[#This Row],[Aplicación]],14,2)</f>
        <v>22</v>
      </c>
      <c r="X3871" s="35" t="str">
        <f>MID(Tabla1[[#This Row],[Aplicación]],14,6)</f>
        <v>22616</v>
      </c>
    </row>
    <row r="3872" spans="1:24" x14ac:dyDescent="0.25">
      <c r="A3872" s="45">
        <v>220210045542</v>
      </c>
      <c r="B3872" s="46" t="s">
        <v>9</v>
      </c>
      <c r="C3872" s="47">
        <v>44414</v>
      </c>
      <c r="D3872" s="45">
        <v>22021000182</v>
      </c>
      <c r="E3872" s="46" t="s">
        <v>1775</v>
      </c>
      <c r="F3872" s="48">
        <v>2238.69</v>
      </c>
      <c r="G3872" s="46" t="s">
        <v>44</v>
      </c>
      <c r="H3872" s="46" t="s">
        <v>5464</v>
      </c>
      <c r="I3872" s="45" t="s">
        <v>125</v>
      </c>
      <c r="J3872" s="46" t="s">
        <v>146</v>
      </c>
      <c r="K3872" s="46" t="s">
        <v>146</v>
      </c>
      <c r="L3872" s="46" t="s">
        <v>15</v>
      </c>
      <c r="M3872" s="46" t="s">
        <v>13</v>
      </c>
      <c r="N3872" s="46" t="s">
        <v>14</v>
      </c>
      <c r="O3872" s="49" t="s">
        <v>803</v>
      </c>
      <c r="P3872" s="49" t="s">
        <v>4910</v>
      </c>
      <c r="Q3872" s="35" t="str">
        <f>MID(Tabla1[[#This Row],[Aplicación]],14,1)</f>
        <v>2</v>
      </c>
      <c r="R3872" s="35" t="s">
        <v>495</v>
      </c>
      <c r="S3872" s="35" t="str">
        <f>MID(Tabla1[[#This Row],[Aplicación]],6,2)</f>
        <v>11</v>
      </c>
      <c r="T3872" s="35" t="str">
        <f>VLOOKUP(Tabla1[[#This Row],[AREA]],Hoja1!A:B,2,FALSE)</f>
        <v>11. Salud pública y seguridad ciudadana</v>
      </c>
      <c r="U3872" s="35" t="str">
        <f>MID(Tabla1[[#This Row],[Aplicación]],9,4)</f>
        <v>1361</v>
      </c>
      <c r="V3872" s="35" t="str">
        <f>VLOOKUP(Tabla1[[#This Row],[PROGRAMA]],Hoja1!A:B,2,FALSE)</f>
        <v>1361. Prevención y extinción de incencios</v>
      </c>
      <c r="W3872" s="35" t="str">
        <f>MID(Tabla1[[#This Row],[Aplicación]],14,2)</f>
        <v>22</v>
      </c>
      <c r="X3872" s="35" t="str">
        <f>MID(Tabla1[[#This Row],[Aplicación]],14,6)</f>
        <v>22102</v>
      </c>
    </row>
    <row r="3873" spans="1:24" x14ac:dyDescent="0.25">
      <c r="A3873" s="45">
        <v>220210037257</v>
      </c>
      <c r="B3873" s="46" t="s">
        <v>9</v>
      </c>
      <c r="C3873" s="47">
        <v>44391</v>
      </c>
      <c r="D3873" s="45">
        <v>22021005400</v>
      </c>
      <c r="E3873" s="46" t="s">
        <v>3333</v>
      </c>
      <c r="F3873" s="48">
        <v>247.5</v>
      </c>
      <c r="G3873" s="46" t="s">
        <v>5465</v>
      </c>
      <c r="H3873" s="46" t="s">
        <v>5466</v>
      </c>
      <c r="I3873" s="45" t="s">
        <v>125</v>
      </c>
      <c r="J3873" s="46" t="s">
        <v>127</v>
      </c>
      <c r="K3873" s="46" t="s">
        <v>127</v>
      </c>
      <c r="L3873" s="46" t="s">
        <v>12</v>
      </c>
      <c r="M3873" s="46" t="s">
        <v>10</v>
      </c>
      <c r="N3873" s="46" t="s">
        <v>11</v>
      </c>
      <c r="O3873" s="49" t="s">
        <v>815</v>
      </c>
      <c r="P3873" s="49" t="s">
        <v>4910</v>
      </c>
      <c r="Q3873" s="35" t="str">
        <f>MID(Tabla1[[#This Row],[Aplicación]],14,1)</f>
        <v>2</v>
      </c>
      <c r="R3873" s="35" t="s">
        <v>495</v>
      </c>
      <c r="S3873" s="35" t="str">
        <f>MID(Tabla1[[#This Row],[Aplicación]],6,2)</f>
        <v>10</v>
      </c>
      <c r="T3873" s="35" t="str">
        <f>VLOOKUP(Tabla1[[#This Row],[AREA]],Hoja1!A:B,2,FALSE)</f>
        <v>10. Servicios sociales y mediación comunitaria</v>
      </c>
      <c r="U3873" s="35" t="str">
        <f>MID(Tabla1[[#This Row],[Aplicación]],9,4)</f>
        <v>2316</v>
      </c>
      <c r="V3873" s="35" t="str">
        <f>VLOOKUP(Tabla1[[#This Row],[PROGRAMA]],Hoja1!A:B,2,FALSE)</f>
        <v>2316. Mediación comunitaria</v>
      </c>
      <c r="W3873" s="35" t="str">
        <f>MID(Tabla1[[#This Row],[Aplicación]],14,2)</f>
        <v>22</v>
      </c>
      <c r="X3873" s="35" t="str">
        <f>MID(Tabla1[[#This Row],[Aplicación]],14,6)</f>
        <v>22616</v>
      </c>
    </row>
    <row r="3874" spans="1:24" x14ac:dyDescent="0.25">
      <c r="A3874" s="45">
        <v>220210045984</v>
      </c>
      <c r="B3874" s="46" t="s">
        <v>9</v>
      </c>
      <c r="C3874" s="47">
        <v>44418</v>
      </c>
      <c r="D3874" s="45">
        <v>22021006014</v>
      </c>
      <c r="E3874" s="46" t="s">
        <v>3310</v>
      </c>
      <c r="F3874" s="48">
        <v>13948.88</v>
      </c>
      <c r="G3874" s="46" t="s">
        <v>3600</v>
      </c>
      <c r="H3874" s="46" t="s">
        <v>5467</v>
      </c>
      <c r="I3874" s="45" t="s">
        <v>125</v>
      </c>
      <c r="J3874" s="46" t="s">
        <v>127</v>
      </c>
      <c r="K3874" s="46" t="s">
        <v>127</v>
      </c>
      <c r="L3874" s="46" t="s">
        <v>31</v>
      </c>
      <c r="M3874" s="46" t="s">
        <v>10</v>
      </c>
      <c r="N3874" s="46" t="s">
        <v>11</v>
      </c>
      <c r="O3874" s="49" t="s">
        <v>815</v>
      </c>
      <c r="P3874" s="49" t="s">
        <v>4910</v>
      </c>
      <c r="Q3874" s="35" t="str">
        <f>MID(Tabla1[[#This Row],[Aplicación]],14,1)</f>
        <v>6</v>
      </c>
      <c r="R3874" s="35" t="s">
        <v>496</v>
      </c>
      <c r="S3874" s="35" t="str">
        <f>MID(Tabla1[[#This Row],[Aplicación]],6,2)</f>
        <v>06</v>
      </c>
      <c r="T3874" s="35" t="str">
        <f>VLOOKUP(Tabla1[[#This Row],[AREA]],Hoja1!A:B,2,FALSE)</f>
        <v>06. Educación, infancia, juventud e igualdad</v>
      </c>
      <c r="U3874" s="35" t="str">
        <f>MID(Tabla1[[#This Row],[Aplicación]],9,4)</f>
        <v>3231</v>
      </c>
      <c r="V3874" s="35" t="str">
        <f>VLOOKUP(Tabla1[[#This Row],[PROGRAMA]],Hoja1!A:B,2,FALSE)</f>
        <v>3231. Escuelas infantiles</v>
      </c>
      <c r="W3874" s="35" t="str">
        <f>MID(Tabla1[[#This Row],[Aplicación]],14,2)</f>
        <v>63</v>
      </c>
      <c r="X3874" s="35" t="str">
        <f>MID(Tabla1[[#This Row],[Aplicación]],14,6)</f>
        <v>632</v>
      </c>
    </row>
    <row r="3875" spans="1:24" x14ac:dyDescent="0.25">
      <c r="A3875" s="45">
        <v>220210048519</v>
      </c>
      <c r="B3875" s="46" t="s">
        <v>9</v>
      </c>
      <c r="C3875" s="47">
        <v>44428</v>
      </c>
      <c r="D3875" s="45">
        <v>22021006051</v>
      </c>
      <c r="E3875" s="46" t="s">
        <v>1884</v>
      </c>
      <c r="F3875" s="48">
        <v>1076.9000000000001</v>
      </c>
      <c r="G3875" s="46" t="s">
        <v>5468</v>
      </c>
      <c r="H3875" s="46" t="s">
        <v>5469</v>
      </c>
      <c r="I3875" s="45" t="s">
        <v>125</v>
      </c>
      <c r="J3875" s="46" t="s">
        <v>127</v>
      </c>
      <c r="K3875" s="46" t="s">
        <v>127</v>
      </c>
      <c r="L3875" s="46" t="s">
        <v>31</v>
      </c>
      <c r="M3875" s="46" t="s">
        <v>10</v>
      </c>
      <c r="N3875" s="46" t="s">
        <v>11</v>
      </c>
      <c r="O3875" s="49" t="s">
        <v>815</v>
      </c>
      <c r="P3875" s="49" t="s">
        <v>4910</v>
      </c>
      <c r="Q3875" s="35" t="str">
        <f>MID(Tabla1[[#This Row],[Aplicación]],14,1)</f>
        <v>2</v>
      </c>
      <c r="R3875" s="35" t="s">
        <v>495</v>
      </c>
      <c r="S3875" s="35" t="str">
        <f>MID(Tabla1[[#This Row],[Aplicación]],6,2)</f>
        <v>06</v>
      </c>
      <c r="T3875" s="35" t="str">
        <f>VLOOKUP(Tabla1[[#This Row],[AREA]],Hoja1!A:B,2,FALSE)</f>
        <v>06. Educación, infancia, juventud e igualdad</v>
      </c>
      <c r="U3875" s="35" t="str">
        <f>MID(Tabla1[[#This Row],[Aplicación]],9,4)</f>
        <v>2314</v>
      </c>
      <c r="V3875" s="35" t="str">
        <f>VLOOKUP(Tabla1[[#This Row],[PROGRAMA]],Hoja1!A:B,2,FALSE)</f>
        <v>2314. Centro de programas juveniles</v>
      </c>
      <c r="W3875" s="35" t="str">
        <f>MID(Tabla1[[#This Row],[Aplicación]],14,2)</f>
        <v>21</v>
      </c>
      <c r="X3875" s="35" t="str">
        <f>MID(Tabla1[[#This Row],[Aplicación]],14,6)</f>
        <v>212</v>
      </c>
    </row>
    <row r="3876" spans="1:24" x14ac:dyDescent="0.25">
      <c r="A3876" s="45">
        <v>220210044284</v>
      </c>
      <c r="B3876" s="46" t="s">
        <v>9</v>
      </c>
      <c r="C3876" s="47">
        <v>44406</v>
      </c>
      <c r="D3876" s="45">
        <v>22021005698</v>
      </c>
      <c r="E3876" s="46" t="s">
        <v>1584</v>
      </c>
      <c r="F3876" s="48">
        <v>6413</v>
      </c>
      <c r="G3876" s="46" t="s">
        <v>42</v>
      </c>
      <c r="H3876" s="46" t="s">
        <v>5470</v>
      </c>
      <c r="I3876" s="45" t="s">
        <v>125</v>
      </c>
      <c r="J3876" s="46" t="s">
        <v>127</v>
      </c>
      <c r="K3876" s="46" t="s">
        <v>127</v>
      </c>
      <c r="L3876" s="46" t="s">
        <v>12</v>
      </c>
      <c r="M3876" s="46" t="s">
        <v>10</v>
      </c>
      <c r="N3876" s="46" t="s">
        <v>11</v>
      </c>
      <c r="O3876" s="49" t="s">
        <v>815</v>
      </c>
      <c r="P3876" s="49" t="s">
        <v>4910</v>
      </c>
      <c r="Q3876" s="35" t="str">
        <f>MID(Tabla1[[#This Row],[Aplicación]],14,1)</f>
        <v>2</v>
      </c>
      <c r="R3876" s="35" t="s">
        <v>495</v>
      </c>
      <c r="S3876" s="35" t="str">
        <f>MID(Tabla1[[#This Row],[Aplicación]],6,2)</f>
        <v>07</v>
      </c>
      <c r="T3876" s="35" t="str">
        <f>VLOOKUP(Tabla1[[#This Row],[AREA]],Hoja1!A:B,2,FALSE)</f>
        <v>07. Medio ambiente y desarrollo sostenible</v>
      </c>
      <c r="U3876" s="35" t="str">
        <f>MID(Tabla1[[#This Row],[Aplicación]],9,4)</f>
        <v>1701</v>
      </c>
      <c r="V3876" s="35" t="str">
        <f>VLOOKUP(Tabla1[[#This Row],[PROGRAMA]],Hoja1!A:B,2,FALSE)</f>
        <v>1701. Dirección del área de medio ambiente</v>
      </c>
      <c r="W3876" s="35" t="str">
        <f>MID(Tabla1[[#This Row],[Aplicación]],14,2)</f>
        <v>22</v>
      </c>
      <c r="X3876" s="35" t="str">
        <f>MID(Tabla1[[#This Row],[Aplicación]],14,6)</f>
        <v>22799</v>
      </c>
    </row>
    <row r="3877" spans="1:24" x14ac:dyDescent="0.25">
      <c r="A3877" s="45">
        <v>220210043995</v>
      </c>
      <c r="B3877" s="46" t="s">
        <v>204</v>
      </c>
      <c r="C3877" s="47">
        <v>44405</v>
      </c>
      <c r="D3877" s="45">
        <v>22021002601</v>
      </c>
      <c r="E3877" s="46" t="s">
        <v>3362</v>
      </c>
      <c r="F3877" s="48">
        <v>3845.05</v>
      </c>
      <c r="G3877" s="46" t="s">
        <v>5471</v>
      </c>
      <c r="H3877" s="46" t="s">
        <v>5472</v>
      </c>
      <c r="I3877" s="45" t="s">
        <v>205</v>
      </c>
      <c r="J3877" s="46" t="s">
        <v>197</v>
      </c>
      <c r="K3877" s="46" t="s">
        <v>197</v>
      </c>
      <c r="L3877" s="46" t="s">
        <v>15</v>
      </c>
      <c r="M3877" s="46" t="s">
        <v>13</v>
      </c>
      <c r="N3877" s="46" t="s">
        <v>14</v>
      </c>
      <c r="O3877" s="49" t="s">
        <v>814</v>
      </c>
      <c r="P3877" s="49" t="s">
        <v>4910</v>
      </c>
      <c r="Q3877" s="35" t="str">
        <f>MID(Tabla1[[#This Row],[Aplicación]],14,1)</f>
        <v>6</v>
      </c>
      <c r="R3877" s="35" t="s">
        <v>496</v>
      </c>
      <c r="S3877" s="35" t="str">
        <f>MID(Tabla1[[#This Row],[Aplicación]],6,2)</f>
        <v>06</v>
      </c>
      <c r="T3877" s="35" t="str">
        <f>VLOOKUP(Tabla1[[#This Row],[AREA]],Hoja1!A:B,2,FALSE)</f>
        <v>06. Educación, infancia, juventud e igualdad</v>
      </c>
      <c r="U3877" s="35" t="str">
        <f>MID(Tabla1[[#This Row],[Aplicación]],9,4)</f>
        <v>3321</v>
      </c>
      <c r="V3877" s="35" t="str">
        <f>VLOOKUP(Tabla1[[#This Row],[PROGRAMA]],Hoja1!A:B,2,FALSE)</f>
        <v>3321. Bibliotecas públicas</v>
      </c>
      <c r="W3877" s="35" t="str">
        <f>MID(Tabla1[[#This Row],[Aplicación]],14,2)</f>
        <v>62</v>
      </c>
      <c r="X3877" s="35" t="str">
        <f>MID(Tabla1[[#This Row],[Aplicación]],14,6)</f>
        <v>629</v>
      </c>
    </row>
    <row r="3878" spans="1:24" x14ac:dyDescent="0.25">
      <c r="A3878" s="45">
        <v>220210045979</v>
      </c>
      <c r="B3878" s="46" t="s">
        <v>9</v>
      </c>
      <c r="C3878" s="47">
        <v>44418</v>
      </c>
      <c r="D3878" s="45">
        <v>22021006029</v>
      </c>
      <c r="E3878" s="46" t="s">
        <v>1533</v>
      </c>
      <c r="F3878" s="48">
        <v>169.4</v>
      </c>
      <c r="G3878" s="46" t="s">
        <v>4033</v>
      </c>
      <c r="H3878" s="46" t="s">
        <v>5473</v>
      </c>
      <c r="I3878" s="45" t="s">
        <v>125</v>
      </c>
      <c r="J3878" s="46" t="s">
        <v>127</v>
      </c>
      <c r="K3878" s="46" t="s">
        <v>127</v>
      </c>
      <c r="L3878" s="46" t="s">
        <v>15</v>
      </c>
      <c r="M3878" s="46" t="s">
        <v>10</v>
      </c>
      <c r="N3878" s="46" t="s">
        <v>11</v>
      </c>
      <c r="O3878" s="49" t="s">
        <v>815</v>
      </c>
      <c r="P3878" s="49" t="s">
        <v>4910</v>
      </c>
      <c r="Q3878" s="35" t="str">
        <f>MID(Tabla1[[#This Row],[Aplicación]],14,1)</f>
        <v>2</v>
      </c>
      <c r="R3878" s="35" t="s">
        <v>495</v>
      </c>
      <c r="S3878" s="35" t="str">
        <f>MID(Tabla1[[#This Row],[Aplicación]],6,2)</f>
        <v>10</v>
      </c>
      <c r="T3878" s="35" t="str">
        <f>VLOOKUP(Tabla1[[#This Row],[AREA]],Hoja1!A:B,2,FALSE)</f>
        <v>10. Servicios sociales y mediación comunitaria</v>
      </c>
      <c r="U3878" s="35" t="str">
        <f>MID(Tabla1[[#This Row],[Aplicación]],9,4)</f>
        <v>2312</v>
      </c>
      <c r="V3878" s="35" t="str">
        <f>VLOOKUP(Tabla1[[#This Row],[PROGRAMA]],Hoja1!A:B,2,FALSE)</f>
        <v>2312. Iniciativas sociales</v>
      </c>
      <c r="W3878" s="35" t="str">
        <f>MID(Tabla1[[#This Row],[Aplicación]],14,2)</f>
        <v>22</v>
      </c>
      <c r="X3878" s="35" t="str">
        <f>MID(Tabla1[[#This Row],[Aplicación]],14,6)</f>
        <v>22615</v>
      </c>
    </row>
    <row r="3879" spans="1:24" x14ac:dyDescent="0.25">
      <c r="A3879" s="45">
        <v>220210036216</v>
      </c>
      <c r="B3879" s="46" t="s">
        <v>9</v>
      </c>
      <c r="C3879" s="47">
        <v>44383</v>
      </c>
      <c r="D3879" s="45">
        <v>22021005148</v>
      </c>
      <c r="E3879" s="46" t="s">
        <v>1187</v>
      </c>
      <c r="F3879" s="48">
        <v>855.47</v>
      </c>
      <c r="G3879" s="46" t="s">
        <v>4335</v>
      </c>
      <c r="H3879" s="46" t="s">
        <v>5474</v>
      </c>
      <c r="I3879" s="45" t="s">
        <v>125</v>
      </c>
      <c r="J3879" s="46" t="s">
        <v>165</v>
      </c>
      <c r="K3879" s="46" t="s">
        <v>165</v>
      </c>
      <c r="L3879" s="46" t="s">
        <v>12</v>
      </c>
      <c r="M3879" s="46" t="s">
        <v>10</v>
      </c>
      <c r="N3879" s="46" t="s">
        <v>11</v>
      </c>
      <c r="O3879" s="49" t="s">
        <v>815</v>
      </c>
      <c r="P3879" s="49" t="s">
        <v>4910</v>
      </c>
      <c r="Q3879" s="35" t="str">
        <f>MID(Tabla1[[#This Row],[Aplicación]],14,1)</f>
        <v>2</v>
      </c>
      <c r="R3879" s="35" t="s">
        <v>495</v>
      </c>
      <c r="S3879" s="35" t="str">
        <f>MID(Tabla1[[#This Row],[Aplicación]],6,2)</f>
        <v>06</v>
      </c>
      <c r="T3879" s="35" t="str">
        <f>VLOOKUP(Tabla1[[#This Row],[AREA]],Hoja1!A:B,2,FALSE)</f>
        <v>06. Educación, infancia, juventud e igualdad</v>
      </c>
      <c r="U3879" s="35" t="str">
        <f>MID(Tabla1[[#This Row],[Aplicación]],9,4)</f>
        <v>2315</v>
      </c>
      <c r="V3879" s="35" t="str">
        <f>VLOOKUP(Tabla1[[#This Row],[PROGRAMA]],Hoja1!A:B,2,FALSE)</f>
        <v>2315. Políticas de Igualdad e infancia</v>
      </c>
      <c r="W3879" s="35" t="str">
        <f>MID(Tabla1[[#This Row],[Aplicación]],14,2)</f>
        <v>22</v>
      </c>
      <c r="X3879" s="35" t="str">
        <f>MID(Tabla1[[#This Row],[Aplicación]],14,6)</f>
        <v>22611</v>
      </c>
    </row>
    <row r="3880" spans="1:24" x14ac:dyDescent="0.25">
      <c r="A3880" s="45">
        <v>220210036843</v>
      </c>
      <c r="B3880" s="46" t="s">
        <v>9</v>
      </c>
      <c r="C3880" s="47">
        <v>44389</v>
      </c>
      <c r="D3880" s="45">
        <v>22021005568</v>
      </c>
      <c r="E3880" s="46" t="s">
        <v>3308</v>
      </c>
      <c r="F3880" s="48">
        <v>3100.02</v>
      </c>
      <c r="G3880" s="46" t="s">
        <v>3762</v>
      </c>
      <c r="H3880" s="46" t="s">
        <v>5475</v>
      </c>
      <c r="I3880" s="45" t="s">
        <v>125</v>
      </c>
      <c r="J3880" s="46" t="s">
        <v>127</v>
      </c>
      <c r="K3880" s="46" t="s">
        <v>127</v>
      </c>
      <c r="L3880" s="46" t="s">
        <v>15</v>
      </c>
      <c r="M3880" s="46" t="s">
        <v>10</v>
      </c>
      <c r="N3880" s="46" t="s">
        <v>11</v>
      </c>
      <c r="O3880" s="49" t="s">
        <v>815</v>
      </c>
      <c r="P3880" s="49" t="s">
        <v>4910</v>
      </c>
      <c r="Q3880" s="35" t="str">
        <f>MID(Tabla1[[#This Row],[Aplicación]],14,1)</f>
        <v>6</v>
      </c>
      <c r="R3880" s="35" t="s">
        <v>496</v>
      </c>
      <c r="S3880" s="35" t="str">
        <f>MID(Tabla1[[#This Row],[Aplicación]],6,2)</f>
        <v>06</v>
      </c>
      <c r="T3880" s="35" t="str">
        <f>VLOOKUP(Tabla1[[#This Row],[AREA]],Hoja1!A:B,2,FALSE)</f>
        <v>06. Educación, infancia, juventud e igualdad</v>
      </c>
      <c r="U3880" s="35" t="str">
        <f>MID(Tabla1[[#This Row],[Aplicación]],9,4)</f>
        <v>3232</v>
      </c>
      <c r="V3880" s="35" t="str">
        <f>VLOOKUP(Tabla1[[#This Row],[PROGRAMA]],Hoja1!A:B,2,FALSE)</f>
        <v>3232. Conservación y mantenimiento centros educación infantil y primaria</v>
      </c>
      <c r="W3880" s="35" t="str">
        <f>MID(Tabla1[[#This Row],[Aplicación]],14,2)</f>
        <v>63</v>
      </c>
      <c r="X3880" s="35" t="str">
        <f>MID(Tabla1[[#This Row],[Aplicación]],14,6)</f>
        <v>632</v>
      </c>
    </row>
    <row r="3881" spans="1:24" x14ac:dyDescent="0.25">
      <c r="A3881" s="45">
        <v>220210040199</v>
      </c>
      <c r="B3881" s="46" t="s">
        <v>204</v>
      </c>
      <c r="C3881" s="47">
        <v>44396</v>
      </c>
      <c r="D3881" s="45">
        <v>22021003187</v>
      </c>
      <c r="E3881" s="46" t="s">
        <v>1884</v>
      </c>
      <c r="F3881" s="48">
        <v>34.64</v>
      </c>
      <c r="G3881" s="46" t="s">
        <v>150</v>
      </c>
      <c r="H3881" s="46" t="s">
        <v>5476</v>
      </c>
      <c r="I3881" s="45" t="s">
        <v>205</v>
      </c>
      <c r="J3881" s="46" t="s">
        <v>146</v>
      </c>
      <c r="K3881" s="46" t="s">
        <v>146</v>
      </c>
      <c r="L3881" s="46" t="s">
        <v>15</v>
      </c>
      <c r="M3881" s="46" t="s">
        <v>13</v>
      </c>
      <c r="N3881" s="46" t="s">
        <v>14</v>
      </c>
      <c r="O3881" s="49" t="s">
        <v>814</v>
      </c>
      <c r="P3881" s="49" t="s">
        <v>4910</v>
      </c>
      <c r="Q3881" s="35" t="str">
        <f>MID(Tabla1[[#This Row],[Aplicación]],14,1)</f>
        <v>2</v>
      </c>
      <c r="R3881" s="35" t="s">
        <v>495</v>
      </c>
      <c r="S3881" s="35" t="str">
        <f>MID(Tabla1[[#This Row],[Aplicación]],6,2)</f>
        <v>06</v>
      </c>
      <c r="T3881" s="35" t="str">
        <f>VLOOKUP(Tabla1[[#This Row],[AREA]],Hoja1!A:B,2,FALSE)</f>
        <v>06. Educación, infancia, juventud e igualdad</v>
      </c>
      <c r="U3881" s="35" t="str">
        <f>MID(Tabla1[[#This Row],[Aplicación]],9,4)</f>
        <v>2314</v>
      </c>
      <c r="V3881" s="35" t="str">
        <f>VLOOKUP(Tabla1[[#This Row],[PROGRAMA]],Hoja1!A:B,2,FALSE)</f>
        <v>2314. Centro de programas juveniles</v>
      </c>
      <c r="W3881" s="35" t="str">
        <f>MID(Tabla1[[#This Row],[Aplicación]],14,2)</f>
        <v>21</v>
      </c>
      <c r="X3881" s="35" t="str">
        <f>MID(Tabla1[[#This Row],[Aplicación]],14,6)</f>
        <v>212</v>
      </c>
    </row>
    <row r="3882" spans="1:24" x14ac:dyDescent="0.25">
      <c r="A3882" s="45">
        <v>220210043815</v>
      </c>
      <c r="B3882" s="46" t="s">
        <v>9</v>
      </c>
      <c r="C3882" s="47">
        <v>44404</v>
      </c>
      <c r="D3882" s="45">
        <v>22021005876</v>
      </c>
      <c r="E3882" s="46" t="s">
        <v>1314</v>
      </c>
      <c r="F3882" s="48">
        <v>29.62</v>
      </c>
      <c r="G3882" s="46" t="s">
        <v>150</v>
      </c>
      <c r="H3882" s="46" t="s">
        <v>5477</v>
      </c>
      <c r="I3882" s="45" t="s">
        <v>125</v>
      </c>
      <c r="J3882" s="46" t="s">
        <v>146</v>
      </c>
      <c r="K3882" s="46" t="s">
        <v>146</v>
      </c>
      <c r="L3882" s="46" t="s">
        <v>15</v>
      </c>
      <c r="M3882" s="46" t="s">
        <v>13</v>
      </c>
      <c r="N3882" s="46" t="s">
        <v>14</v>
      </c>
      <c r="O3882" s="49" t="s">
        <v>814</v>
      </c>
      <c r="P3882" s="49" t="s">
        <v>4910</v>
      </c>
      <c r="Q3882" s="35" t="str">
        <f>MID(Tabla1[[#This Row],[Aplicación]],14,1)</f>
        <v>2</v>
      </c>
      <c r="R3882" s="35" t="s">
        <v>495</v>
      </c>
      <c r="S3882" s="35" t="str">
        <f>MID(Tabla1[[#This Row],[Aplicación]],6,2)</f>
        <v>01</v>
      </c>
      <c r="T3882" s="35" t="str">
        <f>VLOOKUP(Tabla1[[#This Row],[AREA]],Hoja1!A:B,2,FALSE)</f>
        <v>01. Alcaldía</v>
      </c>
      <c r="U3882" s="35" t="str">
        <f>MID(Tabla1[[#This Row],[Aplicación]],9,4)</f>
        <v>9206</v>
      </c>
      <c r="V3882" s="35" t="str">
        <f>VLOOKUP(Tabla1[[#This Row],[PROGRAMA]],Hoja1!A:B,2,FALSE)</f>
        <v>9206. Archivo municipal</v>
      </c>
      <c r="W3882" s="35" t="str">
        <f>MID(Tabla1[[#This Row],[Aplicación]],14,2)</f>
        <v>22</v>
      </c>
      <c r="X3882" s="35" t="str">
        <f>MID(Tabla1[[#This Row],[Aplicación]],14,6)</f>
        <v>22199</v>
      </c>
    </row>
    <row r="3883" spans="1:24" x14ac:dyDescent="0.25">
      <c r="A3883" s="45">
        <v>220210036352</v>
      </c>
      <c r="B3883" s="46" t="s">
        <v>204</v>
      </c>
      <c r="C3883" s="47">
        <v>44384</v>
      </c>
      <c r="D3883" s="45">
        <v>22021002133</v>
      </c>
      <c r="E3883" s="46" t="s">
        <v>1326</v>
      </c>
      <c r="F3883" s="48">
        <v>6381.54</v>
      </c>
      <c r="G3883" s="46" t="s">
        <v>150</v>
      </c>
      <c r="H3883" s="46" t="s">
        <v>5478</v>
      </c>
      <c r="I3883" s="45" t="s">
        <v>205</v>
      </c>
      <c r="J3883" s="46" t="s">
        <v>146</v>
      </c>
      <c r="K3883" s="46" t="s">
        <v>146</v>
      </c>
      <c r="L3883" s="46" t="s">
        <v>15</v>
      </c>
      <c r="M3883" s="46" t="s">
        <v>13</v>
      </c>
      <c r="N3883" s="46" t="s">
        <v>14</v>
      </c>
      <c r="O3883" s="49" t="s">
        <v>814</v>
      </c>
      <c r="P3883" s="49" t="s">
        <v>4910</v>
      </c>
      <c r="Q3883" s="35" t="str">
        <f>MID(Tabla1[[#This Row],[Aplicación]],14,1)</f>
        <v>2</v>
      </c>
      <c r="R3883" s="35" t="s">
        <v>495</v>
      </c>
      <c r="S3883" s="35" t="str">
        <f>MID(Tabla1[[#This Row],[Aplicación]],6,2)</f>
        <v>08</v>
      </c>
      <c r="T3883" s="35" t="str">
        <f>VLOOKUP(Tabla1[[#This Row],[AREA]],Hoja1!A:B,2,FALSE)</f>
        <v>08. Movilidad y espacio urbano</v>
      </c>
      <c r="U3883" s="35" t="str">
        <f>MID(Tabla1[[#This Row],[Aplicación]],9,4)</f>
        <v>1651</v>
      </c>
      <c r="V3883" s="35" t="str">
        <f>VLOOKUP(Tabla1[[#This Row],[PROGRAMA]],Hoja1!A:B,2,FALSE)</f>
        <v>1651. Alumbrado público</v>
      </c>
      <c r="W3883" s="35" t="str">
        <f>MID(Tabla1[[#This Row],[Aplicación]],14,2)</f>
        <v>22</v>
      </c>
      <c r="X3883" s="35" t="str">
        <f>MID(Tabla1[[#This Row],[Aplicación]],14,6)</f>
        <v>22199</v>
      </c>
    </row>
    <row r="3884" spans="1:24" x14ac:dyDescent="0.25">
      <c r="A3884" s="45">
        <v>220210040873</v>
      </c>
      <c r="B3884" s="46" t="s">
        <v>204</v>
      </c>
      <c r="C3884" s="47">
        <v>44397</v>
      </c>
      <c r="D3884" s="45">
        <v>22021001038</v>
      </c>
      <c r="E3884" s="46" t="s">
        <v>844</v>
      </c>
      <c r="F3884" s="48">
        <v>363.48</v>
      </c>
      <c r="G3884" s="46" t="s">
        <v>150</v>
      </c>
      <c r="H3884" s="46" t="s">
        <v>5479</v>
      </c>
      <c r="I3884" s="45" t="s">
        <v>205</v>
      </c>
      <c r="J3884" s="46" t="s">
        <v>146</v>
      </c>
      <c r="K3884" s="46" t="s">
        <v>146</v>
      </c>
      <c r="L3884" s="46" t="s">
        <v>15</v>
      </c>
      <c r="M3884" s="46" t="s">
        <v>13</v>
      </c>
      <c r="N3884" s="46" t="s">
        <v>14</v>
      </c>
      <c r="O3884" s="49" t="s">
        <v>814</v>
      </c>
      <c r="P3884" s="49" t="s">
        <v>4910</v>
      </c>
      <c r="Q3884" s="35" t="str">
        <f>MID(Tabla1[[#This Row],[Aplicación]],14,1)</f>
        <v>2</v>
      </c>
      <c r="R3884" s="35" t="s">
        <v>495</v>
      </c>
      <c r="S3884" s="35" t="str">
        <f>MID(Tabla1[[#This Row],[Aplicación]],6,2)</f>
        <v>10</v>
      </c>
      <c r="T3884" s="35" t="str">
        <f>VLOOKUP(Tabla1[[#This Row],[AREA]],Hoja1!A:B,2,FALSE)</f>
        <v>10. Servicios sociales y mediación comunitaria</v>
      </c>
      <c r="U3884" s="35" t="str">
        <f>MID(Tabla1[[#This Row],[Aplicación]],9,4)</f>
        <v>2312</v>
      </c>
      <c r="V3884" s="35" t="str">
        <f>VLOOKUP(Tabla1[[#This Row],[PROGRAMA]],Hoja1!A:B,2,FALSE)</f>
        <v>2312. Iniciativas sociales</v>
      </c>
      <c r="W3884" s="35" t="str">
        <f>MID(Tabla1[[#This Row],[Aplicación]],14,2)</f>
        <v>21</v>
      </c>
      <c r="X3884" s="35" t="str">
        <f>MID(Tabla1[[#This Row],[Aplicación]],14,6)</f>
        <v>212</v>
      </c>
    </row>
    <row r="3885" spans="1:24" x14ac:dyDescent="0.25">
      <c r="A3885" s="45">
        <v>220210040873</v>
      </c>
      <c r="B3885" s="46" t="s">
        <v>204</v>
      </c>
      <c r="C3885" s="47">
        <v>44397</v>
      </c>
      <c r="D3885" s="45">
        <v>22021001039</v>
      </c>
      <c r="E3885" s="46" t="s">
        <v>844</v>
      </c>
      <c r="F3885" s="48">
        <v>279.22000000000003</v>
      </c>
      <c r="G3885" s="46" t="s">
        <v>150</v>
      </c>
      <c r="H3885" s="46" t="s">
        <v>5479</v>
      </c>
      <c r="I3885" s="45" t="s">
        <v>205</v>
      </c>
      <c r="J3885" s="46" t="s">
        <v>146</v>
      </c>
      <c r="K3885" s="46" t="s">
        <v>146</v>
      </c>
      <c r="L3885" s="46" t="s">
        <v>15</v>
      </c>
      <c r="M3885" s="46" t="s">
        <v>13</v>
      </c>
      <c r="N3885" s="46" t="s">
        <v>14</v>
      </c>
      <c r="O3885" s="49" t="s">
        <v>814</v>
      </c>
      <c r="P3885" s="49" t="s">
        <v>4910</v>
      </c>
      <c r="Q3885" s="35" t="str">
        <f>MID(Tabla1[[#This Row],[Aplicación]],14,1)</f>
        <v>2</v>
      </c>
      <c r="R3885" s="35" t="s">
        <v>495</v>
      </c>
      <c r="S3885" s="35" t="str">
        <f>MID(Tabla1[[#This Row],[Aplicación]],6,2)</f>
        <v>10</v>
      </c>
      <c r="T3885" s="35" t="str">
        <f>VLOOKUP(Tabla1[[#This Row],[AREA]],Hoja1!A:B,2,FALSE)</f>
        <v>10. Servicios sociales y mediación comunitaria</v>
      </c>
      <c r="U3885" s="35" t="str">
        <f>MID(Tabla1[[#This Row],[Aplicación]],9,4)</f>
        <v>2312</v>
      </c>
      <c r="V3885" s="35" t="str">
        <f>VLOOKUP(Tabla1[[#This Row],[PROGRAMA]],Hoja1!A:B,2,FALSE)</f>
        <v>2312. Iniciativas sociales</v>
      </c>
      <c r="W3885" s="35" t="str">
        <f>MID(Tabla1[[#This Row],[Aplicación]],14,2)</f>
        <v>21</v>
      </c>
      <c r="X3885" s="35" t="str">
        <f>MID(Tabla1[[#This Row],[Aplicación]],14,6)</f>
        <v>212</v>
      </c>
    </row>
    <row r="3886" spans="1:24" x14ac:dyDescent="0.25">
      <c r="A3886" s="45">
        <v>220210040145</v>
      </c>
      <c r="B3886" s="46" t="s">
        <v>204</v>
      </c>
      <c r="C3886" s="47">
        <v>44396</v>
      </c>
      <c r="D3886" s="45">
        <v>22021002006</v>
      </c>
      <c r="E3886" s="46" t="s">
        <v>1310</v>
      </c>
      <c r="F3886" s="48">
        <v>221.95</v>
      </c>
      <c r="G3886" s="46" t="s">
        <v>150</v>
      </c>
      <c r="H3886" s="46" t="s">
        <v>5480</v>
      </c>
      <c r="I3886" s="45" t="s">
        <v>205</v>
      </c>
      <c r="J3886" s="46" t="s">
        <v>146</v>
      </c>
      <c r="K3886" s="46" t="s">
        <v>146</v>
      </c>
      <c r="L3886" s="46" t="s">
        <v>15</v>
      </c>
      <c r="M3886" s="46" t="s">
        <v>13</v>
      </c>
      <c r="N3886" s="46" t="s">
        <v>14</v>
      </c>
      <c r="O3886" s="49" t="s">
        <v>814</v>
      </c>
      <c r="P3886" s="49" t="s">
        <v>4910</v>
      </c>
      <c r="Q3886" s="35" t="str">
        <f>MID(Tabla1[[#This Row],[Aplicación]],14,1)</f>
        <v>2</v>
      </c>
      <c r="R3886" s="35" t="s">
        <v>495</v>
      </c>
      <c r="S3886" s="35" t="str">
        <f>MID(Tabla1[[#This Row],[Aplicación]],6,2)</f>
        <v>11</v>
      </c>
      <c r="T3886" s="35" t="str">
        <f>VLOOKUP(Tabla1[[#This Row],[AREA]],Hoja1!A:B,2,FALSE)</f>
        <v>11. Salud pública y seguridad ciudadana</v>
      </c>
      <c r="U3886" s="35" t="str">
        <f>MID(Tabla1[[#This Row],[Aplicación]],9,4)</f>
        <v>3111</v>
      </c>
      <c r="V3886" s="35" t="str">
        <f>VLOOKUP(Tabla1[[#This Row],[PROGRAMA]],Hoja1!A:B,2,FALSE)</f>
        <v>3111. Protección de la salubridad pública</v>
      </c>
      <c r="W3886" s="35" t="str">
        <f>MID(Tabla1[[#This Row],[Aplicación]],14,2)</f>
        <v>22</v>
      </c>
      <c r="X3886" s="35" t="str">
        <f>MID(Tabla1[[#This Row],[Aplicación]],14,6)</f>
        <v>22199</v>
      </c>
    </row>
    <row r="3887" spans="1:24" x14ac:dyDescent="0.25">
      <c r="A3887" s="45">
        <v>220210040102</v>
      </c>
      <c r="B3887" s="46" t="s">
        <v>204</v>
      </c>
      <c r="C3887" s="47">
        <v>44396</v>
      </c>
      <c r="D3887" s="45">
        <v>22021003381</v>
      </c>
      <c r="E3887" s="46" t="s">
        <v>1183</v>
      </c>
      <c r="F3887" s="48">
        <v>39.450000000000003</v>
      </c>
      <c r="G3887" s="46" t="s">
        <v>150</v>
      </c>
      <c r="H3887" s="46" t="s">
        <v>5481</v>
      </c>
      <c r="I3887" s="45" t="s">
        <v>205</v>
      </c>
      <c r="J3887" s="46" t="s">
        <v>146</v>
      </c>
      <c r="K3887" s="46" t="s">
        <v>146</v>
      </c>
      <c r="L3887" s="46" t="s">
        <v>15</v>
      </c>
      <c r="M3887" s="46" t="s">
        <v>10</v>
      </c>
      <c r="N3887" s="46" t="s">
        <v>11</v>
      </c>
      <c r="O3887" s="49" t="s">
        <v>815</v>
      </c>
      <c r="P3887" s="49" t="s">
        <v>4910</v>
      </c>
      <c r="Q3887" s="35" t="str">
        <f>MID(Tabla1[[#This Row],[Aplicación]],14,1)</f>
        <v>2</v>
      </c>
      <c r="R3887" s="35" t="s">
        <v>495</v>
      </c>
      <c r="S3887" s="35" t="str">
        <f>MID(Tabla1[[#This Row],[Aplicación]],6,2)</f>
        <v>11</v>
      </c>
      <c r="T3887" s="35" t="str">
        <f>VLOOKUP(Tabla1[[#This Row],[AREA]],Hoja1!A:B,2,FALSE)</f>
        <v>11. Salud pública y seguridad ciudadana</v>
      </c>
      <c r="U3887" s="35" t="str">
        <f>MID(Tabla1[[#This Row],[Aplicación]],9,4)</f>
        <v>1361</v>
      </c>
      <c r="V3887" s="35" t="str">
        <f>VLOOKUP(Tabla1[[#This Row],[PROGRAMA]],Hoja1!A:B,2,FALSE)</f>
        <v>1361. Prevención y extinción de incencios</v>
      </c>
      <c r="W3887" s="35" t="str">
        <f>MID(Tabla1[[#This Row],[Aplicación]],14,2)</f>
        <v>22</v>
      </c>
      <c r="X3887" s="35" t="str">
        <f>MID(Tabla1[[#This Row],[Aplicación]],14,6)</f>
        <v>22199</v>
      </c>
    </row>
    <row r="3888" spans="1:24" x14ac:dyDescent="0.25">
      <c r="A3888" s="45">
        <v>220210040914</v>
      </c>
      <c r="B3888" s="46" t="s">
        <v>204</v>
      </c>
      <c r="C3888" s="47">
        <v>44397</v>
      </c>
      <c r="D3888" s="45">
        <v>22021002371</v>
      </c>
      <c r="E3888" s="46" t="s">
        <v>1336</v>
      </c>
      <c r="F3888" s="48">
        <v>108.74</v>
      </c>
      <c r="G3888" s="46" t="s">
        <v>150</v>
      </c>
      <c r="H3888" s="46" t="s">
        <v>5482</v>
      </c>
      <c r="I3888" s="45" t="s">
        <v>205</v>
      </c>
      <c r="J3888" s="46" t="s">
        <v>146</v>
      </c>
      <c r="K3888" s="46" t="s">
        <v>146</v>
      </c>
      <c r="L3888" s="46" t="s">
        <v>15</v>
      </c>
      <c r="M3888" s="46" t="s">
        <v>13</v>
      </c>
      <c r="N3888" s="46" t="s">
        <v>14</v>
      </c>
      <c r="O3888" s="49" t="s">
        <v>814</v>
      </c>
      <c r="P3888" s="49" t="s">
        <v>4910</v>
      </c>
      <c r="Q3888" s="35" t="str">
        <f>MID(Tabla1[[#This Row],[Aplicación]],14,1)</f>
        <v>2</v>
      </c>
      <c r="R3888" s="35" t="s">
        <v>495</v>
      </c>
      <c r="S3888" s="35" t="str">
        <f>MID(Tabla1[[#This Row],[Aplicación]],6,2)</f>
        <v>02</v>
      </c>
      <c r="T3888" s="35" t="str">
        <f>VLOOKUP(Tabla1[[#This Row],[AREA]],Hoja1!A:B,2,FALSE)</f>
        <v>02. Planeamiento urbanístico y vivienda</v>
      </c>
      <c r="U3888" s="35" t="str">
        <f>MID(Tabla1[[#This Row],[Aplicación]],9,4)</f>
        <v>9332</v>
      </c>
      <c r="V3888" s="35" t="str">
        <f>VLOOKUP(Tabla1[[#This Row],[PROGRAMA]],Hoja1!A:B,2,FALSE)</f>
        <v>9332. Mantenimiento de edificios e instalaciones municipales</v>
      </c>
      <c r="W3888" s="35" t="str">
        <f>MID(Tabla1[[#This Row],[Aplicación]],14,2)</f>
        <v>21</v>
      </c>
      <c r="X3888" s="35" t="str">
        <f>MID(Tabla1[[#This Row],[Aplicación]],14,6)</f>
        <v>212</v>
      </c>
    </row>
    <row r="3889" spans="1:24" x14ac:dyDescent="0.25">
      <c r="A3889" s="45">
        <v>220210044416</v>
      </c>
      <c r="B3889" s="46" t="s">
        <v>204</v>
      </c>
      <c r="C3889" s="47">
        <v>44407</v>
      </c>
      <c r="D3889" s="45">
        <v>22021002143</v>
      </c>
      <c r="E3889" s="46" t="s">
        <v>1328</v>
      </c>
      <c r="F3889" s="48">
        <v>36.07</v>
      </c>
      <c r="G3889" s="46" t="s">
        <v>150</v>
      </c>
      <c r="H3889" s="46" t="s">
        <v>5483</v>
      </c>
      <c r="I3889" s="45" t="s">
        <v>205</v>
      </c>
      <c r="J3889" s="46" t="s">
        <v>146</v>
      </c>
      <c r="K3889" s="46" t="s">
        <v>146</v>
      </c>
      <c r="L3889" s="46" t="s">
        <v>15</v>
      </c>
      <c r="M3889" s="46" t="s">
        <v>13</v>
      </c>
      <c r="N3889" s="46" t="s">
        <v>14</v>
      </c>
      <c r="O3889" s="49" t="s">
        <v>814</v>
      </c>
      <c r="P3889" s="49" t="s">
        <v>4910</v>
      </c>
      <c r="Q3889" s="35" t="str">
        <f>MID(Tabla1[[#This Row],[Aplicación]],14,1)</f>
        <v>2</v>
      </c>
      <c r="R3889" s="35" t="s">
        <v>495</v>
      </c>
      <c r="S3889" s="35" t="str">
        <f>MID(Tabla1[[#This Row],[Aplicación]],6,2)</f>
        <v>10</v>
      </c>
      <c r="T3889" s="35" t="str">
        <f>VLOOKUP(Tabla1[[#This Row],[AREA]],Hoja1!A:B,2,FALSE)</f>
        <v>10. Servicios sociales y mediación comunitaria</v>
      </c>
      <c r="U3889" s="35" t="str">
        <f>MID(Tabla1[[#This Row],[Aplicación]],9,4)</f>
        <v>2311</v>
      </c>
      <c r="V3889" s="35" t="str">
        <f>VLOOKUP(Tabla1[[#This Row],[PROGRAMA]],Hoja1!A:B,2,FALSE)</f>
        <v>2311. Intervención social</v>
      </c>
      <c r="W3889" s="35" t="str">
        <f>MID(Tabla1[[#This Row],[Aplicación]],14,2)</f>
        <v>21</v>
      </c>
      <c r="X3889" s="35" t="str">
        <f>MID(Tabla1[[#This Row],[Aplicación]],14,6)</f>
        <v>212</v>
      </c>
    </row>
    <row r="3890" spans="1:24" x14ac:dyDescent="0.25">
      <c r="A3890" s="45">
        <v>220210040189</v>
      </c>
      <c r="B3890" s="46" t="s">
        <v>204</v>
      </c>
      <c r="C3890" s="47">
        <v>44396</v>
      </c>
      <c r="D3890" s="45">
        <v>22021002089</v>
      </c>
      <c r="E3890" s="46" t="s">
        <v>1220</v>
      </c>
      <c r="F3890" s="48">
        <v>34.69</v>
      </c>
      <c r="G3890" s="46" t="s">
        <v>150</v>
      </c>
      <c r="H3890" s="46" t="s">
        <v>5484</v>
      </c>
      <c r="I3890" s="45" t="s">
        <v>205</v>
      </c>
      <c r="J3890" s="46" t="s">
        <v>146</v>
      </c>
      <c r="K3890" s="46" t="s">
        <v>146</v>
      </c>
      <c r="L3890" s="46" t="s">
        <v>15</v>
      </c>
      <c r="M3890" s="46" t="s">
        <v>13</v>
      </c>
      <c r="N3890" s="46" t="s">
        <v>16</v>
      </c>
      <c r="O3890" s="49" t="s">
        <v>814</v>
      </c>
      <c r="P3890" s="49" t="s">
        <v>4910</v>
      </c>
      <c r="Q3890" s="35" t="str">
        <f>MID(Tabla1[[#This Row],[Aplicación]],14,1)</f>
        <v>2</v>
      </c>
      <c r="R3890" s="35" t="s">
        <v>495</v>
      </c>
      <c r="S3890" s="35" t="str">
        <f>MID(Tabla1[[#This Row],[Aplicación]],6,2)</f>
        <v>03</v>
      </c>
      <c r="T3890" s="35" t="str">
        <f>VLOOKUP(Tabla1[[#This Row],[AREA]],Hoja1!A:B,2,FALSE)</f>
        <v>03. Participación ciudadana y deportes</v>
      </c>
      <c r="U3890" s="35" t="str">
        <f>MID(Tabla1[[#This Row],[Aplicación]],9,4)</f>
        <v>9241</v>
      </c>
      <c r="V3890" s="35" t="str">
        <f>VLOOKUP(Tabla1[[#This Row],[PROGRAMA]],Hoja1!A:B,2,FALSE)</f>
        <v>9241. Participación ciudadana</v>
      </c>
      <c r="W3890" s="35" t="str">
        <f>MID(Tabla1[[#This Row],[Aplicación]],14,2)</f>
        <v>21</v>
      </c>
      <c r="X3890" s="35" t="str">
        <f>MID(Tabla1[[#This Row],[Aplicación]],14,6)</f>
        <v>213</v>
      </c>
    </row>
    <row r="3891" spans="1:24" x14ac:dyDescent="0.25">
      <c r="A3891" s="45">
        <v>220210040162</v>
      </c>
      <c r="B3891" s="46" t="s">
        <v>204</v>
      </c>
      <c r="C3891" s="47">
        <v>44396</v>
      </c>
      <c r="D3891" s="45">
        <v>22021001968</v>
      </c>
      <c r="E3891" s="46" t="s">
        <v>1388</v>
      </c>
      <c r="F3891" s="48">
        <v>27.27</v>
      </c>
      <c r="G3891" s="46" t="s">
        <v>150</v>
      </c>
      <c r="H3891" s="46" t="s">
        <v>5485</v>
      </c>
      <c r="I3891" s="45" t="s">
        <v>205</v>
      </c>
      <c r="J3891" s="46" t="s">
        <v>146</v>
      </c>
      <c r="K3891" s="46" t="s">
        <v>146</v>
      </c>
      <c r="L3891" s="46" t="s">
        <v>15</v>
      </c>
      <c r="M3891" s="46" t="s">
        <v>13</v>
      </c>
      <c r="N3891" s="46" t="s">
        <v>14</v>
      </c>
      <c r="O3891" s="49" t="s">
        <v>814</v>
      </c>
      <c r="P3891" s="49" t="s">
        <v>4910</v>
      </c>
      <c r="Q3891" s="35" t="str">
        <f>MID(Tabla1[[#This Row],[Aplicación]],14,1)</f>
        <v>2</v>
      </c>
      <c r="R3891" s="35" t="s">
        <v>495</v>
      </c>
      <c r="S3891" s="35" t="str">
        <f>MID(Tabla1[[#This Row],[Aplicación]],6,2)</f>
        <v>11</v>
      </c>
      <c r="T3891" s="35" t="str">
        <f>VLOOKUP(Tabla1[[#This Row],[AREA]],Hoja1!A:B,2,FALSE)</f>
        <v>11. Salud pública y seguridad ciudadana</v>
      </c>
      <c r="U3891" s="35" t="str">
        <f>MID(Tabla1[[#This Row],[Aplicación]],9,4)</f>
        <v>1321</v>
      </c>
      <c r="V3891" s="35" t="str">
        <f>VLOOKUP(Tabla1[[#This Row],[PROGRAMA]],Hoja1!A:B,2,FALSE)</f>
        <v>1321. Policía municipal</v>
      </c>
      <c r="W3891" s="35" t="str">
        <f>MID(Tabla1[[#This Row],[Aplicación]],14,2)</f>
        <v>22</v>
      </c>
      <c r="X3891" s="35" t="str">
        <f>MID(Tabla1[[#This Row],[Aplicación]],14,6)</f>
        <v>22199</v>
      </c>
    </row>
    <row r="3892" spans="1:24" x14ac:dyDescent="0.25">
      <c r="A3892" s="45">
        <v>220210040143</v>
      </c>
      <c r="B3892" s="46" t="s">
        <v>204</v>
      </c>
      <c r="C3892" s="47">
        <v>44396</v>
      </c>
      <c r="D3892" s="45">
        <v>22021002227</v>
      </c>
      <c r="E3892" s="46" t="s">
        <v>1324</v>
      </c>
      <c r="F3892" s="48">
        <v>21.27</v>
      </c>
      <c r="G3892" s="46" t="s">
        <v>150</v>
      </c>
      <c r="H3892" s="46" t="s">
        <v>5486</v>
      </c>
      <c r="I3892" s="45" t="s">
        <v>205</v>
      </c>
      <c r="J3892" s="46" t="s">
        <v>146</v>
      </c>
      <c r="K3892" s="46" t="s">
        <v>146</v>
      </c>
      <c r="L3892" s="46" t="s">
        <v>15</v>
      </c>
      <c r="M3892" s="46" t="s">
        <v>13</v>
      </c>
      <c r="N3892" s="46" t="s">
        <v>16</v>
      </c>
      <c r="O3892" s="49" t="s">
        <v>814</v>
      </c>
      <c r="P3892" s="49" t="s">
        <v>4910</v>
      </c>
      <c r="Q3892" s="35" t="str">
        <f>MID(Tabla1[[#This Row],[Aplicación]],14,1)</f>
        <v>2</v>
      </c>
      <c r="R3892" s="35" t="s">
        <v>495</v>
      </c>
      <c r="S3892" s="35" t="str">
        <f>MID(Tabla1[[#This Row],[Aplicación]],6,2)</f>
        <v>06</v>
      </c>
      <c r="T3892" s="35" t="str">
        <f>VLOOKUP(Tabla1[[#This Row],[AREA]],Hoja1!A:B,2,FALSE)</f>
        <v>06. Educación, infancia, juventud e igualdad</v>
      </c>
      <c r="U3892" s="35" t="str">
        <f>MID(Tabla1[[#This Row],[Aplicación]],9,4)</f>
        <v>3321</v>
      </c>
      <c r="V3892" s="35" t="str">
        <f>VLOOKUP(Tabla1[[#This Row],[PROGRAMA]],Hoja1!A:B,2,FALSE)</f>
        <v>3321. Bibliotecas públicas</v>
      </c>
      <c r="W3892" s="35" t="str">
        <f>MID(Tabla1[[#This Row],[Aplicación]],14,2)</f>
        <v>21</v>
      </c>
      <c r="X3892" s="35" t="str">
        <f>MID(Tabla1[[#This Row],[Aplicación]],14,6)</f>
        <v>212</v>
      </c>
    </row>
    <row r="3893" spans="1:24" x14ac:dyDescent="0.25">
      <c r="A3893" s="45">
        <v>220210044416</v>
      </c>
      <c r="B3893" s="46" t="s">
        <v>204</v>
      </c>
      <c r="C3893" s="47">
        <v>44407</v>
      </c>
      <c r="D3893" s="45">
        <v>22021002142</v>
      </c>
      <c r="E3893" s="46" t="s">
        <v>1328</v>
      </c>
      <c r="F3893" s="48">
        <v>17.53</v>
      </c>
      <c r="G3893" s="46" t="s">
        <v>150</v>
      </c>
      <c r="H3893" s="46" t="s">
        <v>5483</v>
      </c>
      <c r="I3893" s="45" t="s">
        <v>205</v>
      </c>
      <c r="J3893" s="46" t="s">
        <v>146</v>
      </c>
      <c r="K3893" s="46" t="s">
        <v>146</v>
      </c>
      <c r="L3893" s="46" t="s">
        <v>15</v>
      </c>
      <c r="M3893" s="46" t="s">
        <v>13</v>
      </c>
      <c r="N3893" s="46" t="s">
        <v>14</v>
      </c>
      <c r="O3893" s="49" t="s">
        <v>814</v>
      </c>
      <c r="P3893" s="49" t="s">
        <v>4910</v>
      </c>
      <c r="Q3893" s="35" t="str">
        <f>MID(Tabla1[[#This Row],[Aplicación]],14,1)</f>
        <v>2</v>
      </c>
      <c r="R3893" s="35" t="s">
        <v>495</v>
      </c>
      <c r="S3893" s="35" t="str">
        <f>MID(Tabla1[[#This Row],[Aplicación]],6,2)</f>
        <v>10</v>
      </c>
      <c r="T3893" s="35" t="str">
        <f>VLOOKUP(Tabla1[[#This Row],[AREA]],Hoja1!A:B,2,FALSE)</f>
        <v>10. Servicios sociales y mediación comunitaria</v>
      </c>
      <c r="U3893" s="35" t="str">
        <f>MID(Tabla1[[#This Row],[Aplicación]],9,4)</f>
        <v>2311</v>
      </c>
      <c r="V3893" s="35" t="str">
        <f>VLOOKUP(Tabla1[[#This Row],[PROGRAMA]],Hoja1!A:B,2,FALSE)</f>
        <v>2311. Intervención social</v>
      </c>
      <c r="W3893" s="35" t="str">
        <f>MID(Tabla1[[#This Row],[Aplicación]],14,2)</f>
        <v>21</v>
      </c>
      <c r="X3893" s="35" t="str">
        <f>MID(Tabla1[[#This Row],[Aplicación]],14,6)</f>
        <v>212</v>
      </c>
    </row>
    <row r="3894" spans="1:24" x14ac:dyDescent="0.25">
      <c r="A3894" s="45">
        <v>220210053566</v>
      </c>
      <c r="B3894" s="46" t="s">
        <v>204</v>
      </c>
      <c r="C3894" s="47">
        <v>44452</v>
      </c>
      <c r="D3894" s="45">
        <v>22021002006</v>
      </c>
      <c r="E3894" s="46" t="s">
        <v>1310</v>
      </c>
      <c r="F3894" s="48">
        <v>47.06</v>
      </c>
      <c r="G3894" s="46" t="s">
        <v>150</v>
      </c>
      <c r="H3894" s="46" t="s">
        <v>5487</v>
      </c>
      <c r="I3894" s="45" t="s">
        <v>205</v>
      </c>
      <c r="J3894" s="46" t="s">
        <v>146</v>
      </c>
      <c r="K3894" s="46" t="s">
        <v>146</v>
      </c>
      <c r="L3894" s="46" t="s">
        <v>15</v>
      </c>
      <c r="M3894" s="46" t="s">
        <v>13</v>
      </c>
      <c r="N3894" s="46" t="s">
        <v>14</v>
      </c>
      <c r="O3894" s="49" t="s">
        <v>814</v>
      </c>
      <c r="P3894" s="49" t="s">
        <v>4910</v>
      </c>
      <c r="Q3894" s="35" t="str">
        <f>MID(Tabla1[[#This Row],[Aplicación]],14,1)</f>
        <v>2</v>
      </c>
      <c r="R3894" s="35" t="s">
        <v>495</v>
      </c>
      <c r="S3894" s="35" t="str">
        <f>MID(Tabla1[[#This Row],[Aplicación]],6,2)</f>
        <v>11</v>
      </c>
      <c r="T3894" s="35" t="str">
        <f>VLOOKUP(Tabla1[[#This Row],[AREA]],Hoja1!A:B,2,FALSE)</f>
        <v>11. Salud pública y seguridad ciudadana</v>
      </c>
      <c r="U3894" s="35" t="str">
        <f>MID(Tabla1[[#This Row],[Aplicación]],9,4)</f>
        <v>3111</v>
      </c>
      <c r="V3894" s="35" t="str">
        <f>VLOOKUP(Tabla1[[#This Row],[PROGRAMA]],Hoja1!A:B,2,FALSE)</f>
        <v>3111. Protección de la salubridad pública</v>
      </c>
      <c r="W3894" s="35" t="str">
        <f>MID(Tabla1[[#This Row],[Aplicación]],14,2)</f>
        <v>22</v>
      </c>
      <c r="X3894" s="35" t="str">
        <f>MID(Tabla1[[#This Row],[Aplicación]],14,6)</f>
        <v>22199</v>
      </c>
    </row>
    <row r="3895" spans="1:24" x14ac:dyDescent="0.25">
      <c r="A3895" s="45">
        <v>220210053491</v>
      </c>
      <c r="B3895" s="46" t="s">
        <v>204</v>
      </c>
      <c r="C3895" s="47">
        <v>44452</v>
      </c>
      <c r="D3895" s="45">
        <v>22021002057</v>
      </c>
      <c r="E3895" s="46" t="s">
        <v>1715</v>
      </c>
      <c r="F3895" s="48">
        <v>21.34</v>
      </c>
      <c r="G3895" s="46" t="s">
        <v>150</v>
      </c>
      <c r="H3895" s="46" t="s">
        <v>5488</v>
      </c>
      <c r="I3895" s="45" t="s">
        <v>205</v>
      </c>
      <c r="J3895" s="46" t="s">
        <v>146</v>
      </c>
      <c r="K3895" s="46" t="s">
        <v>146</v>
      </c>
      <c r="L3895" s="46" t="s">
        <v>15</v>
      </c>
      <c r="M3895" s="46" t="s">
        <v>13</v>
      </c>
      <c r="N3895" s="46" t="s">
        <v>14</v>
      </c>
      <c r="O3895" s="49" t="s">
        <v>814</v>
      </c>
      <c r="P3895" s="49" t="s">
        <v>4910</v>
      </c>
      <c r="Q3895" s="35" t="str">
        <f>MID(Tabla1[[#This Row],[Aplicación]],14,1)</f>
        <v>2</v>
      </c>
      <c r="R3895" s="35" t="s">
        <v>495</v>
      </c>
      <c r="S3895" s="35" t="str">
        <f>MID(Tabla1[[#This Row],[Aplicación]],6,2)</f>
        <v>11</v>
      </c>
      <c r="T3895" s="35" t="str">
        <f>VLOOKUP(Tabla1[[#This Row],[AREA]],Hoja1!A:B,2,FALSE)</f>
        <v>11. Salud pública y seguridad ciudadana</v>
      </c>
      <c r="U3895" s="35" t="str">
        <f>MID(Tabla1[[#This Row],[Aplicación]],9,4)</f>
        <v>1631</v>
      </c>
      <c r="V3895" s="35" t="str">
        <f>VLOOKUP(Tabla1[[#This Row],[PROGRAMA]],Hoja1!A:B,2,FALSE)</f>
        <v>1631. Limpieza viaria</v>
      </c>
      <c r="W3895" s="35" t="str">
        <f>MID(Tabla1[[#This Row],[Aplicación]],14,2)</f>
        <v>22</v>
      </c>
      <c r="X3895" s="35" t="str">
        <f>MID(Tabla1[[#This Row],[Aplicación]],14,6)</f>
        <v>22199</v>
      </c>
    </row>
    <row r="3896" spans="1:24" x14ac:dyDescent="0.25">
      <c r="A3896" s="45">
        <v>220210053496</v>
      </c>
      <c r="B3896" s="46" t="s">
        <v>204</v>
      </c>
      <c r="C3896" s="47">
        <v>44452</v>
      </c>
      <c r="D3896" s="45">
        <v>22021002089</v>
      </c>
      <c r="E3896" s="46" t="s">
        <v>1220</v>
      </c>
      <c r="F3896" s="48">
        <v>16.7</v>
      </c>
      <c r="G3896" s="46" t="s">
        <v>150</v>
      </c>
      <c r="H3896" s="46" t="s">
        <v>5489</v>
      </c>
      <c r="I3896" s="45" t="s">
        <v>205</v>
      </c>
      <c r="J3896" s="46" t="s">
        <v>146</v>
      </c>
      <c r="K3896" s="46" t="s">
        <v>146</v>
      </c>
      <c r="L3896" s="46" t="s">
        <v>15</v>
      </c>
      <c r="M3896" s="46" t="s">
        <v>13</v>
      </c>
      <c r="N3896" s="46" t="s">
        <v>16</v>
      </c>
      <c r="O3896" s="49" t="s">
        <v>814</v>
      </c>
      <c r="P3896" s="49" t="s">
        <v>4910</v>
      </c>
      <c r="Q3896" s="35" t="str">
        <f>MID(Tabla1[[#This Row],[Aplicación]],14,1)</f>
        <v>2</v>
      </c>
      <c r="R3896" s="35" t="s">
        <v>495</v>
      </c>
      <c r="S3896" s="35" t="str">
        <f>MID(Tabla1[[#This Row],[Aplicación]],6,2)</f>
        <v>03</v>
      </c>
      <c r="T3896" s="35" t="str">
        <f>VLOOKUP(Tabla1[[#This Row],[AREA]],Hoja1!A:B,2,FALSE)</f>
        <v>03. Participación ciudadana y deportes</v>
      </c>
      <c r="U3896" s="35" t="str">
        <f>MID(Tabla1[[#This Row],[Aplicación]],9,4)</f>
        <v>9241</v>
      </c>
      <c r="V3896" s="35" t="str">
        <f>VLOOKUP(Tabla1[[#This Row],[PROGRAMA]],Hoja1!A:B,2,FALSE)</f>
        <v>9241. Participación ciudadana</v>
      </c>
      <c r="W3896" s="35" t="str">
        <f>MID(Tabla1[[#This Row],[Aplicación]],14,2)</f>
        <v>21</v>
      </c>
      <c r="X3896" s="35" t="str">
        <f>MID(Tabla1[[#This Row],[Aplicación]],14,6)</f>
        <v>213</v>
      </c>
    </row>
    <row r="3897" spans="1:24" x14ac:dyDescent="0.25">
      <c r="A3897" s="45">
        <v>220210048526</v>
      </c>
      <c r="B3897" s="46" t="s">
        <v>9</v>
      </c>
      <c r="C3897" s="47">
        <v>44428</v>
      </c>
      <c r="D3897" s="45">
        <v>22021006098</v>
      </c>
      <c r="E3897" s="46" t="s">
        <v>844</v>
      </c>
      <c r="F3897" s="48">
        <v>1025.17</v>
      </c>
      <c r="G3897" s="46" t="s">
        <v>3516</v>
      </c>
      <c r="H3897" s="46" t="s">
        <v>5490</v>
      </c>
      <c r="I3897" s="45" t="s">
        <v>125</v>
      </c>
      <c r="J3897" s="46" t="s">
        <v>634</v>
      </c>
      <c r="K3897" s="46" t="s">
        <v>127</v>
      </c>
      <c r="L3897" s="46" t="s">
        <v>12</v>
      </c>
      <c r="M3897" s="46" t="s">
        <v>10</v>
      </c>
      <c r="N3897" s="46" t="s">
        <v>11</v>
      </c>
      <c r="O3897" s="49" t="s">
        <v>815</v>
      </c>
      <c r="P3897" s="49" t="s">
        <v>4910</v>
      </c>
      <c r="Q3897" s="35" t="str">
        <f>MID(Tabla1[[#This Row],[Aplicación]],14,1)</f>
        <v>2</v>
      </c>
      <c r="R3897" s="35" t="s">
        <v>495</v>
      </c>
      <c r="S3897" s="35" t="str">
        <f>MID(Tabla1[[#This Row],[Aplicación]],6,2)</f>
        <v>10</v>
      </c>
      <c r="T3897" s="35" t="str">
        <f>VLOOKUP(Tabla1[[#This Row],[AREA]],Hoja1!A:B,2,FALSE)</f>
        <v>10. Servicios sociales y mediación comunitaria</v>
      </c>
      <c r="U3897" s="35" t="str">
        <f>MID(Tabla1[[#This Row],[Aplicación]],9,4)</f>
        <v>2312</v>
      </c>
      <c r="V3897" s="35" t="str">
        <f>VLOOKUP(Tabla1[[#This Row],[PROGRAMA]],Hoja1!A:B,2,FALSE)</f>
        <v>2312. Iniciativas sociales</v>
      </c>
      <c r="W3897" s="35" t="str">
        <f>MID(Tabla1[[#This Row],[Aplicación]],14,2)</f>
        <v>21</v>
      </c>
      <c r="X3897" s="35" t="str">
        <f>MID(Tabla1[[#This Row],[Aplicación]],14,6)</f>
        <v>212</v>
      </c>
    </row>
    <row r="3898" spans="1:24" x14ac:dyDescent="0.25">
      <c r="A3898" s="45">
        <v>220210056313</v>
      </c>
      <c r="B3898" s="46" t="s">
        <v>9</v>
      </c>
      <c r="C3898" s="47">
        <v>44454</v>
      </c>
      <c r="D3898" s="45">
        <v>22021006475</v>
      </c>
      <c r="E3898" s="46" t="s">
        <v>3375</v>
      </c>
      <c r="F3898" s="48">
        <v>1000</v>
      </c>
      <c r="G3898" s="46" t="s">
        <v>81</v>
      </c>
      <c r="H3898" s="46" t="s">
        <v>5491</v>
      </c>
      <c r="I3898" s="45" t="s">
        <v>125</v>
      </c>
      <c r="J3898" s="46" t="s">
        <v>127</v>
      </c>
      <c r="K3898" s="46" t="s">
        <v>127</v>
      </c>
      <c r="L3898" s="46" t="s">
        <v>12</v>
      </c>
      <c r="M3898" s="46" t="s">
        <v>10</v>
      </c>
      <c r="N3898" s="46" t="s">
        <v>11</v>
      </c>
      <c r="O3898" s="49" t="s">
        <v>815</v>
      </c>
      <c r="P3898" s="49" t="s">
        <v>4910</v>
      </c>
      <c r="Q3898" s="35" t="str">
        <f>MID(Tabla1[[#This Row],[Aplicación]],14,1)</f>
        <v>2</v>
      </c>
      <c r="R3898" s="35" t="s">
        <v>495</v>
      </c>
      <c r="S3898" s="35" t="str">
        <f>MID(Tabla1[[#This Row],[Aplicación]],6,2)</f>
        <v>06</v>
      </c>
      <c r="T3898" s="35" t="str">
        <f>VLOOKUP(Tabla1[[#This Row],[AREA]],Hoja1!A:B,2,FALSE)</f>
        <v>06. Educación, infancia, juventud e igualdad</v>
      </c>
      <c r="U3898" s="35" t="str">
        <f>MID(Tabla1[[#This Row],[Aplicación]],9,4)</f>
        <v>2315</v>
      </c>
      <c r="V3898" s="35" t="str">
        <f>VLOOKUP(Tabla1[[#This Row],[PROGRAMA]],Hoja1!A:B,2,FALSE)</f>
        <v>2315. Políticas de Igualdad e infancia</v>
      </c>
      <c r="W3898" s="35" t="str">
        <f>MID(Tabla1[[#This Row],[Aplicación]],14,2)</f>
        <v>22</v>
      </c>
      <c r="X3898" s="35" t="str">
        <f>MID(Tabla1[[#This Row],[Aplicación]],14,6)</f>
        <v>22699</v>
      </c>
    </row>
    <row r="3899" spans="1:24" x14ac:dyDescent="0.25">
      <c r="A3899" s="45">
        <v>220210039536</v>
      </c>
      <c r="B3899" s="46" t="s">
        <v>9</v>
      </c>
      <c r="C3899" s="47">
        <v>44393</v>
      </c>
      <c r="D3899" s="45">
        <v>22021003218</v>
      </c>
      <c r="E3899" s="46" t="s">
        <v>2611</v>
      </c>
      <c r="F3899" s="48">
        <v>2970.03</v>
      </c>
      <c r="G3899" s="46" t="s">
        <v>2818</v>
      </c>
      <c r="H3899" s="46" t="s">
        <v>5492</v>
      </c>
      <c r="I3899" s="45" t="s">
        <v>125</v>
      </c>
      <c r="J3899" s="46" t="s">
        <v>778</v>
      </c>
      <c r="K3899" s="46" t="s">
        <v>126</v>
      </c>
      <c r="L3899" s="46" t="s">
        <v>12</v>
      </c>
      <c r="M3899" s="46" t="s">
        <v>10</v>
      </c>
      <c r="N3899" s="46" t="s">
        <v>11</v>
      </c>
      <c r="O3899" s="49" t="s">
        <v>815</v>
      </c>
      <c r="P3899" s="49" t="s">
        <v>4910</v>
      </c>
      <c r="Q3899" s="35" t="str">
        <f>MID(Tabla1[[#This Row],[Aplicación]],14,1)</f>
        <v>2</v>
      </c>
      <c r="R3899" s="35" t="s">
        <v>495</v>
      </c>
      <c r="S3899" s="35" t="str">
        <f>MID(Tabla1[[#This Row],[Aplicación]],6,2)</f>
        <v>11</v>
      </c>
      <c r="T3899" s="35" t="str">
        <f>VLOOKUP(Tabla1[[#This Row],[AREA]],Hoja1!A:B,2,FALSE)</f>
        <v>11. Salud pública y seguridad ciudadana</v>
      </c>
      <c r="U3899" s="35" t="str">
        <f>MID(Tabla1[[#This Row],[Aplicación]],9,4)</f>
        <v>1621</v>
      </c>
      <c r="V3899" s="35" t="str">
        <f>VLOOKUP(Tabla1[[#This Row],[PROGRAMA]],Hoja1!A:B,2,FALSE)</f>
        <v>1621. Servicio de limpieza</v>
      </c>
      <c r="W3899" s="35" t="str">
        <f>MID(Tabla1[[#This Row],[Aplicación]],14,2)</f>
        <v>22</v>
      </c>
      <c r="X3899" s="35" t="str">
        <f>MID(Tabla1[[#This Row],[Aplicación]],14,6)</f>
        <v>22706</v>
      </c>
    </row>
    <row r="3900" spans="1:24" x14ac:dyDescent="0.25">
      <c r="A3900" s="45">
        <v>220210044269</v>
      </c>
      <c r="B3900" s="46" t="s">
        <v>9</v>
      </c>
      <c r="C3900" s="47">
        <v>44406</v>
      </c>
      <c r="D3900" s="45">
        <v>22021005902</v>
      </c>
      <c r="E3900" s="46" t="s">
        <v>3333</v>
      </c>
      <c r="F3900" s="48">
        <v>242</v>
      </c>
      <c r="G3900" s="46" t="s">
        <v>5493</v>
      </c>
      <c r="H3900" s="46" t="s">
        <v>5494</v>
      </c>
      <c r="I3900" s="45" t="s">
        <v>125</v>
      </c>
      <c r="J3900" s="46" t="s">
        <v>127</v>
      </c>
      <c r="K3900" s="46" t="s">
        <v>127</v>
      </c>
      <c r="L3900" s="46" t="s">
        <v>12</v>
      </c>
      <c r="M3900" s="46" t="s">
        <v>10</v>
      </c>
      <c r="N3900" s="46" t="s">
        <v>11</v>
      </c>
      <c r="O3900" s="49" t="s">
        <v>815</v>
      </c>
      <c r="P3900" s="49" t="s">
        <v>4910</v>
      </c>
      <c r="Q3900" s="35" t="str">
        <f>MID(Tabla1[[#This Row],[Aplicación]],14,1)</f>
        <v>2</v>
      </c>
      <c r="R3900" s="35" t="s">
        <v>495</v>
      </c>
      <c r="S3900" s="35" t="str">
        <f>MID(Tabla1[[#This Row],[Aplicación]],6,2)</f>
        <v>10</v>
      </c>
      <c r="T3900" s="35" t="str">
        <f>VLOOKUP(Tabla1[[#This Row],[AREA]],Hoja1!A:B,2,FALSE)</f>
        <v>10. Servicios sociales y mediación comunitaria</v>
      </c>
      <c r="U3900" s="35" t="str">
        <f>MID(Tabla1[[#This Row],[Aplicación]],9,4)</f>
        <v>2316</v>
      </c>
      <c r="V3900" s="35" t="str">
        <f>VLOOKUP(Tabla1[[#This Row],[PROGRAMA]],Hoja1!A:B,2,FALSE)</f>
        <v>2316. Mediación comunitaria</v>
      </c>
      <c r="W3900" s="35" t="str">
        <f>MID(Tabla1[[#This Row],[Aplicación]],14,2)</f>
        <v>22</v>
      </c>
      <c r="X3900" s="35" t="str">
        <f>MID(Tabla1[[#This Row],[Aplicación]],14,6)</f>
        <v>22616</v>
      </c>
    </row>
    <row r="3901" spans="1:24" x14ac:dyDescent="0.25">
      <c r="A3901" s="45">
        <v>220210056346</v>
      </c>
      <c r="B3901" s="46" t="s">
        <v>9</v>
      </c>
      <c r="C3901" s="47">
        <v>44454</v>
      </c>
      <c r="D3901" s="45">
        <v>22021006360</v>
      </c>
      <c r="E3901" s="46" t="s">
        <v>1724</v>
      </c>
      <c r="F3901" s="48">
        <v>989.01</v>
      </c>
      <c r="G3901" s="46" t="s">
        <v>2262</v>
      </c>
      <c r="H3901" s="46" t="s">
        <v>5495</v>
      </c>
      <c r="I3901" s="45" t="s">
        <v>125</v>
      </c>
      <c r="J3901" s="46" t="s">
        <v>127</v>
      </c>
      <c r="K3901" s="46" t="s">
        <v>127</v>
      </c>
      <c r="L3901" s="46" t="s">
        <v>12</v>
      </c>
      <c r="M3901" s="46" t="s">
        <v>13</v>
      </c>
      <c r="N3901" s="46" t="s">
        <v>14</v>
      </c>
      <c r="O3901" s="49" t="s">
        <v>803</v>
      </c>
      <c r="P3901" s="49" t="s">
        <v>4910</v>
      </c>
      <c r="Q3901" s="35" t="str">
        <f>MID(Tabla1[[#This Row],[Aplicación]],14,1)</f>
        <v>6</v>
      </c>
      <c r="R3901" s="35" t="s">
        <v>496</v>
      </c>
      <c r="S3901" s="35" t="str">
        <f>MID(Tabla1[[#This Row],[Aplicación]],6,2)</f>
        <v>07</v>
      </c>
      <c r="T3901" s="35" t="str">
        <f>VLOOKUP(Tabla1[[#This Row],[AREA]],Hoja1!A:B,2,FALSE)</f>
        <v>07. Medio ambiente y desarrollo sostenible</v>
      </c>
      <c r="U3901" s="35" t="str">
        <f>MID(Tabla1[[#This Row],[Aplicación]],9,4)</f>
        <v>1711</v>
      </c>
      <c r="V3901" s="35" t="str">
        <f>VLOOKUP(Tabla1[[#This Row],[PROGRAMA]],Hoja1!A:B,2,FALSE)</f>
        <v>1711. Parques y jardines</v>
      </c>
      <c r="W3901" s="35" t="str">
        <f>MID(Tabla1[[#This Row],[Aplicación]],14,2)</f>
        <v>61</v>
      </c>
      <c r="X3901" s="35" t="str">
        <f>MID(Tabla1[[#This Row],[Aplicación]],14,6)</f>
        <v>619</v>
      </c>
    </row>
    <row r="3902" spans="1:24" x14ac:dyDescent="0.25">
      <c r="A3902" s="45">
        <v>220210038355</v>
      </c>
      <c r="B3902" s="46" t="s">
        <v>9</v>
      </c>
      <c r="C3902" s="47">
        <v>44392</v>
      </c>
      <c r="D3902" s="45">
        <v>22021005559</v>
      </c>
      <c r="E3902" s="46" t="s">
        <v>4914</v>
      </c>
      <c r="F3902" s="48">
        <v>36926.949999999997</v>
      </c>
      <c r="G3902" s="46" t="s">
        <v>3204</v>
      </c>
      <c r="H3902" s="46" t="s">
        <v>5496</v>
      </c>
      <c r="I3902" s="45" t="s">
        <v>125</v>
      </c>
      <c r="J3902" s="46" t="s">
        <v>127</v>
      </c>
      <c r="K3902" s="46" t="s">
        <v>127</v>
      </c>
      <c r="L3902" s="46" t="s">
        <v>31</v>
      </c>
      <c r="M3902" s="46" t="s">
        <v>10</v>
      </c>
      <c r="N3902" s="46" t="s">
        <v>11</v>
      </c>
      <c r="O3902" s="49" t="s">
        <v>815</v>
      </c>
      <c r="P3902" s="49" t="s">
        <v>4910</v>
      </c>
      <c r="Q3902" s="35" t="str">
        <f>MID(Tabla1[[#This Row],[Aplicación]],14,1)</f>
        <v>6</v>
      </c>
      <c r="R3902" s="35" t="s">
        <v>496</v>
      </c>
      <c r="S3902" s="35" t="str">
        <f>MID(Tabla1[[#This Row],[Aplicación]],6,2)</f>
        <v>05</v>
      </c>
      <c r="T3902" s="35" t="str">
        <f>VLOOKUP(Tabla1[[#This Row],[AREA]],Hoja1!A:B,2,FALSE)</f>
        <v>05. Innovación, desarrollo económico, empleo y comercio</v>
      </c>
      <c r="U3902" s="35" t="str">
        <f>MID(Tabla1[[#This Row],[Aplicación]],9,4)</f>
        <v>4314</v>
      </c>
      <c r="V3902" s="35" t="str">
        <f>VLOOKUP(Tabla1[[#This Row],[PROGRAMA]],Hoja1!A:B,2,FALSE)</f>
        <v>4314. Fomento del comercio</v>
      </c>
      <c r="W3902" s="35" t="str">
        <f>MID(Tabla1[[#This Row],[Aplicación]],14,2)</f>
        <v>63</v>
      </c>
      <c r="X3902" s="35" t="str">
        <f>MID(Tabla1[[#This Row],[Aplicación]],14,6)</f>
        <v>632</v>
      </c>
    </row>
    <row r="3903" spans="1:24" x14ac:dyDescent="0.25">
      <c r="A3903" s="45">
        <v>220210045436</v>
      </c>
      <c r="B3903" s="46" t="s">
        <v>204</v>
      </c>
      <c r="C3903" s="47">
        <v>44413</v>
      </c>
      <c r="D3903" s="45">
        <v>22021005156</v>
      </c>
      <c r="E3903" s="46" t="s">
        <v>5497</v>
      </c>
      <c r="F3903" s="48">
        <v>701.84</v>
      </c>
      <c r="G3903" s="46" t="s">
        <v>244</v>
      </c>
      <c r="H3903" s="46" t="s">
        <v>5498</v>
      </c>
      <c r="I3903" s="45" t="s">
        <v>205</v>
      </c>
      <c r="J3903" s="46" t="s">
        <v>127</v>
      </c>
      <c r="K3903" s="46" t="s">
        <v>127</v>
      </c>
      <c r="L3903" s="46" t="s">
        <v>15</v>
      </c>
      <c r="M3903" s="46" t="s">
        <v>13</v>
      </c>
      <c r="N3903" s="46" t="s">
        <v>14</v>
      </c>
      <c r="O3903" s="49" t="s">
        <v>814</v>
      </c>
      <c r="P3903" s="49" t="s">
        <v>4910</v>
      </c>
      <c r="Q3903" s="35" t="str">
        <f>MID(Tabla1[[#This Row],[Aplicación]],14,1)</f>
        <v>2</v>
      </c>
      <c r="R3903" s="35" t="s">
        <v>495</v>
      </c>
      <c r="S3903" s="35" t="str">
        <f>MID(Tabla1[[#This Row],[Aplicación]],6,2)</f>
        <v>10</v>
      </c>
      <c r="T3903" s="35" t="str">
        <f>VLOOKUP(Tabla1[[#This Row],[AREA]],Hoja1!A:B,2,FALSE)</f>
        <v>10. Servicios sociales y mediación comunitaria</v>
      </c>
      <c r="U3903" s="35" t="str">
        <f>MID(Tabla1[[#This Row],[Aplicación]],9,4)</f>
        <v>2412</v>
      </c>
      <c r="V3903" s="35" t="str">
        <f>VLOOKUP(Tabla1[[#This Row],[PROGRAMA]],Hoja1!A:B,2,FALSE)</f>
        <v>2412. Formación para el empleo</v>
      </c>
      <c r="W3903" s="35" t="str">
        <f>MID(Tabla1[[#This Row],[Aplicación]],14,2)</f>
        <v>21</v>
      </c>
      <c r="X3903" s="35" t="str">
        <f>MID(Tabla1[[#This Row],[Aplicación]],14,6)</f>
        <v>214</v>
      </c>
    </row>
    <row r="3904" spans="1:24" x14ac:dyDescent="0.25">
      <c r="A3904" s="45">
        <v>220210045438</v>
      </c>
      <c r="B3904" s="46" t="s">
        <v>204</v>
      </c>
      <c r="C3904" s="47">
        <v>44413</v>
      </c>
      <c r="D3904" s="45">
        <v>22021005156</v>
      </c>
      <c r="E3904" s="46" t="s">
        <v>5497</v>
      </c>
      <c r="F3904" s="48">
        <v>330.55</v>
      </c>
      <c r="G3904" s="46" t="s">
        <v>244</v>
      </c>
      <c r="H3904" s="46" t="s">
        <v>5499</v>
      </c>
      <c r="I3904" s="45" t="s">
        <v>205</v>
      </c>
      <c r="J3904" s="46" t="s">
        <v>127</v>
      </c>
      <c r="K3904" s="46" t="s">
        <v>127</v>
      </c>
      <c r="L3904" s="46" t="s">
        <v>15</v>
      </c>
      <c r="M3904" s="46" t="s">
        <v>13</v>
      </c>
      <c r="N3904" s="46" t="s">
        <v>14</v>
      </c>
      <c r="O3904" s="49" t="s">
        <v>814</v>
      </c>
      <c r="P3904" s="49" t="s">
        <v>4910</v>
      </c>
      <c r="Q3904" s="35" t="str">
        <f>MID(Tabla1[[#This Row],[Aplicación]],14,1)</f>
        <v>2</v>
      </c>
      <c r="R3904" s="35" t="s">
        <v>495</v>
      </c>
      <c r="S3904" s="35" t="str">
        <f>MID(Tabla1[[#This Row],[Aplicación]],6,2)</f>
        <v>10</v>
      </c>
      <c r="T3904" s="35" t="str">
        <f>VLOOKUP(Tabla1[[#This Row],[AREA]],Hoja1!A:B,2,FALSE)</f>
        <v>10. Servicios sociales y mediación comunitaria</v>
      </c>
      <c r="U3904" s="35" t="str">
        <f>MID(Tabla1[[#This Row],[Aplicación]],9,4)</f>
        <v>2412</v>
      </c>
      <c r="V3904" s="35" t="str">
        <f>VLOOKUP(Tabla1[[#This Row],[PROGRAMA]],Hoja1!A:B,2,FALSE)</f>
        <v>2412. Formación para el empleo</v>
      </c>
      <c r="W3904" s="35" t="str">
        <f>MID(Tabla1[[#This Row],[Aplicación]],14,2)</f>
        <v>21</v>
      </c>
      <c r="X3904" s="35" t="str">
        <f>MID(Tabla1[[#This Row],[Aplicación]],14,6)</f>
        <v>214</v>
      </c>
    </row>
    <row r="3905" spans="1:24" x14ac:dyDescent="0.25">
      <c r="A3905" s="45">
        <v>220210045432</v>
      </c>
      <c r="B3905" s="46" t="s">
        <v>204</v>
      </c>
      <c r="C3905" s="47">
        <v>44413</v>
      </c>
      <c r="D3905" s="45">
        <v>22021005156</v>
      </c>
      <c r="E3905" s="46" t="s">
        <v>5497</v>
      </c>
      <c r="F3905" s="48">
        <v>703.18</v>
      </c>
      <c r="G3905" s="46" t="s">
        <v>244</v>
      </c>
      <c r="H3905" s="46" t="s">
        <v>5500</v>
      </c>
      <c r="I3905" s="45" t="s">
        <v>205</v>
      </c>
      <c r="J3905" s="46" t="s">
        <v>127</v>
      </c>
      <c r="K3905" s="46" t="s">
        <v>127</v>
      </c>
      <c r="L3905" s="46" t="s">
        <v>15</v>
      </c>
      <c r="M3905" s="46" t="s">
        <v>13</v>
      </c>
      <c r="N3905" s="46" t="s">
        <v>14</v>
      </c>
      <c r="O3905" s="49" t="s">
        <v>814</v>
      </c>
      <c r="P3905" s="49" t="s">
        <v>4910</v>
      </c>
      <c r="Q3905" s="35" t="str">
        <f>MID(Tabla1[[#This Row],[Aplicación]],14,1)</f>
        <v>2</v>
      </c>
      <c r="R3905" s="35" t="s">
        <v>495</v>
      </c>
      <c r="S3905" s="35" t="str">
        <f>MID(Tabla1[[#This Row],[Aplicación]],6,2)</f>
        <v>10</v>
      </c>
      <c r="T3905" s="35" t="str">
        <f>VLOOKUP(Tabla1[[#This Row],[AREA]],Hoja1!A:B,2,FALSE)</f>
        <v>10. Servicios sociales y mediación comunitaria</v>
      </c>
      <c r="U3905" s="35" t="str">
        <f>MID(Tabla1[[#This Row],[Aplicación]],9,4)</f>
        <v>2412</v>
      </c>
      <c r="V3905" s="35" t="str">
        <f>VLOOKUP(Tabla1[[#This Row],[PROGRAMA]],Hoja1!A:B,2,FALSE)</f>
        <v>2412. Formación para el empleo</v>
      </c>
      <c r="W3905" s="35" t="str">
        <f>MID(Tabla1[[#This Row],[Aplicación]],14,2)</f>
        <v>21</v>
      </c>
      <c r="X3905" s="35" t="str">
        <f>MID(Tabla1[[#This Row],[Aplicación]],14,6)</f>
        <v>214</v>
      </c>
    </row>
    <row r="3906" spans="1:24" x14ac:dyDescent="0.25">
      <c r="A3906" s="45">
        <v>220210046984</v>
      </c>
      <c r="B3906" s="46" t="s">
        <v>204</v>
      </c>
      <c r="C3906" s="47">
        <v>44421</v>
      </c>
      <c r="D3906" s="45">
        <v>22021005156</v>
      </c>
      <c r="E3906" s="46" t="s">
        <v>5497</v>
      </c>
      <c r="F3906" s="48">
        <v>228.92</v>
      </c>
      <c r="G3906" s="46" t="s">
        <v>244</v>
      </c>
      <c r="H3906" s="46" t="s">
        <v>5501</v>
      </c>
      <c r="I3906" s="45" t="s">
        <v>205</v>
      </c>
      <c r="J3906" s="46" t="s">
        <v>127</v>
      </c>
      <c r="K3906" s="46" t="s">
        <v>127</v>
      </c>
      <c r="L3906" s="46" t="s">
        <v>15</v>
      </c>
      <c r="M3906" s="46" t="s">
        <v>13</v>
      </c>
      <c r="N3906" s="46" t="s">
        <v>14</v>
      </c>
      <c r="O3906" s="49" t="s">
        <v>814</v>
      </c>
      <c r="P3906" s="49" t="s">
        <v>4910</v>
      </c>
      <c r="Q3906" s="35" t="str">
        <f>MID(Tabla1[[#This Row],[Aplicación]],14,1)</f>
        <v>2</v>
      </c>
      <c r="R3906" s="35" t="s">
        <v>495</v>
      </c>
      <c r="S3906" s="35" t="str">
        <f>MID(Tabla1[[#This Row],[Aplicación]],6,2)</f>
        <v>10</v>
      </c>
      <c r="T3906" s="35" t="str">
        <f>VLOOKUP(Tabla1[[#This Row],[AREA]],Hoja1!A:B,2,FALSE)</f>
        <v>10. Servicios sociales y mediación comunitaria</v>
      </c>
      <c r="U3906" s="35" t="str">
        <f>MID(Tabla1[[#This Row],[Aplicación]],9,4)</f>
        <v>2412</v>
      </c>
      <c r="V3906" s="35" t="str">
        <f>VLOOKUP(Tabla1[[#This Row],[PROGRAMA]],Hoja1!A:B,2,FALSE)</f>
        <v>2412. Formación para el empleo</v>
      </c>
      <c r="W3906" s="35" t="str">
        <f>MID(Tabla1[[#This Row],[Aplicación]],14,2)</f>
        <v>21</v>
      </c>
      <c r="X3906" s="35" t="str">
        <f>MID(Tabla1[[#This Row],[Aplicación]],14,6)</f>
        <v>214</v>
      </c>
    </row>
    <row r="3907" spans="1:24" x14ac:dyDescent="0.25">
      <c r="A3907" s="45">
        <v>220210045434</v>
      </c>
      <c r="B3907" s="46" t="s">
        <v>204</v>
      </c>
      <c r="C3907" s="47">
        <v>44413</v>
      </c>
      <c r="D3907" s="45">
        <v>22021005156</v>
      </c>
      <c r="E3907" s="46" t="s">
        <v>5497</v>
      </c>
      <c r="F3907" s="48">
        <v>1273.6600000000001</v>
      </c>
      <c r="G3907" s="46" t="s">
        <v>244</v>
      </c>
      <c r="H3907" s="46" t="s">
        <v>5502</v>
      </c>
      <c r="I3907" s="45" t="s">
        <v>205</v>
      </c>
      <c r="J3907" s="46" t="s">
        <v>127</v>
      </c>
      <c r="K3907" s="46" t="s">
        <v>127</v>
      </c>
      <c r="L3907" s="46" t="s">
        <v>15</v>
      </c>
      <c r="M3907" s="46" t="s">
        <v>13</v>
      </c>
      <c r="N3907" s="46" t="s">
        <v>14</v>
      </c>
      <c r="O3907" s="49" t="s">
        <v>814</v>
      </c>
      <c r="P3907" s="49" t="s">
        <v>4910</v>
      </c>
      <c r="Q3907" s="35" t="str">
        <f>MID(Tabla1[[#This Row],[Aplicación]],14,1)</f>
        <v>2</v>
      </c>
      <c r="R3907" s="35" t="s">
        <v>495</v>
      </c>
      <c r="S3907" s="35" t="str">
        <f>MID(Tabla1[[#This Row],[Aplicación]],6,2)</f>
        <v>10</v>
      </c>
      <c r="T3907" s="35" t="str">
        <f>VLOOKUP(Tabla1[[#This Row],[AREA]],Hoja1!A:B,2,FALSE)</f>
        <v>10. Servicios sociales y mediación comunitaria</v>
      </c>
      <c r="U3907" s="35" t="str">
        <f>MID(Tabla1[[#This Row],[Aplicación]],9,4)</f>
        <v>2412</v>
      </c>
      <c r="V3907" s="35" t="str">
        <f>VLOOKUP(Tabla1[[#This Row],[PROGRAMA]],Hoja1!A:B,2,FALSE)</f>
        <v>2412. Formación para el empleo</v>
      </c>
      <c r="W3907" s="35" t="str">
        <f>MID(Tabla1[[#This Row],[Aplicación]],14,2)</f>
        <v>21</v>
      </c>
      <c r="X3907" s="35" t="str">
        <f>MID(Tabla1[[#This Row],[Aplicación]],14,6)</f>
        <v>214</v>
      </c>
    </row>
    <row r="3908" spans="1:24" x14ac:dyDescent="0.25">
      <c r="A3908" s="45">
        <v>220210048796</v>
      </c>
      <c r="B3908" s="46" t="s">
        <v>204</v>
      </c>
      <c r="C3908" s="47">
        <v>44428</v>
      </c>
      <c r="D3908" s="45">
        <v>22021005717</v>
      </c>
      <c r="E3908" s="46" t="s">
        <v>5503</v>
      </c>
      <c r="F3908" s="48">
        <v>5968.77</v>
      </c>
      <c r="G3908" s="46" t="s">
        <v>244</v>
      </c>
      <c r="H3908" s="46" t="s">
        <v>5504</v>
      </c>
      <c r="I3908" s="45" t="s">
        <v>205</v>
      </c>
      <c r="J3908" s="46" t="s">
        <v>127</v>
      </c>
      <c r="K3908" s="46" t="s">
        <v>127</v>
      </c>
      <c r="L3908" s="46" t="s">
        <v>12</v>
      </c>
      <c r="M3908" s="46" t="s">
        <v>13</v>
      </c>
      <c r="N3908" s="46" t="s">
        <v>14</v>
      </c>
      <c r="O3908" s="49" t="s">
        <v>814</v>
      </c>
      <c r="P3908" s="49" t="s">
        <v>4910</v>
      </c>
      <c r="Q3908" s="35" t="str">
        <f>MID(Tabla1[[#This Row],[Aplicación]],14,1)</f>
        <v>6</v>
      </c>
      <c r="R3908" s="35" t="s">
        <v>496</v>
      </c>
      <c r="S3908" s="35" t="str">
        <f>MID(Tabla1[[#This Row],[Aplicación]],6,2)</f>
        <v>11</v>
      </c>
      <c r="T3908" s="35" t="str">
        <f>VLOOKUP(Tabla1[[#This Row],[AREA]],Hoja1!A:B,2,FALSE)</f>
        <v>11. Salud pública y seguridad ciudadana</v>
      </c>
      <c r="U3908" s="35" t="str">
        <f>MID(Tabla1[[#This Row],[Aplicación]],9,4)</f>
        <v>1631</v>
      </c>
      <c r="V3908" s="35" t="str">
        <f>VLOOKUP(Tabla1[[#This Row],[PROGRAMA]],Hoja1!A:B,2,FALSE)</f>
        <v>1631. Limpieza viaria</v>
      </c>
      <c r="W3908" s="35" t="str">
        <f>MID(Tabla1[[#This Row],[Aplicación]],14,2)</f>
        <v>63</v>
      </c>
      <c r="X3908" s="35" t="str">
        <f>MID(Tabla1[[#This Row],[Aplicación]],14,6)</f>
        <v>634</v>
      </c>
    </row>
    <row r="3909" spans="1:24" x14ac:dyDescent="0.25">
      <c r="A3909" s="45">
        <v>220210048825</v>
      </c>
      <c r="B3909" s="46" t="s">
        <v>204</v>
      </c>
      <c r="C3909" s="47">
        <v>44428</v>
      </c>
      <c r="D3909" s="45">
        <v>22021005717</v>
      </c>
      <c r="E3909" s="46" t="s">
        <v>5503</v>
      </c>
      <c r="F3909" s="48">
        <v>4050.87</v>
      </c>
      <c r="G3909" s="46" t="s">
        <v>244</v>
      </c>
      <c r="H3909" s="46" t="s">
        <v>5505</v>
      </c>
      <c r="I3909" s="45" t="s">
        <v>205</v>
      </c>
      <c r="J3909" s="46" t="s">
        <v>127</v>
      </c>
      <c r="K3909" s="46" t="s">
        <v>127</v>
      </c>
      <c r="L3909" s="46" t="s">
        <v>12</v>
      </c>
      <c r="M3909" s="46" t="s">
        <v>13</v>
      </c>
      <c r="N3909" s="46" t="s">
        <v>14</v>
      </c>
      <c r="O3909" s="49" t="s">
        <v>814</v>
      </c>
      <c r="P3909" s="49" t="s">
        <v>4910</v>
      </c>
      <c r="Q3909" s="35" t="str">
        <f>MID(Tabla1[[#This Row],[Aplicación]],14,1)</f>
        <v>6</v>
      </c>
      <c r="R3909" s="35" t="s">
        <v>496</v>
      </c>
      <c r="S3909" s="35" t="str">
        <f>MID(Tabla1[[#This Row],[Aplicación]],6,2)</f>
        <v>11</v>
      </c>
      <c r="T3909" s="35" t="str">
        <f>VLOOKUP(Tabla1[[#This Row],[AREA]],Hoja1!A:B,2,FALSE)</f>
        <v>11. Salud pública y seguridad ciudadana</v>
      </c>
      <c r="U3909" s="35" t="str">
        <f>MID(Tabla1[[#This Row],[Aplicación]],9,4)</f>
        <v>1631</v>
      </c>
      <c r="V3909" s="35" t="str">
        <f>VLOOKUP(Tabla1[[#This Row],[PROGRAMA]],Hoja1!A:B,2,FALSE)</f>
        <v>1631. Limpieza viaria</v>
      </c>
      <c r="W3909" s="35" t="str">
        <f>MID(Tabla1[[#This Row],[Aplicación]],14,2)</f>
        <v>63</v>
      </c>
      <c r="X3909" s="35" t="str">
        <f>MID(Tabla1[[#This Row],[Aplicación]],14,6)</f>
        <v>634</v>
      </c>
    </row>
    <row r="3910" spans="1:24" x14ac:dyDescent="0.25">
      <c r="A3910" s="45">
        <v>220210049765</v>
      </c>
      <c r="B3910" s="46" t="s">
        <v>204</v>
      </c>
      <c r="C3910" s="47">
        <v>44433</v>
      </c>
      <c r="D3910" s="45">
        <v>22021005717</v>
      </c>
      <c r="E3910" s="46" t="s">
        <v>5503</v>
      </c>
      <c r="F3910" s="48">
        <v>3118.85</v>
      </c>
      <c r="G3910" s="46" t="s">
        <v>244</v>
      </c>
      <c r="H3910" s="46" t="s">
        <v>5506</v>
      </c>
      <c r="I3910" s="45" t="s">
        <v>205</v>
      </c>
      <c r="J3910" s="46" t="s">
        <v>127</v>
      </c>
      <c r="K3910" s="46" t="s">
        <v>127</v>
      </c>
      <c r="L3910" s="46" t="s">
        <v>12</v>
      </c>
      <c r="M3910" s="46" t="s">
        <v>13</v>
      </c>
      <c r="N3910" s="46" t="s">
        <v>14</v>
      </c>
      <c r="O3910" s="49" t="s">
        <v>814</v>
      </c>
      <c r="P3910" s="49" t="s">
        <v>4910</v>
      </c>
      <c r="Q3910" s="35" t="str">
        <f>MID(Tabla1[[#This Row],[Aplicación]],14,1)</f>
        <v>6</v>
      </c>
      <c r="R3910" s="35" t="s">
        <v>496</v>
      </c>
      <c r="S3910" s="35" t="str">
        <f>MID(Tabla1[[#This Row],[Aplicación]],6,2)</f>
        <v>11</v>
      </c>
      <c r="T3910" s="35" t="str">
        <f>VLOOKUP(Tabla1[[#This Row],[AREA]],Hoja1!A:B,2,FALSE)</f>
        <v>11. Salud pública y seguridad ciudadana</v>
      </c>
      <c r="U3910" s="35" t="str">
        <f>MID(Tabla1[[#This Row],[Aplicación]],9,4)</f>
        <v>1631</v>
      </c>
      <c r="V3910" s="35" t="str">
        <f>VLOOKUP(Tabla1[[#This Row],[PROGRAMA]],Hoja1!A:B,2,FALSE)</f>
        <v>1631. Limpieza viaria</v>
      </c>
      <c r="W3910" s="35" t="str">
        <f>MID(Tabla1[[#This Row],[Aplicación]],14,2)</f>
        <v>63</v>
      </c>
      <c r="X3910" s="35" t="str">
        <f>MID(Tabla1[[#This Row],[Aplicación]],14,6)</f>
        <v>634</v>
      </c>
    </row>
    <row r="3911" spans="1:24" x14ac:dyDescent="0.25">
      <c r="A3911" s="45">
        <v>220210053584</v>
      </c>
      <c r="B3911" s="46" t="s">
        <v>204</v>
      </c>
      <c r="C3911" s="47">
        <v>44452</v>
      </c>
      <c r="D3911" s="45">
        <v>22021005716</v>
      </c>
      <c r="E3911" s="46" t="s">
        <v>1270</v>
      </c>
      <c r="F3911" s="48">
        <v>1894.44</v>
      </c>
      <c r="G3911" s="46" t="s">
        <v>244</v>
      </c>
      <c r="H3911" s="46" t="s">
        <v>5507</v>
      </c>
      <c r="I3911" s="45" t="s">
        <v>205</v>
      </c>
      <c r="J3911" s="46" t="s">
        <v>127</v>
      </c>
      <c r="K3911" s="46" t="s">
        <v>127</v>
      </c>
      <c r="L3911" s="46" t="s">
        <v>12</v>
      </c>
      <c r="M3911" s="46" t="s">
        <v>13</v>
      </c>
      <c r="N3911" s="46" t="s">
        <v>14</v>
      </c>
      <c r="O3911" s="49" t="s">
        <v>814</v>
      </c>
      <c r="P3911" s="49" t="s">
        <v>4910</v>
      </c>
      <c r="Q3911" s="35" t="str">
        <f>MID(Tabla1[[#This Row],[Aplicación]],14,1)</f>
        <v>6</v>
      </c>
      <c r="R3911" s="35" t="s">
        <v>496</v>
      </c>
      <c r="S3911" s="35" t="str">
        <f>MID(Tabla1[[#This Row],[Aplicación]],6,2)</f>
        <v>11</v>
      </c>
      <c r="T3911" s="35" t="str">
        <f>VLOOKUP(Tabla1[[#This Row],[AREA]],Hoja1!A:B,2,FALSE)</f>
        <v>11. Salud pública y seguridad ciudadana</v>
      </c>
      <c r="U3911" s="35" t="str">
        <f>MID(Tabla1[[#This Row],[Aplicación]],9,4)</f>
        <v>1621</v>
      </c>
      <c r="V3911" s="35" t="str">
        <f>VLOOKUP(Tabla1[[#This Row],[PROGRAMA]],Hoja1!A:B,2,FALSE)</f>
        <v>1621. Servicio de limpieza</v>
      </c>
      <c r="W3911" s="35" t="str">
        <f>MID(Tabla1[[#This Row],[Aplicación]],14,2)</f>
        <v>63</v>
      </c>
      <c r="X3911" s="35" t="str">
        <f>MID(Tabla1[[#This Row],[Aplicación]],14,6)</f>
        <v>634</v>
      </c>
    </row>
    <row r="3912" spans="1:24" x14ac:dyDescent="0.25">
      <c r="A3912" s="45">
        <v>220210050603</v>
      </c>
      <c r="B3912" s="46" t="s">
        <v>204</v>
      </c>
      <c r="C3912" s="47">
        <v>44441</v>
      </c>
      <c r="D3912" s="45">
        <v>22021005717</v>
      </c>
      <c r="E3912" s="46" t="s">
        <v>5503</v>
      </c>
      <c r="F3912" s="48">
        <v>1733.95</v>
      </c>
      <c r="G3912" s="46" t="s">
        <v>244</v>
      </c>
      <c r="H3912" s="46" t="s">
        <v>5508</v>
      </c>
      <c r="I3912" s="45" t="s">
        <v>205</v>
      </c>
      <c r="J3912" s="46" t="s">
        <v>127</v>
      </c>
      <c r="K3912" s="46" t="s">
        <v>127</v>
      </c>
      <c r="L3912" s="46" t="s">
        <v>12</v>
      </c>
      <c r="M3912" s="46" t="s">
        <v>13</v>
      </c>
      <c r="N3912" s="46" t="s">
        <v>14</v>
      </c>
      <c r="O3912" s="49" t="s">
        <v>814</v>
      </c>
      <c r="P3912" s="49" t="s">
        <v>4910</v>
      </c>
      <c r="Q3912" s="35" t="str">
        <f>MID(Tabla1[[#This Row],[Aplicación]],14,1)</f>
        <v>6</v>
      </c>
      <c r="R3912" s="35" t="s">
        <v>496</v>
      </c>
      <c r="S3912" s="35" t="str">
        <f>MID(Tabla1[[#This Row],[Aplicación]],6,2)</f>
        <v>11</v>
      </c>
      <c r="T3912" s="35" t="str">
        <f>VLOOKUP(Tabla1[[#This Row],[AREA]],Hoja1!A:B,2,FALSE)</f>
        <v>11. Salud pública y seguridad ciudadana</v>
      </c>
      <c r="U3912" s="35" t="str">
        <f>MID(Tabla1[[#This Row],[Aplicación]],9,4)</f>
        <v>1631</v>
      </c>
      <c r="V3912" s="35" t="str">
        <f>VLOOKUP(Tabla1[[#This Row],[PROGRAMA]],Hoja1!A:B,2,FALSE)</f>
        <v>1631. Limpieza viaria</v>
      </c>
      <c r="W3912" s="35" t="str">
        <f>MID(Tabla1[[#This Row],[Aplicación]],14,2)</f>
        <v>63</v>
      </c>
      <c r="X3912" s="35" t="str">
        <f>MID(Tabla1[[#This Row],[Aplicación]],14,6)</f>
        <v>634</v>
      </c>
    </row>
    <row r="3913" spans="1:24" x14ac:dyDescent="0.25">
      <c r="A3913" s="45">
        <v>220210050696</v>
      </c>
      <c r="B3913" s="46" t="s">
        <v>204</v>
      </c>
      <c r="C3913" s="47">
        <v>44441</v>
      </c>
      <c r="D3913" s="45">
        <v>22021005717</v>
      </c>
      <c r="E3913" s="46" t="s">
        <v>5503</v>
      </c>
      <c r="F3913" s="48">
        <v>1444.62</v>
      </c>
      <c r="G3913" s="46" t="s">
        <v>244</v>
      </c>
      <c r="H3913" s="46" t="s">
        <v>5509</v>
      </c>
      <c r="I3913" s="45" t="s">
        <v>205</v>
      </c>
      <c r="J3913" s="46" t="s">
        <v>127</v>
      </c>
      <c r="K3913" s="46" t="s">
        <v>127</v>
      </c>
      <c r="L3913" s="46" t="s">
        <v>12</v>
      </c>
      <c r="M3913" s="46" t="s">
        <v>13</v>
      </c>
      <c r="N3913" s="46" t="s">
        <v>14</v>
      </c>
      <c r="O3913" s="49" t="s">
        <v>814</v>
      </c>
      <c r="P3913" s="49" t="s">
        <v>4910</v>
      </c>
      <c r="Q3913" s="35" t="str">
        <f>MID(Tabla1[[#This Row],[Aplicación]],14,1)</f>
        <v>6</v>
      </c>
      <c r="R3913" s="35" t="s">
        <v>496</v>
      </c>
      <c r="S3913" s="35" t="str">
        <f>MID(Tabla1[[#This Row],[Aplicación]],6,2)</f>
        <v>11</v>
      </c>
      <c r="T3913" s="35" t="str">
        <f>VLOOKUP(Tabla1[[#This Row],[AREA]],Hoja1!A:B,2,FALSE)</f>
        <v>11. Salud pública y seguridad ciudadana</v>
      </c>
      <c r="U3913" s="35" t="str">
        <f>MID(Tabla1[[#This Row],[Aplicación]],9,4)</f>
        <v>1631</v>
      </c>
      <c r="V3913" s="35" t="str">
        <f>VLOOKUP(Tabla1[[#This Row],[PROGRAMA]],Hoja1!A:B,2,FALSE)</f>
        <v>1631. Limpieza viaria</v>
      </c>
      <c r="W3913" s="35" t="str">
        <f>MID(Tabla1[[#This Row],[Aplicación]],14,2)</f>
        <v>63</v>
      </c>
      <c r="X3913" s="35" t="str">
        <f>MID(Tabla1[[#This Row],[Aplicación]],14,6)</f>
        <v>634</v>
      </c>
    </row>
    <row r="3914" spans="1:24" x14ac:dyDescent="0.25">
      <c r="A3914" s="45">
        <v>220210050605</v>
      </c>
      <c r="B3914" s="46" t="s">
        <v>204</v>
      </c>
      <c r="C3914" s="47">
        <v>44441</v>
      </c>
      <c r="D3914" s="45">
        <v>22021005717</v>
      </c>
      <c r="E3914" s="46" t="s">
        <v>5503</v>
      </c>
      <c r="F3914" s="48">
        <v>1406.07</v>
      </c>
      <c r="G3914" s="46" t="s">
        <v>244</v>
      </c>
      <c r="H3914" s="46" t="s">
        <v>5510</v>
      </c>
      <c r="I3914" s="45" t="s">
        <v>205</v>
      </c>
      <c r="J3914" s="46" t="s">
        <v>127</v>
      </c>
      <c r="K3914" s="46" t="s">
        <v>127</v>
      </c>
      <c r="L3914" s="46" t="s">
        <v>12</v>
      </c>
      <c r="M3914" s="46" t="s">
        <v>13</v>
      </c>
      <c r="N3914" s="46" t="s">
        <v>14</v>
      </c>
      <c r="O3914" s="49" t="s">
        <v>814</v>
      </c>
      <c r="P3914" s="49" t="s">
        <v>4910</v>
      </c>
      <c r="Q3914" s="35" t="str">
        <f>MID(Tabla1[[#This Row],[Aplicación]],14,1)</f>
        <v>6</v>
      </c>
      <c r="R3914" s="35" t="s">
        <v>496</v>
      </c>
      <c r="S3914" s="35" t="str">
        <f>MID(Tabla1[[#This Row],[Aplicación]],6,2)</f>
        <v>11</v>
      </c>
      <c r="T3914" s="35" t="str">
        <f>VLOOKUP(Tabla1[[#This Row],[AREA]],Hoja1!A:B,2,FALSE)</f>
        <v>11. Salud pública y seguridad ciudadana</v>
      </c>
      <c r="U3914" s="35" t="str">
        <f>MID(Tabla1[[#This Row],[Aplicación]],9,4)</f>
        <v>1631</v>
      </c>
      <c r="V3914" s="35" t="str">
        <f>VLOOKUP(Tabla1[[#This Row],[PROGRAMA]],Hoja1!A:B,2,FALSE)</f>
        <v>1631. Limpieza viaria</v>
      </c>
      <c r="W3914" s="35" t="str">
        <f>MID(Tabla1[[#This Row],[Aplicación]],14,2)</f>
        <v>63</v>
      </c>
      <c r="X3914" s="35" t="str">
        <f>MID(Tabla1[[#This Row],[Aplicación]],14,6)</f>
        <v>634</v>
      </c>
    </row>
    <row r="3915" spans="1:24" x14ac:dyDescent="0.25">
      <c r="A3915" s="45">
        <v>220210050607</v>
      </c>
      <c r="B3915" s="46" t="s">
        <v>204</v>
      </c>
      <c r="C3915" s="47">
        <v>44441</v>
      </c>
      <c r="D3915" s="45">
        <v>22021005717</v>
      </c>
      <c r="E3915" s="46" t="s">
        <v>5503</v>
      </c>
      <c r="F3915" s="48">
        <v>948.25</v>
      </c>
      <c r="G3915" s="46" t="s">
        <v>244</v>
      </c>
      <c r="H3915" s="46" t="s">
        <v>5511</v>
      </c>
      <c r="I3915" s="45" t="s">
        <v>205</v>
      </c>
      <c r="J3915" s="46" t="s">
        <v>127</v>
      </c>
      <c r="K3915" s="46" t="s">
        <v>127</v>
      </c>
      <c r="L3915" s="46" t="s">
        <v>12</v>
      </c>
      <c r="M3915" s="46" t="s">
        <v>13</v>
      </c>
      <c r="N3915" s="46" t="s">
        <v>14</v>
      </c>
      <c r="O3915" s="49" t="s">
        <v>814</v>
      </c>
      <c r="P3915" s="49" t="s">
        <v>4910</v>
      </c>
      <c r="Q3915" s="35" t="str">
        <f>MID(Tabla1[[#This Row],[Aplicación]],14,1)</f>
        <v>6</v>
      </c>
      <c r="R3915" s="35" t="s">
        <v>496</v>
      </c>
      <c r="S3915" s="35" t="str">
        <f>MID(Tabla1[[#This Row],[Aplicación]],6,2)</f>
        <v>11</v>
      </c>
      <c r="T3915" s="35" t="str">
        <f>VLOOKUP(Tabla1[[#This Row],[AREA]],Hoja1!A:B,2,FALSE)</f>
        <v>11. Salud pública y seguridad ciudadana</v>
      </c>
      <c r="U3915" s="35" t="str">
        <f>MID(Tabla1[[#This Row],[Aplicación]],9,4)</f>
        <v>1631</v>
      </c>
      <c r="V3915" s="35" t="str">
        <f>VLOOKUP(Tabla1[[#This Row],[PROGRAMA]],Hoja1!A:B,2,FALSE)</f>
        <v>1631. Limpieza viaria</v>
      </c>
      <c r="W3915" s="35" t="str">
        <f>MID(Tabla1[[#This Row],[Aplicación]],14,2)</f>
        <v>63</v>
      </c>
      <c r="X3915" s="35" t="str">
        <f>MID(Tabla1[[#This Row],[Aplicación]],14,6)</f>
        <v>634</v>
      </c>
    </row>
    <row r="3916" spans="1:24" x14ac:dyDescent="0.25">
      <c r="A3916" s="45">
        <v>220210050680</v>
      </c>
      <c r="B3916" s="46" t="s">
        <v>204</v>
      </c>
      <c r="C3916" s="47">
        <v>44441</v>
      </c>
      <c r="D3916" s="45">
        <v>22021005717</v>
      </c>
      <c r="E3916" s="46" t="s">
        <v>5503</v>
      </c>
      <c r="F3916" s="48">
        <v>702.86</v>
      </c>
      <c r="G3916" s="46" t="s">
        <v>244</v>
      </c>
      <c r="H3916" s="46" t="s">
        <v>5512</v>
      </c>
      <c r="I3916" s="45" t="s">
        <v>205</v>
      </c>
      <c r="J3916" s="46" t="s">
        <v>127</v>
      </c>
      <c r="K3916" s="46" t="s">
        <v>127</v>
      </c>
      <c r="L3916" s="46" t="s">
        <v>12</v>
      </c>
      <c r="M3916" s="46" t="s">
        <v>13</v>
      </c>
      <c r="N3916" s="46" t="s">
        <v>14</v>
      </c>
      <c r="O3916" s="49" t="s">
        <v>814</v>
      </c>
      <c r="P3916" s="49" t="s">
        <v>4910</v>
      </c>
      <c r="Q3916" s="35" t="str">
        <f>MID(Tabla1[[#This Row],[Aplicación]],14,1)</f>
        <v>6</v>
      </c>
      <c r="R3916" s="35" t="s">
        <v>496</v>
      </c>
      <c r="S3916" s="35" t="str">
        <f>MID(Tabla1[[#This Row],[Aplicación]],6,2)</f>
        <v>11</v>
      </c>
      <c r="T3916" s="35" t="str">
        <f>VLOOKUP(Tabla1[[#This Row],[AREA]],Hoja1!A:B,2,FALSE)</f>
        <v>11. Salud pública y seguridad ciudadana</v>
      </c>
      <c r="U3916" s="35" t="str">
        <f>MID(Tabla1[[#This Row],[Aplicación]],9,4)</f>
        <v>1631</v>
      </c>
      <c r="V3916" s="35" t="str">
        <f>VLOOKUP(Tabla1[[#This Row],[PROGRAMA]],Hoja1!A:B,2,FALSE)</f>
        <v>1631. Limpieza viaria</v>
      </c>
      <c r="W3916" s="35" t="str">
        <f>MID(Tabla1[[#This Row],[Aplicación]],14,2)</f>
        <v>63</v>
      </c>
      <c r="X3916" s="35" t="str">
        <f>MID(Tabla1[[#This Row],[Aplicación]],14,6)</f>
        <v>634</v>
      </c>
    </row>
    <row r="3917" spans="1:24" x14ac:dyDescent="0.25">
      <c r="A3917" s="45">
        <v>220210050675</v>
      </c>
      <c r="B3917" s="46" t="s">
        <v>204</v>
      </c>
      <c r="C3917" s="47">
        <v>44441</v>
      </c>
      <c r="D3917" s="45">
        <v>22021005717</v>
      </c>
      <c r="E3917" s="46" t="s">
        <v>5503</v>
      </c>
      <c r="F3917" s="48">
        <v>405.99</v>
      </c>
      <c r="G3917" s="46" t="s">
        <v>244</v>
      </c>
      <c r="H3917" s="46" t="s">
        <v>5513</v>
      </c>
      <c r="I3917" s="45" t="s">
        <v>205</v>
      </c>
      <c r="J3917" s="46" t="s">
        <v>127</v>
      </c>
      <c r="K3917" s="46" t="s">
        <v>127</v>
      </c>
      <c r="L3917" s="46" t="s">
        <v>12</v>
      </c>
      <c r="M3917" s="46" t="s">
        <v>13</v>
      </c>
      <c r="N3917" s="46" t="s">
        <v>14</v>
      </c>
      <c r="O3917" s="49" t="s">
        <v>814</v>
      </c>
      <c r="P3917" s="49" t="s">
        <v>4910</v>
      </c>
      <c r="Q3917" s="35" t="str">
        <f>MID(Tabla1[[#This Row],[Aplicación]],14,1)</f>
        <v>6</v>
      </c>
      <c r="R3917" s="35" t="s">
        <v>496</v>
      </c>
      <c r="S3917" s="35" t="str">
        <f>MID(Tabla1[[#This Row],[Aplicación]],6,2)</f>
        <v>11</v>
      </c>
      <c r="T3917" s="35" t="str">
        <f>VLOOKUP(Tabla1[[#This Row],[AREA]],Hoja1!A:B,2,FALSE)</f>
        <v>11. Salud pública y seguridad ciudadana</v>
      </c>
      <c r="U3917" s="35" t="str">
        <f>MID(Tabla1[[#This Row],[Aplicación]],9,4)</f>
        <v>1631</v>
      </c>
      <c r="V3917" s="35" t="str">
        <f>VLOOKUP(Tabla1[[#This Row],[PROGRAMA]],Hoja1!A:B,2,FALSE)</f>
        <v>1631. Limpieza viaria</v>
      </c>
      <c r="W3917" s="35" t="str">
        <f>MID(Tabla1[[#This Row],[Aplicación]],14,2)</f>
        <v>63</v>
      </c>
      <c r="X3917" s="35" t="str">
        <f>MID(Tabla1[[#This Row],[Aplicación]],14,6)</f>
        <v>634</v>
      </c>
    </row>
    <row r="3918" spans="1:24" x14ac:dyDescent="0.25">
      <c r="A3918" s="45">
        <v>220210036224</v>
      </c>
      <c r="B3918" s="46" t="s">
        <v>9</v>
      </c>
      <c r="C3918" s="47">
        <v>44383</v>
      </c>
      <c r="D3918" s="45">
        <v>22021001198</v>
      </c>
      <c r="E3918" s="46" t="s">
        <v>890</v>
      </c>
      <c r="F3918" s="48">
        <v>5000</v>
      </c>
      <c r="G3918" s="46" t="s">
        <v>1848</v>
      </c>
      <c r="H3918" s="46" t="s">
        <v>5514</v>
      </c>
      <c r="I3918" s="45" t="s">
        <v>125</v>
      </c>
      <c r="J3918" s="46" t="s">
        <v>127</v>
      </c>
      <c r="K3918" s="46" t="s">
        <v>127</v>
      </c>
      <c r="L3918" s="46" t="s">
        <v>15</v>
      </c>
      <c r="M3918" s="46" t="s">
        <v>10</v>
      </c>
      <c r="N3918" s="46" t="s">
        <v>11</v>
      </c>
      <c r="O3918" s="49" t="s">
        <v>815</v>
      </c>
      <c r="P3918" s="49" t="s">
        <v>4910</v>
      </c>
      <c r="Q3918" s="35" t="str">
        <f>MID(Tabla1[[#This Row],[Aplicación]],14,1)</f>
        <v>2</v>
      </c>
      <c r="R3918" s="35" t="s">
        <v>495</v>
      </c>
      <c r="S3918" s="35" t="str">
        <f>MID(Tabla1[[#This Row],[Aplicación]],6,2)</f>
        <v>11</v>
      </c>
      <c r="T3918" s="35" t="str">
        <f>VLOOKUP(Tabla1[[#This Row],[AREA]],Hoja1!A:B,2,FALSE)</f>
        <v>11. Salud pública y seguridad ciudadana</v>
      </c>
      <c r="U3918" s="35" t="str">
        <f>MID(Tabla1[[#This Row],[Aplicación]],9,4)</f>
        <v>1621</v>
      </c>
      <c r="V3918" s="35" t="str">
        <f>VLOOKUP(Tabla1[[#This Row],[PROGRAMA]],Hoja1!A:B,2,FALSE)</f>
        <v>1621. Servicio de limpieza</v>
      </c>
      <c r="W3918" s="35" t="str">
        <f>MID(Tabla1[[#This Row],[Aplicación]],14,2)</f>
        <v>21</v>
      </c>
      <c r="X3918" s="35" t="str">
        <f>MID(Tabla1[[#This Row],[Aplicación]],14,6)</f>
        <v>214</v>
      </c>
    </row>
    <row r="3919" spans="1:24" x14ac:dyDescent="0.25">
      <c r="A3919" s="45">
        <v>220210045368</v>
      </c>
      <c r="B3919" s="46" t="s">
        <v>9</v>
      </c>
      <c r="C3919" s="47">
        <v>44413</v>
      </c>
      <c r="D3919" s="45">
        <v>22021001198</v>
      </c>
      <c r="E3919" s="46" t="s">
        <v>890</v>
      </c>
      <c r="F3919" s="48">
        <v>2300</v>
      </c>
      <c r="G3919" s="46" t="s">
        <v>1848</v>
      </c>
      <c r="H3919" s="46" t="s">
        <v>5515</v>
      </c>
      <c r="I3919" s="45" t="s">
        <v>125</v>
      </c>
      <c r="J3919" s="46" t="s">
        <v>127</v>
      </c>
      <c r="K3919" s="46" t="s">
        <v>127</v>
      </c>
      <c r="L3919" s="46" t="s">
        <v>15</v>
      </c>
      <c r="M3919" s="46" t="s">
        <v>10</v>
      </c>
      <c r="N3919" s="46" t="s">
        <v>11</v>
      </c>
      <c r="O3919" s="49" t="s">
        <v>815</v>
      </c>
      <c r="P3919" s="49" t="s">
        <v>4910</v>
      </c>
      <c r="Q3919" s="35" t="str">
        <f>MID(Tabla1[[#This Row],[Aplicación]],14,1)</f>
        <v>2</v>
      </c>
      <c r="R3919" s="35" t="s">
        <v>495</v>
      </c>
      <c r="S3919" s="35" t="str">
        <f>MID(Tabla1[[#This Row],[Aplicación]],6,2)</f>
        <v>11</v>
      </c>
      <c r="T3919" s="35" t="str">
        <f>VLOOKUP(Tabla1[[#This Row],[AREA]],Hoja1!A:B,2,FALSE)</f>
        <v>11. Salud pública y seguridad ciudadana</v>
      </c>
      <c r="U3919" s="35" t="str">
        <f>MID(Tabla1[[#This Row],[Aplicación]],9,4)</f>
        <v>1621</v>
      </c>
      <c r="V3919" s="35" t="str">
        <f>VLOOKUP(Tabla1[[#This Row],[PROGRAMA]],Hoja1!A:B,2,FALSE)</f>
        <v>1621. Servicio de limpieza</v>
      </c>
      <c r="W3919" s="35" t="str">
        <f>MID(Tabla1[[#This Row],[Aplicación]],14,2)</f>
        <v>21</v>
      </c>
      <c r="X3919" s="35" t="str">
        <f>MID(Tabla1[[#This Row],[Aplicación]],14,6)</f>
        <v>214</v>
      </c>
    </row>
    <row r="3920" spans="1:24" x14ac:dyDescent="0.25">
      <c r="A3920" s="45">
        <v>220210045768</v>
      </c>
      <c r="B3920" s="46" t="s">
        <v>9</v>
      </c>
      <c r="C3920" s="47">
        <v>44417</v>
      </c>
      <c r="D3920" s="45">
        <v>22021006020</v>
      </c>
      <c r="E3920" s="46" t="s">
        <v>1372</v>
      </c>
      <c r="F3920" s="48">
        <v>78</v>
      </c>
      <c r="G3920" s="46" t="s">
        <v>3265</v>
      </c>
      <c r="H3920" s="46" t="s">
        <v>5516</v>
      </c>
      <c r="I3920" s="45" t="s">
        <v>125</v>
      </c>
      <c r="J3920" s="46" t="s">
        <v>127</v>
      </c>
      <c r="K3920" s="46" t="s">
        <v>127</v>
      </c>
      <c r="L3920" s="46" t="s">
        <v>12</v>
      </c>
      <c r="M3920" s="46" t="s">
        <v>10</v>
      </c>
      <c r="N3920" s="46" t="s">
        <v>11</v>
      </c>
      <c r="O3920" s="49" t="s">
        <v>815</v>
      </c>
      <c r="P3920" s="49" t="s">
        <v>4910</v>
      </c>
      <c r="Q3920" s="35" t="str">
        <f>MID(Tabla1[[#This Row],[Aplicación]],14,1)</f>
        <v>2</v>
      </c>
      <c r="R3920" s="35" t="s">
        <v>495</v>
      </c>
      <c r="S3920" s="35" t="str">
        <f>MID(Tabla1[[#This Row],[Aplicación]],6,2)</f>
        <v>07</v>
      </c>
      <c r="T3920" s="35" t="str">
        <f>VLOOKUP(Tabla1[[#This Row],[AREA]],Hoja1!A:B,2,FALSE)</f>
        <v>07. Medio ambiente y desarrollo sostenible</v>
      </c>
      <c r="U3920" s="35" t="str">
        <f>MID(Tabla1[[#This Row],[Aplicación]],9,4)</f>
        <v>1711</v>
      </c>
      <c r="V3920" s="35" t="str">
        <f>VLOOKUP(Tabla1[[#This Row],[PROGRAMA]],Hoja1!A:B,2,FALSE)</f>
        <v>1711. Parques y jardines</v>
      </c>
      <c r="W3920" s="35" t="str">
        <f>MID(Tabla1[[#This Row],[Aplicación]],14,2)</f>
        <v>21</v>
      </c>
      <c r="X3920" s="35" t="str">
        <f>MID(Tabla1[[#This Row],[Aplicación]],14,6)</f>
        <v>213</v>
      </c>
    </row>
    <row r="3921" spans="1:24" x14ac:dyDescent="0.25">
      <c r="A3921" s="45">
        <v>220210038357</v>
      </c>
      <c r="B3921" s="46" t="s">
        <v>9</v>
      </c>
      <c r="C3921" s="47">
        <v>44392</v>
      </c>
      <c r="D3921" s="45">
        <v>22021005531</v>
      </c>
      <c r="E3921" s="46" t="s">
        <v>1172</v>
      </c>
      <c r="F3921" s="48">
        <v>156.32</v>
      </c>
      <c r="G3921" s="46" t="s">
        <v>3960</v>
      </c>
      <c r="H3921" s="46" t="s">
        <v>5517</v>
      </c>
      <c r="I3921" s="45" t="s">
        <v>125</v>
      </c>
      <c r="J3921" s="46" t="s">
        <v>127</v>
      </c>
      <c r="K3921" s="46" t="s">
        <v>127</v>
      </c>
      <c r="L3921" s="46" t="s">
        <v>15</v>
      </c>
      <c r="M3921" s="46" t="s">
        <v>10</v>
      </c>
      <c r="N3921" s="46" t="s">
        <v>11</v>
      </c>
      <c r="O3921" s="49" t="s">
        <v>815</v>
      </c>
      <c r="P3921" s="49" t="s">
        <v>4910</v>
      </c>
      <c r="Q3921" s="35" t="str">
        <f>MID(Tabla1[[#This Row],[Aplicación]],14,1)</f>
        <v>6</v>
      </c>
      <c r="R3921" s="35" t="s">
        <v>496</v>
      </c>
      <c r="S3921" s="35" t="str">
        <f>MID(Tabla1[[#This Row],[Aplicación]],6,2)</f>
        <v>02</v>
      </c>
      <c r="T3921" s="35" t="str">
        <f>VLOOKUP(Tabla1[[#This Row],[AREA]],Hoja1!A:B,2,FALSE)</f>
        <v>02. Planeamiento urbanístico y vivienda</v>
      </c>
      <c r="U3921" s="35" t="str">
        <f>MID(Tabla1[[#This Row],[Aplicación]],9,4)</f>
        <v>9332</v>
      </c>
      <c r="V3921" s="35" t="str">
        <f>VLOOKUP(Tabla1[[#This Row],[PROGRAMA]],Hoja1!A:B,2,FALSE)</f>
        <v>9332. Mantenimiento de edificios e instalaciones municipales</v>
      </c>
      <c r="W3921" s="35" t="str">
        <f>MID(Tabla1[[#This Row],[Aplicación]],14,2)</f>
        <v>63</v>
      </c>
      <c r="X3921" s="35" t="str">
        <f>MID(Tabla1[[#This Row],[Aplicación]],14,6)</f>
        <v>632</v>
      </c>
    </row>
    <row r="3922" spans="1:24" x14ac:dyDescent="0.25">
      <c r="A3922" s="45">
        <v>220210050951</v>
      </c>
      <c r="B3922" s="46" t="s">
        <v>9</v>
      </c>
      <c r="C3922" s="47">
        <v>44446</v>
      </c>
      <c r="D3922" s="45">
        <v>22021006367</v>
      </c>
      <c r="E3922" s="46" t="s">
        <v>1471</v>
      </c>
      <c r="F3922" s="48">
        <v>986.45</v>
      </c>
      <c r="G3922" s="46" t="s">
        <v>5518</v>
      </c>
      <c r="H3922" s="46" t="s">
        <v>5519</v>
      </c>
      <c r="I3922" s="45" t="s">
        <v>125</v>
      </c>
      <c r="J3922" s="46" t="s">
        <v>127</v>
      </c>
      <c r="K3922" s="46" t="s">
        <v>127</v>
      </c>
      <c r="L3922" s="46" t="s">
        <v>15</v>
      </c>
      <c r="M3922" s="46" t="s">
        <v>10</v>
      </c>
      <c r="N3922" s="46" t="s">
        <v>11</v>
      </c>
      <c r="O3922" s="49" t="s">
        <v>815</v>
      </c>
      <c r="P3922" s="49" t="s">
        <v>4910</v>
      </c>
      <c r="Q3922" s="35" t="str">
        <f>MID(Tabla1[[#This Row],[Aplicación]],14,1)</f>
        <v>2</v>
      </c>
      <c r="R3922" s="35" t="s">
        <v>495</v>
      </c>
      <c r="S3922" s="35" t="str">
        <f>MID(Tabla1[[#This Row],[Aplicación]],6,2)</f>
        <v>06</v>
      </c>
      <c r="T3922" s="35" t="str">
        <f>VLOOKUP(Tabla1[[#This Row],[AREA]],Hoja1!A:B,2,FALSE)</f>
        <v>06. Educación, infancia, juventud e igualdad</v>
      </c>
      <c r="U3922" s="35" t="str">
        <f>MID(Tabla1[[#This Row],[Aplicación]],9,4)</f>
        <v>3232</v>
      </c>
      <c r="V3922" s="35" t="str">
        <f>VLOOKUP(Tabla1[[#This Row],[PROGRAMA]],Hoja1!A:B,2,FALSE)</f>
        <v>3232. Conservación y mantenimiento centros educación infantil y primaria</v>
      </c>
      <c r="W3922" s="35" t="str">
        <f>MID(Tabla1[[#This Row],[Aplicación]],14,2)</f>
        <v>21</v>
      </c>
      <c r="X3922" s="35" t="str">
        <f>MID(Tabla1[[#This Row],[Aplicación]],14,6)</f>
        <v>212</v>
      </c>
    </row>
    <row r="3923" spans="1:24" x14ac:dyDescent="0.25">
      <c r="A3923" s="45">
        <v>220210051246</v>
      </c>
      <c r="B3923" s="46" t="s">
        <v>9</v>
      </c>
      <c r="C3923" s="47">
        <v>44448</v>
      </c>
      <c r="D3923" s="45">
        <v>22021006391</v>
      </c>
      <c r="E3923" s="46" t="s">
        <v>2203</v>
      </c>
      <c r="F3923" s="48">
        <v>916.83</v>
      </c>
      <c r="G3923" s="46" t="s">
        <v>2262</v>
      </c>
      <c r="H3923" s="46" t="s">
        <v>5520</v>
      </c>
      <c r="I3923" s="45" t="s">
        <v>125</v>
      </c>
      <c r="J3923" s="46" t="s">
        <v>127</v>
      </c>
      <c r="K3923" s="46" t="s">
        <v>127</v>
      </c>
      <c r="L3923" s="46" t="s">
        <v>12</v>
      </c>
      <c r="M3923" s="46" t="s">
        <v>13</v>
      </c>
      <c r="N3923" s="46" t="s">
        <v>14</v>
      </c>
      <c r="O3923" s="49" t="s">
        <v>803</v>
      </c>
      <c r="P3923" s="49" t="s">
        <v>4910</v>
      </c>
      <c r="Q3923" s="35" t="str">
        <f>MID(Tabla1[[#This Row],[Aplicación]],14,1)</f>
        <v>6</v>
      </c>
      <c r="R3923" s="35" t="s">
        <v>496</v>
      </c>
      <c r="S3923" s="35" t="str">
        <f>MID(Tabla1[[#This Row],[Aplicación]],6,2)</f>
        <v>02</v>
      </c>
      <c r="T3923" s="35" t="str">
        <f>VLOOKUP(Tabla1[[#This Row],[AREA]],Hoja1!A:B,2,FALSE)</f>
        <v>02. Planeamiento urbanístico y vivienda</v>
      </c>
      <c r="U3923" s="35" t="str">
        <f>MID(Tabla1[[#This Row],[Aplicación]],9,4)</f>
        <v>1511</v>
      </c>
      <c r="V3923" s="35" t="str">
        <f>VLOOKUP(Tabla1[[#This Row],[PROGRAMA]],Hoja1!A:B,2,FALSE)</f>
        <v>1511. Planficación y gestión del urbanismo</v>
      </c>
      <c r="W3923" s="35" t="str">
        <f>MID(Tabla1[[#This Row],[Aplicación]],14,2)</f>
        <v>61</v>
      </c>
      <c r="X3923" s="35" t="str">
        <f>MID(Tabla1[[#This Row],[Aplicación]],14,6)</f>
        <v>619</v>
      </c>
    </row>
    <row r="3924" spans="1:24" x14ac:dyDescent="0.25">
      <c r="A3924" s="45">
        <v>220210056288</v>
      </c>
      <c r="B3924" s="46" t="s">
        <v>9</v>
      </c>
      <c r="C3924" s="47">
        <v>44454</v>
      </c>
      <c r="D3924" s="45">
        <v>22021005291</v>
      </c>
      <c r="E3924" s="46" t="s">
        <v>1196</v>
      </c>
      <c r="F3924" s="48">
        <v>912.72</v>
      </c>
      <c r="G3924" s="46" t="s">
        <v>2262</v>
      </c>
      <c r="H3924" s="46" t="s">
        <v>5521</v>
      </c>
      <c r="I3924" s="45" t="s">
        <v>125</v>
      </c>
      <c r="J3924" s="46" t="s">
        <v>127</v>
      </c>
      <c r="K3924" s="46" t="s">
        <v>127</v>
      </c>
      <c r="L3924" s="46" t="s">
        <v>31</v>
      </c>
      <c r="M3924" s="46" t="s">
        <v>13</v>
      </c>
      <c r="N3924" s="46" t="s">
        <v>14</v>
      </c>
      <c r="O3924" s="49" t="s">
        <v>803</v>
      </c>
      <c r="P3924" s="49" t="s">
        <v>4910</v>
      </c>
      <c r="Q3924" s="35" t="str">
        <f>MID(Tabla1[[#This Row],[Aplicación]],14,1)</f>
        <v>6</v>
      </c>
      <c r="R3924" s="35" t="s">
        <v>496</v>
      </c>
      <c r="S3924" s="35" t="str">
        <f>MID(Tabla1[[#This Row],[Aplicación]],6,2)</f>
        <v>08</v>
      </c>
      <c r="T3924" s="35" t="str">
        <f>VLOOKUP(Tabla1[[#This Row],[AREA]],Hoja1!A:B,2,FALSE)</f>
        <v>08. Movilidad y espacio urbano</v>
      </c>
      <c r="U3924" s="35" t="str">
        <f>MID(Tabla1[[#This Row],[Aplicación]],9,4)</f>
        <v>1341</v>
      </c>
      <c r="V3924" s="35" t="str">
        <f>VLOOKUP(Tabla1[[#This Row],[PROGRAMA]],Hoja1!A:B,2,FALSE)</f>
        <v>1341. Movilidad</v>
      </c>
      <c r="W3924" s="35" t="str">
        <f>MID(Tabla1[[#This Row],[Aplicación]],14,2)</f>
        <v>61</v>
      </c>
      <c r="X3924" s="35" t="str">
        <f>MID(Tabla1[[#This Row],[Aplicación]],14,6)</f>
        <v>619</v>
      </c>
    </row>
    <row r="3925" spans="1:24" x14ac:dyDescent="0.25">
      <c r="A3925" s="45">
        <v>220210050896</v>
      </c>
      <c r="B3925" s="46" t="s">
        <v>9</v>
      </c>
      <c r="C3925" s="47">
        <v>44442</v>
      </c>
      <c r="D3925" s="45">
        <v>22021006355</v>
      </c>
      <c r="E3925" s="46" t="s">
        <v>2049</v>
      </c>
      <c r="F3925" s="48">
        <v>795</v>
      </c>
      <c r="G3925" s="46" t="s">
        <v>5522</v>
      </c>
      <c r="H3925" s="46" t="s">
        <v>5523</v>
      </c>
      <c r="I3925" s="45" t="s">
        <v>125</v>
      </c>
      <c r="J3925" s="46" t="s">
        <v>5524</v>
      </c>
      <c r="K3925" s="46" t="s">
        <v>201</v>
      </c>
      <c r="L3925" s="46" t="s">
        <v>15</v>
      </c>
      <c r="M3925" s="46" t="s">
        <v>10</v>
      </c>
      <c r="N3925" s="46" t="s">
        <v>11</v>
      </c>
      <c r="O3925" s="49" t="s">
        <v>815</v>
      </c>
      <c r="P3925" s="49" t="s">
        <v>4910</v>
      </c>
      <c r="Q3925" s="35" t="str">
        <f>MID(Tabla1[[#This Row],[Aplicación]],14,1)</f>
        <v>2</v>
      </c>
      <c r="R3925" s="35" t="s">
        <v>495</v>
      </c>
      <c r="S3925" s="35" t="str">
        <f>MID(Tabla1[[#This Row],[Aplicación]],6,2)</f>
        <v>11</v>
      </c>
      <c r="T3925" s="35" t="str">
        <f>VLOOKUP(Tabla1[[#This Row],[AREA]],Hoja1!A:B,2,FALSE)</f>
        <v>11. Salud pública y seguridad ciudadana</v>
      </c>
      <c r="U3925" s="35" t="str">
        <f>MID(Tabla1[[#This Row],[Aplicación]],9,4)</f>
        <v>1621</v>
      </c>
      <c r="V3925" s="35" t="str">
        <f>VLOOKUP(Tabla1[[#This Row],[PROGRAMA]],Hoja1!A:B,2,FALSE)</f>
        <v>1621. Servicio de limpieza</v>
      </c>
      <c r="W3925" s="35" t="str">
        <f>MID(Tabla1[[#This Row],[Aplicación]],14,2)</f>
        <v>22</v>
      </c>
      <c r="X3925" s="35" t="str">
        <f>MID(Tabla1[[#This Row],[Aplicación]],14,6)</f>
        <v>22110</v>
      </c>
    </row>
    <row r="3926" spans="1:24" x14ac:dyDescent="0.25">
      <c r="A3926" s="45">
        <v>220210042105</v>
      </c>
      <c r="B3926" s="46" t="s">
        <v>9</v>
      </c>
      <c r="C3926" s="47">
        <v>44400</v>
      </c>
      <c r="D3926" s="45">
        <v>22021005802</v>
      </c>
      <c r="E3926" s="46" t="s">
        <v>5525</v>
      </c>
      <c r="F3926" s="48">
        <v>11884.78</v>
      </c>
      <c r="G3926" s="46" t="s">
        <v>2337</v>
      </c>
      <c r="H3926" s="46" t="s">
        <v>5526</v>
      </c>
      <c r="I3926" s="45" t="s">
        <v>125</v>
      </c>
      <c r="J3926" s="46" t="s">
        <v>2339</v>
      </c>
      <c r="K3926" s="46" t="s">
        <v>126</v>
      </c>
      <c r="L3926" s="46" t="s">
        <v>15</v>
      </c>
      <c r="M3926" s="46" t="s">
        <v>10</v>
      </c>
      <c r="N3926" s="46" t="s">
        <v>11</v>
      </c>
      <c r="O3926" s="49" t="s">
        <v>815</v>
      </c>
      <c r="P3926" s="49" t="s">
        <v>4910</v>
      </c>
      <c r="Q3926" s="35" t="str">
        <f>MID(Tabla1[[#This Row],[Aplicación]],14,1)</f>
        <v>6</v>
      </c>
      <c r="R3926" s="35" t="s">
        <v>496</v>
      </c>
      <c r="S3926" s="35" t="str">
        <f>MID(Tabla1[[#This Row],[Aplicación]],6,2)</f>
        <v>11</v>
      </c>
      <c r="T3926" s="35" t="str">
        <f>VLOOKUP(Tabla1[[#This Row],[AREA]],Hoja1!A:B,2,FALSE)</f>
        <v>11. Salud pública y seguridad ciudadana</v>
      </c>
      <c r="U3926" s="35" t="str">
        <f>MID(Tabla1[[#This Row],[Aplicación]],9,4)</f>
        <v>1361</v>
      </c>
      <c r="V3926" s="35" t="str">
        <f>VLOOKUP(Tabla1[[#This Row],[PROGRAMA]],Hoja1!A:B,2,FALSE)</f>
        <v>1361. Prevención y extinción de incencios</v>
      </c>
      <c r="W3926" s="35" t="str">
        <f>MID(Tabla1[[#This Row],[Aplicación]],14,2)</f>
        <v>62</v>
      </c>
      <c r="X3926" s="35" t="str">
        <f>MID(Tabla1[[#This Row],[Aplicación]],14,6)</f>
        <v>623</v>
      </c>
    </row>
    <row r="3927" spans="1:24" x14ac:dyDescent="0.25">
      <c r="A3927" s="45">
        <v>220210051244</v>
      </c>
      <c r="B3927" s="46" t="s">
        <v>9</v>
      </c>
      <c r="C3927" s="47">
        <v>44448</v>
      </c>
      <c r="D3927" s="45">
        <v>22021006405</v>
      </c>
      <c r="E3927" s="46" t="s">
        <v>1621</v>
      </c>
      <c r="F3927" s="48">
        <v>726</v>
      </c>
      <c r="G3927" s="46" t="s">
        <v>5527</v>
      </c>
      <c r="H3927" s="46" t="s">
        <v>5528</v>
      </c>
      <c r="I3927" s="45" t="s">
        <v>125</v>
      </c>
      <c r="J3927" s="46" t="s">
        <v>661</v>
      </c>
      <c r="K3927" s="46" t="s">
        <v>127</v>
      </c>
      <c r="L3927" s="46" t="s">
        <v>12</v>
      </c>
      <c r="M3927" s="46" t="s">
        <v>10</v>
      </c>
      <c r="N3927" s="46" t="s">
        <v>11</v>
      </c>
      <c r="O3927" s="49" t="s">
        <v>815</v>
      </c>
      <c r="P3927" s="49" t="s">
        <v>4910</v>
      </c>
      <c r="Q3927" s="35" t="str">
        <f>MID(Tabla1[[#This Row],[Aplicación]],14,1)</f>
        <v>2</v>
      </c>
      <c r="R3927" s="35" t="s">
        <v>495</v>
      </c>
      <c r="S3927" s="35" t="str">
        <f>MID(Tabla1[[#This Row],[Aplicación]],6,2)</f>
        <v>01</v>
      </c>
      <c r="T3927" s="35" t="str">
        <f>VLOOKUP(Tabla1[[#This Row],[AREA]],Hoja1!A:B,2,FALSE)</f>
        <v>01. Alcaldía</v>
      </c>
      <c r="U3927" s="35" t="str">
        <f>MID(Tabla1[[#This Row],[Aplicación]],9,4)</f>
        <v>9207</v>
      </c>
      <c r="V3927" s="35" t="str">
        <f>VLOOKUP(Tabla1[[#This Row],[PROGRAMA]],Hoja1!A:B,2,FALSE)</f>
        <v>9207. Gobierno y relaciones</v>
      </c>
      <c r="W3927" s="35" t="str">
        <f>MID(Tabla1[[#This Row],[Aplicación]],14,2)</f>
        <v>22</v>
      </c>
      <c r="X3927" s="35" t="str">
        <f>MID(Tabla1[[#This Row],[Aplicación]],14,6)</f>
        <v>22602</v>
      </c>
    </row>
    <row r="3928" spans="1:24" x14ac:dyDescent="0.25">
      <c r="A3928" s="45">
        <v>220210050350</v>
      </c>
      <c r="B3928" s="46" t="s">
        <v>9</v>
      </c>
      <c r="C3928" s="47">
        <v>44438</v>
      </c>
      <c r="D3928" s="45">
        <v>22021006206</v>
      </c>
      <c r="E3928" s="46" t="s">
        <v>2720</v>
      </c>
      <c r="F3928" s="48">
        <v>710.39</v>
      </c>
      <c r="G3928" s="46" t="s">
        <v>3684</v>
      </c>
      <c r="H3928" s="46" t="s">
        <v>5529</v>
      </c>
      <c r="I3928" s="45" t="s">
        <v>125</v>
      </c>
      <c r="J3928" s="46" t="s">
        <v>127</v>
      </c>
      <c r="K3928" s="46" t="s">
        <v>127</v>
      </c>
      <c r="L3928" s="46" t="s">
        <v>15</v>
      </c>
      <c r="M3928" s="46" t="s">
        <v>10</v>
      </c>
      <c r="N3928" s="46" t="s">
        <v>11</v>
      </c>
      <c r="O3928" s="49" t="s">
        <v>815</v>
      </c>
      <c r="P3928" s="49" t="s">
        <v>4910</v>
      </c>
      <c r="Q3928" s="35" t="str">
        <f>MID(Tabla1[[#This Row],[Aplicación]],14,1)</f>
        <v>6</v>
      </c>
      <c r="R3928" s="35" t="s">
        <v>496</v>
      </c>
      <c r="S3928" s="35" t="str">
        <f>MID(Tabla1[[#This Row],[Aplicación]],6,2)</f>
        <v>04</v>
      </c>
      <c r="T3928" s="35" t="str">
        <f>VLOOKUP(Tabla1[[#This Row],[AREA]],Hoja1!A:B,2,FALSE)</f>
        <v>04. Planificación y recursos</v>
      </c>
      <c r="U3928" s="35" t="str">
        <f>MID(Tabla1[[#This Row],[Aplicación]],9,4)</f>
        <v>9209</v>
      </c>
      <c r="V3928" s="35" t="str">
        <f>VLOOKUP(Tabla1[[#This Row],[PROGRAMA]],Hoja1!A:B,2,FALSE)</f>
        <v>9209. Dirección del area de hacienda y función pública</v>
      </c>
      <c r="W3928" s="35" t="str">
        <f>MID(Tabla1[[#This Row],[Aplicación]],14,2)</f>
        <v>62</v>
      </c>
      <c r="X3928" s="35" t="str">
        <f>MID(Tabla1[[#This Row],[Aplicación]],14,6)</f>
        <v>625</v>
      </c>
    </row>
    <row r="3929" spans="1:24" x14ac:dyDescent="0.25">
      <c r="A3929" s="45">
        <v>220210044265</v>
      </c>
      <c r="B3929" s="46" t="s">
        <v>9</v>
      </c>
      <c r="C3929" s="47">
        <v>44406</v>
      </c>
      <c r="D3929" s="45">
        <v>22021005786</v>
      </c>
      <c r="E3929" s="46" t="s">
        <v>844</v>
      </c>
      <c r="F3929" s="48">
        <v>946.05</v>
      </c>
      <c r="G3929" s="46" t="s">
        <v>4810</v>
      </c>
      <c r="H3929" s="46" t="s">
        <v>5530</v>
      </c>
      <c r="I3929" s="45" t="s">
        <v>125</v>
      </c>
      <c r="J3929" s="46" t="s">
        <v>148</v>
      </c>
      <c r="K3929" s="46" t="s">
        <v>201</v>
      </c>
      <c r="L3929" s="46" t="s">
        <v>12</v>
      </c>
      <c r="M3929" s="46" t="s">
        <v>10</v>
      </c>
      <c r="N3929" s="46" t="s">
        <v>11</v>
      </c>
      <c r="O3929" s="49" t="s">
        <v>815</v>
      </c>
      <c r="P3929" s="49" t="s">
        <v>4910</v>
      </c>
      <c r="Q3929" s="35" t="str">
        <f>MID(Tabla1[[#This Row],[Aplicación]],14,1)</f>
        <v>2</v>
      </c>
      <c r="R3929" s="35" t="s">
        <v>495</v>
      </c>
      <c r="S3929" s="35" t="str">
        <f>MID(Tabla1[[#This Row],[Aplicación]],6,2)</f>
        <v>10</v>
      </c>
      <c r="T3929" s="35" t="str">
        <f>VLOOKUP(Tabla1[[#This Row],[AREA]],Hoja1!A:B,2,FALSE)</f>
        <v>10. Servicios sociales y mediación comunitaria</v>
      </c>
      <c r="U3929" s="35" t="str">
        <f>MID(Tabla1[[#This Row],[Aplicación]],9,4)</f>
        <v>2312</v>
      </c>
      <c r="V3929" s="35" t="str">
        <f>VLOOKUP(Tabla1[[#This Row],[PROGRAMA]],Hoja1!A:B,2,FALSE)</f>
        <v>2312. Iniciativas sociales</v>
      </c>
      <c r="W3929" s="35" t="str">
        <f>MID(Tabla1[[#This Row],[Aplicación]],14,2)</f>
        <v>21</v>
      </c>
      <c r="X3929" s="35" t="str">
        <f>MID(Tabla1[[#This Row],[Aplicación]],14,6)</f>
        <v>212</v>
      </c>
    </row>
    <row r="3930" spans="1:24" x14ac:dyDescent="0.25">
      <c r="A3930" s="45">
        <v>220210051242</v>
      </c>
      <c r="B3930" s="46" t="s">
        <v>9</v>
      </c>
      <c r="C3930" s="47">
        <v>44448</v>
      </c>
      <c r="D3930" s="45">
        <v>22021006436</v>
      </c>
      <c r="E3930" s="46" t="s">
        <v>1478</v>
      </c>
      <c r="F3930" s="48">
        <v>702.1</v>
      </c>
      <c r="G3930" s="46" t="s">
        <v>87</v>
      </c>
      <c r="H3930" s="46" t="s">
        <v>5531</v>
      </c>
      <c r="I3930" s="45" t="s">
        <v>125</v>
      </c>
      <c r="J3930" s="46" t="s">
        <v>127</v>
      </c>
      <c r="K3930" s="46" t="s">
        <v>127</v>
      </c>
      <c r="L3930" s="46" t="s">
        <v>15</v>
      </c>
      <c r="M3930" s="46" t="s">
        <v>10</v>
      </c>
      <c r="N3930" s="46" t="s">
        <v>11</v>
      </c>
      <c r="O3930" s="49" t="s">
        <v>815</v>
      </c>
      <c r="P3930" s="49" t="s">
        <v>4910</v>
      </c>
      <c r="Q3930" s="35" t="str">
        <f>MID(Tabla1[[#This Row],[Aplicación]],14,1)</f>
        <v>2</v>
      </c>
      <c r="R3930" s="35" t="s">
        <v>495</v>
      </c>
      <c r="S3930" s="35" t="str">
        <f>MID(Tabla1[[#This Row],[Aplicación]],6,2)</f>
        <v>03</v>
      </c>
      <c r="T3930" s="35" t="str">
        <f>VLOOKUP(Tabla1[[#This Row],[AREA]],Hoja1!A:B,2,FALSE)</f>
        <v>03. Participación ciudadana y deportes</v>
      </c>
      <c r="U3930" s="35" t="str">
        <f>MID(Tabla1[[#This Row],[Aplicación]],9,4)</f>
        <v>9241</v>
      </c>
      <c r="V3930" s="35" t="str">
        <f>VLOOKUP(Tabla1[[#This Row],[PROGRAMA]],Hoja1!A:B,2,FALSE)</f>
        <v>9241. Participación ciudadana</v>
      </c>
      <c r="W3930" s="35" t="str">
        <f>MID(Tabla1[[#This Row],[Aplicación]],14,2)</f>
        <v>21</v>
      </c>
      <c r="X3930" s="35" t="str">
        <f>MID(Tabla1[[#This Row],[Aplicación]],14,6)</f>
        <v>212</v>
      </c>
    </row>
    <row r="3931" spans="1:24" x14ac:dyDescent="0.25">
      <c r="A3931" s="45">
        <v>220210049416</v>
      </c>
      <c r="B3931" s="46" t="s">
        <v>9</v>
      </c>
      <c r="C3931" s="47">
        <v>44432</v>
      </c>
      <c r="D3931" s="45">
        <v>22021006173</v>
      </c>
      <c r="E3931" s="46" t="s">
        <v>1990</v>
      </c>
      <c r="F3931" s="48">
        <v>690</v>
      </c>
      <c r="G3931" s="46" t="s">
        <v>5532</v>
      </c>
      <c r="H3931" s="46" t="s">
        <v>5533</v>
      </c>
      <c r="I3931" s="45" t="s">
        <v>125</v>
      </c>
      <c r="J3931" s="46" t="s">
        <v>127</v>
      </c>
      <c r="K3931" s="46" t="s">
        <v>127</v>
      </c>
      <c r="L3931" s="46" t="s">
        <v>12</v>
      </c>
      <c r="M3931" s="46" t="s">
        <v>10</v>
      </c>
      <c r="N3931" s="46" t="s">
        <v>11</v>
      </c>
      <c r="O3931" s="49" t="s">
        <v>815</v>
      </c>
      <c r="P3931" s="49" t="s">
        <v>4910</v>
      </c>
      <c r="Q3931" s="35" t="str">
        <f>MID(Tabla1[[#This Row],[Aplicación]],14,1)</f>
        <v>2</v>
      </c>
      <c r="R3931" s="35" t="s">
        <v>495</v>
      </c>
      <c r="S3931" s="35" t="str">
        <f>MID(Tabla1[[#This Row],[Aplicación]],6,2)</f>
        <v>06</v>
      </c>
      <c r="T3931" s="35" t="str">
        <f>VLOOKUP(Tabla1[[#This Row],[AREA]],Hoja1!A:B,2,FALSE)</f>
        <v>06. Educación, infancia, juventud e igualdad</v>
      </c>
      <c r="U3931" s="35" t="str">
        <f>MID(Tabla1[[#This Row],[Aplicación]],9,4)</f>
        <v>3321</v>
      </c>
      <c r="V3931" s="35" t="str">
        <f>VLOOKUP(Tabla1[[#This Row],[PROGRAMA]],Hoja1!A:B,2,FALSE)</f>
        <v>3321. Bibliotecas públicas</v>
      </c>
      <c r="W3931" s="35" t="str">
        <f>MID(Tabla1[[#This Row],[Aplicación]],14,2)</f>
        <v>22</v>
      </c>
      <c r="X3931" s="35" t="str">
        <f>MID(Tabla1[[#This Row],[Aplicación]],14,6)</f>
        <v>22799</v>
      </c>
    </row>
    <row r="3932" spans="1:24" x14ac:dyDescent="0.25">
      <c r="A3932" s="45">
        <v>220210045350</v>
      </c>
      <c r="B3932" s="46" t="s">
        <v>9</v>
      </c>
      <c r="C3932" s="47">
        <v>44412</v>
      </c>
      <c r="D3932" s="45">
        <v>22021005817</v>
      </c>
      <c r="E3932" s="46" t="s">
        <v>1187</v>
      </c>
      <c r="F3932" s="48">
        <v>922.02</v>
      </c>
      <c r="G3932" s="46" t="s">
        <v>5534</v>
      </c>
      <c r="H3932" s="46" t="s">
        <v>5535</v>
      </c>
      <c r="I3932" s="45" t="s">
        <v>125</v>
      </c>
      <c r="J3932" s="46" t="s">
        <v>127</v>
      </c>
      <c r="K3932" s="46" t="s">
        <v>127</v>
      </c>
      <c r="L3932" s="46" t="s">
        <v>12</v>
      </c>
      <c r="M3932" s="46" t="s">
        <v>10</v>
      </c>
      <c r="N3932" s="46" t="s">
        <v>11</v>
      </c>
      <c r="O3932" s="49" t="s">
        <v>815</v>
      </c>
      <c r="P3932" s="49" t="s">
        <v>4910</v>
      </c>
      <c r="Q3932" s="35" t="str">
        <f>MID(Tabla1[[#This Row],[Aplicación]],14,1)</f>
        <v>2</v>
      </c>
      <c r="R3932" s="35" t="s">
        <v>495</v>
      </c>
      <c r="S3932" s="35" t="str">
        <f>MID(Tabla1[[#This Row],[Aplicación]],6,2)</f>
        <v>06</v>
      </c>
      <c r="T3932" s="35" t="str">
        <f>VLOOKUP(Tabla1[[#This Row],[AREA]],Hoja1!A:B,2,FALSE)</f>
        <v>06. Educación, infancia, juventud e igualdad</v>
      </c>
      <c r="U3932" s="35" t="str">
        <f>MID(Tabla1[[#This Row],[Aplicación]],9,4)</f>
        <v>2315</v>
      </c>
      <c r="V3932" s="35" t="str">
        <f>VLOOKUP(Tabla1[[#This Row],[PROGRAMA]],Hoja1!A:B,2,FALSE)</f>
        <v>2315. Políticas de Igualdad e infancia</v>
      </c>
      <c r="W3932" s="35" t="str">
        <f>MID(Tabla1[[#This Row],[Aplicación]],14,2)</f>
        <v>22</v>
      </c>
      <c r="X3932" s="35" t="str">
        <f>MID(Tabla1[[#This Row],[Aplicación]],14,6)</f>
        <v>22611</v>
      </c>
    </row>
    <row r="3933" spans="1:24" x14ac:dyDescent="0.25">
      <c r="A3933" s="45">
        <v>220210041570</v>
      </c>
      <c r="B3933" s="46" t="s">
        <v>9</v>
      </c>
      <c r="C3933" s="47">
        <v>44398</v>
      </c>
      <c r="D3933" s="45">
        <v>22021005689</v>
      </c>
      <c r="E3933" s="46" t="s">
        <v>2636</v>
      </c>
      <c r="F3933" s="48">
        <v>6824.4</v>
      </c>
      <c r="G3933" s="46" t="s">
        <v>552</v>
      </c>
      <c r="H3933" s="46" t="s">
        <v>5536</v>
      </c>
      <c r="I3933" s="45" t="s">
        <v>125</v>
      </c>
      <c r="J3933" s="46" t="s">
        <v>157</v>
      </c>
      <c r="K3933" s="46" t="s">
        <v>157</v>
      </c>
      <c r="L3933" s="46" t="s">
        <v>12</v>
      </c>
      <c r="M3933" s="46" t="s">
        <v>10</v>
      </c>
      <c r="N3933" s="46" t="s">
        <v>11</v>
      </c>
      <c r="O3933" s="49" t="s">
        <v>815</v>
      </c>
      <c r="P3933" s="49" t="s">
        <v>4910</v>
      </c>
      <c r="Q3933" s="35" t="str">
        <f>MID(Tabla1[[#This Row],[Aplicación]],14,1)</f>
        <v>2</v>
      </c>
      <c r="R3933" s="35" t="s">
        <v>495</v>
      </c>
      <c r="S3933" s="35" t="str">
        <f>MID(Tabla1[[#This Row],[Aplicación]],6,2)</f>
        <v>07</v>
      </c>
      <c r="T3933" s="35" t="str">
        <f>VLOOKUP(Tabla1[[#This Row],[AREA]],Hoja1!A:B,2,FALSE)</f>
        <v>07. Medio ambiente y desarrollo sostenible</v>
      </c>
      <c r="U3933" s="35" t="str">
        <f>MID(Tabla1[[#This Row],[Aplicación]],9,4)</f>
        <v>1721</v>
      </c>
      <c r="V3933" s="35" t="str">
        <f>VLOOKUP(Tabla1[[#This Row],[PROGRAMA]],Hoja1!A:B,2,FALSE)</f>
        <v>1721. Protección del medio ambiente</v>
      </c>
      <c r="W3933" s="35" t="str">
        <f>MID(Tabla1[[#This Row],[Aplicación]],14,2)</f>
        <v>22</v>
      </c>
      <c r="X3933" s="35" t="str">
        <f>MID(Tabla1[[#This Row],[Aplicación]],14,6)</f>
        <v>22706</v>
      </c>
    </row>
    <row r="3934" spans="1:24" x14ac:dyDescent="0.25">
      <c r="A3934" s="45">
        <v>220210037260</v>
      </c>
      <c r="B3934" s="46" t="s">
        <v>204</v>
      </c>
      <c r="C3934" s="47">
        <v>44391</v>
      </c>
      <c r="D3934" s="45">
        <v>22021000006</v>
      </c>
      <c r="E3934" s="46" t="s">
        <v>1251</v>
      </c>
      <c r="F3934" s="48">
        <v>32246.5</v>
      </c>
      <c r="G3934" s="46" t="s">
        <v>121</v>
      </c>
      <c r="H3934" s="46" t="s">
        <v>5537</v>
      </c>
      <c r="I3934" s="45" t="s">
        <v>205</v>
      </c>
      <c r="J3934" s="46" t="s">
        <v>664</v>
      </c>
      <c r="K3934" s="46" t="s">
        <v>127</v>
      </c>
      <c r="L3934" s="46" t="s">
        <v>12</v>
      </c>
      <c r="M3934" s="46" t="s">
        <v>13</v>
      </c>
      <c r="N3934" s="46" t="s">
        <v>14</v>
      </c>
      <c r="O3934" s="49" t="s">
        <v>803</v>
      </c>
      <c r="P3934" s="49" t="s">
        <v>4910</v>
      </c>
      <c r="Q3934" s="35" t="str">
        <f>MID(Tabla1[[#This Row],[Aplicación]],14,1)</f>
        <v>2</v>
      </c>
      <c r="R3934" s="35" t="s">
        <v>495</v>
      </c>
      <c r="S3934" s="35" t="str">
        <f>MID(Tabla1[[#This Row],[Aplicación]],6,2)</f>
        <v>09</v>
      </c>
      <c r="T3934" s="35" t="str">
        <f>VLOOKUP(Tabla1[[#This Row],[AREA]],Hoja1!A:B,2,FALSE)</f>
        <v>09. Cultura y turismo</v>
      </c>
      <c r="U3934" s="35" t="str">
        <f>MID(Tabla1[[#This Row],[Aplicación]],9,4)</f>
        <v>3301</v>
      </c>
      <c r="V3934" s="35" t="str">
        <f>VLOOKUP(Tabla1[[#This Row],[PROGRAMA]],Hoja1!A:B,2,FALSE)</f>
        <v>3301. Dirección del área de cultura</v>
      </c>
      <c r="W3934" s="35" t="str">
        <f>MID(Tabla1[[#This Row],[Aplicación]],14,2)</f>
        <v>22</v>
      </c>
      <c r="X3934" s="35" t="str">
        <f>MID(Tabla1[[#This Row],[Aplicación]],14,6)</f>
        <v>22799</v>
      </c>
    </row>
    <row r="3935" spans="1:24" x14ac:dyDescent="0.25">
      <c r="A3935" s="45">
        <v>220210037286</v>
      </c>
      <c r="B3935" s="46" t="s">
        <v>9</v>
      </c>
      <c r="C3935" s="47">
        <v>44391</v>
      </c>
      <c r="D3935" s="45">
        <v>22021002658</v>
      </c>
      <c r="E3935" s="46" t="s">
        <v>1487</v>
      </c>
      <c r="F3935" s="48">
        <v>18089.5</v>
      </c>
      <c r="G3935" s="46" t="s">
        <v>121</v>
      </c>
      <c r="H3935" s="46" t="s">
        <v>5538</v>
      </c>
      <c r="I3935" s="45" t="s">
        <v>125</v>
      </c>
      <c r="J3935" s="46" t="s">
        <v>664</v>
      </c>
      <c r="K3935" s="46" t="s">
        <v>127</v>
      </c>
      <c r="L3935" s="46" t="s">
        <v>12</v>
      </c>
      <c r="M3935" s="46" t="s">
        <v>10</v>
      </c>
      <c r="N3935" s="46" t="s">
        <v>11</v>
      </c>
      <c r="O3935" s="49" t="s">
        <v>815</v>
      </c>
      <c r="P3935" s="49" t="s">
        <v>4910</v>
      </c>
      <c r="Q3935" s="35" t="str">
        <f>MID(Tabla1[[#This Row],[Aplicación]],14,1)</f>
        <v>6</v>
      </c>
      <c r="R3935" s="35" t="s">
        <v>496</v>
      </c>
      <c r="S3935" s="35" t="str">
        <f>MID(Tabla1[[#This Row],[Aplicación]],6,2)</f>
        <v>08</v>
      </c>
      <c r="T3935" s="35" t="str">
        <f>VLOOKUP(Tabla1[[#This Row],[AREA]],Hoja1!A:B,2,FALSE)</f>
        <v>08. Movilidad y espacio urbano</v>
      </c>
      <c r="U3935" s="35" t="str">
        <f>MID(Tabla1[[#This Row],[Aplicación]],9,4)</f>
        <v>1532</v>
      </c>
      <c r="V3935" s="35" t="str">
        <f>VLOOKUP(Tabla1[[#This Row],[PROGRAMA]],Hoja1!A:B,2,FALSE)</f>
        <v>1532. Pavimentación vias públicas y otros servicios urbanísticos</v>
      </c>
      <c r="W3935" s="35" t="str">
        <f>MID(Tabla1[[#This Row],[Aplicación]],14,2)</f>
        <v>61</v>
      </c>
      <c r="X3935" s="35" t="str">
        <f>MID(Tabla1[[#This Row],[Aplicación]],14,6)</f>
        <v>619</v>
      </c>
    </row>
    <row r="3936" spans="1:24" x14ac:dyDescent="0.25">
      <c r="A3936" s="45">
        <v>220210043799</v>
      </c>
      <c r="B3936" s="46" t="s">
        <v>9</v>
      </c>
      <c r="C3936" s="47">
        <v>44404</v>
      </c>
      <c r="D3936" s="45">
        <v>22021005773</v>
      </c>
      <c r="E3936" s="46" t="s">
        <v>1172</v>
      </c>
      <c r="F3936" s="48">
        <v>7199.5</v>
      </c>
      <c r="G3936" s="46" t="s">
        <v>121</v>
      </c>
      <c r="H3936" s="46" t="s">
        <v>5539</v>
      </c>
      <c r="I3936" s="45" t="s">
        <v>125</v>
      </c>
      <c r="J3936" s="46" t="s">
        <v>664</v>
      </c>
      <c r="K3936" s="46" t="s">
        <v>127</v>
      </c>
      <c r="L3936" s="46" t="s">
        <v>12</v>
      </c>
      <c r="M3936" s="46" t="s">
        <v>10</v>
      </c>
      <c r="N3936" s="46" t="s">
        <v>11</v>
      </c>
      <c r="O3936" s="49" t="s">
        <v>815</v>
      </c>
      <c r="P3936" s="49" t="s">
        <v>4910</v>
      </c>
      <c r="Q3936" s="35" t="str">
        <f>MID(Tabla1[[#This Row],[Aplicación]],14,1)</f>
        <v>6</v>
      </c>
      <c r="R3936" s="35" t="s">
        <v>496</v>
      </c>
      <c r="S3936" s="35" t="str">
        <f>MID(Tabla1[[#This Row],[Aplicación]],6,2)</f>
        <v>02</v>
      </c>
      <c r="T3936" s="35" t="str">
        <f>VLOOKUP(Tabla1[[#This Row],[AREA]],Hoja1!A:B,2,FALSE)</f>
        <v>02. Planeamiento urbanístico y vivienda</v>
      </c>
      <c r="U3936" s="35" t="str">
        <f>MID(Tabla1[[#This Row],[Aplicación]],9,4)</f>
        <v>9332</v>
      </c>
      <c r="V3936" s="35" t="str">
        <f>VLOOKUP(Tabla1[[#This Row],[PROGRAMA]],Hoja1!A:B,2,FALSE)</f>
        <v>9332. Mantenimiento de edificios e instalaciones municipales</v>
      </c>
      <c r="W3936" s="35" t="str">
        <f>MID(Tabla1[[#This Row],[Aplicación]],14,2)</f>
        <v>63</v>
      </c>
      <c r="X3936" s="35" t="str">
        <f>MID(Tabla1[[#This Row],[Aplicación]],14,6)</f>
        <v>632</v>
      </c>
    </row>
    <row r="3937" spans="1:24" x14ac:dyDescent="0.25">
      <c r="A3937" s="45">
        <v>220210036308</v>
      </c>
      <c r="B3937" s="46" t="s">
        <v>9</v>
      </c>
      <c r="C3937" s="47">
        <v>44384</v>
      </c>
      <c r="D3937" s="45">
        <v>22021005107</v>
      </c>
      <c r="E3937" s="46" t="s">
        <v>1724</v>
      </c>
      <c r="F3937" s="48">
        <v>5201.79</v>
      </c>
      <c r="G3937" s="46" t="s">
        <v>121</v>
      </c>
      <c r="H3937" s="46" t="s">
        <v>5540</v>
      </c>
      <c r="I3937" s="45" t="s">
        <v>125</v>
      </c>
      <c r="J3937" s="46" t="s">
        <v>664</v>
      </c>
      <c r="K3937" s="46" t="s">
        <v>127</v>
      </c>
      <c r="L3937" s="46" t="s">
        <v>12</v>
      </c>
      <c r="M3937" s="46" t="s">
        <v>13</v>
      </c>
      <c r="N3937" s="46" t="s">
        <v>14</v>
      </c>
      <c r="O3937" s="49" t="s">
        <v>814</v>
      </c>
      <c r="P3937" s="49" t="s">
        <v>4910</v>
      </c>
      <c r="Q3937" s="35" t="str">
        <f>MID(Tabla1[[#This Row],[Aplicación]],14,1)</f>
        <v>6</v>
      </c>
      <c r="R3937" s="35" t="s">
        <v>496</v>
      </c>
      <c r="S3937" s="35" t="str">
        <f>MID(Tabla1[[#This Row],[Aplicación]],6,2)</f>
        <v>07</v>
      </c>
      <c r="T3937" s="35" t="str">
        <f>VLOOKUP(Tabla1[[#This Row],[AREA]],Hoja1!A:B,2,FALSE)</f>
        <v>07. Medio ambiente y desarrollo sostenible</v>
      </c>
      <c r="U3937" s="35" t="str">
        <f>MID(Tabla1[[#This Row],[Aplicación]],9,4)</f>
        <v>1711</v>
      </c>
      <c r="V3937" s="35" t="str">
        <f>VLOOKUP(Tabla1[[#This Row],[PROGRAMA]],Hoja1!A:B,2,FALSE)</f>
        <v>1711. Parques y jardines</v>
      </c>
      <c r="W3937" s="35" t="str">
        <f>MID(Tabla1[[#This Row],[Aplicación]],14,2)</f>
        <v>61</v>
      </c>
      <c r="X3937" s="35" t="str">
        <f>MID(Tabla1[[#This Row],[Aplicación]],14,6)</f>
        <v>619</v>
      </c>
    </row>
    <row r="3938" spans="1:24" x14ac:dyDescent="0.25">
      <c r="A3938" s="45">
        <v>220210036840</v>
      </c>
      <c r="B3938" s="46" t="s">
        <v>9</v>
      </c>
      <c r="C3938" s="47">
        <v>44389</v>
      </c>
      <c r="D3938" s="45">
        <v>22021004558</v>
      </c>
      <c r="E3938" s="46" t="s">
        <v>1724</v>
      </c>
      <c r="F3938" s="48">
        <v>682.87</v>
      </c>
      <c r="G3938" s="46" t="s">
        <v>121</v>
      </c>
      <c r="H3938" s="46" t="s">
        <v>5541</v>
      </c>
      <c r="I3938" s="45" t="s">
        <v>125</v>
      </c>
      <c r="J3938" s="46" t="s">
        <v>664</v>
      </c>
      <c r="K3938" s="46" t="s">
        <v>127</v>
      </c>
      <c r="L3938" s="46" t="s">
        <v>12</v>
      </c>
      <c r="M3938" s="46" t="s">
        <v>13</v>
      </c>
      <c r="N3938" s="46" t="s">
        <v>14</v>
      </c>
      <c r="O3938" s="49" t="s">
        <v>814</v>
      </c>
      <c r="P3938" s="49" t="s">
        <v>4910</v>
      </c>
      <c r="Q3938" s="35" t="str">
        <f>MID(Tabla1[[#This Row],[Aplicación]],14,1)</f>
        <v>6</v>
      </c>
      <c r="R3938" s="35" t="s">
        <v>496</v>
      </c>
      <c r="S3938" s="35" t="str">
        <f>MID(Tabla1[[#This Row],[Aplicación]],6,2)</f>
        <v>07</v>
      </c>
      <c r="T3938" s="35" t="str">
        <f>VLOOKUP(Tabla1[[#This Row],[AREA]],Hoja1!A:B,2,FALSE)</f>
        <v>07. Medio ambiente y desarrollo sostenible</v>
      </c>
      <c r="U3938" s="35" t="str">
        <f>MID(Tabla1[[#This Row],[Aplicación]],9,4)</f>
        <v>1711</v>
      </c>
      <c r="V3938" s="35" t="str">
        <f>VLOOKUP(Tabla1[[#This Row],[PROGRAMA]],Hoja1!A:B,2,FALSE)</f>
        <v>1711. Parques y jardines</v>
      </c>
      <c r="W3938" s="35" t="str">
        <f>MID(Tabla1[[#This Row],[Aplicación]],14,2)</f>
        <v>61</v>
      </c>
      <c r="X3938" s="35" t="str">
        <f>MID(Tabla1[[#This Row],[Aplicación]],14,6)</f>
        <v>619</v>
      </c>
    </row>
    <row r="3939" spans="1:24" x14ac:dyDescent="0.25">
      <c r="A3939" s="45">
        <v>220210045769</v>
      </c>
      <c r="B3939" s="46" t="s">
        <v>9</v>
      </c>
      <c r="C3939" s="47">
        <v>44417</v>
      </c>
      <c r="D3939" s="45">
        <v>22021006044</v>
      </c>
      <c r="E3939" s="46" t="s">
        <v>2992</v>
      </c>
      <c r="F3939" s="48">
        <v>7253.95</v>
      </c>
      <c r="G3939" s="46" t="s">
        <v>121</v>
      </c>
      <c r="H3939" s="46" t="s">
        <v>5542</v>
      </c>
      <c r="I3939" s="45" t="s">
        <v>125</v>
      </c>
      <c r="J3939" s="46" t="s">
        <v>664</v>
      </c>
      <c r="K3939" s="46" t="s">
        <v>127</v>
      </c>
      <c r="L3939" s="46" t="s">
        <v>12</v>
      </c>
      <c r="M3939" s="46" t="s">
        <v>10</v>
      </c>
      <c r="N3939" s="46" t="s">
        <v>11</v>
      </c>
      <c r="O3939" s="49" t="s">
        <v>815</v>
      </c>
      <c r="P3939" s="49" t="s">
        <v>4910</v>
      </c>
      <c r="Q3939" s="35" t="str">
        <f>MID(Tabla1[[#This Row],[Aplicación]],14,1)</f>
        <v>2</v>
      </c>
      <c r="R3939" s="35" t="s">
        <v>495</v>
      </c>
      <c r="S3939" s="35" t="str">
        <f>MID(Tabla1[[#This Row],[Aplicación]],6,2)</f>
        <v>05</v>
      </c>
      <c r="T3939" s="35" t="str">
        <f>VLOOKUP(Tabla1[[#This Row],[AREA]],Hoja1!A:B,2,FALSE)</f>
        <v>05. Innovación, desarrollo económico, empleo y comercio</v>
      </c>
      <c r="U3939" s="35" t="str">
        <f>MID(Tabla1[[#This Row],[Aplicación]],9,4)</f>
        <v>4314</v>
      </c>
      <c r="V3939" s="35" t="str">
        <f>VLOOKUP(Tabla1[[#This Row],[PROGRAMA]],Hoja1!A:B,2,FALSE)</f>
        <v>4314. Fomento del comercio</v>
      </c>
      <c r="W3939" s="35" t="str">
        <f>MID(Tabla1[[#This Row],[Aplicación]],14,2)</f>
        <v>22</v>
      </c>
      <c r="X3939" s="35" t="str">
        <f>MID(Tabla1[[#This Row],[Aplicación]],14,6)</f>
        <v>22706</v>
      </c>
    </row>
    <row r="3940" spans="1:24" x14ac:dyDescent="0.25">
      <c r="A3940" s="45">
        <v>220210047074</v>
      </c>
      <c r="B3940" s="46" t="s">
        <v>204</v>
      </c>
      <c r="C3940" s="47">
        <v>44421</v>
      </c>
      <c r="D3940" s="45">
        <v>22021001296</v>
      </c>
      <c r="E3940" s="46" t="s">
        <v>1487</v>
      </c>
      <c r="F3940" s="48">
        <v>1231.1099999999999</v>
      </c>
      <c r="G3940" s="46" t="s">
        <v>121</v>
      </c>
      <c r="H3940" s="46" t="s">
        <v>5543</v>
      </c>
      <c r="I3940" s="45" t="s">
        <v>205</v>
      </c>
      <c r="J3940" s="46" t="s">
        <v>664</v>
      </c>
      <c r="K3940" s="46" t="s">
        <v>127</v>
      </c>
      <c r="L3940" s="46" t="s">
        <v>12</v>
      </c>
      <c r="M3940" s="46" t="s">
        <v>13</v>
      </c>
      <c r="N3940" s="46" t="s">
        <v>14</v>
      </c>
      <c r="O3940" s="49" t="s">
        <v>803</v>
      </c>
      <c r="P3940" s="49" t="s">
        <v>4910</v>
      </c>
      <c r="Q3940" s="35" t="str">
        <f>MID(Tabla1[[#This Row],[Aplicación]],14,1)</f>
        <v>6</v>
      </c>
      <c r="R3940" s="35" t="s">
        <v>496</v>
      </c>
      <c r="S3940" s="35" t="str">
        <f>MID(Tabla1[[#This Row],[Aplicación]],6,2)</f>
        <v>08</v>
      </c>
      <c r="T3940" s="35" t="str">
        <f>VLOOKUP(Tabla1[[#This Row],[AREA]],Hoja1!A:B,2,FALSE)</f>
        <v>08. Movilidad y espacio urbano</v>
      </c>
      <c r="U3940" s="35" t="str">
        <f>MID(Tabla1[[#This Row],[Aplicación]],9,4)</f>
        <v>1532</v>
      </c>
      <c r="V3940" s="35" t="str">
        <f>VLOOKUP(Tabla1[[#This Row],[PROGRAMA]],Hoja1!A:B,2,FALSE)</f>
        <v>1532. Pavimentación vias públicas y otros servicios urbanísticos</v>
      </c>
      <c r="W3940" s="35" t="str">
        <f>MID(Tabla1[[#This Row],[Aplicación]],14,2)</f>
        <v>61</v>
      </c>
      <c r="X3940" s="35" t="str">
        <f>MID(Tabla1[[#This Row],[Aplicación]],14,6)</f>
        <v>619</v>
      </c>
    </row>
    <row r="3941" spans="1:24" x14ac:dyDescent="0.25">
      <c r="A3941" s="45">
        <v>220210047072</v>
      </c>
      <c r="B3941" s="46" t="s">
        <v>204</v>
      </c>
      <c r="C3941" s="47">
        <v>44421</v>
      </c>
      <c r="D3941" s="45">
        <v>22021001296</v>
      </c>
      <c r="E3941" s="46" t="s">
        <v>1487</v>
      </c>
      <c r="F3941" s="48">
        <v>1001.31</v>
      </c>
      <c r="G3941" s="46" t="s">
        <v>121</v>
      </c>
      <c r="H3941" s="46" t="s">
        <v>5544</v>
      </c>
      <c r="I3941" s="45" t="s">
        <v>205</v>
      </c>
      <c r="J3941" s="46" t="s">
        <v>664</v>
      </c>
      <c r="K3941" s="46" t="s">
        <v>127</v>
      </c>
      <c r="L3941" s="46" t="s">
        <v>12</v>
      </c>
      <c r="M3941" s="46" t="s">
        <v>13</v>
      </c>
      <c r="N3941" s="46" t="s">
        <v>14</v>
      </c>
      <c r="O3941" s="49" t="s">
        <v>803</v>
      </c>
      <c r="P3941" s="49" t="s">
        <v>4910</v>
      </c>
      <c r="Q3941" s="35" t="str">
        <f>MID(Tabla1[[#This Row],[Aplicación]],14,1)</f>
        <v>6</v>
      </c>
      <c r="R3941" s="35" t="s">
        <v>496</v>
      </c>
      <c r="S3941" s="35" t="str">
        <f>MID(Tabla1[[#This Row],[Aplicación]],6,2)</f>
        <v>08</v>
      </c>
      <c r="T3941" s="35" t="str">
        <f>VLOOKUP(Tabla1[[#This Row],[AREA]],Hoja1!A:B,2,FALSE)</f>
        <v>08. Movilidad y espacio urbano</v>
      </c>
      <c r="U3941" s="35" t="str">
        <f>MID(Tabla1[[#This Row],[Aplicación]],9,4)</f>
        <v>1532</v>
      </c>
      <c r="V3941" s="35" t="str">
        <f>VLOOKUP(Tabla1[[#This Row],[PROGRAMA]],Hoja1!A:B,2,FALSE)</f>
        <v>1532. Pavimentación vias públicas y otros servicios urbanísticos</v>
      </c>
      <c r="W3941" s="35" t="str">
        <f>MID(Tabla1[[#This Row],[Aplicación]],14,2)</f>
        <v>61</v>
      </c>
      <c r="X3941" s="35" t="str">
        <f>MID(Tabla1[[#This Row],[Aplicación]],14,6)</f>
        <v>619</v>
      </c>
    </row>
    <row r="3942" spans="1:24" x14ac:dyDescent="0.25">
      <c r="A3942" s="45">
        <v>220210047076</v>
      </c>
      <c r="B3942" s="46" t="s">
        <v>204</v>
      </c>
      <c r="C3942" s="47">
        <v>44421</v>
      </c>
      <c r="D3942" s="45">
        <v>22021001296</v>
      </c>
      <c r="E3942" s="46" t="s">
        <v>1487</v>
      </c>
      <c r="F3942" s="48">
        <v>1723.56</v>
      </c>
      <c r="G3942" s="46" t="s">
        <v>121</v>
      </c>
      <c r="H3942" s="46" t="s">
        <v>5545</v>
      </c>
      <c r="I3942" s="45" t="s">
        <v>205</v>
      </c>
      <c r="J3942" s="46" t="s">
        <v>664</v>
      </c>
      <c r="K3942" s="46" t="s">
        <v>127</v>
      </c>
      <c r="L3942" s="46" t="s">
        <v>12</v>
      </c>
      <c r="M3942" s="46" t="s">
        <v>13</v>
      </c>
      <c r="N3942" s="46" t="s">
        <v>14</v>
      </c>
      <c r="O3942" s="49" t="s">
        <v>803</v>
      </c>
      <c r="P3942" s="49" t="s">
        <v>4910</v>
      </c>
      <c r="Q3942" s="35" t="str">
        <f>MID(Tabla1[[#This Row],[Aplicación]],14,1)</f>
        <v>6</v>
      </c>
      <c r="R3942" s="35" t="s">
        <v>496</v>
      </c>
      <c r="S3942" s="35" t="str">
        <f>MID(Tabla1[[#This Row],[Aplicación]],6,2)</f>
        <v>08</v>
      </c>
      <c r="T3942" s="35" t="str">
        <f>VLOOKUP(Tabla1[[#This Row],[AREA]],Hoja1!A:B,2,FALSE)</f>
        <v>08. Movilidad y espacio urbano</v>
      </c>
      <c r="U3942" s="35" t="str">
        <f>MID(Tabla1[[#This Row],[Aplicación]],9,4)</f>
        <v>1532</v>
      </c>
      <c r="V3942" s="35" t="str">
        <f>VLOOKUP(Tabla1[[#This Row],[PROGRAMA]],Hoja1!A:B,2,FALSE)</f>
        <v>1532. Pavimentación vias públicas y otros servicios urbanísticos</v>
      </c>
      <c r="W3942" s="35" t="str">
        <f>MID(Tabla1[[#This Row],[Aplicación]],14,2)</f>
        <v>61</v>
      </c>
      <c r="X3942" s="35" t="str">
        <f>MID(Tabla1[[#This Row],[Aplicación]],14,6)</f>
        <v>619</v>
      </c>
    </row>
    <row r="3943" spans="1:24" x14ac:dyDescent="0.25">
      <c r="A3943" s="45">
        <v>220210047070</v>
      </c>
      <c r="B3943" s="46" t="s">
        <v>204</v>
      </c>
      <c r="C3943" s="47">
        <v>44421</v>
      </c>
      <c r="D3943" s="45">
        <v>22021001296</v>
      </c>
      <c r="E3943" s="46" t="s">
        <v>1487</v>
      </c>
      <c r="F3943" s="48">
        <v>541.69000000000005</v>
      </c>
      <c r="G3943" s="46" t="s">
        <v>121</v>
      </c>
      <c r="H3943" s="46" t="s">
        <v>5546</v>
      </c>
      <c r="I3943" s="45" t="s">
        <v>205</v>
      </c>
      <c r="J3943" s="46" t="s">
        <v>664</v>
      </c>
      <c r="K3943" s="46" t="s">
        <v>127</v>
      </c>
      <c r="L3943" s="46" t="s">
        <v>12</v>
      </c>
      <c r="M3943" s="46" t="s">
        <v>13</v>
      </c>
      <c r="N3943" s="46" t="s">
        <v>14</v>
      </c>
      <c r="O3943" s="49" t="s">
        <v>803</v>
      </c>
      <c r="P3943" s="49" t="s">
        <v>4910</v>
      </c>
      <c r="Q3943" s="35" t="str">
        <f>MID(Tabla1[[#This Row],[Aplicación]],14,1)</f>
        <v>6</v>
      </c>
      <c r="R3943" s="35" t="s">
        <v>496</v>
      </c>
      <c r="S3943" s="35" t="str">
        <f>MID(Tabla1[[#This Row],[Aplicación]],6,2)</f>
        <v>08</v>
      </c>
      <c r="T3943" s="35" t="str">
        <f>VLOOKUP(Tabla1[[#This Row],[AREA]],Hoja1!A:B,2,FALSE)</f>
        <v>08. Movilidad y espacio urbano</v>
      </c>
      <c r="U3943" s="35" t="str">
        <f>MID(Tabla1[[#This Row],[Aplicación]],9,4)</f>
        <v>1532</v>
      </c>
      <c r="V3943" s="35" t="str">
        <f>VLOOKUP(Tabla1[[#This Row],[PROGRAMA]],Hoja1!A:B,2,FALSE)</f>
        <v>1532. Pavimentación vias públicas y otros servicios urbanísticos</v>
      </c>
      <c r="W3943" s="35" t="str">
        <f>MID(Tabla1[[#This Row],[Aplicación]],14,2)</f>
        <v>61</v>
      </c>
      <c r="X3943" s="35" t="str">
        <f>MID(Tabla1[[#This Row],[Aplicación]],14,6)</f>
        <v>619</v>
      </c>
    </row>
    <row r="3944" spans="1:24" x14ac:dyDescent="0.25">
      <c r="A3944" s="45">
        <v>220210056347</v>
      </c>
      <c r="B3944" s="46" t="s">
        <v>9</v>
      </c>
      <c r="C3944" s="47">
        <v>44454</v>
      </c>
      <c r="D3944" s="45">
        <v>22021006361</v>
      </c>
      <c r="E3944" s="46" t="s">
        <v>1724</v>
      </c>
      <c r="F3944" s="48">
        <v>7260</v>
      </c>
      <c r="G3944" s="46" t="s">
        <v>121</v>
      </c>
      <c r="H3944" s="46" t="s">
        <v>5547</v>
      </c>
      <c r="I3944" s="45" t="s">
        <v>125</v>
      </c>
      <c r="J3944" s="46" t="s">
        <v>664</v>
      </c>
      <c r="K3944" s="46" t="s">
        <v>127</v>
      </c>
      <c r="L3944" s="46" t="s">
        <v>12</v>
      </c>
      <c r="M3944" s="46" t="s">
        <v>13</v>
      </c>
      <c r="N3944" s="46" t="s">
        <v>14</v>
      </c>
      <c r="O3944" s="49" t="s">
        <v>814</v>
      </c>
      <c r="P3944" s="49" t="s">
        <v>4910</v>
      </c>
      <c r="Q3944" s="35" t="str">
        <f>MID(Tabla1[[#This Row],[Aplicación]],14,1)</f>
        <v>6</v>
      </c>
      <c r="R3944" s="35" t="s">
        <v>496</v>
      </c>
      <c r="S3944" s="35" t="str">
        <f>MID(Tabla1[[#This Row],[Aplicación]],6,2)</f>
        <v>07</v>
      </c>
      <c r="T3944" s="35" t="str">
        <f>VLOOKUP(Tabla1[[#This Row],[AREA]],Hoja1!A:B,2,FALSE)</f>
        <v>07. Medio ambiente y desarrollo sostenible</v>
      </c>
      <c r="U3944" s="35" t="str">
        <f>MID(Tabla1[[#This Row],[Aplicación]],9,4)</f>
        <v>1711</v>
      </c>
      <c r="V3944" s="35" t="str">
        <f>VLOOKUP(Tabla1[[#This Row],[PROGRAMA]],Hoja1!A:B,2,FALSE)</f>
        <v>1711. Parques y jardines</v>
      </c>
      <c r="W3944" s="35" t="str">
        <f>MID(Tabla1[[#This Row],[Aplicación]],14,2)</f>
        <v>61</v>
      </c>
      <c r="X3944" s="35" t="str">
        <f>MID(Tabla1[[#This Row],[Aplicación]],14,6)</f>
        <v>619</v>
      </c>
    </row>
    <row r="3945" spans="1:24" x14ac:dyDescent="0.25">
      <c r="A3945" s="45">
        <v>220210041589</v>
      </c>
      <c r="B3945" s="46" t="s">
        <v>9</v>
      </c>
      <c r="C3945" s="47">
        <v>44399</v>
      </c>
      <c r="D3945" s="45">
        <v>22021005746</v>
      </c>
      <c r="E3945" s="46" t="s">
        <v>980</v>
      </c>
      <c r="F3945" s="48">
        <v>8788.99</v>
      </c>
      <c r="G3945" s="46" t="s">
        <v>5548</v>
      </c>
      <c r="H3945" s="46" t="s">
        <v>5549</v>
      </c>
      <c r="I3945" s="45" t="s">
        <v>125</v>
      </c>
      <c r="J3945" s="46" t="s">
        <v>5550</v>
      </c>
      <c r="K3945" s="46" t="s">
        <v>187</v>
      </c>
      <c r="L3945" s="46" t="s">
        <v>12</v>
      </c>
      <c r="M3945" s="46" t="s">
        <v>10</v>
      </c>
      <c r="N3945" s="46" t="s">
        <v>11</v>
      </c>
      <c r="O3945" s="49" t="s">
        <v>815</v>
      </c>
      <c r="P3945" s="49" t="s">
        <v>4910</v>
      </c>
      <c r="Q3945" s="35" t="str">
        <f>MID(Tabla1[[#This Row],[Aplicación]],14,1)</f>
        <v>2</v>
      </c>
      <c r="R3945" s="35" t="s">
        <v>495</v>
      </c>
      <c r="S3945" s="35" t="str">
        <f>MID(Tabla1[[#This Row],[Aplicación]],6,2)</f>
        <v>11</v>
      </c>
      <c r="T3945" s="35" t="str">
        <f>VLOOKUP(Tabla1[[#This Row],[AREA]],Hoja1!A:B,2,FALSE)</f>
        <v>11. Salud pública y seguridad ciudadana</v>
      </c>
      <c r="U3945" s="35" t="str">
        <f>MID(Tabla1[[#This Row],[Aplicación]],9,4)</f>
        <v>1361</v>
      </c>
      <c r="V3945" s="35" t="str">
        <f>VLOOKUP(Tabla1[[#This Row],[PROGRAMA]],Hoja1!A:B,2,FALSE)</f>
        <v>1361. Prevención y extinción de incencios</v>
      </c>
      <c r="W3945" s="35" t="str">
        <f>MID(Tabla1[[#This Row],[Aplicación]],14,2)</f>
        <v>21</v>
      </c>
      <c r="X3945" s="35" t="str">
        <f>MID(Tabla1[[#This Row],[Aplicación]],14,6)</f>
        <v>213</v>
      </c>
    </row>
    <row r="3946" spans="1:24" x14ac:dyDescent="0.25">
      <c r="A3946" s="45">
        <v>220210054483</v>
      </c>
      <c r="B3946" s="46" t="s">
        <v>9</v>
      </c>
      <c r="C3946" s="47">
        <v>44453</v>
      </c>
      <c r="D3946" s="45">
        <v>22021006325</v>
      </c>
      <c r="E3946" s="46" t="s">
        <v>980</v>
      </c>
      <c r="F3946" s="48">
        <v>653.52</v>
      </c>
      <c r="G3946" s="46" t="s">
        <v>50</v>
      </c>
      <c r="H3946" s="46" t="s">
        <v>5551</v>
      </c>
      <c r="I3946" s="45" t="s">
        <v>125</v>
      </c>
      <c r="J3946" s="46" t="s">
        <v>127</v>
      </c>
      <c r="K3946" s="46" t="s">
        <v>127</v>
      </c>
      <c r="L3946" s="46" t="s">
        <v>12</v>
      </c>
      <c r="M3946" s="46" t="s">
        <v>10</v>
      </c>
      <c r="N3946" s="46" t="s">
        <v>11</v>
      </c>
      <c r="O3946" s="49" t="s">
        <v>815</v>
      </c>
      <c r="P3946" s="49" t="s">
        <v>4910</v>
      </c>
      <c r="Q3946" s="35" t="str">
        <f>MID(Tabla1[[#This Row],[Aplicación]],14,1)</f>
        <v>2</v>
      </c>
      <c r="R3946" s="35" t="s">
        <v>495</v>
      </c>
      <c r="S3946" s="35" t="str">
        <f>MID(Tabla1[[#This Row],[Aplicación]],6,2)</f>
        <v>11</v>
      </c>
      <c r="T3946" s="35" t="str">
        <f>VLOOKUP(Tabla1[[#This Row],[AREA]],Hoja1!A:B,2,FALSE)</f>
        <v>11. Salud pública y seguridad ciudadana</v>
      </c>
      <c r="U3946" s="35" t="str">
        <f>MID(Tabla1[[#This Row],[Aplicación]],9,4)</f>
        <v>1361</v>
      </c>
      <c r="V3946" s="35" t="str">
        <f>VLOOKUP(Tabla1[[#This Row],[PROGRAMA]],Hoja1!A:B,2,FALSE)</f>
        <v>1361. Prevención y extinción de incencios</v>
      </c>
      <c r="W3946" s="35" t="str">
        <f>MID(Tabla1[[#This Row],[Aplicación]],14,2)</f>
        <v>21</v>
      </c>
      <c r="X3946" s="35" t="str">
        <f>MID(Tabla1[[#This Row],[Aplicación]],14,6)</f>
        <v>213</v>
      </c>
    </row>
    <row r="3947" spans="1:24" x14ac:dyDescent="0.25">
      <c r="A3947" s="45">
        <v>220210050364</v>
      </c>
      <c r="B3947" s="46" t="s">
        <v>9</v>
      </c>
      <c r="C3947" s="47">
        <v>44439</v>
      </c>
      <c r="D3947" s="45">
        <v>22021006295</v>
      </c>
      <c r="E3947" s="46" t="s">
        <v>1326</v>
      </c>
      <c r="F3947" s="48">
        <v>639.26</v>
      </c>
      <c r="G3947" s="46" t="s">
        <v>87</v>
      </c>
      <c r="H3947" s="46" t="s">
        <v>5552</v>
      </c>
      <c r="I3947" s="45" t="s">
        <v>125</v>
      </c>
      <c r="J3947" s="46" t="s">
        <v>127</v>
      </c>
      <c r="K3947" s="46" t="s">
        <v>127</v>
      </c>
      <c r="L3947" s="46" t="s">
        <v>15</v>
      </c>
      <c r="M3947" s="46" t="s">
        <v>10</v>
      </c>
      <c r="N3947" s="46" t="s">
        <v>11</v>
      </c>
      <c r="O3947" s="49" t="s">
        <v>815</v>
      </c>
      <c r="P3947" s="49" t="s">
        <v>4910</v>
      </c>
      <c r="Q3947" s="35" t="str">
        <f>MID(Tabla1[[#This Row],[Aplicación]],14,1)</f>
        <v>2</v>
      </c>
      <c r="R3947" s="35" t="s">
        <v>495</v>
      </c>
      <c r="S3947" s="35" t="str">
        <f>MID(Tabla1[[#This Row],[Aplicación]],6,2)</f>
        <v>08</v>
      </c>
      <c r="T3947" s="35" t="str">
        <f>VLOOKUP(Tabla1[[#This Row],[AREA]],Hoja1!A:B,2,FALSE)</f>
        <v>08. Movilidad y espacio urbano</v>
      </c>
      <c r="U3947" s="35" t="str">
        <f>MID(Tabla1[[#This Row],[Aplicación]],9,4)</f>
        <v>1651</v>
      </c>
      <c r="V3947" s="35" t="str">
        <f>VLOOKUP(Tabla1[[#This Row],[PROGRAMA]],Hoja1!A:B,2,FALSE)</f>
        <v>1651. Alumbrado público</v>
      </c>
      <c r="W3947" s="35" t="str">
        <f>MID(Tabla1[[#This Row],[Aplicación]],14,2)</f>
        <v>22</v>
      </c>
      <c r="X3947" s="35" t="str">
        <f>MID(Tabla1[[#This Row],[Aplicación]],14,6)</f>
        <v>22199</v>
      </c>
    </row>
    <row r="3948" spans="1:24" x14ac:dyDescent="0.25">
      <c r="A3948" s="45">
        <v>220210050959</v>
      </c>
      <c r="B3948" s="46" t="s">
        <v>9</v>
      </c>
      <c r="C3948" s="47">
        <v>44446</v>
      </c>
      <c r="D3948" s="45">
        <v>22021006415</v>
      </c>
      <c r="E3948" s="46" t="s">
        <v>1521</v>
      </c>
      <c r="F3948" s="48">
        <v>597.84</v>
      </c>
      <c r="G3948" s="46" t="s">
        <v>5553</v>
      </c>
      <c r="H3948" s="46" t="s">
        <v>5554</v>
      </c>
      <c r="I3948" s="45" t="s">
        <v>125</v>
      </c>
      <c r="J3948" s="46" t="s">
        <v>127</v>
      </c>
      <c r="K3948" s="46" t="s">
        <v>127</v>
      </c>
      <c r="L3948" s="46" t="s">
        <v>12</v>
      </c>
      <c r="M3948" s="46" t="s">
        <v>10</v>
      </c>
      <c r="N3948" s="46" t="s">
        <v>11</v>
      </c>
      <c r="O3948" s="49" t="s">
        <v>815</v>
      </c>
      <c r="P3948" s="49" t="s">
        <v>4910</v>
      </c>
      <c r="Q3948" s="35" t="str">
        <f>MID(Tabla1[[#This Row],[Aplicación]],14,1)</f>
        <v>2</v>
      </c>
      <c r="R3948" s="35" t="s">
        <v>495</v>
      </c>
      <c r="S3948" s="35" t="str">
        <f>MID(Tabla1[[#This Row],[Aplicación]],6,2)</f>
        <v>08</v>
      </c>
      <c r="T3948" s="35" t="str">
        <f>VLOOKUP(Tabla1[[#This Row],[AREA]],Hoja1!A:B,2,FALSE)</f>
        <v>08. Movilidad y espacio urbano</v>
      </c>
      <c r="U3948" s="35" t="str">
        <f>MID(Tabla1[[#This Row],[Aplicación]],9,4)</f>
        <v>1532</v>
      </c>
      <c r="V3948" s="35" t="str">
        <f>VLOOKUP(Tabla1[[#This Row],[PROGRAMA]],Hoja1!A:B,2,FALSE)</f>
        <v>1532. Pavimentación vias públicas y otros servicios urbanísticos</v>
      </c>
      <c r="W3948" s="35" t="str">
        <f>MID(Tabla1[[#This Row],[Aplicación]],14,2)</f>
        <v>20</v>
      </c>
      <c r="X3948" s="35" t="str">
        <f>MID(Tabla1[[#This Row],[Aplicación]],14,6)</f>
        <v>204</v>
      </c>
    </row>
    <row r="3949" spans="1:24" x14ac:dyDescent="0.25">
      <c r="A3949" s="45">
        <v>220210042189</v>
      </c>
      <c r="B3949" s="46" t="s">
        <v>9</v>
      </c>
      <c r="C3949" s="47">
        <v>44400</v>
      </c>
      <c r="D3949" s="45">
        <v>22021004764</v>
      </c>
      <c r="E3949" s="46" t="s">
        <v>1286</v>
      </c>
      <c r="F3949" s="48">
        <v>25639.78</v>
      </c>
      <c r="G3949" s="46" t="s">
        <v>1934</v>
      </c>
      <c r="H3949" s="46" t="s">
        <v>5555</v>
      </c>
      <c r="I3949" s="45" t="s">
        <v>125</v>
      </c>
      <c r="J3949" s="46" t="s">
        <v>565</v>
      </c>
      <c r="K3949" s="46" t="s">
        <v>126</v>
      </c>
      <c r="L3949" s="46" t="s">
        <v>12</v>
      </c>
      <c r="M3949" s="46" t="s">
        <v>13</v>
      </c>
      <c r="N3949" s="46" t="s">
        <v>14</v>
      </c>
      <c r="O3949" s="49" t="s">
        <v>803</v>
      </c>
      <c r="P3949" s="49" t="s">
        <v>4910</v>
      </c>
      <c r="Q3949" s="35" t="str">
        <f>MID(Tabla1[[#This Row],[Aplicación]],14,1)</f>
        <v>6</v>
      </c>
      <c r="R3949" s="35" t="s">
        <v>496</v>
      </c>
      <c r="S3949" s="35" t="str">
        <f>MID(Tabla1[[#This Row],[Aplicación]],6,2)</f>
        <v>04</v>
      </c>
      <c r="T3949" s="35" t="str">
        <f>VLOOKUP(Tabla1[[#This Row],[AREA]],Hoja1!A:B,2,FALSE)</f>
        <v>04. Planificación y recursos</v>
      </c>
      <c r="U3949" s="35" t="str">
        <f>MID(Tabla1[[#This Row],[Aplicación]],9,4)</f>
        <v>9204</v>
      </c>
      <c r="V3949" s="35" t="str">
        <f>VLOOKUP(Tabla1[[#This Row],[PROGRAMA]],Hoja1!A:B,2,FALSE)</f>
        <v>9204. Tecnologías de la información y comunicación</v>
      </c>
      <c r="W3949" s="35" t="str">
        <f>MID(Tabla1[[#This Row],[Aplicación]],14,2)</f>
        <v>64</v>
      </c>
      <c r="X3949" s="35" t="str">
        <f>MID(Tabla1[[#This Row],[Aplicación]],14,6)</f>
        <v>641</v>
      </c>
    </row>
    <row r="3950" spans="1:24" x14ac:dyDescent="0.25">
      <c r="A3950" s="45">
        <v>220210043783</v>
      </c>
      <c r="B3950" s="46" t="s">
        <v>204</v>
      </c>
      <c r="C3950" s="47">
        <v>44404</v>
      </c>
      <c r="D3950" s="45">
        <v>22021003303</v>
      </c>
      <c r="E3950" s="46" t="s">
        <v>827</v>
      </c>
      <c r="F3950" s="48">
        <v>7963.01</v>
      </c>
      <c r="G3950" s="46" t="s">
        <v>1934</v>
      </c>
      <c r="H3950" s="46" t="s">
        <v>5556</v>
      </c>
      <c r="I3950" s="45" t="s">
        <v>205</v>
      </c>
      <c r="J3950" s="46" t="s">
        <v>565</v>
      </c>
      <c r="K3950" s="46" t="s">
        <v>126</v>
      </c>
      <c r="L3950" s="46" t="s">
        <v>15</v>
      </c>
      <c r="M3950" s="46" t="s">
        <v>13</v>
      </c>
      <c r="N3950" s="46" t="s">
        <v>16</v>
      </c>
      <c r="O3950" s="49" t="s">
        <v>803</v>
      </c>
      <c r="P3950" s="49" t="s">
        <v>4910</v>
      </c>
      <c r="Q3950" s="35" t="str">
        <f>MID(Tabla1[[#This Row],[Aplicación]],14,1)</f>
        <v>2</v>
      </c>
      <c r="R3950" s="35" t="s">
        <v>495</v>
      </c>
      <c r="S3950" s="35" t="str">
        <f>MID(Tabla1[[#This Row],[Aplicación]],6,2)</f>
        <v>04</v>
      </c>
      <c r="T3950" s="35" t="str">
        <f>VLOOKUP(Tabla1[[#This Row],[AREA]],Hoja1!A:B,2,FALSE)</f>
        <v>04. Planificación y recursos</v>
      </c>
      <c r="U3950" s="35" t="str">
        <f>MID(Tabla1[[#This Row],[Aplicación]],9,4)</f>
        <v>9204</v>
      </c>
      <c r="V3950" s="35" t="str">
        <f>VLOOKUP(Tabla1[[#This Row],[PROGRAMA]],Hoja1!A:B,2,FALSE)</f>
        <v>9204. Tecnologías de la información y comunicación</v>
      </c>
      <c r="W3950" s="35" t="str">
        <f>MID(Tabla1[[#This Row],[Aplicación]],14,2)</f>
        <v>21</v>
      </c>
      <c r="X3950" s="35" t="str">
        <f>MID(Tabla1[[#This Row],[Aplicación]],14,6)</f>
        <v>216</v>
      </c>
    </row>
    <row r="3951" spans="1:24" x14ac:dyDescent="0.25">
      <c r="A3951" s="45">
        <v>220210036182</v>
      </c>
      <c r="B3951" s="46" t="s">
        <v>9</v>
      </c>
      <c r="C3951" s="47">
        <v>44383</v>
      </c>
      <c r="D3951" s="45">
        <v>22021005524</v>
      </c>
      <c r="E3951" s="46" t="s">
        <v>890</v>
      </c>
      <c r="F3951" s="48">
        <v>857.29</v>
      </c>
      <c r="G3951" s="46" t="s">
        <v>5557</v>
      </c>
      <c r="H3951" s="46" t="s">
        <v>5558</v>
      </c>
      <c r="I3951" s="45" t="s">
        <v>125</v>
      </c>
      <c r="J3951" s="46" t="s">
        <v>5559</v>
      </c>
      <c r="K3951" s="46" t="s">
        <v>126</v>
      </c>
      <c r="L3951" s="46" t="s">
        <v>12</v>
      </c>
      <c r="M3951" s="46" t="s">
        <v>10</v>
      </c>
      <c r="N3951" s="46" t="s">
        <v>11</v>
      </c>
      <c r="O3951" s="49" t="s">
        <v>815</v>
      </c>
      <c r="P3951" s="49" t="s">
        <v>4910</v>
      </c>
      <c r="Q3951" s="35" t="str">
        <f>MID(Tabla1[[#This Row],[Aplicación]],14,1)</f>
        <v>2</v>
      </c>
      <c r="R3951" s="35" t="s">
        <v>495</v>
      </c>
      <c r="S3951" s="35" t="str">
        <f>MID(Tabla1[[#This Row],[Aplicación]],6,2)</f>
        <v>11</v>
      </c>
      <c r="T3951" s="35" t="str">
        <f>VLOOKUP(Tabla1[[#This Row],[AREA]],Hoja1!A:B,2,FALSE)</f>
        <v>11. Salud pública y seguridad ciudadana</v>
      </c>
      <c r="U3951" s="35" t="str">
        <f>MID(Tabla1[[#This Row],[Aplicación]],9,4)</f>
        <v>1621</v>
      </c>
      <c r="V3951" s="35" t="str">
        <f>VLOOKUP(Tabla1[[#This Row],[PROGRAMA]],Hoja1!A:B,2,FALSE)</f>
        <v>1621. Servicio de limpieza</v>
      </c>
      <c r="W3951" s="35" t="str">
        <f>MID(Tabla1[[#This Row],[Aplicación]],14,2)</f>
        <v>21</v>
      </c>
      <c r="X3951" s="35" t="str">
        <f>MID(Tabla1[[#This Row],[Aplicación]],14,6)</f>
        <v>214</v>
      </c>
    </row>
    <row r="3952" spans="1:24" x14ac:dyDescent="0.25">
      <c r="A3952" s="45">
        <v>220210051240</v>
      </c>
      <c r="B3952" s="46" t="s">
        <v>9</v>
      </c>
      <c r="C3952" s="47">
        <v>44448</v>
      </c>
      <c r="D3952" s="45">
        <v>22021006437</v>
      </c>
      <c r="E3952" s="46" t="s">
        <v>1220</v>
      </c>
      <c r="F3952" s="48">
        <v>579.24</v>
      </c>
      <c r="G3952" s="46" t="s">
        <v>3567</v>
      </c>
      <c r="H3952" s="46" t="s">
        <v>5560</v>
      </c>
      <c r="I3952" s="45" t="s">
        <v>125</v>
      </c>
      <c r="J3952" s="46" t="s">
        <v>127</v>
      </c>
      <c r="K3952" s="46" t="s">
        <v>127</v>
      </c>
      <c r="L3952" s="46" t="s">
        <v>12</v>
      </c>
      <c r="M3952" s="46" t="s">
        <v>10</v>
      </c>
      <c r="N3952" s="46" t="s">
        <v>11</v>
      </c>
      <c r="O3952" s="49" t="s">
        <v>815</v>
      </c>
      <c r="P3952" s="49" t="s">
        <v>4910</v>
      </c>
      <c r="Q3952" s="35" t="str">
        <f>MID(Tabla1[[#This Row],[Aplicación]],14,1)</f>
        <v>2</v>
      </c>
      <c r="R3952" s="35" t="s">
        <v>495</v>
      </c>
      <c r="S3952" s="35" t="str">
        <f>MID(Tabla1[[#This Row],[Aplicación]],6,2)</f>
        <v>03</v>
      </c>
      <c r="T3952" s="35" t="str">
        <f>VLOOKUP(Tabla1[[#This Row],[AREA]],Hoja1!A:B,2,FALSE)</f>
        <v>03. Participación ciudadana y deportes</v>
      </c>
      <c r="U3952" s="35" t="str">
        <f>MID(Tabla1[[#This Row],[Aplicación]],9,4)</f>
        <v>9241</v>
      </c>
      <c r="V3952" s="35" t="str">
        <f>VLOOKUP(Tabla1[[#This Row],[PROGRAMA]],Hoja1!A:B,2,FALSE)</f>
        <v>9241. Participación ciudadana</v>
      </c>
      <c r="W3952" s="35" t="str">
        <f>MID(Tabla1[[#This Row],[Aplicación]],14,2)</f>
        <v>21</v>
      </c>
      <c r="X3952" s="35" t="str">
        <f>MID(Tabla1[[#This Row],[Aplicación]],14,6)</f>
        <v>213</v>
      </c>
    </row>
    <row r="3953" spans="1:24" x14ac:dyDescent="0.25">
      <c r="A3953" s="45">
        <v>220210045560</v>
      </c>
      <c r="B3953" s="46" t="s">
        <v>9</v>
      </c>
      <c r="C3953" s="47">
        <v>44414</v>
      </c>
      <c r="D3953" s="45">
        <v>22021006021</v>
      </c>
      <c r="E3953" s="46" t="s">
        <v>1328</v>
      </c>
      <c r="F3953" s="48">
        <v>43.56</v>
      </c>
      <c r="G3953" s="46" t="s">
        <v>286</v>
      </c>
      <c r="H3953" s="46" t="s">
        <v>5561</v>
      </c>
      <c r="I3953" s="45" t="s">
        <v>125</v>
      </c>
      <c r="J3953" s="46" t="s">
        <v>127</v>
      </c>
      <c r="K3953" s="46" t="s">
        <v>127</v>
      </c>
      <c r="L3953" s="46" t="s">
        <v>15</v>
      </c>
      <c r="M3953" s="46" t="s">
        <v>10</v>
      </c>
      <c r="N3953" s="46" t="s">
        <v>11</v>
      </c>
      <c r="O3953" s="49" t="s">
        <v>815</v>
      </c>
      <c r="P3953" s="49" t="s">
        <v>4910</v>
      </c>
      <c r="Q3953" s="35" t="str">
        <f>MID(Tabla1[[#This Row],[Aplicación]],14,1)</f>
        <v>2</v>
      </c>
      <c r="R3953" s="35" t="s">
        <v>495</v>
      </c>
      <c r="S3953" s="35" t="str">
        <f>MID(Tabla1[[#This Row],[Aplicación]],6,2)</f>
        <v>10</v>
      </c>
      <c r="T3953" s="35" t="str">
        <f>VLOOKUP(Tabla1[[#This Row],[AREA]],Hoja1!A:B,2,FALSE)</f>
        <v>10. Servicios sociales y mediación comunitaria</v>
      </c>
      <c r="U3953" s="35" t="str">
        <f>MID(Tabla1[[#This Row],[Aplicación]],9,4)</f>
        <v>2311</v>
      </c>
      <c r="V3953" s="35" t="str">
        <f>VLOOKUP(Tabla1[[#This Row],[PROGRAMA]],Hoja1!A:B,2,FALSE)</f>
        <v>2311. Intervención social</v>
      </c>
      <c r="W3953" s="35" t="str">
        <f>MID(Tabla1[[#This Row],[Aplicación]],14,2)</f>
        <v>21</v>
      </c>
      <c r="X3953" s="35" t="str">
        <f>MID(Tabla1[[#This Row],[Aplicación]],14,6)</f>
        <v>212</v>
      </c>
    </row>
    <row r="3954" spans="1:24" x14ac:dyDescent="0.25">
      <c r="A3954" s="45">
        <v>220210056315</v>
      </c>
      <c r="B3954" s="46" t="s">
        <v>9</v>
      </c>
      <c r="C3954" s="47">
        <v>44454</v>
      </c>
      <c r="D3954" s="45">
        <v>22021006434</v>
      </c>
      <c r="E3954" s="46" t="s">
        <v>1621</v>
      </c>
      <c r="F3954" s="48">
        <v>568.70000000000005</v>
      </c>
      <c r="G3954" s="46" t="s">
        <v>4409</v>
      </c>
      <c r="H3954" s="46" t="s">
        <v>5562</v>
      </c>
      <c r="I3954" s="45" t="s">
        <v>125</v>
      </c>
      <c r="J3954" s="46" t="s">
        <v>127</v>
      </c>
      <c r="K3954" s="46" t="s">
        <v>127</v>
      </c>
      <c r="L3954" s="46" t="s">
        <v>12</v>
      </c>
      <c r="M3954" s="46" t="s">
        <v>10</v>
      </c>
      <c r="N3954" s="46" t="s">
        <v>11</v>
      </c>
      <c r="O3954" s="49" t="s">
        <v>815</v>
      </c>
      <c r="P3954" s="49" t="s">
        <v>4910</v>
      </c>
      <c r="Q3954" s="35" t="str">
        <f>MID(Tabla1[[#This Row],[Aplicación]],14,1)</f>
        <v>2</v>
      </c>
      <c r="R3954" s="35" t="s">
        <v>495</v>
      </c>
      <c r="S3954" s="35" t="str">
        <f>MID(Tabla1[[#This Row],[Aplicación]],6,2)</f>
        <v>01</v>
      </c>
      <c r="T3954" s="35" t="str">
        <f>VLOOKUP(Tabla1[[#This Row],[AREA]],Hoja1!A:B,2,FALSE)</f>
        <v>01. Alcaldía</v>
      </c>
      <c r="U3954" s="35" t="str">
        <f>MID(Tabla1[[#This Row],[Aplicación]],9,4)</f>
        <v>9207</v>
      </c>
      <c r="V3954" s="35" t="str">
        <f>VLOOKUP(Tabla1[[#This Row],[PROGRAMA]],Hoja1!A:B,2,FALSE)</f>
        <v>9207. Gobierno y relaciones</v>
      </c>
      <c r="W3954" s="35" t="str">
        <f>MID(Tabla1[[#This Row],[Aplicación]],14,2)</f>
        <v>22</v>
      </c>
      <c r="X3954" s="35" t="str">
        <f>MID(Tabla1[[#This Row],[Aplicación]],14,6)</f>
        <v>22602</v>
      </c>
    </row>
    <row r="3955" spans="1:24" x14ac:dyDescent="0.25">
      <c r="A3955" s="45">
        <v>220210050957</v>
      </c>
      <c r="B3955" s="46" t="s">
        <v>9</v>
      </c>
      <c r="C3955" s="47">
        <v>44446</v>
      </c>
      <c r="D3955" s="45">
        <v>22021006411</v>
      </c>
      <c r="E3955" s="46" t="s">
        <v>823</v>
      </c>
      <c r="F3955" s="48">
        <v>544.5</v>
      </c>
      <c r="G3955" s="46" t="s">
        <v>2352</v>
      </c>
      <c r="H3955" s="46" t="s">
        <v>5563</v>
      </c>
      <c r="I3955" s="45" t="s">
        <v>125</v>
      </c>
      <c r="J3955" s="46" t="s">
        <v>2354</v>
      </c>
      <c r="K3955" s="46" t="s">
        <v>127</v>
      </c>
      <c r="L3955" s="46" t="s">
        <v>12</v>
      </c>
      <c r="M3955" s="46" t="s">
        <v>10</v>
      </c>
      <c r="N3955" s="46" t="s">
        <v>11</v>
      </c>
      <c r="O3955" s="49" t="s">
        <v>815</v>
      </c>
      <c r="P3955" s="49" t="s">
        <v>4910</v>
      </c>
      <c r="Q3955" s="35" t="str">
        <f>MID(Tabla1[[#This Row],[Aplicación]],14,1)</f>
        <v>2</v>
      </c>
      <c r="R3955" s="35" t="s">
        <v>495</v>
      </c>
      <c r="S3955" s="35" t="str">
        <f>MID(Tabla1[[#This Row],[Aplicación]],6,2)</f>
        <v>03</v>
      </c>
      <c r="T3955" s="35" t="str">
        <f>VLOOKUP(Tabla1[[#This Row],[AREA]],Hoja1!A:B,2,FALSE)</f>
        <v>03. Participación ciudadana y deportes</v>
      </c>
      <c r="U3955" s="35" t="str">
        <f>MID(Tabla1[[#This Row],[Aplicación]],9,4)</f>
        <v>9241</v>
      </c>
      <c r="V3955" s="35" t="str">
        <f>VLOOKUP(Tabla1[[#This Row],[PROGRAMA]],Hoja1!A:B,2,FALSE)</f>
        <v>9241. Participación ciudadana</v>
      </c>
      <c r="W3955" s="35" t="str">
        <f>MID(Tabla1[[#This Row],[Aplicación]],14,2)</f>
        <v>22</v>
      </c>
      <c r="X3955" s="35" t="str">
        <f>MID(Tabla1[[#This Row],[Aplicación]],14,6)</f>
        <v>22609</v>
      </c>
    </row>
    <row r="3956" spans="1:24" x14ac:dyDescent="0.25">
      <c r="A3956" s="45">
        <v>220210056310</v>
      </c>
      <c r="B3956" s="46" t="s">
        <v>9</v>
      </c>
      <c r="C3956" s="47">
        <v>44454</v>
      </c>
      <c r="D3956" s="45">
        <v>22021006491</v>
      </c>
      <c r="E3956" s="46" t="s">
        <v>980</v>
      </c>
      <c r="F3956" s="48">
        <v>534.82000000000005</v>
      </c>
      <c r="G3956" s="46" t="s">
        <v>5564</v>
      </c>
      <c r="H3956" s="46" t="s">
        <v>5565</v>
      </c>
      <c r="I3956" s="45" t="s">
        <v>125</v>
      </c>
      <c r="J3956" s="46" t="s">
        <v>4190</v>
      </c>
      <c r="K3956" s="46" t="s">
        <v>127</v>
      </c>
      <c r="L3956" s="46" t="s">
        <v>12</v>
      </c>
      <c r="M3956" s="46" t="s">
        <v>10</v>
      </c>
      <c r="N3956" s="46" t="s">
        <v>11</v>
      </c>
      <c r="O3956" s="49" t="s">
        <v>815</v>
      </c>
      <c r="P3956" s="49" t="s">
        <v>4910</v>
      </c>
      <c r="Q3956" s="35" t="str">
        <f>MID(Tabla1[[#This Row],[Aplicación]],14,1)</f>
        <v>2</v>
      </c>
      <c r="R3956" s="35" t="s">
        <v>495</v>
      </c>
      <c r="S3956" s="35" t="str">
        <f>MID(Tabla1[[#This Row],[Aplicación]],6,2)</f>
        <v>11</v>
      </c>
      <c r="T3956" s="35" t="str">
        <f>VLOOKUP(Tabla1[[#This Row],[AREA]],Hoja1!A:B,2,FALSE)</f>
        <v>11. Salud pública y seguridad ciudadana</v>
      </c>
      <c r="U3956" s="35" t="str">
        <f>MID(Tabla1[[#This Row],[Aplicación]],9,4)</f>
        <v>1361</v>
      </c>
      <c r="V3956" s="35" t="str">
        <f>VLOOKUP(Tabla1[[#This Row],[PROGRAMA]],Hoja1!A:B,2,FALSE)</f>
        <v>1361. Prevención y extinción de incencios</v>
      </c>
      <c r="W3956" s="35" t="str">
        <f>MID(Tabla1[[#This Row],[Aplicación]],14,2)</f>
        <v>21</v>
      </c>
      <c r="X3956" s="35" t="str">
        <f>MID(Tabla1[[#This Row],[Aplicación]],14,6)</f>
        <v>213</v>
      </c>
    </row>
    <row r="3957" spans="1:24" x14ac:dyDescent="0.25">
      <c r="A3957" s="45">
        <v>220210043786</v>
      </c>
      <c r="B3957" s="46" t="s">
        <v>204</v>
      </c>
      <c r="C3957" s="47">
        <v>44404</v>
      </c>
      <c r="D3957" s="45">
        <v>22021003304</v>
      </c>
      <c r="E3957" s="46" t="s">
        <v>827</v>
      </c>
      <c r="F3957" s="48">
        <v>2200</v>
      </c>
      <c r="G3957" s="46" t="s">
        <v>5566</v>
      </c>
      <c r="H3957" s="46" t="s">
        <v>5567</v>
      </c>
      <c r="I3957" s="45" t="s">
        <v>205</v>
      </c>
      <c r="J3957" s="46" t="s">
        <v>698</v>
      </c>
      <c r="K3957" s="46" t="s">
        <v>126</v>
      </c>
      <c r="L3957" s="46" t="s">
        <v>15</v>
      </c>
      <c r="M3957" s="46" t="s">
        <v>13</v>
      </c>
      <c r="N3957" s="46" t="s">
        <v>16</v>
      </c>
      <c r="O3957" s="49" t="s">
        <v>803</v>
      </c>
      <c r="P3957" s="49" t="s">
        <v>4910</v>
      </c>
      <c r="Q3957" s="35" t="str">
        <f>MID(Tabla1[[#This Row],[Aplicación]],14,1)</f>
        <v>2</v>
      </c>
      <c r="R3957" s="35" t="s">
        <v>495</v>
      </c>
      <c r="S3957" s="35" t="str">
        <f>MID(Tabla1[[#This Row],[Aplicación]],6,2)</f>
        <v>04</v>
      </c>
      <c r="T3957" s="35" t="str">
        <f>VLOOKUP(Tabla1[[#This Row],[AREA]],Hoja1!A:B,2,FALSE)</f>
        <v>04. Planificación y recursos</v>
      </c>
      <c r="U3957" s="35" t="str">
        <f>MID(Tabla1[[#This Row],[Aplicación]],9,4)</f>
        <v>9204</v>
      </c>
      <c r="V3957" s="35" t="str">
        <f>VLOOKUP(Tabla1[[#This Row],[PROGRAMA]],Hoja1!A:B,2,FALSE)</f>
        <v>9204. Tecnologías de la información y comunicación</v>
      </c>
      <c r="W3957" s="35" t="str">
        <f>MID(Tabla1[[#This Row],[Aplicación]],14,2)</f>
        <v>21</v>
      </c>
      <c r="X3957" s="35" t="str">
        <f>MID(Tabla1[[#This Row],[Aplicación]],14,6)</f>
        <v>216</v>
      </c>
    </row>
    <row r="3958" spans="1:24" x14ac:dyDescent="0.25">
      <c r="A3958" s="45">
        <v>220210042188</v>
      </c>
      <c r="B3958" s="46" t="s">
        <v>204</v>
      </c>
      <c r="C3958" s="47">
        <v>44400</v>
      </c>
      <c r="D3958" s="45">
        <v>22021003266</v>
      </c>
      <c r="E3958" s="46" t="s">
        <v>1569</v>
      </c>
      <c r="F3958" s="48">
        <v>5730.97</v>
      </c>
      <c r="G3958" s="46" t="s">
        <v>5568</v>
      </c>
      <c r="H3958" s="46" t="s">
        <v>697</v>
      </c>
      <c r="I3958" s="45" t="s">
        <v>205</v>
      </c>
      <c r="J3958" s="46" t="s">
        <v>126</v>
      </c>
      <c r="K3958" s="46" t="s">
        <v>126</v>
      </c>
      <c r="L3958" s="46" t="s">
        <v>15</v>
      </c>
      <c r="M3958" s="46" t="s">
        <v>13</v>
      </c>
      <c r="N3958" s="46" t="s">
        <v>16</v>
      </c>
      <c r="O3958" s="49" t="s">
        <v>803</v>
      </c>
      <c r="P3958" s="49" t="s">
        <v>4910</v>
      </c>
      <c r="Q3958" s="35" t="str">
        <f>MID(Tabla1[[#This Row],[Aplicación]],14,1)</f>
        <v>2</v>
      </c>
      <c r="R3958" s="35" t="s">
        <v>495</v>
      </c>
      <c r="S3958" s="35" t="str">
        <f>MID(Tabla1[[#This Row],[Aplicación]],6,2)</f>
        <v>04</v>
      </c>
      <c r="T3958" s="35" t="str">
        <f>VLOOKUP(Tabla1[[#This Row],[AREA]],Hoja1!A:B,2,FALSE)</f>
        <v>04. Planificación y recursos</v>
      </c>
      <c r="U3958" s="35" t="str">
        <f>MID(Tabla1[[#This Row],[Aplicación]],9,4)</f>
        <v>9204</v>
      </c>
      <c r="V3958" s="35" t="str">
        <f>VLOOKUP(Tabla1[[#This Row],[PROGRAMA]],Hoja1!A:B,2,FALSE)</f>
        <v>9204. Tecnologías de la información y comunicación</v>
      </c>
      <c r="W3958" s="35" t="str">
        <f>MID(Tabla1[[#This Row],[Aplicación]],14,2)</f>
        <v>22</v>
      </c>
      <c r="X3958" s="35" t="str">
        <f>MID(Tabla1[[#This Row],[Aplicación]],14,6)</f>
        <v>22002</v>
      </c>
    </row>
    <row r="3959" spans="1:24" x14ac:dyDescent="0.25">
      <c r="A3959" s="45">
        <v>220210037296</v>
      </c>
      <c r="B3959" s="46" t="s">
        <v>204</v>
      </c>
      <c r="C3959" s="47">
        <v>44391</v>
      </c>
      <c r="D3959" s="45">
        <v>22021002412</v>
      </c>
      <c r="E3959" s="46" t="s">
        <v>1487</v>
      </c>
      <c r="F3959" s="48">
        <v>121144.7</v>
      </c>
      <c r="G3959" s="46" t="s">
        <v>5569</v>
      </c>
      <c r="H3959" s="46" t="s">
        <v>5106</v>
      </c>
      <c r="I3959" s="45" t="s">
        <v>205</v>
      </c>
      <c r="J3959" s="46" t="s">
        <v>127</v>
      </c>
      <c r="K3959" s="46" t="s">
        <v>127</v>
      </c>
      <c r="L3959" s="46" t="s">
        <v>31</v>
      </c>
      <c r="M3959" s="46" t="s">
        <v>13</v>
      </c>
      <c r="N3959" s="46" t="s">
        <v>16</v>
      </c>
      <c r="O3959" s="49" t="s">
        <v>803</v>
      </c>
      <c r="P3959" s="49" t="s">
        <v>4910</v>
      </c>
      <c r="Q3959" s="35" t="str">
        <f>MID(Tabla1[[#This Row],[Aplicación]],14,1)</f>
        <v>6</v>
      </c>
      <c r="R3959" s="35" t="s">
        <v>496</v>
      </c>
      <c r="S3959" s="35" t="str">
        <f>MID(Tabla1[[#This Row],[Aplicación]],6,2)</f>
        <v>08</v>
      </c>
      <c r="T3959" s="35" t="str">
        <f>VLOOKUP(Tabla1[[#This Row],[AREA]],Hoja1!A:B,2,FALSE)</f>
        <v>08. Movilidad y espacio urbano</v>
      </c>
      <c r="U3959" s="35" t="str">
        <f>MID(Tabla1[[#This Row],[Aplicación]],9,4)</f>
        <v>1532</v>
      </c>
      <c r="V3959" s="35" t="str">
        <f>VLOOKUP(Tabla1[[#This Row],[PROGRAMA]],Hoja1!A:B,2,FALSE)</f>
        <v>1532. Pavimentación vias públicas y otros servicios urbanísticos</v>
      </c>
      <c r="W3959" s="35" t="str">
        <f>MID(Tabla1[[#This Row],[Aplicación]],14,2)</f>
        <v>61</v>
      </c>
      <c r="X3959" s="35" t="str">
        <f>MID(Tabla1[[#This Row],[Aplicación]],14,6)</f>
        <v>619</v>
      </c>
    </row>
    <row r="3960" spans="1:24" x14ac:dyDescent="0.25">
      <c r="A3960" s="45">
        <v>220210044567</v>
      </c>
      <c r="B3960" s="46" t="s">
        <v>9</v>
      </c>
      <c r="C3960" s="47">
        <v>44407</v>
      </c>
      <c r="D3960" s="45">
        <v>22021005953</v>
      </c>
      <c r="E3960" s="46" t="s">
        <v>1220</v>
      </c>
      <c r="F3960" s="48">
        <v>605</v>
      </c>
      <c r="G3960" s="46" t="s">
        <v>5569</v>
      </c>
      <c r="H3960" s="46" t="s">
        <v>5570</v>
      </c>
      <c r="I3960" s="45" t="s">
        <v>125</v>
      </c>
      <c r="J3960" s="46" t="s">
        <v>127</v>
      </c>
      <c r="K3960" s="46" t="s">
        <v>127</v>
      </c>
      <c r="L3960" s="46" t="s">
        <v>12</v>
      </c>
      <c r="M3960" s="46" t="s">
        <v>10</v>
      </c>
      <c r="N3960" s="46" t="s">
        <v>11</v>
      </c>
      <c r="O3960" s="49" t="s">
        <v>815</v>
      </c>
      <c r="P3960" s="49" t="s">
        <v>4910</v>
      </c>
      <c r="Q3960" s="35" t="str">
        <f>MID(Tabla1[[#This Row],[Aplicación]],14,1)</f>
        <v>2</v>
      </c>
      <c r="R3960" s="35" t="s">
        <v>495</v>
      </c>
      <c r="S3960" s="35" t="str">
        <f>MID(Tabla1[[#This Row],[Aplicación]],6,2)</f>
        <v>03</v>
      </c>
      <c r="T3960" s="35" t="str">
        <f>VLOOKUP(Tabla1[[#This Row],[AREA]],Hoja1!A:B,2,FALSE)</f>
        <v>03. Participación ciudadana y deportes</v>
      </c>
      <c r="U3960" s="35" t="str">
        <f>MID(Tabla1[[#This Row],[Aplicación]],9,4)</f>
        <v>9241</v>
      </c>
      <c r="V3960" s="35" t="str">
        <f>VLOOKUP(Tabla1[[#This Row],[PROGRAMA]],Hoja1!A:B,2,FALSE)</f>
        <v>9241. Participación ciudadana</v>
      </c>
      <c r="W3960" s="35" t="str">
        <f>MID(Tabla1[[#This Row],[Aplicación]],14,2)</f>
        <v>21</v>
      </c>
      <c r="X3960" s="35" t="str">
        <f>MID(Tabla1[[#This Row],[Aplicación]],14,6)</f>
        <v>213</v>
      </c>
    </row>
    <row r="3961" spans="1:24" x14ac:dyDescent="0.25">
      <c r="A3961" s="45">
        <v>220210051305</v>
      </c>
      <c r="B3961" s="46" t="s">
        <v>9</v>
      </c>
      <c r="C3961" s="47">
        <v>44449</v>
      </c>
      <c r="D3961" s="45">
        <v>22021006458</v>
      </c>
      <c r="E3961" s="46" t="s">
        <v>3331</v>
      </c>
      <c r="F3961" s="48">
        <v>515.46</v>
      </c>
      <c r="G3961" s="46" t="s">
        <v>3621</v>
      </c>
      <c r="H3961" s="46" t="s">
        <v>5571</v>
      </c>
      <c r="I3961" s="45" t="s">
        <v>125</v>
      </c>
      <c r="J3961" s="46" t="s">
        <v>3623</v>
      </c>
      <c r="K3961" s="46" t="s">
        <v>822</v>
      </c>
      <c r="L3961" s="46" t="s">
        <v>15</v>
      </c>
      <c r="M3961" s="46" t="s">
        <v>10</v>
      </c>
      <c r="N3961" s="46" t="s">
        <v>11</v>
      </c>
      <c r="O3961" s="49" t="s">
        <v>815</v>
      </c>
      <c r="P3961" s="49" t="s">
        <v>4910</v>
      </c>
      <c r="Q3961" s="35" t="str">
        <f>MID(Tabla1[[#This Row],[Aplicación]],14,1)</f>
        <v>6</v>
      </c>
      <c r="R3961" s="35" t="s">
        <v>496</v>
      </c>
      <c r="S3961" s="35" t="str">
        <f>MID(Tabla1[[#This Row],[Aplicación]],6,2)</f>
        <v>11</v>
      </c>
      <c r="T3961" s="35" t="str">
        <f>VLOOKUP(Tabla1[[#This Row],[AREA]],Hoja1!A:B,2,FALSE)</f>
        <v>11. Salud pública y seguridad ciudadana</v>
      </c>
      <c r="U3961" s="35" t="str">
        <f>MID(Tabla1[[#This Row],[Aplicación]],9,4)</f>
        <v>1321</v>
      </c>
      <c r="V3961" s="35" t="str">
        <f>VLOOKUP(Tabla1[[#This Row],[PROGRAMA]],Hoja1!A:B,2,FALSE)</f>
        <v>1321. Policía municipal</v>
      </c>
      <c r="W3961" s="35" t="str">
        <f>MID(Tabla1[[#This Row],[Aplicación]],14,2)</f>
        <v>62</v>
      </c>
      <c r="X3961" s="35" t="str">
        <f>MID(Tabla1[[#This Row],[Aplicación]],14,6)</f>
        <v>626</v>
      </c>
    </row>
    <row r="3962" spans="1:24" x14ac:dyDescent="0.25">
      <c r="A3962" s="45">
        <v>220210054496</v>
      </c>
      <c r="B3962" s="46" t="s">
        <v>9</v>
      </c>
      <c r="C3962" s="47">
        <v>44453</v>
      </c>
      <c r="D3962" s="45">
        <v>22021003024</v>
      </c>
      <c r="E3962" s="46" t="s">
        <v>2072</v>
      </c>
      <c r="F3962" s="48">
        <v>500</v>
      </c>
      <c r="G3962" s="46" t="s">
        <v>268</v>
      </c>
      <c r="H3962" s="46" t="s">
        <v>5572</v>
      </c>
      <c r="I3962" s="45" t="s">
        <v>125</v>
      </c>
      <c r="J3962" s="46" t="s">
        <v>127</v>
      </c>
      <c r="K3962" s="46" t="s">
        <v>127</v>
      </c>
      <c r="L3962" s="46" t="s">
        <v>15</v>
      </c>
      <c r="M3962" s="46" t="s">
        <v>10</v>
      </c>
      <c r="N3962" s="46" t="s">
        <v>11</v>
      </c>
      <c r="O3962" s="49" t="s">
        <v>815</v>
      </c>
      <c r="P3962" s="49" t="s">
        <v>4910</v>
      </c>
      <c r="Q3962" s="35" t="str">
        <f>MID(Tabla1[[#This Row],[Aplicación]],14,1)</f>
        <v>2</v>
      </c>
      <c r="R3962" s="35" t="s">
        <v>495</v>
      </c>
      <c r="S3962" s="35" t="str">
        <f>MID(Tabla1[[#This Row],[Aplicación]],6,2)</f>
        <v>10</v>
      </c>
      <c r="T3962" s="35" t="str">
        <f>VLOOKUP(Tabla1[[#This Row],[AREA]],Hoja1!A:B,2,FALSE)</f>
        <v>10. Servicios sociales y mediación comunitaria</v>
      </c>
      <c r="U3962" s="35" t="str">
        <f>MID(Tabla1[[#This Row],[Aplicación]],9,4)</f>
        <v>2412</v>
      </c>
      <c r="V3962" s="35" t="str">
        <f>VLOOKUP(Tabla1[[#This Row],[PROGRAMA]],Hoja1!A:B,2,FALSE)</f>
        <v>2412. Formación para el empleo</v>
      </c>
      <c r="W3962" s="35" t="str">
        <f>MID(Tabla1[[#This Row],[Aplicación]],14,2)</f>
        <v>22</v>
      </c>
      <c r="X3962" s="35" t="str">
        <f>MID(Tabla1[[#This Row],[Aplicación]],14,6)</f>
        <v>22110</v>
      </c>
    </row>
    <row r="3963" spans="1:24" x14ac:dyDescent="0.25">
      <c r="A3963" s="45">
        <v>220210050955</v>
      </c>
      <c r="B3963" s="46" t="s">
        <v>9</v>
      </c>
      <c r="C3963" s="47">
        <v>44446</v>
      </c>
      <c r="D3963" s="45">
        <v>22021006409</v>
      </c>
      <c r="E3963" s="46" t="s">
        <v>823</v>
      </c>
      <c r="F3963" s="48">
        <v>495</v>
      </c>
      <c r="G3963" s="46" t="s">
        <v>3689</v>
      </c>
      <c r="H3963" s="46" t="s">
        <v>5573</v>
      </c>
      <c r="I3963" s="45" t="s">
        <v>125</v>
      </c>
      <c r="J3963" s="46" t="s">
        <v>127</v>
      </c>
      <c r="K3963" s="46" t="s">
        <v>127</v>
      </c>
      <c r="L3963" s="46" t="s">
        <v>12</v>
      </c>
      <c r="M3963" s="46" t="s">
        <v>10</v>
      </c>
      <c r="N3963" s="46" t="s">
        <v>11</v>
      </c>
      <c r="O3963" s="49" t="s">
        <v>815</v>
      </c>
      <c r="P3963" s="49" t="s">
        <v>4910</v>
      </c>
      <c r="Q3963" s="35" t="str">
        <f>MID(Tabla1[[#This Row],[Aplicación]],14,1)</f>
        <v>2</v>
      </c>
      <c r="R3963" s="35" t="s">
        <v>495</v>
      </c>
      <c r="S3963" s="35" t="str">
        <f>MID(Tabla1[[#This Row],[Aplicación]],6,2)</f>
        <v>03</v>
      </c>
      <c r="T3963" s="35" t="str">
        <f>VLOOKUP(Tabla1[[#This Row],[AREA]],Hoja1!A:B,2,FALSE)</f>
        <v>03. Participación ciudadana y deportes</v>
      </c>
      <c r="U3963" s="35" t="str">
        <f>MID(Tabla1[[#This Row],[Aplicación]],9,4)</f>
        <v>9241</v>
      </c>
      <c r="V3963" s="35" t="str">
        <f>VLOOKUP(Tabla1[[#This Row],[PROGRAMA]],Hoja1!A:B,2,FALSE)</f>
        <v>9241. Participación ciudadana</v>
      </c>
      <c r="W3963" s="35" t="str">
        <f>MID(Tabla1[[#This Row],[Aplicación]],14,2)</f>
        <v>22</v>
      </c>
      <c r="X3963" s="35" t="str">
        <f>MID(Tabla1[[#This Row],[Aplicación]],14,6)</f>
        <v>22609</v>
      </c>
    </row>
    <row r="3964" spans="1:24" x14ac:dyDescent="0.25">
      <c r="A3964" s="45">
        <v>220210036484</v>
      </c>
      <c r="B3964" s="46" t="s">
        <v>9</v>
      </c>
      <c r="C3964" s="47">
        <v>44384</v>
      </c>
      <c r="D3964" s="45">
        <v>22021005359</v>
      </c>
      <c r="E3964" s="46" t="s">
        <v>1501</v>
      </c>
      <c r="F3964" s="48">
        <v>1978.35</v>
      </c>
      <c r="G3964" s="46" t="s">
        <v>66</v>
      </c>
      <c r="H3964" s="46" t="s">
        <v>5574</v>
      </c>
      <c r="I3964" s="45" t="s">
        <v>125</v>
      </c>
      <c r="J3964" s="46" t="s">
        <v>127</v>
      </c>
      <c r="K3964" s="46" t="s">
        <v>127</v>
      </c>
      <c r="L3964" s="46" t="s">
        <v>12</v>
      </c>
      <c r="M3964" s="46" t="s">
        <v>10</v>
      </c>
      <c r="N3964" s="46" t="s">
        <v>11</v>
      </c>
      <c r="O3964" s="49" t="s">
        <v>815</v>
      </c>
      <c r="P3964" s="49" t="s">
        <v>4910</v>
      </c>
      <c r="Q3964" s="35" t="str">
        <f>MID(Tabla1[[#This Row],[Aplicación]],14,1)</f>
        <v>2</v>
      </c>
      <c r="R3964" s="35" t="s">
        <v>495</v>
      </c>
      <c r="S3964" s="35" t="str">
        <f>MID(Tabla1[[#This Row],[Aplicación]],6,2)</f>
        <v>09</v>
      </c>
      <c r="T3964" s="35" t="str">
        <f>VLOOKUP(Tabla1[[#This Row],[AREA]],Hoja1!A:B,2,FALSE)</f>
        <v>09. Cultura y turismo</v>
      </c>
      <c r="U3964" s="35" t="str">
        <f>MID(Tabla1[[#This Row],[Aplicación]],9,4)</f>
        <v>3341</v>
      </c>
      <c r="V3964" s="35" t="str">
        <f>VLOOKUP(Tabla1[[#This Row],[PROGRAMA]],Hoja1!A:B,2,FALSE)</f>
        <v>3341. Coordinación de políticas culturales</v>
      </c>
      <c r="W3964" s="35" t="str">
        <f>MID(Tabla1[[#This Row],[Aplicación]],14,2)</f>
        <v>22</v>
      </c>
      <c r="X3964" s="35" t="str">
        <f>MID(Tabla1[[#This Row],[Aplicación]],14,6)</f>
        <v>22701</v>
      </c>
    </row>
    <row r="3965" spans="1:24" x14ac:dyDescent="0.25">
      <c r="A3965" s="45">
        <v>220210043788</v>
      </c>
      <c r="B3965" s="46" t="s">
        <v>204</v>
      </c>
      <c r="C3965" s="47">
        <v>44404</v>
      </c>
      <c r="D3965" s="45">
        <v>22021003306</v>
      </c>
      <c r="E3965" s="46" t="s">
        <v>827</v>
      </c>
      <c r="F3965" s="48">
        <v>1996.5</v>
      </c>
      <c r="G3965" s="46" t="s">
        <v>4966</v>
      </c>
      <c r="H3965" s="46" t="s">
        <v>5575</v>
      </c>
      <c r="I3965" s="45" t="s">
        <v>205</v>
      </c>
      <c r="J3965" s="46" t="s">
        <v>180</v>
      </c>
      <c r="K3965" s="46" t="s">
        <v>180</v>
      </c>
      <c r="L3965" s="46" t="s">
        <v>15</v>
      </c>
      <c r="M3965" s="46" t="s">
        <v>13</v>
      </c>
      <c r="N3965" s="46" t="s">
        <v>16</v>
      </c>
      <c r="O3965" s="49" t="s">
        <v>803</v>
      </c>
      <c r="P3965" s="49" t="s">
        <v>4910</v>
      </c>
      <c r="Q3965" s="35" t="str">
        <f>MID(Tabla1[[#This Row],[Aplicación]],14,1)</f>
        <v>2</v>
      </c>
      <c r="R3965" s="35" t="s">
        <v>495</v>
      </c>
      <c r="S3965" s="35" t="str">
        <f>MID(Tabla1[[#This Row],[Aplicación]],6,2)</f>
        <v>04</v>
      </c>
      <c r="T3965" s="35" t="str">
        <f>VLOOKUP(Tabla1[[#This Row],[AREA]],Hoja1!A:B,2,FALSE)</f>
        <v>04. Planificación y recursos</v>
      </c>
      <c r="U3965" s="35" t="str">
        <f>MID(Tabla1[[#This Row],[Aplicación]],9,4)</f>
        <v>9204</v>
      </c>
      <c r="V3965" s="35" t="str">
        <f>VLOOKUP(Tabla1[[#This Row],[PROGRAMA]],Hoja1!A:B,2,FALSE)</f>
        <v>9204. Tecnologías de la información y comunicación</v>
      </c>
      <c r="W3965" s="35" t="str">
        <f>MID(Tabla1[[#This Row],[Aplicación]],14,2)</f>
        <v>21</v>
      </c>
      <c r="X3965" s="35" t="str">
        <f>MID(Tabla1[[#This Row],[Aplicación]],14,6)</f>
        <v>216</v>
      </c>
    </row>
    <row r="3966" spans="1:24" x14ac:dyDescent="0.25">
      <c r="A3966" s="45">
        <v>220210056298</v>
      </c>
      <c r="B3966" s="46" t="s">
        <v>9</v>
      </c>
      <c r="C3966" s="47">
        <v>44454</v>
      </c>
      <c r="D3966" s="45">
        <v>22021006508</v>
      </c>
      <c r="E3966" s="46" t="s">
        <v>3347</v>
      </c>
      <c r="F3966" s="48">
        <v>484</v>
      </c>
      <c r="G3966" s="46" t="s">
        <v>5576</v>
      </c>
      <c r="H3966" s="46" t="s">
        <v>5577</v>
      </c>
      <c r="I3966" s="45" t="s">
        <v>125</v>
      </c>
      <c r="J3966" s="46" t="s">
        <v>127</v>
      </c>
      <c r="K3966" s="46" t="s">
        <v>127</v>
      </c>
      <c r="L3966" s="46" t="s">
        <v>12</v>
      </c>
      <c r="M3966" s="46" t="s">
        <v>10</v>
      </c>
      <c r="N3966" s="46" t="s">
        <v>11</v>
      </c>
      <c r="O3966" s="49" t="s">
        <v>815</v>
      </c>
      <c r="P3966" s="49" t="s">
        <v>4910</v>
      </c>
      <c r="Q3966" s="35" t="str">
        <f>MID(Tabla1[[#This Row],[Aplicación]],14,1)</f>
        <v>2</v>
      </c>
      <c r="R3966" s="35" t="s">
        <v>495</v>
      </c>
      <c r="S3966" s="35" t="str">
        <f>MID(Tabla1[[#This Row],[Aplicación]],6,2)</f>
        <v>06</v>
      </c>
      <c r="T3966" s="35" t="str">
        <f>VLOOKUP(Tabla1[[#This Row],[AREA]],Hoja1!A:B,2,FALSE)</f>
        <v>06. Educación, infancia, juventud e igualdad</v>
      </c>
      <c r="U3966" s="35" t="str">
        <f>MID(Tabla1[[#This Row],[Aplicación]],9,4)</f>
        <v>2315</v>
      </c>
      <c r="V3966" s="35" t="str">
        <f>VLOOKUP(Tabla1[[#This Row],[PROGRAMA]],Hoja1!A:B,2,FALSE)</f>
        <v>2315. Políticas de Igualdad e infancia</v>
      </c>
      <c r="W3966" s="35" t="str">
        <f>MID(Tabla1[[#This Row],[Aplicación]],14,2)</f>
        <v>22</v>
      </c>
      <c r="X3966" s="35" t="str">
        <f>MID(Tabla1[[#This Row],[Aplicación]],14,6)</f>
        <v>22614</v>
      </c>
    </row>
    <row r="3967" spans="1:24" x14ac:dyDescent="0.25">
      <c r="A3967" s="45">
        <v>220210045370</v>
      </c>
      <c r="B3967" s="46" t="s">
        <v>9</v>
      </c>
      <c r="C3967" s="47">
        <v>44413</v>
      </c>
      <c r="D3967" s="45">
        <v>22021006007</v>
      </c>
      <c r="E3967" s="46" t="s">
        <v>1397</v>
      </c>
      <c r="F3967" s="48">
        <v>666.25</v>
      </c>
      <c r="G3967" s="46" t="s">
        <v>3836</v>
      </c>
      <c r="H3967" s="46" t="s">
        <v>5578</v>
      </c>
      <c r="I3967" s="45" t="s">
        <v>125</v>
      </c>
      <c r="J3967" s="46" t="s">
        <v>126</v>
      </c>
      <c r="K3967" s="46" t="s">
        <v>126</v>
      </c>
      <c r="L3967" s="46" t="s">
        <v>12</v>
      </c>
      <c r="M3967" s="46" t="s">
        <v>10</v>
      </c>
      <c r="N3967" s="46" t="s">
        <v>11</v>
      </c>
      <c r="O3967" s="49" t="s">
        <v>815</v>
      </c>
      <c r="P3967" s="49" t="s">
        <v>4910</v>
      </c>
      <c r="Q3967" s="35" t="str">
        <f>MID(Tabla1[[#This Row],[Aplicación]],14,1)</f>
        <v>2</v>
      </c>
      <c r="R3967" s="35" t="s">
        <v>495</v>
      </c>
      <c r="S3967" s="35" t="str">
        <f>MID(Tabla1[[#This Row],[Aplicación]],6,2)</f>
        <v>11</v>
      </c>
      <c r="T3967" s="35" t="str">
        <f>VLOOKUP(Tabla1[[#This Row],[AREA]],Hoja1!A:B,2,FALSE)</f>
        <v>11. Salud pública y seguridad ciudadana</v>
      </c>
      <c r="U3967" s="35" t="str">
        <f>MID(Tabla1[[#This Row],[Aplicación]],9,4)</f>
        <v>1361</v>
      </c>
      <c r="V3967" s="35" t="str">
        <f>VLOOKUP(Tabla1[[#This Row],[PROGRAMA]],Hoja1!A:B,2,FALSE)</f>
        <v>1361. Prevención y extinción de incencios</v>
      </c>
      <c r="W3967" s="35" t="str">
        <f>MID(Tabla1[[#This Row],[Aplicación]],14,2)</f>
        <v>21</v>
      </c>
      <c r="X3967" s="35" t="str">
        <f>MID(Tabla1[[#This Row],[Aplicación]],14,6)</f>
        <v>214</v>
      </c>
    </row>
    <row r="3968" spans="1:24" x14ac:dyDescent="0.25">
      <c r="A3968" s="45">
        <v>220210036485</v>
      </c>
      <c r="B3968" s="46" t="s">
        <v>9</v>
      </c>
      <c r="C3968" s="47">
        <v>44384</v>
      </c>
      <c r="D3968" s="45">
        <v>22021005349</v>
      </c>
      <c r="E3968" s="46" t="s">
        <v>1501</v>
      </c>
      <c r="F3968" s="48">
        <v>9517.94</v>
      </c>
      <c r="G3968" s="46" t="s">
        <v>53</v>
      </c>
      <c r="H3968" s="46" t="s">
        <v>5579</v>
      </c>
      <c r="I3968" s="45" t="s">
        <v>125</v>
      </c>
      <c r="J3968" s="46" t="s">
        <v>127</v>
      </c>
      <c r="K3968" s="46" t="s">
        <v>127</v>
      </c>
      <c r="L3968" s="46" t="s">
        <v>12</v>
      </c>
      <c r="M3968" s="46" t="s">
        <v>10</v>
      </c>
      <c r="N3968" s="46" t="s">
        <v>11</v>
      </c>
      <c r="O3968" s="49" t="s">
        <v>815</v>
      </c>
      <c r="P3968" s="49" t="s">
        <v>4910</v>
      </c>
      <c r="Q3968" s="35" t="str">
        <f>MID(Tabla1[[#This Row],[Aplicación]],14,1)</f>
        <v>2</v>
      </c>
      <c r="R3968" s="35" t="s">
        <v>495</v>
      </c>
      <c r="S3968" s="35" t="str">
        <f>MID(Tabla1[[#This Row],[Aplicación]],6,2)</f>
        <v>09</v>
      </c>
      <c r="T3968" s="35" t="str">
        <f>VLOOKUP(Tabla1[[#This Row],[AREA]],Hoja1!A:B,2,FALSE)</f>
        <v>09. Cultura y turismo</v>
      </c>
      <c r="U3968" s="35" t="str">
        <f>MID(Tabla1[[#This Row],[Aplicación]],9,4)</f>
        <v>3341</v>
      </c>
      <c r="V3968" s="35" t="str">
        <f>VLOOKUP(Tabla1[[#This Row],[PROGRAMA]],Hoja1!A:B,2,FALSE)</f>
        <v>3341. Coordinación de políticas culturales</v>
      </c>
      <c r="W3968" s="35" t="str">
        <f>MID(Tabla1[[#This Row],[Aplicación]],14,2)</f>
        <v>22</v>
      </c>
      <c r="X3968" s="35" t="str">
        <f>MID(Tabla1[[#This Row],[Aplicación]],14,6)</f>
        <v>22701</v>
      </c>
    </row>
    <row r="3969" spans="1:24" x14ac:dyDescent="0.25">
      <c r="A3969" s="45">
        <v>220210036832</v>
      </c>
      <c r="B3969" s="46" t="s">
        <v>9</v>
      </c>
      <c r="C3969" s="47">
        <v>44386</v>
      </c>
      <c r="D3969" s="45">
        <v>22021004675</v>
      </c>
      <c r="E3969" s="46" t="s">
        <v>3345</v>
      </c>
      <c r="F3969" s="48">
        <v>7260</v>
      </c>
      <c r="G3969" s="46" t="s">
        <v>53</v>
      </c>
      <c r="H3969" s="46" t="s">
        <v>5580</v>
      </c>
      <c r="I3969" s="45" t="s">
        <v>125</v>
      </c>
      <c r="J3969" s="46" t="s">
        <v>127</v>
      </c>
      <c r="K3969" s="46" t="s">
        <v>127</v>
      </c>
      <c r="L3969" s="46" t="s">
        <v>15</v>
      </c>
      <c r="M3969" s="46" t="s">
        <v>10</v>
      </c>
      <c r="N3969" s="46" t="s">
        <v>11</v>
      </c>
      <c r="O3969" s="49" t="s">
        <v>815</v>
      </c>
      <c r="P3969" s="49" t="s">
        <v>4910</v>
      </c>
      <c r="Q3969" s="35" t="str">
        <f>MID(Tabla1[[#This Row],[Aplicación]],14,1)</f>
        <v>6</v>
      </c>
      <c r="R3969" s="35" t="s">
        <v>496</v>
      </c>
      <c r="S3969" s="35" t="str">
        <f>MID(Tabla1[[#This Row],[Aplicación]],6,2)</f>
        <v>03</v>
      </c>
      <c r="T3969" s="35" t="str">
        <f>VLOOKUP(Tabla1[[#This Row],[AREA]],Hoja1!A:B,2,FALSE)</f>
        <v>03. Participación ciudadana y deportes</v>
      </c>
      <c r="U3969" s="35" t="str">
        <f>MID(Tabla1[[#This Row],[Aplicación]],9,4)</f>
        <v>9241</v>
      </c>
      <c r="V3969" s="35" t="str">
        <f>VLOOKUP(Tabla1[[#This Row],[PROGRAMA]],Hoja1!A:B,2,FALSE)</f>
        <v>9241. Participación ciudadana</v>
      </c>
      <c r="W3969" s="35" t="str">
        <f>MID(Tabla1[[#This Row],[Aplicación]],14,2)</f>
        <v>63</v>
      </c>
      <c r="X3969" s="35" t="str">
        <f>MID(Tabla1[[#This Row],[Aplicación]],14,6)</f>
        <v>633</v>
      </c>
    </row>
    <row r="3970" spans="1:24" x14ac:dyDescent="0.25">
      <c r="A3970" s="45">
        <v>220210043776</v>
      </c>
      <c r="B3970" s="46" t="s">
        <v>9</v>
      </c>
      <c r="C3970" s="47">
        <v>44404</v>
      </c>
      <c r="D3970" s="45">
        <v>22021005760</v>
      </c>
      <c r="E3970" s="46" t="s">
        <v>5581</v>
      </c>
      <c r="F3970" s="48">
        <v>5227.16</v>
      </c>
      <c r="G3970" s="46" t="s">
        <v>53</v>
      </c>
      <c r="H3970" s="46" t="s">
        <v>5582</v>
      </c>
      <c r="I3970" s="45" t="s">
        <v>125</v>
      </c>
      <c r="J3970" s="46" t="s">
        <v>127</v>
      </c>
      <c r="K3970" s="46" t="s">
        <v>127</v>
      </c>
      <c r="L3970" s="46" t="s">
        <v>12</v>
      </c>
      <c r="M3970" s="46" t="s">
        <v>10</v>
      </c>
      <c r="N3970" s="46" t="s">
        <v>11</v>
      </c>
      <c r="O3970" s="49" t="s">
        <v>815</v>
      </c>
      <c r="P3970" s="49" t="s">
        <v>4910</v>
      </c>
      <c r="Q3970" s="35" t="str">
        <f>MID(Tabla1[[#This Row],[Aplicación]],14,1)</f>
        <v>6</v>
      </c>
      <c r="R3970" s="35" t="s">
        <v>496</v>
      </c>
      <c r="S3970" s="35" t="str">
        <f>MID(Tabla1[[#This Row],[Aplicación]],6,2)</f>
        <v>10</v>
      </c>
      <c r="T3970" s="35" t="str">
        <f>VLOOKUP(Tabla1[[#This Row],[AREA]],Hoja1!A:B,2,FALSE)</f>
        <v>10. Servicios sociales y mediación comunitaria</v>
      </c>
      <c r="U3970" s="35" t="str">
        <f>MID(Tabla1[[#This Row],[Aplicación]],9,4)</f>
        <v>2311</v>
      </c>
      <c r="V3970" s="35" t="str">
        <f>VLOOKUP(Tabla1[[#This Row],[PROGRAMA]],Hoja1!A:B,2,FALSE)</f>
        <v>2311. Intervención social</v>
      </c>
      <c r="W3970" s="35" t="str">
        <f>MID(Tabla1[[#This Row],[Aplicación]],14,2)</f>
        <v>62</v>
      </c>
      <c r="X3970" s="35" t="str">
        <f>MID(Tabla1[[#This Row],[Aplicación]],14,6)</f>
        <v>623</v>
      </c>
    </row>
    <row r="3971" spans="1:24" x14ac:dyDescent="0.25">
      <c r="A3971" s="45">
        <v>220210034307</v>
      </c>
      <c r="B3971" s="46" t="s">
        <v>9</v>
      </c>
      <c r="C3971" s="47">
        <v>44378</v>
      </c>
      <c r="D3971" s="45">
        <v>22021005108</v>
      </c>
      <c r="E3971" s="46" t="s">
        <v>1175</v>
      </c>
      <c r="F3971" s="48">
        <v>640.91</v>
      </c>
      <c r="G3971" s="46" t="s">
        <v>53</v>
      </c>
      <c r="H3971" s="46" t="s">
        <v>5583</v>
      </c>
      <c r="I3971" s="45" t="s">
        <v>125</v>
      </c>
      <c r="J3971" s="46" t="s">
        <v>127</v>
      </c>
      <c r="K3971" s="46" t="s">
        <v>127</v>
      </c>
      <c r="L3971" s="46" t="s">
        <v>12</v>
      </c>
      <c r="M3971" s="46" t="s">
        <v>10</v>
      </c>
      <c r="N3971" s="46" t="s">
        <v>11</v>
      </c>
      <c r="O3971" s="49" t="s">
        <v>815</v>
      </c>
      <c r="P3971" s="49" t="s">
        <v>4910</v>
      </c>
      <c r="Q3971" s="35" t="str">
        <f>MID(Tabla1[[#This Row],[Aplicación]],14,1)</f>
        <v>2</v>
      </c>
      <c r="R3971" s="35" t="s">
        <v>495</v>
      </c>
      <c r="S3971" s="35" t="str">
        <f>MID(Tabla1[[#This Row],[Aplicación]],6,2)</f>
        <v>06</v>
      </c>
      <c r="T3971" s="35" t="str">
        <f>VLOOKUP(Tabla1[[#This Row],[AREA]],Hoja1!A:B,2,FALSE)</f>
        <v>06. Educación, infancia, juventud e igualdad</v>
      </c>
      <c r="U3971" s="35" t="str">
        <f>MID(Tabla1[[#This Row],[Aplicación]],9,4)</f>
        <v>2314</v>
      </c>
      <c r="V3971" s="35" t="str">
        <f>VLOOKUP(Tabla1[[#This Row],[PROGRAMA]],Hoja1!A:B,2,FALSE)</f>
        <v>2314. Centro de programas juveniles</v>
      </c>
      <c r="W3971" s="35" t="str">
        <f>MID(Tabla1[[#This Row],[Aplicación]],14,2)</f>
        <v>22</v>
      </c>
      <c r="X3971" s="35" t="str">
        <f>MID(Tabla1[[#This Row],[Aplicación]],14,6)</f>
        <v>22799</v>
      </c>
    </row>
    <row r="3972" spans="1:24" x14ac:dyDescent="0.25">
      <c r="A3972" s="45">
        <v>220210050517</v>
      </c>
      <c r="B3972" s="46" t="s">
        <v>9</v>
      </c>
      <c r="C3972" s="47">
        <v>44440</v>
      </c>
      <c r="D3972" s="45">
        <v>22021006190</v>
      </c>
      <c r="E3972" s="46" t="s">
        <v>1471</v>
      </c>
      <c r="F3972" s="48">
        <v>470</v>
      </c>
      <c r="G3972" s="46" t="s">
        <v>267</v>
      </c>
      <c r="H3972" s="46" t="s">
        <v>5584</v>
      </c>
      <c r="I3972" s="45" t="s">
        <v>125</v>
      </c>
      <c r="J3972" s="46" t="s">
        <v>4190</v>
      </c>
      <c r="K3972" s="46" t="s">
        <v>127</v>
      </c>
      <c r="L3972" s="46" t="s">
        <v>15</v>
      </c>
      <c r="M3972" s="46" t="s">
        <v>10</v>
      </c>
      <c r="N3972" s="46" t="s">
        <v>11</v>
      </c>
      <c r="O3972" s="49" t="s">
        <v>815</v>
      </c>
      <c r="P3972" s="49" t="s">
        <v>4910</v>
      </c>
      <c r="Q3972" s="35" t="str">
        <f>MID(Tabla1[[#This Row],[Aplicación]],14,1)</f>
        <v>2</v>
      </c>
      <c r="R3972" s="35" t="s">
        <v>495</v>
      </c>
      <c r="S3972" s="35" t="str">
        <f>MID(Tabla1[[#This Row],[Aplicación]],6,2)</f>
        <v>06</v>
      </c>
      <c r="T3972" s="35" t="str">
        <f>VLOOKUP(Tabla1[[#This Row],[AREA]],Hoja1!A:B,2,FALSE)</f>
        <v>06. Educación, infancia, juventud e igualdad</v>
      </c>
      <c r="U3972" s="35" t="str">
        <f>MID(Tabla1[[#This Row],[Aplicación]],9,4)</f>
        <v>3232</v>
      </c>
      <c r="V3972" s="35" t="str">
        <f>VLOOKUP(Tabla1[[#This Row],[PROGRAMA]],Hoja1!A:B,2,FALSE)</f>
        <v>3232. Conservación y mantenimiento centros educación infantil y primaria</v>
      </c>
      <c r="W3972" s="35" t="str">
        <f>MID(Tabla1[[#This Row],[Aplicación]],14,2)</f>
        <v>21</v>
      </c>
      <c r="X3972" s="35" t="str">
        <f>MID(Tabla1[[#This Row],[Aplicación]],14,6)</f>
        <v>212</v>
      </c>
    </row>
    <row r="3973" spans="1:24" x14ac:dyDescent="0.25">
      <c r="A3973" s="45">
        <v>220210050518</v>
      </c>
      <c r="B3973" s="46" t="s">
        <v>9</v>
      </c>
      <c r="C3973" s="47">
        <v>44440</v>
      </c>
      <c r="D3973" s="45">
        <v>22021006201</v>
      </c>
      <c r="E3973" s="46" t="s">
        <v>1471</v>
      </c>
      <c r="F3973" s="48">
        <v>459.8</v>
      </c>
      <c r="G3973" s="46" t="s">
        <v>5585</v>
      </c>
      <c r="H3973" s="46" t="s">
        <v>5586</v>
      </c>
      <c r="I3973" s="45" t="s">
        <v>125</v>
      </c>
      <c r="J3973" s="46" t="s">
        <v>127</v>
      </c>
      <c r="K3973" s="46" t="s">
        <v>127</v>
      </c>
      <c r="L3973" s="46" t="s">
        <v>12</v>
      </c>
      <c r="M3973" s="46" t="s">
        <v>10</v>
      </c>
      <c r="N3973" s="46" t="s">
        <v>11</v>
      </c>
      <c r="O3973" s="49" t="s">
        <v>815</v>
      </c>
      <c r="P3973" s="49" t="s">
        <v>4910</v>
      </c>
      <c r="Q3973" s="35" t="str">
        <f>MID(Tabla1[[#This Row],[Aplicación]],14,1)</f>
        <v>2</v>
      </c>
      <c r="R3973" s="35" t="s">
        <v>495</v>
      </c>
      <c r="S3973" s="35" t="str">
        <f>MID(Tabla1[[#This Row],[Aplicación]],6,2)</f>
        <v>06</v>
      </c>
      <c r="T3973" s="35" t="str">
        <f>VLOOKUP(Tabla1[[#This Row],[AREA]],Hoja1!A:B,2,FALSE)</f>
        <v>06. Educación, infancia, juventud e igualdad</v>
      </c>
      <c r="U3973" s="35" t="str">
        <f>MID(Tabla1[[#This Row],[Aplicación]],9,4)</f>
        <v>3232</v>
      </c>
      <c r="V3973" s="35" t="str">
        <f>VLOOKUP(Tabla1[[#This Row],[PROGRAMA]],Hoja1!A:B,2,FALSE)</f>
        <v>3232. Conservación y mantenimiento centros educación infantil y primaria</v>
      </c>
      <c r="W3973" s="35" t="str">
        <f>MID(Tabla1[[#This Row],[Aplicación]],14,2)</f>
        <v>21</v>
      </c>
      <c r="X3973" s="35" t="str">
        <f>MID(Tabla1[[#This Row],[Aplicación]],14,6)</f>
        <v>212</v>
      </c>
    </row>
    <row r="3974" spans="1:24" x14ac:dyDescent="0.25">
      <c r="A3974" s="45">
        <v>220210056300</v>
      </c>
      <c r="B3974" s="46" t="s">
        <v>9</v>
      </c>
      <c r="C3974" s="47">
        <v>44454</v>
      </c>
      <c r="D3974" s="45">
        <v>22021006506</v>
      </c>
      <c r="E3974" s="46" t="s">
        <v>1163</v>
      </c>
      <c r="F3974" s="48">
        <v>445</v>
      </c>
      <c r="G3974" s="46" t="s">
        <v>5587</v>
      </c>
      <c r="H3974" s="46" t="s">
        <v>5588</v>
      </c>
      <c r="I3974" s="45" t="s">
        <v>125</v>
      </c>
      <c r="J3974" s="46" t="s">
        <v>126</v>
      </c>
      <c r="K3974" s="46" t="s">
        <v>126</v>
      </c>
      <c r="L3974" s="46" t="s">
        <v>15</v>
      </c>
      <c r="M3974" s="46" t="s">
        <v>10</v>
      </c>
      <c r="N3974" s="46" t="s">
        <v>11</v>
      </c>
      <c r="O3974" s="49" t="s">
        <v>815</v>
      </c>
      <c r="P3974" s="49" t="s">
        <v>4910</v>
      </c>
      <c r="Q3974" s="35" t="str">
        <f>MID(Tabla1[[#This Row],[Aplicación]],14,1)</f>
        <v>2</v>
      </c>
      <c r="R3974" s="35" t="s">
        <v>495</v>
      </c>
      <c r="S3974" s="35" t="str">
        <f>MID(Tabla1[[#This Row],[Aplicación]],6,2)</f>
        <v>06</v>
      </c>
      <c r="T3974" s="35" t="str">
        <f>VLOOKUP(Tabla1[[#This Row],[AREA]],Hoja1!A:B,2,FALSE)</f>
        <v>06. Educación, infancia, juventud e igualdad</v>
      </c>
      <c r="U3974" s="35" t="str">
        <f>MID(Tabla1[[#This Row],[Aplicación]],9,4)</f>
        <v>3321</v>
      </c>
      <c r="V3974" s="35" t="str">
        <f>VLOOKUP(Tabla1[[#This Row],[PROGRAMA]],Hoja1!A:B,2,FALSE)</f>
        <v>3321. Bibliotecas públicas</v>
      </c>
      <c r="W3974" s="35" t="str">
        <f>MID(Tabla1[[#This Row],[Aplicación]],14,2)</f>
        <v>22</v>
      </c>
      <c r="X3974" s="35" t="str">
        <f>MID(Tabla1[[#This Row],[Aplicación]],14,6)</f>
        <v>22001</v>
      </c>
    </row>
    <row r="3975" spans="1:24" x14ac:dyDescent="0.25">
      <c r="A3975" s="45">
        <v>220210040861</v>
      </c>
      <c r="B3975" s="46" t="s">
        <v>204</v>
      </c>
      <c r="C3975" s="47">
        <v>44397</v>
      </c>
      <c r="D3975" s="45">
        <v>22021002412</v>
      </c>
      <c r="E3975" s="46" t="s">
        <v>1487</v>
      </c>
      <c r="F3975" s="48">
        <v>541.85</v>
      </c>
      <c r="G3975" s="46" t="s">
        <v>2262</v>
      </c>
      <c r="H3975" s="46" t="s">
        <v>5589</v>
      </c>
      <c r="I3975" s="45" t="s">
        <v>205</v>
      </c>
      <c r="J3975" s="46" t="s">
        <v>127</v>
      </c>
      <c r="K3975" s="46" t="s">
        <v>127</v>
      </c>
      <c r="L3975" s="46" t="s">
        <v>31</v>
      </c>
      <c r="M3975" s="46" t="s">
        <v>13</v>
      </c>
      <c r="N3975" s="46" t="s">
        <v>16</v>
      </c>
      <c r="O3975" s="49" t="s">
        <v>803</v>
      </c>
      <c r="P3975" s="49" t="s">
        <v>4910</v>
      </c>
      <c r="Q3975" s="35" t="str">
        <f>MID(Tabla1[[#This Row],[Aplicación]],14,1)</f>
        <v>6</v>
      </c>
      <c r="R3975" s="35" t="s">
        <v>496</v>
      </c>
      <c r="S3975" s="35" t="str">
        <f>MID(Tabla1[[#This Row],[Aplicación]],6,2)</f>
        <v>08</v>
      </c>
      <c r="T3975" s="35" t="str">
        <f>VLOOKUP(Tabla1[[#This Row],[AREA]],Hoja1!A:B,2,FALSE)</f>
        <v>08. Movilidad y espacio urbano</v>
      </c>
      <c r="U3975" s="35" t="str">
        <f>MID(Tabla1[[#This Row],[Aplicación]],9,4)</f>
        <v>1532</v>
      </c>
      <c r="V3975" s="35" t="str">
        <f>VLOOKUP(Tabla1[[#This Row],[PROGRAMA]],Hoja1!A:B,2,FALSE)</f>
        <v>1532. Pavimentación vias públicas y otros servicios urbanísticos</v>
      </c>
      <c r="W3975" s="35" t="str">
        <f>MID(Tabla1[[#This Row],[Aplicación]],14,2)</f>
        <v>61</v>
      </c>
      <c r="X3975" s="35" t="str">
        <f>MID(Tabla1[[#This Row],[Aplicación]],14,6)</f>
        <v>619</v>
      </c>
    </row>
    <row r="3976" spans="1:24" x14ac:dyDescent="0.25">
      <c r="A3976" s="45">
        <v>220210043775</v>
      </c>
      <c r="B3976" s="46" t="s">
        <v>9</v>
      </c>
      <c r="C3976" s="47">
        <v>44404</v>
      </c>
      <c r="D3976" s="45">
        <v>22021005759</v>
      </c>
      <c r="E3976" s="46" t="s">
        <v>1247</v>
      </c>
      <c r="F3976" s="48">
        <v>3025</v>
      </c>
      <c r="G3976" s="46" t="s">
        <v>2262</v>
      </c>
      <c r="H3976" s="46" t="s">
        <v>5590</v>
      </c>
      <c r="I3976" s="45" t="s">
        <v>125</v>
      </c>
      <c r="J3976" s="46" t="s">
        <v>127</v>
      </c>
      <c r="K3976" s="46" t="s">
        <v>127</v>
      </c>
      <c r="L3976" s="46" t="s">
        <v>12</v>
      </c>
      <c r="M3976" s="46" t="s">
        <v>13</v>
      </c>
      <c r="N3976" s="46" t="s">
        <v>14</v>
      </c>
      <c r="O3976" s="49" t="s">
        <v>803</v>
      </c>
      <c r="P3976" s="49" t="s">
        <v>4910</v>
      </c>
      <c r="Q3976" s="35" t="str">
        <f>MID(Tabla1[[#This Row],[Aplicación]],14,1)</f>
        <v>2</v>
      </c>
      <c r="R3976" s="35" t="s">
        <v>495</v>
      </c>
      <c r="S3976" s="35" t="str">
        <f>MID(Tabla1[[#This Row],[Aplicación]],6,2)</f>
        <v>10</v>
      </c>
      <c r="T3976" s="35" t="str">
        <f>VLOOKUP(Tabla1[[#This Row],[AREA]],Hoja1!A:B,2,FALSE)</f>
        <v>10. Servicios sociales y mediación comunitaria</v>
      </c>
      <c r="U3976" s="35" t="str">
        <f>MID(Tabla1[[#This Row],[Aplicación]],9,4)</f>
        <v>2311</v>
      </c>
      <c r="V3976" s="35" t="str">
        <f>VLOOKUP(Tabla1[[#This Row],[PROGRAMA]],Hoja1!A:B,2,FALSE)</f>
        <v>2311. Intervención social</v>
      </c>
      <c r="W3976" s="35" t="str">
        <f>MID(Tabla1[[#This Row],[Aplicación]],14,2)</f>
        <v>22</v>
      </c>
      <c r="X3976" s="35" t="str">
        <f>MID(Tabla1[[#This Row],[Aplicación]],14,6)</f>
        <v>22799</v>
      </c>
    </row>
    <row r="3977" spans="1:24" x14ac:dyDescent="0.25">
      <c r="A3977" s="45">
        <v>220210035430</v>
      </c>
      <c r="B3977" s="46" t="s">
        <v>9</v>
      </c>
      <c r="C3977" s="47">
        <v>44379</v>
      </c>
      <c r="D3977" s="45">
        <v>22021004778</v>
      </c>
      <c r="E3977" s="46" t="s">
        <v>1724</v>
      </c>
      <c r="F3977" s="48">
        <v>1518.1</v>
      </c>
      <c r="G3977" s="46" t="s">
        <v>2262</v>
      </c>
      <c r="H3977" s="46" t="s">
        <v>5591</v>
      </c>
      <c r="I3977" s="45" t="s">
        <v>125</v>
      </c>
      <c r="J3977" s="46" t="s">
        <v>127</v>
      </c>
      <c r="K3977" s="46" t="s">
        <v>127</v>
      </c>
      <c r="L3977" s="46" t="s">
        <v>12</v>
      </c>
      <c r="M3977" s="46" t="s">
        <v>13</v>
      </c>
      <c r="N3977" s="46" t="s">
        <v>14</v>
      </c>
      <c r="O3977" s="49" t="s">
        <v>803</v>
      </c>
      <c r="P3977" s="49" t="s">
        <v>4910</v>
      </c>
      <c r="Q3977" s="35" t="str">
        <f>MID(Tabla1[[#This Row],[Aplicación]],14,1)</f>
        <v>6</v>
      </c>
      <c r="R3977" s="35" t="s">
        <v>496</v>
      </c>
      <c r="S3977" s="35" t="str">
        <f>MID(Tabla1[[#This Row],[Aplicación]],6,2)</f>
        <v>07</v>
      </c>
      <c r="T3977" s="35" t="str">
        <f>VLOOKUP(Tabla1[[#This Row],[AREA]],Hoja1!A:B,2,FALSE)</f>
        <v>07. Medio ambiente y desarrollo sostenible</v>
      </c>
      <c r="U3977" s="35" t="str">
        <f>MID(Tabla1[[#This Row],[Aplicación]],9,4)</f>
        <v>1711</v>
      </c>
      <c r="V3977" s="35" t="str">
        <f>VLOOKUP(Tabla1[[#This Row],[PROGRAMA]],Hoja1!A:B,2,FALSE)</f>
        <v>1711. Parques y jardines</v>
      </c>
      <c r="W3977" s="35" t="str">
        <f>MID(Tabla1[[#This Row],[Aplicación]],14,2)</f>
        <v>61</v>
      </c>
      <c r="X3977" s="35" t="str">
        <f>MID(Tabla1[[#This Row],[Aplicación]],14,6)</f>
        <v>619</v>
      </c>
    </row>
    <row r="3978" spans="1:24" x14ac:dyDescent="0.25">
      <c r="A3978" s="45">
        <v>220210035428</v>
      </c>
      <c r="B3978" s="46" t="s">
        <v>9</v>
      </c>
      <c r="C3978" s="47">
        <v>44379</v>
      </c>
      <c r="D3978" s="45">
        <v>22021004838</v>
      </c>
      <c r="E3978" s="46" t="s">
        <v>1724</v>
      </c>
      <c r="F3978" s="48">
        <v>706.33</v>
      </c>
      <c r="G3978" s="46" t="s">
        <v>2262</v>
      </c>
      <c r="H3978" s="46" t="s">
        <v>5592</v>
      </c>
      <c r="I3978" s="45" t="s">
        <v>125</v>
      </c>
      <c r="J3978" s="46" t="s">
        <v>127</v>
      </c>
      <c r="K3978" s="46" t="s">
        <v>127</v>
      </c>
      <c r="L3978" s="46" t="s">
        <v>12</v>
      </c>
      <c r="M3978" s="46" t="s">
        <v>13</v>
      </c>
      <c r="N3978" s="46" t="s">
        <v>14</v>
      </c>
      <c r="O3978" s="49" t="s">
        <v>803</v>
      </c>
      <c r="P3978" s="49" t="s">
        <v>4910</v>
      </c>
      <c r="Q3978" s="35" t="str">
        <f>MID(Tabla1[[#This Row],[Aplicación]],14,1)</f>
        <v>6</v>
      </c>
      <c r="R3978" s="35" t="s">
        <v>496</v>
      </c>
      <c r="S3978" s="35" t="str">
        <f>MID(Tabla1[[#This Row],[Aplicación]],6,2)</f>
        <v>07</v>
      </c>
      <c r="T3978" s="35" t="str">
        <f>VLOOKUP(Tabla1[[#This Row],[AREA]],Hoja1!A:B,2,FALSE)</f>
        <v>07. Medio ambiente y desarrollo sostenible</v>
      </c>
      <c r="U3978" s="35" t="str">
        <f>MID(Tabla1[[#This Row],[Aplicación]],9,4)</f>
        <v>1711</v>
      </c>
      <c r="V3978" s="35" t="str">
        <f>VLOOKUP(Tabla1[[#This Row],[PROGRAMA]],Hoja1!A:B,2,FALSE)</f>
        <v>1711. Parques y jardines</v>
      </c>
      <c r="W3978" s="35" t="str">
        <f>MID(Tabla1[[#This Row],[Aplicación]],14,2)</f>
        <v>61</v>
      </c>
      <c r="X3978" s="35" t="str">
        <f>MID(Tabla1[[#This Row],[Aplicación]],14,6)</f>
        <v>619</v>
      </c>
    </row>
    <row r="3979" spans="1:24" x14ac:dyDescent="0.25">
      <c r="A3979" s="45">
        <v>220210037301</v>
      </c>
      <c r="B3979" s="46" t="s">
        <v>9</v>
      </c>
      <c r="C3979" s="47">
        <v>44392</v>
      </c>
      <c r="D3979" s="45">
        <v>22021004884</v>
      </c>
      <c r="E3979" s="46" t="s">
        <v>1724</v>
      </c>
      <c r="F3979" s="48">
        <v>273.91000000000003</v>
      </c>
      <c r="G3979" s="46" t="s">
        <v>2262</v>
      </c>
      <c r="H3979" s="46" t="s">
        <v>5593</v>
      </c>
      <c r="I3979" s="45" t="s">
        <v>125</v>
      </c>
      <c r="J3979" s="46" t="s">
        <v>127</v>
      </c>
      <c r="K3979" s="46" t="s">
        <v>127</v>
      </c>
      <c r="L3979" s="46" t="s">
        <v>12</v>
      </c>
      <c r="M3979" s="46" t="s">
        <v>13</v>
      </c>
      <c r="N3979" s="46" t="s">
        <v>14</v>
      </c>
      <c r="O3979" s="49" t="s">
        <v>803</v>
      </c>
      <c r="P3979" s="49" t="s">
        <v>4910</v>
      </c>
      <c r="Q3979" s="35" t="str">
        <f>MID(Tabla1[[#This Row],[Aplicación]],14,1)</f>
        <v>6</v>
      </c>
      <c r="R3979" s="35" t="s">
        <v>496</v>
      </c>
      <c r="S3979" s="35" t="str">
        <f>MID(Tabla1[[#This Row],[Aplicación]],6,2)</f>
        <v>07</v>
      </c>
      <c r="T3979" s="35" t="str">
        <f>VLOOKUP(Tabla1[[#This Row],[AREA]],Hoja1!A:B,2,FALSE)</f>
        <v>07. Medio ambiente y desarrollo sostenible</v>
      </c>
      <c r="U3979" s="35" t="str">
        <f>MID(Tabla1[[#This Row],[Aplicación]],9,4)</f>
        <v>1711</v>
      </c>
      <c r="V3979" s="35" t="str">
        <f>VLOOKUP(Tabla1[[#This Row],[PROGRAMA]],Hoja1!A:B,2,FALSE)</f>
        <v>1711. Parques y jardines</v>
      </c>
      <c r="W3979" s="35" t="str">
        <f>MID(Tabla1[[#This Row],[Aplicación]],14,2)</f>
        <v>61</v>
      </c>
      <c r="X3979" s="35" t="str">
        <f>MID(Tabla1[[#This Row],[Aplicación]],14,6)</f>
        <v>619</v>
      </c>
    </row>
    <row r="3980" spans="1:24" x14ac:dyDescent="0.25">
      <c r="A3980" s="45">
        <v>220210043855</v>
      </c>
      <c r="B3980" s="46" t="s">
        <v>9</v>
      </c>
      <c r="C3980" s="47">
        <v>44405</v>
      </c>
      <c r="D3980" s="45">
        <v>22021004897</v>
      </c>
      <c r="E3980" s="46" t="s">
        <v>1724</v>
      </c>
      <c r="F3980" s="48">
        <v>240.89</v>
      </c>
      <c r="G3980" s="46" t="s">
        <v>2262</v>
      </c>
      <c r="H3980" s="46" t="s">
        <v>5594</v>
      </c>
      <c r="I3980" s="45" t="s">
        <v>125</v>
      </c>
      <c r="J3980" s="46" t="s">
        <v>127</v>
      </c>
      <c r="K3980" s="46" t="s">
        <v>127</v>
      </c>
      <c r="L3980" s="46" t="s">
        <v>12</v>
      </c>
      <c r="M3980" s="46" t="s">
        <v>13</v>
      </c>
      <c r="N3980" s="46" t="s">
        <v>14</v>
      </c>
      <c r="O3980" s="49" t="s">
        <v>803</v>
      </c>
      <c r="P3980" s="49" t="s">
        <v>4910</v>
      </c>
      <c r="Q3980" s="35" t="str">
        <f>MID(Tabla1[[#This Row],[Aplicación]],14,1)</f>
        <v>6</v>
      </c>
      <c r="R3980" s="35" t="s">
        <v>496</v>
      </c>
      <c r="S3980" s="35" t="str">
        <f>MID(Tabla1[[#This Row],[Aplicación]],6,2)</f>
        <v>07</v>
      </c>
      <c r="T3980" s="35" t="str">
        <f>VLOOKUP(Tabla1[[#This Row],[AREA]],Hoja1!A:B,2,FALSE)</f>
        <v>07. Medio ambiente y desarrollo sostenible</v>
      </c>
      <c r="U3980" s="35" t="str">
        <f>MID(Tabla1[[#This Row],[Aplicación]],9,4)</f>
        <v>1711</v>
      </c>
      <c r="V3980" s="35" t="str">
        <f>VLOOKUP(Tabla1[[#This Row],[PROGRAMA]],Hoja1!A:B,2,FALSE)</f>
        <v>1711. Parques y jardines</v>
      </c>
      <c r="W3980" s="35" t="str">
        <f>MID(Tabla1[[#This Row],[Aplicación]],14,2)</f>
        <v>61</v>
      </c>
      <c r="X3980" s="35" t="str">
        <f>MID(Tabla1[[#This Row],[Aplicación]],14,6)</f>
        <v>619</v>
      </c>
    </row>
    <row r="3981" spans="1:24" x14ac:dyDescent="0.25">
      <c r="A3981" s="45">
        <v>220210037298</v>
      </c>
      <c r="B3981" s="46" t="s">
        <v>9</v>
      </c>
      <c r="C3981" s="47">
        <v>44392</v>
      </c>
      <c r="D3981" s="45">
        <v>22021004893</v>
      </c>
      <c r="E3981" s="46" t="s">
        <v>1724</v>
      </c>
      <c r="F3981" s="48">
        <v>140.47999999999999</v>
      </c>
      <c r="G3981" s="46" t="s">
        <v>2262</v>
      </c>
      <c r="H3981" s="46" t="s">
        <v>5595</v>
      </c>
      <c r="I3981" s="45" t="s">
        <v>125</v>
      </c>
      <c r="J3981" s="46" t="s">
        <v>127</v>
      </c>
      <c r="K3981" s="46" t="s">
        <v>127</v>
      </c>
      <c r="L3981" s="46" t="s">
        <v>12</v>
      </c>
      <c r="M3981" s="46" t="s">
        <v>13</v>
      </c>
      <c r="N3981" s="46" t="s">
        <v>14</v>
      </c>
      <c r="O3981" s="49" t="s">
        <v>803</v>
      </c>
      <c r="P3981" s="49" t="s">
        <v>4910</v>
      </c>
      <c r="Q3981" s="35" t="str">
        <f>MID(Tabla1[[#This Row],[Aplicación]],14,1)</f>
        <v>6</v>
      </c>
      <c r="R3981" s="35" t="s">
        <v>496</v>
      </c>
      <c r="S3981" s="35" t="str">
        <f>MID(Tabla1[[#This Row],[Aplicación]],6,2)</f>
        <v>07</v>
      </c>
      <c r="T3981" s="35" t="str">
        <f>VLOOKUP(Tabla1[[#This Row],[AREA]],Hoja1!A:B,2,FALSE)</f>
        <v>07. Medio ambiente y desarrollo sostenible</v>
      </c>
      <c r="U3981" s="35" t="str">
        <f>MID(Tabla1[[#This Row],[Aplicación]],9,4)</f>
        <v>1711</v>
      </c>
      <c r="V3981" s="35" t="str">
        <f>VLOOKUP(Tabla1[[#This Row],[PROGRAMA]],Hoja1!A:B,2,FALSE)</f>
        <v>1711. Parques y jardines</v>
      </c>
      <c r="W3981" s="35" t="str">
        <f>MID(Tabla1[[#This Row],[Aplicación]],14,2)</f>
        <v>61</v>
      </c>
      <c r="X3981" s="35" t="str">
        <f>MID(Tabla1[[#This Row],[Aplicación]],14,6)</f>
        <v>619</v>
      </c>
    </row>
    <row r="3982" spans="1:24" x14ac:dyDescent="0.25">
      <c r="A3982" s="45">
        <v>220210043878</v>
      </c>
      <c r="B3982" s="46" t="s">
        <v>9</v>
      </c>
      <c r="C3982" s="47">
        <v>44405</v>
      </c>
      <c r="D3982" s="45">
        <v>22021005171</v>
      </c>
      <c r="E3982" s="46" t="s">
        <v>1724</v>
      </c>
      <c r="F3982" s="48">
        <v>129.69</v>
      </c>
      <c r="G3982" s="46" t="s">
        <v>2262</v>
      </c>
      <c r="H3982" s="46" t="s">
        <v>5596</v>
      </c>
      <c r="I3982" s="45" t="s">
        <v>125</v>
      </c>
      <c r="J3982" s="46" t="s">
        <v>127</v>
      </c>
      <c r="K3982" s="46" t="s">
        <v>127</v>
      </c>
      <c r="L3982" s="46" t="s">
        <v>12</v>
      </c>
      <c r="M3982" s="46" t="s">
        <v>13</v>
      </c>
      <c r="N3982" s="46" t="s">
        <v>14</v>
      </c>
      <c r="O3982" s="49" t="s">
        <v>803</v>
      </c>
      <c r="P3982" s="49" t="s">
        <v>4910</v>
      </c>
      <c r="Q3982" s="35" t="str">
        <f>MID(Tabla1[[#This Row],[Aplicación]],14,1)</f>
        <v>6</v>
      </c>
      <c r="R3982" s="35" t="s">
        <v>496</v>
      </c>
      <c r="S3982" s="35" t="str">
        <f>MID(Tabla1[[#This Row],[Aplicación]],6,2)</f>
        <v>07</v>
      </c>
      <c r="T3982" s="35" t="str">
        <f>VLOOKUP(Tabla1[[#This Row],[AREA]],Hoja1!A:B,2,FALSE)</f>
        <v>07. Medio ambiente y desarrollo sostenible</v>
      </c>
      <c r="U3982" s="35" t="str">
        <f>MID(Tabla1[[#This Row],[Aplicación]],9,4)</f>
        <v>1711</v>
      </c>
      <c r="V3982" s="35" t="str">
        <f>VLOOKUP(Tabla1[[#This Row],[PROGRAMA]],Hoja1!A:B,2,FALSE)</f>
        <v>1711. Parques y jardines</v>
      </c>
      <c r="W3982" s="35" t="str">
        <f>MID(Tabla1[[#This Row],[Aplicación]],14,2)</f>
        <v>61</v>
      </c>
      <c r="X3982" s="35" t="str">
        <f>MID(Tabla1[[#This Row],[Aplicación]],14,6)</f>
        <v>619</v>
      </c>
    </row>
    <row r="3983" spans="1:24" x14ac:dyDescent="0.25">
      <c r="A3983" s="45">
        <v>220210036839</v>
      </c>
      <c r="B3983" s="46" t="s">
        <v>9</v>
      </c>
      <c r="C3983" s="47">
        <v>44389</v>
      </c>
      <c r="D3983" s="45">
        <v>22021004557</v>
      </c>
      <c r="E3983" s="46" t="s">
        <v>1724</v>
      </c>
      <c r="F3983" s="48">
        <v>54.63</v>
      </c>
      <c r="G3983" s="46" t="s">
        <v>2262</v>
      </c>
      <c r="H3983" s="46" t="s">
        <v>5597</v>
      </c>
      <c r="I3983" s="45" t="s">
        <v>125</v>
      </c>
      <c r="J3983" s="46" t="s">
        <v>127</v>
      </c>
      <c r="K3983" s="46" t="s">
        <v>127</v>
      </c>
      <c r="L3983" s="46" t="s">
        <v>12</v>
      </c>
      <c r="M3983" s="46" t="s">
        <v>13</v>
      </c>
      <c r="N3983" s="46" t="s">
        <v>14</v>
      </c>
      <c r="O3983" s="49" t="s">
        <v>803</v>
      </c>
      <c r="P3983" s="49" t="s">
        <v>4910</v>
      </c>
      <c r="Q3983" s="35" t="str">
        <f>MID(Tabla1[[#This Row],[Aplicación]],14,1)</f>
        <v>6</v>
      </c>
      <c r="R3983" s="35" t="s">
        <v>496</v>
      </c>
      <c r="S3983" s="35" t="str">
        <f>MID(Tabla1[[#This Row],[Aplicación]],6,2)</f>
        <v>07</v>
      </c>
      <c r="T3983" s="35" t="str">
        <f>VLOOKUP(Tabla1[[#This Row],[AREA]],Hoja1!A:B,2,FALSE)</f>
        <v>07. Medio ambiente y desarrollo sostenible</v>
      </c>
      <c r="U3983" s="35" t="str">
        <f>MID(Tabla1[[#This Row],[Aplicación]],9,4)</f>
        <v>1711</v>
      </c>
      <c r="V3983" s="35" t="str">
        <f>VLOOKUP(Tabla1[[#This Row],[PROGRAMA]],Hoja1!A:B,2,FALSE)</f>
        <v>1711. Parques y jardines</v>
      </c>
      <c r="W3983" s="35" t="str">
        <f>MID(Tabla1[[#This Row],[Aplicación]],14,2)</f>
        <v>61</v>
      </c>
      <c r="X3983" s="35" t="str">
        <f>MID(Tabla1[[#This Row],[Aplicación]],14,6)</f>
        <v>619</v>
      </c>
    </row>
    <row r="3984" spans="1:24" x14ac:dyDescent="0.25">
      <c r="A3984" s="45">
        <v>220210050021</v>
      </c>
      <c r="B3984" s="46" t="s">
        <v>9</v>
      </c>
      <c r="C3984" s="47">
        <v>44434</v>
      </c>
      <c r="D3984" s="45">
        <v>22021006200</v>
      </c>
      <c r="E3984" s="46" t="s">
        <v>1177</v>
      </c>
      <c r="F3984" s="48">
        <v>440</v>
      </c>
      <c r="G3984" s="46" t="s">
        <v>4063</v>
      </c>
      <c r="H3984" s="46" t="s">
        <v>5598</v>
      </c>
      <c r="I3984" s="45" t="s">
        <v>125</v>
      </c>
      <c r="J3984" s="46" t="s">
        <v>4065</v>
      </c>
      <c r="K3984" s="46" t="s">
        <v>127</v>
      </c>
      <c r="L3984" s="46" t="s">
        <v>12</v>
      </c>
      <c r="M3984" s="46" t="s">
        <v>10</v>
      </c>
      <c r="N3984" s="46" t="s">
        <v>11</v>
      </c>
      <c r="O3984" s="49" t="s">
        <v>815</v>
      </c>
      <c r="P3984" s="49" t="s">
        <v>4910</v>
      </c>
      <c r="Q3984" s="35" t="str">
        <f>MID(Tabla1[[#This Row],[Aplicación]],14,1)</f>
        <v>2</v>
      </c>
      <c r="R3984" s="35" t="s">
        <v>495</v>
      </c>
      <c r="S3984" s="35" t="str">
        <f>MID(Tabla1[[#This Row],[Aplicación]],6,2)</f>
        <v>09</v>
      </c>
      <c r="T3984" s="35" t="str">
        <f>VLOOKUP(Tabla1[[#This Row],[AREA]],Hoja1!A:B,2,FALSE)</f>
        <v>09. Cultura y turismo</v>
      </c>
      <c r="U3984" s="35" t="str">
        <f>MID(Tabla1[[#This Row],[Aplicación]],9,4)</f>
        <v>3341</v>
      </c>
      <c r="V3984" s="35" t="str">
        <f>VLOOKUP(Tabla1[[#This Row],[PROGRAMA]],Hoja1!A:B,2,FALSE)</f>
        <v>3341. Coordinación de políticas culturales</v>
      </c>
      <c r="W3984" s="35" t="str">
        <f>MID(Tabla1[[#This Row],[Aplicación]],14,2)</f>
        <v>22</v>
      </c>
      <c r="X3984" s="35" t="str">
        <f>MID(Tabla1[[#This Row],[Aplicación]],14,6)</f>
        <v>22699</v>
      </c>
    </row>
    <row r="3985" spans="1:24" x14ac:dyDescent="0.25">
      <c r="A3985" s="45">
        <v>220210048529</v>
      </c>
      <c r="B3985" s="46" t="s">
        <v>9</v>
      </c>
      <c r="C3985" s="47">
        <v>44428</v>
      </c>
      <c r="D3985" s="45">
        <v>22021004822</v>
      </c>
      <c r="E3985" s="46" t="s">
        <v>842</v>
      </c>
      <c r="F3985" s="48">
        <v>423.5</v>
      </c>
      <c r="G3985" s="46" t="s">
        <v>3767</v>
      </c>
      <c r="H3985" s="46" t="s">
        <v>5599</v>
      </c>
      <c r="I3985" s="45" t="s">
        <v>125</v>
      </c>
      <c r="J3985" s="46" t="s">
        <v>661</v>
      </c>
      <c r="K3985" s="46" t="s">
        <v>127</v>
      </c>
      <c r="L3985" s="46" t="s">
        <v>12</v>
      </c>
      <c r="M3985" s="46" t="s">
        <v>10</v>
      </c>
      <c r="N3985" s="46" t="s">
        <v>11</v>
      </c>
      <c r="O3985" s="49" t="s">
        <v>815</v>
      </c>
      <c r="P3985" s="49" t="s">
        <v>4910</v>
      </c>
      <c r="Q3985" s="35" t="str">
        <f>MID(Tabla1[[#This Row],[Aplicación]],14,1)</f>
        <v>2</v>
      </c>
      <c r="R3985" s="35" t="s">
        <v>495</v>
      </c>
      <c r="S3985" s="35" t="str">
        <f>MID(Tabla1[[#This Row],[Aplicación]],6,2)</f>
        <v>06</v>
      </c>
      <c r="T3985" s="35" t="str">
        <f>VLOOKUP(Tabla1[[#This Row],[AREA]],Hoja1!A:B,2,FALSE)</f>
        <v>06. Educación, infancia, juventud e igualdad</v>
      </c>
      <c r="U3985" s="35" t="str">
        <f>MID(Tabla1[[#This Row],[Aplicación]],9,4)</f>
        <v>3261</v>
      </c>
      <c r="V3985" s="35" t="str">
        <f>VLOOKUP(Tabla1[[#This Row],[PROGRAMA]],Hoja1!A:B,2,FALSE)</f>
        <v>3261. Servicios complementarios de educación</v>
      </c>
      <c r="W3985" s="35" t="str">
        <f>MID(Tabla1[[#This Row],[Aplicación]],14,2)</f>
        <v>22</v>
      </c>
      <c r="X3985" s="35" t="str">
        <f>MID(Tabla1[[#This Row],[Aplicación]],14,6)</f>
        <v>22799</v>
      </c>
    </row>
    <row r="3986" spans="1:24" x14ac:dyDescent="0.25">
      <c r="A3986" s="45">
        <v>220210054487</v>
      </c>
      <c r="B3986" s="46" t="s">
        <v>9</v>
      </c>
      <c r="C3986" s="47">
        <v>44453</v>
      </c>
      <c r="D3986" s="45">
        <v>22021006464</v>
      </c>
      <c r="E3986" s="46" t="s">
        <v>2272</v>
      </c>
      <c r="F3986" s="48">
        <v>379.18</v>
      </c>
      <c r="G3986" s="46" t="s">
        <v>4810</v>
      </c>
      <c r="H3986" s="46" t="s">
        <v>5600</v>
      </c>
      <c r="I3986" s="45" t="s">
        <v>125</v>
      </c>
      <c r="J3986" s="46" t="s">
        <v>148</v>
      </c>
      <c r="K3986" s="46" t="s">
        <v>4812</v>
      </c>
      <c r="L3986" s="46" t="s">
        <v>12</v>
      </c>
      <c r="M3986" s="46" t="s">
        <v>10</v>
      </c>
      <c r="N3986" s="46" t="s">
        <v>11</v>
      </c>
      <c r="O3986" s="49" t="s">
        <v>815</v>
      </c>
      <c r="P3986" s="49" t="s">
        <v>4910</v>
      </c>
      <c r="Q3986" s="35" t="str">
        <f>MID(Tabla1[[#This Row],[Aplicación]],14,1)</f>
        <v>2</v>
      </c>
      <c r="R3986" s="35" t="s">
        <v>495</v>
      </c>
      <c r="S3986" s="35" t="str">
        <f>MID(Tabla1[[#This Row],[Aplicación]],6,2)</f>
        <v>06</v>
      </c>
      <c r="T3986" s="35" t="str">
        <f>VLOOKUP(Tabla1[[#This Row],[AREA]],Hoja1!A:B,2,FALSE)</f>
        <v>06. Educación, infancia, juventud e igualdad</v>
      </c>
      <c r="U3986" s="35" t="str">
        <f>MID(Tabla1[[#This Row],[Aplicación]],9,4)</f>
        <v>2314</v>
      </c>
      <c r="V3986" s="35" t="str">
        <f>VLOOKUP(Tabla1[[#This Row],[PROGRAMA]],Hoja1!A:B,2,FALSE)</f>
        <v>2314. Centro de programas juveniles</v>
      </c>
      <c r="W3986" s="35" t="str">
        <f>MID(Tabla1[[#This Row],[Aplicación]],14,2)</f>
        <v>22</v>
      </c>
      <c r="X3986" s="35" t="str">
        <f>MID(Tabla1[[#This Row],[Aplicación]],14,6)</f>
        <v>22100</v>
      </c>
    </row>
    <row r="3987" spans="1:24" x14ac:dyDescent="0.25">
      <c r="A3987" s="45">
        <v>220210056344</v>
      </c>
      <c r="B3987" s="46" t="s">
        <v>9</v>
      </c>
      <c r="C3987" s="47">
        <v>44454</v>
      </c>
      <c r="D3987" s="45">
        <v>22021006357</v>
      </c>
      <c r="E3987" s="46" t="s">
        <v>5032</v>
      </c>
      <c r="F3987" s="48">
        <v>442.29</v>
      </c>
      <c r="G3987" s="46" t="s">
        <v>2262</v>
      </c>
      <c r="H3987" s="46" t="s">
        <v>5601</v>
      </c>
      <c r="I3987" s="45" t="s">
        <v>125</v>
      </c>
      <c r="J3987" s="46" t="s">
        <v>127</v>
      </c>
      <c r="K3987" s="46" t="s">
        <v>127</v>
      </c>
      <c r="L3987" s="46" t="s">
        <v>12</v>
      </c>
      <c r="M3987" s="46" t="s">
        <v>13</v>
      </c>
      <c r="N3987" s="46" t="s">
        <v>14</v>
      </c>
      <c r="O3987" s="49" t="s">
        <v>803</v>
      </c>
      <c r="P3987" s="49" t="s">
        <v>4910</v>
      </c>
      <c r="Q3987" s="35" t="str">
        <f>MID(Tabla1[[#This Row],[Aplicación]],14,1)</f>
        <v>6</v>
      </c>
      <c r="R3987" s="35" t="s">
        <v>496</v>
      </c>
      <c r="S3987" s="35" t="str">
        <f>MID(Tabla1[[#This Row],[Aplicación]],6,2)</f>
        <v>07</v>
      </c>
      <c r="T3987" s="35" t="str">
        <f>VLOOKUP(Tabla1[[#This Row],[AREA]],Hoja1!A:B,2,FALSE)</f>
        <v>07. Medio ambiente y desarrollo sostenible</v>
      </c>
      <c r="U3987" s="35" t="str">
        <f>MID(Tabla1[[#This Row],[Aplicación]],9,4)</f>
        <v>1711</v>
      </c>
      <c r="V3987" s="35" t="str">
        <f>VLOOKUP(Tabla1[[#This Row],[PROGRAMA]],Hoja1!A:B,2,FALSE)</f>
        <v>1711. Parques y jardines</v>
      </c>
      <c r="W3987" s="35" t="str">
        <f>MID(Tabla1[[#This Row],[Aplicación]],14,2)</f>
        <v>63</v>
      </c>
      <c r="X3987" s="35" t="str">
        <f>MID(Tabla1[[#This Row],[Aplicación]],14,6)</f>
        <v>632</v>
      </c>
    </row>
    <row r="3988" spans="1:24" x14ac:dyDescent="0.25">
      <c r="A3988" s="45">
        <v>220210048525</v>
      </c>
      <c r="B3988" s="46" t="s">
        <v>9</v>
      </c>
      <c r="C3988" s="47">
        <v>44428</v>
      </c>
      <c r="D3988" s="45">
        <v>22021006097</v>
      </c>
      <c r="E3988" s="46" t="s">
        <v>982</v>
      </c>
      <c r="F3988" s="48">
        <v>362.4</v>
      </c>
      <c r="G3988" s="46" t="s">
        <v>5602</v>
      </c>
      <c r="H3988" s="46" t="s">
        <v>5603</v>
      </c>
      <c r="I3988" s="45" t="s">
        <v>125</v>
      </c>
      <c r="J3988" s="46" t="s">
        <v>5604</v>
      </c>
      <c r="K3988" s="46" t="s">
        <v>126</v>
      </c>
      <c r="L3988" s="46" t="s">
        <v>12</v>
      </c>
      <c r="M3988" s="46" t="s">
        <v>10</v>
      </c>
      <c r="N3988" s="46" t="s">
        <v>11</v>
      </c>
      <c r="O3988" s="49" t="s">
        <v>815</v>
      </c>
      <c r="P3988" s="49" t="s">
        <v>4910</v>
      </c>
      <c r="Q3988" s="35" t="str">
        <f>MID(Tabla1[[#This Row],[Aplicación]],14,1)</f>
        <v>2</v>
      </c>
      <c r="R3988" s="35" t="s">
        <v>495</v>
      </c>
      <c r="S3988" s="35" t="str">
        <f>MID(Tabla1[[#This Row],[Aplicación]],6,2)</f>
        <v>10</v>
      </c>
      <c r="T3988" s="35" t="str">
        <f>VLOOKUP(Tabla1[[#This Row],[AREA]],Hoja1!A:B,2,FALSE)</f>
        <v>10. Servicios sociales y mediación comunitaria</v>
      </c>
      <c r="U3988" s="35" t="str">
        <f>MID(Tabla1[[#This Row],[Aplicación]],9,4)</f>
        <v>2312</v>
      </c>
      <c r="V3988" s="35" t="str">
        <f>VLOOKUP(Tabla1[[#This Row],[PROGRAMA]],Hoja1!A:B,2,FALSE)</f>
        <v>2312. Iniciativas sociales</v>
      </c>
      <c r="W3988" s="35" t="str">
        <f>MID(Tabla1[[#This Row],[Aplicación]],14,2)</f>
        <v>21</v>
      </c>
      <c r="X3988" s="35" t="str">
        <f>MID(Tabla1[[#This Row],[Aplicación]],14,6)</f>
        <v>213</v>
      </c>
    </row>
    <row r="3989" spans="1:24" x14ac:dyDescent="0.25">
      <c r="A3989" s="45">
        <v>220210054492</v>
      </c>
      <c r="B3989" s="46" t="s">
        <v>9</v>
      </c>
      <c r="C3989" s="47">
        <v>44453</v>
      </c>
      <c r="D3989" s="45">
        <v>22021006441</v>
      </c>
      <c r="E3989" s="46" t="s">
        <v>1328</v>
      </c>
      <c r="F3989" s="48">
        <v>341.32</v>
      </c>
      <c r="G3989" s="46" t="s">
        <v>87</v>
      </c>
      <c r="H3989" s="46" t="s">
        <v>5605</v>
      </c>
      <c r="I3989" s="45" t="s">
        <v>125</v>
      </c>
      <c r="J3989" s="46" t="s">
        <v>127</v>
      </c>
      <c r="K3989" s="46" t="s">
        <v>127</v>
      </c>
      <c r="L3989" s="46" t="s">
        <v>15</v>
      </c>
      <c r="M3989" s="46" t="s">
        <v>10</v>
      </c>
      <c r="N3989" s="46" t="s">
        <v>11</v>
      </c>
      <c r="O3989" s="49" t="s">
        <v>815</v>
      </c>
      <c r="P3989" s="49" t="s">
        <v>4910</v>
      </c>
      <c r="Q3989" s="35" t="str">
        <f>MID(Tabla1[[#This Row],[Aplicación]],14,1)</f>
        <v>2</v>
      </c>
      <c r="R3989" s="35" t="s">
        <v>495</v>
      </c>
      <c r="S3989" s="35" t="str">
        <f>MID(Tabla1[[#This Row],[Aplicación]],6,2)</f>
        <v>10</v>
      </c>
      <c r="T3989" s="35" t="str">
        <f>VLOOKUP(Tabla1[[#This Row],[AREA]],Hoja1!A:B,2,FALSE)</f>
        <v>10. Servicios sociales y mediación comunitaria</v>
      </c>
      <c r="U3989" s="35" t="str">
        <f>MID(Tabla1[[#This Row],[Aplicación]],9,4)</f>
        <v>2311</v>
      </c>
      <c r="V3989" s="35" t="str">
        <f>VLOOKUP(Tabla1[[#This Row],[PROGRAMA]],Hoja1!A:B,2,FALSE)</f>
        <v>2311. Intervención social</v>
      </c>
      <c r="W3989" s="35" t="str">
        <f>MID(Tabla1[[#This Row],[Aplicación]],14,2)</f>
        <v>21</v>
      </c>
      <c r="X3989" s="35" t="str">
        <f>MID(Tabla1[[#This Row],[Aplicación]],14,6)</f>
        <v>212</v>
      </c>
    </row>
    <row r="3990" spans="1:24" x14ac:dyDescent="0.25">
      <c r="A3990" s="45">
        <v>220210056282</v>
      </c>
      <c r="B3990" s="46" t="s">
        <v>9</v>
      </c>
      <c r="C3990" s="47">
        <v>44454</v>
      </c>
      <c r="D3990" s="45">
        <v>22021006074</v>
      </c>
      <c r="E3990" s="46" t="s">
        <v>1196</v>
      </c>
      <c r="F3990" s="48">
        <v>415.72</v>
      </c>
      <c r="G3990" s="46" t="s">
        <v>2262</v>
      </c>
      <c r="H3990" s="46" t="s">
        <v>5606</v>
      </c>
      <c r="I3990" s="45" t="s">
        <v>125</v>
      </c>
      <c r="J3990" s="46" t="s">
        <v>127</v>
      </c>
      <c r="K3990" s="46" t="s">
        <v>127</v>
      </c>
      <c r="L3990" s="46" t="s">
        <v>12</v>
      </c>
      <c r="M3990" s="46" t="s">
        <v>13</v>
      </c>
      <c r="N3990" s="46" t="s">
        <v>11</v>
      </c>
      <c r="O3990" s="49" t="s">
        <v>803</v>
      </c>
      <c r="P3990" s="49" t="s">
        <v>4910</v>
      </c>
      <c r="Q3990" s="35" t="str">
        <f>MID(Tabla1[[#This Row],[Aplicación]],14,1)</f>
        <v>6</v>
      </c>
      <c r="R3990" s="35" t="s">
        <v>496</v>
      </c>
      <c r="S3990" s="35" t="str">
        <f>MID(Tabla1[[#This Row],[Aplicación]],6,2)</f>
        <v>08</v>
      </c>
      <c r="T3990" s="35" t="str">
        <f>VLOOKUP(Tabla1[[#This Row],[AREA]],Hoja1!A:B,2,FALSE)</f>
        <v>08. Movilidad y espacio urbano</v>
      </c>
      <c r="U3990" s="35" t="str">
        <f>MID(Tabla1[[#This Row],[Aplicación]],9,4)</f>
        <v>1341</v>
      </c>
      <c r="V3990" s="35" t="str">
        <f>VLOOKUP(Tabla1[[#This Row],[PROGRAMA]],Hoja1!A:B,2,FALSE)</f>
        <v>1341. Movilidad</v>
      </c>
      <c r="W3990" s="35" t="str">
        <f>MID(Tabla1[[#This Row],[Aplicación]],14,2)</f>
        <v>61</v>
      </c>
      <c r="X3990" s="35" t="str">
        <f>MID(Tabla1[[#This Row],[Aplicación]],14,6)</f>
        <v>619</v>
      </c>
    </row>
    <row r="3991" spans="1:24" x14ac:dyDescent="0.25">
      <c r="A3991" s="45">
        <v>220210054488</v>
      </c>
      <c r="B3991" s="46" t="s">
        <v>9</v>
      </c>
      <c r="C3991" s="47">
        <v>44453</v>
      </c>
      <c r="D3991" s="45">
        <v>22021006466</v>
      </c>
      <c r="E3991" s="46" t="s">
        <v>3032</v>
      </c>
      <c r="F3991" s="48">
        <v>244</v>
      </c>
      <c r="G3991" s="46" t="s">
        <v>53</v>
      </c>
      <c r="H3991" s="46" t="s">
        <v>5607</v>
      </c>
      <c r="I3991" s="45" t="s">
        <v>125</v>
      </c>
      <c r="J3991" s="46" t="s">
        <v>127</v>
      </c>
      <c r="K3991" s="46" t="s">
        <v>127</v>
      </c>
      <c r="L3991" s="46" t="s">
        <v>12</v>
      </c>
      <c r="M3991" s="46" t="s">
        <v>10</v>
      </c>
      <c r="N3991" s="46" t="s">
        <v>11</v>
      </c>
      <c r="O3991" s="49" t="s">
        <v>815</v>
      </c>
      <c r="P3991" s="49" t="s">
        <v>4910</v>
      </c>
      <c r="Q3991" s="35" t="str">
        <f>MID(Tabla1[[#This Row],[Aplicación]],14,1)</f>
        <v>2</v>
      </c>
      <c r="R3991" s="35" t="s">
        <v>495</v>
      </c>
      <c r="S3991" s="35" t="str">
        <f>MID(Tabla1[[#This Row],[Aplicación]],6,2)</f>
        <v>06</v>
      </c>
      <c r="T3991" s="35" t="str">
        <f>VLOOKUP(Tabla1[[#This Row],[AREA]],Hoja1!A:B,2,FALSE)</f>
        <v>06. Educación, infancia, juventud e igualdad</v>
      </c>
      <c r="U3991" s="35" t="str">
        <f>MID(Tabla1[[#This Row],[Aplicación]],9,4)</f>
        <v>2314</v>
      </c>
      <c r="V3991" s="35" t="str">
        <f>VLOOKUP(Tabla1[[#This Row],[PROGRAMA]],Hoja1!A:B,2,FALSE)</f>
        <v>2314. Centro de programas juveniles</v>
      </c>
      <c r="W3991" s="35" t="str">
        <f>MID(Tabla1[[#This Row],[Aplicación]],14,2)</f>
        <v>22</v>
      </c>
      <c r="X3991" s="35" t="str">
        <f>MID(Tabla1[[#This Row],[Aplicación]],14,6)</f>
        <v>22701</v>
      </c>
    </row>
    <row r="3992" spans="1:24" x14ac:dyDescent="0.25">
      <c r="A3992" s="45">
        <v>220210050348</v>
      </c>
      <c r="B3992" s="46" t="s">
        <v>9</v>
      </c>
      <c r="C3992" s="47">
        <v>44438</v>
      </c>
      <c r="D3992" s="45">
        <v>22021006184</v>
      </c>
      <c r="E3992" s="46" t="s">
        <v>1505</v>
      </c>
      <c r="F3992" s="48">
        <v>242</v>
      </c>
      <c r="G3992" s="46" t="s">
        <v>70</v>
      </c>
      <c r="H3992" s="46" t="s">
        <v>5608</v>
      </c>
      <c r="I3992" s="45" t="s">
        <v>125</v>
      </c>
      <c r="J3992" s="46" t="s">
        <v>127</v>
      </c>
      <c r="K3992" s="46" t="s">
        <v>127</v>
      </c>
      <c r="L3992" s="46" t="s">
        <v>12</v>
      </c>
      <c r="M3992" s="46" t="s">
        <v>10</v>
      </c>
      <c r="N3992" s="46" t="s">
        <v>11</v>
      </c>
      <c r="O3992" s="49" t="s">
        <v>815</v>
      </c>
      <c r="P3992" s="49" t="s">
        <v>4910</v>
      </c>
      <c r="Q3992" s="35" t="str">
        <f>MID(Tabla1[[#This Row],[Aplicación]],14,1)</f>
        <v>2</v>
      </c>
      <c r="R3992" s="35" t="s">
        <v>495</v>
      </c>
      <c r="S3992" s="35" t="str">
        <f>MID(Tabla1[[#This Row],[Aplicación]],6,2)</f>
        <v>06</v>
      </c>
      <c r="T3992" s="35" t="str">
        <f>VLOOKUP(Tabla1[[#This Row],[AREA]],Hoja1!A:B,2,FALSE)</f>
        <v>06. Educación, infancia, juventud e igualdad</v>
      </c>
      <c r="U3992" s="35" t="str">
        <f>MID(Tabla1[[#This Row],[Aplicación]],9,4)</f>
        <v>3231</v>
      </c>
      <c r="V3992" s="35" t="str">
        <f>VLOOKUP(Tabla1[[#This Row],[PROGRAMA]],Hoja1!A:B,2,FALSE)</f>
        <v>3231. Escuelas infantiles</v>
      </c>
      <c r="W3992" s="35" t="str">
        <f>MID(Tabla1[[#This Row],[Aplicación]],14,2)</f>
        <v>21</v>
      </c>
      <c r="X3992" s="35" t="str">
        <f>MID(Tabla1[[#This Row],[Aplicación]],14,6)</f>
        <v>213</v>
      </c>
    </row>
    <row r="3993" spans="1:24" x14ac:dyDescent="0.25">
      <c r="A3993" s="45">
        <v>220210050523</v>
      </c>
      <c r="B3993" s="46" t="s">
        <v>9</v>
      </c>
      <c r="C3993" s="47">
        <v>44440</v>
      </c>
      <c r="D3993" s="45">
        <v>22021006321</v>
      </c>
      <c r="E3993" s="46" t="s">
        <v>1328</v>
      </c>
      <c r="F3993" s="48">
        <v>240.11</v>
      </c>
      <c r="G3993" s="46" t="s">
        <v>87</v>
      </c>
      <c r="H3993" s="46" t="s">
        <v>5609</v>
      </c>
      <c r="I3993" s="45" t="s">
        <v>125</v>
      </c>
      <c r="J3993" s="46" t="s">
        <v>127</v>
      </c>
      <c r="K3993" s="46" t="s">
        <v>127</v>
      </c>
      <c r="L3993" s="46" t="s">
        <v>15</v>
      </c>
      <c r="M3993" s="46" t="s">
        <v>10</v>
      </c>
      <c r="N3993" s="46" t="s">
        <v>11</v>
      </c>
      <c r="O3993" s="49" t="s">
        <v>815</v>
      </c>
      <c r="P3993" s="49" t="s">
        <v>4910</v>
      </c>
      <c r="Q3993" s="35" t="str">
        <f>MID(Tabla1[[#This Row],[Aplicación]],14,1)</f>
        <v>2</v>
      </c>
      <c r="R3993" s="35" t="s">
        <v>495</v>
      </c>
      <c r="S3993" s="35" t="str">
        <f>MID(Tabla1[[#This Row],[Aplicación]],6,2)</f>
        <v>10</v>
      </c>
      <c r="T3993" s="35" t="str">
        <f>VLOOKUP(Tabla1[[#This Row],[AREA]],Hoja1!A:B,2,FALSE)</f>
        <v>10. Servicios sociales y mediación comunitaria</v>
      </c>
      <c r="U3993" s="35" t="str">
        <f>MID(Tabla1[[#This Row],[Aplicación]],9,4)</f>
        <v>2311</v>
      </c>
      <c r="V3993" s="35" t="str">
        <f>VLOOKUP(Tabla1[[#This Row],[PROGRAMA]],Hoja1!A:B,2,FALSE)</f>
        <v>2311. Intervención social</v>
      </c>
      <c r="W3993" s="35" t="str">
        <f>MID(Tabla1[[#This Row],[Aplicación]],14,2)</f>
        <v>21</v>
      </c>
      <c r="X3993" s="35" t="str">
        <f>MID(Tabla1[[#This Row],[Aplicación]],14,6)</f>
        <v>212</v>
      </c>
    </row>
    <row r="3994" spans="1:24" x14ac:dyDescent="0.25">
      <c r="A3994" s="45">
        <v>220210054499</v>
      </c>
      <c r="B3994" s="46" t="s">
        <v>9</v>
      </c>
      <c r="C3994" s="47">
        <v>44453</v>
      </c>
      <c r="D3994" s="45">
        <v>22021006453</v>
      </c>
      <c r="E3994" s="46" t="s">
        <v>844</v>
      </c>
      <c r="F3994" s="48">
        <v>338.8</v>
      </c>
      <c r="G3994" s="46" t="s">
        <v>1481</v>
      </c>
      <c r="H3994" s="46" t="s">
        <v>5610</v>
      </c>
      <c r="I3994" s="45" t="s">
        <v>125</v>
      </c>
      <c r="J3994" s="46" t="s">
        <v>127</v>
      </c>
      <c r="K3994" s="46" t="s">
        <v>127</v>
      </c>
      <c r="L3994" s="46" t="s">
        <v>17</v>
      </c>
      <c r="M3994" s="46" t="s">
        <v>10</v>
      </c>
      <c r="N3994" s="46" t="s">
        <v>11</v>
      </c>
      <c r="O3994" s="49" t="s">
        <v>815</v>
      </c>
      <c r="P3994" s="49" t="s">
        <v>4910</v>
      </c>
      <c r="Q3994" s="35" t="str">
        <f>MID(Tabla1[[#This Row],[Aplicación]],14,1)</f>
        <v>2</v>
      </c>
      <c r="R3994" s="35" t="s">
        <v>495</v>
      </c>
      <c r="S3994" s="35" t="str">
        <f>MID(Tabla1[[#This Row],[Aplicación]],6,2)</f>
        <v>10</v>
      </c>
      <c r="T3994" s="35" t="str">
        <f>VLOOKUP(Tabla1[[#This Row],[AREA]],Hoja1!A:B,2,FALSE)</f>
        <v>10. Servicios sociales y mediación comunitaria</v>
      </c>
      <c r="U3994" s="35" t="str">
        <f>MID(Tabla1[[#This Row],[Aplicación]],9,4)</f>
        <v>2312</v>
      </c>
      <c r="V3994" s="35" t="str">
        <f>VLOOKUP(Tabla1[[#This Row],[PROGRAMA]],Hoja1!A:B,2,FALSE)</f>
        <v>2312. Iniciativas sociales</v>
      </c>
      <c r="W3994" s="35" t="str">
        <f>MID(Tabla1[[#This Row],[Aplicación]],14,2)</f>
        <v>21</v>
      </c>
      <c r="X3994" s="35" t="str">
        <f>MID(Tabla1[[#This Row],[Aplicación]],14,6)</f>
        <v>212</v>
      </c>
    </row>
    <row r="3995" spans="1:24" x14ac:dyDescent="0.25">
      <c r="A3995" s="45">
        <v>220210050020</v>
      </c>
      <c r="B3995" s="46" t="s">
        <v>9</v>
      </c>
      <c r="C3995" s="47">
        <v>44434</v>
      </c>
      <c r="D3995" s="45">
        <v>22021006186</v>
      </c>
      <c r="E3995" s="46" t="s">
        <v>950</v>
      </c>
      <c r="F3995" s="48">
        <v>175.45</v>
      </c>
      <c r="G3995" s="46" t="s">
        <v>254</v>
      </c>
      <c r="H3995" s="46" t="s">
        <v>5611</v>
      </c>
      <c r="I3995" s="45" t="s">
        <v>125</v>
      </c>
      <c r="J3995" s="46" t="s">
        <v>127</v>
      </c>
      <c r="K3995" s="46" t="s">
        <v>127</v>
      </c>
      <c r="L3995" s="46" t="s">
        <v>12</v>
      </c>
      <c r="M3995" s="46" t="s">
        <v>10</v>
      </c>
      <c r="N3995" s="46" t="s">
        <v>11</v>
      </c>
      <c r="O3995" s="49" t="s">
        <v>815</v>
      </c>
      <c r="P3995" s="49" t="s">
        <v>4910</v>
      </c>
      <c r="Q3995" s="35" t="str">
        <f>MID(Tabla1[[#This Row],[Aplicación]],14,1)</f>
        <v>2</v>
      </c>
      <c r="R3995" s="35" t="s">
        <v>495</v>
      </c>
      <c r="S3995" s="35" t="str">
        <f>MID(Tabla1[[#This Row],[Aplicación]],6,2)</f>
        <v>11</v>
      </c>
      <c r="T3995" s="35" t="str">
        <f>VLOOKUP(Tabla1[[#This Row],[AREA]],Hoja1!A:B,2,FALSE)</f>
        <v>11. Salud pública y seguridad ciudadana</v>
      </c>
      <c r="U3995" s="35" t="str">
        <f>MID(Tabla1[[#This Row],[Aplicación]],9,4)</f>
        <v>1321</v>
      </c>
      <c r="V3995" s="35" t="str">
        <f>VLOOKUP(Tabla1[[#This Row],[PROGRAMA]],Hoja1!A:B,2,FALSE)</f>
        <v>1321. Policía municipal</v>
      </c>
      <c r="W3995" s="35" t="str">
        <f>MID(Tabla1[[#This Row],[Aplicación]],14,2)</f>
        <v>21</v>
      </c>
      <c r="X3995" s="35" t="str">
        <f>MID(Tabla1[[#This Row],[Aplicación]],14,6)</f>
        <v>213</v>
      </c>
    </row>
    <row r="3996" spans="1:24" x14ac:dyDescent="0.25">
      <c r="A3996" s="45">
        <v>220210036305</v>
      </c>
      <c r="B3996" s="46" t="s">
        <v>9</v>
      </c>
      <c r="C3996" s="47">
        <v>44384</v>
      </c>
      <c r="D3996" s="45">
        <v>22021005320</v>
      </c>
      <c r="E3996" s="46" t="s">
        <v>1990</v>
      </c>
      <c r="F3996" s="48">
        <v>6402</v>
      </c>
      <c r="G3996" s="46" t="s">
        <v>104</v>
      </c>
      <c r="H3996" s="46" t="s">
        <v>5612</v>
      </c>
      <c r="I3996" s="45" t="s">
        <v>125</v>
      </c>
      <c r="J3996" s="46" t="s">
        <v>711</v>
      </c>
      <c r="K3996" s="46" t="s">
        <v>127</v>
      </c>
      <c r="L3996" s="46" t="s">
        <v>12</v>
      </c>
      <c r="M3996" s="46" t="s">
        <v>10</v>
      </c>
      <c r="N3996" s="46" t="s">
        <v>11</v>
      </c>
      <c r="O3996" s="49" t="s">
        <v>815</v>
      </c>
      <c r="P3996" s="49" t="s">
        <v>4910</v>
      </c>
      <c r="Q3996" s="35" t="str">
        <f>MID(Tabla1[[#This Row],[Aplicación]],14,1)</f>
        <v>2</v>
      </c>
      <c r="R3996" s="35" t="s">
        <v>495</v>
      </c>
      <c r="S3996" s="35" t="str">
        <f>MID(Tabla1[[#This Row],[Aplicación]],6,2)</f>
        <v>06</v>
      </c>
      <c r="T3996" s="35" t="str">
        <f>VLOOKUP(Tabla1[[#This Row],[AREA]],Hoja1!A:B,2,FALSE)</f>
        <v>06. Educación, infancia, juventud e igualdad</v>
      </c>
      <c r="U3996" s="35" t="str">
        <f>MID(Tabla1[[#This Row],[Aplicación]],9,4)</f>
        <v>3321</v>
      </c>
      <c r="V3996" s="35" t="str">
        <f>VLOOKUP(Tabla1[[#This Row],[PROGRAMA]],Hoja1!A:B,2,FALSE)</f>
        <v>3321. Bibliotecas públicas</v>
      </c>
      <c r="W3996" s="35" t="str">
        <f>MID(Tabla1[[#This Row],[Aplicación]],14,2)</f>
        <v>22</v>
      </c>
      <c r="X3996" s="35" t="str">
        <f>MID(Tabla1[[#This Row],[Aplicación]],14,6)</f>
        <v>22799</v>
      </c>
    </row>
    <row r="3997" spans="1:24" x14ac:dyDescent="0.25">
      <c r="A3997" s="45">
        <v>220210056287</v>
      </c>
      <c r="B3997" s="46" t="s">
        <v>9</v>
      </c>
      <c r="C3997" s="47">
        <v>44454</v>
      </c>
      <c r="D3997" s="45">
        <v>22021005289</v>
      </c>
      <c r="E3997" s="46" t="s">
        <v>1196</v>
      </c>
      <c r="F3997" s="48">
        <v>331.9</v>
      </c>
      <c r="G3997" s="46" t="s">
        <v>2262</v>
      </c>
      <c r="H3997" s="46" t="s">
        <v>5613</v>
      </c>
      <c r="I3997" s="45" t="s">
        <v>125</v>
      </c>
      <c r="J3997" s="46" t="s">
        <v>127</v>
      </c>
      <c r="K3997" s="46" t="s">
        <v>127</v>
      </c>
      <c r="L3997" s="46" t="s">
        <v>31</v>
      </c>
      <c r="M3997" s="46" t="s">
        <v>13</v>
      </c>
      <c r="N3997" s="46" t="s">
        <v>14</v>
      </c>
      <c r="O3997" s="49" t="s">
        <v>803</v>
      </c>
      <c r="P3997" s="49" t="s">
        <v>4910</v>
      </c>
      <c r="Q3997" s="35" t="str">
        <f>MID(Tabla1[[#This Row],[Aplicación]],14,1)</f>
        <v>6</v>
      </c>
      <c r="R3997" s="35" t="s">
        <v>496</v>
      </c>
      <c r="S3997" s="35" t="str">
        <f>MID(Tabla1[[#This Row],[Aplicación]],6,2)</f>
        <v>08</v>
      </c>
      <c r="T3997" s="35" t="str">
        <f>VLOOKUP(Tabla1[[#This Row],[AREA]],Hoja1!A:B,2,FALSE)</f>
        <v>08. Movilidad y espacio urbano</v>
      </c>
      <c r="U3997" s="35" t="str">
        <f>MID(Tabla1[[#This Row],[Aplicación]],9,4)</f>
        <v>1341</v>
      </c>
      <c r="V3997" s="35" t="str">
        <f>VLOOKUP(Tabla1[[#This Row],[PROGRAMA]],Hoja1!A:B,2,FALSE)</f>
        <v>1341. Movilidad</v>
      </c>
      <c r="W3997" s="35" t="str">
        <f>MID(Tabla1[[#This Row],[Aplicación]],14,2)</f>
        <v>61</v>
      </c>
      <c r="X3997" s="35" t="str">
        <f>MID(Tabla1[[#This Row],[Aplicación]],14,6)</f>
        <v>619</v>
      </c>
    </row>
    <row r="3998" spans="1:24" x14ac:dyDescent="0.25">
      <c r="A3998" s="45">
        <v>220210045559</v>
      </c>
      <c r="B3998" s="46" t="s">
        <v>9</v>
      </c>
      <c r="C3998" s="47">
        <v>44414</v>
      </c>
      <c r="D3998" s="45">
        <v>22021005998</v>
      </c>
      <c r="E3998" s="46" t="s">
        <v>823</v>
      </c>
      <c r="F3998" s="48">
        <v>598.95000000000005</v>
      </c>
      <c r="G3998" s="46" t="s">
        <v>5614</v>
      </c>
      <c r="H3998" s="46" t="s">
        <v>5615</v>
      </c>
      <c r="I3998" s="45" t="s">
        <v>125</v>
      </c>
      <c r="J3998" s="46" t="s">
        <v>634</v>
      </c>
      <c r="K3998" s="46" t="s">
        <v>127</v>
      </c>
      <c r="L3998" s="46" t="s">
        <v>12</v>
      </c>
      <c r="M3998" s="46" t="s">
        <v>10</v>
      </c>
      <c r="N3998" s="46" t="s">
        <v>11</v>
      </c>
      <c r="O3998" s="49" t="s">
        <v>815</v>
      </c>
      <c r="P3998" s="49" t="s">
        <v>4910</v>
      </c>
      <c r="Q3998" s="35" t="str">
        <f>MID(Tabla1[[#This Row],[Aplicación]],14,1)</f>
        <v>2</v>
      </c>
      <c r="R3998" s="35" t="s">
        <v>495</v>
      </c>
      <c r="S3998" s="35" t="str">
        <f>MID(Tabla1[[#This Row],[Aplicación]],6,2)</f>
        <v>03</v>
      </c>
      <c r="T3998" s="35" t="str">
        <f>VLOOKUP(Tabla1[[#This Row],[AREA]],Hoja1!A:B,2,FALSE)</f>
        <v>03. Participación ciudadana y deportes</v>
      </c>
      <c r="U3998" s="35" t="str">
        <f>MID(Tabla1[[#This Row],[Aplicación]],9,4)</f>
        <v>9241</v>
      </c>
      <c r="V3998" s="35" t="str">
        <f>VLOOKUP(Tabla1[[#This Row],[PROGRAMA]],Hoja1!A:B,2,FALSE)</f>
        <v>9241. Participación ciudadana</v>
      </c>
      <c r="W3998" s="35" t="str">
        <f>MID(Tabla1[[#This Row],[Aplicación]],14,2)</f>
        <v>22</v>
      </c>
      <c r="X3998" s="35" t="str">
        <f>MID(Tabla1[[#This Row],[Aplicación]],14,6)</f>
        <v>22609</v>
      </c>
    </row>
    <row r="3999" spans="1:24" x14ac:dyDescent="0.25">
      <c r="A3999" s="45">
        <v>220210047035</v>
      </c>
      <c r="B3999" s="46" t="s">
        <v>204</v>
      </c>
      <c r="C3999" s="47">
        <v>44421</v>
      </c>
      <c r="D3999" s="45">
        <v>22021004322</v>
      </c>
      <c r="E3999" s="46" t="s">
        <v>1724</v>
      </c>
      <c r="F3999" s="48">
        <v>247.5</v>
      </c>
      <c r="G3999" s="46" t="s">
        <v>574</v>
      </c>
      <c r="H3999" s="46" t="s">
        <v>5616</v>
      </c>
      <c r="I3999" s="45" t="s">
        <v>205</v>
      </c>
      <c r="J3999" s="46" t="s">
        <v>127</v>
      </c>
      <c r="K3999" s="46" t="s">
        <v>127</v>
      </c>
      <c r="L3999" s="46" t="s">
        <v>15</v>
      </c>
      <c r="M3999" s="46" t="s">
        <v>13</v>
      </c>
      <c r="N3999" s="46" t="s">
        <v>14</v>
      </c>
      <c r="O3999" s="49" t="s">
        <v>814</v>
      </c>
      <c r="P3999" s="49" t="s">
        <v>4910</v>
      </c>
      <c r="Q3999" s="35" t="str">
        <f>MID(Tabla1[[#This Row],[Aplicación]],14,1)</f>
        <v>6</v>
      </c>
      <c r="R3999" s="35" t="s">
        <v>496</v>
      </c>
      <c r="S3999" s="35" t="str">
        <f>MID(Tabla1[[#This Row],[Aplicación]],6,2)</f>
        <v>07</v>
      </c>
      <c r="T3999" s="35" t="str">
        <f>VLOOKUP(Tabla1[[#This Row],[AREA]],Hoja1!A:B,2,FALSE)</f>
        <v>07. Medio ambiente y desarrollo sostenible</v>
      </c>
      <c r="U3999" s="35" t="str">
        <f>MID(Tabla1[[#This Row],[Aplicación]],9,4)</f>
        <v>1711</v>
      </c>
      <c r="V3999" s="35" t="str">
        <f>VLOOKUP(Tabla1[[#This Row],[PROGRAMA]],Hoja1!A:B,2,FALSE)</f>
        <v>1711. Parques y jardines</v>
      </c>
      <c r="W3999" s="35" t="str">
        <f>MID(Tabla1[[#This Row],[Aplicación]],14,2)</f>
        <v>61</v>
      </c>
      <c r="X3999" s="35" t="str">
        <f>MID(Tabla1[[#This Row],[Aplicación]],14,6)</f>
        <v>619</v>
      </c>
    </row>
    <row r="4000" spans="1:24" x14ac:dyDescent="0.25">
      <c r="A4000" s="45">
        <v>220210047031</v>
      </c>
      <c r="B4000" s="46" t="s">
        <v>204</v>
      </c>
      <c r="C4000" s="47">
        <v>44421</v>
      </c>
      <c r="D4000" s="45">
        <v>22021004322</v>
      </c>
      <c r="E4000" s="46" t="s">
        <v>1724</v>
      </c>
      <c r="F4000" s="48">
        <v>990</v>
      </c>
      <c r="G4000" s="46" t="s">
        <v>574</v>
      </c>
      <c r="H4000" s="46" t="s">
        <v>3268</v>
      </c>
      <c r="I4000" s="45" t="s">
        <v>205</v>
      </c>
      <c r="J4000" s="46" t="s">
        <v>127</v>
      </c>
      <c r="K4000" s="46" t="s">
        <v>127</v>
      </c>
      <c r="L4000" s="46" t="s">
        <v>15</v>
      </c>
      <c r="M4000" s="46" t="s">
        <v>13</v>
      </c>
      <c r="N4000" s="46" t="s">
        <v>14</v>
      </c>
      <c r="O4000" s="49" t="s">
        <v>814</v>
      </c>
      <c r="P4000" s="49" t="s">
        <v>4910</v>
      </c>
      <c r="Q4000" s="35" t="str">
        <f>MID(Tabla1[[#This Row],[Aplicación]],14,1)</f>
        <v>6</v>
      </c>
      <c r="R4000" s="35" t="s">
        <v>496</v>
      </c>
      <c r="S4000" s="35" t="str">
        <f>MID(Tabla1[[#This Row],[Aplicación]],6,2)</f>
        <v>07</v>
      </c>
      <c r="T4000" s="35" t="str">
        <f>VLOOKUP(Tabla1[[#This Row],[AREA]],Hoja1!A:B,2,FALSE)</f>
        <v>07. Medio ambiente y desarrollo sostenible</v>
      </c>
      <c r="U4000" s="35" t="str">
        <f>MID(Tabla1[[#This Row],[Aplicación]],9,4)</f>
        <v>1711</v>
      </c>
      <c r="V4000" s="35" t="str">
        <f>VLOOKUP(Tabla1[[#This Row],[PROGRAMA]],Hoja1!A:B,2,FALSE)</f>
        <v>1711. Parques y jardines</v>
      </c>
      <c r="W4000" s="35" t="str">
        <f>MID(Tabla1[[#This Row],[Aplicación]],14,2)</f>
        <v>61</v>
      </c>
      <c r="X4000" s="35" t="str">
        <f>MID(Tabla1[[#This Row],[Aplicación]],14,6)</f>
        <v>619</v>
      </c>
    </row>
    <row r="4001" spans="1:24" x14ac:dyDescent="0.25">
      <c r="A4001" s="45">
        <v>220210046982</v>
      </c>
      <c r="B4001" s="46" t="s">
        <v>204</v>
      </c>
      <c r="C4001" s="47">
        <v>44421</v>
      </c>
      <c r="D4001" s="45">
        <v>22021001181</v>
      </c>
      <c r="E4001" s="46" t="s">
        <v>873</v>
      </c>
      <c r="F4001" s="48">
        <v>66.55</v>
      </c>
      <c r="G4001" s="46" t="s">
        <v>574</v>
      </c>
      <c r="H4001" s="46" t="s">
        <v>5617</v>
      </c>
      <c r="I4001" s="45" t="s">
        <v>205</v>
      </c>
      <c r="J4001" s="46" t="s">
        <v>127</v>
      </c>
      <c r="K4001" s="46" t="s">
        <v>127</v>
      </c>
      <c r="L4001" s="46" t="s">
        <v>15</v>
      </c>
      <c r="M4001" s="46" t="s">
        <v>13</v>
      </c>
      <c r="N4001" s="46" t="s">
        <v>14</v>
      </c>
      <c r="O4001" s="49" t="s">
        <v>814</v>
      </c>
      <c r="P4001" s="49" t="s">
        <v>4910</v>
      </c>
      <c r="Q4001" s="35" t="str">
        <f>MID(Tabla1[[#This Row],[Aplicación]],14,1)</f>
        <v>2</v>
      </c>
      <c r="R4001" s="35" t="s">
        <v>495</v>
      </c>
      <c r="S4001" s="35" t="str">
        <f>MID(Tabla1[[#This Row],[Aplicación]],6,2)</f>
        <v>10</v>
      </c>
      <c r="T4001" s="35" t="str">
        <f>VLOOKUP(Tabla1[[#This Row],[AREA]],Hoja1!A:B,2,FALSE)</f>
        <v>10. Servicios sociales y mediación comunitaria</v>
      </c>
      <c r="U4001" s="35" t="str">
        <f>MID(Tabla1[[#This Row],[Aplicación]],9,4)</f>
        <v>2412</v>
      </c>
      <c r="V4001" s="35" t="str">
        <f>VLOOKUP(Tabla1[[#This Row],[PROGRAMA]],Hoja1!A:B,2,FALSE)</f>
        <v>2412. Formación para el empleo</v>
      </c>
      <c r="W4001" s="35" t="str">
        <f>MID(Tabla1[[#This Row],[Aplicación]],14,2)</f>
        <v>22</v>
      </c>
      <c r="X4001" s="35" t="str">
        <f>MID(Tabla1[[#This Row],[Aplicación]],14,6)</f>
        <v>22199</v>
      </c>
    </row>
    <row r="4002" spans="1:24" x14ac:dyDescent="0.25">
      <c r="A4002" s="45">
        <v>220210039695</v>
      </c>
      <c r="B4002" s="46" t="s">
        <v>9</v>
      </c>
      <c r="C4002" s="47">
        <v>44393</v>
      </c>
      <c r="D4002" s="45">
        <v>22021005738</v>
      </c>
      <c r="E4002" s="46" t="s">
        <v>823</v>
      </c>
      <c r="F4002" s="48">
        <v>440</v>
      </c>
      <c r="G4002" s="46" t="s">
        <v>4063</v>
      </c>
      <c r="H4002" s="46" t="s">
        <v>5618</v>
      </c>
      <c r="I4002" s="45" t="s">
        <v>125</v>
      </c>
      <c r="J4002" s="46" t="s">
        <v>4065</v>
      </c>
      <c r="K4002" s="46" t="s">
        <v>127</v>
      </c>
      <c r="L4002" s="46" t="s">
        <v>12</v>
      </c>
      <c r="M4002" s="46" t="s">
        <v>10</v>
      </c>
      <c r="N4002" s="46" t="s">
        <v>11</v>
      </c>
      <c r="O4002" s="49" t="s">
        <v>815</v>
      </c>
      <c r="P4002" s="49" t="s">
        <v>4910</v>
      </c>
      <c r="Q4002" s="35" t="str">
        <f>MID(Tabla1[[#This Row],[Aplicación]],14,1)</f>
        <v>2</v>
      </c>
      <c r="R4002" s="35" t="s">
        <v>495</v>
      </c>
      <c r="S4002" s="35" t="str">
        <f>MID(Tabla1[[#This Row],[Aplicación]],6,2)</f>
        <v>03</v>
      </c>
      <c r="T4002" s="35" t="str">
        <f>VLOOKUP(Tabla1[[#This Row],[AREA]],Hoja1!A:B,2,FALSE)</f>
        <v>03. Participación ciudadana y deportes</v>
      </c>
      <c r="U4002" s="35" t="str">
        <f>MID(Tabla1[[#This Row],[Aplicación]],9,4)</f>
        <v>9241</v>
      </c>
      <c r="V4002" s="35" t="str">
        <f>VLOOKUP(Tabla1[[#This Row],[PROGRAMA]],Hoja1!A:B,2,FALSE)</f>
        <v>9241. Participación ciudadana</v>
      </c>
      <c r="W4002" s="35" t="str">
        <f>MID(Tabla1[[#This Row],[Aplicación]],14,2)</f>
        <v>22</v>
      </c>
      <c r="X4002" s="35" t="str">
        <f>MID(Tabla1[[#This Row],[Aplicación]],14,6)</f>
        <v>22609</v>
      </c>
    </row>
    <row r="4003" spans="1:24" x14ac:dyDescent="0.25">
      <c r="A4003" s="45">
        <v>220210050522</v>
      </c>
      <c r="B4003" s="46" t="s">
        <v>9</v>
      </c>
      <c r="C4003" s="47">
        <v>44440</v>
      </c>
      <c r="D4003" s="45">
        <v>22021006301</v>
      </c>
      <c r="E4003" s="46" t="s">
        <v>1328</v>
      </c>
      <c r="F4003" s="48">
        <v>162.9</v>
      </c>
      <c r="G4003" s="46" t="s">
        <v>87</v>
      </c>
      <c r="H4003" s="46" t="s">
        <v>5619</v>
      </c>
      <c r="I4003" s="45" t="s">
        <v>125</v>
      </c>
      <c r="J4003" s="46" t="s">
        <v>127</v>
      </c>
      <c r="K4003" s="46" t="s">
        <v>127</v>
      </c>
      <c r="L4003" s="46" t="s">
        <v>15</v>
      </c>
      <c r="M4003" s="46" t="s">
        <v>10</v>
      </c>
      <c r="N4003" s="46" t="s">
        <v>11</v>
      </c>
      <c r="O4003" s="49" t="s">
        <v>815</v>
      </c>
      <c r="P4003" s="49" t="s">
        <v>4910</v>
      </c>
      <c r="Q4003" s="35" t="str">
        <f>MID(Tabla1[[#This Row],[Aplicación]],14,1)</f>
        <v>2</v>
      </c>
      <c r="R4003" s="35" t="s">
        <v>495</v>
      </c>
      <c r="S4003" s="35" t="str">
        <f>MID(Tabla1[[#This Row],[Aplicación]],6,2)</f>
        <v>10</v>
      </c>
      <c r="T4003" s="35" t="str">
        <f>VLOOKUP(Tabla1[[#This Row],[AREA]],Hoja1!A:B,2,FALSE)</f>
        <v>10. Servicios sociales y mediación comunitaria</v>
      </c>
      <c r="U4003" s="35" t="str">
        <f>MID(Tabla1[[#This Row],[Aplicación]],9,4)</f>
        <v>2311</v>
      </c>
      <c r="V4003" s="35" t="str">
        <f>VLOOKUP(Tabla1[[#This Row],[PROGRAMA]],Hoja1!A:B,2,FALSE)</f>
        <v>2311. Intervención social</v>
      </c>
      <c r="W4003" s="35" t="str">
        <f>MID(Tabla1[[#This Row],[Aplicación]],14,2)</f>
        <v>21</v>
      </c>
      <c r="X4003" s="35" t="str">
        <f>MID(Tabla1[[#This Row],[Aplicación]],14,6)</f>
        <v>212</v>
      </c>
    </row>
    <row r="4004" spans="1:24" x14ac:dyDescent="0.25">
      <c r="A4004" s="45">
        <v>220210036847</v>
      </c>
      <c r="B4004" s="46" t="s">
        <v>9</v>
      </c>
      <c r="C4004" s="47">
        <v>44389</v>
      </c>
      <c r="D4004" s="45">
        <v>22021005624</v>
      </c>
      <c r="E4004" s="46" t="s">
        <v>2849</v>
      </c>
      <c r="F4004" s="48">
        <v>1750</v>
      </c>
      <c r="G4004" s="46" t="s">
        <v>2358</v>
      </c>
      <c r="H4004" s="46" t="s">
        <v>5620</v>
      </c>
      <c r="I4004" s="45" t="s">
        <v>125</v>
      </c>
      <c r="J4004" s="46" t="s">
        <v>127</v>
      </c>
      <c r="K4004" s="46" t="s">
        <v>127</v>
      </c>
      <c r="L4004" s="46" t="s">
        <v>12</v>
      </c>
      <c r="M4004" s="46" t="s">
        <v>13</v>
      </c>
      <c r="N4004" s="46" t="s">
        <v>14</v>
      </c>
      <c r="O4004" s="49" t="s">
        <v>814</v>
      </c>
      <c r="P4004" s="49" t="s">
        <v>4910</v>
      </c>
      <c r="Q4004" s="35" t="str">
        <f>MID(Tabla1[[#This Row],[Aplicación]],14,1)</f>
        <v>2</v>
      </c>
      <c r="R4004" s="35" t="s">
        <v>495</v>
      </c>
      <c r="S4004" s="35" t="str">
        <f>MID(Tabla1[[#This Row],[Aplicación]],6,2)</f>
        <v>03</v>
      </c>
      <c r="T4004" s="35" t="str">
        <f>VLOOKUP(Tabla1[[#This Row],[AREA]],Hoja1!A:B,2,FALSE)</f>
        <v>03. Participación ciudadana y deportes</v>
      </c>
      <c r="U4004" s="35" t="str">
        <f>MID(Tabla1[[#This Row],[Aplicación]],9,4)</f>
        <v>9200</v>
      </c>
      <c r="V4004" s="35" t="str">
        <f>VLOOKUP(Tabla1[[#This Row],[PROGRAMA]],Hoja1!A:B,2,FALSE)</f>
        <v>9200. Dirección del area de participación ciudadana</v>
      </c>
      <c r="W4004" s="35" t="str">
        <f>MID(Tabla1[[#This Row],[Aplicación]],14,2)</f>
        <v>22</v>
      </c>
      <c r="X4004" s="35" t="str">
        <f>MID(Tabla1[[#This Row],[Aplicación]],14,6)</f>
        <v>22602</v>
      </c>
    </row>
    <row r="4005" spans="1:24" x14ac:dyDescent="0.25">
      <c r="A4005" s="45">
        <v>220210040149</v>
      </c>
      <c r="B4005" s="46" t="s">
        <v>204</v>
      </c>
      <c r="C4005" s="47">
        <v>44396</v>
      </c>
      <c r="D4005" s="45">
        <v>22021002056</v>
      </c>
      <c r="E4005" s="46" t="s">
        <v>876</v>
      </c>
      <c r="F4005" s="48">
        <v>736.59</v>
      </c>
      <c r="G4005" s="46" t="s">
        <v>274</v>
      </c>
      <c r="H4005" s="46" t="s">
        <v>5621</v>
      </c>
      <c r="I4005" s="45" t="s">
        <v>205</v>
      </c>
      <c r="J4005" s="46" t="s">
        <v>127</v>
      </c>
      <c r="K4005" s="46" t="s">
        <v>127</v>
      </c>
      <c r="L4005" s="46" t="s">
        <v>15</v>
      </c>
      <c r="M4005" s="46" t="s">
        <v>13</v>
      </c>
      <c r="N4005" s="46" t="s">
        <v>14</v>
      </c>
      <c r="O4005" s="49" t="s">
        <v>814</v>
      </c>
      <c r="P4005" s="49" t="s">
        <v>4910</v>
      </c>
      <c r="Q4005" s="35" t="str">
        <f>MID(Tabla1[[#This Row],[Aplicación]],14,1)</f>
        <v>2</v>
      </c>
      <c r="R4005" s="35" t="s">
        <v>495</v>
      </c>
      <c r="S4005" s="35" t="str">
        <f>MID(Tabla1[[#This Row],[Aplicación]],6,2)</f>
        <v>11</v>
      </c>
      <c r="T4005" s="35" t="str">
        <f>VLOOKUP(Tabla1[[#This Row],[AREA]],Hoja1!A:B,2,FALSE)</f>
        <v>11. Salud pública y seguridad ciudadana</v>
      </c>
      <c r="U4005" s="35" t="str">
        <f>MID(Tabla1[[#This Row],[Aplicación]],9,4)</f>
        <v>1631</v>
      </c>
      <c r="V4005" s="35" t="str">
        <f>VLOOKUP(Tabla1[[#This Row],[PROGRAMA]],Hoja1!A:B,2,FALSE)</f>
        <v>1631. Limpieza viaria</v>
      </c>
      <c r="W4005" s="35" t="str">
        <f>MID(Tabla1[[#This Row],[Aplicación]],14,2)</f>
        <v>22</v>
      </c>
      <c r="X4005" s="35" t="str">
        <f>MID(Tabla1[[#This Row],[Aplicación]],14,6)</f>
        <v>22110</v>
      </c>
    </row>
    <row r="4006" spans="1:24" x14ac:dyDescent="0.25">
      <c r="A4006" s="45">
        <v>220210043939</v>
      </c>
      <c r="B4006" s="46" t="s">
        <v>204</v>
      </c>
      <c r="C4006" s="47">
        <v>44405</v>
      </c>
      <c r="D4006" s="45">
        <v>22021003381</v>
      </c>
      <c r="E4006" s="46" t="s">
        <v>1183</v>
      </c>
      <c r="F4006" s="48">
        <v>573.38</v>
      </c>
      <c r="G4006" s="46" t="s">
        <v>274</v>
      </c>
      <c r="H4006" s="46" t="s">
        <v>5622</v>
      </c>
      <c r="I4006" s="45" t="s">
        <v>205</v>
      </c>
      <c r="J4006" s="46" t="s">
        <v>127</v>
      </c>
      <c r="K4006" s="46" t="s">
        <v>127</v>
      </c>
      <c r="L4006" s="46" t="s">
        <v>15</v>
      </c>
      <c r="M4006" s="46" t="s">
        <v>13</v>
      </c>
      <c r="N4006" s="46" t="s">
        <v>14</v>
      </c>
      <c r="O4006" s="49" t="s">
        <v>814</v>
      </c>
      <c r="P4006" s="49" t="s">
        <v>4910</v>
      </c>
      <c r="Q4006" s="35" t="str">
        <f>MID(Tabla1[[#This Row],[Aplicación]],14,1)</f>
        <v>2</v>
      </c>
      <c r="R4006" s="35" t="s">
        <v>495</v>
      </c>
      <c r="S4006" s="35" t="str">
        <f>MID(Tabla1[[#This Row],[Aplicación]],6,2)</f>
        <v>11</v>
      </c>
      <c r="T4006" s="35" t="str">
        <f>VLOOKUP(Tabla1[[#This Row],[AREA]],Hoja1!A:B,2,FALSE)</f>
        <v>11. Salud pública y seguridad ciudadana</v>
      </c>
      <c r="U4006" s="35" t="str">
        <f>MID(Tabla1[[#This Row],[Aplicación]],9,4)</f>
        <v>1361</v>
      </c>
      <c r="V4006" s="35" t="str">
        <f>VLOOKUP(Tabla1[[#This Row],[PROGRAMA]],Hoja1!A:B,2,FALSE)</f>
        <v>1361. Prevención y extinción de incencios</v>
      </c>
      <c r="W4006" s="35" t="str">
        <f>MID(Tabla1[[#This Row],[Aplicación]],14,2)</f>
        <v>22</v>
      </c>
      <c r="X4006" s="35" t="str">
        <f>MID(Tabla1[[#This Row],[Aplicación]],14,6)</f>
        <v>22199</v>
      </c>
    </row>
    <row r="4007" spans="1:24" x14ac:dyDescent="0.25">
      <c r="A4007" s="45">
        <v>220210040159</v>
      </c>
      <c r="B4007" s="46" t="s">
        <v>204</v>
      </c>
      <c r="C4007" s="47">
        <v>44396</v>
      </c>
      <c r="D4007" s="45">
        <v>22021002048</v>
      </c>
      <c r="E4007" s="46" t="s">
        <v>890</v>
      </c>
      <c r="F4007" s="48">
        <v>569.66999999999996</v>
      </c>
      <c r="G4007" s="46" t="s">
        <v>274</v>
      </c>
      <c r="H4007" s="46" t="s">
        <v>5623</v>
      </c>
      <c r="I4007" s="45" t="s">
        <v>205</v>
      </c>
      <c r="J4007" s="46" t="s">
        <v>127</v>
      </c>
      <c r="K4007" s="46" t="s">
        <v>127</v>
      </c>
      <c r="L4007" s="46" t="s">
        <v>15</v>
      </c>
      <c r="M4007" s="46" t="s">
        <v>13</v>
      </c>
      <c r="N4007" s="46" t="s">
        <v>14</v>
      </c>
      <c r="O4007" s="49" t="s">
        <v>814</v>
      </c>
      <c r="P4007" s="49" t="s">
        <v>4910</v>
      </c>
      <c r="Q4007" s="35" t="str">
        <f>MID(Tabla1[[#This Row],[Aplicación]],14,1)</f>
        <v>2</v>
      </c>
      <c r="R4007" s="35" t="s">
        <v>495</v>
      </c>
      <c r="S4007" s="35" t="str">
        <f>MID(Tabla1[[#This Row],[Aplicación]],6,2)</f>
        <v>11</v>
      </c>
      <c r="T4007" s="35" t="str">
        <f>VLOOKUP(Tabla1[[#This Row],[AREA]],Hoja1!A:B,2,FALSE)</f>
        <v>11. Salud pública y seguridad ciudadana</v>
      </c>
      <c r="U4007" s="35" t="str">
        <f>MID(Tabla1[[#This Row],[Aplicación]],9,4)</f>
        <v>1621</v>
      </c>
      <c r="V4007" s="35" t="str">
        <f>VLOOKUP(Tabla1[[#This Row],[PROGRAMA]],Hoja1!A:B,2,FALSE)</f>
        <v>1621. Servicio de limpieza</v>
      </c>
      <c r="W4007" s="35" t="str">
        <f>MID(Tabla1[[#This Row],[Aplicación]],14,2)</f>
        <v>21</v>
      </c>
      <c r="X4007" s="35" t="str">
        <f>MID(Tabla1[[#This Row],[Aplicación]],14,6)</f>
        <v>214</v>
      </c>
    </row>
    <row r="4008" spans="1:24" x14ac:dyDescent="0.25">
      <c r="A4008" s="45">
        <v>220210040172</v>
      </c>
      <c r="B4008" s="46" t="s">
        <v>204</v>
      </c>
      <c r="C4008" s="47">
        <v>44396</v>
      </c>
      <c r="D4008" s="45">
        <v>22021001968</v>
      </c>
      <c r="E4008" s="46" t="s">
        <v>1388</v>
      </c>
      <c r="F4008" s="48">
        <v>65.739999999999995</v>
      </c>
      <c r="G4008" s="46" t="s">
        <v>274</v>
      </c>
      <c r="H4008" s="46" t="s">
        <v>5624</v>
      </c>
      <c r="I4008" s="45" t="s">
        <v>205</v>
      </c>
      <c r="J4008" s="46" t="s">
        <v>127</v>
      </c>
      <c r="K4008" s="46" t="s">
        <v>127</v>
      </c>
      <c r="L4008" s="46" t="s">
        <v>15</v>
      </c>
      <c r="M4008" s="46" t="s">
        <v>13</v>
      </c>
      <c r="N4008" s="46" t="s">
        <v>14</v>
      </c>
      <c r="O4008" s="49" t="s">
        <v>814</v>
      </c>
      <c r="P4008" s="49" t="s">
        <v>4910</v>
      </c>
      <c r="Q4008" s="35" t="str">
        <f>MID(Tabla1[[#This Row],[Aplicación]],14,1)</f>
        <v>2</v>
      </c>
      <c r="R4008" s="35" t="s">
        <v>495</v>
      </c>
      <c r="S4008" s="35" t="str">
        <f>MID(Tabla1[[#This Row],[Aplicación]],6,2)</f>
        <v>11</v>
      </c>
      <c r="T4008" s="35" t="str">
        <f>VLOOKUP(Tabla1[[#This Row],[AREA]],Hoja1!A:B,2,FALSE)</f>
        <v>11. Salud pública y seguridad ciudadana</v>
      </c>
      <c r="U4008" s="35" t="str">
        <f>MID(Tabla1[[#This Row],[Aplicación]],9,4)</f>
        <v>1321</v>
      </c>
      <c r="V4008" s="35" t="str">
        <f>VLOOKUP(Tabla1[[#This Row],[PROGRAMA]],Hoja1!A:B,2,FALSE)</f>
        <v>1321. Policía municipal</v>
      </c>
      <c r="W4008" s="35" t="str">
        <f>MID(Tabla1[[#This Row],[Aplicación]],14,2)</f>
        <v>22</v>
      </c>
      <c r="X4008" s="35" t="str">
        <f>MID(Tabla1[[#This Row],[Aplicación]],14,6)</f>
        <v>22199</v>
      </c>
    </row>
    <row r="4009" spans="1:24" x14ac:dyDescent="0.25">
      <c r="A4009" s="45">
        <v>220210044016</v>
      </c>
      <c r="B4009" s="46" t="s">
        <v>204</v>
      </c>
      <c r="C4009" s="47">
        <v>44405</v>
      </c>
      <c r="D4009" s="45">
        <v>22021001275</v>
      </c>
      <c r="E4009" s="46" t="s">
        <v>1334</v>
      </c>
      <c r="F4009" s="48">
        <v>0.77</v>
      </c>
      <c r="G4009" s="46" t="s">
        <v>274</v>
      </c>
      <c r="H4009" s="46" t="s">
        <v>1461</v>
      </c>
      <c r="I4009" s="45" t="s">
        <v>205</v>
      </c>
      <c r="J4009" s="46" t="s">
        <v>127</v>
      </c>
      <c r="K4009" s="46" t="s">
        <v>127</v>
      </c>
      <c r="L4009" s="46" t="s">
        <v>15</v>
      </c>
      <c r="M4009" s="46" t="s">
        <v>13</v>
      </c>
      <c r="N4009" s="46" t="s">
        <v>14</v>
      </c>
      <c r="O4009" s="49" t="s">
        <v>814</v>
      </c>
      <c r="P4009" s="49" t="s">
        <v>4910</v>
      </c>
      <c r="Q4009" s="35" t="str">
        <f>MID(Tabla1[[#This Row],[Aplicación]],14,1)</f>
        <v>2</v>
      </c>
      <c r="R4009" s="35" t="s">
        <v>495</v>
      </c>
      <c r="S4009" s="35" t="str">
        <f>MID(Tabla1[[#This Row],[Aplicación]],6,2)</f>
        <v>07</v>
      </c>
      <c r="T4009" s="35" t="str">
        <f>VLOOKUP(Tabla1[[#This Row],[AREA]],Hoja1!A:B,2,FALSE)</f>
        <v>07. Medio ambiente y desarrollo sostenible</v>
      </c>
      <c r="U4009" s="35" t="str">
        <f>MID(Tabla1[[#This Row],[Aplicación]],9,4)</f>
        <v>1711</v>
      </c>
      <c r="V4009" s="35" t="str">
        <f>VLOOKUP(Tabla1[[#This Row],[PROGRAMA]],Hoja1!A:B,2,FALSE)</f>
        <v>1711. Parques y jardines</v>
      </c>
      <c r="W4009" s="35" t="str">
        <f>MID(Tabla1[[#This Row],[Aplicación]],14,2)</f>
        <v>22</v>
      </c>
      <c r="X4009" s="35" t="str">
        <f>MID(Tabla1[[#This Row],[Aplicación]],14,6)</f>
        <v>22199</v>
      </c>
    </row>
    <row r="4010" spans="1:24" x14ac:dyDescent="0.25">
      <c r="A4010" s="45">
        <v>220210053599</v>
      </c>
      <c r="B4010" s="46" t="s">
        <v>204</v>
      </c>
      <c r="C4010" s="47">
        <v>44452</v>
      </c>
      <c r="D4010" s="45">
        <v>22021002056</v>
      </c>
      <c r="E4010" s="46" t="s">
        <v>876</v>
      </c>
      <c r="F4010" s="48">
        <v>1507.42</v>
      </c>
      <c r="G4010" s="46" t="s">
        <v>274</v>
      </c>
      <c r="H4010" s="46" t="s">
        <v>5625</v>
      </c>
      <c r="I4010" s="45" t="s">
        <v>205</v>
      </c>
      <c r="J4010" s="46" t="s">
        <v>127</v>
      </c>
      <c r="K4010" s="46" t="s">
        <v>127</v>
      </c>
      <c r="L4010" s="46" t="s">
        <v>15</v>
      </c>
      <c r="M4010" s="46" t="s">
        <v>13</v>
      </c>
      <c r="N4010" s="46" t="s">
        <v>14</v>
      </c>
      <c r="O4010" s="49" t="s">
        <v>814</v>
      </c>
      <c r="P4010" s="49" t="s">
        <v>4910</v>
      </c>
      <c r="Q4010" s="35" t="str">
        <f>MID(Tabla1[[#This Row],[Aplicación]],14,1)</f>
        <v>2</v>
      </c>
      <c r="R4010" s="35" t="s">
        <v>495</v>
      </c>
      <c r="S4010" s="35" t="str">
        <f>MID(Tabla1[[#This Row],[Aplicación]],6,2)</f>
        <v>11</v>
      </c>
      <c r="T4010" s="35" t="str">
        <f>VLOOKUP(Tabla1[[#This Row],[AREA]],Hoja1!A:B,2,FALSE)</f>
        <v>11. Salud pública y seguridad ciudadana</v>
      </c>
      <c r="U4010" s="35" t="str">
        <f>MID(Tabla1[[#This Row],[Aplicación]],9,4)</f>
        <v>1631</v>
      </c>
      <c r="V4010" s="35" t="str">
        <f>VLOOKUP(Tabla1[[#This Row],[PROGRAMA]],Hoja1!A:B,2,FALSE)</f>
        <v>1631. Limpieza viaria</v>
      </c>
      <c r="W4010" s="35" t="str">
        <f>MID(Tabla1[[#This Row],[Aplicación]],14,2)</f>
        <v>22</v>
      </c>
      <c r="X4010" s="35" t="str">
        <f>MID(Tabla1[[#This Row],[Aplicación]],14,6)</f>
        <v>22110</v>
      </c>
    </row>
    <row r="4011" spans="1:24" x14ac:dyDescent="0.25">
      <c r="A4011" s="45">
        <v>220210048721</v>
      </c>
      <c r="B4011" s="46" t="s">
        <v>204</v>
      </c>
      <c r="C4011" s="47">
        <v>44428</v>
      </c>
      <c r="D4011" s="45">
        <v>22021002056</v>
      </c>
      <c r="E4011" s="46" t="s">
        <v>876</v>
      </c>
      <c r="F4011" s="48">
        <v>917.18</v>
      </c>
      <c r="G4011" s="46" t="s">
        <v>274</v>
      </c>
      <c r="H4011" s="46" t="s">
        <v>5626</v>
      </c>
      <c r="I4011" s="45" t="s">
        <v>205</v>
      </c>
      <c r="J4011" s="46" t="s">
        <v>127</v>
      </c>
      <c r="K4011" s="46" t="s">
        <v>127</v>
      </c>
      <c r="L4011" s="46" t="s">
        <v>15</v>
      </c>
      <c r="M4011" s="46" t="s">
        <v>13</v>
      </c>
      <c r="N4011" s="46" t="s">
        <v>14</v>
      </c>
      <c r="O4011" s="49" t="s">
        <v>814</v>
      </c>
      <c r="P4011" s="49" t="s">
        <v>4910</v>
      </c>
      <c r="Q4011" s="35" t="str">
        <f>MID(Tabla1[[#This Row],[Aplicación]],14,1)</f>
        <v>2</v>
      </c>
      <c r="R4011" s="35" t="s">
        <v>495</v>
      </c>
      <c r="S4011" s="35" t="str">
        <f>MID(Tabla1[[#This Row],[Aplicación]],6,2)</f>
        <v>11</v>
      </c>
      <c r="T4011" s="35" t="str">
        <f>VLOOKUP(Tabla1[[#This Row],[AREA]],Hoja1!A:B,2,FALSE)</f>
        <v>11. Salud pública y seguridad ciudadana</v>
      </c>
      <c r="U4011" s="35" t="str">
        <f>MID(Tabla1[[#This Row],[Aplicación]],9,4)</f>
        <v>1631</v>
      </c>
      <c r="V4011" s="35" t="str">
        <f>VLOOKUP(Tabla1[[#This Row],[PROGRAMA]],Hoja1!A:B,2,FALSE)</f>
        <v>1631. Limpieza viaria</v>
      </c>
      <c r="W4011" s="35" t="str">
        <f>MID(Tabla1[[#This Row],[Aplicación]],14,2)</f>
        <v>22</v>
      </c>
      <c r="X4011" s="35" t="str">
        <f>MID(Tabla1[[#This Row],[Aplicación]],14,6)</f>
        <v>22110</v>
      </c>
    </row>
    <row r="4012" spans="1:24" x14ac:dyDescent="0.25">
      <c r="A4012" s="45">
        <v>220210047864</v>
      </c>
      <c r="B4012" s="46" t="s">
        <v>204</v>
      </c>
      <c r="C4012" s="47">
        <v>44425</v>
      </c>
      <c r="D4012" s="45">
        <v>22021002133</v>
      </c>
      <c r="E4012" s="46" t="s">
        <v>1326</v>
      </c>
      <c r="F4012" s="48">
        <v>774.67</v>
      </c>
      <c r="G4012" s="46" t="s">
        <v>274</v>
      </c>
      <c r="H4012" s="46" t="s">
        <v>5627</v>
      </c>
      <c r="I4012" s="45" t="s">
        <v>205</v>
      </c>
      <c r="J4012" s="46" t="s">
        <v>127</v>
      </c>
      <c r="K4012" s="46" t="s">
        <v>127</v>
      </c>
      <c r="L4012" s="46" t="s">
        <v>15</v>
      </c>
      <c r="M4012" s="46" t="s">
        <v>13</v>
      </c>
      <c r="N4012" s="46" t="s">
        <v>14</v>
      </c>
      <c r="O4012" s="49" t="s">
        <v>814</v>
      </c>
      <c r="P4012" s="49" t="s">
        <v>4910</v>
      </c>
      <c r="Q4012" s="35" t="str">
        <f>MID(Tabla1[[#This Row],[Aplicación]],14,1)</f>
        <v>2</v>
      </c>
      <c r="R4012" s="35" t="s">
        <v>495</v>
      </c>
      <c r="S4012" s="35" t="str">
        <f>MID(Tabla1[[#This Row],[Aplicación]],6,2)</f>
        <v>08</v>
      </c>
      <c r="T4012" s="35" t="str">
        <f>VLOOKUP(Tabla1[[#This Row],[AREA]],Hoja1!A:B,2,FALSE)</f>
        <v>08. Movilidad y espacio urbano</v>
      </c>
      <c r="U4012" s="35" t="str">
        <f>MID(Tabla1[[#This Row],[Aplicación]],9,4)</f>
        <v>1651</v>
      </c>
      <c r="V4012" s="35" t="str">
        <f>VLOOKUP(Tabla1[[#This Row],[PROGRAMA]],Hoja1!A:B,2,FALSE)</f>
        <v>1651. Alumbrado público</v>
      </c>
      <c r="W4012" s="35" t="str">
        <f>MID(Tabla1[[#This Row],[Aplicación]],14,2)</f>
        <v>22</v>
      </c>
      <c r="X4012" s="35" t="str">
        <f>MID(Tabla1[[#This Row],[Aplicación]],14,6)</f>
        <v>22199</v>
      </c>
    </row>
    <row r="4013" spans="1:24" x14ac:dyDescent="0.25">
      <c r="A4013" s="45">
        <v>220210053586</v>
      </c>
      <c r="B4013" s="46" t="s">
        <v>204</v>
      </c>
      <c r="C4013" s="47">
        <v>44452</v>
      </c>
      <c r="D4013" s="45">
        <v>22021002052</v>
      </c>
      <c r="E4013" s="46" t="s">
        <v>1340</v>
      </c>
      <c r="F4013" s="48">
        <v>220.01</v>
      </c>
      <c r="G4013" s="46" t="s">
        <v>274</v>
      </c>
      <c r="H4013" s="46" t="s">
        <v>5628</v>
      </c>
      <c r="I4013" s="45" t="s">
        <v>205</v>
      </c>
      <c r="J4013" s="46" t="s">
        <v>127</v>
      </c>
      <c r="K4013" s="46" t="s">
        <v>127</v>
      </c>
      <c r="L4013" s="46" t="s">
        <v>15</v>
      </c>
      <c r="M4013" s="46" t="s">
        <v>13</v>
      </c>
      <c r="N4013" s="46" t="s">
        <v>14</v>
      </c>
      <c r="O4013" s="49" t="s">
        <v>814</v>
      </c>
      <c r="P4013" s="49" t="s">
        <v>4910</v>
      </c>
      <c r="Q4013" s="35" t="str">
        <f>MID(Tabla1[[#This Row],[Aplicación]],14,1)</f>
        <v>2</v>
      </c>
      <c r="R4013" s="35" t="s">
        <v>495</v>
      </c>
      <c r="S4013" s="35" t="str">
        <f>MID(Tabla1[[#This Row],[Aplicación]],6,2)</f>
        <v>11</v>
      </c>
      <c r="T4013" s="35" t="str">
        <f>VLOOKUP(Tabla1[[#This Row],[AREA]],Hoja1!A:B,2,FALSE)</f>
        <v>11. Salud pública y seguridad ciudadana</v>
      </c>
      <c r="U4013" s="35" t="str">
        <f>MID(Tabla1[[#This Row],[Aplicación]],9,4)</f>
        <v>1621</v>
      </c>
      <c r="V4013" s="35" t="str">
        <f>VLOOKUP(Tabla1[[#This Row],[PROGRAMA]],Hoja1!A:B,2,FALSE)</f>
        <v>1621. Servicio de limpieza</v>
      </c>
      <c r="W4013" s="35" t="str">
        <f>MID(Tabla1[[#This Row],[Aplicación]],14,2)</f>
        <v>22</v>
      </c>
      <c r="X4013" s="35" t="str">
        <f>MID(Tabla1[[#This Row],[Aplicación]],14,6)</f>
        <v>22199</v>
      </c>
    </row>
    <row r="4014" spans="1:24" x14ac:dyDescent="0.25">
      <c r="A4014" s="45">
        <v>220210048713</v>
      </c>
      <c r="B4014" s="46" t="s">
        <v>204</v>
      </c>
      <c r="C4014" s="47">
        <v>44428</v>
      </c>
      <c r="D4014" s="45">
        <v>22021002052</v>
      </c>
      <c r="E4014" s="46" t="s">
        <v>1340</v>
      </c>
      <c r="F4014" s="48">
        <v>156.99</v>
      </c>
      <c r="G4014" s="46" t="s">
        <v>274</v>
      </c>
      <c r="H4014" s="46" t="s">
        <v>5629</v>
      </c>
      <c r="I4014" s="45" t="s">
        <v>205</v>
      </c>
      <c r="J4014" s="46" t="s">
        <v>127</v>
      </c>
      <c r="K4014" s="46" t="s">
        <v>127</v>
      </c>
      <c r="L4014" s="46" t="s">
        <v>15</v>
      </c>
      <c r="M4014" s="46" t="s">
        <v>13</v>
      </c>
      <c r="N4014" s="46" t="s">
        <v>14</v>
      </c>
      <c r="O4014" s="49" t="s">
        <v>814</v>
      </c>
      <c r="P4014" s="49" t="s">
        <v>4910</v>
      </c>
      <c r="Q4014" s="35" t="str">
        <f>MID(Tabla1[[#This Row],[Aplicación]],14,1)</f>
        <v>2</v>
      </c>
      <c r="R4014" s="35" t="s">
        <v>495</v>
      </c>
      <c r="S4014" s="35" t="str">
        <f>MID(Tabla1[[#This Row],[Aplicación]],6,2)</f>
        <v>11</v>
      </c>
      <c r="T4014" s="35" t="str">
        <f>VLOOKUP(Tabla1[[#This Row],[AREA]],Hoja1!A:B,2,FALSE)</f>
        <v>11. Salud pública y seguridad ciudadana</v>
      </c>
      <c r="U4014" s="35" t="str">
        <f>MID(Tabla1[[#This Row],[Aplicación]],9,4)</f>
        <v>1621</v>
      </c>
      <c r="V4014" s="35" t="str">
        <f>VLOOKUP(Tabla1[[#This Row],[PROGRAMA]],Hoja1!A:B,2,FALSE)</f>
        <v>1621. Servicio de limpieza</v>
      </c>
      <c r="W4014" s="35" t="str">
        <f>MID(Tabla1[[#This Row],[Aplicación]],14,2)</f>
        <v>22</v>
      </c>
      <c r="X4014" s="35" t="str">
        <f>MID(Tabla1[[#This Row],[Aplicación]],14,6)</f>
        <v>22199</v>
      </c>
    </row>
    <row r="4015" spans="1:24" x14ac:dyDescent="0.25">
      <c r="A4015" s="45">
        <v>220210036841</v>
      </c>
      <c r="B4015" s="46" t="s">
        <v>9</v>
      </c>
      <c r="C4015" s="47">
        <v>44389</v>
      </c>
      <c r="D4015" s="45">
        <v>22021005180</v>
      </c>
      <c r="E4015" s="46" t="s">
        <v>1660</v>
      </c>
      <c r="F4015" s="48">
        <v>54.99</v>
      </c>
      <c r="G4015" s="46" t="s">
        <v>5630</v>
      </c>
      <c r="H4015" s="46" t="s">
        <v>5631</v>
      </c>
      <c r="I4015" s="45" t="s">
        <v>125</v>
      </c>
      <c r="J4015" s="46" t="s">
        <v>127</v>
      </c>
      <c r="K4015" s="46" t="s">
        <v>127</v>
      </c>
      <c r="L4015" s="46" t="s">
        <v>12</v>
      </c>
      <c r="M4015" s="46" t="s">
        <v>10</v>
      </c>
      <c r="N4015" s="46" t="s">
        <v>11</v>
      </c>
      <c r="O4015" s="49" t="s">
        <v>815</v>
      </c>
      <c r="P4015" s="49" t="s">
        <v>4910</v>
      </c>
      <c r="Q4015" s="35" t="str">
        <f>MID(Tabla1[[#This Row],[Aplicación]],14,1)</f>
        <v>2</v>
      </c>
      <c r="R4015" s="35" t="s">
        <v>495</v>
      </c>
      <c r="S4015" s="35" t="str">
        <f>MID(Tabla1[[#This Row],[Aplicación]],6,2)</f>
        <v>04</v>
      </c>
      <c r="T4015" s="35" t="str">
        <f>VLOOKUP(Tabla1[[#This Row],[AREA]],Hoja1!A:B,2,FALSE)</f>
        <v>04. Planificación y recursos</v>
      </c>
      <c r="U4015" s="35" t="str">
        <f>MID(Tabla1[[#This Row],[Aplicación]],9,4)</f>
        <v>9202</v>
      </c>
      <c r="V4015" s="35" t="str">
        <f>VLOOKUP(Tabla1[[#This Row],[PROGRAMA]],Hoja1!A:B,2,FALSE)</f>
        <v>9202. Gestión de recursos humanos</v>
      </c>
      <c r="W4015" s="35" t="str">
        <f>MID(Tabla1[[#This Row],[Aplicación]],14,2)</f>
        <v>22</v>
      </c>
      <c r="X4015" s="35" t="str">
        <f>MID(Tabla1[[#This Row],[Aplicación]],14,6)</f>
        <v>22607</v>
      </c>
    </row>
    <row r="4016" spans="1:24" x14ac:dyDescent="0.25">
      <c r="A4016" s="45">
        <v>220210051188</v>
      </c>
      <c r="B4016" s="46" t="s">
        <v>204</v>
      </c>
      <c r="C4016" s="47">
        <v>44448</v>
      </c>
      <c r="D4016" s="45">
        <v>22021002132</v>
      </c>
      <c r="E4016" s="46" t="s">
        <v>1180</v>
      </c>
      <c r="F4016" s="48">
        <v>1195.29</v>
      </c>
      <c r="G4016" s="46" t="s">
        <v>4084</v>
      </c>
      <c r="H4016" s="46" t="s">
        <v>5632</v>
      </c>
      <c r="I4016" s="45" t="s">
        <v>205</v>
      </c>
      <c r="J4016" s="46" t="s">
        <v>4086</v>
      </c>
      <c r="K4016" s="46" t="s">
        <v>519</v>
      </c>
      <c r="L4016" s="46" t="s">
        <v>15</v>
      </c>
      <c r="M4016" s="46" t="s">
        <v>13</v>
      </c>
      <c r="N4016" s="46" t="s">
        <v>14</v>
      </c>
      <c r="O4016" s="49" t="s">
        <v>814</v>
      </c>
      <c r="P4016" s="49" t="s">
        <v>4910</v>
      </c>
      <c r="Q4016" s="35" t="str">
        <f>MID(Tabla1[[#This Row],[Aplicación]],14,1)</f>
        <v>2</v>
      </c>
      <c r="R4016" s="35" t="s">
        <v>495</v>
      </c>
      <c r="S4016" s="35" t="str">
        <f>MID(Tabla1[[#This Row],[Aplicación]],6,2)</f>
        <v>08</v>
      </c>
      <c r="T4016" s="35" t="str">
        <f>VLOOKUP(Tabla1[[#This Row],[AREA]],Hoja1!A:B,2,FALSE)</f>
        <v>08. Movilidad y espacio urbano</v>
      </c>
      <c r="U4016" s="35" t="str">
        <f>MID(Tabla1[[#This Row],[Aplicación]],9,4)</f>
        <v>1532</v>
      </c>
      <c r="V4016" s="35" t="str">
        <f>VLOOKUP(Tabla1[[#This Row],[PROGRAMA]],Hoja1!A:B,2,FALSE)</f>
        <v>1532. Pavimentación vias públicas y otros servicios urbanísticos</v>
      </c>
      <c r="W4016" s="35" t="str">
        <f>MID(Tabla1[[#This Row],[Aplicación]],14,2)</f>
        <v>21</v>
      </c>
      <c r="X4016" s="35" t="str">
        <f>MID(Tabla1[[#This Row],[Aplicación]],14,6)</f>
        <v>210</v>
      </c>
    </row>
    <row r="4017" spans="1:24" x14ac:dyDescent="0.25">
      <c r="A4017" s="45">
        <v>220210051249</v>
      </c>
      <c r="B4017" s="46" t="s">
        <v>9</v>
      </c>
      <c r="C4017" s="47">
        <v>44448</v>
      </c>
      <c r="D4017" s="45">
        <v>22021006286</v>
      </c>
      <c r="E4017" s="46" t="s">
        <v>1487</v>
      </c>
      <c r="F4017" s="48">
        <v>284.04000000000002</v>
      </c>
      <c r="G4017" s="46" t="s">
        <v>2262</v>
      </c>
      <c r="H4017" s="46" t="s">
        <v>5633</v>
      </c>
      <c r="I4017" s="45" t="s">
        <v>125</v>
      </c>
      <c r="J4017" s="46" t="s">
        <v>127</v>
      </c>
      <c r="K4017" s="46" t="s">
        <v>127</v>
      </c>
      <c r="L4017" s="46" t="s">
        <v>12</v>
      </c>
      <c r="M4017" s="46" t="s">
        <v>13</v>
      </c>
      <c r="N4017" s="46" t="s">
        <v>11</v>
      </c>
      <c r="O4017" s="49" t="s">
        <v>803</v>
      </c>
      <c r="P4017" s="49" t="s">
        <v>4910</v>
      </c>
      <c r="Q4017" s="35" t="str">
        <f>MID(Tabla1[[#This Row],[Aplicación]],14,1)</f>
        <v>6</v>
      </c>
      <c r="R4017" s="35" t="s">
        <v>496</v>
      </c>
      <c r="S4017" s="35" t="str">
        <f>MID(Tabla1[[#This Row],[Aplicación]],6,2)</f>
        <v>08</v>
      </c>
      <c r="T4017" s="35" t="str">
        <f>VLOOKUP(Tabla1[[#This Row],[AREA]],Hoja1!A:B,2,FALSE)</f>
        <v>08. Movilidad y espacio urbano</v>
      </c>
      <c r="U4017" s="35" t="str">
        <f>MID(Tabla1[[#This Row],[Aplicación]],9,4)</f>
        <v>1532</v>
      </c>
      <c r="V4017" s="35" t="str">
        <f>VLOOKUP(Tabla1[[#This Row],[PROGRAMA]],Hoja1!A:B,2,FALSE)</f>
        <v>1532. Pavimentación vias públicas y otros servicios urbanísticos</v>
      </c>
      <c r="W4017" s="35" t="str">
        <f>MID(Tabla1[[#This Row],[Aplicación]],14,2)</f>
        <v>61</v>
      </c>
      <c r="X4017" s="35" t="str">
        <f>MID(Tabla1[[#This Row],[Aplicación]],14,6)</f>
        <v>619</v>
      </c>
    </row>
    <row r="4018" spans="1:24" x14ac:dyDescent="0.25">
      <c r="A4018" s="45">
        <v>220210044261</v>
      </c>
      <c r="B4018" s="46" t="s">
        <v>9</v>
      </c>
      <c r="C4018" s="47">
        <v>44406</v>
      </c>
      <c r="D4018" s="45">
        <v>22021005877</v>
      </c>
      <c r="E4018" s="46" t="s">
        <v>4911</v>
      </c>
      <c r="F4018" s="48">
        <v>6023.27</v>
      </c>
      <c r="G4018" s="46" t="s">
        <v>5634</v>
      </c>
      <c r="H4018" s="46" t="s">
        <v>5635</v>
      </c>
      <c r="I4018" s="45" t="s">
        <v>125</v>
      </c>
      <c r="J4018" s="46" t="s">
        <v>127</v>
      </c>
      <c r="K4018" s="46" t="s">
        <v>127</v>
      </c>
      <c r="L4018" s="46" t="s">
        <v>12</v>
      </c>
      <c r="M4018" s="46" t="s">
        <v>10</v>
      </c>
      <c r="N4018" s="46" t="s">
        <v>11</v>
      </c>
      <c r="O4018" s="49" t="s">
        <v>815</v>
      </c>
      <c r="P4018" s="49" t="s">
        <v>4910</v>
      </c>
      <c r="Q4018" s="35" t="str">
        <f>MID(Tabla1[[#This Row],[Aplicación]],14,1)</f>
        <v>6</v>
      </c>
      <c r="R4018" s="35" t="s">
        <v>496</v>
      </c>
      <c r="S4018" s="35" t="str">
        <f>MID(Tabla1[[#This Row],[Aplicación]],6,2)</f>
        <v>09</v>
      </c>
      <c r="T4018" s="35" t="str">
        <f>VLOOKUP(Tabla1[[#This Row],[AREA]],Hoja1!A:B,2,FALSE)</f>
        <v>09. Cultura y turismo</v>
      </c>
      <c r="U4018" s="35" t="str">
        <f>MID(Tabla1[[#This Row],[Aplicación]],9,4)</f>
        <v>3341</v>
      </c>
      <c r="V4018" s="35" t="str">
        <f>VLOOKUP(Tabla1[[#This Row],[PROGRAMA]],Hoja1!A:B,2,FALSE)</f>
        <v>3341. Coordinación de políticas culturales</v>
      </c>
      <c r="W4018" s="35" t="str">
        <f>MID(Tabla1[[#This Row],[Aplicación]],14,2)</f>
        <v>63</v>
      </c>
      <c r="X4018" s="35" t="str">
        <f>MID(Tabla1[[#This Row],[Aplicación]],14,6)</f>
        <v>632</v>
      </c>
    </row>
    <row r="4019" spans="1:24" x14ac:dyDescent="0.25">
      <c r="A4019" s="45">
        <v>220210054485</v>
      </c>
      <c r="B4019" s="46" t="s">
        <v>9</v>
      </c>
      <c r="C4019" s="47">
        <v>44453</v>
      </c>
      <c r="D4019" s="45">
        <v>22021006419</v>
      </c>
      <c r="E4019" s="46" t="s">
        <v>3333</v>
      </c>
      <c r="F4019" s="48">
        <v>150</v>
      </c>
      <c r="G4019" s="46" t="s">
        <v>5383</v>
      </c>
      <c r="H4019" s="46" t="s">
        <v>5636</v>
      </c>
      <c r="I4019" s="45" t="s">
        <v>125</v>
      </c>
      <c r="J4019" s="46" t="s">
        <v>136</v>
      </c>
      <c r="K4019" s="46" t="s">
        <v>136</v>
      </c>
      <c r="L4019" s="46" t="s">
        <v>12</v>
      </c>
      <c r="M4019" s="46" t="s">
        <v>10</v>
      </c>
      <c r="N4019" s="46" t="s">
        <v>11</v>
      </c>
      <c r="O4019" s="49" t="s">
        <v>815</v>
      </c>
      <c r="P4019" s="49" t="s">
        <v>4910</v>
      </c>
      <c r="Q4019" s="35" t="str">
        <f>MID(Tabla1[[#This Row],[Aplicación]],14,1)</f>
        <v>2</v>
      </c>
      <c r="R4019" s="35" t="s">
        <v>495</v>
      </c>
      <c r="S4019" s="35" t="str">
        <f>MID(Tabla1[[#This Row],[Aplicación]],6,2)</f>
        <v>10</v>
      </c>
      <c r="T4019" s="35" t="str">
        <f>VLOOKUP(Tabla1[[#This Row],[AREA]],Hoja1!A:B,2,FALSE)</f>
        <v>10. Servicios sociales y mediación comunitaria</v>
      </c>
      <c r="U4019" s="35" t="str">
        <f>MID(Tabla1[[#This Row],[Aplicación]],9,4)</f>
        <v>2316</v>
      </c>
      <c r="V4019" s="35" t="str">
        <f>VLOOKUP(Tabla1[[#This Row],[PROGRAMA]],Hoja1!A:B,2,FALSE)</f>
        <v>2316. Mediación comunitaria</v>
      </c>
      <c r="W4019" s="35" t="str">
        <f>MID(Tabla1[[#This Row],[Aplicación]],14,2)</f>
        <v>22</v>
      </c>
      <c r="X4019" s="35" t="str">
        <f>MID(Tabla1[[#This Row],[Aplicación]],14,6)</f>
        <v>22616</v>
      </c>
    </row>
    <row r="4020" spans="1:24" x14ac:dyDescent="0.25">
      <c r="A4020" s="45">
        <v>220210043808</v>
      </c>
      <c r="B4020" s="46" t="s">
        <v>9</v>
      </c>
      <c r="C4020" s="47">
        <v>44404</v>
      </c>
      <c r="D4020" s="45">
        <v>22021005809</v>
      </c>
      <c r="E4020" s="46" t="s">
        <v>823</v>
      </c>
      <c r="F4020" s="48">
        <v>499.4</v>
      </c>
      <c r="G4020" s="46" t="s">
        <v>5637</v>
      </c>
      <c r="H4020" s="46" t="s">
        <v>5638</v>
      </c>
      <c r="I4020" s="45" t="s">
        <v>125</v>
      </c>
      <c r="J4020" s="46" t="s">
        <v>5639</v>
      </c>
      <c r="K4020" s="46" t="s">
        <v>5640</v>
      </c>
      <c r="L4020" s="46" t="s">
        <v>12</v>
      </c>
      <c r="M4020" s="46" t="s">
        <v>10</v>
      </c>
      <c r="N4020" s="46" t="s">
        <v>11</v>
      </c>
      <c r="O4020" s="49" t="s">
        <v>815</v>
      </c>
      <c r="P4020" s="49" t="s">
        <v>4910</v>
      </c>
      <c r="Q4020" s="35" t="str">
        <f>MID(Tabla1[[#This Row],[Aplicación]],14,1)</f>
        <v>2</v>
      </c>
      <c r="R4020" s="35" t="s">
        <v>495</v>
      </c>
      <c r="S4020" s="35" t="str">
        <f>MID(Tabla1[[#This Row],[Aplicación]],6,2)</f>
        <v>03</v>
      </c>
      <c r="T4020" s="35" t="str">
        <f>VLOOKUP(Tabla1[[#This Row],[AREA]],Hoja1!A:B,2,FALSE)</f>
        <v>03. Participación ciudadana y deportes</v>
      </c>
      <c r="U4020" s="35" t="str">
        <f>MID(Tabla1[[#This Row],[Aplicación]],9,4)</f>
        <v>9241</v>
      </c>
      <c r="V4020" s="35" t="str">
        <f>VLOOKUP(Tabla1[[#This Row],[PROGRAMA]],Hoja1!A:B,2,FALSE)</f>
        <v>9241. Participación ciudadana</v>
      </c>
      <c r="W4020" s="35" t="str">
        <f>MID(Tabla1[[#This Row],[Aplicación]],14,2)</f>
        <v>22</v>
      </c>
      <c r="X4020" s="35" t="str">
        <f>MID(Tabla1[[#This Row],[Aplicación]],14,6)</f>
        <v>22609</v>
      </c>
    </row>
    <row r="4021" spans="1:24" x14ac:dyDescent="0.25">
      <c r="A4021" s="45">
        <v>220210039399</v>
      </c>
      <c r="B4021" s="46" t="s">
        <v>9</v>
      </c>
      <c r="C4021" s="47">
        <v>44392</v>
      </c>
      <c r="D4021" s="45">
        <v>22021005573</v>
      </c>
      <c r="E4021" s="46" t="s">
        <v>2992</v>
      </c>
      <c r="F4021" s="48">
        <v>6655</v>
      </c>
      <c r="G4021" s="46" t="s">
        <v>3491</v>
      </c>
      <c r="H4021" s="46" t="s">
        <v>5641</v>
      </c>
      <c r="I4021" s="45" t="s">
        <v>125</v>
      </c>
      <c r="J4021" s="46" t="s">
        <v>127</v>
      </c>
      <c r="K4021" s="46" t="s">
        <v>127</v>
      </c>
      <c r="L4021" s="46" t="s">
        <v>12</v>
      </c>
      <c r="M4021" s="46" t="s">
        <v>10</v>
      </c>
      <c r="N4021" s="46" t="s">
        <v>11</v>
      </c>
      <c r="O4021" s="49" t="s">
        <v>815</v>
      </c>
      <c r="P4021" s="49" t="s">
        <v>4910</v>
      </c>
      <c r="Q4021" s="35" t="str">
        <f>MID(Tabla1[[#This Row],[Aplicación]],14,1)</f>
        <v>2</v>
      </c>
      <c r="R4021" s="35" t="s">
        <v>495</v>
      </c>
      <c r="S4021" s="35" t="str">
        <f>MID(Tabla1[[#This Row],[Aplicación]],6,2)</f>
        <v>05</v>
      </c>
      <c r="T4021" s="35" t="str">
        <f>VLOOKUP(Tabla1[[#This Row],[AREA]],Hoja1!A:B,2,FALSE)</f>
        <v>05. Innovación, desarrollo económico, empleo y comercio</v>
      </c>
      <c r="U4021" s="35" t="str">
        <f>MID(Tabla1[[#This Row],[Aplicación]],9,4)</f>
        <v>4314</v>
      </c>
      <c r="V4021" s="35" t="str">
        <f>VLOOKUP(Tabla1[[#This Row],[PROGRAMA]],Hoja1!A:B,2,FALSE)</f>
        <v>4314. Fomento del comercio</v>
      </c>
      <c r="W4021" s="35" t="str">
        <f>MID(Tabla1[[#This Row],[Aplicación]],14,2)</f>
        <v>22</v>
      </c>
      <c r="X4021" s="35" t="str">
        <f>MID(Tabla1[[#This Row],[Aplicación]],14,6)</f>
        <v>22706</v>
      </c>
    </row>
    <row r="4022" spans="1:24" x14ac:dyDescent="0.25">
      <c r="A4022" s="45">
        <v>220210056352</v>
      </c>
      <c r="B4022" s="46" t="s">
        <v>9</v>
      </c>
      <c r="C4022" s="47">
        <v>44454</v>
      </c>
      <c r="D4022" s="45">
        <v>22021006363</v>
      </c>
      <c r="E4022" s="46" t="s">
        <v>1724</v>
      </c>
      <c r="F4022" s="48">
        <v>265.51</v>
      </c>
      <c r="G4022" s="46" t="s">
        <v>2262</v>
      </c>
      <c r="H4022" s="46" t="s">
        <v>5642</v>
      </c>
      <c r="I4022" s="45" t="s">
        <v>125</v>
      </c>
      <c r="J4022" s="46" t="s">
        <v>127</v>
      </c>
      <c r="K4022" s="46" t="s">
        <v>127</v>
      </c>
      <c r="L4022" s="46" t="s">
        <v>12</v>
      </c>
      <c r="M4022" s="46" t="s">
        <v>13</v>
      </c>
      <c r="N4022" s="46" t="s">
        <v>14</v>
      </c>
      <c r="O4022" s="49" t="s">
        <v>803</v>
      </c>
      <c r="P4022" s="49" t="s">
        <v>4910</v>
      </c>
      <c r="Q4022" s="35" t="str">
        <f>MID(Tabla1[[#This Row],[Aplicación]],14,1)</f>
        <v>6</v>
      </c>
      <c r="R4022" s="35" t="s">
        <v>496</v>
      </c>
      <c r="S4022" s="35" t="str">
        <f>MID(Tabla1[[#This Row],[Aplicación]],6,2)</f>
        <v>07</v>
      </c>
      <c r="T4022" s="35" t="str">
        <f>VLOOKUP(Tabla1[[#This Row],[AREA]],Hoja1!A:B,2,FALSE)</f>
        <v>07. Medio ambiente y desarrollo sostenible</v>
      </c>
      <c r="U4022" s="35" t="str">
        <f>MID(Tabla1[[#This Row],[Aplicación]],9,4)</f>
        <v>1711</v>
      </c>
      <c r="V4022" s="35" t="str">
        <f>VLOOKUP(Tabla1[[#This Row],[PROGRAMA]],Hoja1!A:B,2,FALSE)</f>
        <v>1711. Parques y jardines</v>
      </c>
      <c r="W4022" s="35" t="str">
        <f>MID(Tabla1[[#This Row],[Aplicación]],14,2)</f>
        <v>61</v>
      </c>
      <c r="X4022" s="35" t="str">
        <f>MID(Tabla1[[#This Row],[Aplicación]],14,6)</f>
        <v>619</v>
      </c>
    </row>
    <row r="4023" spans="1:24" x14ac:dyDescent="0.25">
      <c r="A4023" s="45">
        <v>220210054491</v>
      </c>
      <c r="B4023" s="46" t="s">
        <v>9</v>
      </c>
      <c r="C4023" s="47">
        <v>44453</v>
      </c>
      <c r="D4023" s="45">
        <v>22021006399</v>
      </c>
      <c r="E4023" s="46" t="s">
        <v>886</v>
      </c>
      <c r="F4023" s="48">
        <v>145.19999999999999</v>
      </c>
      <c r="G4023" s="46" t="s">
        <v>53</v>
      </c>
      <c r="H4023" s="46" t="s">
        <v>5643</v>
      </c>
      <c r="I4023" s="45" t="s">
        <v>125</v>
      </c>
      <c r="J4023" s="46" t="s">
        <v>127</v>
      </c>
      <c r="K4023" s="46" t="s">
        <v>127</v>
      </c>
      <c r="L4023" s="46" t="s">
        <v>12</v>
      </c>
      <c r="M4023" s="46" t="s">
        <v>10</v>
      </c>
      <c r="N4023" s="46" t="s">
        <v>11</v>
      </c>
      <c r="O4023" s="49" t="s">
        <v>815</v>
      </c>
      <c r="P4023" s="49" t="s">
        <v>4910</v>
      </c>
      <c r="Q4023" s="35" t="str">
        <f>MID(Tabla1[[#This Row],[Aplicación]],14,1)</f>
        <v>2</v>
      </c>
      <c r="R4023" s="35" t="s">
        <v>495</v>
      </c>
      <c r="S4023" s="35" t="str">
        <f>MID(Tabla1[[#This Row],[Aplicación]],6,2)</f>
        <v>10</v>
      </c>
      <c r="T4023" s="35" t="str">
        <f>VLOOKUP(Tabla1[[#This Row],[AREA]],Hoja1!A:B,2,FALSE)</f>
        <v>10. Servicios sociales y mediación comunitaria</v>
      </c>
      <c r="U4023" s="35" t="str">
        <f>MID(Tabla1[[#This Row],[Aplicación]],9,4)</f>
        <v>2311</v>
      </c>
      <c r="V4023" s="35" t="str">
        <f>VLOOKUP(Tabla1[[#This Row],[PROGRAMA]],Hoja1!A:B,2,FALSE)</f>
        <v>2311. Intervención social</v>
      </c>
      <c r="W4023" s="35" t="str">
        <f>MID(Tabla1[[#This Row],[Aplicación]],14,2)</f>
        <v>21</v>
      </c>
      <c r="X4023" s="35" t="str">
        <f>MID(Tabla1[[#This Row],[Aplicación]],14,6)</f>
        <v>213</v>
      </c>
    </row>
    <row r="4024" spans="1:24" x14ac:dyDescent="0.25">
      <c r="A4024" s="45">
        <v>220210043813</v>
      </c>
      <c r="B4024" s="46" t="s">
        <v>9</v>
      </c>
      <c r="C4024" s="47">
        <v>44404</v>
      </c>
      <c r="D4024" s="45">
        <v>22021005793</v>
      </c>
      <c r="E4024" s="46" t="s">
        <v>1761</v>
      </c>
      <c r="F4024" s="48">
        <v>200</v>
      </c>
      <c r="G4024" s="46" t="s">
        <v>5644</v>
      </c>
      <c r="H4024" s="46" t="s">
        <v>5645</v>
      </c>
      <c r="I4024" s="45" t="s">
        <v>125</v>
      </c>
      <c r="J4024" s="46" t="s">
        <v>127</v>
      </c>
      <c r="K4024" s="46" t="s">
        <v>127</v>
      </c>
      <c r="L4024" s="46" t="s">
        <v>15</v>
      </c>
      <c r="M4024" s="46" t="s">
        <v>10</v>
      </c>
      <c r="N4024" s="46" t="s">
        <v>11</v>
      </c>
      <c r="O4024" s="49" t="s">
        <v>815</v>
      </c>
      <c r="P4024" s="49" t="s">
        <v>4910</v>
      </c>
      <c r="Q4024" s="35" t="str">
        <f>MID(Tabla1[[#This Row],[Aplicación]],14,1)</f>
        <v>2</v>
      </c>
      <c r="R4024" s="35" t="s">
        <v>495</v>
      </c>
      <c r="S4024" s="35" t="str">
        <f>MID(Tabla1[[#This Row],[Aplicación]],6,2)</f>
        <v>03</v>
      </c>
      <c r="T4024" s="35" t="str">
        <f>VLOOKUP(Tabla1[[#This Row],[AREA]],Hoja1!A:B,2,FALSE)</f>
        <v>03. Participación ciudadana y deportes</v>
      </c>
      <c r="U4024" s="35" t="str">
        <f>MID(Tabla1[[#This Row],[Aplicación]],9,4)</f>
        <v>9241</v>
      </c>
      <c r="V4024" s="35" t="str">
        <f>VLOOKUP(Tabla1[[#This Row],[PROGRAMA]],Hoja1!A:B,2,FALSE)</f>
        <v>9241. Participación ciudadana</v>
      </c>
      <c r="W4024" s="35" t="str">
        <f>MID(Tabla1[[#This Row],[Aplicación]],14,2)</f>
        <v>22</v>
      </c>
      <c r="X4024" s="35" t="str">
        <f>MID(Tabla1[[#This Row],[Aplicación]],14,6)</f>
        <v>22199</v>
      </c>
    </row>
    <row r="4025" spans="1:24" x14ac:dyDescent="0.25">
      <c r="A4025" s="45">
        <v>220210045543</v>
      </c>
      <c r="B4025" s="46" t="s">
        <v>9</v>
      </c>
      <c r="C4025" s="47">
        <v>44414</v>
      </c>
      <c r="D4025" s="45">
        <v>22021005783</v>
      </c>
      <c r="E4025" s="46" t="s">
        <v>1175</v>
      </c>
      <c r="F4025" s="48">
        <v>7260</v>
      </c>
      <c r="G4025" s="46" t="s">
        <v>5646</v>
      </c>
      <c r="H4025" s="46" t="s">
        <v>5647</v>
      </c>
      <c r="I4025" s="45" t="s">
        <v>125</v>
      </c>
      <c r="J4025" s="46" t="s">
        <v>752</v>
      </c>
      <c r="K4025" s="46" t="s">
        <v>127</v>
      </c>
      <c r="L4025" s="46" t="s">
        <v>12</v>
      </c>
      <c r="M4025" s="46" t="s">
        <v>10</v>
      </c>
      <c r="N4025" s="46" t="s">
        <v>11</v>
      </c>
      <c r="O4025" s="49" t="s">
        <v>815</v>
      </c>
      <c r="P4025" s="49" t="s">
        <v>4910</v>
      </c>
      <c r="Q4025" s="35" t="str">
        <f>MID(Tabla1[[#This Row],[Aplicación]],14,1)</f>
        <v>2</v>
      </c>
      <c r="R4025" s="35" t="s">
        <v>495</v>
      </c>
      <c r="S4025" s="35" t="str">
        <f>MID(Tabla1[[#This Row],[Aplicación]],6,2)</f>
        <v>06</v>
      </c>
      <c r="T4025" s="35" t="str">
        <f>VLOOKUP(Tabla1[[#This Row],[AREA]],Hoja1!A:B,2,FALSE)</f>
        <v>06. Educación, infancia, juventud e igualdad</v>
      </c>
      <c r="U4025" s="35" t="str">
        <f>MID(Tabla1[[#This Row],[Aplicación]],9,4)</f>
        <v>2314</v>
      </c>
      <c r="V4025" s="35" t="str">
        <f>VLOOKUP(Tabla1[[#This Row],[PROGRAMA]],Hoja1!A:B,2,FALSE)</f>
        <v>2314. Centro de programas juveniles</v>
      </c>
      <c r="W4025" s="35" t="str">
        <f>MID(Tabla1[[#This Row],[Aplicación]],14,2)</f>
        <v>22</v>
      </c>
      <c r="X4025" s="35" t="str">
        <f>MID(Tabla1[[#This Row],[Aplicación]],14,6)</f>
        <v>22799</v>
      </c>
    </row>
    <row r="4026" spans="1:24" x14ac:dyDescent="0.25">
      <c r="A4026" s="45">
        <v>220210036875</v>
      </c>
      <c r="B4026" s="46" t="s">
        <v>9</v>
      </c>
      <c r="C4026" s="47">
        <v>44390</v>
      </c>
      <c r="D4026" s="45">
        <v>22021005653</v>
      </c>
      <c r="E4026" s="46" t="s">
        <v>2849</v>
      </c>
      <c r="F4026" s="48">
        <v>1250</v>
      </c>
      <c r="G4026" s="46" t="s">
        <v>5648</v>
      </c>
      <c r="H4026" s="46" t="s">
        <v>5649</v>
      </c>
      <c r="I4026" s="45" t="s">
        <v>125</v>
      </c>
      <c r="J4026" s="46" t="s">
        <v>127</v>
      </c>
      <c r="K4026" s="46" t="s">
        <v>127</v>
      </c>
      <c r="L4026" s="46" t="s">
        <v>12</v>
      </c>
      <c r="M4026" s="46" t="s">
        <v>13</v>
      </c>
      <c r="N4026" s="46" t="s">
        <v>14</v>
      </c>
      <c r="O4026" s="49" t="s">
        <v>814</v>
      </c>
      <c r="P4026" s="49" t="s">
        <v>4910</v>
      </c>
      <c r="Q4026" s="35" t="str">
        <f>MID(Tabla1[[#This Row],[Aplicación]],14,1)</f>
        <v>2</v>
      </c>
      <c r="R4026" s="35" t="s">
        <v>495</v>
      </c>
      <c r="S4026" s="35" t="str">
        <f>MID(Tabla1[[#This Row],[Aplicación]],6,2)</f>
        <v>03</v>
      </c>
      <c r="T4026" s="35" t="str">
        <f>VLOOKUP(Tabla1[[#This Row],[AREA]],Hoja1!A:B,2,FALSE)</f>
        <v>03. Participación ciudadana y deportes</v>
      </c>
      <c r="U4026" s="35" t="str">
        <f>MID(Tabla1[[#This Row],[Aplicación]],9,4)</f>
        <v>9200</v>
      </c>
      <c r="V4026" s="35" t="str">
        <f>VLOOKUP(Tabla1[[#This Row],[PROGRAMA]],Hoja1!A:B,2,FALSE)</f>
        <v>9200. Dirección del area de participación ciudadana</v>
      </c>
      <c r="W4026" s="35" t="str">
        <f>MID(Tabla1[[#This Row],[Aplicación]],14,2)</f>
        <v>22</v>
      </c>
      <c r="X4026" s="35" t="str">
        <f>MID(Tabla1[[#This Row],[Aplicación]],14,6)</f>
        <v>22602</v>
      </c>
    </row>
    <row r="4027" spans="1:24" x14ac:dyDescent="0.25">
      <c r="A4027" s="45">
        <v>220210037249</v>
      </c>
      <c r="B4027" s="46" t="s">
        <v>9</v>
      </c>
      <c r="C4027" s="47">
        <v>44391</v>
      </c>
      <c r="D4027" s="45">
        <v>22021004904</v>
      </c>
      <c r="E4027" s="46" t="s">
        <v>1819</v>
      </c>
      <c r="F4027" s="48">
        <v>11495</v>
      </c>
      <c r="G4027" s="46" t="s">
        <v>149</v>
      </c>
      <c r="H4027" s="46" t="s">
        <v>5650</v>
      </c>
      <c r="I4027" s="45" t="s">
        <v>125</v>
      </c>
      <c r="J4027" s="46" t="s">
        <v>619</v>
      </c>
      <c r="K4027" s="46" t="s">
        <v>127</v>
      </c>
      <c r="L4027" s="46" t="s">
        <v>12</v>
      </c>
      <c r="M4027" s="46" t="s">
        <v>10</v>
      </c>
      <c r="N4027" s="46" t="s">
        <v>11</v>
      </c>
      <c r="O4027" s="49" t="s">
        <v>815</v>
      </c>
      <c r="P4027" s="49" t="s">
        <v>4910</v>
      </c>
      <c r="Q4027" s="35" t="str">
        <f>MID(Tabla1[[#This Row],[Aplicación]],14,1)</f>
        <v>2</v>
      </c>
      <c r="R4027" s="35" t="s">
        <v>495</v>
      </c>
      <c r="S4027" s="35" t="str">
        <f>MID(Tabla1[[#This Row],[Aplicación]],6,2)</f>
        <v>10</v>
      </c>
      <c r="T4027" s="35" t="str">
        <f>VLOOKUP(Tabla1[[#This Row],[AREA]],Hoja1!A:B,2,FALSE)</f>
        <v>10. Servicios sociales y mediación comunitaria</v>
      </c>
      <c r="U4027" s="35" t="str">
        <f>MID(Tabla1[[#This Row],[Aplicación]],9,4)</f>
        <v>2316</v>
      </c>
      <c r="V4027" s="35" t="str">
        <f>VLOOKUP(Tabla1[[#This Row],[PROGRAMA]],Hoja1!A:B,2,FALSE)</f>
        <v>2316. Mediación comunitaria</v>
      </c>
      <c r="W4027" s="35" t="str">
        <f>MID(Tabla1[[#This Row],[Aplicación]],14,2)</f>
        <v>22</v>
      </c>
      <c r="X4027" s="35" t="str">
        <f>MID(Tabla1[[#This Row],[Aplicación]],14,6)</f>
        <v>22799</v>
      </c>
    </row>
    <row r="4028" spans="1:24" x14ac:dyDescent="0.25">
      <c r="A4028" s="45">
        <v>220210046279</v>
      </c>
      <c r="B4028" s="46" t="s">
        <v>9</v>
      </c>
      <c r="C4028" s="47">
        <v>44419</v>
      </c>
      <c r="D4028" s="45">
        <v>22021005918</v>
      </c>
      <c r="E4028" s="46" t="s">
        <v>1471</v>
      </c>
      <c r="F4028" s="48">
        <v>15860.93</v>
      </c>
      <c r="G4028" s="46" t="s">
        <v>3815</v>
      </c>
      <c r="H4028" s="46" t="s">
        <v>5651</v>
      </c>
      <c r="I4028" s="45" t="s">
        <v>125</v>
      </c>
      <c r="J4028" s="46" t="s">
        <v>127</v>
      </c>
      <c r="K4028" s="46" t="s">
        <v>127</v>
      </c>
      <c r="L4028" s="46" t="s">
        <v>31</v>
      </c>
      <c r="M4028" s="46" t="s">
        <v>10</v>
      </c>
      <c r="N4028" s="46" t="s">
        <v>11</v>
      </c>
      <c r="O4028" s="49" t="s">
        <v>815</v>
      </c>
      <c r="P4028" s="49" t="s">
        <v>4910</v>
      </c>
      <c r="Q4028" s="35" t="str">
        <f>MID(Tabla1[[#This Row],[Aplicación]],14,1)</f>
        <v>2</v>
      </c>
      <c r="R4028" s="35" t="s">
        <v>495</v>
      </c>
      <c r="S4028" s="35" t="str">
        <f>MID(Tabla1[[#This Row],[Aplicación]],6,2)</f>
        <v>06</v>
      </c>
      <c r="T4028" s="35" t="str">
        <f>VLOOKUP(Tabla1[[#This Row],[AREA]],Hoja1!A:B,2,FALSE)</f>
        <v>06. Educación, infancia, juventud e igualdad</v>
      </c>
      <c r="U4028" s="35" t="str">
        <f>MID(Tabla1[[#This Row],[Aplicación]],9,4)</f>
        <v>3232</v>
      </c>
      <c r="V4028" s="35" t="str">
        <f>VLOOKUP(Tabla1[[#This Row],[PROGRAMA]],Hoja1!A:B,2,FALSE)</f>
        <v>3232. Conservación y mantenimiento centros educación infantil y primaria</v>
      </c>
      <c r="W4028" s="35" t="str">
        <f>MID(Tabla1[[#This Row],[Aplicación]],14,2)</f>
        <v>21</v>
      </c>
      <c r="X4028" s="35" t="str">
        <f>MID(Tabla1[[#This Row],[Aplicación]],14,6)</f>
        <v>212</v>
      </c>
    </row>
    <row r="4029" spans="1:24" x14ac:dyDescent="0.25">
      <c r="A4029" s="45">
        <v>220210048517</v>
      </c>
      <c r="B4029" s="46" t="s">
        <v>9</v>
      </c>
      <c r="C4029" s="47">
        <v>44428</v>
      </c>
      <c r="D4029" s="45">
        <v>22021004921</v>
      </c>
      <c r="E4029" s="46" t="s">
        <v>1175</v>
      </c>
      <c r="F4029" s="48">
        <v>140.79</v>
      </c>
      <c r="G4029" s="46" t="s">
        <v>1597</v>
      </c>
      <c r="H4029" s="46" t="s">
        <v>5652</v>
      </c>
      <c r="I4029" s="45" t="s">
        <v>125</v>
      </c>
      <c r="J4029" s="46" t="s">
        <v>127</v>
      </c>
      <c r="K4029" s="46" t="s">
        <v>127</v>
      </c>
      <c r="L4029" s="46" t="s">
        <v>12</v>
      </c>
      <c r="M4029" s="46" t="s">
        <v>10</v>
      </c>
      <c r="N4029" s="46" t="s">
        <v>11</v>
      </c>
      <c r="O4029" s="49" t="s">
        <v>815</v>
      </c>
      <c r="P4029" s="49" t="s">
        <v>4910</v>
      </c>
      <c r="Q4029" s="35" t="str">
        <f>MID(Tabla1[[#This Row],[Aplicación]],14,1)</f>
        <v>2</v>
      </c>
      <c r="R4029" s="35" t="s">
        <v>495</v>
      </c>
      <c r="S4029" s="35" t="str">
        <f>MID(Tabla1[[#This Row],[Aplicación]],6,2)</f>
        <v>06</v>
      </c>
      <c r="T4029" s="35" t="str">
        <f>VLOOKUP(Tabla1[[#This Row],[AREA]],Hoja1!A:B,2,FALSE)</f>
        <v>06. Educación, infancia, juventud e igualdad</v>
      </c>
      <c r="U4029" s="35" t="str">
        <f>MID(Tabla1[[#This Row],[Aplicación]],9,4)</f>
        <v>2314</v>
      </c>
      <c r="V4029" s="35" t="str">
        <f>VLOOKUP(Tabla1[[#This Row],[PROGRAMA]],Hoja1!A:B,2,FALSE)</f>
        <v>2314. Centro de programas juveniles</v>
      </c>
      <c r="W4029" s="35" t="str">
        <f>MID(Tabla1[[#This Row],[Aplicación]],14,2)</f>
        <v>22</v>
      </c>
      <c r="X4029" s="35" t="str">
        <f>MID(Tabla1[[#This Row],[Aplicación]],14,6)</f>
        <v>22799</v>
      </c>
    </row>
    <row r="4030" spans="1:24" x14ac:dyDescent="0.25">
      <c r="A4030" s="45">
        <v>220210051241</v>
      </c>
      <c r="B4030" s="46" t="s">
        <v>9</v>
      </c>
      <c r="C4030" s="47">
        <v>44448</v>
      </c>
      <c r="D4030" s="45">
        <v>22021006435</v>
      </c>
      <c r="E4030" s="46" t="s">
        <v>1478</v>
      </c>
      <c r="F4030" s="48">
        <v>128.91</v>
      </c>
      <c r="G4030" s="46" t="s">
        <v>91</v>
      </c>
      <c r="H4030" s="46" t="s">
        <v>5653</v>
      </c>
      <c r="I4030" s="45" t="s">
        <v>125</v>
      </c>
      <c r="J4030" s="46" t="s">
        <v>127</v>
      </c>
      <c r="K4030" s="46" t="s">
        <v>127</v>
      </c>
      <c r="L4030" s="46" t="s">
        <v>15</v>
      </c>
      <c r="M4030" s="46" t="s">
        <v>10</v>
      </c>
      <c r="N4030" s="46" t="s">
        <v>11</v>
      </c>
      <c r="O4030" s="49" t="s">
        <v>815</v>
      </c>
      <c r="P4030" s="49" t="s">
        <v>4910</v>
      </c>
      <c r="Q4030" s="35" t="str">
        <f>MID(Tabla1[[#This Row],[Aplicación]],14,1)</f>
        <v>2</v>
      </c>
      <c r="R4030" s="35" t="s">
        <v>495</v>
      </c>
      <c r="S4030" s="35" t="str">
        <f>MID(Tabla1[[#This Row],[Aplicación]],6,2)</f>
        <v>03</v>
      </c>
      <c r="T4030" s="35" t="str">
        <f>VLOOKUP(Tabla1[[#This Row],[AREA]],Hoja1!A:B,2,FALSE)</f>
        <v>03. Participación ciudadana y deportes</v>
      </c>
      <c r="U4030" s="35" t="str">
        <f>MID(Tabla1[[#This Row],[Aplicación]],9,4)</f>
        <v>9241</v>
      </c>
      <c r="V4030" s="35" t="str">
        <f>VLOOKUP(Tabla1[[#This Row],[PROGRAMA]],Hoja1!A:B,2,FALSE)</f>
        <v>9241. Participación ciudadana</v>
      </c>
      <c r="W4030" s="35" t="str">
        <f>MID(Tabla1[[#This Row],[Aplicación]],14,2)</f>
        <v>21</v>
      </c>
      <c r="X4030" s="35" t="str">
        <f>MID(Tabla1[[#This Row],[Aplicación]],14,6)</f>
        <v>212</v>
      </c>
    </row>
    <row r="4031" spans="1:24" x14ac:dyDescent="0.25">
      <c r="A4031" s="45">
        <v>220210043791</v>
      </c>
      <c r="B4031" s="46" t="s">
        <v>204</v>
      </c>
      <c r="C4031" s="47">
        <v>44404</v>
      </c>
      <c r="D4031" s="45">
        <v>22021003312</v>
      </c>
      <c r="E4031" s="46" t="s">
        <v>827</v>
      </c>
      <c r="F4031" s="48">
        <v>3900</v>
      </c>
      <c r="G4031" s="46" t="s">
        <v>5654</v>
      </c>
      <c r="H4031" s="46" t="s">
        <v>5655</v>
      </c>
      <c r="I4031" s="45" t="s">
        <v>205</v>
      </c>
      <c r="J4031" s="46" t="s">
        <v>126</v>
      </c>
      <c r="K4031" s="46" t="s">
        <v>126</v>
      </c>
      <c r="L4031" s="46" t="s">
        <v>15</v>
      </c>
      <c r="M4031" s="46" t="s">
        <v>13</v>
      </c>
      <c r="N4031" s="46" t="s">
        <v>16</v>
      </c>
      <c r="O4031" s="49" t="s">
        <v>803</v>
      </c>
      <c r="P4031" s="49" t="s">
        <v>4910</v>
      </c>
      <c r="Q4031" s="35" t="str">
        <f>MID(Tabla1[[#This Row],[Aplicación]],14,1)</f>
        <v>2</v>
      </c>
      <c r="R4031" s="35" t="s">
        <v>495</v>
      </c>
      <c r="S4031" s="35" t="str">
        <f>MID(Tabla1[[#This Row],[Aplicación]],6,2)</f>
        <v>04</v>
      </c>
      <c r="T4031" s="35" t="str">
        <f>VLOOKUP(Tabla1[[#This Row],[AREA]],Hoja1!A:B,2,FALSE)</f>
        <v>04. Planificación y recursos</v>
      </c>
      <c r="U4031" s="35" t="str">
        <f>MID(Tabla1[[#This Row],[Aplicación]],9,4)</f>
        <v>9204</v>
      </c>
      <c r="V4031" s="35" t="str">
        <f>VLOOKUP(Tabla1[[#This Row],[PROGRAMA]],Hoja1!A:B,2,FALSE)</f>
        <v>9204. Tecnologías de la información y comunicación</v>
      </c>
      <c r="W4031" s="35" t="str">
        <f>MID(Tabla1[[#This Row],[Aplicación]],14,2)</f>
        <v>21</v>
      </c>
      <c r="X4031" s="35" t="str">
        <f>MID(Tabla1[[#This Row],[Aplicación]],14,6)</f>
        <v>216</v>
      </c>
    </row>
    <row r="4032" spans="1:24" x14ac:dyDescent="0.25">
      <c r="A4032" s="45">
        <v>220210043987</v>
      </c>
      <c r="B4032" s="46" t="s">
        <v>204</v>
      </c>
      <c r="C4032" s="47">
        <v>44405</v>
      </c>
      <c r="D4032" s="45">
        <v>22021002601</v>
      </c>
      <c r="E4032" s="46" t="s">
        <v>3362</v>
      </c>
      <c r="F4032" s="48">
        <v>3851.07</v>
      </c>
      <c r="G4032" s="46" t="s">
        <v>4269</v>
      </c>
      <c r="H4032" s="46" t="s">
        <v>5349</v>
      </c>
      <c r="I4032" s="45" t="s">
        <v>205</v>
      </c>
      <c r="J4032" s="46" t="s">
        <v>127</v>
      </c>
      <c r="K4032" s="46" t="s">
        <v>127</v>
      </c>
      <c r="L4032" s="46" t="s">
        <v>15</v>
      </c>
      <c r="M4032" s="46" t="s">
        <v>13</v>
      </c>
      <c r="N4032" s="46" t="s">
        <v>14</v>
      </c>
      <c r="O4032" s="49" t="s">
        <v>814</v>
      </c>
      <c r="P4032" s="49" t="s">
        <v>4910</v>
      </c>
      <c r="Q4032" s="35" t="str">
        <f>MID(Tabla1[[#This Row],[Aplicación]],14,1)</f>
        <v>6</v>
      </c>
      <c r="R4032" s="35" t="s">
        <v>496</v>
      </c>
      <c r="S4032" s="35" t="str">
        <f>MID(Tabla1[[#This Row],[Aplicación]],6,2)</f>
        <v>06</v>
      </c>
      <c r="T4032" s="35" t="str">
        <f>VLOOKUP(Tabla1[[#This Row],[AREA]],Hoja1!A:B,2,FALSE)</f>
        <v>06. Educación, infancia, juventud e igualdad</v>
      </c>
      <c r="U4032" s="35" t="str">
        <f>MID(Tabla1[[#This Row],[Aplicación]],9,4)</f>
        <v>3321</v>
      </c>
      <c r="V4032" s="35" t="str">
        <f>VLOOKUP(Tabla1[[#This Row],[PROGRAMA]],Hoja1!A:B,2,FALSE)</f>
        <v>3321. Bibliotecas públicas</v>
      </c>
      <c r="W4032" s="35" t="str">
        <f>MID(Tabla1[[#This Row],[Aplicación]],14,2)</f>
        <v>62</v>
      </c>
      <c r="X4032" s="35" t="str">
        <f>MID(Tabla1[[#This Row],[Aplicación]],14,6)</f>
        <v>629</v>
      </c>
    </row>
    <row r="4033" spans="1:24" x14ac:dyDescent="0.25">
      <c r="A4033" s="45">
        <v>220210043985</v>
      </c>
      <c r="B4033" s="46" t="s">
        <v>204</v>
      </c>
      <c r="C4033" s="47">
        <v>44405</v>
      </c>
      <c r="D4033" s="45">
        <v>22021002602</v>
      </c>
      <c r="E4033" s="46" t="s">
        <v>3362</v>
      </c>
      <c r="F4033" s="48">
        <v>3273.14</v>
      </c>
      <c r="G4033" s="46" t="s">
        <v>4269</v>
      </c>
      <c r="H4033" s="46" t="s">
        <v>5656</v>
      </c>
      <c r="I4033" s="45" t="s">
        <v>205</v>
      </c>
      <c r="J4033" s="46" t="s">
        <v>127</v>
      </c>
      <c r="K4033" s="46" t="s">
        <v>127</v>
      </c>
      <c r="L4033" s="46" t="s">
        <v>15</v>
      </c>
      <c r="M4033" s="46" t="s">
        <v>13</v>
      </c>
      <c r="N4033" s="46" t="s">
        <v>14</v>
      </c>
      <c r="O4033" s="49" t="s">
        <v>814</v>
      </c>
      <c r="P4033" s="49" t="s">
        <v>4910</v>
      </c>
      <c r="Q4033" s="35" t="str">
        <f>MID(Tabla1[[#This Row],[Aplicación]],14,1)</f>
        <v>6</v>
      </c>
      <c r="R4033" s="35" t="s">
        <v>496</v>
      </c>
      <c r="S4033" s="35" t="str">
        <f>MID(Tabla1[[#This Row],[Aplicación]],6,2)</f>
        <v>06</v>
      </c>
      <c r="T4033" s="35" t="str">
        <f>VLOOKUP(Tabla1[[#This Row],[AREA]],Hoja1!A:B,2,FALSE)</f>
        <v>06. Educación, infancia, juventud e igualdad</v>
      </c>
      <c r="U4033" s="35" t="str">
        <f>MID(Tabla1[[#This Row],[Aplicación]],9,4)</f>
        <v>3321</v>
      </c>
      <c r="V4033" s="35" t="str">
        <f>VLOOKUP(Tabla1[[#This Row],[PROGRAMA]],Hoja1!A:B,2,FALSE)</f>
        <v>3321. Bibliotecas públicas</v>
      </c>
      <c r="W4033" s="35" t="str">
        <f>MID(Tabla1[[#This Row],[Aplicación]],14,2)</f>
        <v>62</v>
      </c>
      <c r="X4033" s="35" t="str">
        <f>MID(Tabla1[[#This Row],[Aplicación]],14,6)</f>
        <v>629</v>
      </c>
    </row>
    <row r="4034" spans="1:24" x14ac:dyDescent="0.25">
      <c r="A4034" s="45">
        <v>220210043991</v>
      </c>
      <c r="B4034" s="46" t="s">
        <v>204</v>
      </c>
      <c r="C4034" s="47">
        <v>44405</v>
      </c>
      <c r="D4034" s="45">
        <v>22021002601</v>
      </c>
      <c r="E4034" s="46" t="s">
        <v>3362</v>
      </c>
      <c r="F4034" s="48">
        <v>3816.86</v>
      </c>
      <c r="G4034" s="46" t="s">
        <v>2307</v>
      </c>
      <c r="H4034" s="46" t="s">
        <v>5657</v>
      </c>
      <c r="I4034" s="45" t="s">
        <v>205</v>
      </c>
      <c r="J4034" s="46" t="s">
        <v>127</v>
      </c>
      <c r="K4034" s="46" t="s">
        <v>127</v>
      </c>
      <c r="L4034" s="46" t="s">
        <v>15</v>
      </c>
      <c r="M4034" s="46" t="s">
        <v>13</v>
      </c>
      <c r="N4034" s="46" t="s">
        <v>14</v>
      </c>
      <c r="O4034" s="49" t="s">
        <v>814</v>
      </c>
      <c r="P4034" s="49" t="s">
        <v>4910</v>
      </c>
      <c r="Q4034" s="35" t="str">
        <f>MID(Tabla1[[#This Row],[Aplicación]],14,1)</f>
        <v>6</v>
      </c>
      <c r="R4034" s="35" t="s">
        <v>496</v>
      </c>
      <c r="S4034" s="35" t="str">
        <f>MID(Tabla1[[#This Row],[Aplicación]],6,2)</f>
        <v>06</v>
      </c>
      <c r="T4034" s="35" t="str">
        <f>VLOOKUP(Tabla1[[#This Row],[AREA]],Hoja1!A:B,2,FALSE)</f>
        <v>06. Educación, infancia, juventud e igualdad</v>
      </c>
      <c r="U4034" s="35" t="str">
        <f>MID(Tabla1[[#This Row],[Aplicación]],9,4)</f>
        <v>3321</v>
      </c>
      <c r="V4034" s="35" t="str">
        <f>VLOOKUP(Tabla1[[#This Row],[PROGRAMA]],Hoja1!A:B,2,FALSE)</f>
        <v>3321. Bibliotecas públicas</v>
      </c>
      <c r="W4034" s="35" t="str">
        <f>MID(Tabla1[[#This Row],[Aplicación]],14,2)</f>
        <v>62</v>
      </c>
      <c r="X4034" s="35" t="str">
        <f>MID(Tabla1[[#This Row],[Aplicación]],14,6)</f>
        <v>629</v>
      </c>
    </row>
    <row r="4035" spans="1:24" x14ac:dyDescent="0.25">
      <c r="A4035" s="45">
        <v>220210049798</v>
      </c>
      <c r="B4035" s="46" t="s">
        <v>204</v>
      </c>
      <c r="C4035" s="47">
        <v>44433</v>
      </c>
      <c r="D4035" s="45">
        <v>22021002601</v>
      </c>
      <c r="E4035" s="46" t="s">
        <v>3362</v>
      </c>
      <c r="F4035" s="48">
        <v>17.77</v>
      </c>
      <c r="G4035" s="46" t="s">
        <v>2307</v>
      </c>
      <c r="H4035" s="46" t="s">
        <v>5658</v>
      </c>
      <c r="I4035" s="45" t="s">
        <v>205</v>
      </c>
      <c r="J4035" s="46" t="s">
        <v>127</v>
      </c>
      <c r="K4035" s="46" t="s">
        <v>127</v>
      </c>
      <c r="L4035" s="46" t="s">
        <v>15</v>
      </c>
      <c r="M4035" s="46" t="s">
        <v>13</v>
      </c>
      <c r="N4035" s="46" t="s">
        <v>14</v>
      </c>
      <c r="O4035" s="49" t="s">
        <v>814</v>
      </c>
      <c r="P4035" s="49" t="s">
        <v>4910</v>
      </c>
      <c r="Q4035" s="35" t="str">
        <f>MID(Tabla1[[#This Row],[Aplicación]],14,1)</f>
        <v>6</v>
      </c>
      <c r="R4035" s="35" t="s">
        <v>496</v>
      </c>
      <c r="S4035" s="35" t="str">
        <f>MID(Tabla1[[#This Row],[Aplicación]],6,2)</f>
        <v>06</v>
      </c>
      <c r="T4035" s="35" t="str">
        <f>VLOOKUP(Tabla1[[#This Row],[AREA]],Hoja1!A:B,2,FALSE)</f>
        <v>06. Educación, infancia, juventud e igualdad</v>
      </c>
      <c r="U4035" s="35" t="str">
        <f>MID(Tabla1[[#This Row],[Aplicación]],9,4)</f>
        <v>3321</v>
      </c>
      <c r="V4035" s="35" t="str">
        <f>VLOOKUP(Tabla1[[#This Row],[PROGRAMA]],Hoja1!A:B,2,FALSE)</f>
        <v>3321. Bibliotecas públicas</v>
      </c>
      <c r="W4035" s="35" t="str">
        <f>MID(Tabla1[[#This Row],[Aplicación]],14,2)</f>
        <v>62</v>
      </c>
      <c r="X4035" s="35" t="str">
        <f>MID(Tabla1[[#This Row],[Aplicación]],14,6)</f>
        <v>629</v>
      </c>
    </row>
    <row r="4036" spans="1:24" x14ac:dyDescent="0.25">
      <c r="A4036" s="45">
        <v>220210036189</v>
      </c>
      <c r="B4036" s="46" t="s">
        <v>9</v>
      </c>
      <c r="C4036" s="47">
        <v>44383</v>
      </c>
      <c r="D4036" s="45">
        <v>22021004935</v>
      </c>
      <c r="E4036" s="46" t="s">
        <v>1852</v>
      </c>
      <c r="F4036" s="48">
        <v>3440.94</v>
      </c>
      <c r="G4036" s="46" t="s">
        <v>211</v>
      </c>
      <c r="H4036" s="46" t="s">
        <v>5659</v>
      </c>
      <c r="I4036" s="45" t="s">
        <v>125</v>
      </c>
      <c r="J4036" s="46" t="s">
        <v>662</v>
      </c>
      <c r="K4036" s="46" t="s">
        <v>165</v>
      </c>
      <c r="L4036" s="46" t="s">
        <v>12</v>
      </c>
      <c r="M4036" s="46" t="s">
        <v>10</v>
      </c>
      <c r="N4036" s="46" t="s">
        <v>11</v>
      </c>
      <c r="O4036" s="49" t="s">
        <v>815</v>
      </c>
      <c r="P4036" s="49" t="s">
        <v>4910</v>
      </c>
      <c r="Q4036" s="35" t="str">
        <f>MID(Tabla1[[#This Row],[Aplicación]],14,1)</f>
        <v>2</v>
      </c>
      <c r="R4036" s="35" t="s">
        <v>495</v>
      </c>
      <c r="S4036" s="35" t="str">
        <f>MID(Tabla1[[#This Row],[Aplicación]],6,2)</f>
        <v>11</v>
      </c>
      <c r="T4036" s="35" t="str">
        <f>VLOOKUP(Tabla1[[#This Row],[AREA]],Hoja1!A:B,2,FALSE)</f>
        <v>11. Salud pública y seguridad ciudadana</v>
      </c>
      <c r="U4036" s="35" t="str">
        <f>MID(Tabla1[[#This Row],[Aplicación]],9,4)</f>
        <v>3111</v>
      </c>
      <c r="V4036" s="35" t="str">
        <f>VLOOKUP(Tabla1[[#This Row],[PROGRAMA]],Hoja1!A:B,2,FALSE)</f>
        <v>3111. Protección de la salubridad pública</v>
      </c>
      <c r="W4036" s="35" t="str">
        <f>MID(Tabla1[[#This Row],[Aplicación]],14,2)</f>
        <v>22</v>
      </c>
      <c r="X4036" s="35" t="str">
        <f>MID(Tabla1[[#This Row],[Aplicación]],14,6)</f>
        <v>22706</v>
      </c>
    </row>
    <row r="4037" spans="1:24" x14ac:dyDescent="0.25">
      <c r="A4037" s="45">
        <v>220210040094</v>
      </c>
      <c r="B4037" s="46" t="s">
        <v>204</v>
      </c>
      <c r="C4037" s="47">
        <v>44396</v>
      </c>
      <c r="D4037" s="45">
        <v>22021001967</v>
      </c>
      <c r="E4037" s="46" t="s">
        <v>1167</v>
      </c>
      <c r="F4037" s="48">
        <v>651.42999999999995</v>
      </c>
      <c r="G4037" s="46" t="s">
        <v>246</v>
      </c>
      <c r="H4037" s="46" t="s">
        <v>5660</v>
      </c>
      <c r="I4037" s="45" t="s">
        <v>205</v>
      </c>
      <c r="J4037" s="46" t="s">
        <v>127</v>
      </c>
      <c r="K4037" s="46" t="s">
        <v>127</v>
      </c>
      <c r="L4037" s="46" t="s">
        <v>15</v>
      </c>
      <c r="M4037" s="46" t="s">
        <v>13</v>
      </c>
      <c r="N4037" s="46" t="s">
        <v>14</v>
      </c>
      <c r="O4037" s="49" t="s">
        <v>814</v>
      </c>
      <c r="P4037" s="49" t="s">
        <v>4910</v>
      </c>
      <c r="Q4037" s="35" t="str">
        <f>MID(Tabla1[[#This Row],[Aplicación]],14,1)</f>
        <v>2</v>
      </c>
      <c r="R4037" s="35" t="s">
        <v>495</v>
      </c>
      <c r="S4037" s="35" t="str">
        <f>MID(Tabla1[[#This Row],[Aplicación]],6,2)</f>
        <v>11</v>
      </c>
      <c r="T4037" s="35" t="str">
        <f>VLOOKUP(Tabla1[[#This Row],[AREA]],Hoja1!A:B,2,FALSE)</f>
        <v>11. Salud pública y seguridad ciudadana</v>
      </c>
      <c r="U4037" s="35" t="str">
        <f>MID(Tabla1[[#This Row],[Aplicación]],9,4)</f>
        <v>1321</v>
      </c>
      <c r="V4037" s="35" t="str">
        <f>VLOOKUP(Tabla1[[#This Row],[PROGRAMA]],Hoja1!A:B,2,FALSE)</f>
        <v>1321. Policía municipal</v>
      </c>
      <c r="W4037" s="35" t="str">
        <f>MID(Tabla1[[#This Row],[Aplicación]],14,2)</f>
        <v>21</v>
      </c>
      <c r="X4037" s="35" t="str">
        <f>MID(Tabla1[[#This Row],[Aplicación]],14,6)</f>
        <v>214</v>
      </c>
    </row>
    <row r="4038" spans="1:24" x14ac:dyDescent="0.25">
      <c r="A4038" s="45">
        <v>220210047014</v>
      </c>
      <c r="B4038" s="46" t="s">
        <v>204</v>
      </c>
      <c r="C4038" s="47">
        <v>44421</v>
      </c>
      <c r="D4038" s="45">
        <v>22021002048</v>
      </c>
      <c r="E4038" s="46" t="s">
        <v>890</v>
      </c>
      <c r="F4038" s="48">
        <v>208.73</v>
      </c>
      <c r="G4038" s="46" t="s">
        <v>246</v>
      </c>
      <c r="H4038" s="46" t="s">
        <v>5661</v>
      </c>
      <c r="I4038" s="45" t="s">
        <v>205</v>
      </c>
      <c r="J4038" s="46" t="s">
        <v>127</v>
      </c>
      <c r="K4038" s="46" t="s">
        <v>127</v>
      </c>
      <c r="L4038" s="46" t="s">
        <v>15</v>
      </c>
      <c r="M4038" s="46" t="s">
        <v>13</v>
      </c>
      <c r="N4038" s="46" t="s">
        <v>14</v>
      </c>
      <c r="O4038" s="49" t="s">
        <v>814</v>
      </c>
      <c r="P4038" s="49" t="s">
        <v>4910</v>
      </c>
      <c r="Q4038" s="35" t="str">
        <f>MID(Tabla1[[#This Row],[Aplicación]],14,1)</f>
        <v>2</v>
      </c>
      <c r="R4038" s="35" t="s">
        <v>495</v>
      </c>
      <c r="S4038" s="35" t="str">
        <f>MID(Tabla1[[#This Row],[Aplicación]],6,2)</f>
        <v>11</v>
      </c>
      <c r="T4038" s="35" t="str">
        <f>VLOOKUP(Tabla1[[#This Row],[AREA]],Hoja1!A:B,2,FALSE)</f>
        <v>11. Salud pública y seguridad ciudadana</v>
      </c>
      <c r="U4038" s="35" t="str">
        <f>MID(Tabla1[[#This Row],[Aplicación]],9,4)</f>
        <v>1621</v>
      </c>
      <c r="V4038" s="35" t="str">
        <f>VLOOKUP(Tabla1[[#This Row],[PROGRAMA]],Hoja1!A:B,2,FALSE)</f>
        <v>1621. Servicio de limpieza</v>
      </c>
      <c r="W4038" s="35" t="str">
        <f>MID(Tabla1[[#This Row],[Aplicación]],14,2)</f>
        <v>21</v>
      </c>
      <c r="X4038" s="35" t="str">
        <f>MID(Tabla1[[#This Row],[Aplicación]],14,6)</f>
        <v>214</v>
      </c>
    </row>
    <row r="4039" spans="1:24" x14ac:dyDescent="0.25">
      <c r="A4039" s="45">
        <v>220210050119</v>
      </c>
      <c r="B4039" s="46" t="s">
        <v>204</v>
      </c>
      <c r="C4039" s="47">
        <v>44435</v>
      </c>
      <c r="D4039" s="45">
        <v>22021001967</v>
      </c>
      <c r="E4039" s="46" t="s">
        <v>1167</v>
      </c>
      <c r="F4039" s="48">
        <v>388.18</v>
      </c>
      <c r="G4039" s="46" t="s">
        <v>246</v>
      </c>
      <c r="H4039" s="46" t="s">
        <v>5662</v>
      </c>
      <c r="I4039" s="45" t="s">
        <v>205</v>
      </c>
      <c r="J4039" s="46" t="s">
        <v>127</v>
      </c>
      <c r="K4039" s="46" t="s">
        <v>127</v>
      </c>
      <c r="L4039" s="46" t="s">
        <v>15</v>
      </c>
      <c r="M4039" s="46" t="s">
        <v>13</v>
      </c>
      <c r="N4039" s="46" t="s">
        <v>14</v>
      </c>
      <c r="O4039" s="49" t="s">
        <v>814</v>
      </c>
      <c r="P4039" s="49" t="s">
        <v>4910</v>
      </c>
      <c r="Q4039" s="35" t="str">
        <f>MID(Tabla1[[#This Row],[Aplicación]],14,1)</f>
        <v>2</v>
      </c>
      <c r="R4039" s="35" t="s">
        <v>495</v>
      </c>
      <c r="S4039" s="35" t="str">
        <f>MID(Tabla1[[#This Row],[Aplicación]],6,2)</f>
        <v>11</v>
      </c>
      <c r="T4039" s="35" t="str">
        <f>VLOOKUP(Tabla1[[#This Row],[AREA]],Hoja1!A:B,2,FALSE)</f>
        <v>11. Salud pública y seguridad ciudadana</v>
      </c>
      <c r="U4039" s="35" t="str">
        <f>MID(Tabla1[[#This Row],[Aplicación]],9,4)</f>
        <v>1321</v>
      </c>
      <c r="V4039" s="35" t="str">
        <f>VLOOKUP(Tabla1[[#This Row],[PROGRAMA]],Hoja1!A:B,2,FALSE)</f>
        <v>1321. Policía municipal</v>
      </c>
      <c r="W4039" s="35" t="str">
        <f>MID(Tabla1[[#This Row],[Aplicación]],14,2)</f>
        <v>21</v>
      </c>
      <c r="X4039" s="35" t="str">
        <f>MID(Tabla1[[#This Row],[Aplicación]],14,6)</f>
        <v>214</v>
      </c>
    </row>
    <row r="4040" spans="1:24" x14ac:dyDescent="0.25">
      <c r="A4040" s="45">
        <v>220210048696</v>
      </c>
      <c r="B4040" s="46" t="s">
        <v>204</v>
      </c>
      <c r="C4040" s="47">
        <v>44428</v>
      </c>
      <c r="D4040" s="45">
        <v>22021002052</v>
      </c>
      <c r="E4040" s="46" t="s">
        <v>1340</v>
      </c>
      <c r="F4040" s="48">
        <v>203.28</v>
      </c>
      <c r="G4040" s="46" t="s">
        <v>246</v>
      </c>
      <c r="H4040" s="46" t="s">
        <v>5663</v>
      </c>
      <c r="I4040" s="45" t="s">
        <v>205</v>
      </c>
      <c r="J4040" s="46" t="s">
        <v>127</v>
      </c>
      <c r="K4040" s="46" t="s">
        <v>127</v>
      </c>
      <c r="L4040" s="46" t="s">
        <v>15</v>
      </c>
      <c r="M4040" s="46" t="s">
        <v>13</v>
      </c>
      <c r="N4040" s="46" t="s">
        <v>14</v>
      </c>
      <c r="O4040" s="49" t="s">
        <v>814</v>
      </c>
      <c r="P4040" s="49" t="s">
        <v>4910</v>
      </c>
      <c r="Q4040" s="35" t="str">
        <f>MID(Tabla1[[#This Row],[Aplicación]],14,1)</f>
        <v>2</v>
      </c>
      <c r="R4040" s="35" t="s">
        <v>495</v>
      </c>
      <c r="S4040" s="35" t="str">
        <f>MID(Tabla1[[#This Row],[Aplicación]],6,2)</f>
        <v>11</v>
      </c>
      <c r="T4040" s="35" t="str">
        <f>VLOOKUP(Tabla1[[#This Row],[AREA]],Hoja1!A:B,2,FALSE)</f>
        <v>11. Salud pública y seguridad ciudadana</v>
      </c>
      <c r="U4040" s="35" t="str">
        <f>MID(Tabla1[[#This Row],[Aplicación]],9,4)</f>
        <v>1621</v>
      </c>
      <c r="V4040" s="35" t="str">
        <f>VLOOKUP(Tabla1[[#This Row],[PROGRAMA]],Hoja1!A:B,2,FALSE)</f>
        <v>1621. Servicio de limpieza</v>
      </c>
      <c r="W4040" s="35" t="str">
        <f>MID(Tabla1[[#This Row],[Aplicación]],14,2)</f>
        <v>22</v>
      </c>
      <c r="X4040" s="35" t="str">
        <f>MID(Tabla1[[#This Row],[Aplicación]],14,6)</f>
        <v>22199</v>
      </c>
    </row>
    <row r="4041" spans="1:24" x14ac:dyDescent="0.25">
      <c r="A4041" s="45">
        <v>220210043955</v>
      </c>
      <c r="B4041" s="46" t="s">
        <v>204</v>
      </c>
      <c r="C4041" s="47">
        <v>44405</v>
      </c>
      <c r="D4041" s="45">
        <v>22021001967</v>
      </c>
      <c r="E4041" s="46" t="s">
        <v>1167</v>
      </c>
      <c r="F4041" s="48">
        <v>137.29</v>
      </c>
      <c r="G4041" s="46" t="s">
        <v>265</v>
      </c>
      <c r="H4041" s="46" t="s">
        <v>5664</v>
      </c>
      <c r="I4041" s="45" t="s">
        <v>205</v>
      </c>
      <c r="J4041" s="46" t="s">
        <v>157</v>
      </c>
      <c r="K4041" s="46" t="s">
        <v>157</v>
      </c>
      <c r="L4041" s="46" t="s">
        <v>15</v>
      </c>
      <c r="M4041" s="46" t="s">
        <v>13</v>
      </c>
      <c r="N4041" s="46" t="s">
        <v>14</v>
      </c>
      <c r="O4041" s="49" t="s">
        <v>814</v>
      </c>
      <c r="P4041" s="49" t="s">
        <v>4910</v>
      </c>
      <c r="Q4041" s="35" t="str">
        <f>MID(Tabla1[[#This Row],[Aplicación]],14,1)</f>
        <v>2</v>
      </c>
      <c r="R4041" s="35" t="s">
        <v>495</v>
      </c>
      <c r="S4041" s="35" t="str">
        <f>MID(Tabla1[[#This Row],[Aplicación]],6,2)</f>
        <v>11</v>
      </c>
      <c r="T4041" s="35" t="str">
        <f>VLOOKUP(Tabla1[[#This Row],[AREA]],Hoja1!A:B,2,FALSE)</f>
        <v>11. Salud pública y seguridad ciudadana</v>
      </c>
      <c r="U4041" s="35" t="str">
        <f>MID(Tabla1[[#This Row],[Aplicación]],9,4)</f>
        <v>1321</v>
      </c>
      <c r="V4041" s="35" t="str">
        <f>VLOOKUP(Tabla1[[#This Row],[PROGRAMA]],Hoja1!A:B,2,FALSE)</f>
        <v>1321. Policía municipal</v>
      </c>
      <c r="W4041" s="35" t="str">
        <f>MID(Tabla1[[#This Row],[Aplicación]],14,2)</f>
        <v>21</v>
      </c>
      <c r="X4041" s="35" t="str">
        <f>MID(Tabla1[[#This Row],[Aplicación]],14,6)</f>
        <v>214</v>
      </c>
    </row>
    <row r="4042" spans="1:24" x14ac:dyDescent="0.25">
      <c r="A4042" s="45">
        <v>220210040107</v>
      </c>
      <c r="B4042" s="46" t="s">
        <v>204</v>
      </c>
      <c r="C4042" s="47">
        <v>44396</v>
      </c>
      <c r="D4042" s="45">
        <v>22021002049</v>
      </c>
      <c r="E4042" s="46" t="s">
        <v>1671</v>
      </c>
      <c r="F4042" s="48">
        <v>3483.11</v>
      </c>
      <c r="G4042" s="46" t="s">
        <v>265</v>
      </c>
      <c r="H4042" s="46" t="s">
        <v>5665</v>
      </c>
      <c r="I4042" s="45" t="s">
        <v>205</v>
      </c>
      <c r="J4042" s="46" t="s">
        <v>157</v>
      </c>
      <c r="K4042" s="46" t="s">
        <v>157</v>
      </c>
      <c r="L4042" s="46" t="s">
        <v>15</v>
      </c>
      <c r="M4042" s="46" t="s">
        <v>13</v>
      </c>
      <c r="N4042" s="46" t="s">
        <v>14</v>
      </c>
      <c r="O4042" s="49" t="s">
        <v>814</v>
      </c>
      <c r="P4042" s="49" t="s">
        <v>4910</v>
      </c>
      <c r="Q4042" s="35" t="str">
        <f>MID(Tabla1[[#This Row],[Aplicación]],14,1)</f>
        <v>2</v>
      </c>
      <c r="R4042" s="35" t="s">
        <v>495</v>
      </c>
      <c r="S4042" s="35" t="str">
        <f>MID(Tabla1[[#This Row],[Aplicación]],6,2)</f>
        <v>11</v>
      </c>
      <c r="T4042" s="35" t="str">
        <f>VLOOKUP(Tabla1[[#This Row],[AREA]],Hoja1!A:B,2,FALSE)</f>
        <v>11. Salud pública y seguridad ciudadana</v>
      </c>
      <c r="U4042" s="35" t="str">
        <f>MID(Tabla1[[#This Row],[Aplicación]],9,4)</f>
        <v>1621</v>
      </c>
      <c r="V4042" s="35" t="str">
        <f>VLOOKUP(Tabla1[[#This Row],[PROGRAMA]],Hoja1!A:B,2,FALSE)</f>
        <v>1621. Servicio de limpieza</v>
      </c>
      <c r="W4042" s="35" t="str">
        <f>MID(Tabla1[[#This Row],[Aplicación]],14,2)</f>
        <v>22</v>
      </c>
      <c r="X4042" s="35" t="str">
        <f>MID(Tabla1[[#This Row],[Aplicación]],14,6)</f>
        <v>22103</v>
      </c>
    </row>
    <row r="4043" spans="1:24" x14ac:dyDescent="0.25">
      <c r="A4043" s="45">
        <v>220210040111</v>
      </c>
      <c r="B4043" s="46" t="s">
        <v>204</v>
      </c>
      <c r="C4043" s="47">
        <v>44396</v>
      </c>
      <c r="D4043" s="45">
        <v>22021002049</v>
      </c>
      <c r="E4043" s="46" t="s">
        <v>1671</v>
      </c>
      <c r="F4043" s="48">
        <v>578.99</v>
      </c>
      <c r="G4043" s="46" t="s">
        <v>265</v>
      </c>
      <c r="H4043" s="46" t="s">
        <v>5666</v>
      </c>
      <c r="I4043" s="45" t="s">
        <v>205</v>
      </c>
      <c r="J4043" s="46" t="s">
        <v>157</v>
      </c>
      <c r="K4043" s="46" t="s">
        <v>157</v>
      </c>
      <c r="L4043" s="46" t="s">
        <v>15</v>
      </c>
      <c r="M4043" s="46" t="s">
        <v>13</v>
      </c>
      <c r="N4043" s="46" t="s">
        <v>14</v>
      </c>
      <c r="O4043" s="49" t="s">
        <v>814</v>
      </c>
      <c r="P4043" s="49" t="s">
        <v>4910</v>
      </c>
      <c r="Q4043" s="35" t="str">
        <f>MID(Tabla1[[#This Row],[Aplicación]],14,1)</f>
        <v>2</v>
      </c>
      <c r="R4043" s="35" t="s">
        <v>495</v>
      </c>
      <c r="S4043" s="35" t="str">
        <f>MID(Tabla1[[#This Row],[Aplicación]],6,2)</f>
        <v>11</v>
      </c>
      <c r="T4043" s="35" t="str">
        <f>VLOOKUP(Tabla1[[#This Row],[AREA]],Hoja1!A:B,2,FALSE)</f>
        <v>11. Salud pública y seguridad ciudadana</v>
      </c>
      <c r="U4043" s="35" t="str">
        <f>MID(Tabla1[[#This Row],[Aplicación]],9,4)</f>
        <v>1621</v>
      </c>
      <c r="V4043" s="35" t="str">
        <f>VLOOKUP(Tabla1[[#This Row],[PROGRAMA]],Hoja1!A:B,2,FALSE)</f>
        <v>1621. Servicio de limpieza</v>
      </c>
      <c r="W4043" s="35" t="str">
        <f>MID(Tabla1[[#This Row],[Aplicación]],14,2)</f>
        <v>22</v>
      </c>
      <c r="X4043" s="35" t="str">
        <f>MID(Tabla1[[#This Row],[Aplicación]],14,6)</f>
        <v>22103</v>
      </c>
    </row>
    <row r="4044" spans="1:24" x14ac:dyDescent="0.25">
      <c r="A4044" s="45">
        <v>220210040109</v>
      </c>
      <c r="B4044" s="46" t="s">
        <v>204</v>
      </c>
      <c r="C4044" s="47">
        <v>44396</v>
      </c>
      <c r="D4044" s="45">
        <v>22021002049</v>
      </c>
      <c r="E4044" s="46" t="s">
        <v>1671</v>
      </c>
      <c r="F4044" s="48">
        <v>363</v>
      </c>
      <c r="G4044" s="46" t="s">
        <v>265</v>
      </c>
      <c r="H4044" s="46" t="s">
        <v>5667</v>
      </c>
      <c r="I4044" s="45" t="s">
        <v>205</v>
      </c>
      <c r="J4044" s="46" t="s">
        <v>157</v>
      </c>
      <c r="K4044" s="46" t="s">
        <v>157</v>
      </c>
      <c r="L4044" s="46" t="s">
        <v>15</v>
      </c>
      <c r="M4044" s="46" t="s">
        <v>13</v>
      </c>
      <c r="N4044" s="46" t="s">
        <v>14</v>
      </c>
      <c r="O4044" s="49" t="s">
        <v>814</v>
      </c>
      <c r="P4044" s="49" t="s">
        <v>4910</v>
      </c>
      <c r="Q4044" s="35" t="str">
        <f>MID(Tabla1[[#This Row],[Aplicación]],14,1)</f>
        <v>2</v>
      </c>
      <c r="R4044" s="35" t="s">
        <v>495</v>
      </c>
      <c r="S4044" s="35" t="str">
        <f>MID(Tabla1[[#This Row],[Aplicación]],6,2)</f>
        <v>11</v>
      </c>
      <c r="T4044" s="35" t="str">
        <f>VLOOKUP(Tabla1[[#This Row],[AREA]],Hoja1!A:B,2,FALSE)</f>
        <v>11. Salud pública y seguridad ciudadana</v>
      </c>
      <c r="U4044" s="35" t="str">
        <f>MID(Tabla1[[#This Row],[Aplicación]],9,4)</f>
        <v>1621</v>
      </c>
      <c r="V4044" s="35" t="str">
        <f>VLOOKUP(Tabla1[[#This Row],[PROGRAMA]],Hoja1!A:B,2,FALSE)</f>
        <v>1621. Servicio de limpieza</v>
      </c>
      <c r="W4044" s="35" t="str">
        <f>MID(Tabla1[[#This Row],[Aplicación]],14,2)</f>
        <v>22</v>
      </c>
      <c r="X4044" s="35" t="str">
        <f>MID(Tabla1[[#This Row],[Aplicación]],14,6)</f>
        <v>22103</v>
      </c>
    </row>
    <row r="4045" spans="1:24" x14ac:dyDescent="0.25">
      <c r="A4045" s="45">
        <v>220210040098</v>
      </c>
      <c r="B4045" s="46" t="s">
        <v>204</v>
      </c>
      <c r="C4045" s="47">
        <v>44396</v>
      </c>
      <c r="D4045" s="45">
        <v>22021001967</v>
      </c>
      <c r="E4045" s="46" t="s">
        <v>1167</v>
      </c>
      <c r="F4045" s="48">
        <v>253.31</v>
      </c>
      <c r="G4045" s="46" t="s">
        <v>265</v>
      </c>
      <c r="H4045" s="46" t="s">
        <v>5668</v>
      </c>
      <c r="I4045" s="45" t="s">
        <v>205</v>
      </c>
      <c r="J4045" s="46" t="s">
        <v>157</v>
      </c>
      <c r="K4045" s="46" t="s">
        <v>157</v>
      </c>
      <c r="L4045" s="46" t="s">
        <v>15</v>
      </c>
      <c r="M4045" s="46" t="s">
        <v>13</v>
      </c>
      <c r="N4045" s="46" t="s">
        <v>14</v>
      </c>
      <c r="O4045" s="49" t="s">
        <v>814</v>
      </c>
      <c r="P4045" s="49" t="s">
        <v>4910</v>
      </c>
      <c r="Q4045" s="35" t="str">
        <f>MID(Tabla1[[#This Row],[Aplicación]],14,1)</f>
        <v>2</v>
      </c>
      <c r="R4045" s="35" t="s">
        <v>495</v>
      </c>
      <c r="S4045" s="35" t="str">
        <f>MID(Tabla1[[#This Row],[Aplicación]],6,2)</f>
        <v>11</v>
      </c>
      <c r="T4045" s="35" t="str">
        <f>VLOOKUP(Tabla1[[#This Row],[AREA]],Hoja1!A:B,2,FALSE)</f>
        <v>11. Salud pública y seguridad ciudadana</v>
      </c>
      <c r="U4045" s="35" t="str">
        <f>MID(Tabla1[[#This Row],[Aplicación]],9,4)</f>
        <v>1321</v>
      </c>
      <c r="V4045" s="35" t="str">
        <f>VLOOKUP(Tabla1[[#This Row],[PROGRAMA]],Hoja1!A:B,2,FALSE)</f>
        <v>1321. Policía municipal</v>
      </c>
      <c r="W4045" s="35" t="str">
        <f>MID(Tabla1[[#This Row],[Aplicación]],14,2)</f>
        <v>21</v>
      </c>
      <c r="X4045" s="35" t="str">
        <f>MID(Tabla1[[#This Row],[Aplicación]],14,6)</f>
        <v>214</v>
      </c>
    </row>
    <row r="4046" spans="1:24" x14ac:dyDescent="0.25">
      <c r="A4046" s="45">
        <v>220210036769</v>
      </c>
      <c r="B4046" s="46" t="s">
        <v>204</v>
      </c>
      <c r="C4046" s="47">
        <v>44386</v>
      </c>
      <c r="D4046" s="45">
        <v>22021001967</v>
      </c>
      <c r="E4046" s="46" t="s">
        <v>1167</v>
      </c>
      <c r="F4046" s="48">
        <v>151.86000000000001</v>
      </c>
      <c r="G4046" s="46" t="s">
        <v>265</v>
      </c>
      <c r="H4046" s="46" t="s">
        <v>5669</v>
      </c>
      <c r="I4046" s="45" t="s">
        <v>205</v>
      </c>
      <c r="J4046" s="46" t="s">
        <v>157</v>
      </c>
      <c r="K4046" s="46" t="s">
        <v>157</v>
      </c>
      <c r="L4046" s="46" t="s">
        <v>15</v>
      </c>
      <c r="M4046" s="46" t="s">
        <v>13</v>
      </c>
      <c r="N4046" s="46" t="s">
        <v>14</v>
      </c>
      <c r="O4046" s="49" t="s">
        <v>814</v>
      </c>
      <c r="P4046" s="49" t="s">
        <v>4910</v>
      </c>
      <c r="Q4046" s="35" t="str">
        <f>MID(Tabla1[[#This Row],[Aplicación]],14,1)</f>
        <v>2</v>
      </c>
      <c r="R4046" s="35" t="s">
        <v>495</v>
      </c>
      <c r="S4046" s="35" t="str">
        <f>MID(Tabla1[[#This Row],[Aplicación]],6,2)</f>
        <v>11</v>
      </c>
      <c r="T4046" s="35" t="str">
        <f>VLOOKUP(Tabla1[[#This Row],[AREA]],Hoja1!A:B,2,FALSE)</f>
        <v>11. Salud pública y seguridad ciudadana</v>
      </c>
      <c r="U4046" s="35" t="str">
        <f>MID(Tabla1[[#This Row],[Aplicación]],9,4)</f>
        <v>1321</v>
      </c>
      <c r="V4046" s="35" t="str">
        <f>VLOOKUP(Tabla1[[#This Row],[PROGRAMA]],Hoja1!A:B,2,FALSE)</f>
        <v>1321. Policía municipal</v>
      </c>
      <c r="W4046" s="35" t="str">
        <f>MID(Tabla1[[#This Row],[Aplicación]],14,2)</f>
        <v>21</v>
      </c>
      <c r="X4046" s="35" t="str">
        <f>MID(Tabla1[[#This Row],[Aplicación]],14,6)</f>
        <v>214</v>
      </c>
    </row>
    <row r="4047" spans="1:24" x14ac:dyDescent="0.25">
      <c r="A4047" s="45">
        <v>220210045169</v>
      </c>
      <c r="B4047" s="46" t="s">
        <v>204</v>
      </c>
      <c r="C4047" s="47">
        <v>44411</v>
      </c>
      <c r="D4047" s="45">
        <v>22021002049</v>
      </c>
      <c r="E4047" s="46" t="s">
        <v>1671</v>
      </c>
      <c r="F4047" s="48">
        <v>578.99</v>
      </c>
      <c r="G4047" s="46" t="s">
        <v>265</v>
      </c>
      <c r="H4047" s="46" t="s">
        <v>5670</v>
      </c>
      <c r="I4047" s="45" t="s">
        <v>205</v>
      </c>
      <c r="J4047" s="46" t="s">
        <v>157</v>
      </c>
      <c r="K4047" s="46" t="s">
        <v>157</v>
      </c>
      <c r="L4047" s="46" t="s">
        <v>15</v>
      </c>
      <c r="M4047" s="46" t="s">
        <v>13</v>
      </c>
      <c r="N4047" s="46" t="s">
        <v>14</v>
      </c>
      <c r="O4047" s="49" t="s">
        <v>814</v>
      </c>
      <c r="P4047" s="49" t="s">
        <v>4910</v>
      </c>
      <c r="Q4047" s="35" t="str">
        <f>MID(Tabla1[[#This Row],[Aplicación]],14,1)</f>
        <v>2</v>
      </c>
      <c r="R4047" s="35" t="s">
        <v>495</v>
      </c>
      <c r="S4047" s="35" t="str">
        <f>MID(Tabla1[[#This Row],[Aplicación]],6,2)</f>
        <v>11</v>
      </c>
      <c r="T4047" s="35" t="str">
        <f>VLOOKUP(Tabla1[[#This Row],[AREA]],Hoja1!A:B,2,FALSE)</f>
        <v>11. Salud pública y seguridad ciudadana</v>
      </c>
      <c r="U4047" s="35" t="str">
        <f>MID(Tabla1[[#This Row],[Aplicación]],9,4)</f>
        <v>1621</v>
      </c>
      <c r="V4047" s="35" t="str">
        <f>VLOOKUP(Tabla1[[#This Row],[PROGRAMA]],Hoja1!A:B,2,FALSE)</f>
        <v>1621. Servicio de limpieza</v>
      </c>
      <c r="W4047" s="35" t="str">
        <f>MID(Tabla1[[#This Row],[Aplicación]],14,2)</f>
        <v>22</v>
      </c>
      <c r="X4047" s="35" t="str">
        <f>MID(Tabla1[[#This Row],[Aplicación]],14,6)</f>
        <v>22103</v>
      </c>
    </row>
    <row r="4048" spans="1:24" x14ac:dyDescent="0.25">
      <c r="A4048" s="45">
        <v>220210045165</v>
      </c>
      <c r="B4048" s="46" t="s">
        <v>204</v>
      </c>
      <c r="C4048" s="47">
        <v>44411</v>
      </c>
      <c r="D4048" s="45">
        <v>22021002048</v>
      </c>
      <c r="E4048" s="46" t="s">
        <v>890</v>
      </c>
      <c r="F4048" s="48">
        <v>556.6</v>
      </c>
      <c r="G4048" s="46" t="s">
        <v>265</v>
      </c>
      <c r="H4048" s="46" t="s">
        <v>5671</v>
      </c>
      <c r="I4048" s="45" t="s">
        <v>205</v>
      </c>
      <c r="J4048" s="46" t="s">
        <v>157</v>
      </c>
      <c r="K4048" s="46" t="s">
        <v>157</v>
      </c>
      <c r="L4048" s="46" t="s">
        <v>15</v>
      </c>
      <c r="M4048" s="46" t="s">
        <v>13</v>
      </c>
      <c r="N4048" s="46" t="s">
        <v>14</v>
      </c>
      <c r="O4048" s="49" t="s">
        <v>814</v>
      </c>
      <c r="P4048" s="49" t="s">
        <v>4910</v>
      </c>
      <c r="Q4048" s="35" t="str">
        <f>MID(Tabla1[[#This Row],[Aplicación]],14,1)</f>
        <v>2</v>
      </c>
      <c r="R4048" s="35" t="s">
        <v>495</v>
      </c>
      <c r="S4048" s="35" t="str">
        <f>MID(Tabla1[[#This Row],[Aplicación]],6,2)</f>
        <v>11</v>
      </c>
      <c r="T4048" s="35" t="str">
        <f>VLOOKUP(Tabla1[[#This Row],[AREA]],Hoja1!A:B,2,FALSE)</f>
        <v>11. Salud pública y seguridad ciudadana</v>
      </c>
      <c r="U4048" s="35" t="str">
        <f>MID(Tabla1[[#This Row],[Aplicación]],9,4)</f>
        <v>1621</v>
      </c>
      <c r="V4048" s="35" t="str">
        <f>VLOOKUP(Tabla1[[#This Row],[PROGRAMA]],Hoja1!A:B,2,FALSE)</f>
        <v>1621. Servicio de limpieza</v>
      </c>
      <c r="W4048" s="35" t="str">
        <f>MID(Tabla1[[#This Row],[Aplicación]],14,2)</f>
        <v>21</v>
      </c>
      <c r="X4048" s="35" t="str">
        <f>MID(Tabla1[[#This Row],[Aplicación]],14,6)</f>
        <v>214</v>
      </c>
    </row>
    <row r="4049" spans="1:24" x14ac:dyDescent="0.25">
      <c r="A4049" s="45">
        <v>220210045167</v>
      </c>
      <c r="B4049" s="46" t="s">
        <v>204</v>
      </c>
      <c r="C4049" s="47">
        <v>44411</v>
      </c>
      <c r="D4049" s="45">
        <v>22021002048</v>
      </c>
      <c r="E4049" s="46" t="s">
        <v>890</v>
      </c>
      <c r="F4049" s="48">
        <v>265.58</v>
      </c>
      <c r="G4049" s="46" t="s">
        <v>265</v>
      </c>
      <c r="H4049" s="46" t="s">
        <v>5672</v>
      </c>
      <c r="I4049" s="45" t="s">
        <v>205</v>
      </c>
      <c r="J4049" s="46" t="s">
        <v>157</v>
      </c>
      <c r="K4049" s="46" t="s">
        <v>157</v>
      </c>
      <c r="L4049" s="46" t="s">
        <v>15</v>
      </c>
      <c r="M4049" s="46" t="s">
        <v>13</v>
      </c>
      <c r="N4049" s="46" t="s">
        <v>14</v>
      </c>
      <c r="O4049" s="49" t="s">
        <v>814</v>
      </c>
      <c r="P4049" s="49" t="s">
        <v>4910</v>
      </c>
      <c r="Q4049" s="35" t="str">
        <f>MID(Tabla1[[#This Row],[Aplicación]],14,1)</f>
        <v>2</v>
      </c>
      <c r="R4049" s="35" t="s">
        <v>495</v>
      </c>
      <c r="S4049" s="35" t="str">
        <f>MID(Tabla1[[#This Row],[Aplicación]],6,2)</f>
        <v>11</v>
      </c>
      <c r="T4049" s="35" t="str">
        <f>VLOOKUP(Tabla1[[#This Row],[AREA]],Hoja1!A:B,2,FALSE)</f>
        <v>11. Salud pública y seguridad ciudadana</v>
      </c>
      <c r="U4049" s="35" t="str">
        <f>MID(Tabla1[[#This Row],[Aplicación]],9,4)</f>
        <v>1621</v>
      </c>
      <c r="V4049" s="35" t="str">
        <f>VLOOKUP(Tabla1[[#This Row],[PROGRAMA]],Hoja1!A:B,2,FALSE)</f>
        <v>1621. Servicio de limpieza</v>
      </c>
      <c r="W4049" s="35" t="str">
        <f>MID(Tabla1[[#This Row],[Aplicación]],14,2)</f>
        <v>21</v>
      </c>
      <c r="X4049" s="35" t="str">
        <f>MID(Tabla1[[#This Row],[Aplicación]],14,6)</f>
        <v>214</v>
      </c>
    </row>
    <row r="4050" spans="1:24" x14ac:dyDescent="0.25">
      <c r="A4050" s="45">
        <v>220210053513</v>
      </c>
      <c r="B4050" s="46" t="s">
        <v>204</v>
      </c>
      <c r="C4050" s="47">
        <v>44452</v>
      </c>
      <c r="D4050" s="45">
        <v>22021002049</v>
      </c>
      <c r="E4050" s="46" t="s">
        <v>1671</v>
      </c>
      <c r="F4050" s="48">
        <v>1903.57</v>
      </c>
      <c r="G4050" s="46" t="s">
        <v>265</v>
      </c>
      <c r="H4050" s="46" t="s">
        <v>5673</v>
      </c>
      <c r="I4050" s="45" t="s">
        <v>205</v>
      </c>
      <c r="J4050" s="46" t="s">
        <v>157</v>
      </c>
      <c r="K4050" s="46" t="s">
        <v>157</v>
      </c>
      <c r="L4050" s="46" t="s">
        <v>15</v>
      </c>
      <c r="M4050" s="46" t="s">
        <v>13</v>
      </c>
      <c r="N4050" s="46" t="s">
        <v>14</v>
      </c>
      <c r="O4050" s="49" t="s">
        <v>814</v>
      </c>
      <c r="P4050" s="49" t="s">
        <v>4910</v>
      </c>
      <c r="Q4050" s="35" t="str">
        <f>MID(Tabla1[[#This Row],[Aplicación]],14,1)</f>
        <v>2</v>
      </c>
      <c r="R4050" s="35" t="s">
        <v>495</v>
      </c>
      <c r="S4050" s="35" t="str">
        <f>MID(Tabla1[[#This Row],[Aplicación]],6,2)</f>
        <v>11</v>
      </c>
      <c r="T4050" s="35" t="str">
        <f>VLOOKUP(Tabla1[[#This Row],[AREA]],Hoja1!A:B,2,FALSE)</f>
        <v>11. Salud pública y seguridad ciudadana</v>
      </c>
      <c r="U4050" s="35" t="str">
        <f>MID(Tabla1[[#This Row],[Aplicación]],9,4)</f>
        <v>1621</v>
      </c>
      <c r="V4050" s="35" t="str">
        <f>VLOOKUP(Tabla1[[#This Row],[PROGRAMA]],Hoja1!A:B,2,FALSE)</f>
        <v>1621. Servicio de limpieza</v>
      </c>
      <c r="W4050" s="35" t="str">
        <f>MID(Tabla1[[#This Row],[Aplicación]],14,2)</f>
        <v>22</v>
      </c>
      <c r="X4050" s="35" t="str">
        <f>MID(Tabla1[[#This Row],[Aplicación]],14,6)</f>
        <v>22103</v>
      </c>
    </row>
    <row r="4051" spans="1:24" x14ac:dyDescent="0.25">
      <c r="A4051" s="45">
        <v>220210048709</v>
      </c>
      <c r="B4051" s="46" t="s">
        <v>204</v>
      </c>
      <c r="C4051" s="47">
        <v>44428</v>
      </c>
      <c r="D4051" s="45">
        <v>22021002049</v>
      </c>
      <c r="E4051" s="46" t="s">
        <v>1671</v>
      </c>
      <c r="F4051" s="48">
        <v>1432.34</v>
      </c>
      <c r="G4051" s="46" t="s">
        <v>265</v>
      </c>
      <c r="H4051" s="46" t="s">
        <v>5674</v>
      </c>
      <c r="I4051" s="45" t="s">
        <v>205</v>
      </c>
      <c r="J4051" s="46" t="s">
        <v>157</v>
      </c>
      <c r="K4051" s="46" t="s">
        <v>157</v>
      </c>
      <c r="L4051" s="46" t="s">
        <v>15</v>
      </c>
      <c r="M4051" s="46" t="s">
        <v>13</v>
      </c>
      <c r="N4051" s="46" t="s">
        <v>14</v>
      </c>
      <c r="O4051" s="49" t="s">
        <v>814</v>
      </c>
      <c r="P4051" s="49" t="s">
        <v>4910</v>
      </c>
      <c r="Q4051" s="35" t="str">
        <f>MID(Tabla1[[#This Row],[Aplicación]],14,1)</f>
        <v>2</v>
      </c>
      <c r="R4051" s="35" t="s">
        <v>495</v>
      </c>
      <c r="S4051" s="35" t="str">
        <f>MID(Tabla1[[#This Row],[Aplicación]],6,2)</f>
        <v>11</v>
      </c>
      <c r="T4051" s="35" t="str">
        <f>VLOOKUP(Tabla1[[#This Row],[AREA]],Hoja1!A:B,2,FALSE)</f>
        <v>11. Salud pública y seguridad ciudadana</v>
      </c>
      <c r="U4051" s="35" t="str">
        <f>MID(Tabla1[[#This Row],[Aplicación]],9,4)</f>
        <v>1621</v>
      </c>
      <c r="V4051" s="35" t="str">
        <f>VLOOKUP(Tabla1[[#This Row],[PROGRAMA]],Hoja1!A:B,2,FALSE)</f>
        <v>1621. Servicio de limpieza</v>
      </c>
      <c r="W4051" s="35" t="str">
        <f>MID(Tabla1[[#This Row],[Aplicación]],14,2)</f>
        <v>22</v>
      </c>
      <c r="X4051" s="35" t="str">
        <f>MID(Tabla1[[#This Row],[Aplicación]],14,6)</f>
        <v>22103</v>
      </c>
    </row>
    <row r="4052" spans="1:24" x14ac:dyDescent="0.25">
      <c r="A4052" s="45">
        <v>220210053509</v>
      </c>
      <c r="B4052" s="46" t="s">
        <v>204</v>
      </c>
      <c r="C4052" s="47">
        <v>44452</v>
      </c>
      <c r="D4052" s="45">
        <v>22021002049</v>
      </c>
      <c r="E4052" s="46" t="s">
        <v>1671</v>
      </c>
      <c r="F4052" s="48">
        <v>938.36</v>
      </c>
      <c r="G4052" s="46" t="s">
        <v>265</v>
      </c>
      <c r="H4052" s="46" t="s">
        <v>5675</v>
      </c>
      <c r="I4052" s="45" t="s">
        <v>205</v>
      </c>
      <c r="J4052" s="46" t="s">
        <v>157</v>
      </c>
      <c r="K4052" s="46" t="s">
        <v>157</v>
      </c>
      <c r="L4052" s="46" t="s">
        <v>15</v>
      </c>
      <c r="M4052" s="46" t="s">
        <v>13</v>
      </c>
      <c r="N4052" s="46" t="s">
        <v>14</v>
      </c>
      <c r="O4052" s="49" t="s">
        <v>814</v>
      </c>
      <c r="P4052" s="49" t="s">
        <v>4910</v>
      </c>
      <c r="Q4052" s="35" t="str">
        <f>MID(Tabla1[[#This Row],[Aplicación]],14,1)</f>
        <v>2</v>
      </c>
      <c r="R4052" s="35" t="s">
        <v>495</v>
      </c>
      <c r="S4052" s="35" t="str">
        <f>MID(Tabla1[[#This Row],[Aplicación]],6,2)</f>
        <v>11</v>
      </c>
      <c r="T4052" s="35" t="str">
        <f>VLOOKUP(Tabla1[[#This Row],[AREA]],Hoja1!A:B,2,FALSE)</f>
        <v>11. Salud pública y seguridad ciudadana</v>
      </c>
      <c r="U4052" s="35" t="str">
        <f>MID(Tabla1[[#This Row],[Aplicación]],9,4)</f>
        <v>1621</v>
      </c>
      <c r="V4052" s="35" t="str">
        <f>VLOOKUP(Tabla1[[#This Row],[PROGRAMA]],Hoja1!A:B,2,FALSE)</f>
        <v>1621. Servicio de limpieza</v>
      </c>
      <c r="W4052" s="35" t="str">
        <f>MID(Tabla1[[#This Row],[Aplicación]],14,2)</f>
        <v>22</v>
      </c>
      <c r="X4052" s="35" t="str">
        <f>MID(Tabla1[[#This Row],[Aplicación]],14,6)</f>
        <v>22103</v>
      </c>
    </row>
    <row r="4053" spans="1:24" x14ac:dyDescent="0.25">
      <c r="A4053" s="45">
        <v>220210049875</v>
      </c>
      <c r="B4053" s="46" t="s">
        <v>204</v>
      </c>
      <c r="C4053" s="47">
        <v>44433</v>
      </c>
      <c r="D4053" s="45">
        <v>22021001967</v>
      </c>
      <c r="E4053" s="46" t="s">
        <v>1167</v>
      </c>
      <c r="F4053" s="48">
        <v>649.30999999999995</v>
      </c>
      <c r="G4053" s="46" t="s">
        <v>265</v>
      </c>
      <c r="H4053" s="46" t="s">
        <v>5676</v>
      </c>
      <c r="I4053" s="45" t="s">
        <v>205</v>
      </c>
      <c r="J4053" s="46" t="s">
        <v>157</v>
      </c>
      <c r="K4053" s="46" t="s">
        <v>157</v>
      </c>
      <c r="L4053" s="46" t="s">
        <v>15</v>
      </c>
      <c r="M4053" s="46" t="s">
        <v>13</v>
      </c>
      <c r="N4053" s="46" t="s">
        <v>14</v>
      </c>
      <c r="O4053" s="49" t="s">
        <v>814</v>
      </c>
      <c r="P4053" s="49" t="s">
        <v>4910</v>
      </c>
      <c r="Q4053" s="35" t="str">
        <f>MID(Tabla1[[#This Row],[Aplicación]],14,1)</f>
        <v>2</v>
      </c>
      <c r="R4053" s="35" t="s">
        <v>495</v>
      </c>
      <c r="S4053" s="35" t="str">
        <f>MID(Tabla1[[#This Row],[Aplicación]],6,2)</f>
        <v>11</v>
      </c>
      <c r="T4053" s="35" t="str">
        <f>VLOOKUP(Tabla1[[#This Row],[AREA]],Hoja1!A:B,2,FALSE)</f>
        <v>11. Salud pública y seguridad ciudadana</v>
      </c>
      <c r="U4053" s="35" t="str">
        <f>MID(Tabla1[[#This Row],[Aplicación]],9,4)</f>
        <v>1321</v>
      </c>
      <c r="V4053" s="35" t="str">
        <f>VLOOKUP(Tabla1[[#This Row],[PROGRAMA]],Hoja1!A:B,2,FALSE)</f>
        <v>1321. Policía municipal</v>
      </c>
      <c r="W4053" s="35" t="str">
        <f>MID(Tabla1[[#This Row],[Aplicación]],14,2)</f>
        <v>21</v>
      </c>
      <c r="X4053" s="35" t="str">
        <f>MID(Tabla1[[#This Row],[Aplicación]],14,6)</f>
        <v>214</v>
      </c>
    </row>
    <row r="4054" spans="1:24" x14ac:dyDescent="0.25">
      <c r="A4054" s="45">
        <v>220210050128</v>
      </c>
      <c r="B4054" s="46" t="s">
        <v>204</v>
      </c>
      <c r="C4054" s="47">
        <v>44435</v>
      </c>
      <c r="D4054" s="45">
        <v>22021001967</v>
      </c>
      <c r="E4054" s="46" t="s">
        <v>1167</v>
      </c>
      <c r="F4054" s="48">
        <v>387.01</v>
      </c>
      <c r="G4054" s="46" t="s">
        <v>265</v>
      </c>
      <c r="H4054" s="46" t="s">
        <v>5677</v>
      </c>
      <c r="I4054" s="45" t="s">
        <v>205</v>
      </c>
      <c r="J4054" s="46" t="s">
        <v>157</v>
      </c>
      <c r="K4054" s="46" t="s">
        <v>157</v>
      </c>
      <c r="L4054" s="46" t="s">
        <v>12</v>
      </c>
      <c r="M4054" s="46" t="s">
        <v>13</v>
      </c>
      <c r="N4054" s="46" t="s">
        <v>14</v>
      </c>
      <c r="O4054" s="49" t="s">
        <v>814</v>
      </c>
      <c r="P4054" s="49" t="s">
        <v>4910</v>
      </c>
      <c r="Q4054" s="35" t="str">
        <f>MID(Tabla1[[#This Row],[Aplicación]],14,1)</f>
        <v>2</v>
      </c>
      <c r="R4054" s="35" t="s">
        <v>495</v>
      </c>
      <c r="S4054" s="35" t="str">
        <f>MID(Tabla1[[#This Row],[Aplicación]],6,2)</f>
        <v>11</v>
      </c>
      <c r="T4054" s="35" t="str">
        <f>VLOOKUP(Tabla1[[#This Row],[AREA]],Hoja1!A:B,2,FALSE)</f>
        <v>11. Salud pública y seguridad ciudadana</v>
      </c>
      <c r="U4054" s="35" t="str">
        <f>MID(Tabla1[[#This Row],[Aplicación]],9,4)</f>
        <v>1321</v>
      </c>
      <c r="V4054" s="35" t="str">
        <f>VLOOKUP(Tabla1[[#This Row],[PROGRAMA]],Hoja1!A:B,2,FALSE)</f>
        <v>1321. Policía municipal</v>
      </c>
      <c r="W4054" s="35" t="str">
        <f>MID(Tabla1[[#This Row],[Aplicación]],14,2)</f>
        <v>21</v>
      </c>
      <c r="X4054" s="35" t="str">
        <f>MID(Tabla1[[#This Row],[Aplicación]],14,6)</f>
        <v>214</v>
      </c>
    </row>
    <row r="4055" spans="1:24" x14ac:dyDescent="0.25">
      <c r="A4055" s="45">
        <v>220210048701</v>
      </c>
      <c r="B4055" s="46" t="s">
        <v>204</v>
      </c>
      <c r="C4055" s="47">
        <v>44428</v>
      </c>
      <c r="D4055" s="45">
        <v>22021002048</v>
      </c>
      <c r="E4055" s="46" t="s">
        <v>890</v>
      </c>
      <c r="F4055" s="48">
        <v>85.85</v>
      </c>
      <c r="G4055" s="46" t="s">
        <v>265</v>
      </c>
      <c r="H4055" s="46" t="s">
        <v>5678</v>
      </c>
      <c r="I4055" s="45" t="s">
        <v>205</v>
      </c>
      <c r="J4055" s="46" t="s">
        <v>157</v>
      </c>
      <c r="K4055" s="46" t="s">
        <v>157</v>
      </c>
      <c r="L4055" s="46" t="s">
        <v>15</v>
      </c>
      <c r="M4055" s="46" t="s">
        <v>13</v>
      </c>
      <c r="N4055" s="46" t="s">
        <v>14</v>
      </c>
      <c r="O4055" s="49" t="s">
        <v>814</v>
      </c>
      <c r="P4055" s="49" t="s">
        <v>4910</v>
      </c>
      <c r="Q4055" s="35" t="str">
        <f>MID(Tabla1[[#This Row],[Aplicación]],14,1)</f>
        <v>2</v>
      </c>
      <c r="R4055" s="35" t="s">
        <v>495</v>
      </c>
      <c r="S4055" s="35" t="str">
        <f>MID(Tabla1[[#This Row],[Aplicación]],6,2)</f>
        <v>11</v>
      </c>
      <c r="T4055" s="35" t="str">
        <f>VLOOKUP(Tabla1[[#This Row],[AREA]],Hoja1!A:B,2,FALSE)</f>
        <v>11. Salud pública y seguridad ciudadana</v>
      </c>
      <c r="U4055" s="35" t="str">
        <f>MID(Tabla1[[#This Row],[Aplicación]],9,4)</f>
        <v>1621</v>
      </c>
      <c r="V4055" s="35" t="str">
        <f>VLOOKUP(Tabla1[[#This Row],[PROGRAMA]],Hoja1!A:B,2,FALSE)</f>
        <v>1621. Servicio de limpieza</v>
      </c>
      <c r="W4055" s="35" t="str">
        <f>MID(Tabla1[[#This Row],[Aplicación]],14,2)</f>
        <v>21</v>
      </c>
      <c r="X4055" s="35" t="str">
        <f>MID(Tabla1[[#This Row],[Aplicación]],14,6)</f>
        <v>214</v>
      </c>
    </row>
    <row r="4056" spans="1:24" x14ac:dyDescent="0.25">
      <c r="A4056" s="45">
        <v>220210036304</v>
      </c>
      <c r="B4056" s="46" t="s">
        <v>9</v>
      </c>
      <c r="C4056" s="47">
        <v>44384</v>
      </c>
      <c r="D4056" s="45">
        <v>22021005328</v>
      </c>
      <c r="E4056" s="46" t="s">
        <v>3325</v>
      </c>
      <c r="F4056" s="48">
        <v>1352</v>
      </c>
      <c r="G4056" s="46" t="s">
        <v>5679</v>
      </c>
      <c r="H4056" s="46" t="s">
        <v>5680</v>
      </c>
      <c r="I4056" s="45" t="s">
        <v>125</v>
      </c>
      <c r="J4056" s="46" t="s">
        <v>127</v>
      </c>
      <c r="K4056" s="46" t="s">
        <v>127</v>
      </c>
      <c r="L4056" s="46" t="s">
        <v>15</v>
      </c>
      <c r="M4056" s="46" t="s">
        <v>10</v>
      </c>
      <c r="N4056" s="46" t="s">
        <v>11</v>
      </c>
      <c r="O4056" s="49" t="s">
        <v>815</v>
      </c>
      <c r="P4056" s="49" t="s">
        <v>4910</v>
      </c>
      <c r="Q4056" s="35" t="str">
        <f>MID(Tabla1[[#This Row],[Aplicación]],14,1)</f>
        <v>2</v>
      </c>
      <c r="R4056" s="35" t="s">
        <v>495</v>
      </c>
      <c r="S4056" s="35" t="str">
        <f>MID(Tabla1[[#This Row],[Aplicación]],6,2)</f>
        <v>08</v>
      </c>
      <c r="T4056" s="35" t="str">
        <f>VLOOKUP(Tabla1[[#This Row],[AREA]],Hoja1!A:B,2,FALSE)</f>
        <v>08. Movilidad y espacio urbano</v>
      </c>
      <c r="U4056" s="35" t="str">
        <f>MID(Tabla1[[#This Row],[Aplicación]],9,4)</f>
        <v>1532</v>
      </c>
      <c r="V4056" s="35" t="str">
        <f>VLOOKUP(Tabla1[[#This Row],[PROGRAMA]],Hoja1!A:B,2,FALSE)</f>
        <v>1532. Pavimentación vias públicas y otros servicios urbanísticos</v>
      </c>
      <c r="W4056" s="35" t="str">
        <f>MID(Tabla1[[#This Row],[Aplicación]],14,2)</f>
        <v>22</v>
      </c>
      <c r="X4056" s="35" t="str">
        <f>MID(Tabla1[[#This Row],[Aplicación]],14,6)</f>
        <v>22104</v>
      </c>
    </row>
    <row r="4057" spans="1:24" x14ac:dyDescent="0.25">
      <c r="A4057" s="45">
        <v>220210049800</v>
      </c>
      <c r="B4057" s="46" t="s">
        <v>204</v>
      </c>
      <c r="C4057" s="47">
        <v>44433</v>
      </c>
      <c r="D4057" s="45">
        <v>22021002601</v>
      </c>
      <c r="E4057" s="46" t="s">
        <v>3362</v>
      </c>
      <c r="F4057" s="48">
        <v>1345.59</v>
      </c>
      <c r="G4057" s="46" t="s">
        <v>3932</v>
      </c>
      <c r="H4057" s="46" t="s">
        <v>5681</v>
      </c>
      <c r="I4057" s="45" t="s">
        <v>205</v>
      </c>
      <c r="J4057" s="46" t="s">
        <v>127</v>
      </c>
      <c r="K4057" s="46" t="s">
        <v>127</v>
      </c>
      <c r="L4057" s="46" t="s">
        <v>15</v>
      </c>
      <c r="M4057" s="46" t="s">
        <v>13</v>
      </c>
      <c r="N4057" s="46" t="s">
        <v>14</v>
      </c>
      <c r="O4057" s="49" t="s">
        <v>814</v>
      </c>
      <c r="P4057" s="49" t="s">
        <v>4910</v>
      </c>
      <c r="Q4057" s="35" t="str">
        <f>MID(Tabla1[[#This Row],[Aplicación]],14,1)</f>
        <v>6</v>
      </c>
      <c r="R4057" s="35" t="s">
        <v>496</v>
      </c>
      <c r="S4057" s="35" t="str">
        <f>MID(Tabla1[[#This Row],[Aplicación]],6,2)</f>
        <v>06</v>
      </c>
      <c r="T4057" s="35" t="str">
        <f>VLOOKUP(Tabla1[[#This Row],[AREA]],Hoja1!A:B,2,FALSE)</f>
        <v>06. Educación, infancia, juventud e igualdad</v>
      </c>
      <c r="U4057" s="35" t="str">
        <f>MID(Tabla1[[#This Row],[Aplicación]],9,4)</f>
        <v>3321</v>
      </c>
      <c r="V4057" s="35" t="str">
        <f>VLOOKUP(Tabla1[[#This Row],[PROGRAMA]],Hoja1!A:B,2,FALSE)</f>
        <v>3321. Bibliotecas públicas</v>
      </c>
      <c r="W4057" s="35" t="str">
        <f>MID(Tabla1[[#This Row],[Aplicación]],14,2)</f>
        <v>62</v>
      </c>
      <c r="X4057" s="35" t="str">
        <f>MID(Tabla1[[#This Row],[Aplicación]],14,6)</f>
        <v>629</v>
      </c>
    </row>
    <row r="4058" spans="1:24" x14ac:dyDescent="0.25">
      <c r="A4058" s="45">
        <v>220210036307</v>
      </c>
      <c r="B4058" s="46" t="s">
        <v>9</v>
      </c>
      <c r="C4058" s="47">
        <v>44384</v>
      </c>
      <c r="D4058" s="45">
        <v>22021005178</v>
      </c>
      <c r="E4058" s="46" t="s">
        <v>1478</v>
      </c>
      <c r="F4058" s="48">
        <v>210.06</v>
      </c>
      <c r="G4058" s="46" t="s">
        <v>253</v>
      </c>
      <c r="H4058" s="46" t="s">
        <v>5682</v>
      </c>
      <c r="I4058" s="45" t="s">
        <v>125</v>
      </c>
      <c r="J4058" s="46" t="s">
        <v>127</v>
      </c>
      <c r="K4058" s="46" t="s">
        <v>127</v>
      </c>
      <c r="L4058" s="46" t="s">
        <v>15</v>
      </c>
      <c r="M4058" s="46" t="s">
        <v>10</v>
      </c>
      <c r="N4058" s="46" t="s">
        <v>11</v>
      </c>
      <c r="O4058" s="49" t="s">
        <v>815</v>
      </c>
      <c r="P4058" s="49" t="s">
        <v>4910</v>
      </c>
      <c r="Q4058" s="35" t="str">
        <f>MID(Tabla1[[#This Row],[Aplicación]],14,1)</f>
        <v>2</v>
      </c>
      <c r="R4058" s="35" t="s">
        <v>495</v>
      </c>
      <c r="S4058" s="35" t="str">
        <f>MID(Tabla1[[#This Row],[Aplicación]],6,2)</f>
        <v>03</v>
      </c>
      <c r="T4058" s="35" t="str">
        <f>VLOOKUP(Tabla1[[#This Row],[AREA]],Hoja1!A:B,2,FALSE)</f>
        <v>03. Participación ciudadana y deportes</v>
      </c>
      <c r="U4058" s="35" t="str">
        <f>MID(Tabla1[[#This Row],[Aplicación]],9,4)</f>
        <v>9241</v>
      </c>
      <c r="V4058" s="35" t="str">
        <f>VLOOKUP(Tabla1[[#This Row],[PROGRAMA]],Hoja1!A:B,2,FALSE)</f>
        <v>9241. Participación ciudadana</v>
      </c>
      <c r="W4058" s="35" t="str">
        <f>MID(Tabla1[[#This Row],[Aplicación]],14,2)</f>
        <v>21</v>
      </c>
      <c r="X4058" s="35" t="str">
        <f>MID(Tabla1[[#This Row],[Aplicación]],14,6)</f>
        <v>212</v>
      </c>
    </row>
    <row r="4059" spans="1:24" x14ac:dyDescent="0.25">
      <c r="A4059" s="45">
        <v>220210045356</v>
      </c>
      <c r="B4059" s="46" t="s">
        <v>9</v>
      </c>
      <c r="C4059" s="47">
        <v>44412</v>
      </c>
      <c r="D4059" s="45">
        <v>22021005875</v>
      </c>
      <c r="E4059" s="46" t="s">
        <v>983</v>
      </c>
      <c r="F4059" s="48">
        <v>123.42</v>
      </c>
      <c r="G4059" s="46" t="s">
        <v>253</v>
      </c>
      <c r="H4059" s="46" t="s">
        <v>5683</v>
      </c>
      <c r="I4059" s="45" t="s">
        <v>125</v>
      </c>
      <c r="J4059" s="46" t="s">
        <v>127</v>
      </c>
      <c r="K4059" s="46" t="s">
        <v>127</v>
      </c>
      <c r="L4059" s="46" t="s">
        <v>15</v>
      </c>
      <c r="M4059" s="46" t="s">
        <v>10</v>
      </c>
      <c r="N4059" s="46" t="s">
        <v>11</v>
      </c>
      <c r="O4059" s="49" t="s">
        <v>815</v>
      </c>
      <c r="P4059" s="49" t="s">
        <v>4910</v>
      </c>
      <c r="Q4059" s="35" t="str">
        <f>MID(Tabla1[[#This Row],[Aplicación]],14,1)</f>
        <v>2</v>
      </c>
      <c r="R4059" s="35" t="s">
        <v>495</v>
      </c>
      <c r="S4059" s="35" t="str">
        <f>MID(Tabla1[[#This Row],[Aplicación]],6,2)</f>
        <v>10</v>
      </c>
      <c r="T4059" s="35" t="str">
        <f>VLOOKUP(Tabla1[[#This Row],[AREA]],Hoja1!A:B,2,FALSE)</f>
        <v>10. Servicios sociales y mediación comunitaria</v>
      </c>
      <c r="U4059" s="35" t="str">
        <f>MID(Tabla1[[#This Row],[Aplicación]],9,4)</f>
        <v>2412</v>
      </c>
      <c r="V4059" s="35" t="str">
        <f>VLOOKUP(Tabla1[[#This Row],[PROGRAMA]],Hoja1!A:B,2,FALSE)</f>
        <v>2412. Formación para el empleo</v>
      </c>
      <c r="W4059" s="35" t="str">
        <f>MID(Tabla1[[#This Row],[Aplicación]],14,2)</f>
        <v>21</v>
      </c>
      <c r="X4059" s="35" t="str">
        <f>MID(Tabla1[[#This Row],[Aplicación]],14,6)</f>
        <v>213</v>
      </c>
    </row>
    <row r="4060" spans="1:24" x14ac:dyDescent="0.25">
      <c r="A4060" s="45">
        <v>220210054486</v>
      </c>
      <c r="B4060" s="46" t="s">
        <v>9</v>
      </c>
      <c r="C4060" s="47">
        <v>44453</v>
      </c>
      <c r="D4060" s="45">
        <v>22021006428</v>
      </c>
      <c r="E4060" s="46" t="s">
        <v>1183</v>
      </c>
      <c r="F4060" s="48">
        <v>216.37</v>
      </c>
      <c r="G4060" s="46" t="s">
        <v>5684</v>
      </c>
      <c r="H4060" s="46" t="s">
        <v>5685</v>
      </c>
      <c r="I4060" s="45" t="s">
        <v>125</v>
      </c>
      <c r="J4060" s="46" t="s">
        <v>719</v>
      </c>
      <c r="K4060" s="46" t="s">
        <v>126</v>
      </c>
      <c r="L4060" s="46" t="s">
        <v>15</v>
      </c>
      <c r="M4060" s="46" t="s">
        <v>10</v>
      </c>
      <c r="N4060" s="46" t="s">
        <v>11</v>
      </c>
      <c r="O4060" s="49" t="s">
        <v>815</v>
      </c>
      <c r="P4060" s="49" t="s">
        <v>4910</v>
      </c>
      <c r="Q4060" s="35" t="str">
        <f>MID(Tabla1[[#This Row],[Aplicación]],14,1)</f>
        <v>2</v>
      </c>
      <c r="R4060" s="35" t="s">
        <v>495</v>
      </c>
      <c r="S4060" s="35" t="str">
        <f>MID(Tabla1[[#This Row],[Aplicación]],6,2)</f>
        <v>11</v>
      </c>
      <c r="T4060" s="35" t="str">
        <f>VLOOKUP(Tabla1[[#This Row],[AREA]],Hoja1!A:B,2,FALSE)</f>
        <v>11. Salud pública y seguridad ciudadana</v>
      </c>
      <c r="U4060" s="35" t="str">
        <f>MID(Tabla1[[#This Row],[Aplicación]],9,4)</f>
        <v>1361</v>
      </c>
      <c r="V4060" s="35" t="str">
        <f>VLOOKUP(Tabla1[[#This Row],[PROGRAMA]],Hoja1!A:B,2,FALSE)</f>
        <v>1361. Prevención y extinción de incencios</v>
      </c>
      <c r="W4060" s="35" t="str">
        <f>MID(Tabla1[[#This Row],[Aplicación]],14,2)</f>
        <v>22</v>
      </c>
      <c r="X4060" s="35" t="str">
        <f>MID(Tabla1[[#This Row],[Aplicación]],14,6)</f>
        <v>22199</v>
      </c>
    </row>
    <row r="4061" spans="1:24" x14ac:dyDescent="0.25">
      <c r="A4061" s="45">
        <v>220210045562</v>
      </c>
      <c r="B4061" s="46" t="s">
        <v>9</v>
      </c>
      <c r="C4061" s="47">
        <v>44414</v>
      </c>
      <c r="D4061" s="45">
        <v>22021005901</v>
      </c>
      <c r="E4061" s="46" t="s">
        <v>2155</v>
      </c>
      <c r="F4061" s="48">
        <v>3031.59</v>
      </c>
      <c r="G4061" s="46" t="s">
        <v>3472</v>
      </c>
      <c r="H4061" s="46" t="s">
        <v>5686</v>
      </c>
      <c r="I4061" s="45" t="s">
        <v>216</v>
      </c>
      <c r="J4061" s="46" t="s">
        <v>127</v>
      </c>
      <c r="K4061" s="46" t="s">
        <v>127</v>
      </c>
      <c r="L4061" s="46" t="s">
        <v>12</v>
      </c>
      <c r="M4061" s="46" t="s">
        <v>10</v>
      </c>
      <c r="N4061" s="46" t="s">
        <v>11</v>
      </c>
      <c r="O4061" s="49" t="s">
        <v>815</v>
      </c>
      <c r="P4061" s="49" t="s">
        <v>4910</v>
      </c>
      <c r="Q4061" s="35" t="str">
        <f>MID(Tabla1[[#This Row],[Aplicación]],14,1)</f>
        <v>2</v>
      </c>
      <c r="R4061" s="35" t="s">
        <v>495</v>
      </c>
      <c r="S4061" s="35" t="str">
        <f>MID(Tabla1[[#This Row],[Aplicación]],6,2)</f>
        <v>11</v>
      </c>
      <c r="T4061" s="35" t="str">
        <f>VLOOKUP(Tabla1[[#This Row],[AREA]],Hoja1!A:B,2,FALSE)</f>
        <v>11. Salud pública y seguridad ciudadana</v>
      </c>
      <c r="U4061" s="35" t="str">
        <f>MID(Tabla1[[#This Row],[Aplicación]],9,4)</f>
        <v>1621</v>
      </c>
      <c r="V4061" s="35" t="str">
        <f>VLOOKUP(Tabla1[[#This Row],[PROGRAMA]],Hoja1!A:B,2,FALSE)</f>
        <v>1621. Servicio de limpieza</v>
      </c>
      <c r="W4061" s="35" t="str">
        <f>MID(Tabla1[[#This Row],[Aplicación]],14,2)</f>
        <v>21</v>
      </c>
      <c r="X4061" s="35" t="str">
        <f>MID(Tabla1[[#This Row],[Aplicación]],14,6)</f>
        <v>212</v>
      </c>
    </row>
    <row r="4062" spans="1:24" x14ac:dyDescent="0.25">
      <c r="A4062" s="45">
        <v>220210056301</v>
      </c>
      <c r="B4062" s="46" t="s">
        <v>9</v>
      </c>
      <c r="C4062" s="47">
        <v>44454</v>
      </c>
      <c r="D4062" s="45">
        <v>22021006507</v>
      </c>
      <c r="E4062" s="46" t="s">
        <v>1505</v>
      </c>
      <c r="F4062" s="48">
        <v>200</v>
      </c>
      <c r="G4062" s="46" t="s">
        <v>294</v>
      </c>
      <c r="H4062" s="46" t="s">
        <v>5687</v>
      </c>
      <c r="I4062" s="45" t="s">
        <v>125</v>
      </c>
      <c r="J4062" s="46" t="s">
        <v>127</v>
      </c>
      <c r="K4062" s="46" t="s">
        <v>127</v>
      </c>
      <c r="L4062" s="46" t="s">
        <v>15</v>
      </c>
      <c r="M4062" s="46" t="s">
        <v>10</v>
      </c>
      <c r="N4062" s="46" t="s">
        <v>11</v>
      </c>
      <c r="O4062" s="49" t="s">
        <v>815</v>
      </c>
      <c r="P4062" s="49" t="s">
        <v>4910</v>
      </c>
      <c r="Q4062" s="35" t="str">
        <f>MID(Tabla1[[#This Row],[Aplicación]],14,1)</f>
        <v>2</v>
      </c>
      <c r="R4062" s="35" t="s">
        <v>495</v>
      </c>
      <c r="S4062" s="35" t="str">
        <f>MID(Tabla1[[#This Row],[Aplicación]],6,2)</f>
        <v>06</v>
      </c>
      <c r="T4062" s="35" t="str">
        <f>VLOOKUP(Tabla1[[#This Row],[AREA]],Hoja1!A:B,2,FALSE)</f>
        <v>06. Educación, infancia, juventud e igualdad</v>
      </c>
      <c r="U4062" s="35" t="str">
        <f>MID(Tabla1[[#This Row],[Aplicación]],9,4)</f>
        <v>3231</v>
      </c>
      <c r="V4062" s="35" t="str">
        <f>VLOOKUP(Tabla1[[#This Row],[PROGRAMA]],Hoja1!A:B,2,FALSE)</f>
        <v>3231. Escuelas infantiles</v>
      </c>
      <c r="W4062" s="35" t="str">
        <f>MID(Tabla1[[#This Row],[Aplicación]],14,2)</f>
        <v>21</v>
      </c>
      <c r="X4062" s="35" t="str">
        <f>MID(Tabla1[[#This Row],[Aplicación]],14,6)</f>
        <v>213</v>
      </c>
    </row>
    <row r="4063" spans="1:24" x14ac:dyDescent="0.25">
      <c r="A4063" s="45">
        <v>220210036217</v>
      </c>
      <c r="B4063" s="46" t="s">
        <v>9</v>
      </c>
      <c r="C4063" s="47">
        <v>44383</v>
      </c>
      <c r="D4063" s="45">
        <v>22021005076</v>
      </c>
      <c r="E4063" s="46" t="s">
        <v>5688</v>
      </c>
      <c r="F4063" s="48">
        <v>2904</v>
      </c>
      <c r="G4063" s="46" t="s">
        <v>2257</v>
      </c>
      <c r="H4063" s="46" t="s">
        <v>5689</v>
      </c>
      <c r="I4063" s="45" t="s">
        <v>125</v>
      </c>
      <c r="J4063" s="46" t="s">
        <v>2259</v>
      </c>
      <c r="K4063" s="46" t="s">
        <v>127</v>
      </c>
      <c r="L4063" s="46" t="s">
        <v>15</v>
      </c>
      <c r="M4063" s="46" t="s">
        <v>10</v>
      </c>
      <c r="N4063" s="46" t="s">
        <v>11</v>
      </c>
      <c r="O4063" s="49" t="s">
        <v>815</v>
      </c>
      <c r="P4063" s="49" t="s">
        <v>4910</v>
      </c>
      <c r="Q4063" s="35" t="str">
        <f>MID(Tabla1[[#This Row],[Aplicación]],14,1)</f>
        <v>6</v>
      </c>
      <c r="R4063" s="35" t="s">
        <v>496</v>
      </c>
      <c r="S4063" s="35" t="str">
        <f>MID(Tabla1[[#This Row],[Aplicación]],6,2)</f>
        <v>04</v>
      </c>
      <c r="T4063" s="35" t="str">
        <f>VLOOKUP(Tabla1[[#This Row],[AREA]],Hoja1!A:B,2,FALSE)</f>
        <v>04. Planificación y recursos</v>
      </c>
      <c r="U4063" s="35" t="str">
        <f>MID(Tabla1[[#This Row],[Aplicación]],9,4)</f>
        <v>3121</v>
      </c>
      <c r="V4063" s="35" t="str">
        <f>VLOOKUP(Tabla1[[#This Row],[PROGRAMA]],Hoja1!A:B,2,FALSE)</f>
        <v>3121. Prevención y salud laboral</v>
      </c>
      <c r="W4063" s="35" t="str">
        <f>MID(Tabla1[[#This Row],[Aplicación]],14,2)</f>
        <v>62</v>
      </c>
      <c r="X4063" s="35" t="str">
        <f>MID(Tabla1[[#This Row],[Aplicación]],14,6)</f>
        <v>623</v>
      </c>
    </row>
    <row r="4064" spans="1:24" x14ac:dyDescent="0.25">
      <c r="A4064" s="45">
        <v>220210043798</v>
      </c>
      <c r="B4064" s="46" t="s">
        <v>9</v>
      </c>
      <c r="C4064" s="47">
        <v>44404</v>
      </c>
      <c r="D4064" s="45">
        <v>22021005704</v>
      </c>
      <c r="E4064" s="46" t="s">
        <v>4911</v>
      </c>
      <c r="F4064" s="48">
        <v>4572.28</v>
      </c>
      <c r="G4064" s="46" t="s">
        <v>5690</v>
      </c>
      <c r="H4064" s="46" t="s">
        <v>5691</v>
      </c>
      <c r="I4064" s="45" t="s">
        <v>125</v>
      </c>
      <c r="J4064" s="46" t="s">
        <v>4202</v>
      </c>
      <c r="K4064" s="46" t="s">
        <v>146</v>
      </c>
      <c r="L4064" s="46" t="s">
        <v>15</v>
      </c>
      <c r="M4064" s="46" t="s">
        <v>10</v>
      </c>
      <c r="N4064" s="46" t="s">
        <v>11</v>
      </c>
      <c r="O4064" s="49" t="s">
        <v>815</v>
      </c>
      <c r="P4064" s="49" t="s">
        <v>4910</v>
      </c>
      <c r="Q4064" s="35" t="str">
        <f>MID(Tabla1[[#This Row],[Aplicación]],14,1)</f>
        <v>6</v>
      </c>
      <c r="R4064" s="35" t="s">
        <v>496</v>
      </c>
      <c r="S4064" s="35" t="str">
        <f>MID(Tabla1[[#This Row],[Aplicación]],6,2)</f>
        <v>09</v>
      </c>
      <c r="T4064" s="35" t="str">
        <f>VLOOKUP(Tabla1[[#This Row],[AREA]],Hoja1!A:B,2,FALSE)</f>
        <v>09. Cultura y turismo</v>
      </c>
      <c r="U4064" s="35" t="str">
        <f>MID(Tabla1[[#This Row],[Aplicación]],9,4)</f>
        <v>3341</v>
      </c>
      <c r="V4064" s="35" t="str">
        <f>VLOOKUP(Tabla1[[#This Row],[PROGRAMA]],Hoja1!A:B,2,FALSE)</f>
        <v>3341. Coordinación de políticas culturales</v>
      </c>
      <c r="W4064" s="35" t="str">
        <f>MID(Tabla1[[#This Row],[Aplicación]],14,2)</f>
        <v>63</v>
      </c>
      <c r="X4064" s="35" t="str">
        <f>MID(Tabla1[[#This Row],[Aplicación]],14,6)</f>
        <v>632</v>
      </c>
    </row>
    <row r="4065" spans="1:24" x14ac:dyDescent="0.25">
      <c r="A4065" s="45">
        <v>220210051116</v>
      </c>
      <c r="B4065" s="46" t="s">
        <v>204</v>
      </c>
      <c r="C4065" s="47">
        <v>44448</v>
      </c>
      <c r="D4065" s="45">
        <v>22021002602</v>
      </c>
      <c r="E4065" s="46" t="s">
        <v>3362</v>
      </c>
      <c r="F4065" s="48">
        <v>2966.07</v>
      </c>
      <c r="G4065" s="46" t="s">
        <v>3927</v>
      </c>
      <c r="H4065" s="46" t="s">
        <v>5692</v>
      </c>
      <c r="I4065" s="45" t="s">
        <v>205</v>
      </c>
      <c r="J4065" s="46" t="s">
        <v>127</v>
      </c>
      <c r="K4065" s="46" t="s">
        <v>127</v>
      </c>
      <c r="L4065" s="46" t="s">
        <v>15</v>
      </c>
      <c r="M4065" s="46" t="s">
        <v>13</v>
      </c>
      <c r="N4065" s="46" t="s">
        <v>14</v>
      </c>
      <c r="O4065" s="49" t="s">
        <v>814</v>
      </c>
      <c r="P4065" s="49" t="s">
        <v>4910</v>
      </c>
      <c r="Q4065" s="35" t="str">
        <f>MID(Tabla1[[#This Row],[Aplicación]],14,1)</f>
        <v>6</v>
      </c>
      <c r="R4065" s="35" t="s">
        <v>496</v>
      </c>
      <c r="S4065" s="35" t="str">
        <f>MID(Tabla1[[#This Row],[Aplicación]],6,2)</f>
        <v>06</v>
      </c>
      <c r="T4065" s="35" t="str">
        <f>VLOOKUP(Tabla1[[#This Row],[AREA]],Hoja1!A:B,2,FALSE)</f>
        <v>06. Educación, infancia, juventud e igualdad</v>
      </c>
      <c r="U4065" s="35" t="str">
        <f>MID(Tabla1[[#This Row],[Aplicación]],9,4)</f>
        <v>3321</v>
      </c>
      <c r="V4065" s="35" t="str">
        <f>VLOOKUP(Tabla1[[#This Row],[PROGRAMA]],Hoja1!A:B,2,FALSE)</f>
        <v>3321. Bibliotecas públicas</v>
      </c>
      <c r="W4065" s="35" t="str">
        <f>MID(Tabla1[[#This Row],[Aplicación]],14,2)</f>
        <v>62</v>
      </c>
      <c r="X4065" s="35" t="str">
        <f>MID(Tabla1[[#This Row],[Aplicación]],14,6)</f>
        <v>629</v>
      </c>
    </row>
    <row r="4066" spans="1:24" x14ac:dyDescent="0.25">
      <c r="A4066" s="45">
        <v>220210037248</v>
      </c>
      <c r="B4066" s="46" t="s">
        <v>9</v>
      </c>
      <c r="C4066" s="47">
        <v>44391</v>
      </c>
      <c r="D4066" s="45">
        <v>22021005560</v>
      </c>
      <c r="E4066" s="46" t="s">
        <v>1660</v>
      </c>
      <c r="F4066" s="48">
        <v>2928.2</v>
      </c>
      <c r="G4066" s="46" t="s">
        <v>4205</v>
      </c>
      <c r="H4066" s="46" t="s">
        <v>5693</v>
      </c>
      <c r="I4066" s="45" t="s">
        <v>125</v>
      </c>
      <c r="J4066" s="46" t="s">
        <v>127</v>
      </c>
      <c r="K4066" s="46" t="s">
        <v>127</v>
      </c>
      <c r="L4066" s="46" t="s">
        <v>12</v>
      </c>
      <c r="M4066" s="46" t="s">
        <v>10</v>
      </c>
      <c r="N4066" s="46" t="s">
        <v>11</v>
      </c>
      <c r="O4066" s="49" t="s">
        <v>815</v>
      </c>
      <c r="P4066" s="49" t="s">
        <v>4910</v>
      </c>
      <c r="Q4066" s="35" t="str">
        <f>MID(Tabla1[[#This Row],[Aplicación]],14,1)</f>
        <v>2</v>
      </c>
      <c r="R4066" s="35" t="s">
        <v>495</v>
      </c>
      <c r="S4066" s="35" t="str">
        <f>MID(Tabla1[[#This Row],[Aplicación]],6,2)</f>
        <v>04</v>
      </c>
      <c r="T4066" s="35" t="str">
        <f>VLOOKUP(Tabla1[[#This Row],[AREA]],Hoja1!A:B,2,FALSE)</f>
        <v>04. Planificación y recursos</v>
      </c>
      <c r="U4066" s="35" t="str">
        <f>MID(Tabla1[[#This Row],[Aplicación]],9,4)</f>
        <v>9202</v>
      </c>
      <c r="V4066" s="35" t="str">
        <f>VLOOKUP(Tabla1[[#This Row],[PROGRAMA]],Hoja1!A:B,2,FALSE)</f>
        <v>9202. Gestión de recursos humanos</v>
      </c>
      <c r="W4066" s="35" t="str">
        <f>MID(Tabla1[[#This Row],[Aplicación]],14,2)</f>
        <v>22</v>
      </c>
      <c r="X4066" s="35" t="str">
        <f>MID(Tabla1[[#This Row],[Aplicación]],14,6)</f>
        <v>22607</v>
      </c>
    </row>
    <row r="4067" spans="1:24" x14ac:dyDescent="0.25">
      <c r="A4067" s="45">
        <v>220210036184</v>
      </c>
      <c r="B4067" s="46" t="s">
        <v>9</v>
      </c>
      <c r="C4067" s="47">
        <v>44383</v>
      </c>
      <c r="D4067" s="45">
        <v>22021005329</v>
      </c>
      <c r="E4067" s="46" t="s">
        <v>1660</v>
      </c>
      <c r="F4067" s="48">
        <v>36.299999999999997</v>
      </c>
      <c r="G4067" s="46" t="s">
        <v>4205</v>
      </c>
      <c r="H4067" s="46" t="s">
        <v>5694</v>
      </c>
      <c r="I4067" s="45" t="s">
        <v>125</v>
      </c>
      <c r="J4067" s="46" t="s">
        <v>127</v>
      </c>
      <c r="K4067" s="46" t="s">
        <v>127</v>
      </c>
      <c r="L4067" s="46" t="s">
        <v>17</v>
      </c>
      <c r="M4067" s="46" t="s">
        <v>10</v>
      </c>
      <c r="N4067" s="46" t="s">
        <v>11</v>
      </c>
      <c r="O4067" s="49" t="s">
        <v>815</v>
      </c>
      <c r="P4067" s="49" t="s">
        <v>4910</v>
      </c>
      <c r="Q4067" s="35" t="str">
        <f>MID(Tabla1[[#This Row],[Aplicación]],14,1)</f>
        <v>2</v>
      </c>
      <c r="R4067" s="35" t="s">
        <v>495</v>
      </c>
      <c r="S4067" s="35" t="str">
        <f>MID(Tabla1[[#This Row],[Aplicación]],6,2)</f>
        <v>04</v>
      </c>
      <c r="T4067" s="35" t="str">
        <f>VLOOKUP(Tabla1[[#This Row],[AREA]],Hoja1!A:B,2,FALSE)</f>
        <v>04. Planificación y recursos</v>
      </c>
      <c r="U4067" s="35" t="str">
        <f>MID(Tabla1[[#This Row],[Aplicación]],9,4)</f>
        <v>9202</v>
      </c>
      <c r="V4067" s="35" t="str">
        <f>VLOOKUP(Tabla1[[#This Row],[PROGRAMA]],Hoja1!A:B,2,FALSE)</f>
        <v>9202. Gestión de recursos humanos</v>
      </c>
      <c r="W4067" s="35" t="str">
        <f>MID(Tabla1[[#This Row],[Aplicación]],14,2)</f>
        <v>22</v>
      </c>
      <c r="X4067" s="35" t="str">
        <f>MID(Tabla1[[#This Row],[Aplicación]],14,6)</f>
        <v>22607</v>
      </c>
    </row>
    <row r="4068" spans="1:24" x14ac:dyDescent="0.25">
      <c r="A4068" s="45">
        <v>220210043805</v>
      </c>
      <c r="B4068" s="46" t="s">
        <v>9</v>
      </c>
      <c r="C4068" s="47">
        <v>44404</v>
      </c>
      <c r="D4068" s="45">
        <v>22021005804</v>
      </c>
      <c r="E4068" s="46" t="s">
        <v>823</v>
      </c>
      <c r="F4068" s="48">
        <v>544.5</v>
      </c>
      <c r="G4068" s="46" t="s">
        <v>71</v>
      </c>
      <c r="H4068" s="46" t="s">
        <v>5695</v>
      </c>
      <c r="I4068" s="45" t="s">
        <v>125</v>
      </c>
      <c r="J4068" s="46" t="s">
        <v>127</v>
      </c>
      <c r="K4068" s="46" t="s">
        <v>127</v>
      </c>
      <c r="L4068" s="46" t="s">
        <v>12</v>
      </c>
      <c r="M4068" s="46" t="s">
        <v>10</v>
      </c>
      <c r="N4068" s="46" t="s">
        <v>11</v>
      </c>
      <c r="O4068" s="49" t="s">
        <v>815</v>
      </c>
      <c r="P4068" s="49" t="s">
        <v>4910</v>
      </c>
      <c r="Q4068" s="35" t="str">
        <f>MID(Tabla1[[#This Row],[Aplicación]],14,1)</f>
        <v>2</v>
      </c>
      <c r="R4068" s="35" t="s">
        <v>495</v>
      </c>
      <c r="S4068" s="35" t="str">
        <f>MID(Tabla1[[#This Row],[Aplicación]],6,2)</f>
        <v>03</v>
      </c>
      <c r="T4068" s="35" t="str">
        <f>VLOOKUP(Tabla1[[#This Row],[AREA]],Hoja1!A:B,2,FALSE)</f>
        <v>03. Participación ciudadana y deportes</v>
      </c>
      <c r="U4068" s="35" t="str">
        <f>MID(Tabla1[[#This Row],[Aplicación]],9,4)</f>
        <v>9241</v>
      </c>
      <c r="V4068" s="35" t="str">
        <f>VLOOKUP(Tabla1[[#This Row],[PROGRAMA]],Hoja1!A:B,2,FALSE)</f>
        <v>9241. Participación ciudadana</v>
      </c>
      <c r="W4068" s="35" t="str">
        <f>MID(Tabla1[[#This Row],[Aplicación]],14,2)</f>
        <v>22</v>
      </c>
      <c r="X4068" s="35" t="str">
        <f>MID(Tabla1[[#This Row],[Aplicación]],14,6)</f>
        <v>22609</v>
      </c>
    </row>
    <row r="4069" spans="1:24" x14ac:dyDescent="0.25">
      <c r="A4069" s="45">
        <v>220210038353</v>
      </c>
      <c r="B4069" s="46" t="s">
        <v>9</v>
      </c>
      <c r="C4069" s="47">
        <v>44392</v>
      </c>
      <c r="D4069" s="45">
        <v>22021004782</v>
      </c>
      <c r="E4069" s="46" t="s">
        <v>1550</v>
      </c>
      <c r="F4069" s="48">
        <v>133.1</v>
      </c>
      <c r="G4069" s="46" t="s">
        <v>79</v>
      </c>
      <c r="H4069" s="46" t="s">
        <v>5696</v>
      </c>
      <c r="I4069" s="45" t="s">
        <v>125</v>
      </c>
      <c r="J4069" s="46" t="s">
        <v>127</v>
      </c>
      <c r="K4069" s="46" t="s">
        <v>127</v>
      </c>
      <c r="L4069" s="46" t="s">
        <v>12</v>
      </c>
      <c r="M4069" s="46" t="s">
        <v>10</v>
      </c>
      <c r="N4069" s="46" t="s">
        <v>11</v>
      </c>
      <c r="O4069" s="49" t="s">
        <v>815</v>
      </c>
      <c r="P4069" s="49" t="s">
        <v>4910</v>
      </c>
      <c r="Q4069" s="35" t="str">
        <f>MID(Tabla1[[#This Row],[Aplicación]],14,1)</f>
        <v>2</v>
      </c>
      <c r="R4069" s="35" t="s">
        <v>495</v>
      </c>
      <c r="S4069" s="35" t="str">
        <f>MID(Tabla1[[#This Row],[Aplicación]],6,2)</f>
        <v>06</v>
      </c>
      <c r="T4069" s="35" t="str">
        <f>VLOOKUP(Tabla1[[#This Row],[AREA]],Hoja1!A:B,2,FALSE)</f>
        <v>06. Educación, infancia, juventud e igualdad</v>
      </c>
      <c r="U4069" s="35" t="str">
        <f>MID(Tabla1[[#This Row],[Aplicación]],9,4)</f>
        <v>2315</v>
      </c>
      <c r="V4069" s="35" t="str">
        <f>VLOOKUP(Tabla1[[#This Row],[PROGRAMA]],Hoja1!A:B,2,FALSE)</f>
        <v>2315. Políticas de Igualdad e infancia</v>
      </c>
      <c r="W4069" s="35" t="str">
        <f>MID(Tabla1[[#This Row],[Aplicación]],14,2)</f>
        <v>22</v>
      </c>
      <c r="X4069" s="35" t="str">
        <f>MID(Tabla1[[#This Row],[Aplicación]],14,6)</f>
        <v>22799</v>
      </c>
    </row>
    <row r="4070" spans="1:24" x14ac:dyDescent="0.25">
      <c r="A4070" s="45">
        <v>220210050516</v>
      </c>
      <c r="B4070" s="46" t="s">
        <v>9</v>
      </c>
      <c r="C4070" s="47">
        <v>44440</v>
      </c>
      <c r="D4070" s="45">
        <v>22021006189</v>
      </c>
      <c r="E4070" s="46" t="s">
        <v>1471</v>
      </c>
      <c r="F4070" s="48">
        <v>200</v>
      </c>
      <c r="G4070" s="46" t="s">
        <v>5697</v>
      </c>
      <c r="H4070" s="46" t="s">
        <v>5698</v>
      </c>
      <c r="I4070" s="45" t="s">
        <v>125</v>
      </c>
      <c r="J4070" s="46" t="s">
        <v>747</v>
      </c>
      <c r="K4070" s="46" t="s">
        <v>127</v>
      </c>
      <c r="L4070" s="46" t="s">
        <v>15</v>
      </c>
      <c r="M4070" s="46" t="s">
        <v>10</v>
      </c>
      <c r="N4070" s="46" t="s">
        <v>11</v>
      </c>
      <c r="O4070" s="49" t="s">
        <v>815</v>
      </c>
      <c r="P4070" s="49" t="s">
        <v>4910</v>
      </c>
      <c r="Q4070" s="35" t="str">
        <f>MID(Tabla1[[#This Row],[Aplicación]],14,1)</f>
        <v>2</v>
      </c>
      <c r="R4070" s="35" t="s">
        <v>495</v>
      </c>
      <c r="S4070" s="35" t="str">
        <f>MID(Tabla1[[#This Row],[Aplicación]],6,2)</f>
        <v>06</v>
      </c>
      <c r="T4070" s="35" t="str">
        <f>VLOOKUP(Tabla1[[#This Row],[AREA]],Hoja1!A:B,2,FALSE)</f>
        <v>06. Educación, infancia, juventud e igualdad</v>
      </c>
      <c r="U4070" s="35" t="str">
        <f>MID(Tabla1[[#This Row],[Aplicación]],9,4)</f>
        <v>3232</v>
      </c>
      <c r="V4070" s="35" t="str">
        <f>VLOOKUP(Tabla1[[#This Row],[PROGRAMA]],Hoja1!A:B,2,FALSE)</f>
        <v>3232. Conservación y mantenimiento centros educación infantil y primaria</v>
      </c>
      <c r="W4070" s="35" t="str">
        <f>MID(Tabla1[[#This Row],[Aplicación]],14,2)</f>
        <v>21</v>
      </c>
      <c r="X4070" s="35" t="str">
        <f>MID(Tabla1[[#This Row],[Aplicación]],14,6)</f>
        <v>212</v>
      </c>
    </row>
    <row r="4071" spans="1:24" x14ac:dyDescent="0.25">
      <c r="A4071" s="45">
        <v>220210045363</v>
      </c>
      <c r="B4071" s="46" t="s">
        <v>9</v>
      </c>
      <c r="C4071" s="47">
        <v>44413</v>
      </c>
      <c r="D4071" s="45">
        <v>22021005558</v>
      </c>
      <c r="E4071" s="46" t="s">
        <v>3330</v>
      </c>
      <c r="F4071" s="48">
        <v>15691.36</v>
      </c>
      <c r="G4071" s="46" t="s">
        <v>218</v>
      </c>
      <c r="H4071" s="46" t="s">
        <v>5699</v>
      </c>
      <c r="I4071" s="45" t="s">
        <v>125</v>
      </c>
      <c r="J4071" s="46" t="s">
        <v>650</v>
      </c>
      <c r="K4071" s="46" t="s">
        <v>127</v>
      </c>
      <c r="L4071" s="46" t="s">
        <v>12</v>
      </c>
      <c r="M4071" s="46" t="s">
        <v>13</v>
      </c>
      <c r="N4071" s="46" t="s">
        <v>14</v>
      </c>
      <c r="O4071" s="49" t="s">
        <v>803</v>
      </c>
      <c r="P4071" s="49" t="s">
        <v>4910</v>
      </c>
      <c r="Q4071" s="35" t="str">
        <f>MID(Tabla1[[#This Row],[Aplicación]],14,1)</f>
        <v>2</v>
      </c>
      <c r="R4071" s="35" t="s">
        <v>495</v>
      </c>
      <c r="S4071" s="35" t="str">
        <f>MID(Tabla1[[#This Row],[Aplicación]],6,2)</f>
        <v>06</v>
      </c>
      <c r="T4071" s="35" t="str">
        <f>VLOOKUP(Tabla1[[#This Row],[AREA]],Hoja1!A:B,2,FALSE)</f>
        <v>06. Educación, infancia, juventud e igualdad</v>
      </c>
      <c r="U4071" s="35" t="str">
        <f>MID(Tabla1[[#This Row],[Aplicación]],9,4)</f>
        <v>2315</v>
      </c>
      <c r="V4071" s="35" t="str">
        <f>VLOOKUP(Tabla1[[#This Row],[PROGRAMA]],Hoja1!A:B,2,FALSE)</f>
        <v>2315. Políticas de Igualdad e infancia</v>
      </c>
      <c r="W4071" s="35" t="str">
        <f>MID(Tabla1[[#This Row],[Aplicación]],14,2)</f>
        <v>22</v>
      </c>
      <c r="X4071" s="35" t="str">
        <f>MID(Tabla1[[#This Row],[Aplicación]],14,6)</f>
        <v>22619</v>
      </c>
    </row>
    <row r="4072" spans="1:24" x14ac:dyDescent="0.25">
      <c r="A4072" s="45">
        <v>220210053597</v>
      </c>
      <c r="B4072" s="46" t="s">
        <v>204</v>
      </c>
      <c r="C4072" s="47">
        <v>44452</v>
      </c>
      <c r="D4072" s="45">
        <v>22021002374</v>
      </c>
      <c r="E4072" s="46" t="s">
        <v>1336</v>
      </c>
      <c r="F4072" s="48">
        <v>1252.06</v>
      </c>
      <c r="G4072" s="46" t="s">
        <v>256</v>
      </c>
      <c r="H4072" s="46" t="s">
        <v>5700</v>
      </c>
      <c r="I4072" s="45" t="s">
        <v>205</v>
      </c>
      <c r="J4072" s="46" t="s">
        <v>127</v>
      </c>
      <c r="K4072" s="46" t="s">
        <v>127</v>
      </c>
      <c r="L4072" s="46" t="s">
        <v>15</v>
      </c>
      <c r="M4072" s="46" t="s">
        <v>13</v>
      </c>
      <c r="N4072" s="46" t="s">
        <v>14</v>
      </c>
      <c r="O4072" s="49" t="s">
        <v>814</v>
      </c>
      <c r="P4072" s="49" t="s">
        <v>4910</v>
      </c>
      <c r="Q4072" s="35" t="str">
        <f>MID(Tabla1[[#This Row],[Aplicación]],14,1)</f>
        <v>2</v>
      </c>
      <c r="R4072" s="35" t="s">
        <v>495</v>
      </c>
      <c r="S4072" s="35" t="str">
        <f>MID(Tabla1[[#This Row],[Aplicación]],6,2)</f>
        <v>02</v>
      </c>
      <c r="T4072" s="35" t="str">
        <f>VLOOKUP(Tabla1[[#This Row],[AREA]],Hoja1!A:B,2,FALSE)</f>
        <v>02. Planeamiento urbanístico y vivienda</v>
      </c>
      <c r="U4072" s="35" t="str">
        <f>MID(Tabla1[[#This Row],[Aplicación]],9,4)</f>
        <v>9332</v>
      </c>
      <c r="V4072" s="35" t="str">
        <f>VLOOKUP(Tabla1[[#This Row],[PROGRAMA]],Hoja1!A:B,2,FALSE)</f>
        <v>9332. Mantenimiento de edificios e instalaciones municipales</v>
      </c>
      <c r="W4072" s="35" t="str">
        <f>MID(Tabla1[[#This Row],[Aplicación]],14,2)</f>
        <v>21</v>
      </c>
      <c r="X4072" s="35" t="str">
        <f>MID(Tabla1[[#This Row],[Aplicación]],14,6)</f>
        <v>212</v>
      </c>
    </row>
    <row r="4073" spans="1:24" x14ac:dyDescent="0.25">
      <c r="A4073" s="45">
        <v>220210051121</v>
      </c>
      <c r="B4073" s="46" t="s">
        <v>204</v>
      </c>
      <c r="C4073" s="47">
        <v>44448</v>
      </c>
      <c r="D4073" s="45">
        <v>22021004276</v>
      </c>
      <c r="E4073" s="46" t="s">
        <v>1678</v>
      </c>
      <c r="F4073" s="48">
        <v>278.58999999999997</v>
      </c>
      <c r="G4073" s="46" t="s">
        <v>256</v>
      </c>
      <c r="H4073" s="46" t="s">
        <v>5701</v>
      </c>
      <c r="I4073" s="45" t="s">
        <v>205</v>
      </c>
      <c r="J4073" s="46" t="s">
        <v>127</v>
      </c>
      <c r="K4073" s="46" t="s">
        <v>127</v>
      </c>
      <c r="L4073" s="46" t="s">
        <v>12</v>
      </c>
      <c r="M4073" s="46" t="s">
        <v>13</v>
      </c>
      <c r="N4073" s="46" t="s">
        <v>14</v>
      </c>
      <c r="O4073" s="49" t="s">
        <v>814</v>
      </c>
      <c r="P4073" s="49" t="s">
        <v>4910</v>
      </c>
      <c r="Q4073" s="35" t="str">
        <f>MID(Tabla1[[#This Row],[Aplicación]],14,1)</f>
        <v>2</v>
      </c>
      <c r="R4073" s="35" t="s">
        <v>495</v>
      </c>
      <c r="S4073" s="35" t="str">
        <f>MID(Tabla1[[#This Row],[Aplicación]],6,2)</f>
        <v>09</v>
      </c>
      <c r="T4073" s="35" t="str">
        <f>VLOOKUP(Tabla1[[#This Row],[AREA]],Hoja1!A:B,2,FALSE)</f>
        <v>09. Cultura y turismo</v>
      </c>
      <c r="U4073" s="35" t="str">
        <f>MID(Tabla1[[#This Row],[Aplicación]],9,4)</f>
        <v>3341</v>
      </c>
      <c r="V4073" s="35" t="str">
        <f>VLOOKUP(Tabla1[[#This Row],[PROGRAMA]],Hoja1!A:B,2,FALSE)</f>
        <v>3341. Coordinación de políticas culturales</v>
      </c>
      <c r="W4073" s="35" t="str">
        <f>MID(Tabla1[[#This Row],[Aplicación]],14,2)</f>
        <v>21</v>
      </c>
      <c r="X4073" s="35" t="str">
        <f>MID(Tabla1[[#This Row],[Aplicación]],14,6)</f>
        <v>213</v>
      </c>
    </row>
    <row r="4074" spans="1:24" x14ac:dyDescent="0.25">
      <c r="A4074" s="45">
        <v>220210048773</v>
      </c>
      <c r="B4074" s="46" t="s">
        <v>204</v>
      </c>
      <c r="C4074" s="47">
        <v>44428</v>
      </c>
      <c r="D4074" s="45">
        <v>22021002006</v>
      </c>
      <c r="E4074" s="46" t="s">
        <v>1310</v>
      </c>
      <c r="F4074" s="48">
        <v>192</v>
      </c>
      <c r="G4074" s="46" t="s">
        <v>256</v>
      </c>
      <c r="H4074" s="46" t="s">
        <v>5702</v>
      </c>
      <c r="I4074" s="45" t="s">
        <v>205</v>
      </c>
      <c r="J4074" s="46" t="s">
        <v>127</v>
      </c>
      <c r="K4074" s="46" t="s">
        <v>127</v>
      </c>
      <c r="L4074" s="46" t="s">
        <v>15</v>
      </c>
      <c r="M4074" s="46" t="s">
        <v>13</v>
      </c>
      <c r="N4074" s="46" t="s">
        <v>14</v>
      </c>
      <c r="O4074" s="49" t="s">
        <v>814</v>
      </c>
      <c r="P4074" s="49" t="s">
        <v>4910</v>
      </c>
      <c r="Q4074" s="35" t="str">
        <f>MID(Tabla1[[#This Row],[Aplicación]],14,1)</f>
        <v>2</v>
      </c>
      <c r="R4074" s="35" t="s">
        <v>495</v>
      </c>
      <c r="S4074" s="35" t="str">
        <f>MID(Tabla1[[#This Row],[Aplicación]],6,2)</f>
        <v>11</v>
      </c>
      <c r="T4074" s="35" t="str">
        <f>VLOOKUP(Tabla1[[#This Row],[AREA]],Hoja1!A:B,2,FALSE)</f>
        <v>11. Salud pública y seguridad ciudadana</v>
      </c>
      <c r="U4074" s="35" t="str">
        <f>MID(Tabla1[[#This Row],[Aplicación]],9,4)</f>
        <v>3111</v>
      </c>
      <c r="V4074" s="35" t="str">
        <f>VLOOKUP(Tabla1[[#This Row],[PROGRAMA]],Hoja1!A:B,2,FALSE)</f>
        <v>3111. Protección de la salubridad pública</v>
      </c>
      <c r="W4074" s="35" t="str">
        <f>MID(Tabla1[[#This Row],[Aplicación]],14,2)</f>
        <v>22</v>
      </c>
      <c r="X4074" s="35" t="str">
        <f>MID(Tabla1[[#This Row],[Aplicación]],14,6)</f>
        <v>22199</v>
      </c>
    </row>
    <row r="4075" spans="1:24" x14ac:dyDescent="0.25">
      <c r="A4075" s="45">
        <v>220210053453</v>
      </c>
      <c r="B4075" s="46" t="s">
        <v>204</v>
      </c>
      <c r="C4075" s="47">
        <v>44452</v>
      </c>
      <c r="D4075" s="45">
        <v>22021001038</v>
      </c>
      <c r="E4075" s="46" t="s">
        <v>844</v>
      </c>
      <c r="F4075" s="48">
        <v>107.26</v>
      </c>
      <c r="G4075" s="46" t="s">
        <v>256</v>
      </c>
      <c r="H4075" s="46" t="s">
        <v>5703</v>
      </c>
      <c r="I4075" s="45" t="s">
        <v>205</v>
      </c>
      <c r="J4075" s="46" t="s">
        <v>127</v>
      </c>
      <c r="K4075" s="46" t="s">
        <v>127</v>
      </c>
      <c r="L4075" s="46" t="s">
        <v>15</v>
      </c>
      <c r="M4075" s="46" t="s">
        <v>13</v>
      </c>
      <c r="N4075" s="46" t="s">
        <v>14</v>
      </c>
      <c r="O4075" s="49" t="s">
        <v>814</v>
      </c>
      <c r="P4075" s="49" t="s">
        <v>4910</v>
      </c>
      <c r="Q4075" s="35" t="str">
        <f>MID(Tabla1[[#This Row],[Aplicación]],14,1)</f>
        <v>2</v>
      </c>
      <c r="R4075" s="35" t="s">
        <v>495</v>
      </c>
      <c r="S4075" s="35" t="str">
        <f>MID(Tabla1[[#This Row],[Aplicación]],6,2)</f>
        <v>10</v>
      </c>
      <c r="T4075" s="35" t="str">
        <f>VLOOKUP(Tabla1[[#This Row],[AREA]],Hoja1!A:B,2,FALSE)</f>
        <v>10. Servicios sociales y mediación comunitaria</v>
      </c>
      <c r="U4075" s="35" t="str">
        <f>MID(Tabla1[[#This Row],[Aplicación]],9,4)</f>
        <v>2312</v>
      </c>
      <c r="V4075" s="35" t="str">
        <f>VLOOKUP(Tabla1[[#This Row],[PROGRAMA]],Hoja1!A:B,2,FALSE)</f>
        <v>2312. Iniciativas sociales</v>
      </c>
      <c r="W4075" s="35" t="str">
        <f>MID(Tabla1[[#This Row],[Aplicación]],14,2)</f>
        <v>21</v>
      </c>
      <c r="X4075" s="35" t="str">
        <f>MID(Tabla1[[#This Row],[Aplicación]],14,6)</f>
        <v>212</v>
      </c>
    </row>
    <row r="4076" spans="1:24" x14ac:dyDescent="0.25">
      <c r="A4076" s="45">
        <v>220210049788</v>
      </c>
      <c r="B4076" s="46" t="s">
        <v>204</v>
      </c>
      <c r="C4076" s="47">
        <v>44433</v>
      </c>
      <c r="D4076" s="45">
        <v>22021002227</v>
      </c>
      <c r="E4076" s="46" t="s">
        <v>1324</v>
      </c>
      <c r="F4076" s="48">
        <v>57.6</v>
      </c>
      <c r="G4076" s="46" t="s">
        <v>256</v>
      </c>
      <c r="H4076" s="46" t="s">
        <v>5704</v>
      </c>
      <c r="I4076" s="45" t="s">
        <v>205</v>
      </c>
      <c r="J4076" s="46" t="s">
        <v>127</v>
      </c>
      <c r="K4076" s="46" t="s">
        <v>127</v>
      </c>
      <c r="L4076" s="46" t="s">
        <v>15</v>
      </c>
      <c r="M4076" s="46" t="s">
        <v>13</v>
      </c>
      <c r="N4076" s="46" t="s">
        <v>16</v>
      </c>
      <c r="O4076" s="49" t="s">
        <v>814</v>
      </c>
      <c r="P4076" s="49" t="s">
        <v>4910</v>
      </c>
      <c r="Q4076" s="35" t="str">
        <f>MID(Tabla1[[#This Row],[Aplicación]],14,1)</f>
        <v>2</v>
      </c>
      <c r="R4076" s="35" t="s">
        <v>495</v>
      </c>
      <c r="S4076" s="35" t="str">
        <f>MID(Tabla1[[#This Row],[Aplicación]],6,2)</f>
        <v>06</v>
      </c>
      <c r="T4076" s="35" t="str">
        <f>VLOOKUP(Tabla1[[#This Row],[AREA]],Hoja1!A:B,2,FALSE)</f>
        <v>06. Educación, infancia, juventud e igualdad</v>
      </c>
      <c r="U4076" s="35" t="str">
        <f>MID(Tabla1[[#This Row],[Aplicación]],9,4)</f>
        <v>3321</v>
      </c>
      <c r="V4076" s="35" t="str">
        <f>VLOOKUP(Tabla1[[#This Row],[PROGRAMA]],Hoja1!A:B,2,FALSE)</f>
        <v>3321. Bibliotecas públicas</v>
      </c>
      <c r="W4076" s="35" t="str">
        <f>MID(Tabla1[[#This Row],[Aplicación]],14,2)</f>
        <v>21</v>
      </c>
      <c r="X4076" s="35" t="str">
        <f>MID(Tabla1[[#This Row],[Aplicación]],14,6)</f>
        <v>212</v>
      </c>
    </row>
    <row r="4077" spans="1:24" x14ac:dyDescent="0.25">
      <c r="A4077" s="45">
        <v>220210050161</v>
      </c>
      <c r="B4077" s="46" t="s">
        <v>204</v>
      </c>
      <c r="C4077" s="47">
        <v>44435</v>
      </c>
      <c r="D4077" s="45">
        <v>22021004466</v>
      </c>
      <c r="E4077" s="46" t="s">
        <v>1328</v>
      </c>
      <c r="F4077" s="48">
        <v>42.4</v>
      </c>
      <c r="G4077" s="46" t="s">
        <v>256</v>
      </c>
      <c r="H4077" s="46" t="s">
        <v>5705</v>
      </c>
      <c r="I4077" s="45" t="s">
        <v>205</v>
      </c>
      <c r="J4077" s="46" t="s">
        <v>127</v>
      </c>
      <c r="K4077" s="46" t="s">
        <v>127</v>
      </c>
      <c r="L4077" s="46" t="s">
        <v>15</v>
      </c>
      <c r="M4077" s="46" t="s">
        <v>13</v>
      </c>
      <c r="N4077" s="46" t="s">
        <v>14</v>
      </c>
      <c r="O4077" s="49" t="s">
        <v>814</v>
      </c>
      <c r="P4077" s="49" t="s">
        <v>4910</v>
      </c>
      <c r="Q4077" s="35" t="str">
        <f>MID(Tabla1[[#This Row],[Aplicación]],14,1)</f>
        <v>2</v>
      </c>
      <c r="R4077" s="35" t="s">
        <v>495</v>
      </c>
      <c r="S4077" s="35" t="str">
        <f>MID(Tabla1[[#This Row],[Aplicación]],6,2)</f>
        <v>10</v>
      </c>
      <c r="T4077" s="35" t="str">
        <f>VLOOKUP(Tabla1[[#This Row],[AREA]],Hoja1!A:B,2,FALSE)</f>
        <v>10. Servicios sociales y mediación comunitaria</v>
      </c>
      <c r="U4077" s="35" t="str">
        <f>MID(Tabla1[[#This Row],[Aplicación]],9,4)</f>
        <v>2311</v>
      </c>
      <c r="V4077" s="35" t="str">
        <f>VLOOKUP(Tabla1[[#This Row],[PROGRAMA]],Hoja1!A:B,2,FALSE)</f>
        <v>2311. Intervención social</v>
      </c>
      <c r="W4077" s="35" t="str">
        <f>MID(Tabla1[[#This Row],[Aplicación]],14,2)</f>
        <v>21</v>
      </c>
      <c r="X4077" s="35" t="str">
        <f>MID(Tabla1[[#This Row],[Aplicación]],14,6)</f>
        <v>212</v>
      </c>
    </row>
    <row r="4078" spans="1:24" x14ac:dyDescent="0.25">
      <c r="A4078" s="45">
        <v>220210050624</v>
      </c>
      <c r="B4078" s="46" t="s">
        <v>204</v>
      </c>
      <c r="C4078" s="47">
        <v>44441</v>
      </c>
      <c r="D4078" s="45">
        <v>22021002088</v>
      </c>
      <c r="E4078" s="46" t="s">
        <v>1478</v>
      </c>
      <c r="F4078" s="48">
        <v>28.75</v>
      </c>
      <c r="G4078" s="46" t="s">
        <v>256</v>
      </c>
      <c r="H4078" s="46" t="s">
        <v>5706</v>
      </c>
      <c r="I4078" s="45" t="s">
        <v>205</v>
      </c>
      <c r="J4078" s="46" t="s">
        <v>127</v>
      </c>
      <c r="K4078" s="46" t="s">
        <v>127</v>
      </c>
      <c r="L4078" s="46" t="s">
        <v>15</v>
      </c>
      <c r="M4078" s="46" t="s">
        <v>13</v>
      </c>
      <c r="N4078" s="46" t="s">
        <v>14</v>
      </c>
      <c r="O4078" s="49" t="s">
        <v>814</v>
      </c>
      <c r="P4078" s="49" t="s">
        <v>4910</v>
      </c>
      <c r="Q4078" s="35" t="str">
        <f>MID(Tabla1[[#This Row],[Aplicación]],14,1)</f>
        <v>2</v>
      </c>
      <c r="R4078" s="35" t="s">
        <v>495</v>
      </c>
      <c r="S4078" s="35" t="str">
        <f>MID(Tabla1[[#This Row],[Aplicación]],6,2)</f>
        <v>03</v>
      </c>
      <c r="T4078" s="35" t="str">
        <f>VLOOKUP(Tabla1[[#This Row],[AREA]],Hoja1!A:B,2,FALSE)</f>
        <v>03. Participación ciudadana y deportes</v>
      </c>
      <c r="U4078" s="35" t="str">
        <f>MID(Tabla1[[#This Row],[Aplicación]],9,4)</f>
        <v>9241</v>
      </c>
      <c r="V4078" s="35" t="str">
        <f>VLOOKUP(Tabla1[[#This Row],[PROGRAMA]],Hoja1!A:B,2,FALSE)</f>
        <v>9241. Participación ciudadana</v>
      </c>
      <c r="W4078" s="35" t="str">
        <f>MID(Tabla1[[#This Row],[Aplicación]],14,2)</f>
        <v>21</v>
      </c>
      <c r="X4078" s="35" t="str">
        <f>MID(Tabla1[[#This Row],[Aplicación]],14,6)</f>
        <v>212</v>
      </c>
    </row>
    <row r="4079" spans="1:24" x14ac:dyDescent="0.25">
      <c r="A4079" s="45">
        <v>220210053453</v>
      </c>
      <c r="B4079" s="46" t="s">
        <v>204</v>
      </c>
      <c r="C4079" s="47">
        <v>44452</v>
      </c>
      <c r="D4079" s="45">
        <v>22021001039</v>
      </c>
      <c r="E4079" s="46" t="s">
        <v>844</v>
      </c>
      <c r="F4079" s="48">
        <v>7.88</v>
      </c>
      <c r="G4079" s="46" t="s">
        <v>256</v>
      </c>
      <c r="H4079" s="46" t="s">
        <v>5703</v>
      </c>
      <c r="I4079" s="45" t="s">
        <v>205</v>
      </c>
      <c r="J4079" s="46" t="s">
        <v>127</v>
      </c>
      <c r="K4079" s="46" t="s">
        <v>127</v>
      </c>
      <c r="L4079" s="46" t="s">
        <v>15</v>
      </c>
      <c r="M4079" s="46" t="s">
        <v>13</v>
      </c>
      <c r="N4079" s="46" t="s">
        <v>14</v>
      </c>
      <c r="O4079" s="49" t="s">
        <v>814</v>
      </c>
      <c r="P4079" s="49" t="s">
        <v>4910</v>
      </c>
      <c r="Q4079" s="35" t="str">
        <f>MID(Tabla1[[#This Row],[Aplicación]],14,1)</f>
        <v>2</v>
      </c>
      <c r="R4079" s="35" t="s">
        <v>495</v>
      </c>
      <c r="S4079" s="35" t="str">
        <f>MID(Tabla1[[#This Row],[Aplicación]],6,2)</f>
        <v>10</v>
      </c>
      <c r="T4079" s="35" t="str">
        <f>VLOOKUP(Tabla1[[#This Row],[AREA]],Hoja1!A:B,2,FALSE)</f>
        <v>10. Servicios sociales y mediación comunitaria</v>
      </c>
      <c r="U4079" s="35" t="str">
        <f>MID(Tabla1[[#This Row],[Aplicación]],9,4)</f>
        <v>2312</v>
      </c>
      <c r="V4079" s="35" t="str">
        <f>VLOOKUP(Tabla1[[#This Row],[PROGRAMA]],Hoja1!A:B,2,FALSE)</f>
        <v>2312. Iniciativas sociales</v>
      </c>
      <c r="W4079" s="35" t="str">
        <f>MID(Tabla1[[#This Row],[Aplicación]],14,2)</f>
        <v>21</v>
      </c>
      <c r="X4079" s="35" t="str">
        <f>MID(Tabla1[[#This Row],[Aplicación]],14,6)</f>
        <v>212</v>
      </c>
    </row>
    <row r="4080" spans="1:24" x14ac:dyDescent="0.25">
      <c r="A4080" s="45">
        <v>220210039698</v>
      </c>
      <c r="B4080" s="46" t="s">
        <v>9</v>
      </c>
      <c r="C4080" s="47">
        <v>44393</v>
      </c>
      <c r="D4080" s="45">
        <v>22021005755</v>
      </c>
      <c r="E4080" s="46" t="s">
        <v>980</v>
      </c>
      <c r="F4080" s="48">
        <v>1815</v>
      </c>
      <c r="G4080" s="46" t="s">
        <v>5707</v>
      </c>
      <c r="H4080" s="46" t="s">
        <v>5708</v>
      </c>
      <c r="I4080" s="45" t="s">
        <v>125</v>
      </c>
      <c r="J4080" s="46" t="s">
        <v>127</v>
      </c>
      <c r="K4080" s="46" t="s">
        <v>127</v>
      </c>
      <c r="L4080" s="46" t="s">
        <v>12</v>
      </c>
      <c r="M4080" s="46" t="s">
        <v>10</v>
      </c>
      <c r="N4080" s="46" t="s">
        <v>11</v>
      </c>
      <c r="O4080" s="49" t="s">
        <v>815</v>
      </c>
      <c r="P4080" s="49" t="s">
        <v>4910</v>
      </c>
      <c r="Q4080" s="35" t="str">
        <f>MID(Tabla1[[#This Row],[Aplicación]],14,1)</f>
        <v>2</v>
      </c>
      <c r="R4080" s="35" t="s">
        <v>495</v>
      </c>
      <c r="S4080" s="35" t="str">
        <f>MID(Tabla1[[#This Row],[Aplicación]],6,2)</f>
        <v>11</v>
      </c>
      <c r="T4080" s="35" t="str">
        <f>VLOOKUP(Tabla1[[#This Row],[AREA]],Hoja1!A:B,2,FALSE)</f>
        <v>11. Salud pública y seguridad ciudadana</v>
      </c>
      <c r="U4080" s="35" t="str">
        <f>MID(Tabla1[[#This Row],[Aplicación]],9,4)</f>
        <v>1361</v>
      </c>
      <c r="V4080" s="35" t="str">
        <f>VLOOKUP(Tabla1[[#This Row],[PROGRAMA]],Hoja1!A:B,2,FALSE)</f>
        <v>1361. Prevención y extinción de incencios</v>
      </c>
      <c r="W4080" s="35" t="str">
        <f>MID(Tabla1[[#This Row],[Aplicación]],14,2)</f>
        <v>21</v>
      </c>
      <c r="X4080" s="35" t="str">
        <f>MID(Tabla1[[#This Row],[Aplicación]],14,6)</f>
        <v>213</v>
      </c>
    </row>
    <row r="4081" spans="1:24" x14ac:dyDescent="0.25">
      <c r="A4081" s="45">
        <v>220210048443</v>
      </c>
      <c r="B4081" s="46" t="s">
        <v>9</v>
      </c>
      <c r="C4081" s="47">
        <v>44427</v>
      </c>
      <c r="D4081" s="45">
        <v>22021006045</v>
      </c>
      <c r="E4081" s="46" t="s">
        <v>3310</v>
      </c>
      <c r="F4081" s="48">
        <v>105.46</v>
      </c>
      <c r="G4081" s="46" t="s">
        <v>764</v>
      </c>
      <c r="H4081" s="46" t="s">
        <v>5709</v>
      </c>
      <c r="I4081" s="45" t="s">
        <v>125</v>
      </c>
      <c r="J4081" s="46" t="s">
        <v>127</v>
      </c>
      <c r="K4081" s="46" t="s">
        <v>127</v>
      </c>
      <c r="L4081" s="46" t="s">
        <v>12</v>
      </c>
      <c r="M4081" s="46" t="s">
        <v>13</v>
      </c>
      <c r="N4081" s="46" t="s">
        <v>14</v>
      </c>
      <c r="O4081" s="49" t="s">
        <v>814</v>
      </c>
      <c r="P4081" s="49" t="s">
        <v>4910</v>
      </c>
      <c r="Q4081" s="35" t="str">
        <f>MID(Tabla1[[#This Row],[Aplicación]],14,1)</f>
        <v>6</v>
      </c>
      <c r="R4081" s="35" t="s">
        <v>496</v>
      </c>
      <c r="S4081" s="35" t="str">
        <f>MID(Tabla1[[#This Row],[Aplicación]],6,2)</f>
        <v>06</v>
      </c>
      <c r="T4081" s="35" t="str">
        <f>VLOOKUP(Tabla1[[#This Row],[AREA]],Hoja1!A:B,2,FALSE)</f>
        <v>06. Educación, infancia, juventud e igualdad</v>
      </c>
      <c r="U4081" s="35" t="str">
        <f>MID(Tabla1[[#This Row],[Aplicación]],9,4)</f>
        <v>3231</v>
      </c>
      <c r="V4081" s="35" t="str">
        <f>VLOOKUP(Tabla1[[#This Row],[PROGRAMA]],Hoja1!A:B,2,FALSE)</f>
        <v>3231. Escuelas infantiles</v>
      </c>
      <c r="W4081" s="35" t="str">
        <f>MID(Tabla1[[#This Row],[Aplicación]],14,2)</f>
        <v>63</v>
      </c>
      <c r="X4081" s="35" t="str">
        <f>MID(Tabla1[[#This Row],[Aplicación]],14,6)</f>
        <v>632</v>
      </c>
    </row>
    <row r="4082" spans="1:24" x14ac:dyDescent="0.25">
      <c r="A4082" s="45">
        <v>220210039688</v>
      </c>
      <c r="B4082" s="46" t="s">
        <v>9</v>
      </c>
      <c r="C4082" s="47">
        <v>44393</v>
      </c>
      <c r="D4082" s="45">
        <v>22021005731</v>
      </c>
      <c r="E4082" s="46" t="s">
        <v>1267</v>
      </c>
      <c r="F4082" s="48">
        <v>704.34</v>
      </c>
      <c r="G4082" s="46" t="s">
        <v>297</v>
      </c>
      <c r="H4082" s="46" t="s">
        <v>5710</v>
      </c>
      <c r="I4082" s="45" t="s">
        <v>125</v>
      </c>
      <c r="J4082" s="46" t="s">
        <v>127</v>
      </c>
      <c r="K4082" s="46" t="s">
        <v>127</v>
      </c>
      <c r="L4082" s="46" t="s">
        <v>15</v>
      </c>
      <c r="M4082" s="46" t="s">
        <v>10</v>
      </c>
      <c r="N4082" s="46" t="s">
        <v>11</v>
      </c>
      <c r="O4082" s="49" t="s">
        <v>815</v>
      </c>
      <c r="P4082" s="49" t="s">
        <v>4910</v>
      </c>
      <c r="Q4082" s="35" t="str">
        <f>MID(Tabla1[[#This Row],[Aplicación]],14,1)</f>
        <v>2</v>
      </c>
      <c r="R4082" s="35" t="s">
        <v>495</v>
      </c>
      <c r="S4082" s="35" t="str">
        <f>MID(Tabla1[[#This Row],[Aplicación]],6,2)</f>
        <v>03</v>
      </c>
      <c r="T4082" s="35" t="str">
        <f>VLOOKUP(Tabla1[[#This Row],[AREA]],Hoja1!A:B,2,FALSE)</f>
        <v>03. Participación ciudadana y deportes</v>
      </c>
      <c r="U4082" s="35" t="str">
        <f>MID(Tabla1[[#This Row],[Aplicación]],9,4)</f>
        <v>9241</v>
      </c>
      <c r="V4082" s="35" t="str">
        <f>VLOOKUP(Tabla1[[#This Row],[PROGRAMA]],Hoja1!A:B,2,FALSE)</f>
        <v>9241. Participación ciudadana</v>
      </c>
      <c r="W4082" s="35" t="str">
        <f>MID(Tabla1[[#This Row],[Aplicación]],14,2)</f>
        <v>22</v>
      </c>
      <c r="X4082" s="35" t="str">
        <f>MID(Tabla1[[#This Row],[Aplicación]],14,6)</f>
        <v>22602</v>
      </c>
    </row>
    <row r="4083" spans="1:24" x14ac:dyDescent="0.25">
      <c r="A4083" s="45">
        <v>220210036306</v>
      </c>
      <c r="B4083" s="46" t="s">
        <v>9</v>
      </c>
      <c r="C4083" s="47">
        <v>44384</v>
      </c>
      <c r="D4083" s="45">
        <v>22021005179</v>
      </c>
      <c r="E4083" s="46" t="s">
        <v>1267</v>
      </c>
      <c r="F4083" s="48">
        <v>568.07000000000005</v>
      </c>
      <c r="G4083" s="46" t="s">
        <v>297</v>
      </c>
      <c r="H4083" s="46" t="s">
        <v>5711</v>
      </c>
      <c r="I4083" s="45" t="s">
        <v>125</v>
      </c>
      <c r="J4083" s="46" t="s">
        <v>127</v>
      </c>
      <c r="K4083" s="46" t="s">
        <v>127</v>
      </c>
      <c r="L4083" s="46" t="s">
        <v>15</v>
      </c>
      <c r="M4083" s="46" t="s">
        <v>10</v>
      </c>
      <c r="N4083" s="46" t="s">
        <v>11</v>
      </c>
      <c r="O4083" s="49" t="s">
        <v>815</v>
      </c>
      <c r="P4083" s="49" t="s">
        <v>4910</v>
      </c>
      <c r="Q4083" s="35" t="str">
        <f>MID(Tabla1[[#This Row],[Aplicación]],14,1)</f>
        <v>2</v>
      </c>
      <c r="R4083" s="35" t="s">
        <v>495</v>
      </c>
      <c r="S4083" s="35" t="str">
        <f>MID(Tabla1[[#This Row],[Aplicación]],6,2)</f>
        <v>03</v>
      </c>
      <c r="T4083" s="35" t="str">
        <f>VLOOKUP(Tabla1[[#This Row],[AREA]],Hoja1!A:B,2,FALSE)</f>
        <v>03. Participación ciudadana y deportes</v>
      </c>
      <c r="U4083" s="35" t="str">
        <f>MID(Tabla1[[#This Row],[Aplicación]],9,4)</f>
        <v>9241</v>
      </c>
      <c r="V4083" s="35" t="str">
        <f>VLOOKUP(Tabla1[[#This Row],[PROGRAMA]],Hoja1!A:B,2,FALSE)</f>
        <v>9241. Participación ciudadana</v>
      </c>
      <c r="W4083" s="35" t="str">
        <f>MID(Tabla1[[#This Row],[Aplicación]],14,2)</f>
        <v>22</v>
      </c>
      <c r="X4083" s="35" t="str">
        <f>MID(Tabla1[[#This Row],[Aplicación]],14,6)</f>
        <v>22602</v>
      </c>
    </row>
    <row r="4084" spans="1:24" x14ac:dyDescent="0.25">
      <c r="A4084" s="45">
        <v>220210045555</v>
      </c>
      <c r="B4084" s="46" t="s">
        <v>9</v>
      </c>
      <c r="C4084" s="47">
        <v>44414</v>
      </c>
      <c r="D4084" s="45">
        <v>22021005994</v>
      </c>
      <c r="E4084" s="46" t="s">
        <v>1267</v>
      </c>
      <c r="F4084" s="48">
        <v>99.99</v>
      </c>
      <c r="G4084" s="46" t="s">
        <v>297</v>
      </c>
      <c r="H4084" s="46" t="s">
        <v>5712</v>
      </c>
      <c r="I4084" s="45" t="s">
        <v>125</v>
      </c>
      <c r="J4084" s="46" t="s">
        <v>127</v>
      </c>
      <c r="K4084" s="46" t="s">
        <v>127</v>
      </c>
      <c r="L4084" s="46" t="s">
        <v>12</v>
      </c>
      <c r="M4084" s="46" t="s">
        <v>10</v>
      </c>
      <c r="N4084" s="46" t="s">
        <v>11</v>
      </c>
      <c r="O4084" s="49" t="s">
        <v>815</v>
      </c>
      <c r="P4084" s="49" t="s">
        <v>4910</v>
      </c>
      <c r="Q4084" s="35" t="str">
        <f>MID(Tabla1[[#This Row],[Aplicación]],14,1)</f>
        <v>2</v>
      </c>
      <c r="R4084" s="35" t="s">
        <v>495</v>
      </c>
      <c r="S4084" s="35" t="str">
        <f>MID(Tabla1[[#This Row],[Aplicación]],6,2)</f>
        <v>03</v>
      </c>
      <c r="T4084" s="35" t="str">
        <f>VLOOKUP(Tabla1[[#This Row],[AREA]],Hoja1!A:B,2,FALSE)</f>
        <v>03. Participación ciudadana y deportes</v>
      </c>
      <c r="U4084" s="35" t="str">
        <f>MID(Tabla1[[#This Row],[Aplicación]],9,4)</f>
        <v>9241</v>
      </c>
      <c r="V4084" s="35" t="str">
        <f>VLOOKUP(Tabla1[[#This Row],[PROGRAMA]],Hoja1!A:B,2,FALSE)</f>
        <v>9241. Participación ciudadana</v>
      </c>
      <c r="W4084" s="35" t="str">
        <f>MID(Tabla1[[#This Row],[Aplicación]],14,2)</f>
        <v>22</v>
      </c>
      <c r="X4084" s="35" t="str">
        <f>MID(Tabla1[[#This Row],[Aplicación]],14,6)</f>
        <v>22602</v>
      </c>
    </row>
    <row r="4085" spans="1:24" x14ac:dyDescent="0.25">
      <c r="A4085" s="45">
        <v>220210043785</v>
      </c>
      <c r="B4085" s="46" t="s">
        <v>204</v>
      </c>
      <c r="C4085" s="47">
        <v>44404</v>
      </c>
      <c r="D4085" s="45">
        <v>22021003333</v>
      </c>
      <c r="E4085" s="46" t="s">
        <v>1286</v>
      </c>
      <c r="F4085" s="48">
        <v>20831.64</v>
      </c>
      <c r="G4085" s="46" t="s">
        <v>5713</v>
      </c>
      <c r="H4085" s="46" t="s">
        <v>5714</v>
      </c>
      <c r="I4085" s="45" t="s">
        <v>205</v>
      </c>
      <c r="J4085" s="46" t="s">
        <v>660</v>
      </c>
      <c r="K4085" s="46" t="s">
        <v>126</v>
      </c>
      <c r="L4085" s="46" t="s">
        <v>15</v>
      </c>
      <c r="M4085" s="46" t="s">
        <v>13</v>
      </c>
      <c r="N4085" s="46" t="s">
        <v>16</v>
      </c>
      <c r="O4085" s="49" t="s">
        <v>803</v>
      </c>
      <c r="P4085" s="49" t="s">
        <v>4910</v>
      </c>
      <c r="Q4085" s="35" t="str">
        <f>MID(Tabla1[[#This Row],[Aplicación]],14,1)</f>
        <v>6</v>
      </c>
      <c r="R4085" s="35" t="s">
        <v>496</v>
      </c>
      <c r="S4085" s="35" t="str">
        <f>MID(Tabla1[[#This Row],[Aplicación]],6,2)</f>
        <v>04</v>
      </c>
      <c r="T4085" s="35" t="str">
        <f>VLOOKUP(Tabla1[[#This Row],[AREA]],Hoja1!A:B,2,FALSE)</f>
        <v>04. Planificación y recursos</v>
      </c>
      <c r="U4085" s="35" t="str">
        <f>MID(Tabla1[[#This Row],[Aplicación]],9,4)</f>
        <v>9204</v>
      </c>
      <c r="V4085" s="35" t="str">
        <f>VLOOKUP(Tabla1[[#This Row],[PROGRAMA]],Hoja1!A:B,2,FALSE)</f>
        <v>9204. Tecnologías de la información y comunicación</v>
      </c>
      <c r="W4085" s="35" t="str">
        <f>MID(Tabla1[[#This Row],[Aplicación]],14,2)</f>
        <v>64</v>
      </c>
      <c r="X4085" s="35" t="str">
        <f>MID(Tabla1[[#This Row],[Aplicación]],14,6)</f>
        <v>641</v>
      </c>
    </row>
    <row r="4086" spans="1:24" x14ac:dyDescent="0.25">
      <c r="A4086" s="45">
        <v>220210043790</v>
      </c>
      <c r="B4086" s="46" t="s">
        <v>204</v>
      </c>
      <c r="C4086" s="47">
        <v>44404</v>
      </c>
      <c r="D4086" s="45">
        <v>22021003310</v>
      </c>
      <c r="E4086" s="46" t="s">
        <v>827</v>
      </c>
      <c r="F4086" s="48">
        <v>3773.26</v>
      </c>
      <c r="G4086" s="46" t="s">
        <v>296</v>
      </c>
      <c r="H4086" s="46" t="s">
        <v>5715</v>
      </c>
      <c r="I4086" s="45" t="s">
        <v>205</v>
      </c>
      <c r="J4086" s="46" t="s">
        <v>719</v>
      </c>
      <c r="K4086" s="46" t="s">
        <v>126</v>
      </c>
      <c r="L4086" s="46" t="s">
        <v>15</v>
      </c>
      <c r="M4086" s="46" t="s">
        <v>13</v>
      </c>
      <c r="N4086" s="46" t="s">
        <v>16</v>
      </c>
      <c r="O4086" s="49" t="s">
        <v>803</v>
      </c>
      <c r="P4086" s="49" t="s">
        <v>4910</v>
      </c>
      <c r="Q4086" s="35" t="str">
        <f>MID(Tabla1[[#This Row],[Aplicación]],14,1)</f>
        <v>2</v>
      </c>
      <c r="R4086" s="35" t="s">
        <v>495</v>
      </c>
      <c r="S4086" s="35" t="str">
        <f>MID(Tabla1[[#This Row],[Aplicación]],6,2)</f>
        <v>04</v>
      </c>
      <c r="T4086" s="35" t="str">
        <f>VLOOKUP(Tabla1[[#This Row],[AREA]],Hoja1!A:B,2,FALSE)</f>
        <v>04. Planificación y recursos</v>
      </c>
      <c r="U4086" s="35" t="str">
        <f>MID(Tabla1[[#This Row],[Aplicación]],9,4)</f>
        <v>9204</v>
      </c>
      <c r="V4086" s="35" t="str">
        <f>VLOOKUP(Tabla1[[#This Row],[PROGRAMA]],Hoja1!A:B,2,FALSE)</f>
        <v>9204. Tecnologías de la información y comunicación</v>
      </c>
      <c r="W4086" s="35" t="str">
        <f>MID(Tabla1[[#This Row],[Aplicación]],14,2)</f>
        <v>21</v>
      </c>
      <c r="X4086" s="35" t="str">
        <f>MID(Tabla1[[#This Row],[Aplicación]],14,6)</f>
        <v>216</v>
      </c>
    </row>
    <row r="4087" spans="1:24" x14ac:dyDescent="0.25">
      <c r="A4087" s="45">
        <v>220210044268</v>
      </c>
      <c r="B4087" s="46" t="s">
        <v>9</v>
      </c>
      <c r="C4087" s="47">
        <v>44406</v>
      </c>
      <c r="D4087" s="45">
        <v>22021005892</v>
      </c>
      <c r="E4087" s="46" t="s">
        <v>3333</v>
      </c>
      <c r="F4087" s="48">
        <v>363</v>
      </c>
      <c r="G4087" s="46" t="s">
        <v>5716</v>
      </c>
      <c r="H4087" s="46" t="s">
        <v>5717</v>
      </c>
      <c r="I4087" s="45" t="s">
        <v>125</v>
      </c>
      <c r="J4087" s="46" t="s">
        <v>822</v>
      </c>
      <c r="K4087" s="46" t="s">
        <v>822</v>
      </c>
      <c r="L4087" s="46" t="s">
        <v>12</v>
      </c>
      <c r="M4087" s="46" t="s">
        <v>10</v>
      </c>
      <c r="N4087" s="46" t="s">
        <v>11</v>
      </c>
      <c r="O4087" s="49" t="s">
        <v>815</v>
      </c>
      <c r="P4087" s="49" t="s">
        <v>4910</v>
      </c>
      <c r="Q4087" s="35" t="str">
        <f>MID(Tabla1[[#This Row],[Aplicación]],14,1)</f>
        <v>2</v>
      </c>
      <c r="R4087" s="35" t="s">
        <v>495</v>
      </c>
      <c r="S4087" s="35" t="str">
        <f>MID(Tabla1[[#This Row],[Aplicación]],6,2)</f>
        <v>10</v>
      </c>
      <c r="T4087" s="35" t="str">
        <f>VLOOKUP(Tabla1[[#This Row],[AREA]],Hoja1!A:B,2,FALSE)</f>
        <v>10. Servicios sociales y mediación comunitaria</v>
      </c>
      <c r="U4087" s="35" t="str">
        <f>MID(Tabla1[[#This Row],[Aplicación]],9,4)</f>
        <v>2316</v>
      </c>
      <c r="V4087" s="35" t="str">
        <f>VLOOKUP(Tabla1[[#This Row],[PROGRAMA]],Hoja1!A:B,2,FALSE)</f>
        <v>2316. Mediación comunitaria</v>
      </c>
      <c r="W4087" s="35" t="str">
        <f>MID(Tabla1[[#This Row],[Aplicación]],14,2)</f>
        <v>22</v>
      </c>
      <c r="X4087" s="35" t="str">
        <f>MID(Tabla1[[#This Row],[Aplicación]],14,6)</f>
        <v>22616</v>
      </c>
    </row>
    <row r="4088" spans="1:24" x14ac:dyDescent="0.25">
      <c r="A4088" s="45">
        <v>220210043807</v>
      </c>
      <c r="B4088" s="46" t="s">
        <v>9</v>
      </c>
      <c r="C4088" s="47">
        <v>44404</v>
      </c>
      <c r="D4088" s="45">
        <v>22021005808</v>
      </c>
      <c r="E4088" s="46" t="s">
        <v>1220</v>
      </c>
      <c r="F4088" s="48">
        <v>1437.48</v>
      </c>
      <c r="G4088" s="46" t="s">
        <v>166</v>
      </c>
      <c r="H4088" s="46" t="s">
        <v>5718</v>
      </c>
      <c r="I4088" s="45" t="s">
        <v>125</v>
      </c>
      <c r="J4088" s="46" t="s">
        <v>126</v>
      </c>
      <c r="K4088" s="46" t="s">
        <v>126</v>
      </c>
      <c r="L4088" s="46" t="s">
        <v>12</v>
      </c>
      <c r="M4088" s="46" t="s">
        <v>10</v>
      </c>
      <c r="N4088" s="46" t="s">
        <v>11</v>
      </c>
      <c r="O4088" s="49" t="s">
        <v>815</v>
      </c>
      <c r="P4088" s="49" t="s">
        <v>4910</v>
      </c>
      <c r="Q4088" s="35" t="str">
        <f>MID(Tabla1[[#This Row],[Aplicación]],14,1)</f>
        <v>2</v>
      </c>
      <c r="R4088" s="35" t="s">
        <v>495</v>
      </c>
      <c r="S4088" s="35" t="str">
        <f>MID(Tabla1[[#This Row],[Aplicación]],6,2)</f>
        <v>03</v>
      </c>
      <c r="T4088" s="35" t="str">
        <f>VLOOKUP(Tabla1[[#This Row],[AREA]],Hoja1!A:B,2,FALSE)</f>
        <v>03. Participación ciudadana y deportes</v>
      </c>
      <c r="U4088" s="35" t="str">
        <f>MID(Tabla1[[#This Row],[Aplicación]],9,4)</f>
        <v>9241</v>
      </c>
      <c r="V4088" s="35" t="str">
        <f>VLOOKUP(Tabla1[[#This Row],[PROGRAMA]],Hoja1!A:B,2,FALSE)</f>
        <v>9241. Participación ciudadana</v>
      </c>
      <c r="W4088" s="35" t="str">
        <f>MID(Tabla1[[#This Row],[Aplicación]],14,2)</f>
        <v>21</v>
      </c>
      <c r="X4088" s="35" t="str">
        <f>MID(Tabla1[[#This Row],[Aplicación]],14,6)</f>
        <v>213</v>
      </c>
    </row>
    <row r="4089" spans="1:24" x14ac:dyDescent="0.25">
      <c r="A4089" s="45">
        <v>220210045361</v>
      </c>
      <c r="B4089" s="46" t="s">
        <v>9</v>
      </c>
      <c r="C4089" s="47">
        <v>44413</v>
      </c>
      <c r="D4089" s="45">
        <v>22021005097</v>
      </c>
      <c r="E4089" s="46" t="s">
        <v>1166</v>
      </c>
      <c r="F4089" s="48">
        <v>35420.46</v>
      </c>
      <c r="G4089" s="46" t="s">
        <v>166</v>
      </c>
      <c r="H4089" s="46" t="s">
        <v>5719</v>
      </c>
      <c r="I4089" s="45" t="s">
        <v>125</v>
      </c>
      <c r="J4089" s="46" t="s">
        <v>126</v>
      </c>
      <c r="K4089" s="46" t="s">
        <v>126</v>
      </c>
      <c r="L4089" s="46" t="s">
        <v>12</v>
      </c>
      <c r="M4089" s="46" t="s">
        <v>13</v>
      </c>
      <c r="N4089" s="46" t="s">
        <v>14</v>
      </c>
      <c r="O4089" s="49" t="s">
        <v>803</v>
      </c>
      <c r="P4089" s="49" t="s">
        <v>4910</v>
      </c>
      <c r="Q4089" s="35" t="str">
        <f>MID(Tabla1[[#This Row],[Aplicación]],14,1)</f>
        <v>2</v>
      </c>
      <c r="R4089" s="35" t="s">
        <v>495</v>
      </c>
      <c r="S4089" s="35" t="str">
        <f>MID(Tabla1[[#This Row],[Aplicación]],6,2)</f>
        <v>03</v>
      </c>
      <c r="T4089" s="35" t="str">
        <f>VLOOKUP(Tabla1[[#This Row],[AREA]],Hoja1!A:B,2,FALSE)</f>
        <v>03. Participación ciudadana y deportes</v>
      </c>
      <c r="U4089" s="35" t="str">
        <f>MID(Tabla1[[#This Row],[Aplicación]],9,4)</f>
        <v>9241</v>
      </c>
      <c r="V4089" s="35" t="str">
        <f>VLOOKUP(Tabla1[[#This Row],[PROGRAMA]],Hoja1!A:B,2,FALSE)</f>
        <v>9241. Participación ciudadana</v>
      </c>
      <c r="W4089" s="35" t="str">
        <f>MID(Tabla1[[#This Row],[Aplicación]],14,2)</f>
        <v>22</v>
      </c>
      <c r="X4089" s="35" t="str">
        <f>MID(Tabla1[[#This Row],[Aplicación]],14,6)</f>
        <v>22799</v>
      </c>
    </row>
    <row r="4090" spans="1:24" x14ac:dyDescent="0.25">
      <c r="A4090" s="45">
        <v>220210056311</v>
      </c>
      <c r="B4090" s="46" t="s">
        <v>9</v>
      </c>
      <c r="C4090" s="47">
        <v>44454</v>
      </c>
      <c r="D4090" s="45">
        <v>22021006492</v>
      </c>
      <c r="E4090" s="46" t="s">
        <v>1183</v>
      </c>
      <c r="F4090" s="48">
        <v>86.4</v>
      </c>
      <c r="G4090" s="46" t="s">
        <v>248</v>
      </c>
      <c r="H4090" s="46" t="s">
        <v>5720</v>
      </c>
      <c r="I4090" s="45" t="s">
        <v>125</v>
      </c>
      <c r="J4090" s="46" t="s">
        <v>146</v>
      </c>
      <c r="K4090" s="46" t="s">
        <v>146</v>
      </c>
      <c r="L4090" s="46" t="s">
        <v>15</v>
      </c>
      <c r="M4090" s="46" t="s">
        <v>10</v>
      </c>
      <c r="N4090" s="46" t="s">
        <v>11</v>
      </c>
      <c r="O4090" s="49" t="s">
        <v>815</v>
      </c>
      <c r="P4090" s="49" t="s">
        <v>4910</v>
      </c>
      <c r="Q4090" s="35" t="str">
        <f>MID(Tabla1[[#This Row],[Aplicación]],14,1)</f>
        <v>2</v>
      </c>
      <c r="R4090" s="35" t="s">
        <v>495</v>
      </c>
      <c r="S4090" s="35" t="str">
        <f>MID(Tabla1[[#This Row],[Aplicación]],6,2)</f>
        <v>11</v>
      </c>
      <c r="T4090" s="35" t="str">
        <f>VLOOKUP(Tabla1[[#This Row],[AREA]],Hoja1!A:B,2,FALSE)</f>
        <v>11. Salud pública y seguridad ciudadana</v>
      </c>
      <c r="U4090" s="35" t="str">
        <f>MID(Tabla1[[#This Row],[Aplicación]],9,4)</f>
        <v>1361</v>
      </c>
      <c r="V4090" s="35" t="str">
        <f>VLOOKUP(Tabla1[[#This Row],[PROGRAMA]],Hoja1!A:B,2,FALSE)</f>
        <v>1361. Prevención y extinción de incencios</v>
      </c>
      <c r="W4090" s="35" t="str">
        <f>MID(Tabla1[[#This Row],[Aplicación]],14,2)</f>
        <v>22</v>
      </c>
      <c r="X4090" s="35" t="str">
        <f>MID(Tabla1[[#This Row],[Aplicación]],14,6)</f>
        <v>22199</v>
      </c>
    </row>
    <row r="4091" spans="1:24" x14ac:dyDescent="0.25">
      <c r="A4091" s="45">
        <v>220210056291</v>
      </c>
      <c r="B4091" s="46" t="s">
        <v>9</v>
      </c>
      <c r="C4091" s="47">
        <v>44454</v>
      </c>
      <c r="D4091" s="45">
        <v>22021005812</v>
      </c>
      <c r="E4091" s="46" t="s">
        <v>2668</v>
      </c>
      <c r="F4091" s="48">
        <v>170.59</v>
      </c>
      <c r="G4091" s="46" t="s">
        <v>764</v>
      </c>
      <c r="H4091" s="46" t="s">
        <v>5721</v>
      </c>
      <c r="I4091" s="45" t="s">
        <v>216</v>
      </c>
      <c r="J4091" s="46" t="s">
        <v>127</v>
      </c>
      <c r="K4091" s="46" t="s">
        <v>127</v>
      </c>
      <c r="L4091" s="46" t="s">
        <v>31</v>
      </c>
      <c r="M4091" s="46" t="s">
        <v>13</v>
      </c>
      <c r="N4091" s="46" t="s">
        <v>14</v>
      </c>
      <c r="O4091" s="49" t="s">
        <v>814</v>
      </c>
      <c r="P4091" s="49" t="s">
        <v>4910</v>
      </c>
      <c r="Q4091" s="35" t="str">
        <f>MID(Tabla1[[#This Row],[Aplicación]],14,1)</f>
        <v>6</v>
      </c>
      <c r="R4091" s="35" t="s">
        <v>496</v>
      </c>
      <c r="S4091" s="35" t="str">
        <f>MID(Tabla1[[#This Row],[Aplicación]],6,2)</f>
        <v>10</v>
      </c>
      <c r="T4091" s="35" t="str">
        <f>VLOOKUP(Tabla1[[#This Row],[AREA]],Hoja1!A:B,2,FALSE)</f>
        <v>10. Servicios sociales y mediación comunitaria</v>
      </c>
      <c r="U4091" s="35" t="str">
        <f>MID(Tabla1[[#This Row],[Aplicación]],9,4)</f>
        <v>2311</v>
      </c>
      <c r="V4091" s="35" t="str">
        <f>VLOOKUP(Tabla1[[#This Row],[PROGRAMA]],Hoja1!A:B,2,FALSE)</f>
        <v>2311. Intervención social</v>
      </c>
      <c r="W4091" s="35" t="str">
        <f>MID(Tabla1[[#This Row],[Aplicación]],14,2)</f>
        <v>63</v>
      </c>
      <c r="X4091" s="35" t="str">
        <f>MID(Tabla1[[#This Row],[Aplicación]],14,6)</f>
        <v>632</v>
      </c>
    </row>
    <row r="4092" spans="1:24" x14ac:dyDescent="0.25">
      <c r="A4092" s="45">
        <v>220210037305</v>
      </c>
      <c r="B4092" s="46" t="s">
        <v>9</v>
      </c>
      <c r="C4092" s="47">
        <v>44392</v>
      </c>
      <c r="D4092" s="45">
        <v>22021005718</v>
      </c>
      <c r="E4092" s="46" t="s">
        <v>3333</v>
      </c>
      <c r="F4092" s="48">
        <v>250</v>
      </c>
      <c r="G4092" s="46" t="s">
        <v>40</v>
      </c>
      <c r="H4092" s="46" t="s">
        <v>5722</v>
      </c>
      <c r="I4092" s="45" t="s">
        <v>125</v>
      </c>
      <c r="J4092" s="46" t="s">
        <v>127</v>
      </c>
      <c r="K4092" s="46" t="s">
        <v>127</v>
      </c>
      <c r="L4092" s="46" t="s">
        <v>12</v>
      </c>
      <c r="M4092" s="46" t="s">
        <v>10</v>
      </c>
      <c r="N4092" s="46" t="s">
        <v>11</v>
      </c>
      <c r="O4092" s="49" t="s">
        <v>815</v>
      </c>
      <c r="P4092" s="49" t="s">
        <v>4910</v>
      </c>
      <c r="Q4092" s="35" t="str">
        <f>MID(Tabla1[[#This Row],[Aplicación]],14,1)</f>
        <v>2</v>
      </c>
      <c r="R4092" s="35" t="s">
        <v>495</v>
      </c>
      <c r="S4092" s="35" t="str">
        <f>MID(Tabla1[[#This Row],[Aplicación]],6,2)</f>
        <v>10</v>
      </c>
      <c r="T4092" s="35" t="str">
        <f>VLOOKUP(Tabla1[[#This Row],[AREA]],Hoja1!A:B,2,FALSE)</f>
        <v>10. Servicios sociales y mediación comunitaria</v>
      </c>
      <c r="U4092" s="35" t="str">
        <f>MID(Tabla1[[#This Row],[Aplicación]],9,4)</f>
        <v>2316</v>
      </c>
      <c r="V4092" s="35" t="str">
        <f>VLOOKUP(Tabla1[[#This Row],[PROGRAMA]],Hoja1!A:B,2,FALSE)</f>
        <v>2316. Mediación comunitaria</v>
      </c>
      <c r="W4092" s="35" t="str">
        <f>MID(Tabla1[[#This Row],[Aplicación]],14,2)</f>
        <v>22</v>
      </c>
      <c r="X4092" s="35" t="str">
        <f>MID(Tabla1[[#This Row],[Aplicación]],14,6)</f>
        <v>22616</v>
      </c>
    </row>
    <row r="4093" spans="1:24" x14ac:dyDescent="0.25">
      <c r="A4093" s="45">
        <v>220210039531</v>
      </c>
      <c r="B4093" s="46" t="s">
        <v>9</v>
      </c>
      <c r="C4093" s="47">
        <v>44392</v>
      </c>
      <c r="D4093" s="45">
        <v>22021004992</v>
      </c>
      <c r="E4093" s="46" t="s">
        <v>2590</v>
      </c>
      <c r="F4093" s="48">
        <v>14692.16</v>
      </c>
      <c r="G4093" s="46" t="s">
        <v>5723</v>
      </c>
      <c r="H4093" s="46" t="s">
        <v>5724</v>
      </c>
      <c r="I4093" s="45" t="s">
        <v>125</v>
      </c>
      <c r="J4093" s="46" t="s">
        <v>5725</v>
      </c>
      <c r="K4093" s="46" t="s">
        <v>5237</v>
      </c>
      <c r="L4093" s="46" t="s">
        <v>12</v>
      </c>
      <c r="M4093" s="46" t="s">
        <v>10</v>
      </c>
      <c r="N4093" s="46" t="s">
        <v>11</v>
      </c>
      <c r="O4093" s="49" t="s">
        <v>815</v>
      </c>
      <c r="P4093" s="49" t="s">
        <v>4910</v>
      </c>
      <c r="Q4093" s="35" t="str">
        <f>MID(Tabla1[[#This Row],[Aplicación]],14,1)</f>
        <v>6</v>
      </c>
      <c r="R4093" s="35" t="s">
        <v>496</v>
      </c>
      <c r="S4093" s="35" t="str">
        <f>MID(Tabla1[[#This Row],[Aplicación]],6,2)</f>
        <v>02</v>
      </c>
      <c r="T4093" s="35" t="str">
        <f>VLOOKUP(Tabla1[[#This Row],[AREA]],Hoja1!A:B,2,FALSE)</f>
        <v>02. Planeamiento urbanístico y vivienda</v>
      </c>
      <c r="U4093" s="35" t="str">
        <f>MID(Tabla1[[#This Row],[Aplicación]],9,4)</f>
        <v>1511</v>
      </c>
      <c r="V4093" s="35" t="str">
        <f>VLOOKUP(Tabla1[[#This Row],[PROGRAMA]],Hoja1!A:B,2,FALSE)</f>
        <v>1511. Planficación y gestión del urbanismo</v>
      </c>
      <c r="W4093" s="35" t="str">
        <f>MID(Tabla1[[#This Row],[Aplicación]],14,2)</f>
        <v>60</v>
      </c>
      <c r="X4093" s="35" t="str">
        <f>MID(Tabla1[[#This Row],[Aplicación]],14,6)</f>
        <v>609</v>
      </c>
    </row>
    <row r="4094" spans="1:24" x14ac:dyDescent="0.25">
      <c r="A4094" s="45">
        <v>220210036828</v>
      </c>
      <c r="B4094" s="46" t="s">
        <v>9</v>
      </c>
      <c r="C4094" s="47">
        <v>44386</v>
      </c>
      <c r="D4094" s="45">
        <v>22021005014</v>
      </c>
      <c r="E4094" s="46" t="s">
        <v>1267</v>
      </c>
      <c r="F4094" s="48">
        <v>2000</v>
      </c>
      <c r="G4094" s="46" t="s">
        <v>5726</v>
      </c>
      <c r="H4094" s="46" t="s">
        <v>5126</v>
      </c>
      <c r="I4094" s="45" t="s">
        <v>125</v>
      </c>
      <c r="J4094" s="46" t="s">
        <v>127</v>
      </c>
      <c r="K4094" s="46" t="s">
        <v>127</v>
      </c>
      <c r="L4094" s="46" t="s">
        <v>12</v>
      </c>
      <c r="M4094" s="46" t="s">
        <v>13</v>
      </c>
      <c r="N4094" s="46" t="s">
        <v>14</v>
      </c>
      <c r="O4094" s="49" t="s">
        <v>814</v>
      </c>
      <c r="P4094" s="49" t="s">
        <v>4910</v>
      </c>
      <c r="Q4094" s="35" t="str">
        <f>MID(Tabla1[[#This Row],[Aplicación]],14,1)</f>
        <v>2</v>
      </c>
      <c r="R4094" s="35" t="s">
        <v>495</v>
      </c>
      <c r="S4094" s="35" t="str">
        <f>MID(Tabla1[[#This Row],[Aplicación]],6,2)</f>
        <v>03</v>
      </c>
      <c r="T4094" s="35" t="str">
        <f>VLOOKUP(Tabla1[[#This Row],[AREA]],Hoja1!A:B,2,FALSE)</f>
        <v>03. Participación ciudadana y deportes</v>
      </c>
      <c r="U4094" s="35" t="str">
        <f>MID(Tabla1[[#This Row],[Aplicación]],9,4)</f>
        <v>9241</v>
      </c>
      <c r="V4094" s="35" t="str">
        <f>VLOOKUP(Tabla1[[#This Row],[PROGRAMA]],Hoja1!A:B,2,FALSE)</f>
        <v>9241. Participación ciudadana</v>
      </c>
      <c r="W4094" s="35" t="str">
        <f>MID(Tabla1[[#This Row],[Aplicación]],14,2)</f>
        <v>22</v>
      </c>
      <c r="X4094" s="35" t="str">
        <f>MID(Tabla1[[#This Row],[Aplicación]],14,6)</f>
        <v>22602</v>
      </c>
    </row>
    <row r="4095" spans="1:24" x14ac:dyDescent="0.25">
      <c r="A4095" s="45">
        <v>220210039689</v>
      </c>
      <c r="B4095" s="46" t="s">
        <v>9</v>
      </c>
      <c r="C4095" s="47">
        <v>44393</v>
      </c>
      <c r="D4095" s="45">
        <v>22021005732</v>
      </c>
      <c r="E4095" s="46" t="s">
        <v>5727</v>
      </c>
      <c r="F4095" s="48">
        <v>840</v>
      </c>
      <c r="G4095" s="46" t="s">
        <v>314</v>
      </c>
      <c r="H4095" s="46" t="s">
        <v>5728</v>
      </c>
      <c r="I4095" s="45" t="s">
        <v>125</v>
      </c>
      <c r="J4095" s="46" t="s">
        <v>127</v>
      </c>
      <c r="K4095" s="46" t="s">
        <v>127</v>
      </c>
      <c r="L4095" s="46" t="s">
        <v>15</v>
      </c>
      <c r="M4095" s="46" t="s">
        <v>10</v>
      </c>
      <c r="N4095" s="46" t="s">
        <v>11</v>
      </c>
      <c r="O4095" s="49" t="s">
        <v>815</v>
      </c>
      <c r="P4095" s="49" t="s">
        <v>4910</v>
      </c>
      <c r="Q4095" s="35" t="str">
        <f>MID(Tabla1[[#This Row],[Aplicación]],14,1)</f>
        <v>6</v>
      </c>
      <c r="R4095" s="35" t="s">
        <v>496</v>
      </c>
      <c r="S4095" s="35" t="str">
        <f>MID(Tabla1[[#This Row],[Aplicación]],6,2)</f>
        <v>06</v>
      </c>
      <c r="T4095" s="35" t="str">
        <f>VLOOKUP(Tabla1[[#This Row],[AREA]],Hoja1!A:B,2,FALSE)</f>
        <v>06. Educación, infancia, juventud e igualdad</v>
      </c>
      <c r="U4095" s="35" t="str">
        <f>MID(Tabla1[[#This Row],[Aplicación]],9,4)</f>
        <v>2314</v>
      </c>
      <c r="V4095" s="35" t="str">
        <f>VLOOKUP(Tabla1[[#This Row],[PROGRAMA]],Hoja1!A:B,2,FALSE)</f>
        <v>2314. Centro de programas juveniles</v>
      </c>
      <c r="W4095" s="35" t="str">
        <f>MID(Tabla1[[#This Row],[Aplicación]],14,2)</f>
        <v>62</v>
      </c>
      <c r="X4095" s="35" t="str">
        <f>MID(Tabla1[[#This Row],[Aplicación]],14,6)</f>
        <v>626</v>
      </c>
    </row>
    <row r="4096" spans="1:24" x14ac:dyDescent="0.25">
      <c r="A4096" s="45">
        <v>220210039690</v>
      </c>
      <c r="B4096" s="46" t="s">
        <v>9</v>
      </c>
      <c r="C4096" s="47">
        <v>44393</v>
      </c>
      <c r="D4096" s="45">
        <v>22021005733</v>
      </c>
      <c r="E4096" s="46" t="s">
        <v>5729</v>
      </c>
      <c r="F4096" s="48">
        <v>750</v>
      </c>
      <c r="G4096" s="46" t="s">
        <v>314</v>
      </c>
      <c r="H4096" s="46" t="s">
        <v>5730</v>
      </c>
      <c r="I4096" s="45" t="s">
        <v>125</v>
      </c>
      <c r="J4096" s="46" t="s">
        <v>127</v>
      </c>
      <c r="K4096" s="46" t="s">
        <v>127</v>
      </c>
      <c r="L4096" s="46" t="s">
        <v>15</v>
      </c>
      <c r="M4096" s="46" t="s">
        <v>10</v>
      </c>
      <c r="N4096" s="46" t="s">
        <v>11</v>
      </c>
      <c r="O4096" s="49" t="s">
        <v>815</v>
      </c>
      <c r="P4096" s="49" t="s">
        <v>4910</v>
      </c>
      <c r="Q4096" s="35" t="str">
        <f>MID(Tabla1[[#This Row],[Aplicación]],14,1)</f>
        <v>6</v>
      </c>
      <c r="R4096" s="35" t="s">
        <v>496</v>
      </c>
      <c r="S4096" s="35" t="str">
        <f>MID(Tabla1[[#This Row],[Aplicación]],6,2)</f>
        <v>06</v>
      </c>
      <c r="T4096" s="35" t="str">
        <f>VLOOKUP(Tabla1[[#This Row],[AREA]],Hoja1!A:B,2,FALSE)</f>
        <v>06. Educación, infancia, juventud e igualdad</v>
      </c>
      <c r="U4096" s="35" t="str">
        <f>MID(Tabla1[[#This Row],[Aplicación]],9,4)</f>
        <v>2314</v>
      </c>
      <c r="V4096" s="35" t="str">
        <f>VLOOKUP(Tabla1[[#This Row],[PROGRAMA]],Hoja1!A:B,2,FALSE)</f>
        <v>2314. Centro de programas juveniles</v>
      </c>
      <c r="W4096" s="35" t="str">
        <f>MID(Tabla1[[#This Row],[Aplicación]],14,2)</f>
        <v>63</v>
      </c>
      <c r="X4096" s="35" t="str">
        <f>MID(Tabla1[[#This Row],[Aplicación]],14,6)</f>
        <v>633</v>
      </c>
    </row>
    <row r="4097" spans="1:24" x14ac:dyDescent="0.25">
      <c r="A4097" s="45">
        <v>220210043869</v>
      </c>
      <c r="B4097" s="46" t="s">
        <v>9</v>
      </c>
      <c r="C4097" s="47">
        <v>44405</v>
      </c>
      <c r="D4097" s="45">
        <v>22021005878</v>
      </c>
      <c r="E4097" s="46" t="s">
        <v>1183</v>
      </c>
      <c r="F4097" s="48">
        <v>288</v>
      </c>
      <c r="G4097" s="46" t="s">
        <v>5731</v>
      </c>
      <c r="H4097" s="46" t="s">
        <v>5732</v>
      </c>
      <c r="I4097" s="45" t="s">
        <v>125</v>
      </c>
      <c r="J4097" s="46" t="s">
        <v>5733</v>
      </c>
      <c r="K4097" s="46" t="s">
        <v>5733</v>
      </c>
      <c r="L4097" s="46" t="s">
        <v>15</v>
      </c>
      <c r="M4097" s="46" t="s">
        <v>10</v>
      </c>
      <c r="N4097" s="46" t="s">
        <v>11</v>
      </c>
      <c r="O4097" s="49" t="s">
        <v>815</v>
      </c>
      <c r="P4097" s="49" t="s">
        <v>4910</v>
      </c>
      <c r="Q4097" s="35" t="str">
        <f>MID(Tabla1[[#This Row],[Aplicación]],14,1)</f>
        <v>2</v>
      </c>
      <c r="R4097" s="35" t="s">
        <v>495</v>
      </c>
      <c r="S4097" s="35" t="str">
        <f>MID(Tabla1[[#This Row],[Aplicación]],6,2)</f>
        <v>11</v>
      </c>
      <c r="T4097" s="35" t="str">
        <f>VLOOKUP(Tabla1[[#This Row],[AREA]],Hoja1!A:B,2,FALSE)</f>
        <v>11. Salud pública y seguridad ciudadana</v>
      </c>
      <c r="U4097" s="35" t="str">
        <f>MID(Tabla1[[#This Row],[Aplicación]],9,4)</f>
        <v>1361</v>
      </c>
      <c r="V4097" s="35" t="str">
        <f>VLOOKUP(Tabla1[[#This Row],[PROGRAMA]],Hoja1!A:B,2,FALSE)</f>
        <v>1361. Prevención y extinción de incencios</v>
      </c>
      <c r="W4097" s="35" t="str">
        <f>MID(Tabla1[[#This Row],[Aplicación]],14,2)</f>
        <v>22</v>
      </c>
      <c r="X4097" s="35" t="str">
        <f>MID(Tabla1[[#This Row],[Aplicación]],14,6)</f>
        <v>22199</v>
      </c>
    </row>
    <row r="4098" spans="1:24" x14ac:dyDescent="0.25">
      <c r="A4098" s="45">
        <v>220210048444</v>
      </c>
      <c r="B4098" s="46" t="s">
        <v>9</v>
      </c>
      <c r="C4098" s="47">
        <v>44427</v>
      </c>
      <c r="D4098" s="45">
        <v>22021006046</v>
      </c>
      <c r="E4098" s="46" t="s">
        <v>3310</v>
      </c>
      <c r="F4098" s="48">
        <v>50.54</v>
      </c>
      <c r="G4098" s="46" t="s">
        <v>764</v>
      </c>
      <c r="H4098" s="46" t="s">
        <v>5734</v>
      </c>
      <c r="I4098" s="45" t="s">
        <v>125</v>
      </c>
      <c r="J4098" s="46" t="s">
        <v>127</v>
      </c>
      <c r="K4098" s="46" t="s">
        <v>127</v>
      </c>
      <c r="L4098" s="46" t="s">
        <v>12</v>
      </c>
      <c r="M4098" s="46" t="s">
        <v>13</v>
      </c>
      <c r="N4098" s="46" t="s">
        <v>14</v>
      </c>
      <c r="O4098" s="49" t="s">
        <v>814</v>
      </c>
      <c r="P4098" s="49" t="s">
        <v>4910</v>
      </c>
      <c r="Q4098" s="35" t="str">
        <f>MID(Tabla1[[#This Row],[Aplicación]],14,1)</f>
        <v>6</v>
      </c>
      <c r="R4098" s="35" t="s">
        <v>496</v>
      </c>
      <c r="S4098" s="35" t="str">
        <f>MID(Tabla1[[#This Row],[Aplicación]],6,2)</f>
        <v>06</v>
      </c>
      <c r="T4098" s="35" t="str">
        <f>VLOOKUP(Tabla1[[#This Row],[AREA]],Hoja1!A:B,2,FALSE)</f>
        <v>06. Educación, infancia, juventud e igualdad</v>
      </c>
      <c r="U4098" s="35" t="str">
        <f>MID(Tabla1[[#This Row],[Aplicación]],9,4)</f>
        <v>3231</v>
      </c>
      <c r="V4098" s="35" t="str">
        <f>VLOOKUP(Tabla1[[#This Row],[PROGRAMA]],Hoja1!A:B,2,FALSE)</f>
        <v>3231. Escuelas infantiles</v>
      </c>
      <c r="W4098" s="35" t="str">
        <f>MID(Tabla1[[#This Row],[Aplicación]],14,2)</f>
        <v>63</v>
      </c>
      <c r="X4098" s="35" t="str">
        <f>MID(Tabla1[[#This Row],[Aplicación]],14,6)</f>
        <v>632</v>
      </c>
    </row>
    <row r="4099" spans="1:24" x14ac:dyDescent="0.25">
      <c r="A4099" s="45">
        <v>220210037244</v>
      </c>
      <c r="B4099" s="46" t="s">
        <v>9</v>
      </c>
      <c r="C4099" s="47">
        <v>44391</v>
      </c>
      <c r="D4099" s="45">
        <v>22021004955</v>
      </c>
      <c r="E4099" s="46" t="s">
        <v>1747</v>
      </c>
      <c r="F4099" s="48">
        <v>10890</v>
      </c>
      <c r="G4099" s="46" t="s">
        <v>5735</v>
      </c>
      <c r="H4099" s="46" t="s">
        <v>5736</v>
      </c>
      <c r="I4099" s="45" t="s">
        <v>125</v>
      </c>
      <c r="J4099" s="46" t="s">
        <v>5737</v>
      </c>
      <c r="K4099" s="46" t="s">
        <v>4290</v>
      </c>
      <c r="L4099" s="46" t="s">
        <v>15</v>
      </c>
      <c r="M4099" s="46" t="s">
        <v>10</v>
      </c>
      <c r="N4099" s="46" t="s">
        <v>11</v>
      </c>
      <c r="O4099" s="49" t="s">
        <v>815</v>
      </c>
      <c r="P4099" s="49" t="s">
        <v>4910</v>
      </c>
      <c r="Q4099" s="35" t="str">
        <f>MID(Tabla1[[#This Row],[Aplicación]],14,1)</f>
        <v>6</v>
      </c>
      <c r="R4099" s="35" t="s">
        <v>496</v>
      </c>
      <c r="S4099" s="35" t="str">
        <f>MID(Tabla1[[#This Row],[Aplicación]],6,2)</f>
        <v>07</v>
      </c>
      <c r="T4099" s="35" t="str">
        <f>VLOOKUP(Tabla1[[#This Row],[AREA]],Hoja1!A:B,2,FALSE)</f>
        <v>07. Medio ambiente y desarrollo sostenible</v>
      </c>
      <c r="U4099" s="35" t="str">
        <f>MID(Tabla1[[#This Row],[Aplicación]],9,4)</f>
        <v>1721</v>
      </c>
      <c r="V4099" s="35" t="str">
        <f>VLOOKUP(Tabla1[[#This Row],[PROGRAMA]],Hoja1!A:B,2,FALSE)</f>
        <v>1721. Protección del medio ambiente</v>
      </c>
      <c r="W4099" s="35" t="str">
        <f>MID(Tabla1[[#This Row],[Aplicación]],14,2)</f>
        <v>63</v>
      </c>
      <c r="X4099" s="35" t="str">
        <f>MID(Tabla1[[#This Row],[Aplicación]],14,6)</f>
        <v>633</v>
      </c>
    </row>
    <row r="4100" spans="1:24" x14ac:dyDescent="0.25">
      <c r="A4100" s="45">
        <v>220210045407</v>
      </c>
      <c r="B4100" s="46" t="s">
        <v>204</v>
      </c>
      <c r="C4100" s="47">
        <v>44413</v>
      </c>
      <c r="D4100" s="45">
        <v>22021001276</v>
      </c>
      <c r="E4100" s="46" t="s">
        <v>2510</v>
      </c>
      <c r="F4100" s="48">
        <v>910.25</v>
      </c>
      <c r="G4100" s="46" t="s">
        <v>4472</v>
      </c>
      <c r="H4100" s="46" t="s">
        <v>3098</v>
      </c>
      <c r="I4100" s="45" t="s">
        <v>205</v>
      </c>
      <c r="J4100" s="46" t="s">
        <v>3835</v>
      </c>
      <c r="K4100" s="46" t="s">
        <v>127</v>
      </c>
      <c r="L4100" s="46" t="s">
        <v>15</v>
      </c>
      <c r="M4100" s="46" t="s">
        <v>13</v>
      </c>
      <c r="N4100" s="46" t="s">
        <v>14</v>
      </c>
      <c r="O4100" s="49" t="s">
        <v>814</v>
      </c>
      <c r="P4100" s="49" t="s">
        <v>4910</v>
      </c>
      <c r="Q4100" s="35" t="str">
        <f>MID(Tabla1[[#This Row],[Aplicación]],14,1)</f>
        <v>2</v>
      </c>
      <c r="R4100" s="35" t="s">
        <v>495</v>
      </c>
      <c r="S4100" s="35" t="str">
        <f>MID(Tabla1[[#This Row],[Aplicación]],6,2)</f>
        <v>07</v>
      </c>
      <c r="T4100" s="35" t="str">
        <f>VLOOKUP(Tabla1[[#This Row],[AREA]],Hoja1!A:B,2,FALSE)</f>
        <v>07. Medio ambiente y desarrollo sostenible</v>
      </c>
      <c r="U4100" s="35" t="str">
        <f>MID(Tabla1[[#This Row],[Aplicación]],9,4)</f>
        <v>1711</v>
      </c>
      <c r="V4100" s="35" t="str">
        <f>VLOOKUP(Tabla1[[#This Row],[PROGRAMA]],Hoja1!A:B,2,FALSE)</f>
        <v>1711. Parques y jardines</v>
      </c>
      <c r="W4100" s="35" t="str">
        <f>MID(Tabla1[[#This Row],[Aplicación]],14,2)</f>
        <v>22</v>
      </c>
      <c r="X4100" s="35" t="str">
        <f>MID(Tabla1[[#This Row],[Aplicación]],14,6)</f>
        <v>22106</v>
      </c>
    </row>
    <row r="4101" spans="1:24" x14ac:dyDescent="0.25">
      <c r="A4101" s="45">
        <v>220210050924</v>
      </c>
      <c r="B4101" s="46" t="s">
        <v>9</v>
      </c>
      <c r="C4101" s="47">
        <v>44445</v>
      </c>
      <c r="D4101" s="45">
        <v>22021006407</v>
      </c>
      <c r="E4101" s="46" t="s">
        <v>1220</v>
      </c>
      <c r="F4101" s="48">
        <v>166.1</v>
      </c>
      <c r="G4101" s="46" t="s">
        <v>101</v>
      </c>
      <c r="H4101" s="46" t="s">
        <v>5738</v>
      </c>
      <c r="I4101" s="45" t="s">
        <v>125</v>
      </c>
      <c r="J4101" s="46" t="s">
        <v>127</v>
      </c>
      <c r="K4101" s="46" t="s">
        <v>127</v>
      </c>
      <c r="L4101" s="46" t="s">
        <v>12</v>
      </c>
      <c r="M4101" s="46" t="s">
        <v>10</v>
      </c>
      <c r="N4101" s="46" t="s">
        <v>11</v>
      </c>
      <c r="O4101" s="49" t="s">
        <v>815</v>
      </c>
      <c r="P4101" s="49" t="s">
        <v>4910</v>
      </c>
      <c r="Q4101" s="35" t="str">
        <f>MID(Tabla1[[#This Row],[Aplicación]],14,1)</f>
        <v>2</v>
      </c>
      <c r="R4101" s="35" t="s">
        <v>495</v>
      </c>
      <c r="S4101" s="35" t="str">
        <f>MID(Tabla1[[#This Row],[Aplicación]],6,2)</f>
        <v>03</v>
      </c>
      <c r="T4101" s="35" t="str">
        <f>VLOOKUP(Tabla1[[#This Row],[AREA]],Hoja1!A:B,2,FALSE)</f>
        <v>03. Participación ciudadana y deportes</v>
      </c>
      <c r="U4101" s="35" t="str">
        <f>MID(Tabla1[[#This Row],[Aplicación]],9,4)</f>
        <v>9241</v>
      </c>
      <c r="V4101" s="35" t="str">
        <f>VLOOKUP(Tabla1[[#This Row],[PROGRAMA]],Hoja1!A:B,2,FALSE)</f>
        <v>9241. Participación ciudadana</v>
      </c>
      <c r="W4101" s="35" t="str">
        <f>MID(Tabla1[[#This Row],[Aplicación]],14,2)</f>
        <v>21</v>
      </c>
      <c r="X4101" s="35" t="str">
        <f>MID(Tabla1[[#This Row],[Aplicación]],14,6)</f>
        <v>213</v>
      </c>
    </row>
    <row r="4102" spans="1:24" x14ac:dyDescent="0.25">
      <c r="A4102" s="45">
        <v>220210050895</v>
      </c>
      <c r="B4102" s="46" t="s">
        <v>9</v>
      </c>
      <c r="C4102" s="47">
        <v>44442</v>
      </c>
      <c r="D4102" s="45">
        <v>22021006354</v>
      </c>
      <c r="E4102" s="46" t="s">
        <v>886</v>
      </c>
      <c r="F4102" s="48">
        <v>79.5</v>
      </c>
      <c r="G4102" s="46" t="s">
        <v>5739</v>
      </c>
      <c r="H4102" s="46" t="s">
        <v>5740</v>
      </c>
      <c r="I4102" s="45" t="s">
        <v>125</v>
      </c>
      <c r="J4102" s="46" t="s">
        <v>127</v>
      </c>
      <c r="K4102" s="46" t="s">
        <v>127</v>
      </c>
      <c r="L4102" s="46" t="s">
        <v>12</v>
      </c>
      <c r="M4102" s="46" t="s">
        <v>10</v>
      </c>
      <c r="N4102" s="46" t="s">
        <v>11</v>
      </c>
      <c r="O4102" s="49" t="s">
        <v>815</v>
      </c>
      <c r="P4102" s="49" t="s">
        <v>4910</v>
      </c>
      <c r="Q4102" s="35" t="str">
        <f>MID(Tabla1[[#This Row],[Aplicación]],14,1)</f>
        <v>2</v>
      </c>
      <c r="R4102" s="35" t="s">
        <v>495</v>
      </c>
      <c r="S4102" s="35" t="str">
        <f>MID(Tabla1[[#This Row],[Aplicación]],6,2)</f>
        <v>10</v>
      </c>
      <c r="T4102" s="35" t="str">
        <f>VLOOKUP(Tabla1[[#This Row],[AREA]],Hoja1!A:B,2,FALSE)</f>
        <v>10. Servicios sociales y mediación comunitaria</v>
      </c>
      <c r="U4102" s="35" t="str">
        <f>MID(Tabla1[[#This Row],[Aplicación]],9,4)</f>
        <v>2311</v>
      </c>
      <c r="V4102" s="35" t="str">
        <f>VLOOKUP(Tabla1[[#This Row],[PROGRAMA]],Hoja1!A:B,2,FALSE)</f>
        <v>2311. Intervención social</v>
      </c>
      <c r="W4102" s="35" t="str">
        <f>MID(Tabla1[[#This Row],[Aplicación]],14,2)</f>
        <v>21</v>
      </c>
      <c r="X4102" s="35" t="str">
        <f>MID(Tabla1[[#This Row],[Aplicación]],14,6)</f>
        <v>213</v>
      </c>
    </row>
    <row r="4103" spans="1:24" x14ac:dyDescent="0.25">
      <c r="A4103" s="45">
        <v>220210045554</v>
      </c>
      <c r="B4103" s="46" t="s">
        <v>9</v>
      </c>
      <c r="C4103" s="47">
        <v>44414</v>
      </c>
      <c r="D4103" s="45">
        <v>22021005993</v>
      </c>
      <c r="E4103" s="46" t="s">
        <v>823</v>
      </c>
      <c r="F4103" s="48">
        <v>598.95000000000005</v>
      </c>
      <c r="G4103" s="46" t="s">
        <v>4255</v>
      </c>
      <c r="H4103" s="46" t="s">
        <v>5741</v>
      </c>
      <c r="I4103" s="45" t="s">
        <v>125</v>
      </c>
      <c r="J4103" s="46" t="s">
        <v>126</v>
      </c>
      <c r="K4103" s="46" t="s">
        <v>126</v>
      </c>
      <c r="L4103" s="46" t="s">
        <v>12</v>
      </c>
      <c r="M4103" s="46" t="s">
        <v>10</v>
      </c>
      <c r="N4103" s="46" t="s">
        <v>11</v>
      </c>
      <c r="O4103" s="49" t="s">
        <v>815</v>
      </c>
      <c r="P4103" s="49" t="s">
        <v>4910</v>
      </c>
      <c r="Q4103" s="35" t="str">
        <f>MID(Tabla1[[#This Row],[Aplicación]],14,1)</f>
        <v>2</v>
      </c>
      <c r="R4103" s="35" t="s">
        <v>495</v>
      </c>
      <c r="S4103" s="35" t="str">
        <f>MID(Tabla1[[#This Row],[Aplicación]],6,2)</f>
        <v>03</v>
      </c>
      <c r="T4103" s="35" t="str">
        <f>VLOOKUP(Tabla1[[#This Row],[AREA]],Hoja1!A:B,2,FALSE)</f>
        <v>03. Participación ciudadana y deportes</v>
      </c>
      <c r="U4103" s="35" t="str">
        <f>MID(Tabla1[[#This Row],[Aplicación]],9,4)</f>
        <v>9241</v>
      </c>
      <c r="V4103" s="35" t="str">
        <f>VLOOKUP(Tabla1[[#This Row],[PROGRAMA]],Hoja1!A:B,2,FALSE)</f>
        <v>9241. Participación ciudadana</v>
      </c>
      <c r="W4103" s="35" t="str">
        <f>MID(Tabla1[[#This Row],[Aplicación]],14,2)</f>
        <v>22</v>
      </c>
      <c r="X4103" s="35" t="str">
        <f>MID(Tabla1[[#This Row],[Aplicación]],14,6)</f>
        <v>22609</v>
      </c>
    </row>
    <row r="4104" spans="1:24" x14ac:dyDescent="0.25">
      <c r="A4104" s="45">
        <v>220210046280</v>
      </c>
      <c r="B4104" s="46" t="s">
        <v>9</v>
      </c>
      <c r="C4104" s="47">
        <v>44419</v>
      </c>
      <c r="D4104" s="45">
        <v>22021006033</v>
      </c>
      <c r="E4104" s="46" t="s">
        <v>2563</v>
      </c>
      <c r="F4104" s="48">
        <v>25.4</v>
      </c>
      <c r="G4104" s="46" t="s">
        <v>4438</v>
      </c>
      <c r="H4104" s="46" t="s">
        <v>5742</v>
      </c>
      <c r="I4104" s="45" t="s">
        <v>125</v>
      </c>
      <c r="J4104" s="46" t="s">
        <v>127</v>
      </c>
      <c r="K4104" s="46" t="s">
        <v>127</v>
      </c>
      <c r="L4104" s="46" t="s">
        <v>15</v>
      </c>
      <c r="M4104" s="46" t="s">
        <v>10</v>
      </c>
      <c r="N4104" s="46" t="s">
        <v>11</v>
      </c>
      <c r="O4104" s="49" t="s">
        <v>815</v>
      </c>
      <c r="P4104" s="49" t="s">
        <v>4910</v>
      </c>
      <c r="Q4104" s="35" t="str">
        <f>MID(Tabla1[[#This Row],[Aplicación]],14,1)</f>
        <v>2</v>
      </c>
      <c r="R4104" s="35" t="s">
        <v>495</v>
      </c>
      <c r="S4104" s="35" t="str">
        <f>MID(Tabla1[[#This Row],[Aplicación]],6,2)</f>
        <v>10</v>
      </c>
      <c r="T4104" s="35" t="str">
        <f>VLOOKUP(Tabla1[[#This Row],[AREA]],Hoja1!A:B,2,FALSE)</f>
        <v>10. Servicios sociales y mediación comunitaria</v>
      </c>
      <c r="U4104" s="35" t="str">
        <f>MID(Tabla1[[#This Row],[Aplicación]],9,4)</f>
        <v>2412</v>
      </c>
      <c r="V4104" s="35" t="str">
        <f>VLOOKUP(Tabla1[[#This Row],[PROGRAMA]],Hoja1!A:B,2,FALSE)</f>
        <v>2412. Formación para el empleo</v>
      </c>
      <c r="W4104" s="35" t="str">
        <f>MID(Tabla1[[#This Row],[Aplicación]],14,2)</f>
        <v>22</v>
      </c>
      <c r="X4104" s="35" t="str">
        <f>MID(Tabla1[[#This Row],[Aplicación]],14,6)</f>
        <v>22699</v>
      </c>
    </row>
    <row r="4105" spans="1:24" x14ac:dyDescent="0.25">
      <c r="A4105" s="45">
        <v>220210050016</v>
      </c>
      <c r="B4105" s="46" t="s">
        <v>9</v>
      </c>
      <c r="C4105" s="47">
        <v>44434</v>
      </c>
      <c r="D4105" s="45">
        <v>22021005600</v>
      </c>
      <c r="E4105" s="46" t="s">
        <v>4914</v>
      </c>
      <c r="F4105" s="48">
        <v>150.04</v>
      </c>
      <c r="G4105" s="46" t="s">
        <v>764</v>
      </c>
      <c r="H4105" s="46" t="s">
        <v>5743</v>
      </c>
      <c r="I4105" s="45" t="s">
        <v>125</v>
      </c>
      <c r="J4105" s="46" t="s">
        <v>127</v>
      </c>
      <c r="K4105" s="46" t="s">
        <v>127</v>
      </c>
      <c r="L4105" s="46" t="s">
        <v>31</v>
      </c>
      <c r="M4105" s="46" t="s">
        <v>13</v>
      </c>
      <c r="N4105" s="46" t="s">
        <v>14</v>
      </c>
      <c r="O4105" s="49" t="s">
        <v>814</v>
      </c>
      <c r="P4105" s="49" t="s">
        <v>4910</v>
      </c>
      <c r="Q4105" s="35" t="str">
        <f>MID(Tabla1[[#This Row],[Aplicación]],14,1)</f>
        <v>6</v>
      </c>
      <c r="R4105" s="35" t="s">
        <v>496</v>
      </c>
      <c r="S4105" s="35" t="str">
        <f>MID(Tabla1[[#This Row],[Aplicación]],6,2)</f>
        <v>05</v>
      </c>
      <c r="T4105" s="35" t="str">
        <f>VLOOKUP(Tabla1[[#This Row],[AREA]],Hoja1!A:B,2,FALSE)</f>
        <v>05. Innovación, desarrollo económico, empleo y comercio</v>
      </c>
      <c r="U4105" s="35" t="str">
        <f>MID(Tabla1[[#This Row],[Aplicación]],9,4)</f>
        <v>4314</v>
      </c>
      <c r="V4105" s="35" t="str">
        <f>VLOOKUP(Tabla1[[#This Row],[PROGRAMA]],Hoja1!A:B,2,FALSE)</f>
        <v>4314. Fomento del comercio</v>
      </c>
      <c r="W4105" s="35" t="str">
        <f>MID(Tabla1[[#This Row],[Aplicación]],14,2)</f>
        <v>63</v>
      </c>
      <c r="X4105" s="35" t="str">
        <f>MID(Tabla1[[#This Row],[Aplicación]],14,6)</f>
        <v>632</v>
      </c>
    </row>
    <row r="4106" spans="1:24" x14ac:dyDescent="0.25">
      <c r="A4106" s="45">
        <v>220210048390</v>
      </c>
      <c r="B4106" s="46" t="s">
        <v>9</v>
      </c>
      <c r="C4106" s="47">
        <v>44426</v>
      </c>
      <c r="D4106" s="45">
        <v>22021006059</v>
      </c>
      <c r="E4106" s="46" t="s">
        <v>844</v>
      </c>
      <c r="F4106" s="48">
        <v>77.680000000000007</v>
      </c>
      <c r="G4106" s="46" t="s">
        <v>87</v>
      </c>
      <c r="H4106" s="46" t="s">
        <v>5744</v>
      </c>
      <c r="I4106" s="45" t="s">
        <v>125</v>
      </c>
      <c r="J4106" s="46" t="s">
        <v>127</v>
      </c>
      <c r="K4106" s="46" t="s">
        <v>127</v>
      </c>
      <c r="L4106" s="46" t="s">
        <v>15</v>
      </c>
      <c r="M4106" s="46" t="s">
        <v>10</v>
      </c>
      <c r="N4106" s="46" t="s">
        <v>11</v>
      </c>
      <c r="O4106" s="49" t="s">
        <v>815</v>
      </c>
      <c r="P4106" s="49" t="s">
        <v>4910</v>
      </c>
      <c r="Q4106" s="35" t="str">
        <f>MID(Tabla1[[#This Row],[Aplicación]],14,1)</f>
        <v>2</v>
      </c>
      <c r="R4106" s="35" t="s">
        <v>495</v>
      </c>
      <c r="S4106" s="35" t="str">
        <f>MID(Tabla1[[#This Row],[Aplicación]],6,2)</f>
        <v>10</v>
      </c>
      <c r="T4106" s="35" t="str">
        <f>VLOOKUP(Tabla1[[#This Row],[AREA]],Hoja1!A:B,2,FALSE)</f>
        <v>10. Servicios sociales y mediación comunitaria</v>
      </c>
      <c r="U4106" s="35" t="str">
        <f>MID(Tabla1[[#This Row],[Aplicación]],9,4)</f>
        <v>2312</v>
      </c>
      <c r="V4106" s="35" t="str">
        <f>VLOOKUP(Tabla1[[#This Row],[PROGRAMA]],Hoja1!A:B,2,FALSE)</f>
        <v>2312. Iniciativas sociales</v>
      </c>
      <c r="W4106" s="35" t="str">
        <f>MID(Tabla1[[#This Row],[Aplicación]],14,2)</f>
        <v>21</v>
      </c>
      <c r="X4106" s="35" t="str">
        <f>MID(Tabla1[[#This Row],[Aplicación]],14,6)</f>
        <v>212</v>
      </c>
    </row>
    <row r="4107" spans="1:24" x14ac:dyDescent="0.25">
      <c r="A4107" s="45">
        <v>220210050521</v>
      </c>
      <c r="B4107" s="46" t="s">
        <v>9</v>
      </c>
      <c r="C4107" s="47">
        <v>44440</v>
      </c>
      <c r="D4107" s="45">
        <v>22021002015</v>
      </c>
      <c r="E4107" s="46" t="s">
        <v>2112</v>
      </c>
      <c r="F4107" s="48">
        <v>150</v>
      </c>
      <c r="G4107" s="46" t="s">
        <v>772</v>
      </c>
      <c r="H4107" s="46" t="s">
        <v>5745</v>
      </c>
      <c r="I4107" s="45" t="s">
        <v>125</v>
      </c>
      <c r="J4107" s="46" t="s">
        <v>126</v>
      </c>
      <c r="K4107" s="46" t="s">
        <v>126</v>
      </c>
      <c r="L4107" s="46" t="s">
        <v>15</v>
      </c>
      <c r="M4107" s="46" t="s">
        <v>10</v>
      </c>
      <c r="N4107" s="46" t="s">
        <v>11</v>
      </c>
      <c r="O4107" s="49" t="s">
        <v>815</v>
      </c>
      <c r="P4107" s="49" t="s">
        <v>4910</v>
      </c>
      <c r="Q4107" s="35" t="str">
        <f>MID(Tabla1[[#This Row],[Aplicación]],14,1)</f>
        <v>2</v>
      </c>
      <c r="R4107" s="35" t="s">
        <v>495</v>
      </c>
      <c r="S4107" s="35" t="str">
        <f>MID(Tabla1[[#This Row],[Aplicación]],6,2)</f>
        <v>10</v>
      </c>
      <c r="T4107" s="35" t="str">
        <f>VLOOKUP(Tabla1[[#This Row],[AREA]],Hoja1!A:B,2,FALSE)</f>
        <v>10. Servicios sociales y mediación comunitaria</v>
      </c>
      <c r="U4107" s="35" t="str">
        <f>MID(Tabla1[[#This Row],[Aplicación]],9,4)</f>
        <v>2311</v>
      </c>
      <c r="V4107" s="35" t="str">
        <f>VLOOKUP(Tabla1[[#This Row],[PROGRAMA]],Hoja1!A:B,2,FALSE)</f>
        <v>2311. Intervención social</v>
      </c>
      <c r="W4107" s="35" t="str">
        <f>MID(Tabla1[[#This Row],[Aplicación]],14,2)</f>
        <v>22</v>
      </c>
      <c r="X4107" s="35" t="str">
        <f>MID(Tabla1[[#This Row],[Aplicación]],14,6)</f>
        <v>22200</v>
      </c>
    </row>
    <row r="4108" spans="1:24" x14ac:dyDescent="0.25">
      <c r="A4108" s="45">
        <v>220210036225</v>
      </c>
      <c r="B4108" s="46" t="s">
        <v>9</v>
      </c>
      <c r="C4108" s="47">
        <v>44383</v>
      </c>
      <c r="D4108" s="45">
        <v>22021005189</v>
      </c>
      <c r="E4108" s="46" t="s">
        <v>1336</v>
      </c>
      <c r="F4108" s="48">
        <v>1652.25</v>
      </c>
      <c r="G4108" s="46" t="s">
        <v>5746</v>
      </c>
      <c r="H4108" s="46" t="s">
        <v>5747</v>
      </c>
      <c r="I4108" s="45" t="s">
        <v>125</v>
      </c>
      <c r="J4108" s="46" t="s">
        <v>5748</v>
      </c>
      <c r="K4108" s="46" t="s">
        <v>160</v>
      </c>
      <c r="L4108" s="46" t="s">
        <v>12</v>
      </c>
      <c r="M4108" s="46" t="s">
        <v>10</v>
      </c>
      <c r="N4108" s="46" t="s">
        <v>11</v>
      </c>
      <c r="O4108" s="49" t="s">
        <v>815</v>
      </c>
      <c r="P4108" s="49" t="s">
        <v>4910</v>
      </c>
      <c r="Q4108" s="35" t="str">
        <f>MID(Tabla1[[#This Row],[Aplicación]],14,1)</f>
        <v>2</v>
      </c>
      <c r="R4108" s="35" t="s">
        <v>495</v>
      </c>
      <c r="S4108" s="35" t="str">
        <f>MID(Tabla1[[#This Row],[Aplicación]],6,2)</f>
        <v>02</v>
      </c>
      <c r="T4108" s="35" t="str">
        <f>VLOOKUP(Tabla1[[#This Row],[AREA]],Hoja1!A:B,2,FALSE)</f>
        <v>02. Planeamiento urbanístico y vivienda</v>
      </c>
      <c r="U4108" s="35" t="str">
        <f>MID(Tabla1[[#This Row],[Aplicación]],9,4)</f>
        <v>9332</v>
      </c>
      <c r="V4108" s="35" t="str">
        <f>VLOOKUP(Tabla1[[#This Row],[PROGRAMA]],Hoja1!A:B,2,FALSE)</f>
        <v>9332. Mantenimiento de edificios e instalaciones municipales</v>
      </c>
      <c r="W4108" s="35" t="str">
        <f>MID(Tabla1[[#This Row],[Aplicación]],14,2)</f>
        <v>21</v>
      </c>
      <c r="X4108" s="35" t="str">
        <f>MID(Tabla1[[#This Row],[Aplicación]],14,6)</f>
        <v>212</v>
      </c>
    </row>
    <row r="4109" spans="1:24" x14ac:dyDescent="0.25">
      <c r="A4109" s="45">
        <v>220210037307</v>
      </c>
      <c r="B4109" s="46" t="s">
        <v>9</v>
      </c>
      <c r="C4109" s="47">
        <v>44392</v>
      </c>
      <c r="D4109" s="45">
        <v>22021005714</v>
      </c>
      <c r="E4109" s="46" t="s">
        <v>1263</v>
      </c>
      <c r="F4109" s="48">
        <v>374.67</v>
      </c>
      <c r="G4109" s="46" t="s">
        <v>5746</v>
      </c>
      <c r="H4109" s="46" t="s">
        <v>5749</v>
      </c>
      <c r="I4109" s="45" t="s">
        <v>125</v>
      </c>
      <c r="J4109" s="46" t="s">
        <v>5748</v>
      </c>
      <c r="K4109" s="46" t="s">
        <v>160</v>
      </c>
      <c r="L4109" s="46" t="s">
        <v>15</v>
      </c>
      <c r="M4109" s="46" t="s">
        <v>10</v>
      </c>
      <c r="N4109" s="46" t="s">
        <v>11</v>
      </c>
      <c r="O4109" s="49" t="s">
        <v>815</v>
      </c>
      <c r="P4109" s="49" t="s">
        <v>4910</v>
      </c>
      <c r="Q4109" s="35" t="str">
        <f>MID(Tabla1[[#This Row],[Aplicación]],14,1)</f>
        <v>2</v>
      </c>
      <c r="R4109" s="35" t="s">
        <v>495</v>
      </c>
      <c r="S4109" s="35" t="str">
        <f>MID(Tabla1[[#This Row],[Aplicación]],6,2)</f>
        <v>02</v>
      </c>
      <c r="T4109" s="35" t="str">
        <f>VLOOKUP(Tabla1[[#This Row],[AREA]],Hoja1!A:B,2,FALSE)</f>
        <v>02. Planeamiento urbanístico y vivienda</v>
      </c>
      <c r="U4109" s="35" t="str">
        <f>MID(Tabla1[[#This Row],[Aplicación]],9,4)</f>
        <v>9332</v>
      </c>
      <c r="V4109" s="35" t="str">
        <f>VLOOKUP(Tabla1[[#This Row],[PROGRAMA]],Hoja1!A:B,2,FALSE)</f>
        <v>9332. Mantenimiento de edificios e instalaciones municipales</v>
      </c>
      <c r="W4109" s="35" t="str">
        <f>MID(Tabla1[[#This Row],[Aplicación]],14,2)</f>
        <v>21</v>
      </c>
      <c r="X4109" s="35" t="str">
        <f>MID(Tabla1[[#This Row],[Aplicación]],14,6)</f>
        <v>213</v>
      </c>
    </row>
    <row r="4110" spans="1:24" x14ac:dyDescent="0.25">
      <c r="A4110" s="45">
        <v>220210050956</v>
      </c>
      <c r="B4110" s="46" t="s">
        <v>9</v>
      </c>
      <c r="C4110" s="47">
        <v>44446</v>
      </c>
      <c r="D4110" s="45">
        <v>22021006410</v>
      </c>
      <c r="E4110" s="46" t="s">
        <v>1220</v>
      </c>
      <c r="F4110" s="48">
        <v>67.89</v>
      </c>
      <c r="G4110" s="46" t="s">
        <v>78</v>
      </c>
      <c r="H4110" s="46" t="s">
        <v>5750</v>
      </c>
      <c r="I4110" s="45" t="s">
        <v>125</v>
      </c>
      <c r="J4110" s="46" t="s">
        <v>694</v>
      </c>
      <c r="K4110" s="46" t="s">
        <v>187</v>
      </c>
      <c r="L4110" s="46" t="s">
        <v>15</v>
      </c>
      <c r="M4110" s="46" t="s">
        <v>10</v>
      </c>
      <c r="N4110" s="46" t="s">
        <v>11</v>
      </c>
      <c r="O4110" s="49" t="s">
        <v>815</v>
      </c>
      <c r="P4110" s="49" t="s">
        <v>4910</v>
      </c>
      <c r="Q4110" s="35" t="str">
        <f>MID(Tabla1[[#This Row],[Aplicación]],14,1)</f>
        <v>2</v>
      </c>
      <c r="R4110" s="35" t="s">
        <v>495</v>
      </c>
      <c r="S4110" s="35" t="str">
        <f>MID(Tabla1[[#This Row],[Aplicación]],6,2)</f>
        <v>03</v>
      </c>
      <c r="T4110" s="35" t="str">
        <f>VLOOKUP(Tabla1[[#This Row],[AREA]],Hoja1!A:B,2,FALSE)</f>
        <v>03. Participación ciudadana y deportes</v>
      </c>
      <c r="U4110" s="35" t="str">
        <f>MID(Tabla1[[#This Row],[Aplicación]],9,4)</f>
        <v>9241</v>
      </c>
      <c r="V4110" s="35" t="str">
        <f>VLOOKUP(Tabla1[[#This Row],[PROGRAMA]],Hoja1!A:B,2,FALSE)</f>
        <v>9241. Participación ciudadana</v>
      </c>
      <c r="W4110" s="35" t="str">
        <f>MID(Tabla1[[#This Row],[Aplicación]],14,2)</f>
        <v>21</v>
      </c>
      <c r="X4110" s="35" t="str">
        <f>MID(Tabla1[[#This Row],[Aplicación]],14,6)</f>
        <v>213</v>
      </c>
    </row>
    <row r="4111" spans="1:24" x14ac:dyDescent="0.25">
      <c r="A4111" s="45">
        <v>220210044278</v>
      </c>
      <c r="B4111" s="46" t="s">
        <v>9</v>
      </c>
      <c r="C4111" s="47">
        <v>44406</v>
      </c>
      <c r="D4111" s="45">
        <v>22021005944</v>
      </c>
      <c r="E4111" s="46" t="s">
        <v>1438</v>
      </c>
      <c r="F4111" s="48">
        <v>1185.8</v>
      </c>
      <c r="G4111" s="46" t="s">
        <v>2549</v>
      </c>
      <c r="H4111" s="46" t="s">
        <v>2550</v>
      </c>
      <c r="I4111" s="45" t="s">
        <v>125</v>
      </c>
      <c r="J4111" s="46" t="s">
        <v>661</v>
      </c>
      <c r="K4111" s="46" t="s">
        <v>127</v>
      </c>
      <c r="L4111" s="46" t="s">
        <v>15</v>
      </c>
      <c r="M4111" s="46" t="s">
        <v>10</v>
      </c>
      <c r="N4111" s="46" t="s">
        <v>11</v>
      </c>
      <c r="O4111" s="49" t="s">
        <v>815</v>
      </c>
      <c r="P4111" s="49" t="s">
        <v>4910</v>
      </c>
      <c r="Q4111" s="35" t="str">
        <f>MID(Tabla1[[#This Row],[Aplicación]],14,1)</f>
        <v>2</v>
      </c>
      <c r="R4111" s="35" t="s">
        <v>495</v>
      </c>
      <c r="S4111" s="35" t="str">
        <f>MID(Tabla1[[#This Row],[Aplicación]],6,2)</f>
        <v>01</v>
      </c>
      <c r="T4111" s="35" t="str">
        <f>VLOOKUP(Tabla1[[#This Row],[AREA]],Hoja1!A:B,2,FALSE)</f>
        <v>01. Alcaldía</v>
      </c>
      <c r="U4111" s="35" t="str">
        <f>MID(Tabla1[[#This Row],[Aplicación]],9,4)</f>
        <v>9206</v>
      </c>
      <c r="V4111" s="35" t="str">
        <f>VLOOKUP(Tabla1[[#This Row],[PROGRAMA]],Hoja1!A:B,2,FALSE)</f>
        <v>9206. Archivo municipal</v>
      </c>
      <c r="W4111" s="35" t="str">
        <f>MID(Tabla1[[#This Row],[Aplicación]],14,2)</f>
        <v>22</v>
      </c>
      <c r="X4111" s="35" t="str">
        <f>MID(Tabla1[[#This Row],[Aplicación]],14,6)</f>
        <v>22001</v>
      </c>
    </row>
    <row r="4112" spans="1:24" x14ac:dyDescent="0.25">
      <c r="A4112" s="45">
        <v>220210036309</v>
      </c>
      <c r="B4112" s="46" t="s">
        <v>9</v>
      </c>
      <c r="C4112" s="47">
        <v>44384</v>
      </c>
      <c r="D4112" s="45">
        <v>22021005033</v>
      </c>
      <c r="E4112" s="46" t="s">
        <v>1380</v>
      </c>
      <c r="F4112" s="48">
        <v>93.9</v>
      </c>
      <c r="G4112" s="46" t="s">
        <v>4383</v>
      </c>
      <c r="H4112" s="46" t="s">
        <v>5751</v>
      </c>
      <c r="I4112" s="45" t="s">
        <v>125</v>
      </c>
      <c r="J4112" s="46" t="s">
        <v>127</v>
      </c>
      <c r="K4112" s="46" t="s">
        <v>127</v>
      </c>
      <c r="L4112" s="46" t="s">
        <v>15</v>
      </c>
      <c r="M4112" s="46" t="s">
        <v>10</v>
      </c>
      <c r="N4112" s="46" t="s">
        <v>11</v>
      </c>
      <c r="O4112" s="49" t="s">
        <v>815</v>
      </c>
      <c r="P4112" s="49" t="s">
        <v>4910</v>
      </c>
      <c r="Q4112" s="35" t="str">
        <f>MID(Tabla1[[#This Row],[Aplicación]],14,1)</f>
        <v>2</v>
      </c>
      <c r="R4112" s="35" t="s">
        <v>495</v>
      </c>
      <c r="S4112" s="35" t="str">
        <f>MID(Tabla1[[#This Row],[Aplicación]],6,2)</f>
        <v>03</v>
      </c>
      <c r="T4112" s="35" t="str">
        <f>VLOOKUP(Tabla1[[#This Row],[AREA]],Hoja1!A:B,2,FALSE)</f>
        <v>03. Participación ciudadana y deportes</v>
      </c>
      <c r="U4112" s="35" t="str">
        <f>MID(Tabla1[[#This Row],[Aplicación]],9,4)</f>
        <v>9241</v>
      </c>
      <c r="V4112" s="35" t="str">
        <f>VLOOKUP(Tabla1[[#This Row],[PROGRAMA]],Hoja1!A:B,2,FALSE)</f>
        <v>9241. Participación ciudadana</v>
      </c>
      <c r="W4112" s="35" t="str">
        <f>MID(Tabla1[[#This Row],[Aplicación]],14,2)</f>
        <v>22</v>
      </c>
      <c r="X4112" s="35" t="str">
        <f>MID(Tabla1[[#This Row],[Aplicación]],14,6)</f>
        <v>22699</v>
      </c>
    </row>
    <row r="4113" spans="1:24" x14ac:dyDescent="0.25">
      <c r="A4113" s="45">
        <v>220210045978</v>
      </c>
      <c r="B4113" s="46" t="s">
        <v>9</v>
      </c>
      <c r="C4113" s="47">
        <v>44418</v>
      </c>
      <c r="D4113" s="45">
        <v>22021006041</v>
      </c>
      <c r="E4113" s="46" t="s">
        <v>5270</v>
      </c>
      <c r="F4113" s="48">
        <v>1132.5</v>
      </c>
      <c r="G4113" s="46" t="s">
        <v>4383</v>
      </c>
      <c r="H4113" s="46" t="s">
        <v>5752</v>
      </c>
      <c r="I4113" s="45" t="s">
        <v>125</v>
      </c>
      <c r="J4113" s="46" t="s">
        <v>127</v>
      </c>
      <c r="K4113" s="46" t="s">
        <v>127</v>
      </c>
      <c r="L4113" s="46" t="s">
        <v>15</v>
      </c>
      <c r="M4113" s="46" t="s">
        <v>10</v>
      </c>
      <c r="N4113" s="46" t="s">
        <v>11</v>
      </c>
      <c r="O4113" s="49" t="s">
        <v>815</v>
      </c>
      <c r="P4113" s="49" t="s">
        <v>4910</v>
      </c>
      <c r="Q4113" s="35" t="str">
        <f>MID(Tabla1[[#This Row],[Aplicación]],14,1)</f>
        <v>6</v>
      </c>
      <c r="R4113" s="35" t="s">
        <v>496</v>
      </c>
      <c r="S4113" s="35" t="str">
        <f>MID(Tabla1[[#This Row],[Aplicación]],6,2)</f>
        <v>06</v>
      </c>
      <c r="T4113" s="35" t="str">
        <f>VLOOKUP(Tabla1[[#This Row],[AREA]],Hoja1!A:B,2,FALSE)</f>
        <v>06. Educación, infancia, juventud e igualdad</v>
      </c>
      <c r="U4113" s="35" t="str">
        <f>MID(Tabla1[[#This Row],[Aplicación]],9,4)</f>
        <v>3231</v>
      </c>
      <c r="V4113" s="35" t="str">
        <f>VLOOKUP(Tabla1[[#This Row],[PROGRAMA]],Hoja1!A:B,2,FALSE)</f>
        <v>3231. Escuelas infantiles</v>
      </c>
      <c r="W4113" s="35" t="str">
        <f>MID(Tabla1[[#This Row],[Aplicación]],14,2)</f>
        <v>63</v>
      </c>
      <c r="X4113" s="35" t="str">
        <f>MID(Tabla1[[#This Row],[Aplicación]],14,6)</f>
        <v>633</v>
      </c>
    </row>
    <row r="4114" spans="1:24" x14ac:dyDescent="0.25">
      <c r="A4114" s="45">
        <v>220210043993</v>
      </c>
      <c r="B4114" s="46" t="s">
        <v>204</v>
      </c>
      <c r="C4114" s="47">
        <v>44405</v>
      </c>
      <c r="D4114" s="45">
        <v>22021002601</v>
      </c>
      <c r="E4114" s="46" t="s">
        <v>3362</v>
      </c>
      <c r="F4114" s="48">
        <v>3712.31</v>
      </c>
      <c r="G4114" s="46" t="s">
        <v>5753</v>
      </c>
      <c r="H4114" s="46" t="s">
        <v>5754</v>
      </c>
      <c r="I4114" s="45" t="s">
        <v>205</v>
      </c>
      <c r="J4114" s="46" t="s">
        <v>5755</v>
      </c>
      <c r="K4114" s="46" t="s">
        <v>5756</v>
      </c>
      <c r="L4114" s="46" t="s">
        <v>15</v>
      </c>
      <c r="M4114" s="46" t="s">
        <v>13</v>
      </c>
      <c r="N4114" s="46" t="s">
        <v>14</v>
      </c>
      <c r="O4114" s="49" t="s">
        <v>814</v>
      </c>
      <c r="P4114" s="49" t="s">
        <v>4910</v>
      </c>
      <c r="Q4114" s="35" t="str">
        <f>MID(Tabla1[[#This Row],[Aplicación]],14,1)</f>
        <v>6</v>
      </c>
      <c r="R4114" s="35" t="s">
        <v>496</v>
      </c>
      <c r="S4114" s="35" t="str">
        <f>MID(Tabla1[[#This Row],[Aplicación]],6,2)</f>
        <v>06</v>
      </c>
      <c r="T4114" s="35" t="str">
        <f>VLOOKUP(Tabla1[[#This Row],[AREA]],Hoja1!A:B,2,FALSE)</f>
        <v>06. Educación, infancia, juventud e igualdad</v>
      </c>
      <c r="U4114" s="35" t="str">
        <f>MID(Tabla1[[#This Row],[Aplicación]],9,4)</f>
        <v>3321</v>
      </c>
      <c r="V4114" s="35" t="str">
        <f>VLOOKUP(Tabla1[[#This Row],[PROGRAMA]],Hoja1!A:B,2,FALSE)</f>
        <v>3321. Bibliotecas públicas</v>
      </c>
      <c r="W4114" s="35" t="str">
        <f>MID(Tabla1[[#This Row],[Aplicación]],14,2)</f>
        <v>62</v>
      </c>
      <c r="X4114" s="35" t="str">
        <f>MID(Tabla1[[#This Row],[Aplicación]],14,6)</f>
        <v>629</v>
      </c>
    </row>
    <row r="4115" spans="1:24" x14ac:dyDescent="0.25">
      <c r="A4115" s="45">
        <v>220210046275</v>
      </c>
      <c r="B4115" s="46" t="s">
        <v>9</v>
      </c>
      <c r="C4115" s="47">
        <v>44419</v>
      </c>
      <c r="D4115" s="45">
        <v>22021006039</v>
      </c>
      <c r="E4115" s="46" t="s">
        <v>1203</v>
      </c>
      <c r="F4115" s="48">
        <v>2456.3000000000002</v>
      </c>
      <c r="G4115" s="46" t="s">
        <v>5757</v>
      </c>
      <c r="H4115" s="46" t="s">
        <v>5758</v>
      </c>
      <c r="I4115" s="45" t="s">
        <v>125</v>
      </c>
      <c r="J4115" s="46" t="s">
        <v>127</v>
      </c>
      <c r="K4115" s="46" t="s">
        <v>127</v>
      </c>
      <c r="L4115" s="46" t="s">
        <v>15</v>
      </c>
      <c r="M4115" s="46" t="s">
        <v>10</v>
      </c>
      <c r="N4115" s="46" t="s">
        <v>11</v>
      </c>
      <c r="O4115" s="49" t="s">
        <v>815</v>
      </c>
      <c r="P4115" s="49" t="s">
        <v>4910</v>
      </c>
      <c r="Q4115" s="35" t="str">
        <f>MID(Tabla1[[#This Row],[Aplicación]],14,1)</f>
        <v>2</v>
      </c>
      <c r="R4115" s="35" t="s">
        <v>495</v>
      </c>
      <c r="S4115" s="35" t="str">
        <f>MID(Tabla1[[#This Row],[Aplicación]],6,2)</f>
        <v>01</v>
      </c>
      <c r="T4115" s="35" t="str">
        <f>VLOOKUP(Tabla1[[#This Row],[AREA]],Hoja1!A:B,2,FALSE)</f>
        <v>01. Alcaldía</v>
      </c>
      <c r="U4115" s="35" t="str">
        <f>MID(Tabla1[[#This Row],[Aplicación]],9,4)</f>
        <v>9203</v>
      </c>
      <c r="V4115" s="35" t="str">
        <f>VLOOKUP(Tabla1[[#This Row],[PROGRAMA]],Hoja1!A:B,2,FALSE)</f>
        <v>9203. Unidad de régimen interior</v>
      </c>
      <c r="W4115" s="35" t="str">
        <f>MID(Tabla1[[#This Row],[Aplicación]],14,2)</f>
        <v>22</v>
      </c>
      <c r="X4115" s="35" t="str">
        <f>MID(Tabla1[[#This Row],[Aplicación]],14,6)</f>
        <v>22000</v>
      </c>
    </row>
    <row r="4116" spans="1:24" x14ac:dyDescent="0.25">
      <c r="A4116" s="45">
        <v>220210038354</v>
      </c>
      <c r="B4116" s="46" t="s">
        <v>9</v>
      </c>
      <c r="C4116" s="47">
        <v>44392</v>
      </c>
      <c r="D4116" s="45">
        <v>22021005575</v>
      </c>
      <c r="E4116" s="46" t="s">
        <v>1187</v>
      </c>
      <c r="F4116" s="48">
        <v>180</v>
      </c>
      <c r="G4116" s="46" t="s">
        <v>2552</v>
      </c>
      <c r="H4116" s="46" t="s">
        <v>5759</v>
      </c>
      <c r="I4116" s="45" t="s">
        <v>125</v>
      </c>
      <c r="J4116" s="46" t="s">
        <v>1663</v>
      </c>
      <c r="K4116" s="46" t="s">
        <v>127</v>
      </c>
      <c r="L4116" s="46" t="s">
        <v>12</v>
      </c>
      <c r="M4116" s="46" t="s">
        <v>10</v>
      </c>
      <c r="N4116" s="46" t="s">
        <v>11</v>
      </c>
      <c r="O4116" s="49" t="s">
        <v>815</v>
      </c>
      <c r="P4116" s="49" t="s">
        <v>4910</v>
      </c>
      <c r="Q4116" s="35" t="str">
        <f>MID(Tabla1[[#This Row],[Aplicación]],14,1)</f>
        <v>2</v>
      </c>
      <c r="R4116" s="35" t="s">
        <v>495</v>
      </c>
      <c r="S4116" s="35" t="str">
        <f>MID(Tabla1[[#This Row],[Aplicación]],6,2)</f>
        <v>06</v>
      </c>
      <c r="T4116" s="35" t="str">
        <f>VLOOKUP(Tabla1[[#This Row],[AREA]],Hoja1!A:B,2,FALSE)</f>
        <v>06. Educación, infancia, juventud e igualdad</v>
      </c>
      <c r="U4116" s="35" t="str">
        <f>MID(Tabla1[[#This Row],[Aplicación]],9,4)</f>
        <v>2315</v>
      </c>
      <c r="V4116" s="35" t="str">
        <f>VLOOKUP(Tabla1[[#This Row],[PROGRAMA]],Hoja1!A:B,2,FALSE)</f>
        <v>2315. Políticas de Igualdad e infancia</v>
      </c>
      <c r="W4116" s="35" t="str">
        <f>MID(Tabla1[[#This Row],[Aplicación]],14,2)</f>
        <v>22</v>
      </c>
      <c r="X4116" s="35" t="str">
        <f>MID(Tabla1[[#This Row],[Aplicación]],14,6)</f>
        <v>22611</v>
      </c>
    </row>
    <row r="4117" spans="1:24" x14ac:dyDescent="0.25">
      <c r="A4117" s="45">
        <v>220210045357</v>
      </c>
      <c r="B4117" s="46" t="s">
        <v>9</v>
      </c>
      <c r="C4117" s="47">
        <v>44412</v>
      </c>
      <c r="D4117" s="45">
        <v>22021005978</v>
      </c>
      <c r="E4117" s="46" t="s">
        <v>3321</v>
      </c>
      <c r="F4117" s="48">
        <v>2904</v>
      </c>
      <c r="G4117" s="46" t="s">
        <v>2555</v>
      </c>
      <c r="H4117" s="46" t="s">
        <v>5760</v>
      </c>
      <c r="I4117" s="45" t="s">
        <v>125</v>
      </c>
      <c r="J4117" s="46" t="s">
        <v>127</v>
      </c>
      <c r="K4117" s="46" t="s">
        <v>127</v>
      </c>
      <c r="L4117" s="46" t="s">
        <v>12</v>
      </c>
      <c r="M4117" s="46" t="s">
        <v>10</v>
      </c>
      <c r="N4117" s="46" t="s">
        <v>11</v>
      </c>
      <c r="O4117" s="49" t="s">
        <v>815</v>
      </c>
      <c r="P4117" s="49" t="s">
        <v>4910</v>
      </c>
      <c r="Q4117" s="35" t="str">
        <f>MID(Tabla1[[#This Row],[Aplicación]],14,1)</f>
        <v>2</v>
      </c>
      <c r="R4117" s="35" t="s">
        <v>495</v>
      </c>
      <c r="S4117" s="35" t="str">
        <f>MID(Tabla1[[#This Row],[Aplicación]],6,2)</f>
        <v>02</v>
      </c>
      <c r="T4117" s="35" t="str">
        <f>VLOOKUP(Tabla1[[#This Row],[AREA]],Hoja1!A:B,2,FALSE)</f>
        <v>02. Planeamiento urbanístico y vivienda</v>
      </c>
      <c r="U4117" s="35" t="str">
        <f>MID(Tabla1[[#This Row],[Aplicación]],9,4)</f>
        <v>9332</v>
      </c>
      <c r="V4117" s="35" t="str">
        <f>VLOOKUP(Tabla1[[#This Row],[PROGRAMA]],Hoja1!A:B,2,FALSE)</f>
        <v>9332. Mantenimiento de edificios e instalaciones municipales</v>
      </c>
      <c r="W4117" s="35" t="str">
        <f>MID(Tabla1[[#This Row],[Aplicación]],14,2)</f>
        <v>22</v>
      </c>
      <c r="X4117" s="35" t="str">
        <f>MID(Tabla1[[#This Row],[Aplicación]],14,6)</f>
        <v>22799</v>
      </c>
    </row>
    <row r="4118" spans="1:24" x14ac:dyDescent="0.25">
      <c r="A4118" s="45">
        <v>220210050952</v>
      </c>
      <c r="B4118" s="46" t="s">
        <v>9</v>
      </c>
      <c r="C4118" s="47">
        <v>44446</v>
      </c>
      <c r="D4118" s="45">
        <v>22021006398</v>
      </c>
      <c r="E4118" s="46" t="s">
        <v>2375</v>
      </c>
      <c r="F4118" s="48">
        <v>66.55</v>
      </c>
      <c r="G4118" s="46" t="s">
        <v>4381</v>
      </c>
      <c r="H4118" s="46" t="s">
        <v>5761</v>
      </c>
      <c r="I4118" s="45" t="s">
        <v>125</v>
      </c>
      <c r="J4118" s="46" t="s">
        <v>127</v>
      </c>
      <c r="K4118" s="46" t="s">
        <v>127</v>
      </c>
      <c r="L4118" s="46" t="s">
        <v>12</v>
      </c>
      <c r="M4118" s="46" t="s">
        <v>10</v>
      </c>
      <c r="N4118" s="46" t="s">
        <v>11</v>
      </c>
      <c r="O4118" s="49" t="s">
        <v>815</v>
      </c>
      <c r="P4118" s="49" t="s">
        <v>4910</v>
      </c>
      <c r="Q4118" s="35" t="str">
        <f>MID(Tabla1[[#This Row],[Aplicación]],14,1)</f>
        <v>2</v>
      </c>
      <c r="R4118" s="35" t="s">
        <v>495</v>
      </c>
      <c r="S4118" s="35" t="str">
        <f>MID(Tabla1[[#This Row],[Aplicación]],6,2)</f>
        <v>07</v>
      </c>
      <c r="T4118" s="35" t="str">
        <f>VLOOKUP(Tabla1[[#This Row],[AREA]],Hoja1!A:B,2,FALSE)</f>
        <v>07. Medio ambiente y desarrollo sostenible</v>
      </c>
      <c r="U4118" s="35" t="str">
        <f>MID(Tabla1[[#This Row],[Aplicación]],9,4)</f>
        <v>1721</v>
      </c>
      <c r="V4118" s="35" t="str">
        <f>VLOOKUP(Tabla1[[#This Row],[PROGRAMA]],Hoja1!A:B,2,FALSE)</f>
        <v>1721. Protección del medio ambiente</v>
      </c>
      <c r="W4118" s="35" t="str">
        <f>MID(Tabla1[[#This Row],[Aplicación]],14,2)</f>
        <v>21</v>
      </c>
      <c r="X4118" s="35" t="str">
        <f>MID(Tabla1[[#This Row],[Aplicación]],14,6)</f>
        <v>214</v>
      </c>
    </row>
    <row r="4119" spans="1:24" x14ac:dyDescent="0.25">
      <c r="A4119" s="45">
        <v>220210036878</v>
      </c>
      <c r="B4119" s="46" t="s">
        <v>9</v>
      </c>
      <c r="C4119" s="47">
        <v>44390</v>
      </c>
      <c r="D4119" s="45">
        <v>22021005631</v>
      </c>
      <c r="E4119" s="46" t="s">
        <v>1873</v>
      </c>
      <c r="F4119" s="48">
        <v>80.47</v>
      </c>
      <c r="G4119" s="46" t="s">
        <v>5762</v>
      </c>
      <c r="H4119" s="46" t="s">
        <v>5763</v>
      </c>
      <c r="I4119" s="45" t="s">
        <v>125</v>
      </c>
      <c r="J4119" s="46" t="s">
        <v>165</v>
      </c>
      <c r="K4119" s="46" t="s">
        <v>165</v>
      </c>
      <c r="L4119" s="46" t="s">
        <v>15</v>
      </c>
      <c r="M4119" s="46" t="s">
        <v>10</v>
      </c>
      <c r="N4119" s="46" t="s">
        <v>11</v>
      </c>
      <c r="O4119" s="49" t="s">
        <v>815</v>
      </c>
      <c r="P4119" s="49" t="s">
        <v>4910</v>
      </c>
      <c r="Q4119" s="35" t="str">
        <f>MID(Tabla1[[#This Row],[Aplicación]],14,1)</f>
        <v>2</v>
      </c>
      <c r="R4119" s="35" t="s">
        <v>495</v>
      </c>
      <c r="S4119" s="35" t="str">
        <f>MID(Tabla1[[#This Row],[Aplicación]],6,2)</f>
        <v>11</v>
      </c>
      <c r="T4119" s="35" t="str">
        <f>VLOOKUP(Tabla1[[#This Row],[AREA]],Hoja1!A:B,2,FALSE)</f>
        <v>11. Salud pública y seguridad ciudadana</v>
      </c>
      <c r="U4119" s="35" t="str">
        <f>MID(Tabla1[[#This Row],[Aplicación]],9,4)</f>
        <v>3111</v>
      </c>
      <c r="V4119" s="35" t="str">
        <f>VLOOKUP(Tabla1[[#This Row],[PROGRAMA]],Hoja1!A:B,2,FALSE)</f>
        <v>3111. Protección de la salubridad pública</v>
      </c>
      <c r="W4119" s="35" t="str">
        <f>MID(Tabla1[[#This Row],[Aplicación]],14,2)</f>
        <v>21</v>
      </c>
      <c r="X4119" s="35" t="str">
        <f>MID(Tabla1[[#This Row],[Aplicación]],14,6)</f>
        <v>213</v>
      </c>
    </row>
    <row r="4120" spans="1:24" x14ac:dyDescent="0.25">
      <c r="A4120" s="45">
        <v>220210044275</v>
      </c>
      <c r="B4120" s="46" t="s">
        <v>9</v>
      </c>
      <c r="C4120" s="47">
        <v>44406</v>
      </c>
      <c r="D4120" s="45">
        <v>22021005948</v>
      </c>
      <c r="E4120" s="46" t="s">
        <v>2528</v>
      </c>
      <c r="F4120" s="48">
        <v>762.3</v>
      </c>
      <c r="G4120" s="46" t="s">
        <v>3973</v>
      </c>
      <c r="H4120" s="46" t="s">
        <v>5764</v>
      </c>
      <c r="I4120" s="45" t="s">
        <v>125</v>
      </c>
      <c r="J4120" s="46" t="s">
        <v>127</v>
      </c>
      <c r="K4120" s="46" t="s">
        <v>127</v>
      </c>
      <c r="L4120" s="46" t="s">
        <v>12</v>
      </c>
      <c r="M4120" s="46" t="s">
        <v>10</v>
      </c>
      <c r="N4120" s="46" t="s">
        <v>11</v>
      </c>
      <c r="O4120" s="49" t="s">
        <v>815</v>
      </c>
      <c r="P4120" s="49" t="s">
        <v>4910</v>
      </c>
      <c r="Q4120" s="35" t="str">
        <f>MID(Tabla1[[#This Row],[Aplicación]],14,1)</f>
        <v>2</v>
      </c>
      <c r="R4120" s="35" t="s">
        <v>495</v>
      </c>
      <c r="S4120" s="35" t="str">
        <f>MID(Tabla1[[#This Row],[Aplicación]],6,2)</f>
        <v>01</v>
      </c>
      <c r="T4120" s="35" t="str">
        <f>VLOOKUP(Tabla1[[#This Row],[AREA]],Hoja1!A:B,2,FALSE)</f>
        <v>01. Alcaldía</v>
      </c>
      <c r="U4120" s="35" t="str">
        <f>MID(Tabla1[[#This Row],[Aplicación]],9,4)</f>
        <v>9206</v>
      </c>
      <c r="V4120" s="35" t="str">
        <f>VLOOKUP(Tabla1[[#This Row],[PROGRAMA]],Hoja1!A:B,2,FALSE)</f>
        <v>9206. Archivo municipal</v>
      </c>
      <c r="W4120" s="35" t="str">
        <f>MID(Tabla1[[#This Row],[Aplicación]],14,2)</f>
        <v>22</v>
      </c>
      <c r="X4120" s="35" t="str">
        <f>MID(Tabla1[[#This Row],[Aplicación]],14,6)</f>
        <v>22799</v>
      </c>
    </row>
    <row r="4121" spans="1:24" x14ac:dyDescent="0.25">
      <c r="A4121" s="45">
        <v>220210045365</v>
      </c>
      <c r="B4121" s="46" t="s">
        <v>9</v>
      </c>
      <c r="C4121" s="47">
        <v>44413</v>
      </c>
      <c r="D4121" s="45">
        <v>22021004902</v>
      </c>
      <c r="E4121" s="46" t="s">
        <v>2155</v>
      </c>
      <c r="F4121" s="48">
        <v>256</v>
      </c>
      <c r="G4121" s="46" t="s">
        <v>3973</v>
      </c>
      <c r="H4121" s="46" t="s">
        <v>5765</v>
      </c>
      <c r="I4121" s="45" t="s">
        <v>125</v>
      </c>
      <c r="J4121" s="46" t="s">
        <v>127</v>
      </c>
      <c r="K4121" s="46" t="s">
        <v>127</v>
      </c>
      <c r="L4121" s="46" t="s">
        <v>12</v>
      </c>
      <c r="M4121" s="46" t="s">
        <v>10</v>
      </c>
      <c r="N4121" s="46" t="s">
        <v>11</v>
      </c>
      <c r="O4121" s="49" t="s">
        <v>815</v>
      </c>
      <c r="P4121" s="49" t="s">
        <v>4910</v>
      </c>
      <c r="Q4121" s="35" t="str">
        <f>MID(Tabla1[[#This Row],[Aplicación]],14,1)</f>
        <v>2</v>
      </c>
      <c r="R4121" s="35" t="s">
        <v>495</v>
      </c>
      <c r="S4121" s="35" t="str">
        <f>MID(Tabla1[[#This Row],[Aplicación]],6,2)</f>
        <v>11</v>
      </c>
      <c r="T4121" s="35" t="str">
        <f>VLOOKUP(Tabla1[[#This Row],[AREA]],Hoja1!A:B,2,FALSE)</f>
        <v>11. Salud pública y seguridad ciudadana</v>
      </c>
      <c r="U4121" s="35" t="str">
        <f>MID(Tabla1[[#This Row],[Aplicación]],9,4)</f>
        <v>1621</v>
      </c>
      <c r="V4121" s="35" t="str">
        <f>VLOOKUP(Tabla1[[#This Row],[PROGRAMA]],Hoja1!A:B,2,FALSE)</f>
        <v>1621. Servicio de limpieza</v>
      </c>
      <c r="W4121" s="35" t="str">
        <f>MID(Tabla1[[#This Row],[Aplicación]],14,2)</f>
        <v>21</v>
      </c>
      <c r="X4121" s="35" t="str">
        <f>MID(Tabla1[[#This Row],[Aplicación]],14,6)</f>
        <v>212</v>
      </c>
    </row>
    <row r="4122" spans="1:24" x14ac:dyDescent="0.25">
      <c r="A4122" s="45">
        <v>220210050710</v>
      </c>
      <c r="B4122" s="46" t="s">
        <v>9</v>
      </c>
      <c r="C4122" s="47">
        <v>44441</v>
      </c>
      <c r="D4122" s="45">
        <v>22021006353</v>
      </c>
      <c r="E4122" s="46" t="s">
        <v>3347</v>
      </c>
      <c r="F4122" s="48">
        <v>58.08</v>
      </c>
      <c r="G4122" s="46" t="s">
        <v>58</v>
      </c>
      <c r="H4122" s="46" t="s">
        <v>5766</v>
      </c>
      <c r="I4122" s="45" t="s">
        <v>125</v>
      </c>
      <c r="J4122" s="46" t="s">
        <v>127</v>
      </c>
      <c r="K4122" s="46" t="s">
        <v>127</v>
      </c>
      <c r="L4122" s="46" t="s">
        <v>12</v>
      </c>
      <c r="M4122" s="46" t="s">
        <v>10</v>
      </c>
      <c r="N4122" s="46" t="s">
        <v>11</v>
      </c>
      <c r="O4122" s="49" t="s">
        <v>815</v>
      </c>
      <c r="P4122" s="49" t="s">
        <v>4910</v>
      </c>
      <c r="Q4122" s="35" t="str">
        <f>MID(Tabla1[[#This Row],[Aplicación]],14,1)</f>
        <v>2</v>
      </c>
      <c r="R4122" s="35" t="s">
        <v>495</v>
      </c>
      <c r="S4122" s="35" t="str">
        <f>MID(Tabla1[[#This Row],[Aplicación]],6,2)</f>
        <v>06</v>
      </c>
      <c r="T4122" s="35" t="str">
        <f>VLOOKUP(Tabla1[[#This Row],[AREA]],Hoja1!A:B,2,FALSE)</f>
        <v>06. Educación, infancia, juventud e igualdad</v>
      </c>
      <c r="U4122" s="35" t="str">
        <f>MID(Tabla1[[#This Row],[Aplicación]],9,4)</f>
        <v>2315</v>
      </c>
      <c r="V4122" s="35" t="str">
        <f>VLOOKUP(Tabla1[[#This Row],[PROGRAMA]],Hoja1!A:B,2,FALSE)</f>
        <v>2315. Políticas de Igualdad e infancia</v>
      </c>
      <c r="W4122" s="35" t="str">
        <f>MID(Tabla1[[#This Row],[Aplicación]],14,2)</f>
        <v>22</v>
      </c>
      <c r="X4122" s="35" t="str">
        <f>MID(Tabla1[[#This Row],[Aplicación]],14,6)</f>
        <v>22614</v>
      </c>
    </row>
    <row r="4123" spans="1:24" x14ac:dyDescent="0.25">
      <c r="A4123" s="45">
        <v>220210043806</v>
      </c>
      <c r="B4123" s="46" t="s">
        <v>9</v>
      </c>
      <c r="C4123" s="47">
        <v>44404</v>
      </c>
      <c r="D4123" s="45">
        <v>22021005805</v>
      </c>
      <c r="E4123" s="46" t="s">
        <v>1380</v>
      </c>
      <c r="F4123" s="48">
        <v>581.41</v>
      </c>
      <c r="G4123" s="46" t="s">
        <v>3824</v>
      </c>
      <c r="H4123" s="46" t="s">
        <v>5767</v>
      </c>
      <c r="I4123" s="45" t="s">
        <v>125</v>
      </c>
      <c r="J4123" s="46" t="s">
        <v>127</v>
      </c>
      <c r="K4123" s="46" t="s">
        <v>127</v>
      </c>
      <c r="L4123" s="46" t="s">
        <v>15</v>
      </c>
      <c r="M4123" s="46" t="s">
        <v>10</v>
      </c>
      <c r="N4123" s="46" t="s">
        <v>11</v>
      </c>
      <c r="O4123" s="49" t="s">
        <v>815</v>
      </c>
      <c r="P4123" s="49" t="s">
        <v>4910</v>
      </c>
      <c r="Q4123" s="35" t="str">
        <f>MID(Tabla1[[#This Row],[Aplicación]],14,1)</f>
        <v>2</v>
      </c>
      <c r="R4123" s="35" t="s">
        <v>495</v>
      </c>
      <c r="S4123" s="35" t="str">
        <f>MID(Tabla1[[#This Row],[Aplicación]],6,2)</f>
        <v>03</v>
      </c>
      <c r="T4123" s="35" t="str">
        <f>VLOOKUP(Tabla1[[#This Row],[AREA]],Hoja1!A:B,2,FALSE)</f>
        <v>03. Participación ciudadana y deportes</v>
      </c>
      <c r="U4123" s="35" t="str">
        <f>MID(Tabla1[[#This Row],[Aplicación]],9,4)</f>
        <v>9241</v>
      </c>
      <c r="V4123" s="35" t="str">
        <f>VLOOKUP(Tabla1[[#This Row],[PROGRAMA]],Hoja1!A:B,2,FALSE)</f>
        <v>9241. Participación ciudadana</v>
      </c>
      <c r="W4123" s="35" t="str">
        <f>MID(Tabla1[[#This Row],[Aplicación]],14,2)</f>
        <v>22</v>
      </c>
      <c r="X4123" s="35" t="str">
        <f>MID(Tabla1[[#This Row],[Aplicación]],14,6)</f>
        <v>22699</v>
      </c>
    </row>
    <row r="4124" spans="1:24" x14ac:dyDescent="0.25">
      <c r="A4124" s="45">
        <v>220210046276</v>
      </c>
      <c r="B4124" s="46" t="s">
        <v>9</v>
      </c>
      <c r="C4124" s="47">
        <v>44419</v>
      </c>
      <c r="D4124" s="45">
        <v>22021006040</v>
      </c>
      <c r="E4124" s="46" t="s">
        <v>2643</v>
      </c>
      <c r="F4124" s="48">
        <v>318.23</v>
      </c>
      <c r="G4124" s="46" t="s">
        <v>3824</v>
      </c>
      <c r="H4124" s="46" t="s">
        <v>5768</v>
      </c>
      <c r="I4124" s="45" t="s">
        <v>125</v>
      </c>
      <c r="J4124" s="46" t="s">
        <v>127</v>
      </c>
      <c r="K4124" s="46" t="s">
        <v>127</v>
      </c>
      <c r="L4124" s="46" t="s">
        <v>15</v>
      </c>
      <c r="M4124" s="46" t="s">
        <v>10</v>
      </c>
      <c r="N4124" s="46" t="s">
        <v>11</v>
      </c>
      <c r="O4124" s="49" t="s">
        <v>815</v>
      </c>
      <c r="P4124" s="49" t="s">
        <v>4910</v>
      </c>
      <c r="Q4124" s="35" t="str">
        <f>MID(Tabla1[[#This Row],[Aplicación]],14,1)</f>
        <v>2</v>
      </c>
      <c r="R4124" s="35" t="s">
        <v>495</v>
      </c>
      <c r="S4124" s="35" t="str">
        <f>MID(Tabla1[[#This Row],[Aplicación]],6,2)</f>
        <v>01</v>
      </c>
      <c r="T4124" s="35" t="str">
        <f>VLOOKUP(Tabla1[[#This Row],[AREA]],Hoja1!A:B,2,FALSE)</f>
        <v>01. Alcaldía</v>
      </c>
      <c r="U4124" s="35" t="str">
        <f>MID(Tabla1[[#This Row],[Aplicación]],9,4)</f>
        <v>9203</v>
      </c>
      <c r="V4124" s="35" t="str">
        <f>VLOOKUP(Tabla1[[#This Row],[PROGRAMA]],Hoja1!A:B,2,FALSE)</f>
        <v>9203. Unidad de régimen interior</v>
      </c>
      <c r="W4124" s="35" t="str">
        <f>MID(Tabla1[[#This Row],[Aplicación]],14,2)</f>
        <v>22</v>
      </c>
      <c r="X4124" s="35" t="str">
        <f>MID(Tabla1[[#This Row],[Aplicación]],14,6)</f>
        <v>22699</v>
      </c>
    </row>
    <row r="4125" spans="1:24" x14ac:dyDescent="0.25">
      <c r="A4125" s="45">
        <v>220210037256</v>
      </c>
      <c r="B4125" s="46" t="s">
        <v>9</v>
      </c>
      <c r="C4125" s="47">
        <v>44391</v>
      </c>
      <c r="D4125" s="45">
        <v>22021005348</v>
      </c>
      <c r="E4125" s="46" t="s">
        <v>5769</v>
      </c>
      <c r="F4125" s="48">
        <v>3388</v>
      </c>
      <c r="G4125" s="46" t="s">
        <v>5770</v>
      </c>
      <c r="H4125" s="46" t="s">
        <v>5771</v>
      </c>
      <c r="I4125" s="45" t="s">
        <v>125</v>
      </c>
      <c r="J4125" s="46" t="s">
        <v>5772</v>
      </c>
      <c r="K4125" s="46" t="s">
        <v>4610</v>
      </c>
      <c r="L4125" s="46" t="s">
        <v>12</v>
      </c>
      <c r="M4125" s="46" t="s">
        <v>10</v>
      </c>
      <c r="N4125" s="46" t="s">
        <v>11</v>
      </c>
      <c r="O4125" s="49" t="s">
        <v>815</v>
      </c>
      <c r="P4125" s="49" t="s">
        <v>4910</v>
      </c>
      <c r="Q4125" s="35" t="str">
        <f>MID(Tabla1[[#This Row],[Aplicación]],14,1)</f>
        <v>2</v>
      </c>
      <c r="R4125" s="35" t="s">
        <v>495</v>
      </c>
      <c r="S4125" s="35" t="str">
        <f>MID(Tabla1[[#This Row],[Aplicación]],6,2)</f>
        <v>06</v>
      </c>
      <c r="T4125" s="35" t="str">
        <f>VLOOKUP(Tabla1[[#This Row],[AREA]],Hoja1!A:B,2,FALSE)</f>
        <v>06. Educación, infancia, juventud e igualdad</v>
      </c>
      <c r="U4125" s="35" t="str">
        <f>MID(Tabla1[[#This Row],[Aplicación]],9,4)</f>
        <v>2314</v>
      </c>
      <c r="V4125" s="35" t="str">
        <f>VLOOKUP(Tabla1[[#This Row],[PROGRAMA]],Hoja1!A:B,2,FALSE)</f>
        <v>2314. Centro de programas juveniles</v>
      </c>
      <c r="W4125" s="35" t="str">
        <f>MID(Tabla1[[#This Row],[Aplicación]],14,2)</f>
        <v>22</v>
      </c>
      <c r="X4125" s="35" t="str">
        <f>MID(Tabla1[[#This Row],[Aplicación]],14,6)</f>
        <v>22609</v>
      </c>
    </row>
    <row r="4126" spans="1:24" x14ac:dyDescent="0.25">
      <c r="A4126" s="45">
        <v>220210035431</v>
      </c>
      <c r="B4126" s="46" t="s">
        <v>9</v>
      </c>
      <c r="C4126" s="47">
        <v>44379</v>
      </c>
      <c r="D4126" s="45">
        <v>22021005168</v>
      </c>
      <c r="E4126" s="46" t="s">
        <v>2309</v>
      </c>
      <c r="F4126" s="48">
        <v>382.66</v>
      </c>
      <c r="G4126" s="46" t="s">
        <v>5773</v>
      </c>
      <c r="H4126" s="46" t="s">
        <v>5774</v>
      </c>
      <c r="I4126" s="45" t="s">
        <v>125</v>
      </c>
      <c r="J4126" s="46" t="s">
        <v>127</v>
      </c>
      <c r="K4126" s="46" t="s">
        <v>127</v>
      </c>
      <c r="L4126" s="46" t="s">
        <v>12</v>
      </c>
      <c r="M4126" s="46" t="s">
        <v>10</v>
      </c>
      <c r="N4126" s="46" t="s">
        <v>11</v>
      </c>
      <c r="O4126" s="49" t="s">
        <v>815</v>
      </c>
      <c r="P4126" s="49" t="s">
        <v>4910</v>
      </c>
      <c r="Q4126" s="35" t="str">
        <f>MID(Tabla1[[#This Row],[Aplicación]],14,1)</f>
        <v>2</v>
      </c>
      <c r="R4126" s="35" t="s">
        <v>495</v>
      </c>
      <c r="S4126" s="35" t="str">
        <f>MID(Tabla1[[#This Row],[Aplicación]],6,2)</f>
        <v>10</v>
      </c>
      <c r="T4126" s="35" t="str">
        <f>VLOOKUP(Tabla1[[#This Row],[AREA]],Hoja1!A:B,2,FALSE)</f>
        <v>10. Servicios sociales y mediación comunitaria</v>
      </c>
      <c r="U4126" s="35" t="str">
        <f>MID(Tabla1[[#This Row],[Aplicación]],9,4)</f>
        <v>2312</v>
      </c>
      <c r="V4126" s="35" t="str">
        <f>VLOOKUP(Tabla1[[#This Row],[PROGRAMA]],Hoja1!A:B,2,FALSE)</f>
        <v>2312. Iniciativas sociales</v>
      </c>
      <c r="W4126" s="35" t="str">
        <f>MID(Tabla1[[#This Row],[Aplicación]],14,2)</f>
        <v>22</v>
      </c>
      <c r="X4126" s="35" t="str">
        <f>MID(Tabla1[[#This Row],[Aplicación]],14,6)</f>
        <v>22617</v>
      </c>
    </row>
    <row r="4127" spans="1:24" x14ac:dyDescent="0.25">
      <c r="A4127" s="45">
        <v>220210038349</v>
      </c>
      <c r="B4127" s="46" t="s">
        <v>9</v>
      </c>
      <c r="C4127" s="47">
        <v>44392</v>
      </c>
      <c r="D4127" s="45">
        <v>22021005467</v>
      </c>
      <c r="E4127" s="46" t="s">
        <v>3333</v>
      </c>
      <c r="F4127" s="48">
        <v>348.55</v>
      </c>
      <c r="G4127" s="46" t="s">
        <v>4236</v>
      </c>
      <c r="H4127" s="46" t="s">
        <v>5775</v>
      </c>
      <c r="I4127" s="45" t="s">
        <v>125</v>
      </c>
      <c r="J4127" s="46" t="s">
        <v>127</v>
      </c>
      <c r="K4127" s="46" t="s">
        <v>184</v>
      </c>
      <c r="L4127" s="46" t="s">
        <v>12</v>
      </c>
      <c r="M4127" s="46" t="s">
        <v>10</v>
      </c>
      <c r="N4127" s="46" t="s">
        <v>11</v>
      </c>
      <c r="O4127" s="49" t="s">
        <v>815</v>
      </c>
      <c r="P4127" s="49" t="s">
        <v>4910</v>
      </c>
      <c r="Q4127" s="35" t="str">
        <f>MID(Tabla1[[#This Row],[Aplicación]],14,1)</f>
        <v>2</v>
      </c>
      <c r="R4127" s="35" t="s">
        <v>495</v>
      </c>
      <c r="S4127" s="35" t="str">
        <f>MID(Tabla1[[#This Row],[Aplicación]],6,2)</f>
        <v>10</v>
      </c>
      <c r="T4127" s="35" t="str">
        <f>VLOOKUP(Tabla1[[#This Row],[AREA]],Hoja1!A:B,2,FALSE)</f>
        <v>10. Servicios sociales y mediación comunitaria</v>
      </c>
      <c r="U4127" s="35" t="str">
        <f>MID(Tabla1[[#This Row],[Aplicación]],9,4)</f>
        <v>2316</v>
      </c>
      <c r="V4127" s="35" t="str">
        <f>VLOOKUP(Tabla1[[#This Row],[PROGRAMA]],Hoja1!A:B,2,FALSE)</f>
        <v>2316. Mediación comunitaria</v>
      </c>
      <c r="W4127" s="35" t="str">
        <f>MID(Tabla1[[#This Row],[Aplicación]],14,2)</f>
        <v>22</v>
      </c>
      <c r="X4127" s="35" t="str">
        <f>MID(Tabla1[[#This Row],[Aplicación]],14,6)</f>
        <v>22616</v>
      </c>
    </row>
    <row r="4128" spans="1:24" x14ac:dyDescent="0.25">
      <c r="A4128" s="45">
        <v>220210044970</v>
      </c>
      <c r="B4128" s="46" t="s">
        <v>9</v>
      </c>
      <c r="C4128" s="47">
        <v>44411</v>
      </c>
      <c r="D4128" s="45">
        <v>22021005958</v>
      </c>
      <c r="E4128" s="46" t="s">
        <v>3333</v>
      </c>
      <c r="F4128" s="48">
        <v>150</v>
      </c>
      <c r="G4128" s="46" t="s">
        <v>4236</v>
      </c>
      <c r="H4128" s="46" t="s">
        <v>5776</v>
      </c>
      <c r="I4128" s="45" t="s">
        <v>125</v>
      </c>
      <c r="J4128" s="46" t="s">
        <v>127</v>
      </c>
      <c r="K4128" s="46" t="s">
        <v>127</v>
      </c>
      <c r="L4128" s="46" t="s">
        <v>12</v>
      </c>
      <c r="M4128" s="46" t="s">
        <v>10</v>
      </c>
      <c r="N4128" s="46" t="s">
        <v>11</v>
      </c>
      <c r="O4128" s="49" t="s">
        <v>815</v>
      </c>
      <c r="P4128" s="49" t="s">
        <v>4910</v>
      </c>
      <c r="Q4128" s="35" t="str">
        <f>MID(Tabla1[[#This Row],[Aplicación]],14,1)</f>
        <v>2</v>
      </c>
      <c r="R4128" s="35" t="s">
        <v>495</v>
      </c>
      <c r="S4128" s="35" t="str">
        <f>MID(Tabla1[[#This Row],[Aplicación]],6,2)</f>
        <v>10</v>
      </c>
      <c r="T4128" s="35" t="str">
        <f>VLOOKUP(Tabla1[[#This Row],[AREA]],Hoja1!A:B,2,FALSE)</f>
        <v>10. Servicios sociales y mediación comunitaria</v>
      </c>
      <c r="U4128" s="35" t="str">
        <f>MID(Tabla1[[#This Row],[Aplicación]],9,4)</f>
        <v>2316</v>
      </c>
      <c r="V4128" s="35" t="str">
        <f>VLOOKUP(Tabla1[[#This Row],[PROGRAMA]],Hoja1!A:B,2,FALSE)</f>
        <v>2316. Mediación comunitaria</v>
      </c>
      <c r="W4128" s="35" t="str">
        <f>MID(Tabla1[[#This Row],[Aplicación]],14,2)</f>
        <v>22</v>
      </c>
      <c r="X4128" s="35" t="str">
        <f>MID(Tabla1[[#This Row],[Aplicación]],14,6)</f>
        <v>22616</v>
      </c>
    </row>
    <row r="4129" spans="1:24" x14ac:dyDescent="0.25">
      <c r="A4129" s="45">
        <v>220210048544</v>
      </c>
      <c r="B4129" s="46" t="s">
        <v>2924</v>
      </c>
      <c r="C4129" s="47">
        <v>44428</v>
      </c>
      <c r="D4129" s="45">
        <v>22021000419</v>
      </c>
      <c r="E4129" s="46" t="s">
        <v>941</v>
      </c>
      <c r="F4129" s="48">
        <v>-118.52</v>
      </c>
      <c r="G4129" s="46" t="s">
        <v>85</v>
      </c>
      <c r="H4129" s="46" t="s">
        <v>5777</v>
      </c>
      <c r="I4129" s="45" t="s">
        <v>2926</v>
      </c>
      <c r="J4129" s="46" t="s">
        <v>127</v>
      </c>
      <c r="K4129" s="46" t="s">
        <v>127</v>
      </c>
      <c r="L4129" s="46" t="s">
        <v>12</v>
      </c>
      <c r="M4129" s="46" t="s">
        <v>13</v>
      </c>
      <c r="N4129" s="46" t="s">
        <v>14</v>
      </c>
      <c r="O4129" s="49" t="s">
        <v>803</v>
      </c>
      <c r="P4129" s="49" t="s">
        <v>4910</v>
      </c>
      <c r="Q4129" s="35" t="str">
        <f>MID(Tabla1[[#This Row],[Aplicación]],14,1)</f>
        <v>2</v>
      </c>
      <c r="R4129" s="35" t="s">
        <v>495</v>
      </c>
      <c r="S4129" s="35" t="str">
        <f>MID(Tabla1[[#This Row],[Aplicación]],6,2)</f>
        <v>06</v>
      </c>
      <c r="T4129" s="35" t="str">
        <f>VLOOKUP(Tabla1[[#This Row],[AREA]],Hoja1!A:B,2,FALSE)</f>
        <v>06. Educación, infancia, juventud e igualdad</v>
      </c>
      <c r="U4129" s="35" t="str">
        <f>MID(Tabla1[[#This Row],[Aplicación]],9,4)</f>
        <v>3232</v>
      </c>
      <c r="V4129" s="35" t="str">
        <f>VLOOKUP(Tabla1[[#This Row],[PROGRAMA]],Hoja1!A:B,2,FALSE)</f>
        <v>3232. Conservación y mantenimiento centros educación infantil y primaria</v>
      </c>
      <c r="W4129" s="35" t="str">
        <f>MID(Tabla1[[#This Row],[Aplicación]],14,2)</f>
        <v>21</v>
      </c>
      <c r="X4129" s="35" t="str">
        <f>MID(Tabla1[[#This Row],[Aplicación]],14,6)</f>
        <v>213</v>
      </c>
    </row>
    <row r="4130" spans="1:24" x14ac:dyDescent="0.25">
      <c r="A4130" s="45">
        <v>220210048548</v>
      </c>
      <c r="B4130" s="46" t="s">
        <v>2924</v>
      </c>
      <c r="C4130" s="47">
        <v>44428</v>
      </c>
      <c r="D4130" s="45">
        <v>22021000419</v>
      </c>
      <c r="E4130" s="46" t="s">
        <v>941</v>
      </c>
      <c r="F4130" s="48">
        <v>-118.52</v>
      </c>
      <c r="G4130" s="46" t="s">
        <v>85</v>
      </c>
      <c r="H4130" s="46" t="s">
        <v>5778</v>
      </c>
      <c r="I4130" s="45" t="s">
        <v>2926</v>
      </c>
      <c r="J4130" s="46" t="s">
        <v>127</v>
      </c>
      <c r="K4130" s="46" t="s">
        <v>127</v>
      </c>
      <c r="L4130" s="46" t="s">
        <v>12</v>
      </c>
      <c r="M4130" s="46" t="s">
        <v>13</v>
      </c>
      <c r="N4130" s="46" t="s">
        <v>14</v>
      </c>
      <c r="O4130" s="49" t="s">
        <v>803</v>
      </c>
      <c r="P4130" s="49" t="s">
        <v>4910</v>
      </c>
      <c r="Q4130" s="35" t="str">
        <f>MID(Tabla1[[#This Row],[Aplicación]],14,1)</f>
        <v>2</v>
      </c>
      <c r="R4130" s="35" t="s">
        <v>495</v>
      </c>
      <c r="S4130" s="35" t="str">
        <f>MID(Tabla1[[#This Row],[Aplicación]],6,2)</f>
        <v>06</v>
      </c>
      <c r="T4130" s="35" t="str">
        <f>VLOOKUP(Tabla1[[#This Row],[AREA]],Hoja1!A:B,2,FALSE)</f>
        <v>06. Educación, infancia, juventud e igualdad</v>
      </c>
      <c r="U4130" s="35" t="str">
        <f>MID(Tabla1[[#This Row],[Aplicación]],9,4)</f>
        <v>3232</v>
      </c>
      <c r="V4130" s="35" t="str">
        <f>VLOOKUP(Tabla1[[#This Row],[PROGRAMA]],Hoja1!A:B,2,FALSE)</f>
        <v>3232. Conservación y mantenimiento centros educación infantil y primaria</v>
      </c>
      <c r="W4130" s="35" t="str">
        <f>MID(Tabla1[[#This Row],[Aplicación]],14,2)</f>
        <v>21</v>
      </c>
      <c r="X4130" s="35" t="str">
        <f>MID(Tabla1[[#This Row],[Aplicación]],14,6)</f>
        <v>213</v>
      </c>
    </row>
    <row r="4131" spans="1:24" x14ac:dyDescent="0.25">
      <c r="A4131" s="45">
        <v>220210050525</v>
      </c>
      <c r="B4131" s="46" t="s">
        <v>9</v>
      </c>
      <c r="C4131" s="47">
        <v>44440</v>
      </c>
      <c r="D4131" s="45">
        <v>22021006332</v>
      </c>
      <c r="E4131" s="46" t="s">
        <v>941</v>
      </c>
      <c r="F4131" s="48">
        <v>114.02</v>
      </c>
      <c r="G4131" s="46" t="s">
        <v>253</v>
      </c>
      <c r="H4131" s="46" t="s">
        <v>5779</v>
      </c>
      <c r="I4131" s="45" t="s">
        <v>125</v>
      </c>
      <c r="J4131" s="46" t="s">
        <v>127</v>
      </c>
      <c r="K4131" s="46" t="s">
        <v>127</v>
      </c>
      <c r="L4131" s="46" t="s">
        <v>15</v>
      </c>
      <c r="M4131" s="46" t="s">
        <v>10</v>
      </c>
      <c r="N4131" s="46" t="s">
        <v>11</v>
      </c>
      <c r="O4131" s="49" t="s">
        <v>815</v>
      </c>
      <c r="P4131" s="49" t="s">
        <v>4910</v>
      </c>
      <c r="Q4131" s="35" t="str">
        <f>MID(Tabla1[[#This Row],[Aplicación]],14,1)</f>
        <v>2</v>
      </c>
      <c r="R4131" s="35" t="s">
        <v>495</v>
      </c>
      <c r="S4131" s="35" t="str">
        <f>MID(Tabla1[[#This Row],[Aplicación]],6,2)</f>
        <v>06</v>
      </c>
      <c r="T4131" s="35" t="str">
        <f>VLOOKUP(Tabla1[[#This Row],[AREA]],Hoja1!A:B,2,FALSE)</f>
        <v>06. Educación, infancia, juventud e igualdad</v>
      </c>
      <c r="U4131" s="35" t="str">
        <f>MID(Tabla1[[#This Row],[Aplicación]],9,4)</f>
        <v>3232</v>
      </c>
      <c r="V4131" s="35" t="str">
        <f>VLOOKUP(Tabla1[[#This Row],[PROGRAMA]],Hoja1!A:B,2,FALSE)</f>
        <v>3232. Conservación y mantenimiento centros educación infantil y primaria</v>
      </c>
      <c r="W4131" s="35" t="str">
        <f>MID(Tabla1[[#This Row],[Aplicación]],14,2)</f>
        <v>21</v>
      </c>
      <c r="X4131" s="35" t="str">
        <f>MID(Tabla1[[#This Row],[Aplicación]],14,6)</f>
        <v>213</v>
      </c>
    </row>
    <row r="4132" spans="1:24" x14ac:dyDescent="0.25">
      <c r="A4132" s="45">
        <v>220210054500</v>
      </c>
      <c r="B4132" s="46" t="s">
        <v>9</v>
      </c>
      <c r="C4132" s="47">
        <v>44453</v>
      </c>
      <c r="D4132" s="45">
        <v>22021006454</v>
      </c>
      <c r="E4132" s="46" t="s">
        <v>1401</v>
      </c>
      <c r="F4132" s="48">
        <v>52.27</v>
      </c>
      <c r="G4132" s="46" t="s">
        <v>261</v>
      </c>
      <c r="H4132" s="46" t="s">
        <v>5780</v>
      </c>
      <c r="I4132" s="45" t="s">
        <v>125</v>
      </c>
      <c r="J4132" s="46" t="s">
        <v>127</v>
      </c>
      <c r="K4132" s="46" t="s">
        <v>127</v>
      </c>
      <c r="L4132" s="46" t="s">
        <v>15</v>
      </c>
      <c r="M4132" s="46" t="s">
        <v>10</v>
      </c>
      <c r="N4132" s="46" t="s">
        <v>11</v>
      </c>
      <c r="O4132" s="49" t="s">
        <v>815</v>
      </c>
      <c r="P4132" s="49" t="s">
        <v>4910</v>
      </c>
      <c r="Q4132" s="35" t="str">
        <f>MID(Tabla1[[#This Row],[Aplicación]],14,1)</f>
        <v>2</v>
      </c>
      <c r="R4132" s="35" t="s">
        <v>495</v>
      </c>
      <c r="S4132" s="35" t="str">
        <f>MID(Tabla1[[#This Row],[Aplicación]],6,2)</f>
        <v>10</v>
      </c>
      <c r="T4132" s="35" t="str">
        <f>VLOOKUP(Tabla1[[#This Row],[AREA]],Hoja1!A:B,2,FALSE)</f>
        <v>10. Servicios sociales y mediación comunitaria</v>
      </c>
      <c r="U4132" s="35" t="str">
        <f>MID(Tabla1[[#This Row],[Aplicación]],9,4)</f>
        <v>2312</v>
      </c>
      <c r="V4132" s="35" t="str">
        <f>VLOOKUP(Tabla1[[#This Row],[PROGRAMA]],Hoja1!A:B,2,FALSE)</f>
        <v>2312. Iniciativas sociales</v>
      </c>
      <c r="W4132" s="35" t="str">
        <f>MID(Tabla1[[#This Row],[Aplicación]],14,2)</f>
        <v>22</v>
      </c>
      <c r="X4132" s="35" t="str">
        <f>MID(Tabla1[[#This Row],[Aplicación]],14,6)</f>
        <v>22699</v>
      </c>
    </row>
    <row r="4133" spans="1:24" x14ac:dyDescent="0.25">
      <c r="A4133" s="45">
        <v>220210050945</v>
      </c>
      <c r="B4133" s="46" t="s">
        <v>9</v>
      </c>
      <c r="C4133" s="47">
        <v>44446</v>
      </c>
      <c r="D4133" s="45">
        <v>22021005131</v>
      </c>
      <c r="E4133" s="46" t="s">
        <v>1483</v>
      </c>
      <c r="F4133" s="48">
        <v>193.83</v>
      </c>
      <c r="G4133" s="46" t="s">
        <v>764</v>
      </c>
      <c r="H4133" s="46" t="s">
        <v>5781</v>
      </c>
      <c r="I4133" s="45" t="s">
        <v>125</v>
      </c>
      <c r="J4133" s="46" t="s">
        <v>127</v>
      </c>
      <c r="K4133" s="46" t="s">
        <v>127</v>
      </c>
      <c r="L4133" s="46" t="s">
        <v>12</v>
      </c>
      <c r="M4133" s="46" t="s">
        <v>13</v>
      </c>
      <c r="N4133" s="46" t="s">
        <v>16</v>
      </c>
      <c r="O4133" s="49" t="s">
        <v>814</v>
      </c>
      <c r="P4133" s="49" t="s">
        <v>4910</v>
      </c>
      <c r="Q4133" s="35" t="str">
        <f>MID(Tabla1[[#This Row],[Aplicación]],14,1)</f>
        <v>6</v>
      </c>
      <c r="R4133" s="35" t="s">
        <v>496</v>
      </c>
      <c r="S4133" s="35" t="str">
        <f>MID(Tabla1[[#This Row],[Aplicación]],6,2)</f>
        <v>03</v>
      </c>
      <c r="T4133" s="35" t="str">
        <f>VLOOKUP(Tabla1[[#This Row],[AREA]],Hoja1!A:B,2,FALSE)</f>
        <v>03. Participación ciudadana y deportes</v>
      </c>
      <c r="U4133" s="35" t="str">
        <f>MID(Tabla1[[#This Row],[Aplicación]],9,4)</f>
        <v>9241</v>
      </c>
      <c r="V4133" s="35" t="str">
        <f>VLOOKUP(Tabla1[[#This Row],[PROGRAMA]],Hoja1!A:B,2,FALSE)</f>
        <v>9241. Participación ciudadana</v>
      </c>
      <c r="W4133" s="35" t="str">
        <f>MID(Tabla1[[#This Row],[Aplicación]],14,2)</f>
        <v>63</v>
      </c>
      <c r="X4133" s="35" t="str">
        <f>MID(Tabla1[[#This Row],[Aplicación]],14,6)</f>
        <v>632</v>
      </c>
    </row>
    <row r="4134" spans="1:24" x14ac:dyDescent="0.25">
      <c r="A4134" s="45">
        <v>220210054495</v>
      </c>
      <c r="B4134" s="46" t="s">
        <v>501</v>
      </c>
      <c r="C4134" s="47">
        <v>44453</v>
      </c>
      <c r="D4134" s="45">
        <v>22021003023</v>
      </c>
      <c r="E4134" s="46" t="s">
        <v>2072</v>
      </c>
      <c r="F4134" s="48">
        <v>-31.51</v>
      </c>
      <c r="G4134" s="46" t="s">
        <v>268</v>
      </c>
      <c r="H4134" s="46" t="s">
        <v>2073</v>
      </c>
      <c r="I4134" s="45" t="s">
        <v>125</v>
      </c>
      <c r="J4134" s="46" t="s">
        <v>127</v>
      </c>
      <c r="K4134" s="46" t="s">
        <v>127</v>
      </c>
      <c r="L4134" s="46" t="s">
        <v>15</v>
      </c>
      <c r="M4134" s="46" t="s">
        <v>10</v>
      </c>
      <c r="N4134" s="46" t="s">
        <v>11</v>
      </c>
      <c r="O4134" s="49" t="s">
        <v>815</v>
      </c>
      <c r="P4134" s="49" t="s">
        <v>4910</v>
      </c>
      <c r="Q4134" s="35" t="str">
        <f>MID(Tabla1[[#This Row],[Aplicación]],14,1)</f>
        <v>2</v>
      </c>
      <c r="R4134" s="35" t="s">
        <v>495</v>
      </c>
      <c r="S4134" s="35" t="str">
        <f>MID(Tabla1[[#This Row],[Aplicación]],6,2)</f>
        <v>10</v>
      </c>
      <c r="T4134" s="35" t="str">
        <f>VLOOKUP(Tabla1[[#This Row],[AREA]],Hoja1!A:B,2,FALSE)</f>
        <v>10. Servicios sociales y mediación comunitaria</v>
      </c>
      <c r="U4134" s="35" t="str">
        <f>MID(Tabla1[[#This Row],[Aplicación]],9,4)</f>
        <v>2412</v>
      </c>
      <c r="V4134" s="35" t="str">
        <f>VLOOKUP(Tabla1[[#This Row],[PROGRAMA]],Hoja1!A:B,2,FALSE)</f>
        <v>2412. Formación para el empleo</v>
      </c>
      <c r="W4134" s="35" t="str">
        <f>MID(Tabla1[[#This Row],[Aplicación]],14,2)</f>
        <v>22</v>
      </c>
      <c r="X4134" s="35" t="str">
        <f>MID(Tabla1[[#This Row],[Aplicación]],14,6)</f>
        <v>22110</v>
      </c>
    </row>
    <row r="4135" spans="1:24" x14ac:dyDescent="0.25">
      <c r="A4135" s="45">
        <v>220210043800</v>
      </c>
      <c r="B4135" s="46" t="s">
        <v>9</v>
      </c>
      <c r="C4135" s="47">
        <v>44404</v>
      </c>
      <c r="D4135" s="45">
        <v>22021005806</v>
      </c>
      <c r="E4135" s="46" t="s">
        <v>3329</v>
      </c>
      <c r="F4135" s="48">
        <v>8918.92</v>
      </c>
      <c r="G4135" s="46" t="s">
        <v>5782</v>
      </c>
      <c r="H4135" s="46" t="s">
        <v>5783</v>
      </c>
      <c r="I4135" s="45" t="s">
        <v>125</v>
      </c>
      <c r="J4135" s="46" t="s">
        <v>127</v>
      </c>
      <c r="K4135" s="46" t="s">
        <v>127</v>
      </c>
      <c r="L4135" s="46" t="s">
        <v>15</v>
      </c>
      <c r="M4135" s="46" t="s">
        <v>10</v>
      </c>
      <c r="N4135" s="46" t="s">
        <v>11</v>
      </c>
      <c r="O4135" s="49" t="s">
        <v>815</v>
      </c>
      <c r="P4135" s="49" t="s">
        <v>4910</v>
      </c>
      <c r="Q4135" s="35" t="str">
        <f>MID(Tabla1[[#This Row],[Aplicación]],14,1)</f>
        <v>6</v>
      </c>
      <c r="R4135" s="35" t="s">
        <v>496</v>
      </c>
      <c r="S4135" s="35" t="str">
        <f>MID(Tabla1[[#This Row],[Aplicación]],6,2)</f>
        <v>10</v>
      </c>
      <c r="T4135" s="35" t="str">
        <f>VLOOKUP(Tabla1[[#This Row],[AREA]],Hoja1!A:B,2,FALSE)</f>
        <v>10. Servicios sociales y mediación comunitaria</v>
      </c>
      <c r="U4135" s="35" t="str">
        <f>MID(Tabla1[[#This Row],[Aplicación]],9,4)</f>
        <v>2312</v>
      </c>
      <c r="V4135" s="35" t="str">
        <f>VLOOKUP(Tabla1[[#This Row],[PROGRAMA]],Hoja1!A:B,2,FALSE)</f>
        <v>2312. Iniciativas sociales</v>
      </c>
      <c r="W4135" s="35" t="str">
        <f>MID(Tabla1[[#This Row],[Aplicación]],14,2)</f>
        <v>62</v>
      </c>
      <c r="X4135" s="35" t="str">
        <f>MID(Tabla1[[#This Row],[Aplicación]],14,6)</f>
        <v>626</v>
      </c>
    </row>
    <row r="4136" spans="1:24" x14ac:dyDescent="0.25">
      <c r="A4136" s="45">
        <v>220210054495</v>
      </c>
      <c r="B4136" s="46" t="s">
        <v>501</v>
      </c>
      <c r="C4136" s="47">
        <v>44453</v>
      </c>
      <c r="D4136" s="45">
        <v>22021003025</v>
      </c>
      <c r="E4136" s="46" t="s">
        <v>2072</v>
      </c>
      <c r="F4136" s="48">
        <v>-51.1</v>
      </c>
      <c r="G4136" s="46" t="s">
        <v>268</v>
      </c>
      <c r="H4136" s="46" t="s">
        <v>2073</v>
      </c>
      <c r="I4136" s="45" t="s">
        <v>125</v>
      </c>
      <c r="J4136" s="46" t="s">
        <v>127</v>
      </c>
      <c r="K4136" s="46" t="s">
        <v>127</v>
      </c>
      <c r="L4136" s="46" t="s">
        <v>15</v>
      </c>
      <c r="M4136" s="46" t="s">
        <v>10</v>
      </c>
      <c r="N4136" s="46" t="s">
        <v>11</v>
      </c>
      <c r="O4136" s="49" t="s">
        <v>815</v>
      </c>
      <c r="P4136" s="49" t="s">
        <v>4910</v>
      </c>
      <c r="Q4136" s="35" t="str">
        <f>MID(Tabla1[[#This Row],[Aplicación]],14,1)</f>
        <v>2</v>
      </c>
      <c r="R4136" s="35" t="s">
        <v>495</v>
      </c>
      <c r="S4136" s="35" t="str">
        <f>MID(Tabla1[[#This Row],[Aplicación]],6,2)</f>
        <v>10</v>
      </c>
      <c r="T4136" s="35" t="str">
        <f>VLOOKUP(Tabla1[[#This Row],[AREA]],Hoja1!A:B,2,FALSE)</f>
        <v>10. Servicios sociales y mediación comunitaria</v>
      </c>
      <c r="U4136" s="35" t="str">
        <f>MID(Tabla1[[#This Row],[Aplicación]],9,4)</f>
        <v>2412</v>
      </c>
      <c r="V4136" s="35" t="str">
        <f>VLOOKUP(Tabla1[[#This Row],[PROGRAMA]],Hoja1!A:B,2,FALSE)</f>
        <v>2412. Formación para el empleo</v>
      </c>
      <c r="W4136" s="35" t="str">
        <f>MID(Tabla1[[#This Row],[Aplicación]],14,2)</f>
        <v>22</v>
      </c>
      <c r="X4136" s="35" t="str">
        <f>MID(Tabla1[[#This Row],[Aplicación]],14,6)</f>
        <v>22110</v>
      </c>
    </row>
    <row r="4137" spans="1:24" x14ac:dyDescent="0.25">
      <c r="A4137" s="45">
        <v>220210050943</v>
      </c>
      <c r="B4137" s="46" t="s">
        <v>9</v>
      </c>
      <c r="C4137" s="47">
        <v>44446</v>
      </c>
      <c r="D4137" s="45">
        <v>22021005127</v>
      </c>
      <c r="E4137" s="46" t="s">
        <v>1483</v>
      </c>
      <c r="F4137" s="48">
        <v>169.04</v>
      </c>
      <c r="G4137" s="46" t="s">
        <v>764</v>
      </c>
      <c r="H4137" s="46" t="s">
        <v>5784</v>
      </c>
      <c r="I4137" s="45" t="s">
        <v>125</v>
      </c>
      <c r="J4137" s="46" t="s">
        <v>127</v>
      </c>
      <c r="K4137" s="46" t="s">
        <v>127</v>
      </c>
      <c r="L4137" s="46" t="s">
        <v>12</v>
      </c>
      <c r="M4137" s="46" t="s">
        <v>13</v>
      </c>
      <c r="N4137" s="46" t="s">
        <v>16</v>
      </c>
      <c r="O4137" s="49" t="s">
        <v>814</v>
      </c>
      <c r="P4137" s="49" t="s">
        <v>4910</v>
      </c>
      <c r="Q4137" s="35" t="str">
        <f>MID(Tabla1[[#This Row],[Aplicación]],14,1)</f>
        <v>6</v>
      </c>
      <c r="R4137" s="35" t="s">
        <v>496</v>
      </c>
      <c r="S4137" s="35" t="str">
        <f>MID(Tabla1[[#This Row],[Aplicación]],6,2)</f>
        <v>03</v>
      </c>
      <c r="T4137" s="35" t="str">
        <f>VLOOKUP(Tabla1[[#This Row],[AREA]],Hoja1!A:B,2,FALSE)</f>
        <v>03. Participación ciudadana y deportes</v>
      </c>
      <c r="U4137" s="35" t="str">
        <f>MID(Tabla1[[#This Row],[Aplicación]],9,4)</f>
        <v>9241</v>
      </c>
      <c r="V4137" s="35" t="str">
        <f>VLOOKUP(Tabla1[[#This Row],[PROGRAMA]],Hoja1!A:B,2,FALSE)</f>
        <v>9241. Participación ciudadana</v>
      </c>
      <c r="W4137" s="35" t="str">
        <f>MID(Tabla1[[#This Row],[Aplicación]],14,2)</f>
        <v>63</v>
      </c>
      <c r="X4137" s="35" t="str">
        <f>MID(Tabla1[[#This Row],[Aplicación]],14,6)</f>
        <v>632</v>
      </c>
    </row>
    <row r="4138" spans="1:24" x14ac:dyDescent="0.25">
      <c r="A4138" s="45">
        <v>220210040168</v>
      </c>
      <c r="B4138" s="46" t="s">
        <v>204</v>
      </c>
      <c r="C4138" s="47">
        <v>44396</v>
      </c>
      <c r="D4138" s="45">
        <v>22021001967</v>
      </c>
      <c r="E4138" s="46" t="s">
        <v>1167</v>
      </c>
      <c r="F4138" s="48">
        <v>386.74</v>
      </c>
      <c r="G4138" s="46" t="s">
        <v>264</v>
      </c>
      <c r="H4138" s="46" t="s">
        <v>5785</v>
      </c>
      <c r="I4138" s="45" t="s">
        <v>205</v>
      </c>
      <c r="J4138" s="46" t="s">
        <v>127</v>
      </c>
      <c r="K4138" s="46" t="s">
        <v>127</v>
      </c>
      <c r="L4138" s="46" t="s">
        <v>15</v>
      </c>
      <c r="M4138" s="46" t="s">
        <v>13</v>
      </c>
      <c r="N4138" s="46" t="s">
        <v>14</v>
      </c>
      <c r="O4138" s="49" t="s">
        <v>814</v>
      </c>
      <c r="P4138" s="49" t="s">
        <v>4910</v>
      </c>
      <c r="Q4138" s="35" t="str">
        <f>MID(Tabla1[[#This Row],[Aplicación]],14,1)</f>
        <v>2</v>
      </c>
      <c r="R4138" s="35" t="s">
        <v>495</v>
      </c>
      <c r="S4138" s="35" t="str">
        <f>MID(Tabla1[[#This Row],[Aplicación]],6,2)</f>
        <v>11</v>
      </c>
      <c r="T4138" s="35" t="str">
        <f>VLOOKUP(Tabla1[[#This Row],[AREA]],Hoja1!A:B,2,FALSE)</f>
        <v>11. Salud pública y seguridad ciudadana</v>
      </c>
      <c r="U4138" s="35" t="str">
        <f>MID(Tabla1[[#This Row],[Aplicación]],9,4)</f>
        <v>1321</v>
      </c>
      <c r="V4138" s="35" t="str">
        <f>VLOOKUP(Tabla1[[#This Row],[PROGRAMA]],Hoja1!A:B,2,FALSE)</f>
        <v>1321. Policía municipal</v>
      </c>
      <c r="W4138" s="35" t="str">
        <f>MID(Tabla1[[#This Row],[Aplicación]],14,2)</f>
        <v>21</v>
      </c>
      <c r="X4138" s="35" t="str">
        <f>MID(Tabla1[[#This Row],[Aplicación]],14,6)</f>
        <v>214</v>
      </c>
    </row>
    <row r="4139" spans="1:24" x14ac:dyDescent="0.25">
      <c r="A4139" s="45">
        <v>220210040133</v>
      </c>
      <c r="B4139" s="46" t="s">
        <v>204</v>
      </c>
      <c r="C4139" s="47">
        <v>44396</v>
      </c>
      <c r="D4139" s="45">
        <v>22021002146</v>
      </c>
      <c r="E4139" s="46" t="s">
        <v>1410</v>
      </c>
      <c r="F4139" s="48">
        <v>317.83999999999997</v>
      </c>
      <c r="G4139" s="46" t="s">
        <v>264</v>
      </c>
      <c r="H4139" s="46" t="s">
        <v>3269</v>
      </c>
      <c r="I4139" s="45" t="s">
        <v>205</v>
      </c>
      <c r="J4139" s="46" t="s">
        <v>127</v>
      </c>
      <c r="K4139" s="46" t="s">
        <v>127</v>
      </c>
      <c r="L4139" s="46" t="s">
        <v>15</v>
      </c>
      <c r="M4139" s="46" t="s">
        <v>13</v>
      </c>
      <c r="N4139" s="46" t="s">
        <v>14</v>
      </c>
      <c r="O4139" s="49" t="s">
        <v>814</v>
      </c>
      <c r="P4139" s="49" t="s">
        <v>4910</v>
      </c>
      <c r="Q4139" s="35" t="str">
        <f>MID(Tabla1[[#This Row],[Aplicación]],14,1)</f>
        <v>2</v>
      </c>
      <c r="R4139" s="35" t="s">
        <v>495</v>
      </c>
      <c r="S4139" s="35" t="str">
        <f>MID(Tabla1[[#This Row],[Aplicación]],6,2)</f>
        <v>07</v>
      </c>
      <c r="T4139" s="35" t="str">
        <f>VLOOKUP(Tabla1[[#This Row],[AREA]],Hoja1!A:B,2,FALSE)</f>
        <v>07. Medio ambiente y desarrollo sostenible</v>
      </c>
      <c r="U4139" s="35" t="str">
        <f>MID(Tabla1[[#This Row],[Aplicación]],9,4)</f>
        <v>1711</v>
      </c>
      <c r="V4139" s="35" t="str">
        <f>VLOOKUP(Tabla1[[#This Row],[PROGRAMA]],Hoja1!A:B,2,FALSE)</f>
        <v>1711. Parques y jardines</v>
      </c>
      <c r="W4139" s="35" t="str">
        <f>MID(Tabla1[[#This Row],[Aplicación]],14,2)</f>
        <v>21</v>
      </c>
      <c r="X4139" s="35" t="str">
        <f>MID(Tabla1[[#This Row],[Aplicación]],14,6)</f>
        <v>214</v>
      </c>
    </row>
    <row r="4140" spans="1:24" x14ac:dyDescent="0.25">
      <c r="A4140" s="45">
        <v>220210040157</v>
      </c>
      <c r="B4140" s="46" t="s">
        <v>204</v>
      </c>
      <c r="C4140" s="47">
        <v>44396</v>
      </c>
      <c r="D4140" s="45">
        <v>22021002051</v>
      </c>
      <c r="E4140" s="46" t="s">
        <v>2049</v>
      </c>
      <c r="F4140" s="48">
        <v>193.6</v>
      </c>
      <c r="G4140" s="46" t="s">
        <v>264</v>
      </c>
      <c r="H4140" s="46" t="s">
        <v>5786</v>
      </c>
      <c r="I4140" s="45" t="s">
        <v>205</v>
      </c>
      <c r="J4140" s="46" t="s">
        <v>127</v>
      </c>
      <c r="K4140" s="46" t="s">
        <v>127</v>
      </c>
      <c r="L4140" s="46" t="s">
        <v>15</v>
      </c>
      <c r="M4140" s="46" t="s">
        <v>13</v>
      </c>
      <c r="N4140" s="46" t="s">
        <v>14</v>
      </c>
      <c r="O4140" s="49" t="s">
        <v>814</v>
      </c>
      <c r="P4140" s="49" t="s">
        <v>4910</v>
      </c>
      <c r="Q4140" s="35" t="str">
        <f>MID(Tabla1[[#This Row],[Aplicación]],14,1)</f>
        <v>2</v>
      </c>
      <c r="R4140" s="35" t="s">
        <v>495</v>
      </c>
      <c r="S4140" s="35" t="str">
        <f>MID(Tabla1[[#This Row],[Aplicación]],6,2)</f>
        <v>11</v>
      </c>
      <c r="T4140" s="35" t="str">
        <f>VLOOKUP(Tabla1[[#This Row],[AREA]],Hoja1!A:B,2,FALSE)</f>
        <v>11. Salud pública y seguridad ciudadana</v>
      </c>
      <c r="U4140" s="35" t="str">
        <f>MID(Tabla1[[#This Row],[Aplicación]],9,4)</f>
        <v>1621</v>
      </c>
      <c r="V4140" s="35" t="str">
        <f>VLOOKUP(Tabla1[[#This Row],[PROGRAMA]],Hoja1!A:B,2,FALSE)</f>
        <v>1621. Servicio de limpieza</v>
      </c>
      <c r="W4140" s="35" t="str">
        <f>MID(Tabla1[[#This Row],[Aplicación]],14,2)</f>
        <v>22</v>
      </c>
      <c r="X4140" s="35" t="str">
        <f>MID(Tabla1[[#This Row],[Aplicación]],14,6)</f>
        <v>22110</v>
      </c>
    </row>
    <row r="4141" spans="1:24" x14ac:dyDescent="0.25">
      <c r="A4141" s="45">
        <v>220210043901</v>
      </c>
      <c r="B4141" s="46" t="s">
        <v>204</v>
      </c>
      <c r="C4141" s="47">
        <v>44405</v>
      </c>
      <c r="D4141" s="45">
        <v>22021003381</v>
      </c>
      <c r="E4141" s="46" t="s">
        <v>1183</v>
      </c>
      <c r="F4141" s="48">
        <v>73.510000000000005</v>
      </c>
      <c r="G4141" s="46" t="s">
        <v>264</v>
      </c>
      <c r="H4141" s="46" t="s">
        <v>5787</v>
      </c>
      <c r="I4141" s="45" t="s">
        <v>205</v>
      </c>
      <c r="J4141" s="46" t="s">
        <v>127</v>
      </c>
      <c r="K4141" s="46" t="s">
        <v>127</v>
      </c>
      <c r="L4141" s="46" t="s">
        <v>15</v>
      </c>
      <c r="M4141" s="46" t="s">
        <v>13</v>
      </c>
      <c r="N4141" s="46" t="s">
        <v>14</v>
      </c>
      <c r="O4141" s="49" t="s">
        <v>814</v>
      </c>
      <c r="P4141" s="49" t="s">
        <v>4910</v>
      </c>
      <c r="Q4141" s="35" t="str">
        <f>MID(Tabla1[[#This Row],[Aplicación]],14,1)</f>
        <v>2</v>
      </c>
      <c r="R4141" s="35" t="s">
        <v>495</v>
      </c>
      <c r="S4141" s="35" t="str">
        <f>MID(Tabla1[[#This Row],[Aplicación]],6,2)</f>
        <v>11</v>
      </c>
      <c r="T4141" s="35" t="str">
        <f>VLOOKUP(Tabla1[[#This Row],[AREA]],Hoja1!A:B,2,FALSE)</f>
        <v>11. Salud pública y seguridad ciudadana</v>
      </c>
      <c r="U4141" s="35" t="str">
        <f>MID(Tabla1[[#This Row],[Aplicación]],9,4)</f>
        <v>1361</v>
      </c>
      <c r="V4141" s="35" t="str">
        <f>VLOOKUP(Tabla1[[#This Row],[PROGRAMA]],Hoja1!A:B,2,FALSE)</f>
        <v>1361. Prevención y extinción de incencios</v>
      </c>
      <c r="W4141" s="35" t="str">
        <f>MID(Tabla1[[#This Row],[Aplicación]],14,2)</f>
        <v>22</v>
      </c>
      <c r="X4141" s="35" t="str">
        <f>MID(Tabla1[[#This Row],[Aplicación]],14,6)</f>
        <v>22199</v>
      </c>
    </row>
    <row r="4142" spans="1:24" x14ac:dyDescent="0.25">
      <c r="A4142" s="45">
        <v>220210045409</v>
      </c>
      <c r="B4142" s="46" t="s">
        <v>204</v>
      </c>
      <c r="C4142" s="47">
        <v>44413</v>
      </c>
      <c r="D4142" s="45">
        <v>22021002146</v>
      </c>
      <c r="E4142" s="46" t="s">
        <v>1410</v>
      </c>
      <c r="F4142" s="48">
        <v>170.21</v>
      </c>
      <c r="G4142" s="46" t="s">
        <v>264</v>
      </c>
      <c r="H4142" s="46" t="s">
        <v>3269</v>
      </c>
      <c r="I4142" s="45" t="s">
        <v>205</v>
      </c>
      <c r="J4142" s="46" t="s">
        <v>127</v>
      </c>
      <c r="K4142" s="46" t="s">
        <v>127</v>
      </c>
      <c r="L4142" s="46" t="s">
        <v>15</v>
      </c>
      <c r="M4142" s="46" t="s">
        <v>13</v>
      </c>
      <c r="N4142" s="46" t="s">
        <v>14</v>
      </c>
      <c r="O4142" s="49" t="s">
        <v>814</v>
      </c>
      <c r="P4142" s="49" t="s">
        <v>4910</v>
      </c>
      <c r="Q4142" s="35" t="str">
        <f>MID(Tabla1[[#This Row],[Aplicación]],14,1)</f>
        <v>2</v>
      </c>
      <c r="R4142" s="35" t="s">
        <v>495</v>
      </c>
      <c r="S4142" s="35" t="str">
        <f>MID(Tabla1[[#This Row],[Aplicación]],6,2)</f>
        <v>07</v>
      </c>
      <c r="T4142" s="35" t="str">
        <f>VLOOKUP(Tabla1[[#This Row],[AREA]],Hoja1!A:B,2,FALSE)</f>
        <v>07. Medio ambiente y desarrollo sostenible</v>
      </c>
      <c r="U4142" s="35" t="str">
        <f>MID(Tabla1[[#This Row],[Aplicación]],9,4)</f>
        <v>1711</v>
      </c>
      <c r="V4142" s="35" t="str">
        <f>VLOOKUP(Tabla1[[#This Row],[PROGRAMA]],Hoja1!A:B,2,FALSE)</f>
        <v>1711. Parques y jardines</v>
      </c>
      <c r="W4142" s="35" t="str">
        <f>MID(Tabla1[[#This Row],[Aplicación]],14,2)</f>
        <v>21</v>
      </c>
      <c r="X4142" s="35" t="str">
        <f>MID(Tabla1[[#This Row],[Aplicación]],14,6)</f>
        <v>214</v>
      </c>
    </row>
    <row r="4143" spans="1:24" x14ac:dyDescent="0.25">
      <c r="A4143" s="45">
        <v>220210045116</v>
      </c>
      <c r="B4143" s="46" t="s">
        <v>204</v>
      </c>
      <c r="C4143" s="47">
        <v>44411</v>
      </c>
      <c r="D4143" s="45">
        <v>22021002146</v>
      </c>
      <c r="E4143" s="46" t="s">
        <v>1410</v>
      </c>
      <c r="F4143" s="48">
        <v>103.23</v>
      </c>
      <c r="G4143" s="46" t="s">
        <v>264</v>
      </c>
      <c r="H4143" s="46" t="s">
        <v>3269</v>
      </c>
      <c r="I4143" s="45" t="s">
        <v>205</v>
      </c>
      <c r="J4143" s="46" t="s">
        <v>127</v>
      </c>
      <c r="K4143" s="46" t="s">
        <v>127</v>
      </c>
      <c r="L4143" s="46" t="s">
        <v>15</v>
      </c>
      <c r="M4143" s="46" t="s">
        <v>13</v>
      </c>
      <c r="N4143" s="46" t="s">
        <v>14</v>
      </c>
      <c r="O4143" s="49" t="s">
        <v>814</v>
      </c>
      <c r="P4143" s="49" t="s">
        <v>4910</v>
      </c>
      <c r="Q4143" s="35" t="str">
        <f>MID(Tabla1[[#This Row],[Aplicación]],14,1)</f>
        <v>2</v>
      </c>
      <c r="R4143" s="35" t="s">
        <v>495</v>
      </c>
      <c r="S4143" s="35" t="str">
        <f>MID(Tabla1[[#This Row],[Aplicación]],6,2)</f>
        <v>07</v>
      </c>
      <c r="T4143" s="35" t="str">
        <f>VLOOKUP(Tabla1[[#This Row],[AREA]],Hoja1!A:B,2,FALSE)</f>
        <v>07. Medio ambiente y desarrollo sostenible</v>
      </c>
      <c r="U4143" s="35" t="str">
        <f>MID(Tabla1[[#This Row],[Aplicación]],9,4)</f>
        <v>1711</v>
      </c>
      <c r="V4143" s="35" t="str">
        <f>VLOOKUP(Tabla1[[#This Row],[PROGRAMA]],Hoja1!A:B,2,FALSE)</f>
        <v>1711. Parques y jardines</v>
      </c>
      <c r="W4143" s="35" t="str">
        <f>MID(Tabla1[[#This Row],[Aplicación]],14,2)</f>
        <v>21</v>
      </c>
      <c r="X4143" s="35" t="str">
        <f>MID(Tabla1[[#This Row],[Aplicación]],14,6)</f>
        <v>214</v>
      </c>
    </row>
    <row r="4144" spans="1:24" x14ac:dyDescent="0.25">
      <c r="A4144" s="45">
        <v>220210050133</v>
      </c>
      <c r="B4144" s="46" t="s">
        <v>204</v>
      </c>
      <c r="C4144" s="47">
        <v>44435</v>
      </c>
      <c r="D4144" s="45">
        <v>22021001967</v>
      </c>
      <c r="E4144" s="46" t="s">
        <v>1167</v>
      </c>
      <c r="F4144" s="48">
        <v>372.95</v>
      </c>
      <c r="G4144" s="46" t="s">
        <v>264</v>
      </c>
      <c r="H4144" s="46" t="s">
        <v>5788</v>
      </c>
      <c r="I4144" s="45" t="s">
        <v>205</v>
      </c>
      <c r="J4144" s="46" t="s">
        <v>127</v>
      </c>
      <c r="K4144" s="46" t="s">
        <v>127</v>
      </c>
      <c r="L4144" s="46" t="s">
        <v>15</v>
      </c>
      <c r="M4144" s="46" t="s">
        <v>13</v>
      </c>
      <c r="N4144" s="46" t="s">
        <v>14</v>
      </c>
      <c r="O4144" s="49" t="s">
        <v>814</v>
      </c>
      <c r="P4144" s="49" t="s">
        <v>4910</v>
      </c>
      <c r="Q4144" s="35" t="str">
        <f>MID(Tabla1[[#This Row],[Aplicación]],14,1)</f>
        <v>2</v>
      </c>
      <c r="R4144" s="35" t="s">
        <v>495</v>
      </c>
      <c r="S4144" s="35" t="str">
        <f>MID(Tabla1[[#This Row],[Aplicación]],6,2)</f>
        <v>11</v>
      </c>
      <c r="T4144" s="35" t="str">
        <f>VLOOKUP(Tabla1[[#This Row],[AREA]],Hoja1!A:B,2,FALSE)</f>
        <v>11. Salud pública y seguridad ciudadana</v>
      </c>
      <c r="U4144" s="35" t="str">
        <f>MID(Tabla1[[#This Row],[Aplicación]],9,4)</f>
        <v>1321</v>
      </c>
      <c r="V4144" s="35" t="str">
        <f>VLOOKUP(Tabla1[[#This Row],[PROGRAMA]],Hoja1!A:B,2,FALSE)</f>
        <v>1321. Policía municipal</v>
      </c>
      <c r="W4144" s="35" t="str">
        <f>MID(Tabla1[[#This Row],[Aplicación]],14,2)</f>
        <v>21</v>
      </c>
      <c r="X4144" s="35" t="str">
        <f>MID(Tabla1[[#This Row],[Aplicación]],14,6)</f>
        <v>214</v>
      </c>
    </row>
    <row r="4145" spans="1:24" x14ac:dyDescent="0.25">
      <c r="A4145" s="45">
        <v>220210036873</v>
      </c>
      <c r="B4145" s="46" t="s">
        <v>9</v>
      </c>
      <c r="C4145" s="47">
        <v>44390</v>
      </c>
      <c r="D4145" s="45">
        <v>22021005626</v>
      </c>
      <c r="E4145" s="46" t="s">
        <v>2849</v>
      </c>
      <c r="F4145" s="48">
        <v>1997.94</v>
      </c>
      <c r="G4145" s="46" t="s">
        <v>2450</v>
      </c>
      <c r="H4145" s="46" t="s">
        <v>5789</v>
      </c>
      <c r="I4145" s="45" t="s">
        <v>125</v>
      </c>
      <c r="J4145" s="46" t="s">
        <v>127</v>
      </c>
      <c r="K4145" s="46" t="s">
        <v>127</v>
      </c>
      <c r="L4145" s="46" t="s">
        <v>12</v>
      </c>
      <c r="M4145" s="46" t="s">
        <v>13</v>
      </c>
      <c r="N4145" s="46" t="s">
        <v>14</v>
      </c>
      <c r="O4145" s="49" t="s">
        <v>814</v>
      </c>
      <c r="P4145" s="49" t="s">
        <v>4910</v>
      </c>
      <c r="Q4145" s="35" t="str">
        <f>MID(Tabla1[[#This Row],[Aplicación]],14,1)</f>
        <v>2</v>
      </c>
      <c r="R4145" s="35" t="s">
        <v>495</v>
      </c>
      <c r="S4145" s="35" t="str">
        <f>MID(Tabla1[[#This Row],[Aplicación]],6,2)</f>
        <v>03</v>
      </c>
      <c r="T4145" s="35" t="str">
        <f>VLOOKUP(Tabla1[[#This Row],[AREA]],Hoja1!A:B,2,FALSE)</f>
        <v>03. Participación ciudadana y deportes</v>
      </c>
      <c r="U4145" s="35" t="str">
        <f>MID(Tabla1[[#This Row],[Aplicación]],9,4)</f>
        <v>9200</v>
      </c>
      <c r="V4145" s="35" t="str">
        <f>VLOOKUP(Tabla1[[#This Row],[PROGRAMA]],Hoja1!A:B,2,FALSE)</f>
        <v>9200. Dirección del area de participación ciudadana</v>
      </c>
      <c r="W4145" s="35" t="str">
        <f>MID(Tabla1[[#This Row],[Aplicación]],14,2)</f>
        <v>22</v>
      </c>
      <c r="X4145" s="35" t="str">
        <f>MID(Tabla1[[#This Row],[Aplicación]],14,6)</f>
        <v>22602</v>
      </c>
    </row>
    <row r="4146" spans="1:24" x14ac:dyDescent="0.25">
      <c r="A4146" s="45">
        <v>220210043811</v>
      </c>
      <c r="B4146" s="46" t="s">
        <v>9</v>
      </c>
      <c r="C4146" s="47">
        <v>44404</v>
      </c>
      <c r="D4146" s="45">
        <v>22021005770</v>
      </c>
      <c r="E4146" s="46" t="s">
        <v>1392</v>
      </c>
      <c r="F4146" s="48">
        <v>4537.5</v>
      </c>
      <c r="G4146" s="46" t="s">
        <v>5790</v>
      </c>
      <c r="H4146" s="46" t="s">
        <v>5791</v>
      </c>
      <c r="I4146" s="45" t="s">
        <v>125</v>
      </c>
      <c r="J4146" s="46" t="s">
        <v>664</v>
      </c>
      <c r="K4146" s="46" t="s">
        <v>127</v>
      </c>
      <c r="L4146" s="46" t="s">
        <v>12</v>
      </c>
      <c r="M4146" s="46" t="s">
        <v>10</v>
      </c>
      <c r="N4146" s="46" t="s">
        <v>11</v>
      </c>
      <c r="O4146" s="49" t="s">
        <v>815</v>
      </c>
      <c r="P4146" s="49" t="s">
        <v>4910</v>
      </c>
      <c r="Q4146" s="35" t="str">
        <f>MID(Tabla1[[#This Row],[Aplicación]],14,1)</f>
        <v>2</v>
      </c>
      <c r="R4146" s="35" t="s">
        <v>495</v>
      </c>
      <c r="S4146" s="35" t="str">
        <f>MID(Tabla1[[#This Row],[Aplicación]],6,2)</f>
        <v>08</v>
      </c>
      <c r="T4146" s="35" t="str">
        <f>VLOOKUP(Tabla1[[#This Row],[AREA]],Hoja1!A:B,2,FALSE)</f>
        <v>08. Movilidad y espacio urbano</v>
      </c>
      <c r="U4146" s="35" t="str">
        <f>MID(Tabla1[[#This Row],[Aplicación]],9,4)</f>
        <v>1532</v>
      </c>
      <c r="V4146" s="35" t="str">
        <f>VLOOKUP(Tabla1[[#This Row],[PROGRAMA]],Hoja1!A:B,2,FALSE)</f>
        <v>1532. Pavimentación vias públicas y otros servicios urbanísticos</v>
      </c>
      <c r="W4146" s="35" t="str">
        <f>MID(Tabla1[[#This Row],[Aplicación]],14,2)</f>
        <v>21</v>
      </c>
      <c r="X4146" s="35" t="str">
        <f>MID(Tabla1[[#This Row],[Aplicación]],14,6)</f>
        <v>214</v>
      </c>
    </row>
    <row r="4147" spans="1:24" x14ac:dyDescent="0.25">
      <c r="A4147" s="45">
        <v>220210042187</v>
      </c>
      <c r="B4147" s="46" t="s">
        <v>204</v>
      </c>
      <c r="C4147" s="47">
        <v>44400</v>
      </c>
      <c r="D4147" s="45">
        <v>22021003265</v>
      </c>
      <c r="E4147" s="46" t="s">
        <v>1569</v>
      </c>
      <c r="F4147" s="48">
        <v>20928.61</v>
      </c>
      <c r="G4147" s="46" t="s">
        <v>526</v>
      </c>
      <c r="H4147" s="46" t="s">
        <v>655</v>
      </c>
      <c r="I4147" s="45" t="s">
        <v>205</v>
      </c>
      <c r="J4147" s="46" t="s">
        <v>656</v>
      </c>
      <c r="K4147" s="46" t="s">
        <v>201</v>
      </c>
      <c r="L4147" s="46" t="s">
        <v>15</v>
      </c>
      <c r="M4147" s="46" t="s">
        <v>13</v>
      </c>
      <c r="N4147" s="46" t="s">
        <v>16</v>
      </c>
      <c r="O4147" s="49" t="s">
        <v>803</v>
      </c>
      <c r="P4147" s="49" t="s">
        <v>4910</v>
      </c>
      <c r="Q4147" s="35" t="str">
        <f>MID(Tabla1[[#This Row],[Aplicación]],14,1)</f>
        <v>2</v>
      </c>
      <c r="R4147" s="35" t="s">
        <v>495</v>
      </c>
      <c r="S4147" s="35" t="str">
        <f>MID(Tabla1[[#This Row],[Aplicación]],6,2)</f>
        <v>04</v>
      </c>
      <c r="T4147" s="35" t="str">
        <f>VLOOKUP(Tabla1[[#This Row],[AREA]],Hoja1!A:B,2,FALSE)</f>
        <v>04. Planificación y recursos</v>
      </c>
      <c r="U4147" s="35" t="str">
        <f>MID(Tabla1[[#This Row],[Aplicación]],9,4)</f>
        <v>9204</v>
      </c>
      <c r="V4147" s="35" t="str">
        <f>VLOOKUP(Tabla1[[#This Row],[PROGRAMA]],Hoja1!A:B,2,FALSE)</f>
        <v>9204. Tecnologías de la información y comunicación</v>
      </c>
      <c r="W4147" s="35" t="str">
        <f>MID(Tabla1[[#This Row],[Aplicación]],14,2)</f>
        <v>22</v>
      </c>
      <c r="X4147" s="35" t="str">
        <f>MID(Tabla1[[#This Row],[Aplicación]],14,6)</f>
        <v>22002</v>
      </c>
    </row>
    <row r="4148" spans="1:24" x14ac:dyDescent="0.25">
      <c r="A4148" s="45">
        <v>220210041558</v>
      </c>
      <c r="B4148" s="46" t="s">
        <v>204</v>
      </c>
      <c r="C4148" s="47">
        <v>44398</v>
      </c>
      <c r="D4148" s="45">
        <v>22021002556</v>
      </c>
      <c r="E4148" s="46" t="s">
        <v>3334</v>
      </c>
      <c r="F4148" s="48">
        <v>87251.89</v>
      </c>
      <c r="G4148" s="46" t="s">
        <v>5792</v>
      </c>
      <c r="H4148" s="46" t="s">
        <v>5793</v>
      </c>
      <c r="I4148" s="45" t="s">
        <v>205</v>
      </c>
      <c r="J4148" s="46" t="s">
        <v>127</v>
      </c>
      <c r="K4148" s="46" t="s">
        <v>127</v>
      </c>
      <c r="L4148" s="46" t="s">
        <v>31</v>
      </c>
      <c r="M4148" s="46" t="s">
        <v>13</v>
      </c>
      <c r="N4148" s="46" t="s">
        <v>14</v>
      </c>
      <c r="O4148" s="49" t="s">
        <v>803</v>
      </c>
      <c r="P4148" s="49" t="s">
        <v>4910</v>
      </c>
      <c r="Q4148" s="35" t="str">
        <f>MID(Tabla1[[#This Row],[Aplicación]],14,1)</f>
        <v>6</v>
      </c>
      <c r="R4148" s="35" t="s">
        <v>496</v>
      </c>
      <c r="S4148" s="35" t="str">
        <f>MID(Tabla1[[#This Row],[Aplicación]],6,2)</f>
        <v>11</v>
      </c>
      <c r="T4148" s="35" t="str">
        <f>VLOOKUP(Tabla1[[#This Row],[AREA]],Hoja1!A:B,2,FALSE)</f>
        <v>11. Salud pública y seguridad ciudadana</v>
      </c>
      <c r="U4148" s="35" t="str">
        <f>MID(Tabla1[[#This Row],[Aplicación]],9,4)</f>
        <v>3111</v>
      </c>
      <c r="V4148" s="35" t="str">
        <f>VLOOKUP(Tabla1[[#This Row],[PROGRAMA]],Hoja1!A:B,2,FALSE)</f>
        <v>3111. Protección de la salubridad pública</v>
      </c>
      <c r="W4148" s="35" t="str">
        <f>MID(Tabla1[[#This Row],[Aplicación]],14,2)</f>
        <v>63</v>
      </c>
      <c r="X4148" s="35" t="str">
        <f>MID(Tabla1[[#This Row],[Aplicación]],14,6)</f>
        <v>632</v>
      </c>
    </row>
    <row r="4149" spans="1:24" x14ac:dyDescent="0.25">
      <c r="A4149" s="45">
        <v>220210044267</v>
      </c>
      <c r="B4149" s="46" t="s">
        <v>9</v>
      </c>
      <c r="C4149" s="47">
        <v>44406</v>
      </c>
      <c r="D4149" s="45">
        <v>22021005880</v>
      </c>
      <c r="E4149" s="46" t="s">
        <v>1328</v>
      </c>
      <c r="F4149" s="48">
        <v>689.7</v>
      </c>
      <c r="G4149" s="46" t="s">
        <v>5792</v>
      </c>
      <c r="H4149" s="46" t="s">
        <v>5794</v>
      </c>
      <c r="I4149" s="45" t="s">
        <v>125</v>
      </c>
      <c r="J4149" s="46" t="s">
        <v>127</v>
      </c>
      <c r="K4149" s="46" t="s">
        <v>127</v>
      </c>
      <c r="L4149" s="46" t="s">
        <v>12</v>
      </c>
      <c r="M4149" s="46" t="s">
        <v>10</v>
      </c>
      <c r="N4149" s="46" t="s">
        <v>11</v>
      </c>
      <c r="O4149" s="49" t="s">
        <v>815</v>
      </c>
      <c r="P4149" s="49" t="s">
        <v>4910</v>
      </c>
      <c r="Q4149" s="35" t="str">
        <f>MID(Tabla1[[#This Row],[Aplicación]],14,1)</f>
        <v>2</v>
      </c>
      <c r="R4149" s="35" t="s">
        <v>495</v>
      </c>
      <c r="S4149" s="35" t="str">
        <f>MID(Tabla1[[#This Row],[Aplicación]],6,2)</f>
        <v>10</v>
      </c>
      <c r="T4149" s="35" t="str">
        <f>VLOOKUP(Tabla1[[#This Row],[AREA]],Hoja1!A:B,2,FALSE)</f>
        <v>10. Servicios sociales y mediación comunitaria</v>
      </c>
      <c r="U4149" s="35" t="str">
        <f>MID(Tabla1[[#This Row],[Aplicación]],9,4)</f>
        <v>2311</v>
      </c>
      <c r="V4149" s="35" t="str">
        <f>VLOOKUP(Tabla1[[#This Row],[PROGRAMA]],Hoja1!A:B,2,FALSE)</f>
        <v>2311. Intervención social</v>
      </c>
      <c r="W4149" s="35" t="str">
        <f>MID(Tabla1[[#This Row],[Aplicación]],14,2)</f>
        <v>21</v>
      </c>
      <c r="X4149" s="35" t="str">
        <f>MID(Tabla1[[#This Row],[Aplicación]],14,6)</f>
        <v>212</v>
      </c>
    </row>
    <row r="4150" spans="1:24" x14ac:dyDescent="0.25">
      <c r="A4150" s="45">
        <v>220210040105</v>
      </c>
      <c r="B4150" s="46" t="s">
        <v>204</v>
      </c>
      <c r="C4150" s="47">
        <v>44396</v>
      </c>
      <c r="D4150" s="45">
        <v>22021002052</v>
      </c>
      <c r="E4150" s="46" t="s">
        <v>1340</v>
      </c>
      <c r="F4150" s="48">
        <v>1952.37</v>
      </c>
      <c r="G4150" s="46" t="s">
        <v>270</v>
      </c>
      <c r="H4150" s="46" t="s">
        <v>5795</v>
      </c>
      <c r="I4150" s="45" t="s">
        <v>205</v>
      </c>
      <c r="J4150" s="46" t="s">
        <v>127</v>
      </c>
      <c r="K4150" s="46" t="s">
        <v>127</v>
      </c>
      <c r="L4150" s="46" t="s">
        <v>15</v>
      </c>
      <c r="M4150" s="46" t="s">
        <v>13</v>
      </c>
      <c r="N4150" s="46" t="s">
        <v>14</v>
      </c>
      <c r="O4150" s="49" t="s">
        <v>814</v>
      </c>
      <c r="P4150" s="49" t="s">
        <v>4910</v>
      </c>
      <c r="Q4150" s="35" t="str">
        <f>MID(Tabla1[[#This Row],[Aplicación]],14,1)</f>
        <v>2</v>
      </c>
      <c r="R4150" s="35" t="s">
        <v>495</v>
      </c>
      <c r="S4150" s="35" t="str">
        <f>MID(Tabla1[[#This Row],[Aplicación]],6,2)</f>
        <v>11</v>
      </c>
      <c r="T4150" s="35" t="str">
        <f>VLOOKUP(Tabla1[[#This Row],[AREA]],Hoja1!A:B,2,FALSE)</f>
        <v>11. Salud pública y seguridad ciudadana</v>
      </c>
      <c r="U4150" s="35" t="str">
        <f>MID(Tabla1[[#This Row],[Aplicación]],9,4)</f>
        <v>1621</v>
      </c>
      <c r="V4150" s="35" t="str">
        <f>VLOOKUP(Tabla1[[#This Row],[PROGRAMA]],Hoja1!A:B,2,FALSE)</f>
        <v>1621. Servicio de limpieza</v>
      </c>
      <c r="W4150" s="35" t="str">
        <f>MID(Tabla1[[#This Row],[Aplicación]],14,2)</f>
        <v>22</v>
      </c>
      <c r="X4150" s="35" t="str">
        <f>MID(Tabla1[[#This Row],[Aplicación]],14,6)</f>
        <v>22199</v>
      </c>
    </row>
    <row r="4151" spans="1:24" x14ac:dyDescent="0.25">
      <c r="A4151" s="45">
        <v>220210040945</v>
      </c>
      <c r="B4151" s="46" t="s">
        <v>204</v>
      </c>
      <c r="C4151" s="47">
        <v>44397</v>
      </c>
      <c r="D4151" s="45">
        <v>22021001275</v>
      </c>
      <c r="E4151" s="46" t="s">
        <v>1334</v>
      </c>
      <c r="F4151" s="48">
        <v>202.55</v>
      </c>
      <c r="G4151" s="46" t="s">
        <v>270</v>
      </c>
      <c r="H4151" s="46" t="s">
        <v>1461</v>
      </c>
      <c r="I4151" s="45" t="s">
        <v>205</v>
      </c>
      <c r="J4151" s="46" t="s">
        <v>127</v>
      </c>
      <c r="K4151" s="46" t="s">
        <v>127</v>
      </c>
      <c r="L4151" s="46" t="s">
        <v>15</v>
      </c>
      <c r="M4151" s="46" t="s">
        <v>13</v>
      </c>
      <c r="N4151" s="46" t="s">
        <v>14</v>
      </c>
      <c r="O4151" s="49" t="s">
        <v>814</v>
      </c>
      <c r="P4151" s="49" t="s">
        <v>4910</v>
      </c>
      <c r="Q4151" s="35" t="str">
        <f>MID(Tabla1[[#This Row],[Aplicación]],14,1)</f>
        <v>2</v>
      </c>
      <c r="R4151" s="35" t="s">
        <v>495</v>
      </c>
      <c r="S4151" s="35" t="str">
        <f>MID(Tabla1[[#This Row],[Aplicación]],6,2)</f>
        <v>07</v>
      </c>
      <c r="T4151" s="35" t="str">
        <f>VLOOKUP(Tabla1[[#This Row],[AREA]],Hoja1!A:B,2,FALSE)</f>
        <v>07. Medio ambiente y desarrollo sostenible</v>
      </c>
      <c r="U4151" s="35" t="str">
        <f>MID(Tabla1[[#This Row],[Aplicación]],9,4)</f>
        <v>1711</v>
      </c>
      <c r="V4151" s="35" t="str">
        <f>VLOOKUP(Tabla1[[#This Row],[PROGRAMA]],Hoja1!A:B,2,FALSE)</f>
        <v>1711. Parques y jardines</v>
      </c>
      <c r="W4151" s="35" t="str">
        <f>MID(Tabla1[[#This Row],[Aplicación]],14,2)</f>
        <v>22</v>
      </c>
      <c r="X4151" s="35" t="str">
        <f>MID(Tabla1[[#This Row],[Aplicación]],14,6)</f>
        <v>22199</v>
      </c>
    </row>
    <row r="4152" spans="1:24" x14ac:dyDescent="0.25">
      <c r="A4152" s="45">
        <v>220210040119</v>
      </c>
      <c r="B4152" s="46" t="s">
        <v>204</v>
      </c>
      <c r="C4152" s="47">
        <v>44396</v>
      </c>
      <c r="D4152" s="45">
        <v>22021002057</v>
      </c>
      <c r="E4152" s="46" t="s">
        <v>1715</v>
      </c>
      <c r="F4152" s="48">
        <v>171.92</v>
      </c>
      <c r="G4152" s="46" t="s">
        <v>270</v>
      </c>
      <c r="H4152" s="46" t="s">
        <v>5796</v>
      </c>
      <c r="I4152" s="45" t="s">
        <v>205</v>
      </c>
      <c r="J4152" s="46" t="s">
        <v>127</v>
      </c>
      <c r="K4152" s="46" t="s">
        <v>127</v>
      </c>
      <c r="L4152" s="46" t="s">
        <v>15</v>
      </c>
      <c r="M4152" s="46" t="s">
        <v>13</v>
      </c>
      <c r="N4152" s="46" t="s">
        <v>14</v>
      </c>
      <c r="O4152" s="49" t="s">
        <v>814</v>
      </c>
      <c r="P4152" s="49" t="s">
        <v>4910</v>
      </c>
      <c r="Q4152" s="35" t="str">
        <f>MID(Tabla1[[#This Row],[Aplicación]],14,1)</f>
        <v>2</v>
      </c>
      <c r="R4152" s="35" t="s">
        <v>495</v>
      </c>
      <c r="S4152" s="35" t="str">
        <f>MID(Tabla1[[#This Row],[Aplicación]],6,2)</f>
        <v>11</v>
      </c>
      <c r="T4152" s="35" t="str">
        <f>VLOOKUP(Tabla1[[#This Row],[AREA]],Hoja1!A:B,2,FALSE)</f>
        <v>11. Salud pública y seguridad ciudadana</v>
      </c>
      <c r="U4152" s="35" t="str">
        <f>MID(Tabla1[[#This Row],[Aplicación]],9,4)</f>
        <v>1631</v>
      </c>
      <c r="V4152" s="35" t="str">
        <f>VLOOKUP(Tabla1[[#This Row],[PROGRAMA]],Hoja1!A:B,2,FALSE)</f>
        <v>1631. Limpieza viaria</v>
      </c>
      <c r="W4152" s="35" t="str">
        <f>MID(Tabla1[[#This Row],[Aplicación]],14,2)</f>
        <v>22</v>
      </c>
      <c r="X4152" s="35" t="str">
        <f>MID(Tabla1[[#This Row],[Aplicación]],14,6)</f>
        <v>22199</v>
      </c>
    </row>
    <row r="4153" spans="1:24" x14ac:dyDescent="0.25">
      <c r="A4153" s="45">
        <v>220210053594</v>
      </c>
      <c r="B4153" s="46" t="s">
        <v>204</v>
      </c>
      <c r="C4153" s="47">
        <v>44452</v>
      </c>
      <c r="D4153" s="45">
        <v>22021002057</v>
      </c>
      <c r="E4153" s="46" t="s">
        <v>1715</v>
      </c>
      <c r="F4153" s="48">
        <v>1195.99</v>
      </c>
      <c r="G4153" s="46" t="s">
        <v>270</v>
      </c>
      <c r="H4153" s="46" t="s">
        <v>5797</v>
      </c>
      <c r="I4153" s="45" t="s">
        <v>205</v>
      </c>
      <c r="J4153" s="46" t="s">
        <v>127</v>
      </c>
      <c r="K4153" s="46" t="s">
        <v>127</v>
      </c>
      <c r="L4153" s="46" t="s">
        <v>15</v>
      </c>
      <c r="M4153" s="46" t="s">
        <v>13</v>
      </c>
      <c r="N4153" s="46" t="s">
        <v>14</v>
      </c>
      <c r="O4153" s="49" t="s">
        <v>814</v>
      </c>
      <c r="P4153" s="49" t="s">
        <v>4910</v>
      </c>
      <c r="Q4153" s="35" t="str">
        <f>MID(Tabla1[[#This Row],[Aplicación]],14,1)</f>
        <v>2</v>
      </c>
      <c r="R4153" s="35" t="s">
        <v>495</v>
      </c>
      <c r="S4153" s="35" t="str">
        <f>MID(Tabla1[[#This Row],[Aplicación]],6,2)</f>
        <v>11</v>
      </c>
      <c r="T4153" s="35" t="str">
        <f>VLOOKUP(Tabla1[[#This Row],[AREA]],Hoja1!A:B,2,FALSE)</f>
        <v>11. Salud pública y seguridad ciudadana</v>
      </c>
      <c r="U4153" s="35" t="str">
        <f>MID(Tabla1[[#This Row],[Aplicación]],9,4)</f>
        <v>1631</v>
      </c>
      <c r="V4153" s="35" t="str">
        <f>VLOOKUP(Tabla1[[#This Row],[PROGRAMA]],Hoja1!A:B,2,FALSE)</f>
        <v>1631. Limpieza viaria</v>
      </c>
      <c r="W4153" s="35" t="str">
        <f>MID(Tabla1[[#This Row],[Aplicación]],14,2)</f>
        <v>22</v>
      </c>
      <c r="X4153" s="35" t="str">
        <f>MID(Tabla1[[#This Row],[Aplicación]],14,6)</f>
        <v>22199</v>
      </c>
    </row>
    <row r="4154" spans="1:24" x14ac:dyDescent="0.25">
      <c r="A4154" s="45">
        <v>220210048699</v>
      </c>
      <c r="B4154" s="46" t="s">
        <v>204</v>
      </c>
      <c r="C4154" s="47">
        <v>44428</v>
      </c>
      <c r="D4154" s="45">
        <v>22021002048</v>
      </c>
      <c r="E4154" s="46" t="s">
        <v>890</v>
      </c>
      <c r="F4154" s="48">
        <v>1056.6600000000001</v>
      </c>
      <c r="G4154" s="46" t="s">
        <v>270</v>
      </c>
      <c r="H4154" s="46" t="s">
        <v>5798</v>
      </c>
      <c r="I4154" s="45" t="s">
        <v>205</v>
      </c>
      <c r="J4154" s="46" t="s">
        <v>127</v>
      </c>
      <c r="K4154" s="46" t="s">
        <v>127</v>
      </c>
      <c r="L4154" s="46" t="s">
        <v>15</v>
      </c>
      <c r="M4154" s="46" t="s">
        <v>13</v>
      </c>
      <c r="N4154" s="46" t="s">
        <v>14</v>
      </c>
      <c r="O4154" s="49" t="s">
        <v>814</v>
      </c>
      <c r="P4154" s="49" t="s">
        <v>4910</v>
      </c>
      <c r="Q4154" s="35" t="str">
        <f>MID(Tabla1[[#This Row],[Aplicación]],14,1)</f>
        <v>2</v>
      </c>
      <c r="R4154" s="35" t="s">
        <v>495</v>
      </c>
      <c r="S4154" s="35" t="str">
        <f>MID(Tabla1[[#This Row],[Aplicación]],6,2)</f>
        <v>11</v>
      </c>
      <c r="T4154" s="35" t="str">
        <f>VLOOKUP(Tabla1[[#This Row],[AREA]],Hoja1!A:B,2,FALSE)</f>
        <v>11. Salud pública y seguridad ciudadana</v>
      </c>
      <c r="U4154" s="35" t="str">
        <f>MID(Tabla1[[#This Row],[Aplicación]],9,4)</f>
        <v>1621</v>
      </c>
      <c r="V4154" s="35" t="str">
        <f>VLOOKUP(Tabla1[[#This Row],[PROGRAMA]],Hoja1!A:B,2,FALSE)</f>
        <v>1621. Servicio de limpieza</v>
      </c>
      <c r="W4154" s="35" t="str">
        <f>MID(Tabla1[[#This Row],[Aplicación]],14,2)</f>
        <v>21</v>
      </c>
      <c r="X4154" s="35" t="str">
        <f>MID(Tabla1[[#This Row],[Aplicación]],14,6)</f>
        <v>214</v>
      </c>
    </row>
    <row r="4155" spans="1:24" x14ac:dyDescent="0.25">
      <c r="A4155" s="45">
        <v>220210053588</v>
      </c>
      <c r="B4155" s="46" t="s">
        <v>204</v>
      </c>
      <c r="C4155" s="47">
        <v>44452</v>
      </c>
      <c r="D4155" s="45">
        <v>22021002057</v>
      </c>
      <c r="E4155" s="46" t="s">
        <v>1715</v>
      </c>
      <c r="F4155" s="48">
        <v>269.13</v>
      </c>
      <c r="G4155" s="46" t="s">
        <v>270</v>
      </c>
      <c r="H4155" s="46" t="s">
        <v>5799</v>
      </c>
      <c r="I4155" s="45" t="s">
        <v>205</v>
      </c>
      <c r="J4155" s="46" t="s">
        <v>127</v>
      </c>
      <c r="K4155" s="46" t="s">
        <v>127</v>
      </c>
      <c r="L4155" s="46" t="s">
        <v>15</v>
      </c>
      <c r="M4155" s="46" t="s">
        <v>13</v>
      </c>
      <c r="N4155" s="46" t="s">
        <v>14</v>
      </c>
      <c r="O4155" s="49" t="s">
        <v>814</v>
      </c>
      <c r="P4155" s="49" t="s">
        <v>4910</v>
      </c>
      <c r="Q4155" s="35" t="str">
        <f>MID(Tabla1[[#This Row],[Aplicación]],14,1)</f>
        <v>2</v>
      </c>
      <c r="R4155" s="35" t="s">
        <v>495</v>
      </c>
      <c r="S4155" s="35" t="str">
        <f>MID(Tabla1[[#This Row],[Aplicación]],6,2)</f>
        <v>11</v>
      </c>
      <c r="T4155" s="35" t="str">
        <f>VLOOKUP(Tabla1[[#This Row],[AREA]],Hoja1!A:B,2,FALSE)</f>
        <v>11. Salud pública y seguridad ciudadana</v>
      </c>
      <c r="U4155" s="35" t="str">
        <f>MID(Tabla1[[#This Row],[Aplicación]],9,4)</f>
        <v>1631</v>
      </c>
      <c r="V4155" s="35" t="str">
        <f>VLOOKUP(Tabla1[[#This Row],[PROGRAMA]],Hoja1!A:B,2,FALSE)</f>
        <v>1631. Limpieza viaria</v>
      </c>
      <c r="W4155" s="35" t="str">
        <f>MID(Tabla1[[#This Row],[Aplicación]],14,2)</f>
        <v>22</v>
      </c>
      <c r="X4155" s="35" t="str">
        <f>MID(Tabla1[[#This Row],[Aplicación]],14,6)</f>
        <v>22199</v>
      </c>
    </row>
    <row r="4156" spans="1:24" x14ac:dyDescent="0.25">
      <c r="A4156" s="45">
        <v>220210048723</v>
      </c>
      <c r="B4156" s="46" t="s">
        <v>204</v>
      </c>
      <c r="C4156" s="47">
        <v>44428</v>
      </c>
      <c r="D4156" s="45">
        <v>22021002057</v>
      </c>
      <c r="E4156" s="46" t="s">
        <v>1715</v>
      </c>
      <c r="F4156" s="48">
        <v>216.06</v>
      </c>
      <c r="G4156" s="46" t="s">
        <v>270</v>
      </c>
      <c r="H4156" s="46" t="s">
        <v>5800</v>
      </c>
      <c r="I4156" s="45" t="s">
        <v>205</v>
      </c>
      <c r="J4156" s="46" t="s">
        <v>127</v>
      </c>
      <c r="K4156" s="46" t="s">
        <v>127</v>
      </c>
      <c r="L4156" s="46" t="s">
        <v>15</v>
      </c>
      <c r="M4156" s="46" t="s">
        <v>13</v>
      </c>
      <c r="N4156" s="46" t="s">
        <v>14</v>
      </c>
      <c r="O4156" s="49" t="s">
        <v>814</v>
      </c>
      <c r="P4156" s="49" t="s">
        <v>4910</v>
      </c>
      <c r="Q4156" s="35" t="str">
        <f>MID(Tabla1[[#This Row],[Aplicación]],14,1)</f>
        <v>2</v>
      </c>
      <c r="R4156" s="35" t="s">
        <v>495</v>
      </c>
      <c r="S4156" s="35" t="str">
        <f>MID(Tabla1[[#This Row],[Aplicación]],6,2)</f>
        <v>11</v>
      </c>
      <c r="T4156" s="35" t="str">
        <f>VLOOKUP(Tabla1[[#This Row],[AREA]],Hoja1!A:B,2,FALSE)</f>
        <v>11. Salud pública y seguridad ciudadana</v>
      </c>
      <c r="U4156" s="35" t="str">
        <f>MID(Tabla1[[#This Row],[Aplicación]],9,4)</f>
        <v>1631</v>
      </c>
      <c r="V4156" s="35" t="str">
        <f>VLOOKUP(Tabla1[[#This Row],[PROGRAMA]],Hoja1!A:B,2,FALSE)</f>
        <v>1631. Limpieza viaria</v>
      </c>
      <c r="W4156" s="35" t="str">
        <f>MID(Tabla1[[#This Row],[Aplicación]],14,2)</f>
        <v>22</v>
      </c>
      <c r="X4156" s="35" t="str">
        <f>MID(Tabla1[[#This Row],[Aplicación]],14,6)</f>
        <v>22199</v>
      </c>
    </row>
    <row r="4157" spans="1:24" x14ac:dyDescent="0.25">
      <c r="A4157" s="45">
        <v>220210040193</v>
      </c>
      <c r="B4157" s="46" t="s">
        <v>204</v>
      </c>
      <c r="C4157" s="47">
        <v>44396</v>
      </c>
      <c r="D4157" s="45">
        <v>22021002132</v>
      </c>
      <c r="E4157" s="46" t="s">
        <v>1180</v>
      </c>
      <c r="F4157" s="48">
        <v>1277.3399999999999</v>
      </c>
      <c r="G4157" s="46" t="s">
        <v>1976</v>
      </c>
      <c r="H4157" s="46" t="s">
        <v>5801</v>
      </c>
      <c r="I4157" s="45" t="s">
        <v>205</v>
      </c>
      <c r="J4157" s="46" t="s">
        <v>127</v>
      </c>
      <c r="K4157" s="46" t="s">
        <v>127</v>
      </c>
      <c r="L4157" s="46" t="s">
        <v>15</v>
      </c>
      <c r="M4157" s="46" t="s">
        <v>13</v>
      </c>
      <c r="N4157" s="46" t="s">
        <v>14</v>
      </c>
      <c r="O4157" s="49" t="s">
        <v>814</v>
      </c>
      <c r="P4157" s="49" t="s">
        <v>4910</v>
      </c>
      <c r="Q4157" s="35" t="str">
        <f>MID(Tabla1[[#This Row],[Aplicación]],14,1)</f>
        <v>2</v>
      </c>
      <c r="R4157" s="35" t="s">
        <v>495</v>
      </c>
      <c r="S4157" s="35" t="str">
        <f>MID(Tabla1[[#This Row],[Aplicación]],6,2)</f>
        <v>08</v>
      </c>
      <c r="T4157" s="35" t="str">
        <f>VLOOKUP(Tabla1[[#This Row],[AREA]],Hoja1!A:B,2,FALSE)</f>
        <v>08. Movilidad y espacio urbano</v>
      </c>
      <c r="U4157" s="35" t="str">
        <f>MID(Tabla1[[#This Row],[Aplicación]],9,4)</f>
        <v>1532</v>
      </c>
      <c r="V4157" s="35" t="str">
        <f>VLOOKUP(Tabla1[[#This Row],[PROGRAMA]],Hoja1!A:B,2,FALSE)</f>
        <v>1532. Pavimentación vias públicas y otros servicios urbanísticos</v>
      </c>
      <c r="W4157" s="35" t="str">
        <f>MID(Tabla1[[#This Row],[Aplicación]],14,2)</f>
        <v>21</v>
      </c>
      <c r="X4157" s="35" t="str">
        <f>MID(Tabla1[[#This Row],[Aplicación]],14,6)</f>
        <v>210</v>
      </c>
    </row>
    <row r="4158" spans="1:24" x14ac:dyDescent="0.25">
      <c r="A4158" s="45">
        <v>220210051103</v>
      </c>
      <c r="B4158" s="46" t="s">
        <v>204</v>
      </c>
      <c r="C4158" s="47">
        <v>44448</v>
      </c>
      <c r="D4158" s="45">
        <v>22021002132</v>
      </c>
      <c r="E4158" s="46" t="s">
        <v>1180</v>
      </c>
      <c r="F4158" s="48">
        <v>1147.5999999999999</v>
      </c>
      <c r="G4158" s="46" t="s">
        <v>1976</v>
      </c>
      <c r="H4158" s="46" t="s">
        <v>5802</v>
      </c>
      <c r="I4158" s="45" t="s">
        <v>205</v>
      </c>
      <c r="J4158" s="46" t="s">
        <v>127</v>
      </c>
      <c r="K4158" s="46" t="s">
        <v>127</v>
      </c>
      <c r="L4158" s="46" t="s">
        <v>15</v>
      </c>
      <c r="M4158" s="46" t="s">
        <v>13</v>
      </c>
      <c r="N4158" s="46" t="s">
        <v>14</v>
      </c>
      <c r="O4158" s="49" t="s">
        <v>814</v>
      </c>
      <c r="P4158" s="49" t="s">
        <v>4910</v>
      </c>
      <c r="Q4158" s="35" t="str">
        <f>MID(Tabla1[[#This Row],[Aplicación]],14,1)</f>
        <v>2</v>
      </c>
      <c r="R4158" s="35" t="s">
        <v>495</v>
      </c>
      <c r="S4158" s="35" t="str">
        <f>MID(Tabla1[[#This Row],[Aplicación]],6,2)</f>
        <v>08</v>
      </c>
      <c r="T4158" s="35" t="str">
        <f>VLOOKUP(Tabla1[[#This Row],[AREA]],Hoja1!A:B,2,FALSE)</f>
        <v>08. Movilidad y espacio urbano</v>
      </c>
      <c r="U4158" s="35" t="str">
        <f>MID(Tabla1[[#This Row],[Aplicación]],9,4)</f>
        <v>1532</v>
      </c>
      <c r="V4158" s="35" t="str">
        <f>VLOOKUP(Tabla1[[#This Row],[PROGRAMA]],Hoja1!A:B,2,FALSE)</f>
        <v>1532. Pavimentación vias públicas y otros servicios urbanísticos</v>
      </c>
      <c r="W4158" s="35" t="str">
        <f>MID(Tabla1[[#This Row],[Aplicación]],14,2)</f>
        <v>21</v>
      </c>
      <c r="X4158" s="35" t="str">
        <f>MID(Tabla1[[#This Row],[Aplicación]],14,6)</f>
        <v>210</v>
      </c>
    </row>
    <row r="4159" spans="1:24" x14ac:dyDescent="0.25">
      <c r="A4159" s="45">
        <v>220210051070</v>
      </c>
      <c r="B4159" s="46" t="s">
        <v>204</v>
      </c>
      <c r="C4159" s="47">
        <v>44448</v>
      </c>
      <c r="D4159" s="45">
        <v>22021002132</v>
      </c>
      <c r="E4159" s="46" t="s">
        <v>1180</v>
      </c>
      <c r="F4159" s="48">
        <v>876.46</v>
      </c>
      <c r="G4159" s="46" t="s">
        <v>1976</v>
      </c>
      <c r="H4159" s="46" t="s">
        <v>5803</v>
      </c>
      <c r="I4159" s="45" t="s">
        <v>205</v>
      </c>
      <c r="J4159" s="46" t="s">
        <v>127</v>
      </c>
      <c r="K4159" s="46" t="s">
        <v>127</v>
      </c>
      <c r="L4159" s="46" t="s">
        <v>15</v>
      </c>
      <c r="M4159" s="46" t="s">
        <v>13</v>
      </c>
      <c r="N4159" s="46" t="s">
        <v>14</v>
      </c>
      <c r="O4159" s="49" t="s">
        <v>814</v>
      </c>
      <c r="P4159" s="49" t="s">
        <v>4910</v>
      </c>
      <c r="Q4159" s="35" t="str">
        <f>MID(Tabla1[[#This Row],[Aplicación]],14,1)</f>
        <v>2</v>
      </c>
      <c r="R4159" s="35" t="s">
        <v>495</v>
      </c>
      <c r="S4159" s="35" t="str">
        <f>MID(Tabla1[[#This Row],[Aplicación]],6,2)</f>
        <v>08</v>
      </c>
      <c r="T4159" s="35" t="str">
        <f>VLOOKUP(Tabla1[[#This Row],[AREA]],Hoja1!A:B,2,FALSE)</f>
        <v>08. Movilidad y espacio urbano</v>
      </c>
      <c r="U4159" s="35" t="str">
        <f>MID(Tabla1[[#This Row],[Aplicación]],9,4)</f>
        <v>1532</v>
      </c>
      <c r="V4159" s="35" t="str">
        <f>VLOOKUP(Tabla1[[#This Row],[PROGRAMA]],Hoja1!A:B,2,FALSE)</f>
        <v>1532. Pavimentación vias públicas y otros servicios urbanísticos</v>
      </c>
      <c r="W4159" s="35" t="str">
        <f>MID(Tabla1[[#This Row],[Aplicación]],14,2)</f>
        <v>21</v>
      </c>
      <c r="X4159" s="35" t="str">
        <f>MID(Tabla1[[#This Row],[Aplicación]],14,6)</f>
        <v>210</v>
      </c>
    </row>
    <row r="4160" spans="1:24" x14ac:dyDescent="0.25">
      <c r="A4160" s="45">
        <v>220210054495</v>
      </c>
      <c r="B4160" s="46" t="s">
        <v>501</v>
      </c>
      <c r="C4160" s="47">
        <v>44453</v>
      </c>
      <c r="D4160" s="45">
        <v>22021003024</v>
      </c>
      <c r="E4160" s="46" t="s">
        <v>2072</v>
      </c>
      <c r="F4160" s="48">
        <v>-203.58</v>
      </c>
      <c r="G4160" s="46" t="s">
        <v>268</v>
      </c>
      <c r="H4160" s="46" t="s">
        <v>2073</v>
      </c>
      <c r="I4160" s="45" t="s">
        <v>125</v>
      </c>
      <c r="J4160" s="46" t="s">
        <v>127</v>
      </c>
      <c r="K4160" s="46" t="s">
        <v>127</v>
      </c>
      <c r="L4160" s="46" t="s">
        <v>15</v>
      </c>
      <c r="M4160" s="46" t="s">
        <v>10</v>
      </c>
      <c r="N4160" s="46" t="s">
        <v>11</v>
      </c>
      <c r="O4160" s="49" t="s">
        <v>815</v>
      </c>
      <c r="P4160" s="49" t="s">
        <v>4910</v>
      </c>
      <c r="Q4160" s="35" t="str">
        <f>MID(Tabla1[[#This Row],[Aplicación]],14,1)</f>
        <v>2</v>
      </c>
      <c r="R4160" s="35" t="s">
        <v>495</v>
      </c>
      <c r="S4160" s="35" t="str">
        <f>MID(Tabla1[[#This Row],[Aplicación]],6,2)</f>
        <v>10</v>
      </c>
      <c r="T4160" s="35" t="str">
        <f>VLOOKUP(Tabla1[[#This Row],[AREA]],Hoja1!A:B,2,FALSE)</f>
        <v>10. Servicios sociales y mediación comunitaria</v>
      </c>
      <c r="U4160" s="35" t="str">
        <f>MID(Tabla1[[#This Row],[Aplicación]],9,4)</f>
        <v>2412</v>
      </c>
      <c r="V4160" s="35" t="str">
        <f>VLOOKUP(Tabla1[[#This Row],[PROGRAMA]],Hoja1!A:B,2,FALSE)</f>
        <v>2412. Formación para el empleo</v>
      </c>
      <c r="W4160" s="35" t="str">
        <f>MID(Tabla1[[#This Row],[Aplicación]],14,2)</f>
        <v>22</v>
      </c>
      <c r="X4160" s="35" t="str">
        <f>MID(Tabla1[[#This Row],[Aplicación]],14,6)</f>
        <v>22110</v>
      </c>
    </row>
    <row r="4161" spans="1:24" x14ac:dyDescent="0.25">
      <c r="A4161" s="45">
        <v>220210050944</v>
      </c>
      <c r="B4161" s="46" t="s">
        <v>9</v>
      </c>
      <c r="C4161" s="47">
        <v>44446</v>
      </c>
      <c r="D4161" s="45">
        <v>22021005129</v>
      </c>
      <c r="E4161" s="46" t="s">
        <v>1483</v>
      </c>
      <c r="F4161" s="48">
        <v>92.78</v>
      </c>
      <c r="G4161" s="46" t="s">
        <v>764</v>
      </c>
      <c r="H4161" s="46" t="s">
        <v>5804</v>
      </c>
      <c r="I4161" s="45" t="s">
        <v>125</v>
      </c>
      <c r="J4161" s="46" t="s">
        <v>127</v>
      </c>
      <c r="K4161" s="46" t="s">
        <v>127</v>
      </c>
      <c r="L4161" s="46" t="s">
        <v>12</v>
      </c>
      <c r="M4161" s="46" t="s">
        <v>13</v>
      </c>
      <c r="N4161" s="46" t="s">
        <v>16</v>
      </c>
      <c r="O4161" s="49" t="s">
        <v>814</v>
      </c>
      <c r="P4161" s="49" t="s">
        <v>4910</v>
      </c>
      <c r="Q4161" s="35" t="str">
        <f>MID(Tabla1[[#This Row],[Aplicación]],14,1)</f>
        <v>6</v>
      </c>
      <c r="R4161" s="35" t="s">
        <v>496</v>
      </c>
      <c r="S4161" s="35" t="str">
        <f>MID(Tabla1[[#This Row],[Aplicación]],6,2)</f>
        <v>03</v>
      </c>
      <c r="T4161" s="35" t="str">
        <f>VLOOKUP(Tabla1[[#This Row],[AREA]],Hoja1!A:B,2,FALSE)</f>
        <v>03. Participación ciudadana y deportes</v>
      </c>
      <c r="U4161" s="35" t="str">
        <f>MID(Tabla1[[#This Row],[Aplicación]],9,4)</f>
        <v>9241</v>
      </c>
      <c r="V4161" s="35" t="str">
        <f>VLOOKUP(Tabla1[[#This Row],[PROGRAMA]],Hoja1!A:B,2,FALSE)</f>
        <v>9241. Participación ciudadana</v>
      </c>
      <c r="W4161" s="35" t="str">
        <f>MID(Tabla1[[#This Row],[Aplicación]],14,2)</f>
        <v>63</v>
      </c>
      <c r="X4161" s="35" t="str">
        <f>MID(Tabla1[[#This Row],[Aplicación]],14,6)</f>
        <v>632</v>
      </c>
    </row>
    <row r="4162" spans="1:24" x14ac:dyDescent="0.25">
      <c r="A4162" s="45">
        <v>220210044273</v>
      </c>
      <c r="B4162" s="46" t="s">
        <v>9</v>
      </c>
      <c r="C4162" s="47">
        <v>44406</v>
      </c>
      <c r="D4162" s="45">
        <v>22021005932</v>
      </c>
      <c r="E4162" s="46" t="s">
        <v>881</v>
      </c>
      <c r="F4162" s="48">
        <v>1452</v>
      </c>
      <c r="G4162" s="46" t="s">
        <v>4409</v>
      </c>
      <c r="H4162" s="46" t="s">
        <v>5805</v>
      </c>
      <c r="I4162" s="45" t="s">
        <v>125</v>
      </c>
      <c r="J4162" s="46" t="s">
        <v>127</v>
      </c>
      <c r="K4162" s="46" t="s">
        <v>127</v>
      </c>
      <c r="L4162" s="46" t="s">
        <v>12</v>
      </c>
      <c r="M4162" s="46" t="s">
        <v>10</v>
      </c>
      <c r="N4162" s="46" t="s">
        <v>11</v>
      </c>
      <c r="O4162" s="49" t="s">
        <v>815</v>
      </c>
      <c r="P4162" s="49" t="s">
        <v>4910</v>
      </c>
      <c r="Q4162" s="35" t="str">
        <f>MID(Tabla1[[#This Row],[Aplicación]],14,1)</f>
        <v>2</v>
      </c>
      <c r="R4162" s="35" t="s">
        <v>495</v>
      </c>
      <c r="S4162" s="35" t="str">
        <f>MID(Tabla1[[#This Row],[Aplicación]],6,2)</f>
        <v>05</v>
      </c>
      <c r="T4162" s="35" t="str">
        <f>VLOOKUP(Tabla1[[#This Row],[AREA]],Hoja1!A:B,2,FALSE)</f>
        <v>05. Innovación, desarrollo económico, empleo y comercio</v>
      </c>
      <c r="U4162" s="35" t="str">
        <f>MID(Tabla1[[#This Row],[Aplicación]],9,4)</f>
        <v>4331</v>
      </c>
      <c r="V4162" s="35" t="str">
        <f>VLOOKUP(Tabla1[[#This Row],[PROGRAMA]],Hoja1!A:B,2,FALSE)</f>
        <v>4331. Desarrollo empresarial</v>
      </c>
      <c r="W4162" s="35" t="str">
        <f>MID(Tabla1[[#This Row],[Aplicación]],14,2)</f>
        <v>22</v>
      </c>
      <c r="X4162" s="35" t="str">
        <f>MID(Tabla1[[#This Row],[Aplicación]],14,6)</f>
        <v>22799</v>
      </c>
    </row>
    <row r="4163" spans="1:24" x14ac:dyDescent="0.25">
      <c r="A4163" s="45">
        <v>220210054495</v>
      </c>
      <c r="B4163" s="46" t="s">
        <v>501</v>
      </c>
      <c r="C4163" s="47">
        <v>44453</v>
      </c>
      <c r="D4163" s="45">
        <v>22021003026</v>
      </c>
      <c r="E4163" s="46" t="s">
        <v>2072</v>
      </c>
      <c r="F4163" s="48">
        <v>-264.70999999999998</v>
      </c>
      <c r="G4163" s="46" t="s">
        <v>268</v>
      </c>
      <c r="H4163" s="46" t="s">
        <v>2073</v>
      </c>
      <c r="I4163" s="45" t="s">
        <v>125</v>
      </c>
      <c r="J4163" s="46" t="s">
        <v>127</v>
      </c>
      <c r="K4163" s="46" t="s">
        <v>127</v>
      </c>
      <c r="L4163" s="46" t="s">
        <v>15</v>
      </c>
      <c r="M4163" s="46" t="s">
        <v>10</v>
      </c>
      <c r="N4163" s="46" t="s">
        <v>11</v>
      </c>
      <c r="O4163" s="49" t="s">
        <v>815</v>
      </c>
      <c r="P4163" s="49" t="s">
        <v>4910</v>
      </c>
      <c r="Q4163" s="35" t="str">
        <f>MID(Tabla1[[#This Row],[Aplicación]],14,1)</f>
        <v>2</v>
      </c>
      <c r="R4163" s="35" t="s">
        <v>495</v>
      </c>
      <c r="S4163" s="35" t="str">
        <f>MID(Tabla1[[#This Row],[Aplicación]],6,2)</f>
        <v>10</v>
      </c>
      <c r="T4163" s="35" t="str">
        <f>VLOOKUP(Tabla1[[#This Row],[AREA]],Hoja1!A:B,2,FALSE)</f>
        <v>10. Servicios sociales y mediación comunitaria</v>
      </c>
      <c r="U4163" s="35" t="str">
        <f>MID(Tabla1[[#This Row],[Aplicación]],9,4)</f>
        <v>2412</v>
      </c>
      <c r="V4163" s="35" t="str">
        <f>VLOOKUP(Tabla1[[#This Row],[PROGRAMA]],Hoja1!A:B,2,FALSE)</f>
        <v>2412. Formación para el empleo</v>
      </c>
      <c r="W4163" s="35" t="str">
        <f>MID(Tabla1[[#This Row],[Aplicación]],14,2)</f>
        <v>22</v>
      </c>
      <c r="X4163" s="35" t="str">
        <f>MID(Tabla1[[#This Row],[Aplicación]],14,6)</f>
        <v>22110</v>
      </c>
    </row>
    <row r="4164" spans="1:24" x14ac:dyDescent="0.25">
      <c r="A4164" s="45">
        <v>220210037304</v>
      </c>
      <c r="B4164" s="46" t="s">
        <v>9</v>
      </c>
      <c r="C4164" s="47">
        <v>44392</v>
      </c>
      <c r="D4164" s="45">
        <v>22021005720</v>
      </c>
      <c r="E4164" s="46" t="s">
        <v>3333</v>
      </c>
      <c r="F4164" s="48">
        <v>1331</v>
      </c>
      <c r="G4164" s="46" t="s">
        <v>5806</v>
      </c>
      <c r="H4164" s="46" t="s">
        <v>5807</v>
      </c>
      <c r="I4164" s="45" t="s">
        <v>125</v>
      </c>
      <c r="J4164" s="46" t="s">
        <v>127</v>
      </c>
      <c r="K4164" s="46" t="s">
        <v>127</v>
      </c>
      <c r="L4164" s="46" t="s">
        <v>12</v>
      </c>
      <c r="M4164" s="46" t="s">
        <v>10</v>
      </c>
      <c r="N4164" s="46" t="s">
        <v>11</v>
      </c>
      <c r="O4164" s="49" t="s">
        <v>815</v>
      </c>
      <c r="P4164" s="49" t="s">
        <v>4910</v>
      </c>
      <c r="Q4164" s="35" t="str">
        <f>MID(Tabla1[[#This Row],[Aplicación]],14,1)</f>
        <v>2</v>
      </c>
      <c r="R4164" s="35" t="s">
        <v>495</v>
      </c>
      <c r="S4164" s="35" t="str">
        <f>MID(Tabla1[[#This Row],[Aplicación]],6,2)</f>
        <v>10</v>
      </c>
      <c r="T4164" s="35" t="str">
        <f>VLOOKUP(Tabla1[[#This Row],[AREA]],Hoja1!A:B,2,FALSE)</f>
        <v>10. Servicios sociales y mediación comunitaria</v>
      </c>
      <c r="U4164" s="35" t="str">
        <f>MID(Tabla1[[#This Row],[Aplicación]],9,4)</f>
        <v>2316</v>
      </c>
      <c r="V4164" s="35" t="str">
        <f>VLOOKUP(Tabla1[[#This Row],[PROGRAMA]],Hoja1!A:B,2,FALSE)</f>
        <v>2316. Mediación comunitaria</v>
      </c>
      <c r="W4164" s="35" t="str">
        <f>MID(Tabla1[[#This Row],[Aplicación]],14,2)</f>
        <v>22</v>
      </c>
      <c r="X4164" s="35" t="str">
        <f>MID(Tabla1[[#This Row],[Aplicación]],14,6)</f>
        <v>22616</v>
      </c>
    </row>
    <row r="4165" spans="1:24" x14ac:dyDescent="0.25">
      <c r="A4165" s="45">
        <v>220210036849</v>
      </c>
      <c r="B4165" s="46" t="s">
        <v>9</v>
      </c>
      <c r="C4165" s="47">
        <v>44389</v>
      </c>
      <c r="D4165" s="45">
        <v>22021005410</v>
      </c>
      <c r="E4165" s="46" t="s">
        <v>1163</v>
      </c>
      <c r="F4165" s="48">
        <v>725.4</v>
      </c>
      <c r="G4165" s="46" t="s">
        <v>72</v>
      </c>
      <c r="H4165" s="46" t="s">
        <v>5808</v>
      </c>
      <c r="I4165" s="45" t="s">
        <v>125</v>
      </c>
      <c r="J4165" s="46" t="s">
        <v>127</v>
      </c>
      <c r="K4165" s="46" t="s">
        <v>127</v>
      </c>
      <c r="L4165" s="46" t="s">
        <v>15</v>
      </c>
      <c r="M4165" s="46" t="s">
        <v>10</v>
      </c>
      <c r="N4165" s="46" t="s">
        <v>11</v>
      </c>
      <c r="O4165" s="49" t="s">
        <v>815</v>
      </c>
      <c r="P4165" s="49" t="s">
        <v>4910</v>
      </c>
      <c r="Q4165" s="35" t="str">
        <f>MID(Tabla1[[#This Row],[Aplicación]],14,1)</f>
        <v>2</v>
      </c>
      <c r="R4165" s="35" t="s">
        <v>495</v>
      </c>
      <c r="S4165" s="35" t="str">
        <f>MID(Tabla1[[#This Row],[Aplicación]],6,2)</f>
        <v>06</v>
      </c>
      <c r="T4165" s="35" t="str">
        <f>VLOOKUP(Tabla1[[#This Row],[AREA]],Hoja1!A:B,2,FALSE)</f>
        <v>06. Educación, infancia, juventud e igualdad</v>
      </c>
      <c r="U4165" s="35" t="str">
        <f>MID(Tabla1[[#This Row],[Aplicación]],9,4)</f>
        <v>3321</v>
      </c>
      <c r="V4165" s="35" t="str">
        <f>VLOOKUP(Tabla1[[#This Row],[PROGRAMA]],Hoja1!A:B,2,FALSE)</f>
        <v>3321. Bibliotecas públicas</v>
      </c>
      <c r="W4165" s="35" t="str">
        <f>MID(Tabla1[[#This Row],[Aplicación]],14,2)</f>
        <v>22</v>
      </c>
      <c r="X4165" s="35" t="str">
        <f>MID(Tabla1[[#This Row],[Aplicación]],14,6)</f>
        <v>22001</v>
      </c>
    </row>
    <row r="4166" spans="1:24" x14ac:dyDescent="0.25">
      <c r="A4166" s="45">
        <v>220210043861</v>
      </c>
      <c r="B4166" s="46" t="s">
        <v>9</v>
      </c>
      <c r="C4166" s="47">
        <v>44405</v>
      </c>
      <c r="D4166" s="45">
        <v>22021005561</v>
      </c>
      <c r="E4166" s="46" t="s">
        <v>3339</v>
      </c>
      <c r="F4166" s="48">
        <v>290.39999999999998</v>
      </c>
      <c r="G4166" s="46" t="s">
        <v>251</v>
      </c>
      <c r="H4166" s="46" t="s">
        <v>5809</v>
      </c>
      <c r="I4166" s="45" t="s">
        <v>125</v>
      </c>
      <c r="J4166" s="46" t="s">
        <v>127</v>
      </c>
      <c r="K4166" s="46" t="s">
        <v>127</v>
      </c>
      <c r="L4166" s="46" t="s">
        <v>15</v>
      </c>
      <c r="M4166" s="46" t="s">
        <v>10</v>
      </c>
      <c r="N4166" s="46" t="s">
        <v>11</v>
      </c>
      <c r="O4166" s="49" t="s">
        <v>815</v>
      </c>
      <c r="P4166" s="49" t="s">
        <v>4910</v>
      </c>
      <c r="Q4166" s="35" t="str">
        <f>MID(Tabla1[[#This Row],[Aplicación]],14,1)</f>
        <v>1</v>
      </c>
      <c r="R4166" s="35" t="s">
        <v>504</v>
      </c>
      <c r="S4166" s="35" t="str">
        <f>MID(Tabla1[[#This Row],[Aplicación]],6,2)</f>
        <v>04</v>
      </c>
      <c r="T4166" s="35" t="str">
        <f>VLOOKUP(Tabla1[[#This Row],[AREA]],Hoja1!A:B,2,FALSE)</f>
        <v>04. Planificación y recursos</v>
      </c>
      <c r="U4166" s="35" t="str">
        <f>MID(Tabla1[[#This Row],[Aplicación]],9,4)</f>
        <v>9202</v>
      </c>
      <c r="V4166" s="35" t="str">
        <f>VLOOKUP(Tabla1[[#This Row],[PROGRAMA]],Hoja1!A:B,2,FALSE)</f>
        <v>9202. Gestión de recursos humanos</v>
      </c>
      <c r="W4166" s="35" t="str">
        <f>MID(Tabla1[[#This Row],[Aplicación]],14,2)</f>
        <v>16</v>
      </c>
      <c r="X4166" s="35" t="str">
        <f>MID(Tabla1[[#This Row],[Aplicación]],14,6)</f>
        <v>16204</v>
      </c>
    </row>
    <row r="4167" spans="1:24" x14ac:dyDescent="0.25">
      <c r="A4167" s="45">
        <v>220210048388</v>
      </c>
      <c r="B4167" s="46" t="s">
        <v>9</v>
      </c>
      <c r="C4167" s="47">
        <v>44426</v>
      </c>
      <c r="D4167" s="45">
        <v>22021006057</v>
      </c>
      <c r="E4167" s="46" t="s">
        <v>844</v>
      </c>
      <c r="F4167" s="48">
        <v>333.36</v>
      </c>
      <c r="G4167" s="46" t="s">
        <v>283</v>
      </c>
      <c r="H4167" s="46" t="s">
        <v>5810</v>
      </c>
      <c r="I4167" s="45" t="s">
        <v>125</v>
      </c>
      <c r="J4167" s="46" t="s">
        <v>127</v>
      </c>
      <c r="K4167" s="46" t="s">
        <v>127</v>
      </c>
      <c r="L4167" s="46" t="s">
        <v>15</v>
      </c>
      <c r="M4167" s="46" t="s">
        <v>10</v>
      </c>
      <c r="N4167" s="46" t="s">
        <v>11</v>
      </c>
      <c r="O4167" s="49" t="s">
        <v>815</v>
      </c>
      <c r="P4167" s="49" t="s">
        <v>4910</v>
      </c>
      <c r="Q4167" s="35" t="str">
        <f>MID(Tabla1[[#This Row],[Aplicación]],14,1)</f>
        <v>2</v>
      </c>
      <c r="R4167" s="35" t="s">
        <v>495</v>
      </c>
      <c r="S4167" s="35" t="str">
        <f>MID(Tabla1[[#This Row],[Aplicación]],6,2)</f>
        <v>10</v>
      </c>
      <c r="T4167" s="35" t="str">
        <f>VLOOKUP(Tabla1[[#This Row],[AREA]],Hoja1!A:B,2,FALSE)</f>
        <v>10. Servicios sociales y mediación comunitaria</v>
      </c>
      <c r="U4167" s="35" t="str">
        <f>MID(Tabla1[[#This Row],[Aplicación]],9,4)</f>
        <v>2312</v>
      </c>
      <c r="V4167" s="35" t="str">
        <f>VLOOKUP(Tabla1[[#This Row],[PROGRAMA]],Hoja1!A:B,2,FALSE)</f>
        <v>2312. Iniciativas sociales</v>
      </c>
      <c r="W4167" s="35" t="str">
        <f>MID(Tabla1[[#This Row],[Aplicación]],14,2)</f>
        <v>21</v>
      </c>
      <c r="X4167" s="35" t="str">
        <f>MID(Tabla1[[#This Row],[Aplicación]],14,6)</f>
        <v>212</v>
      </c>
    </row>
    <row r="4168" spans="1:24" x14ac:dyDescent="0.25">
      <c r="A4168" s="45">
        <v>220210050958</v>
      </c>
      <c r="B4168" s="46" t="s">
        <v>9</v>
      </c>
      <c r="C4168" s="47">
        <v>44446</v>
      </c>
      <c r="D4168" s="45">
        <v>22021006414</v>
      </c>
      <c r="E4168" s="46" t="s">
        <v>954</v>
      </c>
      <c r="F4168" s="48">
        <v>75.02</v>
      </c>
      <c r="G4168" s="46" t="s">
        <v>267</v>
      </c>
      <c r="H4168" s="46" t="s">
        <v>5811</v>
      </c>
      <c r="I4168" s="45" t="s">
        <v>125</v>
      </c>
      <c r="J4168" s="46" t="s">
        <v>4190</v>
      </c>
      <c r="K4168" s="46" t="s">
        <v>127</v>
      </c>
      <c r="L4168" s="46" t="s">
        <v>12</v>
      </c>
      <c r="M4168" s="46" t="s">
        <v>10</v>
      </c>
      <c r="N4168" s="46" t="s">
        <v>11</v>
      </c>
      <c r="O4168" s="49" t="s">
        <v>815</v>
      </c>
      <c r="P4168" s="49" t="s">
        <v>4910</v>
      </c>
      <c r="Q4168" s="35" t="str">
        <f>MID(Tabla1[[#This Row],[Aplicación]],14,1)</f>
        <v>2</v>
      </c>
      <c r="R4168" s="35" t="s">
        <v>495</v>
      </c>
      <c r="S4168" s="35" t="str">
        <f>MID(Tabla1[[#This Row],[Aplicación]],6,2)</f>
        <v>03</v>
      </c>
      <c r="T4168" s="35" t="str">
        <f>VLOOKUP(Tabla1[[#This Row],[AREA]],Hoja1!A:B,2,FALSE)</f>
        <v>03. Participación ciudadana y deportes</v>
      </c>
      <c r="U4168" s="35" t="str">
        <f>MID(Tabla1[[#This Row],[Aplicación]],9,4)</f>
        <v>9241</v>
      </c>
      <c r="V4168" s="35" t="str">
        <f>VLOOKUP(Tabla1[[#This Row],[PROGRAMA]],Hoja1!A:B,2,FALSE)</f>
        <v>9241. Participación ciudadana</v>
      </c>
      <c r="W4168" s="35" t="str">
        <f>MID(Tabla1[[#This Row],[Aplicación]],14,2)</f>
        <v>20</v>
      </c>
      <c r="X4168" s="35" t="str">
        <f>MID(Tabla1[[#This Row],[Aplicación]],14,6)</f>
        <v>203</v>
      </c>
    </row>
    <row r="4169" spans="1:24" x14ac:dyDescent="0.25">
      <c r="A4169" s="45">
        <v>220210043822</v>
      </c>
      <c r="B4169" s="46" t="s">
        <v>9</v>
      </c>
      <c r="C4169" s="47">
        <v>44404</v>
      </c>
      <c r="D4169" s="45">
        <v>22021005777</v>
      </c>
      <c r="E4169" s="46" t="s">
        <v>4911</v>
      </c>
      <c r="F4169" s="48">
        <v>47746.6</v>
      </c>
      <c r="G4169" s="46" t="s">
        <v>2843</v>
      </c>
      <c r="H4169" s="46" t="s">
        <v>5812</v>
      </c>
      <c r="I4169" s="45" t="s">
        <v>125</v>
      </c>
      <c r="J4169" s="46" t="s">
        <v>539</v>
      </c>
      <c r="K4169" s="46" t="s">
        <v>539</v>
      </c>
      <c r="L4169" s="46" t="s">
        <v>31</v>
      </c>
      <c r="M4169" s="46" t="s">
        <v>10</v>
      </c>
      <c r="N4169" s="46" t="s">
        <v>11</v>
      </c>
      <c r="O4169" s="49" t="s">
        <v>815</v>
      </c>
      <c r="P4169" s="49" t="s">
        <v>4910</v>
      </c>
      <c r="Q4169" s="35" t="str">
        <f>MID(Tabla1[[#This Row],[Aplicación]],14,1)</f>
        <v>6</v>
      </c>
      <c r="R4169" s="35" t="s">
        <v>496</v>
      </c>
      <c r="S4169" s="35" t="str">
        <f>MID(Tabla1[[#This Row],[Aplicación]],6,2)</f>
        <v>09</v>
      </c>
      <c r="T4169" s="35" t="str">
        <f>VLOOKUP(Tabla1[[#This Row],[AREA]],Hoja1!A:B,2,FALSE)</f>
        <v>09. Cultura y turismo</v>
      </c>
      <c r="U4169" s="35" t="str">
        <f>MID(Tabla1[[#This Row],[Aplicación]],9,4)</f>
        <v>3341</v>
      </c>
      <c r="V4169" s="35" t="str">
        <f>VLOOKUP(Tabla1[[#This Row],[PROGRAMA]],Hoja1!A:B,2,FALSE)</f>
        <v>3341. Coordinación de políticas culturales</v>
      </c>
      <c r="W4169" s="35" t="str">
        <f>MID(Tabla1[[#This Row],[Aplicación]],14,2)</f>
        <v>63</v>
      </c>
      <c r="X4169" s="35" t="str">
        <f>MID(Tabla1[[#This Row],[Aplicación]],14,6)</f>
        <v>632</v>
      </c>
    </row>
    <row r="4170" spans="1:24" x14ac:dyDescent="0.25">
      <c r="A4170" s="45">
        <v>220210045982</v>
      </c>
      <c r="B4170" s="46" t="s">
        <v>9</v>
      </c>
      <c r="C4170" s="47">
        <v>44418</v>
      </c>
      <c r="D4170" s="45">
        <v>22021006003</v>
      </c>
      <c r="E4170" s="46" t="s">
        <v>5813</v>
      </c>
      <c r="F4170" s="48">
        <v>7098.22</v>
      </c>
      <c r="G4170" s="46" t="s">
        <v>2843</v>
      </c>
      <c r="H4170" s="46" t="s">
        <v>5814</v>
      </c>
      <c r="I4170" s="45" t="s">
        <v>125</v>
      </c>
      <c r="J4170" s="46" t="s">
        <v>539</v>
      </c>
      <c r="K4170" s="46" t="s">
        <v>539</v>
      </c>
      <c r="L4170" s="46" t="s">
        <v>15</v>
      </c>
      <c r="M4170" s="46" t="s">
        <v>10</v>
      </c>
      <c r="N4170" s="46" t="s">
        <v>11</v>
      </c>
      <c r="O4170" s="49" t="s">
        <v>815</v>
      </c>
      <c r="P4170" s="49" t="s">
        <v>4910</v>
      </c>
      <c r="Q4170" s="35" t="str">
        <f>MID(Tabla1[[#This Row],[Aplicación]],14,1)</f>
        <v>6</v>
      </c>
      <c r="R4170" s="35" t="s">
        <v>496</v>
      </c>
      <c r="S4170" s="35" t="str">
        <f>MID(Tabla1[[#This Row],[Aplicación]],6,2)</f>
        <v>06</v>
      </c>
      <c r="T4170" s="35" t="str">
        <f>VLOOKUP(Tabla1[[#This Row],[AREA]],Hoja1!A:B,2,FALSE)</f>
        <v>06. Educación, infancia, juventud e igualdad</v>
      </c>
      <c r="U4170" s="35" t="str">
        <f>MID(Tabla1[[#This Row],[Aplicación]],9,4)</f>
        <v>2314</v>
      </c>
      <c r="V4170" s="35" t="str">
        <f>VLOOKUP(Tabla1[[#This Row],[PROGRAMA]],Hoja1!A:B,2,FALSE)</f>
        <v>2314. Centro de programas juveniles</v>
      </c>
      <c r="W4170" s="35" t="str">
        <f>MID(Tabla1[[#This Row],[Aplicación]],14,2)</f>
        <v>60</v>
      </c>
      <c r="X4170" s="35" t="str">
        <f>MID(Tabla1[[#This Row],[Aplicación]],14,6)</f>
        <v>609</v>
      </c>
    </row>
    <row r="4171" spans="1:24" x14ac:dyDescent="0.25">
      <c r="A4171" s="45">
        <v>220210036310</v>
      </c>
      <c r="B4171" s="46" t="s">
        <v>9</v>
      </c>
      <c r="C4171" s="47">
        <v>44384</v>
      </c>
      <c r="D4171" s="45">
        <v>22021005554</v>
      </c>
      <c r="E4171" s="46" t="s">
        <v>3333</v>
      </c>
      <c r="F4171" s="48">
        <v>200</v>
      </c>
      <c r="G4171" s="46" t="s">
        <v>4466</v>
      </c>
      <c r="H4171" s="46" t="s">
        <v>5815</v>
      </c>
      <c r="I4171" s="45" t="s">
        <v>125</v>
      </c>
      <c r="J4171" s="46" t="s">
        <v>127</v>
      </c>
      <c r="K4171" s="46" t="s">
        <v>127</v>
      </c>
      <c r="L4171" s="46" t="s">
        <v>12</v>
      </c>
      <c r="M4171" s="46" t="s">
        <v>10</v>
      </c>
      <c r="N4171" s="46" t="s">
        <v>11</v>
      </c>
      <c r="O4171" s="49" t="s">
        <v>815</v>
      </c>
      <c r="P4171" s="49" t="s">
        <v>4910</v>
      </c>
      <c r="Q4171" s="35" t="str">
        <f>MID(Tabla1[[#This Row],[Aplicación]],14,1)</f>
        <v>2</v>
      </c>
      <c r="R4171" s="35" t="s">
        <v>495</v>
      </c>
      <c r="S4171" s="35" t="str">
        <f>MID(Tabla1[[#This Row],[Aplicación]],6,2)</f>
        <v>10</v>
      </c>
      <c r="T4171" s="35" t="str">
        <f>VLOOKUP(Tabla1[[#This Row],[AREA]],Hoja1!A:B,2,FALSE)</f>
        <v>10. Servicios sociales y mediación comunitaria</v>
      </c>
      <c r="U4171" s="35" t="str">
        <f>MID(Tabla1[[#This Row],[Aplicación]],9,4)</f>
        <v>2316</v>
      </c>
      <c r="V4171" s="35" t="str">
        <f>VLOOKUP(Tabla1[[#This Row],[PROGRAMA]],Hoja1!A:B,2,FALSE)</f>
        <v>2316. Mediación comunitaria</v>
      </c>
      <c r="W4171" s="35" t="str">
        <f>MID(Tabla1[[#This Row],[Aplicación]],14,2)</f>
        <v>22</v>
      </c>
      <c r="X4171" s="35" t="str">
        <f>MID(Tabla1[[#This Row],[Aplicación]],14,6)</f>
        <v>22616</v>
      </c>
    </row>
    <row r="4172" spans="1:24" x14ac:dyDescent="0.25">
      <c r="A4172" s="45">
        <v>220210038352</v>
      </c>
      <c r="B4172" s="46" t="s">
        <v>9</v>
      </c>
      <c r="C4172" s="47">
        <v>44392</v>
      </c>
      <c r="D4172" s="45">
        <v>22021005470</v>
      </c>
      <c r="E4172" s="46" t="s">
        <v>3333</v>
      </c>
      <c r="F4172" s="48">
        <v>120</v>
      </c>
      <c r="G4172" s="46" t="s">
        <v>4466</v>
      </c>
      <c r="H4172" s="46" t="s">
        <v>5816</v>
      </c>
      <c r="I4172" s="45" t="s">
        <v>125</v>
      </c>
      <c r="J4172" s="46" t="s">
        <v>127</v>
      </c>
      <c r="K4172" s="46" t="s">
        <v>127</v>
      </c>
      <c r="L4172" s="46" t="s">
        <v>12</v>
      </c>
      <c r="M4172" s="46" t="s">
        <v>10</v>
      </c>
      <c r="N4172" s="46" t="s">
        <v>11</v>
      </c>
      <c r="O4172" s="49" t="s">
        <v>815</v>
      </c>
      <c r="P4172" s="49" t="s">
        <v>4910</v>
      </c>
      <c r="Q4172" s="35" t="str">
        <f>MID(Tabla1[[#This Row],[Aplicación]],14,1)</f>
        <v>2</v>
      </c>
      <c r="R4172" s="35" t="s">
        <v>495</v>
      </c>
      <c r="S4172" s="35" t="str">
        <f>MID(Tabla1[[#This Row],[Aplicación]],6,2)</f>
        <v>10</v>
      </c>
      <c r="T4172" s="35" t="str">
        <f>VLOOKUP(Tabla1[[#This Row],[AREA]],Hoja1!A:B,2,FALSE)</f>
        <v>10. Servicios sociales y mediación comunitaria</v>
      </c>
      <c r="U4172" s="35" t="str">
        <f>MID(Tabla1[[#This Row],[Aplicación]],9,4)</f>
        <v>2316</v>
      </c>
      <c r="V4172" s="35" t="str">
        <f>VLOOKUP(Tabla1[[#This Row],[PROGRAMA]],Hoja1!A:B,2,FALSE)</f>
        <v>2316. Mediación comunitaria</v>
      </c>
      <c r="W4172" s="35" t="str">
        <f>MID(Tabla1[[#This Row],[Aplicación]],14,2)</f>
        <v>22</v>
      </c>
      <c r="X4172" s="35" t="str">
        <f>MID(Tabla1[[#This Row],[Aplicación]],14,6)</f>
        <v>22616</v>
      </c>
    </row>
    <row r="4173" spans="1:24" x14ac:dyDescent="0.25">
      <c r="A4173" s="45">
        <v>220210036311</v>
      </c>
      <c r="B4173" s="46" t="s">
        <v>9</v>
      </c>
      <c r="C4173" s="47">
        <v>44384</v>
      </c>
      <c r="D4173" s="45">
        <v>22021005556</v>
      </c>
      <c r="E4173" s="46" t="s">
        <v>3333</v>
      </c>
      <c r="F4173" s="48">
        <v>150</v>
      </c>
      <c r="G4173" s="46" t="s">
        <v>4466</v>
      </c>
      <c r="H4173" s="46" t="s">
        <v>5817</v>
      </c>
      <c r="I4173" s="45" t="s">
        <v>125</v>
      </c>
      <c r="J4173" s="46" t="s">
        <v>127</v>
      </c>
      <c r="K4173" s="46" t="s">
        <v>127</v>
      </c>
      <c r="L4173" s="46" t="s">
        <v>12</v>
      </c>
      <c r="M4173" s="46" t="s">
        <v>10</v>
      </c>
      <c r="N4173" s="46" t="s">
        <v>11</v>
      </c>
      <c r="O4173" s="49" t="s">
        <v>815</v>
      </c>
      <c r="P4173" s="49" t="s">
        <v>4910</v>
      </c>
      <c r="Q4173" s="35" t="str">
        <f>MID(Tabla1[[#This Row],[Aplicación]],14,1)</f>
        <v>2</v>
      </c>
      <c r="R4173" s="35" t="s">
        <v>495</v>
      </c>
      <c r="S4173" s="35" t="str">
        <f>MID(Tabla1[[#This Row],[Aplicación]],6,2)</f>
        <v>10</v>
      </c>
      <c r="T4173" s="35" t="str">
        <f>VLOOKUP(Tabla1[[#This Row],[AREA]],Hoja1!A:B,2,FALSE)</f>
        <v>10. Servicios sociales y mediación comunitaria</v>
      </c>
      <c r="U4173" s="35" t="str">
        <f>MID(Tabla1[[#This Row],[Aplicación]],9,4)</f>
        <v>2316</v>
      </c>
      <c r="V4173" s="35" t="str">
        <f>VLOOKUP(Tabla1[[#This Row],[PROGRAMA]],Hoja1!A:B,2,FALSE)</f>
        <v>2316. Mediación comunitaria</v>
      </c>
      <c r="W4173" s="35" t="str">
        <f>MID(Tabla1[[#This Row],[Aplicación]],14,2)</f>
        <v>22</v>
      </c>
      <c r="X4173" s="35" t="str">
        <f>MID(Tabla1[[#This Row],[Aplicación]],14,6)</f>
        <v>22616</v>
      </c>
    </row>
    <row r="4174" spans="1:24" x14ac:dyDescent="0.25">
      <c r="A4174" s="45">
        <v>220210047101</v>
      </c>
      <c r="B4174" s="46" t="s">
        <v>9</v>
      </c>
      <c r="C4174" s="47">
        <v>44421</v>
      </c>
      <c r="D4174" s="45">
        <v>22021006062</v>
      </c>
      <c r="E4174" s="46" t="s">
        <v>1180</v>
      </c>
      <c r="F4174" s="48">
        <v>968</v>
      </c>
      <c r="G4174" s="46" t="s">
        <v>248</v>
      </c>
      <c r="H4174" s="46" t="s">
        <v>5818</v>
      </c>
      <c r="I4174" s="45" t="s">
        <v>125</v>
      </c>
      <c r="J4174" s="46" t="s">
        <v>146</v>
      </c>
      <c r="K4174" s="46" t="s">
        <v>146</v>
      </c>
      <c r="L4174" s="46" t="s">
        <v>15</v>
      </c>
      <c r="M4174" s="46" t="s">
        <v>10</v>
      </c>
      <c r="N4174" s="46" t="s">
        <v>11</v>
      </c>
      <c r="O4174" s="49" t="s">
        <v>815</v>
      </c>
      <c r="P4174" s="49" t="s">
        <v>4910</v>
      </c>
      <c r="Q4174" s="35" t="str">
        <f>MID(Tabla1[[#This Row],[Aplicación]],14,1)</f>
        <v>2</v>
      </c>
      <c r="R4174" s="35" t="s">
        <v>495</v>
      </c>
      <c r="S4174" s="35" t="str">
        <f>MID(Tabla1[[#This Row],[Aplicación]],6,2)</f>
        <v>08</v>
      </c>
      <c r="T4174" s="35" t="str">
        <f>VLOOKUP(Tabla1[[#This Row],[AREA]],Hoja1!A:B,2,FALSE)</f>
        <v>08. Movilidad y espacio urbano</v>
      </c>
      <c r="U4174" s="35" t="str">
        <f>MID(Tabla1[[#This Row],[Aplicación]],9,4)</f>
        <v>1532</v>
      </c>
      <c r="V4174" s="35" t="str">
        <f>VLOOKUP(Tabla1[[#This Row],[PROGRAMA]],Hoja1!A:B,2,FALSE)</f>
        <v>1532. Pavimentación vias públicas y otros servicios urbanísticos</v>
      </c>
      <c r="W4174" s="35" t="str">
        <f>MID(Tabla1[[#This Row],[Aplicación]],14,2)</f>
        <v>21</v>
      </c>
      <c r="X4174" s="35" t="str">
        <f>MID(Tabla1[[#This Row],[Aplicación]],14,6)</f>
        <v>210</v>
      </c>
    </row>
    <row r="4175" spans="1:24" x14ac:dyDescent="0.25">
      <c r="A4175" s="45">
        <v>220210047033</v>
      </c>
      <c r="B4175" s="46" t="s">
        <v>204</v>
      </c>
      <c r="C4175" s="47">
        <v>44421</v>
      </c>
      <c r="D4175" s="45">
        <v>22021001275</v>
      </c>
      <c r="E4175" s="46" t="s">
        <v>1334</v>
      </c>
      <c r="F4175" s="48">
        <v>307.01</v>
      </c>
      <c r="G4175" s="46" t="s">
        <v>266</v>
      </c>
      <c r="H4175" s="46" t="s">
        <v>1713</v>
      </c>
      <c r="I4175" s="45" t="s">
        <v>205</v>
      </c>
      <c r="J4175" s="46" t="s">
        <v>127</v>
      </c>
      <c r="K4175" s="46" t="s">
        <v>127</v>
      </c>
      <c r="L4175" s="46" t="s">
        <v>15</v>
      </c>
      <c r="M4175" s="46" t="s">
        <v>13</v>
      </c>
      <c r="N4175" s="46" t="s">
        <v>14</v>
      </c>
      <c r="O4175" s="49" t="s">
        <v>814</v>
      </c>
      <c r="P4175" s="49" t="s">
        <v>4910</v>
      </c>
      <c r="Q4175" s="35" t="str">
        <f>MID(Tabla1[[#This Row],[Aplicación]],14,1)</f>
        <v>2</v>
      </c>
      <c r="R4175" s="35" t="s">
        <v>495</v>
      </c>
      <c r="S4175" s="35" t="str">
        <f>MID(Tabla1[[#This Row],[Aplicación]],6,2)</f>
        <v>07</v>
      </c>
      <c r="T4175" s="35" t="str">
        <f>VLOOKUP(Tabla1[[#This Row],[AREA]],Hoja1!A:B,2,FALSE)</f>
        <v>07. Medio ambiente y desarrollo sostenible</v>
      </c>
      <c r="U4175" s="35" t="str">
        <f>MID(Tabla1[[#This Row],[Aplicación]],9,4)</f>
        <v>1711</v>
      </c>
      <c r="V4175" s="35" t="str">
        <f>VLOOKUP(Tabla1[[#This Row],[PROGRAMA]],Hoja1!A:B,2,FALSE)</f>
        <v>1711. Parques y jardines</v>
      </c>
      <c r="W4175" s="35" t="str">
        <f>MID(Tabla1[[#This Row],[Aplicación]],14,2)</f>
        <v>22</v>
      </c>
      <c r="X4175" s="35" t="str">
        <f>MID(Tabla1[[#This Row],[Aplicación]],14,6)</f>
        <v>22199</v>
      </c>
    </row>
    <row r="4176" spans="1:24" x14ac:dyDescent="0.25">
      <c r="A4176" s="45">
        <v>220210037308</v>
      </c>
      <c r="B4176" s="46" t="s">
        <v>9</v>
      </c>
      <c r="C4176" s="47">
        <v>44392</v>
      </c>
      <c r="D4176" s="45">
        <v>22021005677</v>
      </c>
      <c r="E4176" s="46" t="s">
        <v>1336</v>
      </c>
      <c r="F4176" s="48">
        <v>1000</v>
      </c>
      <c r="G4176" s="46" t="s">
        <v>87</v>
      </c>
      <c r="H4176" s="46" t="s">
        <v>5819</v>
      </c>
      <c r="I4176" s="45" t="s">
        <v>125</v>
      </c>
      <c r="J4176" s="46" t="s">
        <v>127</v>
      </c>
      <c r="K4176" s="46" t="s">
        <v>127</v>
      </c>
      <c r="L4176" s="46" t="s">
        <v>15</v>
      </c>
      <c r="M4176" s="46" t="s">
        <v>10</v>
      </c>
      <c r="N4176" s="46" t="s">
        <v>11</v>
      </c>
      <c r="O4176" s="49" t="s">
        <v>815</v>
      </c>
      <c r="P4176" s="49" t="s">
        <v>4910</v>
      </c>
      <c r="Q4176" s="35" t="str">
        <f>MID(Tabla1[[#This Row],[Aplicación]],14,1)</f>
        <v>2</v>
      </c>
      <c r="R4176" s="35" t="s">
        <v>495</v>
      </c>
      <c r="S4176" s="35" t="str">
        <f>MID(Tabla1[[#This Row],[Aplicación]],6,2)</f>
        <v>02</v>
      </c>
      <c r="T4176" s="35" t="str">
        <f>VLOOKUP(Tabla1[[#This Row],[AREA]],Hoja1!A:B,2,FALSE)</f>
        <v>02. Planeamiento urbanístico y vivienda</v>
      </c>
      <c r="U4176" s="35" t="str">
        <f>MID(Tabla1[[#This Row],[Aplicación]],9,4)</f>
        <v>9332</v>
      </c>
      <c r="V4176" s="35" t="str">
        <f>VLOOKUP(Tabla1[[#This Row],[PROGRAMA]],Hoja1!A:B,2,FALSE)</f>
        <v>9332. Mantenimiento de edificios e instalaciones municipales</v>
      </c>
      <c r="W4176" s="35" t="str">
        <f>MID(Tabla1[[#This Row],[Aplicación]],14,2)</f>
        <v>21</v>
      </c>
      <c r="X4176" s="35" t="str">
        <f>MID(Tabla1[[#This Row],[Aplicación]],14,6)</f>
        <v>212</v>
      </c>
    </row>
    <row r="4177" spans="1:24" x14ac:dyDescent="0.25">
      <c r="A4177" s="45">
        <v>220210039535</v>
      </c>
      <c r="B4177" s="46" t="s">
        <v>9</v>
      </c>
      <c r="C4177" s="47">
        <v>44393</v>
      </c>
      <c r="D4177" s="45">
        <v>22021005740</v>
      </c>
      <c r="E4177" s="46" t="s">
        <v>1326</v>
      </c>
      <c r="F4177" s="48">
        <v>639.26</v>
      </c>
      <c r="G4177" s="46" t="s">
        <v>87</v>
      </c>
      <c r="H4177" s="46" t="s">
        <v>5820</v>
      </c>
      <c r="I4177" s="45" t="s">
        <v>125</v>
      </c>
      <c r="J4177" s="46" t="s">
        <v>127</v>
      </c>
      <c r="K4177" s="46" t="s">
        <v>127</v>
      </c>
      <c r="L4177" s="46" t="s">
        <v>15</v>
      </c>
      <c r="M4177" s="46" t="s">
        <v>10</v>
      </c>
      <c r="N4177" s="46" t="s">
        <v>11</v>
      </c>
      <c r="O4177" s="49" t="s">
        <v>815</v>
      </c>
      <c r="P4177" s="49" t="s">
        <v>4910</v>
      </c>
      <c r="Q4177" s="35" t="str">
        <f>MID(Tabla1[[#This Row],[Aplicación]],14,1)</f>
        <v>2</v>
      </c>
      <c r="R4177" s="35" t="s">
        <v>495</v>
      </c>
      <c r="S4177" s="35" t="str">
        <f>MID(Tabla1[[#This Row],[Aplicación]],6,2)</f>
        <v>08</v>
      </c>
      <c r="T4177" s="35" t="str">
        <f>VLOOKUP(Tabla1[[#This Row],[AREA]],Hoja1!A:B,2,FALSE)</f>
        <v>08. Movilidad y espacio urbano</v>
      </c>
      <c r="U4177" s="35" t="str">
        <f>MID(Tabla1[[#This Row],[Aplicación]],9,4)</f>
        <v>1651</v>
      </c>
      <c r="V4177" s="35" t="str">
        <f>VLOOKUP(Tabla1[[#This Row],[PROGRAMA]],Hoja1!A:B,2,FALSE)</f>
        <v>1651. Alumbrado público</v>
      </c>
      <c r="W4177" s="35" t="str">
        <f>MID(Tabla1[[#This Row],[Aplicación]],14,2)</f>
        <v>22</v>
      </c>
      <c r="X4177" s="35" t="str">
        <f>MID(Tabla1[[#This Row],[Aplicación]],14,6)</f>
        <v>22199</v>
      </c>
    </row>
    <row r="4178" spans="1:24" x14ac:dyDescent="0.25">
      <c r="A4178" s="45">
        <v>220210044967</v>
      </c>
      <c r="B4178" s="46" t="s">
        <v>9</v>
      </c>
      <c r="C4178" s="47">
        <v>44411</v>
      </c>
      <c r="D4178" s="45">
        <v>22021005925</v>
      </c>
      <c r="E4178" s="46" t="s">
        <v>1328</v>
      </c>
      <c r="F4178" s="48">
        <v>157.63999999999999</v>
      </c>
      <c r="G4178" s="46" t="s">
        <v>87</v>
      </c>
      <c r="H4178" s="46" t="s">
        <v>5821</v>
      </c>
      <c r="I4178" s="45" t="s">
        <v>125</v>
      </c>
      <c r="J4178" s="46" t="s">
        <v>127</v>
      </c>
      <c r="K4178" s="46" t="s">
        <v>127</v>
      </c>
      <c r="L4178" s="46" t="s">
        <v>15</v>
      </c>
      <c r="M4178" s="46" t="s">
        <v>10</v>
      </c>
      <c r="N4178" s="46" t="s">
        <v>11</v>
      </c>
      <c r="O4178" s="49" t="s">
        <v>815</v>
      </c>
      <c r="P4178" s="49" t="s">
        <v>4910</v>
      </c>
      <c r="Q4178" s="35" t="str">
        <f>MID(Tabla1[[#This Row],[Aplicación]],14,1)</f>
        <v>2</v>
      </c>
      <c r="R4178" s="35" t="s">
        <v>495</v>
      </c>
      <c r="S4178" s="35" t="str">
        <f>MID(Tabla1[[#This Row],[Aplicación]],6,2)</f>
        <v>10</v>
      </c>
      <c r="T4178" s="35" t="str">
        <f>VLOOKUP(Tabla1[[#This Row],[AREA]],Hoja1!A:B,2,FALSE)</f>
        <v>10. Servicios sociales y mediación comunitaria</v>
      </c>
      <c r="U4178" s="35" t="str">
        <f>MID(Tabla1[[#This Row],[Aplicación]],9,4)</f>
        <v>2311</v>
      </c>
      <c r="V4178" s="35" t="str">
        <f>VLOOKUP(Tabla1[[#This Row],[PROGRAMA]],Hoja1!A:B,2,FALSE)</f>
        <v>2311. Intervención social</v>
      </c>
      <c r="W4178" s="35" t="str">
        <f>MID(Tabla1[[#This Row],[Aplicación]],14,2)</f>
        <v>21</v>
      </c>
      <c r="X4178" s="35" t="str">
        <f>MID(Tabla1[[#This Row],[Aplicación]],14,6)</f>
        <v>212</v>
      </c>
    </row>
    <row r="4179" spans="1:24" x14ac:dyDescent="0.25">
      <c r="A4179" s="45">
        <v>220210046273</v>
      </c>
      <c r="B4179" s="46" t="s">
        <v>9</v>
      </c>
      <c r="C4179" s="47">
        <v>44419</v>
      </c>
      <c r="D4179" s="45">
        <v>22021005725</v>
      </c>
      <c r="E4179" s="46" t="s">
        <v>1326</v>
      </c>
      <c r="F4179" s="48">
        <v>961.28</v>
      </c>
      <c r="G4179" s="46" t="s">
        <v>87</v>
      </c>
      <c r="H4179" s="46" t="s">
        <v>5822</v>
      </c>
      <c r="I4179" s="45" t="s">
        <v>125</v>
      </c>
      <c r="J4179" s="46" t="s">
        <v>127</v>
      </c>
      <c r="K4179" s="46" t="s">
        <v>127</v>
      </c>
      <c r="L4179" s="46" t="s">
        <v>15</v>
      </c>
      <c r="M4179" s="46" t="s">
        <v>10</v>
      </c>
      <c r="N4179" s="46" t="s">
        <v>11</v>
      </c>
      <c r="O4179" s="49" t="s">
        <v>815</v>
      </c>
      <c r="P4179" s="49" t="s">
        <v>4910</v>
      </c>
      <c r="Q4179" s="35" t="str">
        <f>MID(Tabla1[[#This Row],[Aplicación]],14,1)</f>
        <v>2</v>
      </c>
      <c r="R4179" s="35" t="s">
        <v>495</v>
      </c>
      <c r="S4179" s="35" t="str">
        <f>MID(Tabla1[[#This Row],[Aplicación]],6,2)</f>
        <v>08</v>
      </c>
      <c r="T4179" s="35" t="str">
        <f>VLOOKUP(Tabla1[[#This Row],[AREA]],Hoja1!A:B,2,FALSE)</f>
        <v>08. Movilidad y espacio urbano</v>
      </c>
      <c r="U4179" s="35" t="str">
        <f>MID(Tabla1[[#This Row],[Aplicación]],9,4)</f>
        <v>1651</v>
      </c>
      <c r="V4179" s="35" t="str">
        <f>VLOOKUP(Tabla1[[#This Row],[PROGRAMA]],Hoja1!A:B,2,FALSE)</f>
        <v>1651. Alumbrado público</v>
      </c>
      <c r="W4179" s="35" t="str">
        <f>MID(Tabla1[[#This Row],[Aplicación]],14,2)</f>
        <v>22</v>
      </c>
      <c r="X4179" s="35" t="str">
        <f>MID(Tabla1[[#This Row],[Aplicación]],14,6)</f>
        <v>22199</v>
      </c>
    </row>
    <row r="4180" spans="1:24" x14ac:dyDescent="0.25">
      <c r="A4180" s="45">
        <v>220210050510</v>
      </c>
      <c r="B4180" s="46" t="s">
        <v>9</v>
      </c>
      <c r="C4180" s="47">
        <v>44440</v>
      </c>
      <c r="D4180" s="45">
        <v>22021006188</v>
      </c>
      <c r="E4180" s="46" t="s">
        <v>1471</v>
      </c>
      <c r="F4180" s="48">
        <v>600</v>
      </c>
      <c r="G4180" s="46" t="s">
        <v>3960</v>
      </c>
      <c r="H4180" s="46" t="s">
        <v>5823</v>
      </c>
      <c r="I4180" s="45" t="s">
        <v>125</v>
      </c>
      <c r="J4180" s="46" t="s">
        <v>127</v>
      </c>
      <c r="K4180" s="46" t="s">
        <v>127</v>
      </c>
      <c r="L4180" s="46" t="s">
        <v>15</v>
      </c>
      <c r="M4180" s="46" t="s">
        <v>10</v>
      </c>
      <c r="N4180" s="46" t="s">
        <v>11</v>
      </c>
      <c r="O4180" s="49" t="s">
        <v>815</v>
      </c>
      <c r="P4180" s="49" t="s">
        <v>4910</v>
      </c>
      <c r="Q4180" s="35" t="str">
        <f>MID(Tabla1[[#This Row],[Aplicación]],14,1)</f>
        <v>2</v>
      </c>
      <c r="R4180" s="35" t="s">
        <v>495</v>
      </c>
      <c r="S4180" s="35" t="str">
        <f>MID(Tabla1[[#This Row],[Aplicación]],6,2)</f>
        <v>06</v>
      </c>
      <c r="T4180" s="35" t="str">
        <f>VLOOKUP(Tabla1[[#This Row],[AREA]],Hoja1!A:B,2,FALSE)</f>
        <v>06. Educación, infancia, juventud e igualdad</v>
      </c>
      <c r="U4180" s="35" t="str">
        <f>MID(Tabla1[[#This Row],[Aplicación]],9,4)</f>
        <v>3232</v>
      </c>
      <c r="V4180" s="35" t="str">
        <f>VLOOKUP(Tabla1[[#This Row],[PROGRAMA]],Hoja1!A:B,2,FALSE)</f>
        <v>3232. Conservación y mantenimiento centros educación infantil y primaria</v>
      </c>
      <c r="W4180" s="35" t="str">
        <f>MID(Tabla1[[#This Row],[Aplicación]],14,2)</f>
        <v>21</v>
      </c>
      <c r="X4180" s="35" t="str">
        <f>MID(Tabla1[[#This Row],[Aplicación]],14,6)</f>
        <v>212</v>
      </c>
    </row>
    <row r="4181" spans="1:24" x14ac:dyDescent="0.25">
      <c r="A4181" s="45">
        <v>220210050897</v>
      </c>
      <c r="B4181" s="46" t="s">
        <v>9</v>
      </c>
      <c r="C4181" s="47">
        <v>44442</v>
      </c>
      <c r="D4181" s="45">
        <v>22021006365</v>
      </c>
      <c r="E4181" s="46" t="s">
        <v>1574</v>
      </c>
      <c r="F4181" s="48">
        <v>300</v>
      </c>
      <c r="G4181" s="46" t="s">
        <v>3960</v>
      </c>
      <c r="H4181" s="46" t="s">
        <v>5824</v>
      </c>
      <c r="I4181" s="45" t="s">
        <v>125</v>
      </c>
      <c r="J4181" s="46" t="s">
        <v>127</v>
      </c>
      <c r="K4181" s="46" t="s">
        <v>127</v>
      </c>
      <c r="L4181" s="46" t="s">
        <v>15</v>
      </c>
      <c r="M4181" s="46" t="s">
        <v>10</v>
      </c>
      <c r="N4181" s="46" t="s">
        <v>11</v>
      </c>
      <c r="O4181" s="49" t="s">
        <v>815</v>
      </c>
      <c r="P4181" s="49" t="s">
        <v>4910</v>
      </c>
      <c r="Q4181" s="35" t="str">
        <f>MID(Tabla1[[#This Row],[Aplicación]],14,1)</f>
        <v>2</v>
      </c>
      <c r="R4181" s="35" t="s">
        <v>495</v>
      </c>
      <c r="S4181" s="35" t="str">
        <f>MID(Tabla1[[#This Row],[Aplicación]],6,2)</f>
        <v>06</v>
      </c>
      <c r="T4181" s="35" t="str">
        <f>VLOOKUP(Tabla1[[#This Row],[AREA]],Hoja1!A:B,2,FALSE)</f>
        <v>06. Educación, infancia, juventud e igualdad</v>
      </c>
      <c r="U4181" s="35" t="str">
        <f>MID(Tabla1[[#This Row],[Aplicación]],9,4)</f>
        <v>3231</v>
      </c>
      <c r="V4181" s="35" t="str">
        <f>VLOOKUP(Tabla1[[#This Row],[PROGRAMA]],Hoja1!A:B,2,FALSE)</f>
        <v>3231. Escuelas infantiles</v>
      </c>
      <c r="W4181" s="35" t="str">
        <f>MID(Tabla1[[#This Row],[Aplicación]],14,2)</f>
        <v>21</v>
      </c>
      <c r="X4181" s="35" t="str">
        <f>MID(Tabla1[[#This Row],[Aplicación]],14,6)</f>
        <v>212</v>
      </c>
    </row>
    <row r="4182" spans="1:24" x14ac:dyDescent="0.25">
      <c r="A4182" s="45">
        <v>220210048542</v>
      </c>
      <c r="B4182" s="46" t="s">
        <v>2924</v>
      </c>
      <c r="C4182" s="47">
        <v>44428</v>
      </c>
      <c r="D4182" s="45">
        <v>22021000419</v>
      </c>
      <c r="E4182" s="46" t="s">
        <v>941</v>
      </c>
      <c r="F4182" s="48">
        <v>-59.26</v>
      </c>
      <c r="G4182" s="46" t="s">
        <v>85</v>
      </c>
      <c r="H4182" s="46" t="s">
        <v>5777</v>
      </c>
      <c r="I4182" s="45" t="s">
        <v>2926</v>
      </c>
      <c r="J4182" s="46" t="s">
        <v>127</v>
      </c>
      <c r="K4182" s="46" t="s">
        <v>127</v>
      </c>
      <c r="L4182" s="46" t="s">
        <v>12</v>
      </c>
      <c r="M4182" s="46" t="s">
        <v>13</v>
      </c>
      <c r="N4182" s="46" t="s">
        <v>14</v>
      </c>
      <c r="O4182" s="49" t="s">
        <v>803</v>
      </c>
      <c r="P4182" s="49" t="s">
        <v>4910</v>
      </c>
      <c r="Q4182" s="35" t="str">
        <f>MID(Tabla1[[#This Row],[Aplicación]],14,1)</f>
        <v>2</v>
      </c>
      <c r="R4182" s="35" t="s">
        <v>495</v>
      </c>
      <c r="S4182" s="35" t="str">
        <f>MID(Tabla1[[#This Row],[Aplicación]],6,2)</f>
        <v>06</v>
      </c>
      <c r="T4182" s="35" t="str">
        <f>VLOOKUP(Tabla1[[#This Row],[AREA]],Hoja1!A:B,2,FALSE)</f>
        <v>06. Educación, infancia, juventud e igualdad</v>
      </c>
      <c r="U4182" s="35" t="str">
        <f>MID(Tabla1[[#This Row],[Aplicación]],9,4)</f>
        <v>3232</v>
      </c>
      <c r="V4182" s="35" t="str">
        <f>VLOOKUP(Tabla1[[#This Row],[PROGRAMA]],Hoja1!A:B,2,FALSE)</f>
        <v>3232. Conservación y mantenimiento centros educación infantil y primaria</v>
      </c>
      <c r="W4182" s="35" t="str">
        <f>MID(Tabla1[[#This Row],[Aplicación]],14,2)</f>
        <v>21</v>
      </c>
      <c r="X4182" s="35" t="str">
        <f>MID(Tabla1[[#This Row],[Aplicación]],14,6)</f>
        <v>213</v>
      </c>
    </row>
    <row r="4183" spans="1:24" x14ac:dyDescent="0.25">
      <c r="A4183" s="45">
        <v>220210048546</v>
      </c>
      <c r="B4183" s="46" t="s">
        <v>2924</v>
      </c>
      <c r="C4183" s="47">
        <v>44428</v>
      </c>
      <c r="D4183" s="45">
        <v>22021000419</v>
      </c>
      <c r="E4183" s="46" t="s">
        <v>941</v>
      </c>
      <c r="F4183" s="48">
        <v>-59.26</v>
      </c>
      <c r="G4183" s="46" t="s">
        <v>85</v>
      </c>
      <c r="H4183" s="46" t="s">
        <v>5778</v>
      </c>
      <c r="I4183" s="45" t="s">
        <v>2926</v>
      </c>
      <c r="J4183" s="46" t="s">
        <v>127</v>
      </c>
      <c r="K4183" s="46" t="s">
        <v>127</v>
      </c>
      <c r="L4183" s="46" t="s">
        <v>12</v>
      </c>
      <c r="M4183" s="46" t="s">
        <v>13</v>
      </c>
      <c r="N4183" s="46" t="s">
        <v>14</v>
      </c>
      <c r="O4183" s="49" t="s">
        <v>803</v>
      </c>
      <c r="P4183" s="49" t="s">
        <v>4910</v>
      </c>
      <c r="Q4183" s="35" t="str">
        <f>MID(Tabla1[[#This Row],[Aplicación]],14,1)</f>
        <v>2</v>
      </c>
      <c r="R4183" s="35" t="s">
        <v>495</v>
      </c>
      <c r="S4183" s="35" t="str">
        <f>MID(Tabla1[[#This Row],[Aplicación]],6,2)</f>
        <v>06</v>
      </c>
      <c r="T4183" s="35" t="str">
        <f>VLOOKUP(Tabla1[[#This Row],[AREA]],Hoja1!A:B,2,FALSE)</f>
        <v>06. Educación, infancia, juventud e igualdad</v>
      </c>
      <c r="U4183" s="35" t="str">
        <f>MID(Tabla1[[#This Row],[Aplicación]],9,4)</f>
        <v>3232</v>
      </c>
      <c r="V4183" s="35" t="str">
        <f>VLOOKUP(Tabla1[[#This Row],[PROGRAMA]],Hoja1!A:B,2,FALSE)</f>
        <v>3232. Conservación y mantenimiento centros educación infantil y primaria</v>
      </c>
      <c r="W4183" s="35" t="str">
        <f>MID(Tabla1[[#This Row],[Aplicación]],14,2)</f>
        <v>21</v>
      </c>
      <c r="X4183" s="35" t="str">
        <f>MID(Tabla1[[#This Row],[Aplicación]],14,6)</f>
        <v>213</v>
      </c>
    </row>
    <row r="4184" spans="1:24" x14ac:dyDescent="0.25">
      <c r="A4184" s="45">
        <v>220210054497</v>
      </c>
      <c r="B4184" s="46" t="s">
        <v>9</v>
      </c>
      <c r="C4184" s="47">
        <v>44453</v>
      </c>
      <c r="D4184" s="45">
        <v>22021006450</v>
      </c>
      <c r="E4184" s="46" t="s">
        <v>844</v>
      </c>
      <c r="F4184" s="48">
        <v>275.70999999999998</v>
      </c>
      <c r="G4184" s="46" t="s">
        <v>3960</v>
      </c>
      <c r="H4184" s="46" t="s">
        <v>5825</v>
      </c>
      <c r="I4184" s="45" t="s">
        <v>125</v>
      </c>
      <c r="J4184" s="46" t="s">
        <v>127</v>
      </c>
      <c r="K4184" s="46" t="s">
        <v>127</v>
      </c>
      <c r="L4184" s="46" t="s">
        <v>15</v>
      </c>
      <c r="M4184" s="46" t="s">
        <v>10</v>
      </c>
      <c r="N4184" s="46" t="s">
        <v>11</v>
      </c>
      <c r="O4184" s="49" t="s">
        <v>815</v>
      </c>
      <c r="P4184" s="49" t="s">
        <v>4910</v>
      </c>
      <c r="Q4184" s="35" t="str">
        <f>MID(Tabla1[[#This Row],[Aplicación]],14,1)</f>
        <v>2</v>
      </c>
      <c r="R4184" s="35" t="s">
        <v>495</v>
      </c>
      <c r="S4184" s="35" t="str">
        <f>MID(Tabla1[[#This Row],[Aplicación]],6,2)</f>
        <v>10</v>
      </c>
      <c r="T4184" s="35" t="str">
        <f>VLOOKUP(Tabla1[[#This Row],[AREA]],Hoja1!A:B,2,FALSE)</f>
        <v>10. Servicios sociales y mediación comunitaria</v>
      </c>
      <c r="U4184" s="35" t="str">
        <f>MID(Tabla1[[#This Row],[Aplicación]],9,4)</f>
        <v>2312</v>
      </c>
      <c r="V4184" s="35" t="str">
        <f>VLOOKUP(Tabla1[[#This Row],[PROGRAMA]],Hoja1!A:B,2,FALSE)</f>
        <v>2312. Iniciativas sociales</v>
      </c>
      <c r="W4184" s="35" t="str">
        <f>MID(Tabla1[[#This Row],[Aplicación]],14,2)</f>
        <v>21</v>
      </c>
      <c r="X4184" s="35" t="str">
        <f>MID(Tabla1[[#This Row],[Aplicación]],14,6)</f>
        <v>212</v>
      </c>
    </row>
    <row r="4185" spans="1:24" x14ac:dyDescent="0.25">
      <c r="A4185" s="45">
        <v>220210054501</v>
      </c>
      <c r="B4185" s="46" t="s">
        <v>9</v>
      </c>
      <c r="C4185" s="47">
        <v>44453</v>
      </c>
      <c r="D4185" s="45">
        <v>22021006479</v>
      </c>
      <c r="E4185" s="46" t="s">
        <v>1319</v>
      </c>
      <c r="F4185" s="48">
        <v>113.49</v>
      </c>
      <c r="G4185" s="46" t="s">
        <v>3960</v>
      </c>
      <c r="H4185" s="46" t="s">
        <v>5826</v>
      </c>
      <c r="I4185" s="45" t="s">
        <v>125</v>
      </c>
      <c r="J4185" s="46" t="s">
        <v>127</v>
      </c>
      <c r="K4185" s="46" t="s">
        <v>127</v>
      </c>
      <c r="L4185" s="46" t="s">
        <v>15</v>
      </c>
      <c r="M4185" s="46" t="s">
        <v>10</v>
      </c>
      <c r="N4185" s="46" t="s">
        <v>11</v>
      </c>
      <c r="O4185" s="49" t="s">
        <v>815</v>
      </c>
      <c r="P4185" s="49" t="s">
        <v>4910</v>
      </c>
      <c r="Q4185" s="35" t="str">
        <f>MID(Tabla1[[#This Row],[Aplicación]],14,1)</f>
        <v>2</v>
      </c>
      <c r="R4185" s="35" t="s">
        <v>495</v>
      </c>
      <c r="S4185" s="35" t="str">
        <f>MID(Tabla1[[#This Row],[Aplicación]],6,2)</f>
        <v>10</v>
      </c>
      <c r="T4185" s="35" t="str">
        <f>VLOOKUP(Tabla1[[#This Row],[AREA]],Hoja1!A:B,2,FALSE)</f>
        <v>10. Servicios sociales y mediación comunitaria</v>
      </c>
      <c r="U4185" s="35" t="str">
        <f>MID(Tabla1[[#This Row],[Aplicación]],9,4)</f>
        <v>2412</v>
      </c>
      <c r="V4185" s="35" t="str">
        <f>VLOOKUP(Tabla1[[#This Row],[PROGRAMA]],Hoja1!A:B,2,FALSE)</f>
        <v>2412. Formación para el empleo</v>
      </c>
      <c r="W4185" s="35" t="str">
        <f>MID(Tabla1[[#This Row],[Aplicación]],14,2)</f>
        <v>21</v>
      </c>
      <c r="X4185" s="35" t="str">
        <f>MID(Tabla1[[#This Row],[Aplicación]],14,6)</f>
        <v>212</v>
      </c>
    </row>
    <row r="4186" spans="1:24" x14ac:dyDescent="0.25">
      <c r="A4186" s="45">
        <v>220210054496</v>
      </c>
      <c r="B4186" s="46" t="s">
        <v>9</v>
      </c>
      <c r="C4186" s="47">
        <v>44453</v>
      </c>
      <c r="D4186" s="45">
        <v>22021003026</v>
      </c>
      <c r="E4186" s="46" t="s">
        <v>2072</v>
      </c>
      <c r="F4186" s="48">
        <v>50.9</v>
      </c>
      <c r="G4186" s="46" t="s">
        <v>268</v>
      </c>
      <c r="H4186" s="46" t="s">
        <v>5572</v>
      </c>
      <c r="I4186" s="45" t="s">
        <v>125</v>
      </c>
      <c r="J4186" s="46" t="s">
        <v>127</v>
      </c>
      <c r="K4186" s="46" t="s">
        <v>127</v>
      </c>
      <c r="L4186" s="46" t="s">
        <v>15</v>
      </c>
      <c r="M4186" s="46" t="s">
        <v>10</v>
      </c>
      <c r="N4186" s="46" t="s">
        <v>11</v>
      </c>
      <c r="O4186" s="49" t="s">
        <v>815</v>
      </c>
      <c r="P4186" s="49" t="s">
        <v>4910</v>
      </c>
      <c r="Q4186" s="35" t="str">
        <f>MID(Tabla1[[#This Row],[Aplicación]],14,1)</f>
        <v>2</v>
      </c>
      <c r="R4186" s="35" t="s">
        <v>495</v>
      </c>
      <c r="S4186" s="35" t="str">
        <f>MID(Tabla1[[#This Row],[Aplicación]],6,2)</f>
        <v>10</v>
      </c>
      <c r="T4186" s="35" t="str">
        <f>VLOOKUP(Tabla1[[#This Row],[AREA]],Hoja1!A:B,2,FALSE)</f>
        <v>10. Servicios sociales y mediación comunitaria</v>
      </c>
      <c r="U4186" s="35" t="str">
        <f>MID(Tabla1[[#This Row],[Aplicación]],9,4)</f>
        <v>2412</v>
      </c>
      <c r="V4186" s="35" t="str">
        <f>VLOOKUP(Tabla1[[#This Row],[PROGRAMA]],Hoja1!A:B,2,FALSE)</f>
        <v>2412. Formación para el empleo</v>
      </c>
      <c r="W4186" s="35" t="str">
        <f>MID(Tabla1[[#This Row],[Aplicación]],14,2)</f>
        <v>22</v>
      </c>
      <c r="X4186" s="35" t="str">
        <f>MID(Tabla1[[#This Row],[Aplicación]],14,6)</f>
        <v>22110</v>
      </c>
    </row>
    <row r="4187" spans="1:24" x14ac:dyDescent="0.25">
      <c r="A4187" s="45">
        <v>220210043774</v>
      </c>
      <c r="B4187" s="46" t="s">
        <v>9</v>
      </c>
      <c r="C4187" s="47">
        <v>44404</v>
      </c>
      <c r="D4187" s="45">
        <v>22021005762</v>
      </c>
      <c r="E4187" s="46" t="s">
        <v>2611</v>
      </c>
      <c r="F4187" s="48">
        <v>76.599999999999994</v>
      </c>
      <c r="G4187" s="46" t="s">
        <v>5827</v>
      </c>
      <c r="H4187" s="46" t="s">
        <v>5828</v>
      </c>
      <c r="I4187" s="45" t="s">
        <v>125</v>
      </c>
      <c r="J4187" s="46" t="s">
        <v>127</v>
      </c>
      <c r="K4187" s="46" t="s">
        <v>127</v>
      </c>
      <c r="L4187" s="46" t="s">
        <v>12</v>
      </c>
      <c r="M4187" s="46" t="s">
        <v>10</v>
      </c>
      <c r="N4187" s="46" t="s">
        <v>11</v>
      </c>
      <c r="O4187" s="49" t="s">
        <v>815</v>
      </c>
      <c r="P4187" s="49" t="s">
        <v>4910</v>
      </c>
      <c r="Q4187" s="35" t="str">
        <f>MID(Tabla1[[#This Row],[Aplicación]],14,1)</f>
        <v>2</v>
      </c>
      <c r="R4187" s="35" t="s">
        <v>495</v>
      </c>
      <c r="S4187" s="35" t="str">
        <f>MID(Tabla1[[#This Row],[Aplicación]],6,2)</f>
        <v>11</v>
      </c>
      <c r="T4187" s="35" t="str">
        <f>VLOOKUP(Tabla1[[#This Row],[AREA]],Hoja1!A:B,2,FALSE)</f>
        <v>11. Salud pública y seguridad ciudadana</v>
      </c>
      <c r="U4187" s="35" t="str">
        <f>MID(Tabla1[[#This Row],[Aplicación]],9,4)</f>
        <v>1621</v>
      </c>
      <c r="V4187" s="35" t="str">
        <f>VLOOKUP(Tabla1[[#This Row],[PROGRAMA]],Hoja1!A:B,2,FALSE)</f>
        <v>1621. Servicio de limpieza</v>
      </c>
      <c r="W4187" s="35" t="str">
        <f>MID(Tabla1[[#This Row],[Aplicación]],14,2)</f>
        <v>22</v>
      </c>
      <c r="X4187" s="35" t="str">
        <f>MID(Tabla1[[#This Row],[Aplicación]],14,6)</f>
        <v>22706</v>
      </c>
    </row>
    <row r="4188" spans="1:24" x14ac:dyDescent="0.25">
      <c r="A4188" s="45">
        <v>220210036218</v>
      </c>
      <c r="B4188" s="46" t="s">
        <v>9</v>
      </c>
      <c r="C4188" s="47">
        <v>44383</v>
      </c>
      <c r="D4188" s="45">
        <v>22021004964</v>
      </c>
      <c r="E4188" s="46" t="s">
        <v>869</v>
      </c>
      <c r="F4188" s="48">
        <v>429.55</v>
      </c>
      <c r="G4188" s="46" t="s">
        <v>5829</v>
      </c>
      <c r="H4188" s="46" t="s">
        <v>5830</v>
      </c>
      <c r="I4188" s="45" t="s">
        <v>125</v>
      </c>
      <c r="J4188" s="46" t="s">
        <v>664</v>
      </c>
      <c r="K4188" s="46" t="s">
        <v>127</v>
      </c>
      <c r="L4188" s="46" t="s">
        <v>12</v>
      </c>
      <c r="M4188" s="46" t="s">
        <v>10</v>
      </c>
      <c r="N4188" s="46" t="s">
        <v>11</v>
      </c>
      <c r="O4188" s="49" t="s">
        <v>815</v>
      </c>
      <c r="P4188" s="49" t="s">
        <v>4910</v>
      </c>
      <c r="Q4188" s="35" t="str">
        <f>MID(Tabla1[[#This Row],[Aplicación]],14,1)</f>
        <v>2</v>
      </c>
      <c r="R4188" s="35" t="s">
        <v>495</v>
      </c>
      <c r="S4188" s="35" t="str">
        <f>MID(Tabla1[[#This Row],[Aplicación]],6,2)</f>
        <v>07</v>
      </c>
      <c r="T4188" s="35" t="str">
        <f>VLOOKUP(Tabla1[[#This Row],[AREA]],Hoja1!A:B,2,FALSE)</f>
        <v>07. Medio ambiente y desarrollo sostenible</v>
      </c>
      <c r="U4188" s="35" t="str">
        <f>MID(Tabla1[[#This Row],[Aplicación]],9,4)</f>
        <v>1721</v>
      </c>
      <c r="V4188" s="35" t="str">
        <f>VLOOKUP(Tabla1[[#This Row],[PROGRAMA]],Hoja1!A:B,2,FALSE)</f>
        <v>1721. Protección del medio ambiente</v>
      </c>
      <c r="W4188" s="35" t="str">
        <f>MID(Tabla1[[#This Row],[Aplicación]],14,2)</f>
        <v>21</v>
      </c>
      <c r="X4188" s="35" t="str">
        <f>MID(Tabla1[[#This Row],[Aplicación]],14,6)</f>
        <v>213</v>
      </c>
    </row>
    <row r="4189" spans="1:24" x14ac:dyDescent="0.25">
      <c r="A4189" s="45">
        <v>220210050946</v>
      </c>
      <c r="B4189" s="46" t="s">
        <v>9</v>
      </c>
      <c r="C4189" s="47">
        <v>44446</v>
      </c>
      <c r="D4189" s="45">
        <v>22021005133</v>
      </c>
      <c r="E4189" s="46" t="s">
        <v>1483</v>
      </c>
      <c r="F4189" s="48">
        <v>28.21</v>
      </c>
      <c r="G4189" s="46" t="s">
        <v>764</v>
      </c>
      <c r="H4189" s="46" t="s">
        <v>5831</v>
      </c>
      <c r="I4189" s="45" t="s">
        <v>125</v>
      </c>
      <c r="J4189" s="46" t="s">
        <v>127</v>
      </c>
      <c r="K4189" s="46" t="s">
        <v>127</v>
      </c>
      <c r="L4189" s="46" t="s">
        <v>12</v>
      </c>
      <c r="M4189" s="46" t="s">
        <v>13</v>
      </c>
      <c r="N4189" s="46" t="s">
        <v>16</v>
      </c>
      <c r="O4189" s="49" t="s">
        <v>814</v>
      </c>
      <c r="P4189" s="49" t="s">
        <v>4910</v>
      </c>
      <c r="Q4189" s="35" t="str">
        <f>MID(Tabla1[[#This Row],[Aplicación]],14,1)</f>
        <v>6</v>
      </c>
      <c r="R4189" s="35" t="s">
        <v>496</v>
      </c>
      <c r="S4189" s="35" t="str">
        <f>MID(Tabla1[[#This Row],[Aplicación]],6,2)</f>
        <v>03</v>
      </c>
      <c r="T4189" s="35" t="str">
        <f>VLOOKUP(Tabla1[[#This Row],[AREA]],Hoja1!A:B,2,FALSE)</f>
        <v>03. Participación ciudadana y deportes</v>
      </c>
      <c r="U4189" s="35" t="str">
        <f>MID(Tabla1[[#This Row],[Aplicación]],9,4)</f>
        <v>9241</v>
      </c>
      <c r="V4189" s="35" t="str">
        <f>VLOOKUP(Tabla1[[#This Row],[PROGRAMA]],Hoja1!A:B,2,FALSE)</f>
        <v>9241. Participación ciudadana</v>
      </c>
      <c r="W4189" s="35" t="str">
        <f>MID(Tabla1[[#This Row],[Aplicación]],14,2)</f>
        <v>63</v>
      </c>
      <c r="X4189" s="35" t="str">
        <f>MID(Tabla1[[#This Row],[Aplicación]],14,6)</f>
        <v>632</v>
      </c>
    </row>
    <row r="4190" spans="1:24" x14ac:dyDescent="0.25">
      <c r="A4190" s="45">
        <v>220210036424</v>
      </c>
      <c r="B4190" s="46" t="s">
        <v>32</v>
      </c>
      <c r="C4190" s="47">
        <v>44384</v>
      </c>
      <c r="D4190" s="45">
        <v>22021005311</v>
      </c>
      <c r="E4190" s="46" t="s">
        <v>1415</v>
      </c>
      <c r="F4190" s="48">
        <v>1105.3499999999999</v>
      </c>
      <c r="G4190" s="46" t="s">
        <v>56</v>
      </c>
      <c r="H4190" s="46" t="s">
        <v>5832</v>
      </c>
      <c r="I4190" s="45" t="s">
        <v>234</v>
      </c>
      <c r="J4190" s="46" t="s">
        <v>127</v>
      </c>
      <c r="K4190" s="46" t="s">
        <v>127</v>
      </c>
      <c r="L4190" s="46" t="s">
        <v>12</v>
      </c>
      <c r="M4190" s="46" t="s">
        <v>13</v>
      </c>
      <c r="N4190" s="46" t="s">
        <v>14</v>
      </c>
      <c r="O4190" s="49" t="s">
        <v>803</v>
      </c>
      <c r="P4190" s="49" t="s">
        <v>4910</v>
      </c>
      <c r="Q4190" s="35" t="str">
        <f>MID(Tabla1[[#This Row],[Aplicación]],14,1)</f>
        <v>2</v>
      </c>
      <c r="R4190" s="35" t="s">
        <v>495</v>
      </c>
      <c r="S4190" s="35" t="str">
        <f>MID(Tabla1[[#This Row],[Aplicación]],6,2)</f>
        <v>10</v>
      </c>
      <c r="T4190" s="35" t="str">
        <f>VLOOKUP(Tabla1[[#This Row],[AREA]],Hoja1!A:B,2,FALSE)</f>
        <v>10. Servicios sociales y mediación comunitaria</v>
      </c>
      <c r="U4190" s="35" t="str">
        <f>MID(Tabla1[[#This Row],[Aplicación]],9,4)</f>
        <v>2312</v>
      </c>
      <c r="V4190" s="35" t="str">
        <f>VLOOKUP(Tabla1[[#This Row],[PROGRAMA]],Hoja1!A:B,2,FALSE)</f>
        <v>2312. Iniciativas sociales</v>
      </c>
      <c r="W4190" s="35" t="str">
        <f>MID(Tabla1[[#This Row],[Aplicación]],14,2)</f>
        <v>22</v>
      </c>
      <c r="X4190" s="35" t="str">
        <f>MID(Tabla1[[#This Row],[Aplicación]],14,6)</f>
        <v>22799</v>
      </c>
    </row>
    <row r="4191" spans="1:24" x14ac:dyDescent="0.25">
      <c r="A4191" s="45">
        <v>220210036425</v>
      </c>
      <c r="B4191" s="46" t="s">
        <v>32</v>
      </c>
      <c r="C4191" s="47">
        <v>44384</v>
      </c>
      <c r="D4191" s="45">
        <v>22021005312</v>
      </c>
      <c r="E4191" s="46" t="s">
        <v>1415</v>
      </c>
      <c r="F4191" s="48">
        <v>1105.3499999999999</v>
      </c>
      <c r="G4191" s="46" t="s">
        <v>56</v>
      </c>
      <c r="H4191" s="46" t="s">
        <v>5833</v>
      </c>
      <c r="I4191" s="45" t="s">
        <v>234</v>
      </c>
      <c r="J4191" s="46" t="s">
        <v>127</v>
      </c>
      <c r="K4191" s="46" t="s">
        <v>127</v>
      </c>
      <c r="L4191" s="46" t="s">
        <v>12</v>
      </c>
      <c r="M4191" s="46" t="s">
        <v>13</v>
      </c>
      <c r="N4191" s="46" t="s">
        <v>14</v>
      </c>
      <c r="O4191" s="49" t="s">
        <v>803</v>
      </c>
      <c r="P4191" s="49" t="s">
        <v>4910</v>
      </c>
      <c r="Q4191" s="35" t="str">
        <f>MID(Tabla1[[#This Row],[Aplicación]],14,1)</f>
        <v>2</v>
      </c>
      <c r="R4191" s="35" t="s">
        <v>495</v>
      </c>
      <c r="S4191" s="35" t="str">
        <f>MID(Tabla1[[#This Row],[Aplicación]],6,2)</f>
        <v>10</v>
      </c>
      <c r="T4191" s="35" t="str">
        <f>VLOOKUP(Tabla1[[#This Row],[AREA]],Hoja1!A:B,2,FALSE)</f>
        <v>10. Servicios sociales y mediación comunitaria</v>
      </c>
      <c r="U4191" s="35" t="str">
        <f>MID(Tabla1[[#This Row],[Aplicación]],9,4)</f>
        <v>2312</v>
      </c>
      <c r="V4191" s="35" t="str">
        <f>VLOOKUP(Tabla1[[#This Row],[PROGRAMA]],Hoja1!A:B,2,FALSE)</f>
        <v>2312. Iniciativas sociales</v>
      </c>
      <c r="W4191" s="35" t="str">
        <f>MID(Tabla1[[#This Row],[Aplicación]],14,2)</f>
        <v>22</v>
      </c>
      <c r="X4191" s="35" t="str">
        <f>MID(Tabla1[[#This Row],[Aplicación]],14,6)</f>
        <v>22799</v>
      </c>
    </row>
    <row r="4192" spans="1:24" x14ac:dyDescent="0.25">
      <c r="A4192" s="45">
        <v>220210043795</v>
      </c>
      <c r="B4192" s="46" t="s">
        <v>204</v>
      </c>
      <c r="C4192" s="47">
        <v>44404</v>
      </c>
      <c r="D4192" s="45">
        <v>22021003337</v>
      </c>
      <c r="E4192" s="46" t="s">
        <v>1286</v>
      </c>
      <c r="F4192" s="48">
        <v>4742.75</v>
      </c>
      <c r="G4192" s="46" t="s">
        <v>5834</v>
      </c>
      <c r="H4192" s="46" t="s">
        <v>5835</v>
      </c>
      <c r="I4192" s="45" t="s">
        <v>205</v>
      </c>
      <c r="J4192" s="46" t="s">
        <v>5836</v>
      </c>
      <c r="K4192" s="46" t="s">
        <v>5836</v>
      </c>
      <c r="L4192" s="46" t="s">
        <v>15</v>
      </c>
      <c r="M4192" s="46" t="s">
        <v>13</v>
      </c>
      <c r="N4192" s="46" t="s">
        <v>16</v>
      </c>
      <c r="O4192" s="49" t="s">
        <v>803</v>
      </c>
      <c r="P4192" s="49" t="s">
        <v>4910</v>
      </c>
      <c r="Q4192" s="35" t="str">
        <f>MID(Tabla1[[#This Row],[Aplicación]],14,1)</f>
        <v>6</v>
      </c>
      <c r="R4192" s="35" t="s">
        <v>496</v>
      </c>
      <c r="S4192" s="35" t="str">
        <f>MID(Tabla1[[#This Row],[Aplicación]],6,2)</f>
        <v>04</v>
      </c>
      <c r="T4192" s="35" t="str">
        <f>VLOOKUP(Tabla1[[#This Row],[AREA]],Hoja1!A:B,2,FALSE)</f>
        <v>04. Planificación y recursos</v>
      </c>
      <c r="U4192" s="35" t="str">
        <f>MID(Tabla1[[#This Row],[Aplicación]],9,4)</f>
        <v>9204</v>
      </c>
      <c r="V4192" s="35" t="str">
        <f>VLOOKUP(Tabla1[[#This Row],[PROGRAMA]],Hoja1!A:B,2,FALSE)</f>
        <v>9204. Tecnologías de la información y comunicación</v>
      </c>
      <c r="W4192" s="35" t="str">
        <f>MID(Tabla1[[#This Row],[Aplicación]],14,2)</f>
        <v>64</v>
      </c>
      <c r="X4192" s="35" t="str">
        <f>MID(Tabla1[[#This Row],[Aplicación]],14,6)</f>
        <v>641</v>
      </c>
    </row>
    <row r="4193" spans="1:24" x14ac:dyDescent="0.25">
      <c r="A4193" s="45">
        <v>220210048540</v>
      </c>
      <c r="B4193" s="46" t="s">
        <v>2924</v>
      </c>
      <c r="C4193" s="47">
        <v>44428</v>
      </c>
      <c r="D4193" s="45">
        <v>22021000470</v>
      </c>
      <c r="E4193" s="46" t="s">
        <v>941</v>
      </c>
      <c r="F4193" s="48">
        <v>-38.119999999999997</v>
      </c>
      <c r="G4193" s="46" t="s">
        <v>78</v>
      </c>
      <c r="H4193" s="46" t="s">
        <v>5837</v>
      </c>
      <c r="I4193" s="45" t="s">
        <v>2926</v>
      </c>
      <c r="J4193" s="46" t="s">
        <v>694</v>
      </c>
      <c r="K4193" s="46" t="s">
        <v>187</v>
      </c>
      <c r="L4193" s="46" t="s">
        <v>12</v>
      </c>
      <c r="M4193" s="46" t="s">
        <v>13</v>
      </c>
      <c r="N4193" s="46" t="s">
        <v>16</v>
      </c>
      <c r="O4193" s="49" t="s">
        <v>803</v>
      </c>
      <c r="P4193" s="49" t="s">
        <v>4910</v>
      </c>
      <c r="Q4193" s="35" t="str">
        <f>MID(Tabla1[[#This Row],[Aplicación]],14,1)</f>
        <v>2</v>
      </c>
      <c r="R4193" s="35" t="s">
        <v>495</v>
      </c>
      <c r="S4193" s="35" t="str">
        <f>MID(Tabla1[[#This Row],[Aplicación]],6,2)</f>
        <v>06</v>
      </c>
      <c r="T4193" s="35" t="str">
        <f>VLOOKUP(Tabla1[[#This Row],[AREA]],Hoja1!A:B,2,FALSE)</f>
        <v>06. Educación, infancia, juventud e igualdad</v>
      </c>
      <c r="U4193" s="35" t="str">
        <f>MID(Tabla1[[#This Row],[Aplicación]],9,4)</f>
        <v>3232</v>
      </c>
      <c r="V4193" s="35" t="str">
        <f>VLOOKUP(Tabla1[[#This Row],[PROGRAMA]],Hoja1!A:B,2,FALSE)</f>
        <v>3232. Conservación y mantenimiento centros educación infantil y primaria</v>
      </c>
      <c r="W4193" s="35" t="str">
        <f>MID(Tabla1[[#This Row],[Aplicación]],14,2)</f>
        <v>21</v>
      </c>
      <c r="X4193" s="35" t="str">
        <f>MID(Tabla1[[#This Row],[Aplicación]],14,6)</f>
        <v>213</v>
      </c>
    </row>
    <row r="4194" spans="1:24" x14ac:dyDescent="0.25">
      <c r="A4194" s="45">
        <v>220210048538</v>
      </c>
      <c r="B4194" s="46" t="s">
        <v>2924</v>
      </c>
      <c r="C4194" s="47">
        <v>44428</v>
      </c>
      <c r="D4194" s="45">
        <v>22021000470</v>
      </c>
      <c r="E4194" s="46" t="s">
        <v>941</v>
      </c>
      <c r="F4194" s="48">
        <v>-38.11</v>
      </c>
      <c r="G4194" s="46" t="s">
        <v>78</v>
      </c>
      <c r="H4194" s="46" t="s">
        <v>5837</v>
      </c>
      <c r="I4194" s="45" t="s">
        <v>2926</v>
      </c>
      <c r="J4194" s="46" t="s">
        <v>694</v>
      </c>
      <c r="K4194" s="46" t="s">
        <v>187</v>
      </c>
      <c r="L4194" s="46" t="s">
        <v>12</v>
      </c>
      <c r="M4194" s="46" t="s">
        <v>13</v>
      </c>
      <c r="N4194" s="46" t="s">
        <v>16</v>
      </c>
      <c r="O4194" s="49" t="s">
        <v>803</v>
      </c>
      <c r="P4194" s="49" t="s">
        <v>4910</v>
      </c>
      <c r="Q4194" s="35" t="str">
        <f>MID(Tabla1[[#This Row],[Aplicación]],14,1)</f>
        <v>2</v>
      </c>
      <c r="R4194" s="35" t="s">
        <v>495</v>
      </c>
      <c r="S4194" s="35" t="str">
        <f>MID(Tabla1[[#This Row],[Aplicación]],6,2)</f>
        <v>06</v>
      </c>
      <c r="T4194" s="35" t="str">
        <f>VLOOKUP(Tabla1[[#This Row],[AREA]],Hoja1!A:B,2,FALSE)</f>
        <v>06. Educación, infancia, juventud e igualdad</v>
      </c>
      <c r="U4194" s="35" t="str">
        <f>MID(Tabla1[[#This Row],[Aplicación]],9,4)</f>
        <v>3232</v>
      </c>
      <c r="V4194" s="35" t="str">
        <f>VLOOKUP(Tabla1[[#This Row],[PROGRAMA]],Hoja1!A:B,2,FALSE)</f>
        <v>3232. Conservación y mantenimiento centros educación infantil y primaria</v>
      </c>
      <c r="W4194" s="35" t="str">
        <f>MID(Tabla1[[#This Row],[Aplicación]],14,2)</f>
        <v>21</v>
      </c>
      <c r="X4194" s="35" t="str">
        <f>MID(Tabla1[[#This Row],[Aplicación]],14,6)</f>
        <v>213</v>
      </c>
    </row>
    <row r="4195" spans="1:24" x14ac:dyDescent="0.25">
      <c r="A4195" s="45">
        <v>220210045558</v>
      </c>
      <c r="B4195" s="46" t="s">
        <v>9</v>
      </c>
      <c r="C4195" s="47">
        <v>44414</v>
      </c>
      <c r="D4195" s="45">
        <v>22021005997</v>
      </c>
      <c r="E4195" s="46" t="s">
        <v>1478</v>
      </c>
      <c r="F4195" s="48">
        <v>2662</v>
      </c>
      <c r="G4195" s="46" t="s">
        <v>5838</v>
      </c>
      <c r="H4195" s="46" t="s">
        <v>5839</v>
      </c>
      <c r="I4195" s="45" t="s">
        <v>125</v>
      </c>
      <c r="J4195" s="46" t="s">
        <v>127</v>
      </c>
      <c r="K4195" s="46" t="s">
        <v>127</v>
      </c>
      <c r="L4195" s="46" t="s">
        <v>15</v>
      </c>
      <c r="M4195" s="46" t="s">
        <v>10</v>
      </c>
      <c r="N4195" s="46" t="s">
        <v>11</v>
      </c>
      <c r="O4195" s="49" t="s">
        <v>815</v>
      </c>
      <c r="P4195" s="49" t="s">
        <v>4910</v>
      </c>
      <c r="Q4195" s="35" t="str">
        <f>MID(Tabla1[[#This Row],[Aplicación]],14,1)</f>
        <v>2</v>
      </c>
      <c r="R4195" s="35" t="s">
        <v>495</v>
      </c>
      <c r="S4195" s="35" t="str">
        <f>MID(Tabla1[[#This Row],[Aplicación]],6,2)</f>
        <v>03</v>
      </c>
      <c r="T4195" s="35" t="str">
        <f>VLOOKUP(Tabla1[[#This Row],[AREA]],Hoja1!A:B,2,FALSE)</f>
        <v>03. Participación ciudadana y deportes</v>
      </c>
      <c r="U4195" s="35" t="str">
        <f>MID(Tabla1[[#This Row],[Aplicación]],9,4)</f>
        <v>9241</v>
      </c>
      <c r="V4195" s="35" t="str">
        <f>VLOOKUP(Tabla1[[#This Row],[PROGRAMA]],Hoja1!A:B,2,FALSE)</f>
        <v>9241. Participación ciudadana</v>
      </c>
      <c r="W4195" s="35" t="str">
        <f>MID(Tabla1[[#This Row],[Aplicación]],14,2)</f>
        <v>21</v>
      </c>
      <c r="X4195" s="35" t="str">
        <f>MID(Tabla1[[#This Row],[Aplicación]],14,6)</f>
        <v>212</v>
      </c>
    </row>
    <row r="4196" spans="1:24" x14ac:dyDescent="0.25">
      <c r="A4196" s="45">
        <v>220210039533</v>
      </c>
      <c r="B4196" s="46" t="s">
        <v>9</v>
      </c>
      <c r="C4196" s="47">
        <v>44393</v>
      </c>
      <c r="D4196" s="45">
        <v>22021005743</v>
      </c>
      <c r="E4196" s="46" t="s">
        <v>2849</v>
      </c>
      <c r="F4196" s="48">
        <v>3000</v>
      </c>
      <c r="G4196" s="46" t="s">
        <v>590</v>
      </c>
      <c r="H4196" s="46" t="s">
        <v>5840</v>
      </c>
      <c r="I4196" s="45" t="s">
        <v>125</v>
      </c>
      <c r="J4196" s="46" t="s">
        <v>127</v>
      </c>
      <c r="K4196" s="46" t="s">
        <v>127</v>
      </c>
      <c r="L4196" s="46" t="s">
        <v>12</v>
      </c>
      <c r="M4196" s="46" t="s">
        <v>13</v>
      </c>
      <c r="N4196" s="46" t="s">
        <v>14</v>
      </c>
      <c r="O4196" s="49" t="s">
        <v>814</v>
      </c>
      <c r="P4196" s="49" t="s">
        <v>4910</v>
      </c>
      <c r="Q4196" s="35" t="str">
        <f>MID(Tabla1[[#This Row],[Aplicación]],14,1)</f>
        <v>2</v>
      </c>
      <c r="R4196" s="35" t="s">
        <v>495</v>
      </c>
      <c r="S4196" s="35" t="str">
        <f>MID(Tabla1[[#This Row],[Aplicación]],6,2)</f>
        <v>03</v>
      </c>
      <c r="T4196" s="35" t="str">
        <f>VLOOKUP(Tabla1[[#This Row],[AREA]],Hoja1!A:B,2,FALSE)</f>
        <v>03. Participación ciudadana y deportes</v>
      </c>
      <c r="U4196" s="35" t="str">
        <f>MID(Tabla1[[#This Row],[Aplicación]],9,4)</f>
        <v>9200</v>
      </c>
      <c r="V4196" s="35" t="str">
        <f>VLOOKUP(Tabla1[[#This Row],[PROGRAMA]],Hoja1!A:B,2,FALSE)</f>
        <v>9200. Dirección del area de participación ciudadana</v>
      </c>
      <c r="W4196" s="35" t="str">
        <f>MID(Tabla1[[#This Row],[Aplicación]],14,2)</f>
        <v>22</v>
      </c>
      <c r="X4196" s="35" t="str">
        <f>MID(Tabla1[[#This Row],[Aplicación]],14,6)</f>
        <v>22602</v>
      </c>
    </row>
    <row r="4197" spans="1:24" x14ac:dyDescent="0.25">
      <c r="A4197" s="45">
        <v>220210036487</v>
      </c>
      <c r="B4197" s="46" t="s">
        <v>9</v>
      </c>
      <c r="C4197" s="47">
        <v>44384</v>
      </c>
      <c r="D4197" s="45">
        <v>22021005003</v>
      </c>
      <c r="E4197" s="46" t="s">
        <v>1964</v>
      </c>
      <c r="F4197" s="48">
        <v>551528.84</v>
      </c>
      <c r="G4197" s="46" t="s">
        <v>172</v>
      </c>
      <c r="H4197" s="46" t="s">
        <v>5841</v>
      </c>
      <c r="I4197" s="45" t="s">
        <v>125</v>
      </c>
      <c r="J4197" s="46" t="s">
        <v>127</v>
      </c>
      <c r="K4197" s="46" t="s">
        <v>127</v>
      </c>
      <c r="L4197" s="46" t="s">
        <v>12</v>
      </c>
      <c r="M4197" s="46" t="s">
        <v>13</v>
      </c>
      <c r="N4197" s="46" t="s">
        <v>14</v>
      </c>
      <c r="O4197" s="49" t="s">
        <v>803</v>
      </c>
      <c r="P4197" s="49" t="s">
        <v>4910</v>
      </c>
      <c r="Q4197" s="35" t="str">
        <f>MID(Tabla1[[#This Row],[Aplicación]],14,1)</f>
        <v>2</v>
      </c>
      <c r="R4197" s="35" t="s">
        <v>495</v>
      </c>
      <c r="S4197" s="35" t="str">
        <f>MID(Tabla1[[#This Row],[Aplicación]],6,2)</f>
        <v>04</v>
      </c>
      <c r="T4197" s="35" t="str">
        <f>VLOOKUP(Tabla1[[#This Row],[AREA]],Hoja1!A:B,2,FALSE)</f>
        <v>04. Planificación y recursos</v>
      </c>
      <c r="U4197" s="35" t="str">
        <f>MID(Tabla1[[#This Row],[Aplicación]],9,4)</f>
        <v>9231</v>
      </c>
      <c r="V4197" s="35" t="str">
        <f>VLOOKUP(Tabla1[[#This Row],[PROGRAMA]],Hoja1!A:B,2,FALSE)</f>
        <v>9231. Información, registro y gestión del padrón</v>
      </c>
      <c r="W4197" s="35" t="str">
        <f>MID(Tabla1[[#This Row],[Aplicación]],14,2)</f>
        <v>22</v>
      </c>
      <c r="X4197" s="35" t="str">
        <f>MID(Tabla1[[#This Row],[Aplicación]],14,6)</f>
        <v>22200</v>
      </c>
    </row>
    <row r="4198" spans="1:24" x14ac:dyDescent="0.25">
      <c r="A4198" s="45">
        <v>220210039701</v>
      </c>
      <c r="B4198" s="46" t="s">
        <v>9</v>
      </c>
      <c r="C4198" s="47">
        <v>44393</v>
      </c>
      <c r="D4198" s="45">
        <v>22021005767</v>
      </c>
      <c r="E4198" s="46" t="s">
        <v>1564</v>
      </c>
      <c r="F4198" s="48">
        <v>4500</v>
      </c>
      <c r="G4198" s="46" t="s">
        <v>39</v>
      </c>
      <c r="H4198" s="46" t="s">
        <v>5842</v>
      </c>
      <c r="I4198" s="45" t="s">
        <v>125</v>
      </c>
      <c r="J4198" s="46" t="s">
        <v>126</v>
      </c>
      <c r="K4198" s="46" t="s">
        <v>126</v>
      </c>
      <c r="L4198" s="46" t="s">
        <v>15</v>
      </c>
      <c r="M4198" s="46" t="s">
        <v>10</v>
      </c>
      <c r="N4198" s="46" t="s">
        <v>11</v>
      </c>
      <c r="O4198" s="49" t="s">
        <v>815</v>
      </c>
      <c r="P4198" s="49" t="s">
        <v>4910</v>
      </c>
      <c r="Q4198" s="35" t="str">
        <f>MID(Tabla1[[#This Row],[Aplicación]],14,1)</f>
        <v>2</v>
      </c>
      <c r="R4198" s="35" t="s">
        <v>495</v>
      </c>
      <c r="S4198" s="35" t="str">
        <f>MID(Tabla1[[#This Row],[Aplicación]],6,2)</f>
        <v>08</v>
      </c>
      <c r="T4198" s="35" t="str">
        <f>VLOOKUP(Tabla1[[#This Row],[AREA]],Hoja1!A:B,2,FALSE)</f>
        <v>08. Movilidad y espacio urbano</v>
      </c>
      <c r="U4198" s="35" t="str">
        <f>MID(Tabla1[[#This Row],[Aplicación]],9,4)</f>
        <v>1532</v>
      </c>
      <c r="V4198" s="35" t="str">
        <f>VLOOKUP(Tabla1[[#This Row],[PROGRAMA]],Hoja1!A:B,2,FALSE)</f>
        <v>1532. Pavimentación vias públicas y otros servicios urbanísticos</v>
      </c>
      <c r="W4198" s="35" t="str">
        <f>MID(Tabla1[[#This Row],[Aplicación]],14,2)</f>
        <v>22</v>
      </c>
      <c r="X4198" s="35" t="str">
        <f>MID(Tabla1[[#This Row],[Aplicación]],14,6)</f>
        <v>22103</v>
      </c>
    </row>
    <row r="4199" spans="1:24" x14ac:dyDescent="0.25">
      <c r="A4199" s="45">
        <v>220210048530</v>
      </c>
      <c r="B4199" s="46" t="s">
        <v>9</v>
      </c>
      <c r="C4199" s="47">
        <v>44428</v>
      </c>
      <c r="D4199" s="45">
        <v>22021006152</v>
      </c>
      <c r="E4199" s="46" t="s">
        <v>1487</v>
      </c>
      <c r="F4199" s="48">
        <v>33.67</v>
      </c>
      <c r="G4199" s="46" t="s">
        <v>2262</v>
      </c>
      <c r="H4199" s="46" t="s">
        <v>5843</v>
      </c>
      <c r="I4199" s="45" t="s">
        <v>125</v>
      </c>
      <c r="J4199" s="46" t="s">
        <v>127</v>
      </c>
      <c r="K4199" s="46" t="s">
        <v>127</v>
      </c>
      <c r="L4199" s="46" t="s">
        <v>12</v>
      </c>
      <c r="M4199" s="46" t="s">
        <v>13</v>
      </c>
      <c r="N4199" s="46" t="s">
        <v>11</v>
      </c>
      <c r="O4199" s="49" t="s">
        <v>803</v>
      </c>
      <c r="P4199" s="49" t="s">
        <v>4910</v>
      </c>
      <c r="Q4199" s="35" t="str">
        <f>MID(Tabla1[[#This Row],[Aplicación]],14,1)</f>
        <v>6</v>
      </c>
      <c r="R4199" s="35" t="s">
        <v>496</v>
      </c>
      <c r="S4199" s="35" t="str">
        <f>MID(Tabla1[[#This Row],[Aplicación]],6,2)</f>
        <v>08</v>
      </c>
      <c r="T4199" s="35" t="str">
        <f>VLOOKUP(Tabla1[[#This Row],[AREA]],Hoja1!A:B,2,FALSE)</f>
        <v>08. Movilidad y espacio urbano</v>
      </c>
      <c r="U4199" s="35" t="str">
        <f>MID(Tabla1[[#This Row],[Aplicación]],9,4)</f>
        <v>1532</v>
      </c>
      <c r="V4199" s="35" t="str">
        <f>VLOOKUP(Tabla1[[#This Row],[PROGRAMA]],Hoja1!A:B,2,FALSE)</f>
        <v>1532. Pavimentación vias públicas y otros servicios urbanísticos</v>
      </c>
      <c r="W4199" s="35" t="str">
        <f>MID(Tabla1[[#This Row],[Aplicación]],14,2)</f>
        <v>61</v>
      </c>
      <c r="X4199" s="35" t="str">
        <f>MID(Tabla1[[#This Row],[Aplicación]],14,6)</f>
        <v>619</v>
      </c>
    </row>
    <row r="4200" spans="1:24" x14ac:dyDescent="0.25">
      <c r="A4200" s="45">
        <v>220210042191</v>
      </c>
      <c r="B4200" s="46" t="s">
        <v>9</v>
      </c>
      <c r="C4200" s="47">
        <v>44400</v>
      </c>
      <c r="D4200" s="45">
        <v>22021005529</v>
      </c>
      <c r="E4200" s="46" t="s">
        <v>1251</v>
      </c>
      <c r="F4200" s="48">
        <v>2400</v>
      </c>
      <c r="G4200" s="46" t="s">
        <v>2571</v>
      </c>
      <c r="H4200" s="46" t="s">
        <v>5844</v>
      </c>
      <c r="I4200" s="45" t="s">
        <v>125</v>
      </c>
      <c r="J4200" s="46" t="s">
        <v>613</v>
      </c>
      <c r="K4200" s="46" t="s">
        <v>127</v>
      </c>
      <c r="L4200" s="46" t="s">
        <v>12</v>
      </c>
      <c r="M4200" s="46" t="s">
        <v>10</v>
      </c>
      <c r="N4200" s="46" t="s">
        <v>11</v>
      </c>
      <c r="O4200" s="49" t="s">
        <v>815</v>
      </c>
      <c r="P4200" s="49" t="s">
        <v>4910</v>
      </c>
      <c r="Q4200" s="35" t="str">
        <f>MID(Tabla1[[#This Row],[Aplicación]],14,1)</f>
        <v>2</v>
      </c>
      <c r="R4200" s="35" t="s">
        <v>495</v>
      </c>
      <c r="S4200" s="35" t="str">
        <f>MID(Tabla1[[#This Row],[Aplicación]],6,2)</f>
        <v>09</v>
      </c>
      <c r="T4200" s="35" t="str">
        <f>VLOOKUP(Tabla1[[#This Row],[AREA]],Hoja1!A:B,2,FALSE)</f>
        <v>09. Cultura y turismo</v>
      </c>
      <c r="U4200" s="35" t="str">
        <f>MID(Tabla1[[#This Row],[Aplicación]],9,4)</f>
        <v>3301</v>
      </c>
      <c r="V4200" s="35" t="str">
        <f>VLOOKUP(Tabla1[[#This Row],[PROGRAMA]],Hoja1!A:B,2,FALSE)</f>
        <v>3301. Dirección del área de cultura</v>
      </c>
      <c r="W4200" s="35" t="str">
        <f>MID(Tabla1[[#This Row],[Aplicación]],14,2)</f>
        <v>22</v>
      </c>
      <c r="X4200" s="35" t="str">
        <f>MID(Tabla1[[#This Row],[Aplicación]],14,6)</f>
        <v>22799</v>
      </c>
    </row>
    <row r="4201" spans="1:24" x14ac:dyDescent="0.25">
      <c r="A4201" s="45">
        <v>220210044276</v>
      </c>
      <c r="B4201" s="46" t="s">
        <v>9</v>
      </c>
      <c r="C4201" s="47">
        <v>44406</v>
      </c>
      <c r="D4201" s="45">
        <v>22021005915</v>
      </c>
      <c r="E4201" s="46" t="s">
        <v>1251</v>
      </c>
      <c r="F4201" s="48">
        <v>20</v>
      </c>
      <c r="G4201" s="46" t="s">
        <v>2571</v>
      </c>
      <c r="H4201" s="46" t="s">
        <v>5845</v>
      </c>
      <c r="I4201" s="45" t="s">
        <v>125</v>
      </c>
      <c r="J4201" s="46" t="s">
        <v>613</v>
      </c>
      <c r="K4201" s="46" t="s">
        <v>127</v>
      </c>
      <c r="L4201" s="46" t="s">
        <v>12</v>
      </c>
      <c r="M4201" s="46" t="s">
        <v>10</v>
      </c>
      <c r="N4201" s="46" t="s">
        <v>11</v>
      </c>
      <c r="O4201" s="49" t="s">
        <v>815</v>
      </c>
      <c r="P4201" s="49" t="s">
        <v>4910</v>
      </c>
      <c r="Q4201" s="35" t="str">
        <f>MID(Tabla1[[#This Row],[Aplicación]],14,1)</f>
        <v>2</v>
      </c>
      <c r="R4201" s="35" t="s">
        <v>495</v>
      </c>
      <c r="S4201" s="35" t="str">
        <f>MID(Tabla1[[#This Row],[Aplicación]],6,2)</f>
        <v>09</v>
      </c>
      <c r="T4201" s="35" t="str">
        <f>VLOOKUP(Tabla1[[#This Row],[AREA]],Hoja1!A:B,2,FALSE)</f>
        <v>09. Cultura y turismo</v>
      </c>
      <c r="U4201" s="35" t="str">
        <f>MID(Tabla1[[#This Row],[Aplicación]],9,4)</f>
        <v>3301</v>
      </c>
      <c r="V4201" s="35" t="str">
        <f>VLOOKUP(Tabla1[[#This Row],[PROGRAMA]],Hoja1!A:B,2,FALSE)</f>
        <v>3301. Dirección del área de cultura</v>
      </c>
      <c r="W4201" s="35" t="str">
        <f>MID(Tabla1[[#This Row],[Aplicación]],14,2)</f>
        <v>22</v>
      </c>
      <c r="X4201" s="35" t="str">
        <f>MID(Tabla1[[#This Row],[Aplicación]],14,6)</f>
        <v>22799</v>
      </c>
    </row>
    <row r="4202" spans="1:24" x14ac:dyDescent="0.25">
      <c r="A4202" s="45">
        <v>220210041809</v>
      </c>
      <c r="B4202" s="46" t="s">
        <v>204</v>
      </c>
      <c r="C4202" s="47">
        <v>44399</v>
      </c>
      <c r="D4202" s="45">
        <v>22021002088</v>
      </c>
      <c r="E4202" s="46" t="s">
        <v>1478</v>
      </c>
      <c r="F4202" s="48">
        <v>656.2</v>
      </c>
      <c r="G4202" s="46" t="s">
        <v>235</v>
      </c>
      <c r="H4202" s="46" t="s">
        <v>5846</v>
      </c>
      <c r="I4202" s="45" t="s">
        <v>205</v>
      </c>
      <c r="J4202" s="46" t="s">
        <v>742</v>
      </c>
      <c r="K4202" s="46" t="s">
        <v>165</v>
      </c>
      <c r="L4202" s="46" t="s">
        <v>15</v>
      </c>
      <c r="M4202" s="46" t="s">
        <v>13</v>
      </c>
      <c r="N4202" s="46" t="s">
        <v>16</v>
      </c>
      <c r="O4202" s="49" t="s">
        <v>814</v>
      </c>
      <c r="P4202" s="49" t="s">
        <v>4910</v>
      </c>
      <c r="Q4202" s="35" t="str">
        <f>MID(Tabla1[[#This Row],[Aplicación]],14,1)</f>
        <v>2</v>
      </c>
      <c r="R4202" s="35" t="s">
        <v>495</v>
      </c>
      <c r="S4202" s="35" t="str">
        <f>MID(Tabla1[[#This Row],[Aplicación]],6,2)</f>
        <v>03</v>
      </c>
      <c r="T4202" s="35" t="str">
        <f>VLOOKUP(Tabla1[[#This Row],[AREA]],Hoja1!A:B,2,FALSE)</f>
        <v>03. Participación ciudadana y deportes</v>
      </c>
      <c r="U4202" s="35" t="str">
        <f>MID(Tabla1[[#This Row],[Aplicación]],9,4)</f>
        <v>9241</v>
      </c>
      <c r="V4202" s="35" t="str">
        <f>VLOOKUP(Tabla1[[#This Row],[PROGRAMA]],Hoja1!A:B,2,FALSE)</f>
        <v>9241. Participación ciudadana</v>
      </c>
      <c r="W4202" s="35" t="str">
        <f>MID(Tabla1[[#This Row],[Aplicación]],14,2)</f>
        <v>21</v>
      </c>
      <c r="X4202" s="35" t="str">
        <f>MID(Tabla1[[#This Row],[Aplicación]],14,6)</f>
        <v>212</v>
      </c>
    </row>
    <row r="4203" spans="1:24" x14ac:dyDescent="0.25">
      <c r="A4203" s="45">
        <v>220210036406</v>
      </c>
      <c r="B4203" s="46" t="s">
        <v>204</v>
      </c>
      <c r="C4203" s="47">
        <v>44384</v>
      </c>
      <c r="D4203" s="45">
        <v>22021002228</v>
      </c>
      <c r="E4203" s="46" t="s">
        <v>1471</v>
      </c>
      <c r="F4203" s="48">
        <v>497.7</v>
      </c>
      <c r="G4203" s="46" t="s">
        <v>235</v>
      </c>
      <c r="H4203" s="46" t="s">
        <v>5847</v>
      </c>
      <c r="I4203" s="45" t="s">
        <v>205</v>
      </c>
      <c r="J4203" s="46" t="s">
        <v>742</v>
      </c>
      <c r="K4203" s="46" t="s">
        <v>165</v>
      </c>
      <c r="L4203" s="46" t="s">
        <v>15</v>
      </c>
      <c r="M4203" s="46" t="s">
        <v>13</v>
      </c>
      <c r="N4203" s="46" t="s">
        <v>16</v>
      </c>
      <c r="O4203" s="49" t="s">
        <v>814</v>
      </c>
      <c r="P4203" s="49" t="s">
        <v>4910</v>
      </c>
      <c r="Q4203" s="35" t="str">
        <f>MID(Tabla1[[#This Row],[Aplicación]],14,1)</f>
        <v>2</v>
      </c>
      <c r="R4203" s="35" t="s">
        <v>495</v>
      </c>
      <c r="S4203" s="35" t="str">
        <f>MID(Tabla1[[#This Row],[Aplicación]],6,2)</f>
        <v>06</v>
      </c>
      <c r="T4203" s="35" t="str">
        <f>VLOOKUP(Tabla1[[#This Row],[AREA]],Hoja1!A:B,2,FALSE)</f>
        <v>06. Educación, infancia, juventud e igualdad</v>
      </c>
      <c r="U4203" s="35" t="str">
        <f>MID(Tabla1[[#This Row],[Aplicación]],9,4)</f>
        <v>3232</v>
      </c>
      <c r="V4203" s="35" t="str">
        <f>VLOOKUP(Tabla1[[#This Row],[PROGRAMA]],Hoja1!A:B,2,FALSE)</f>
        <v>3232. Conservación y mantenimiento centros educación infantil y primaria</v>
      </c>
      <c r="W4203" s="35" t="str">
        <f>MID(Tabla1[[#This Row],[Aplicación]],14,2)</f>
        <v>21</v>
      </c>
      <c r="X4203" s="35" t="str">
        <f>MID(Tabla1[[#This Row],[Aplicación]],14,6)</f>
        <v>212</v>
      </c>
    </row>
    <row r="4204" spans="1:24" x14ac:dyDescent="0.25">
      <c r="A4204" s="45">
        <v>220210040910</v>
      </c>
      <c r="B4204" s="46" t="s">
        <v>204</v>
      </c>
      <c r="C4204" s="47">
        <v>44397</v>
      </c>
      <c r="D4204" s="45">
        <v>22021002369</v>
      </c>
      <c r="E4204" s="46" t="s">
        <v>1336</v>
      </c>
      <c r="F4204" s="48">
        <v>328.06</v>
      </c>
      <c r="G4204" s="46" t="s">
        <v>235</v>
      </c>
      <c r="H4204" s="46" t="s">
        <v>5848</v>
      </c>
      <c r="I4204" s="45" t="s">
        <v>205</v>
      </c>
      <c r="J4204" s="46" t="s">
        <v>742</v>
      </c>
      <c r="K4204" s="46" t="s">
        <v>165</v>
      </c>
      <c r="L4204" s="46" t="s">
        <v>15</v>
      </c>
      <c r="M4204" s="46" t="s">
        <v>13</v>
      </c>
      <c r="N4204" s="46" t="s">
        <v>14</v>
      </c>
      <c r="O4204" s="49" t="s">
        <v>814</v>
      </c>
      <c r="P4204" s="49" t="s">
        <v>4910</v>
      </c>
      <c r="Q4204" s="35" t="str">
        <f>MID(Tabla1[[#This Row],[Aplicación]],14,1)</f>
        <v>2</v>
      </c>
      <c r="R4204" s="35" t="s">
        <v>495</v>
      </c>
      <c r="S4204" s="35" t="str">
        <f>MID(Tabla1[[#This Row],[Aplicación]],6,2)</f>
        <v>02</v>
      </c>
      <c r="T4204" s="35" t="str">
        <f>VLOOKUP(Tabla1[[#This Row],[AREA]],Hoja1!A:B,2,FALSE)</f>
        <v>02. Planeamiento urbanístico y vivienda</v>
      </c>
      <c r="U4204" s="35" t="str">
        <f>MID(Tabla1[[#This Row],[Aplicación]],9,4)</f>
        <v>9332</v>
      </c>
      <c r="V4204" s="35" t="str">
        <f>VLOOKUP(Tabla1[[#This Row],[PROGRAMA]],Hoja1!A:B,2,FALSE)</f>
        <v>9332. Mantenimiento de edificios e instalaciones municipales</v>
      </c>
      <c r="W4204" s="35" t="str">
        <f>MID(Tabla1[[#This Row],[Aplicación]],14,2)</f>
        <v>21</v>
      </c>
      <c r="X4204" s="35" t="str">
        <f>MID(Tabla1[[#This Row],[Aplicación]],14,6)</f>
        <v>212</v>
      </c>
    </row>
    <row r="4205" spans="1:24" x14ac:dyDescent="0.25">
      <c r="A4205" s="45">
        <v>220210036777</v>
      </c>
      <c r="B4205" s="46" t="s">
        <v>204</v>
      </c>
      <c r="C4205" s="47">
        <v>44386</v>
      </c>
      <c r="D4205" s="45">
        <v>22021001968</v>
      </c>
      <c r="E4205" s="46" t="s">
        <v>1388</v>
      </c>
      <c r="F4205" s="48">
        <v>260.88</v>
      </c>
      <c r="G4205" s="46" t="s">
        <v>235</v>
      </c>
      <c r="H4205" s="46" t="s">
        <v>5849</v>
      </c>
      <c r="I4205" s="45" t="s">
        <v>205</v>
      </c>
      <c r="J4205" s="46" t="s">
        <v>742</v>
      </c>
      <c r="K4205" s="46" t="s">
        <v>165</v>
      </c>
      <c r="L4205" s="46" t="s">
        <v>15</v>
      </c>
      <c r="M4205" s="46" t="s">
        <v>13</v>
      </c>
      <c r="N4205" s="46" t="s">
        <v>14</v>
      </c>
      <c r="O4205" s="49" t="s">
        <v>814</v>
      </c>
      <c r="P4205" s="49" t="s">
        <v>4910</v>
      </c>
      <c r="Q4205" s="35" t="str">
        <f>MID(Tabla1[[#This Row],[Aplicación]],14,1)</f>
        <v>2</v>
      </c>
      <c r="R4205" s="35" t="s">
        <v>495</v>
      </c>
      <c r="S4205" s="35" t="str">
        <f>MID(Tabla1[[#This Row],[Aplicación]],6,2)</f>
        <v>11</v>
      </c>
      <c r="T4205" s="35" t="str">
        <f>VLOOKUP(Tabla1[[#This Row],[AREA]],Hoja1!A:B,2,FALSE)</f>
        <v>11. Salud pública y seguridad ciudadana</v>
      </c>
      <c r="U4205" s="35" t="str">
        <f>MID(Tabla1[[#This Row],[Aplicación]],9,4)</f>
        <v>1321</v>
      </c>
      <c r="V4205" s="35" t="str">
        <f>VLOOKUP(Tabla1[[#This Row],[PROGRAMA]],Hoja1!A:B,2,FALSE)</f>
        <v>1321. Policía municipal</v>
      </c>
      <c r="W4205" s="35" t="str">
        <f>MID(Tabla1[[#This Row],[Aplicación]],14,2)</f>
        <v>22</v>
      </c>
      <c r="X4205" s="35" t="str">
        <f>MID(Tabla1[[#This Row],[Aplicación]],14,6)</f>
        <v>22199</v>
      </c>
    </row>
    <row r="4206" spans="1:24" x14ac:dyDescent="0.25">
      <c r="A4206" s="45">
        <v>220210036447</v>
      </c>
      <c r="B4206" s="46" t="s">
        <v>204</v>
      </c>
      <c r="C4206" s="47">
        <v>44384</v>
      </c>
      <c r="D4206" s="45">
        <v>22021001275</v>
      </c>
      <c r="E4206" s="46" t="s">
        <v>1334</v>
      </c>
      <c r="F4206" s="48">
        <v>51.56</v>
      </c>
      <c r="G4206" s="46" t="s">
        <v>235</v>
      </c>
      <c r="H4206" s="46" t="s">
        <v>5850</v>
      </c>
      <c r="I4206" s="45" t="s">
        <v>205</v>
      </c>
      <c r="J4206" s="46" t="s">
        <v>742</v>
      </c>
      <c r="K4206" s="46" t="s">
        <v>165</v>
      </c>
      <c r="L4206" s="46" t="s">
        <v>15</v>
      </c>
      <c r="M4206" s="46" t="s">
        <v>13</v>
      </c>
      <c r="N4206" s="46" t="s">
        <v>14</v>
      </c>
      <c r="O4206" s="49" t="s">
        <v>814</v>
      </c>
      <c r="P4206" s="49" t="s">
        <v>4910</v>
      </c>
      <c r="Q4206" s="35" t="str">
        <f>MID(Tabla1[[#This Row],[Aplicación]],14,1)</f>
        <v>2</v>
      </c>
      <c r="R4206" s="35" t="s">
        <v>495</v>
      </c>
      <c r="S4206" s="35" t="str">
        <f>MID(Tabla1[[#This Row],[Aplicación]],6,2)</f>
        <v>07</v>
      </c>
      <c r="T4206" s="35" t="str">
        <f>VLOOKUP(Tabla1[[#This Row],[AREA]],Hoja1!A:B,2,FALSE)</f>
        <v>07. Medio ambiente y desarrollo sostenible</v>
      </c>
      <c r="U4206" s="35" t="str">
        <f>MID(Tabla1[[#This Row],[Aplicación]],9,4)</f>
        <v>1711</v>
      </c>
      <c r="V4206" s="35" t="str">
        <f>VLOOKUP(Tabla1[[#This Row],[PROGRAMA]],Hoja1!A:B,2,FALSE)</f>
        <v>1711. Parques y jardines</v>
      </c>
      <c r="W4206" s="35" t="str">
        <f>MID(Tabla1[[#This Row],[Aplicación]],14,2)</f>
        <v>22</v>
      </c>
      <c r="X4206" s="35" t="str">
        <f>MID(Tabla1[[#This Row],[Aplicación]],14,6)</f>
        <v>22199</v>
      </c>
    </row>
    <row r="4207" spans="1:24" x14ac:dyDescent="0.25">
      <c r="A4207" s="45">
        <v>220210044398</v>
      </c>
      <c r="B4207" s="46" t="s">
        <v>204</v>
      </c>
      <c r="C4207" s="47">
        <v>44407</v>
      </c>
      <c r="D4207" s="45">
        <v>22021002144</v>
      </c>
      <c r="E4207" s="46" t="s">
        <v>1328</v>
      </c>
      <c r="F4207" s="48">
        <v>41.73</v>
      </c>
      <c r="G4207" s="46" t="s">
        <v>235</v>
      </c>
      <c r="H4207" s="46" t="s">
        <v>5851</v>
      </c>
      <c r="I4207" s="45" t="s">
        <v>205</v>
      </c>
      <c r="J4207" s="46" t="s">
        <v>742</v>
      </c>
      <c r="K4207" s="46" t="s">
        <v>165</v>
      </c>
      <c r="L4207" s="46" t="s">
        <v>15</v>
      </c>
      <c r="M4207" s="46" t="s">
        <v>13</v>
      </c>
      <c r="N4207" s="46" t="s">
        <v>14</v>
      </c>
      <c r="O4207" s="49" t="s">
        <v>814</v>
      </c>
      <c r="P4207" s="49" t="s">
        <v>4910</v>
      </c>
      <c r="Q4207" s="35" t="str">
        <f>MID(Tabla1[[#This Row],[Aplicación]],14,1)</f>
        <v>2</v>
      </c>
      <c r="R4207" s="35" t="s">
        <v>495</v>
      </c>
      <c r="S4207" s="35" t="str">
        <f>MID(Tabla1[[#This Row],[Aplicación]],6,2)</f>
        <v>10</v>
      </c>
      <c r="T4207" s="35" t="str">
        <f>VLOOKUP(Tabla1[[#This Row],[AREA]],Hoja1!A:B,2,FALSE)</f>
        <v>10. Servicios sociales y mediación comunitaria</v>
      </c>
      <c r="U4207" s="35" t="str">
        <f>MID(Tabla1[[#This Row],[Aplicación]],9,4)</f>
        <v>2311</v>
      </c>
      <c r="V4207" s="35" t="str">
        <f>VLOOKUP(Tabla1[[#This Row],[PROGRAMA]],Hoja1!A:B,2,FALSE)</f>
        <v>2311. Intervención social</v>
      </c>
      <c r="W4207" s="35" t="str">
        <f>MID(Tabla1[[#This Row],[Aplicación]],14,2)</f>
        <v>21</v>
      </c>
      <c r="X4207" s="35" t="str">
        <f>MID(Tabla1[[#This Row],[Aplicación]],14,6)</f>
        <v>212</v>
      </c>
    </row>
    <row r="4208" spans="1:24" x14ac:dyDescent="0.25">
      <c r="A4208" s="45">
        <v>220210036819</v>
      </c>
      <c r="B4208" s="46" t="s">
        <v>204</v>
      </c>
      <c r="C4208" s="47">
        <v>44386</v>
      </c>
      <c r="D4208" s="45">
        <v>22021002052</v>
      </c>
      <c r="E4208" s="46" t="s">
        <v>1340</v>
      </c>
      <c r="F4208" s="48">
        <v>40.119999999999997</v>
      </c>
      <c r="G4208" s="46" t="s">
        <v>235</v>
      </c>
      <c r="H4208" s="46" t="s">
        <v>5852</v>
      </c>
      <c r="I4208" s="45" t="s">
        <v>205</v>
      </c>
      <c r="J4208" s="46" t="s">
        <v>742</v>
      </c>
      <c r="K4208" s="46" t="s">
        <v>165</v>
      </c>
      <c r="L4208" s="46" t="s">
        <v>15</v>
      </c>
      <c r="M4208" s="46" t="s">
        <v>13</v>
      </c>
      <c r="N4208" s="46" t="s">
        <v>14</v>
      </c>
      <c r="O4208" s="49" t="s">
        <v>814</v>
      </c>
      <c r="P4208" s="49" t="s">
        <v>4910</v>
      </c>
      <c r="Q4208" s="35" t="str">
        <f>MID(Tabla1[[#This Row],[Aplicación]],14,1)</f>
        <v>2</v>
      </c>
      <c r="R4208" s="35" t="s">
        <v>495</v>
      </c>
      <c r="S4208" s="35" t="str">
        <f>MID(Tabla1[[#This Row],[Aplicación]],6,2)</f>
        <v>11</v>
      </c>
      <c r="T4208" s="35" t="str">
        <f>VLOOKUP(Tabla1[[#This Row],[AREA]],Hoja1!A:B,2,FALSE)</f>
        <v>11. Salud pública y seguridad ciudadana</v>
      </c>
      <c r="U4208" s="35" t="str">
        <f>MID(Tabla1[[#This Row],[Aplicación]],9,4)</f>
        <v>1621</v>
      </c>
      <c r="V4208" s="35" t="str">
        <f>VLOOKUP(Tabla1[[#This Row],[PROGRAMA]],Hoja1!A:B,2,FALSE)</f>
        <v>1621. Servicio de limpieza</v>
      </c>
      <c r="W4208" s="35" t="str">
        <f>MID(Tabla1[[#This Row],[Aplicación]],14,2)</f>
        <v>22</v>
      </c>
      <c r="X4208" s="35" t="str">
        <f>MID(Tabla1[[#This Row],[Aplicación]],14,6)</f>
        <v>22199</v>
      </c>
    </row>
    <row r="4209" spans="1:24" x14ac:dyDescent="0.25">
      <c r="A4209" s="45">
        <v>220210036745</v>
      </c>
      <c r="B4209" s="46" t="s">
        <v>204</v>
      </c>
      <c r="C4209" s="47">
        <v>44386</v>
      </c>
      <c r="D4209" s="45">
        <v>22021001169</v>
      </c>
      <c r="E4209" s="46" t="s">
        <v>1319</v>
      </c>
      <c r="F4209" s="48">
        <v>35.049999999999997</v>
      </c>
      <c r="G4209" s="46" t="s">
        <v>235</v>
      </c>
      <c r="H4209" s="46" t="s">
        <v>5853</v>
      </c>
      <c r="I4209" s="45" t="s">
        <v>205</v>
      </c>
      <c r="J4209" s="46" t="s">
        <v>742</v>
      </c>
      <c r="K4209" s="46" t="s">
        <v>165</v>
      </c>
      <c r="L4209" s="46" t="s">
        <v>15</v>
      </c>
      <c r="M4209" s="46" t="s">
        <v>13</v>
      </c>
      <c r="N4209" s="46" t="s">
        <v>14</v>
      </c>
      <c r="O4209" s="49" t="s">
        <v>814</v>
      </c>
      <c r="P4209" s="49" t="s">
        <v>4910</v>
      </c>
      <c r="Q4209" s="35" t="str">
        <f>MID(Tabla1[[#This Row],[Aplicación]],14,1)</f>
        <v>2</v>
      </c>
      <c r="R4209" s="35" t="s">
        <v>495</v>
      </c>
      <c r="S4209" s="35" t="str">
        <f>MID(Tabla1[[#This Row],[Aplicación]],6,2)</f>
        <v>10</v>
      </c>
      <c r="T4209" s="35" t="str">
        <f>VLOOKUP(Tabla1[[#This Row],[AREA]],Hoja1!A:B,2,FALSE)</f>
        <v>10. Servicios sociales y mediación comunitaria</v>
      </c>
      <c r="U4209" s="35" t="str">
        <f>MID(Tabla1[[#This Row],[Aplicación]],9,4)</f>
        <v>2412</v>
      </c>
      <c r="V4209" s="35" t="str">
        <f>VLOOKUP(Tabla1[[#This Row],[PROGRAMA]],Hoja1!A:B,2,FALSE)</f>
        <v>2412. Formación para el empleo</v>
      </c>
      <c r="W4209" s="35" t="str">
        <f>MID(Tabla1[[#This Row],[Aplicación]],14,2)</f>
        <v>21</v>
      </c>
      <c r="X4209" s="35" t="str">
        <f>MID(Tabla1[[#This Row],[Aplicación]],14,6)</f>
        <v>212</v>
      </c>
    </row>
    <row r="4210" spans="1:24" x14ac:dyDescent="0.25">
      <c r="A4210" s="45">
        <v>220210036361</v>
      </c>
      <c r="B4210" s="46" t="s">
        <v>204</v>
      </c>
      <c r="C4210" s="47">
        <v>44384</v>
      </c>
      <c r="D4210" s="45">
        <v>22021001039</v>
      </c>
      <c r="E4210" s="46" t="s">
        <v>844</v>
      </c>
      <c r="F4210" s="48">
        <v>27.83</v>
      </c>
      <c r="G4210" s="46" t="s">
        <v>235</v>
      </c>
      <c r="H4210" s="46" t="s">
        <v>5854</v>
      </c>
      <c r="I4210" s="45" t="s">
        <v>205</v>
      </c>
      <c r="J4210" s="46" t="s">
        <v>742</v>
      </c>
      <c r="K4210" s="46" t="s">
        <v>165</v>
      </c>
      <c r="L4210" s="46" t="s">
        <v>15</v>
      </c>
      <c r="M4210" s="46" t="s">
        <v>13</v>
      </c>
      <c r="N4210" s="46" t="s">
        <v>14</v>
      </c>
      <c r="O4210" s="49" t="s">
        <v>814</v>
      </c>
      <c r="P4210" s="49" t="s">
        <v>4910</v>
      </c>
      <c r="Q4210" s="35" t="str">
        <f>MID(Tabla1[[#This Row],[Aplicación]],14,1)</f>
        <v>2</v>
      </c>
      <c r="R4210" s="35" t="s">
        <v>495</v>
      </c>
      <c r="S4210" s="35" t="str">
        <f>MID(Tabla1[[#This Row],[Aplicación]],6,2)</f>
        <v>10</v>
      </c>
      <c r="T4210" s="35" t="str">
        <f>VLOOKUP(Tabla1[[#This Row],[AREA]],Hoja1!A:B,2,FALSE)</f>
        <v>10. Servicios sociales y mediación comunitaria</v>
      </c>
      <c r="U4210" s="35" t="str">
        <f>MID(Tabla1[[#This Row],[Aplicación]],9,4)</f>
        <v>2312</v>
      </c>
      <c r="V4210" s="35" t="str">
        <f>VLOOKUP(Tabla1[[#This Row],[PROGRAMA]],Hoja1!A:B,2,FALSE)</f>
        <v>2312. Iniciativas sociales</v>
      </c>
      <c r="W4210" s="35" t="str">
        <f>MID(Tabla1[[#This Row],[Aplicación]],14,2)</f>
        <v>21</v>
      </c>
      <c r="X4210" s="35" t="str">
        <f>MID(Tabla1[[#This Row],[Aplicación]],14,6)</f>
        <v>212</v>
      </c>
    </row>
    <row r="4211" spans="1:24" x14ac:dyDescent="0.25">
      <c r="A4211" s="45">
        <v>220210036759</v>
      </c>
      <c r="B4211" s="46" t="s">
        <v>204</v>
      </c>
      <c r="C4211" s="47">
        <v>44386</v>
      </c>
      <c r="D4211" s="45">
        <v>22021002369</v>
      </c>
      <c r="E4211" s="46" t="s">
        <v>1336</v>
      </c>
      <c r="F4211" s="48">
        <v>22.35</v>
      </c>
      <c r="G4211" s="46" t="s">
        <v>235</v>
      </c>
      <c r="H4211" s="46" t="s">
        <v>5855</v>
      </c>
      <c r="I4211" s="45" t="s">
        <v>205</v>
      </c>
      <c r="J4211" s="46" t="s">
        <v>742</v>
      </c>
      <c r="K4211" s="46" t="s">
        <v>165</v>
      </c>
      <c r="L4211" s="46" t="s">
        <v>15</v>
      </c>
      <c r="M4211" s="46" t="s">
        <v>13</v>
      </c>
      <c r="N4211" s="46" t="s">
        <v>14</v>
      </c>
      <c r="O4211" s="49" t="s">
        <v>814</v>
      </c>
      <c r="P4211" s="49" t="s">
        <v>4910</v>
      </c>
      <c r="Q4211" s="35" t="str">
        <f>MID(Tabla1[[#This Row],[Aplicación]],14,1)</f>
        <v>2</v>
      </c>
      <c r="R4211" s="35" t="s">
        <v>495</v>
      </c>
      <c r="S4211" s="35" t="str">
        <f>MID(Tabla1[[#This Row],[Aplicación]],6,2)</f>
        <v>02</v>
      </c>
      <c r="T4211" s="35" t="str">
        <f>VLOOKUP(Tabla1[[#This Row],[AREA]],Hoja1!A:B,2,FALSE)</f>
        <v>02. Planeamiento urbanístico y vivienda</v>
      </c>
      <c r="U4211" s="35" t="str">
        <f>MID(Tabla1[[#This Row],[Aplicación]],9,4)</f>
        <v>9332</v>
      </c>
      <c r="V4211" s="35" t="str">
        <f>VLOOKUP(Tabla1[[#This Row],[PROGRAMA]],Hoja1!A:B,2,FALSE)</f>
        <v>9332. Mantenimiento de edificios e instalaciones municipales</v>
      </c>
      <c r="W4211" s="35" t="str">
        <f>MID(Tabla1[[#This Row],[Aplicación]],14,2)</f>
        <v>21</v>
      </c>
      <c r="X4211" s="35" t="str">
        <f>MID(Tabla1[[#This Row],[Aplicación]],14,6)</f>
        <v>212</v>
      </c>
    </row>
    <row r="4212" spans="1:24" x14ac:dyDescent="0.25">
      <c r="A4212" s="45">
        <v>220210040164</v>
      </c>
      <c r="B4212" s="46" t="s">
        <v>204</v>
      </c>
      <c r="C4212" s="47">
        <v>44396</v>
      </c>
      <c r="D4212" s="45">
        <v>22021001038</v>
      </c>
      <c r="E4212" s="46" t="s">
        <v>844</v>
      </c>
      <c r="F4212" s="48">
        <v>17.809999999999999</v>
      </c>
      <c r="G4212" s="46" t="s">
        <v>235</v>
      </c>
      <c r="H4212" s="46" t="s">
        <v>5856</v>
      </c>
      <c r="I4212" s="45" t="s">
        <v>205</v>
      </c>
      <c r="J4212" s="46" t="s">
        <v>742</v>
      </c>
      <c r="K4212" s="46" t="s">
        <v>165</v>
      </c>
      <c r="L4212" s="46" t="s">
        <v>15</v>
      </c>
      <c r="M4212" s="46" t="s">
        <v>13</v>
      </c>
      <c r="N4212" s="46" t="s">
        <v>14</v>
      </c>
      <c r="O4212" s="49" t="s">
        <v>814</v>
      </c>
      <c r="P4212" s="49" t="s">
        <v>4910</v>
      </c>
      <c r="Q4212" s="35" t="str">
        <f>MID(Tabla1[[#This Row],[Aplicación]],14,1)</f>
        <v>2</v>
      </c>
      <c r="R4212" s="35" t="s">
        <v>495</v>
      </c>
      <c r="S4212" s="35" t="str">
        <f>MID(Tabla1[[#This Row],[Aplicación]],6,2)</f>
        <v>10</v>
      </c>
      <c r="T4212" s="35" t="str">
        <f>VLOOKUP(Tabla1[[#This Row],[AREA]],Hoja1!A:B,2,FALSE)</f>
        <v>10. Servicios sociales y mediación comunitaria</v>
      </c>
      <c r="U4212" s="35" t="str">
        <f>MID(Tabla1[[#This Row],[Aplicación]],9,4)</f>
        <v>2312</v>
      </c>
      <c r="V4212" s="35" t="str">
        <f>VLOOKUP(Tabla1[[#This Row],[PROGRAMA]],Hoja1!A:B,2,FALSE)</f>
        <v>2312. Iniciativas sociales</v>
      </c>
      <c r="W4212" s="35" t="str">
        <f>MID(Tabla1[[#This Row],[Aplicación]],14,2)</f>
        <v>21</v>
      </c>
      <c r="X4212" s="35" t="str">
        <f>MID(Tabla1[[#This Row],[Aplicación]],14,6)</f>
        <v>212</v>
      </c>
    </row>
    <row r="4213" spans="1:24" x14ac:dyDescent="0.25">
      <c r="A4213" s="45">
        <v>220210040164</v>
      </c>
      <c r="B4213" s="46" t="s">
        <v>204</v>
      </c>
      <c r="C4213" s="47">
        <v>44396</v>
      </c>
      <c r="D4213" s="45">
        <v>22021001039</v>
      </c>
      <c r="E4213" s="46" t="s">
        <v>844</v>
      </c>
      <c r="F4213" s="48">
        <v>13.64</v>
      </c>
      <c r="G4213" s="46" t="s">
        <v>235</v>
      </c>
      <c r="H4213" s="46" t="s">
        <v>5856</v>
      </c>
      <c r="I4213" s="45" t="s">
        <v>205</v>
      </c>
      <c r="J4213" s="46" t="s">
        <v>742</v>
      </c>
      <c r="K4213" s="46" t="s">
        <v>165</v>
      </c>
      <c r="L4213" s="46" t="s">
        <v>15</v>
      </c>
      <c r="M4213" s="46" t="s">
        <v>13</v>
      </c>
      <c r="N4213" s="46" t="s">
        <v>14</v>
      </c>
      <c r="O4213" s="49" t="s">
        <v>814</v>
      </c>
      <c r="P4213" s="49" t="s">
        <v>4910</v>
      </c>
      <c r="Q4213" s="35" t="str">
        <f>MID(Tabla1[[#This Row],[Aplicación]],14,1)</f>
        <v>2</v>
      </c>
      <c r="R4213" s="35" t="s">
        <v>495</v>
      </c>
      <c r="S4213" s="35" t="str">
        <f>MID(Tabla1[[#This Row],[Aplicación]],6,2)</f>
        <v>10</v>
      </c>
      <c r="T4213" s="35" t="str">
        <f>VLOOKUP(Tabla1[[#This Row],[AREA]],Hoja1!A:B,2,FALSE)</f>
        <v>10. Servicios sociales y mediación comunitaria</v>
      </c>
      <c r="U4213" s="35" t="str">
        <f>MID(Tabla1[[#This Row],[Aplicación]],9,4)</f>
        <v>2312</v>
      </c>
      <c r="V4213" s="35" t="str">
        <f>VLOOKUP(Tabla1[[#This Row],[PROGRAMA]],Hoja1!A:B,2,FALSE)</f>
        <v>2312. Iniciativas sociales</v>
      </c>
      <c r="W4213" s="35" t="str">
        <f>MID(Tabla1[[#This Row],[Aplicación]],14,2)</f>
        <v>21</v>
      </c>
      <c r="X4213" s="35" t="str">
        <f>MID(Tabla1[[#This Row],[Aplicación]],14,6)</f>
        <v>212</v>
      </c>
    </row>
    <row r="4214" spans="1:24" x14ac:dyDescent="0.25">
      <c r="A4214" s="45">
        <v>220210045666</v>
      </c>
      <c r="B4214" s="46" t="s">
        <v>204</v>
      </c>
      <c r="C4214" s="47">
        <v>44414</v>
      </c>
      <c r="D4214" s="45">
        <v>22021002046</v>
      </c>
      <c r="E4214" s="46" t="s">
        <v>2155</v>
      </c>
      <c r="F4214" s="48">
        <v>38.79</v>
      </c>
      <c r="G4214" s="46" t="s">
        <v>235</v>
      </c>
      <c r="H4214" s="46" t="s">
        <v>5857</v>
      </c>
      <c r="I4214" s="45" t="s">
        <v>205</v>
      </c>
      <c r="J4214" s="46" t="s">
        <v>742</v>
      </c>
      <c r="K4214" s="46" t="s">
        <v>165</v>
      </c>
      <c r="L4214" s="46" t="s">
        <v>15</v>
      </c>
      <c r="M4214" s="46" t="s">
        <v>13</v>
      </c>
      <c r="N4214" s="46" t="s">
        <v>14</v>
      </c>
      <c r="O4214" s="49" t="s">
        <v>814</v>
      </c>
      <c r="P4214" s="49" t="s">
        <v>4910</v>
      </c>
      <c r="Q4214" s="35" t="str">
        <f>MID(Tabla1[[#This Row],[Aplicación]],14,1)</f>
        <v>2</v>
      </c>
      <c r="R4214" s="35" t="s">
        <v>495</v>
      </c>
      <c r="S4214" s="35" t="str">
        <f>MID(Tabla1[[#This Row],[Aplicación]],6,2)</f>
        <v>11</v>
      </c>
      <c r="T4214" s="35" t="str">
        <f>VLOOKUP(Tabla1[[#This Row],[AREA]],Hoja1!A:B,2,FALSE)</f>
        <v>11. Salud pública y seguridad ciudadana</v>
      </c>
      <c r="U4214" s="35" t="str">
        <f>MID(Tabla1[[#This Row],[Aplicación]],9,4)</f>
        <v>1621</v>
      </c>
      <c r="V4214" s="35" t="str">
        <f>VLOOKUP(Tabla1[[#This Row],[PROGRAMA]],Hoja1!A:B,2,FALSE)</f>
        <v>1621. Servicio de limpieza</v>
      </c>
      <c r="W4214" s="35" t="str">
        <f>MID(Tabla1[[#This Row],[Aplicación]],14,2)</f>
        <v>21</v>
      </c>
      <c r="X4214" s="35" t="str">
        <f>MID(Tabla1[[#This Row],[Aplicación]],14,6)</f>
        <v>212</v>
      </c>
    </row>
    <row r="4215" spans="1:24" x14ac:dyDescent="0.25">
      <c r="A4215" s="45">
        <v>220210045190</v>
      </c>
      <c r="B4215" s="46" t="s">
        <v>204</v>
      </c>
      <c r="C4215" s="47">
        <v>44411</v>
      </c>
      <c r="D4215" s="45">
        <v>22021002142</v>
      </c>
      <c r="E4215" s="46" t="s">
        <v>1328</v>
      </c>
      <c r="F4215" s="48">
        <v>27.83</v>
      </c>
      <c r="G4215" s="46" t="s">
        <v>235</v>
      </c>
      <c r="H4215" s="46" t="s">
        <v>5858</v>
      </c>
      <c r="I4215" s="45" t="s">
        <v>205</v>
      </c>
      <c r="J4215" s="46" t="s">
        <v>742</v>
      </c>
      <c r="K4215" s="46" t="s">
        <v>165</v>
      </c>
      <c r="L4215" s="46" t="s">
        <v>15</v>
      </c>
      <c r="M4215" s="46" t="s">
        <v>13</v>
      </c>
      <c r="N4215" s="46" t="s">
        <v>14</v>
      </c>
      <c r="O4215" s="49" t="s">
        <v>814</v>
      </c>
      <c r="P4215" s="49" t="s">
        <v>4910</v>
      </c>
      <c r="Q4215" s="35" t="str">
        <f>MID(Tabla1[[#This Row],[Aplicación]],14,1)</f>
        <v>2</v>
      </c>
      <c r="R4215" s="35" t="s">
        <v>495</v>
      </c>
      <c r="S4215" s="35" t="str">
        <f>MID(Tabla1[[#This Row],[Aplicación]],6,2)</f>
        <v>10</v>
      </c>
      <c r="T4215" s="35" t="str">
        <f>VLOOKUP(Tabla1[[#This Row],[AREA]],Hoja1!A:B,2,FALSE)</f>
        <v>10. Servicios sociales y mediación comunitaria</v>
      </c>
      <c r="U4215" s="35" t="str">
        <f>MID(Tabla1[[#This Row],[Aplicación]],9,4)</f>
        <v>2311</v>
      </c>
      <c r="V4215" s="35" t="str">
        <f>VLOOKUP(Tabla1[[#This Row],[PROGRAMA]],Hoja1!A:B,2,FALSE)</f>
        <v>2311. Intervención social</v>
      </c>
      <c r="W4215" s="35" t="str">
        <f>MID(Tabla1[[#This Row],[Aplicación]],14,2)</f>
        <v>21</v>
      </c>
      <c r="X4215" s="35" t="str">
        <f>MID(Tabla1[[#This Row],[Aplicación]],14,6)</f>
        <v>212</v>
      </c>
    </row>
    <row r="4216" spans="1:24" x14ac:dyDescent="0.25">
      <c r="A4216" s="45">
        <v>220210045069</v>
      </c>
      <c r="B4216" s="46" t="s">
        <v>204</v>
      </c>
      <c r="C4216" s="47">
        <v>44411</v>
      </c>
      <c r="D4216" s="45">
        <v>22021001039</v>
      </c>
      <c r="E4216" s="46" t="s">
        <v>844</v>
      </c>
      <c r="F4216" s="48">
        <v>74.05</v>
      </c>
      <c r="G4216" s="46" t="s">
        <v>235</v>
      </c>
      <c r="H4216" s="46" t="s">
        <v>5859</v>
      </c>
      <c r="I4216" s="45" t="s">
        <v>205</v>
      </c>
      <c r="J4216" s="46" t="s">
        <v>742</v>
      </c>
      <c r="K4216" s="46" t="s">
        <v>165</v>
      </c>
      <c r="L4216" s="46" t="s">
        <v>15</v>
      </c>
      <c r="M4216" s="46" t="s">
        <v>13</v>
      </c>
      <c r="N4216" s="46" t="s">
        <v>14</v>
      </c>
      <c r="O4216" s="49" t="s">
        <v>814</v>
      </c>
      <c r="P4216" s="49" t="s">
        <v>4910</v>
      </c>
      <c r="Q4216" s="35" t="str">
        <f>MID(Tabla1[[#This Row],[Aplicación]],14,1)</f>
        <v>2</v>
      </c>
      <c r="R4216" s="35" t="s">
        <v>495</v>
      </c>
      <c r="S4216" s="35" t="str">
        <f>MID(Tabla1[[#This Row],[Aplicación]],6,2)</f>
        <v>10</v>
      </c>
      <c r="T4216" s="35" t="str">
        <f>VLOOKUP(Tabla1[[#This Row],[AREA]],Hoja1!A:B,2,FALSE)</f>
        <v>10. Servicios sociales y mediación comunitaria</v>
      </c>
      <c r="U4216" s="35" t="str">
        <f>MID(Tabla1[[#This Row],[Aplicación]],9,4)</f>
        <v>2312</v>
      </c>
      <c r="V4216" s="35" t="str">
        <f>VLOOKUP(Tabla1[[#This Row],[PROGRAMA]],Hoja1!A:B,2,FALSE)</f>
        <v>2312. Iniciativas sociales</v>
      </c>
      <c r="W4216" s="35" t="str">
        <f>MID(Tabla1[[#This Row],[Aplicación]],14,2)</f>
        <v>21</v>
      </c>
      <c r="X4216" s="35" t="str">
        <f>MID(Tabla1[[#This Row],[Aplicación]],14,6)</f>
        <v>212</v>
      </c>
    </row>
    <row r="4217" spans="1:24" x14ac:dyDescent="0.25">
      <c r="A4217" s="45">
        <v>220210046000</v>
      </c>
      <c r="B4217" s="46" t="s">
        <v>204</v>
      </c>
      <c r="C4217" s="47">
        <v>44418</v>
      </c>
      <c r="D4217" s="45">
        <v>22021002228</v>
      </c>
      <c r="E4217" s="46" t="s">
        <v>1471</v>
      </c>
      <c r="F4217" s="48">
        <v>331.31</v>
      </c>
      <c r="G4217" s="46" t="s">
        <v>235</v>
      </c>
      <c r="H4217" s="46" t="s">
        <v>5860</v>
      </c>
      <c r="I4217" s="45" t="s">
        <v>205</v>
      </c>
      <c r="J4217" s="46" t="s">
        <v>742</v>
      </c>
      <c r="K4217" s="46" t="s">
        <v>165</v>
      </c>
      <c r="L4217" s="46" t="s">
        <v>15</v>
      </c>
      <c r="M4217" s="46" t="s">
        <v>13</v>
      </c>
      <c r="N4217" s="46" t="s">
        <v>16</v>
      </c>
      <c r="O4217" s="49" t="s">
        <v>814</v>
      </c>
      <c r="P4217" s="49" t="s">
        <v>4910</v>
      </c>
      <c r="Q4217" s="35" t="str">
        <f>MID(Tabla1[[#This Row],[Aplicación]],14,1)</f>
        <v>2</v>
      </c>
      <c r="R4217" s="35" t="s">
        <v>495</v>
      </c>
      <c r="S4217" s="35" t="str">
        <f>MID(Tabla1[[#This Row],[Aplicación]],6,2)</f>
        <v>06</v>
      </c>
      <c r="T4217" s="35" t="str">
        <f>VLOOKUP(Tabla1[[#This Row],[AREA]],Hoja1!A:B,2,FALSE)</f>
        <v>06. Educación, infancia, juventud e igualdad</v>
      </c>
      <c r="U4217" s="35" t="str">
        <f>MID(Tabla1[[#This Row],[Aplicación]],9,4)</f>
        <v>3232</v>
      </c>
      <c r="V4217" s="35" t="str">
        <f>VLOOKUP(Tabla1[[#This Row],[PROGRAMA]],Hoja1!A:B,2,FALSE)</f>
        <v>3232. Conservación y mantenimiento centros educación infantil y primaria</v>
      </c>
      <c r="W4217" s="35" t="str">
        <f>MID(Tabla1[[#This Row],[Aplicación]],14,2)</f>
        <v>21</v>
      </c>
      <c r="X4217" s="35" t="str">
        <f>MID(Tabla1[[#This Row],[Aplicación]],14,6)</f>
        <v>212</v>
      </c>
    </row>
    <row r="4218" spans="1:24" x14ac:dyDescent="0.25">
      <c r="A4218" s="45">
        <v>220210046057</v>
      </c>
      <c r="B4218" s="46" t="s">
        <v>204</v>
      </c>
      <c r="C4218" s="47">
        <v>44418</v>
      </c>
      <c r="D4218" s="45">
        <v>22021002228</v>
      </c>
      <c r="E4218" s="46" t="s">
        <v>1471</v>
      </c>
      <c r="F4218" s="48">
        <v>30.19</v>
      </c>
      <c r="G4218" s="46" t="s">
        <v>235</v>
      </c>
      <c r="H4218" s="46" t="s">
        <v>5861</v>
      </c>
      <c r="I4218" s="45" t="s">
        <v>205</v>
      </c>
      <c r="J4218" s="46" t="s">
        <v>742</v>
      </c>
      <c r="K4218" s="46" t="s">
        <v>165</v>
      </c>
      <c r="L4218" s="46" t="s">
        <v>15</v>
      </c>
      <c r="M4218" s="46" t="s">
        <v>13</v>
      </c>
      <c r="N4218" s="46" t="s">
        <v>16</v>
      </c>
      <c r="O4218" s="49" t="s">
        <v>814</v>
      </c>
      <c r="P4218" s="49" t="s">
        <v>4910</v>
      </c>
      <c r="Q4218" s="35" t="str">
        <f>MID(Tabla1[[#This Row],[Aplicación]],14,1)</f>
        <v>2</v>
      </c>
      <c r="R4218" s="35" t="s">
        <v>495</v>
      </c>
      <c r="S4218" s="35" t="str">
        <f>MID(Tabla1[[#This Row],[Aplicación]],6,2)</f>
        <v>06</v>
      </c>
      <c r="T4218" s="35" t="str">
        <f>VLOOKUP(Tabla1[[#This Row],[AREA]],Hoja1!A:B,2,FALSE)</f>
        <v>06. Educación, infancia, juventud e igualdad</v>
      </c>
      <c r="U4218" s="35" t="str">
        <f>MID(Tabla1[[#This Row],[Aplicación]],9,4)</f>
        <v>3232</v>
      </c>
      <c r="V4218" s="35" t="str">
        <f>VLOOKUP(Tabla1[[#This Row],[PROGRAMA]],Hoja1!A:B,2,FALSE)</f>
        <v>3232. Conservación y mantenimiento centros educación infantil y primaria</v>
      </c>
      <c r="W4218" s="35" t="str">
        <f>MID(Tabla1[[#This Row],[Aplicación]],14,2)</f>
        <v>21</v>
      </c>
      <c r="X4218" s="35" t="str">
        <f>MID(Tabla1[[#This Row],[Aplicación]],14,6)</f>
        <v>212</v>
      </c>
    </row>
    <row r="4219" spans="1:24" x14ac:dyDescent="0.25">
      <c r="A4219" s="45">
        <v>220210046010</v>
      </c>
      <c r="B4219" s="46" t="s">
        <v>204</v>
      </c>
      <c r="C4219" s="47">
        <v>44418</v>
      </c>
      <c r="D4219" s="45">
        <v>22021002228</v>
      </c>
      <c r="E4219" s="46" t="s">
        <v>1471</v>
      </c>
      <c r="F4219" s="48">
        <v>286.42</v>
      </c>
      <c r="G4219" s="46" t="s">
        <v>235</v>
      </c>
      <c r="H4219" s="46" t="s">
        <v>5862</v>
      </c>
      <c r="I4219" s="45" t="s">
        <v>205</v>
      </c>
      <c r="J4219" s="46" t="s">
        <v>742</v>
      </c>
      <c r="K4219" s="46" t="s">
        <v>165</v>
      </c>
      <c r="L4219" s="46" t="s">
        <v>15</v>
      </c>
      <c r="M4219" s="46" t="s">
        <v>13</v>
      </c>
      <c r="N4219" s="46" t="s">
        <v>16</v>
      </c>
      <c r="O4219" s="49" t="s">
        <v>814</v>
      </c>
      <c r="P4219" s="49" t="s">
        <v>4910</v>
      </c>
      <c r="Q4219" s="35" t="str">
        <f>MID(Tabla1[[#This Row],[Aplicación]],14,1)</f>
        <v>2</v>
      </c>
      <c r="R4219" s="35" t="s">
        <v>495</v>
      </c>
      <c r="S4219" s="35" t="str">
        <f>MID(Tabla1[[#This Row],[Aplicación]],6,2)</f>
        <v>06</v>
      </c>
      <c r="T4219" s="35" t="str">
        <f>VLOOKUP(Tabla1[[#This Row],[AREA]],Hoja1!A:B,2,FALSE)</f>
        <v>06. Educación, infancia, juventud e igualdad</v>
      </c>
      <c r="U4219" s="35" t="str">
        <f>MID(Tabla1[[#This Row],[Aplicación]],9,4)</f>
        <v>3232</v>
      </c>
      <c r="V4219" s="35" t="str">
        <f>VLOOKUP(Tabla1[[#This Row],[PROGRAMA]],Hoja1!A:B,2,FALSE)</f>
        <v>3232. Conservación y mantenimiento centros educación infantil y primaria</v>
      </c>
      <c r="W4219" s="35" t="str">
        <f>MID(Tabla1[[#This Row],[Aplicación]],14,2)</f>
        <v>21</v>
      </c>
      <c r="X4219" s="35" t="str">
        <f>MID(Tabla1[[#This Row],[Aplicación]],14,6)</f>
        <v>212</v>
      </c>
    </row>
    <row r="4220" spans="1:24" x14ac:dyDescent="0.25">
      <c r="A4220" s="45">
        <v>220210050961</v>
      </c>
      <c r="B4220" s="46" t="s">
        <v>9</v>
      </c>
      <c r="C4220" s="47">
        <v>44446</v>
      </c>
      <c r="D4220" s="45">
        <v>22021006430</v>
      </c>
      <c r="E4220" s="46" t="s">
        <v>1172</v>
      </c>
      <c r="F4220" s="48">
        <v>1029.07</v>
      </c>
      <c r="G4220" s="46" t="s">
        <v>235</v>
      </c>
      <c r="H4220" s="46" t="s">
        <v>5863</v>
      </c>
      <c r="I4220" s="45" t="s">
        <v>125</v>
      </c>
      <c r="J4220" s="46" t="s">
        <v>742</v>
      </c>
      <c r="K4220" s="46" t="s">
        <v>165</v>
      </c>
      <c r="L4220" s="46" t="s">
        <v>15</v>
      </c>
      <c r="M4220" s="46" t="s">
        <v>13</v>
      </c>
      <c r="N4220" s="46" t="s">
        <v>14</v>
      </c>
      <c r="O4220" s="49" t="s">
        <v>814</v>
      </c>
      <c r="P4220" s="49" t="s">
        <v>4910</v>
      </c>
      <c r="Q4220" s="35" t="str">
        <f>MID(Tabla1[[#This Row],[Aplicación]],14,1)</f>
        <v>6</v>
      </c>
      <c r="R4220" s="35" t="s">
        <v>496</v>
      </c>
      <c r="S4220" s="35" t="str">
        <f>MID(Tabla1[[#This Row],[Aplicación]],6,2)</f>
        <v>02</v>
      </c>
      <c r="T4220" s="35" t="str">
        <f>VLOOKUP(Tabla1[[#This Row],[AREA]],Hoja1!A:B,2,FALSE)</f>
        <v>02. Planeamiento urbanístico y vivienda</v>
      </c>
      <c r="U4220" s="35" t="str">
        <f>MID(Tabla1[[#This Row],[Aplicación]],9,4)</f>
        <v>9332</v>
      </c>
      <c r="V4220" s="35" t="str">
        <f>VLOOKUP(Tabla1[[#This Row],[PROGRAMA]],Hoja1!A:B,2,FALSE)</f>
        <v>9332. Mantenimiento de edificios e instalaciones municipales</v>
      </c>
      <c r="W4220" s="35" t="str">
        <f>MID(Tabla1[[#This Row],[Aplicación]],14,2)</f>
        <v>63</v>
      </c>
      <c r="X4220" s="35" t="str">
        <f>MID(Tabla1[[#This Row],[Aplicación]],14,6)</f>
        <v>632</v>
      </c>
    </row>
    <row r="4221" spans="1:24" x14ac:dyDescent="0.25">
      <c r="A4221" s="45">
        <v>220210053651</v>
      </c>
      <c r="B4221" s="46" t="s">
        <v>204</v>
      </c>
      <c r="C4221" s="47">
        <v>44452</v>
      </c>
      <c r="D4221" s="45">
        <v>22021002228</v>
      </c>
      <c r="E4221" s="46" t="s">
        <v>1471</v>
      </c>
      <c r="F4221" s="48">
        <v>559.96</v>
      </c>
      <c r="G4221" s="46" t="s">
        <v>235</v>
      </c>
      <c r="H4221" s="46" t="s">
        <v>5864</v>
      </c>
      <c r="I4221" s="45" t="s">
        <v>205</v>
      </c>
      <c r="J4221" s="46" t="s">
        <v>742</v>
      </c>
      <c r="K4221" s="46" t="s">
        <v>165</v>
      </c>
      <c r="L4221" s="46" t="s">
        <v>15</v>
      </c>
      <c r="M4221" s="46" t="s">
        <v>13</v>
      </c>
      <c r="N4221" s="46" t="s">
        <v>16</v>
      </c>
      <c r="O4221" s="49" t="s">
        <v>814</v>
      </c>
      <c r="P4221" s="49" t="s">
        <v>4910</v>
      </c>
      <c r="Q4221" s="35" t="str">
        <f>MID(Tabla1[[#This Row],[Aplicación]],14,1)</f>
        <v>2</v>
      </c>
      <c r="R4221" s="35" t="s">
        <v>495</v>
      </c>
      <c r="S4221" s="35" t="str">
        <f>MID(Tabla1[[#This Row],[Aplicación]],6,2)</f>
        <v>06</v>
      </c>
      <c r="T4221" s="35" t="str">
        <f>VLOOKUP(Tabla1[[#This Row],[AREA]],Hoja1!A:B,2,FALSE)</f>
        <v>06. Educación, infancia, juventud e igualdad</v>
      </c>
      <c r="U4221" s="35" t="str">
        <f>MID(Tabla1[[#This Row],[Aplicación]],9,4)</f>
        <v>3232</v>
      </c>
      <c r="V4221" s="35" t="str">
        <f>VLOOKUP(Tabla1[[#This Row],[PROGRAMA]],Hoja1!A:B,2,FALSE)</f>
        <v>3232. Conservación y mantenimiento centros educación infantil y primaria</v>
      </c>
      <c r="W4221" s="35" t="str">
        <f>MID(Tabla1[[#This Row],[Aplicación]],14,2)</f>
        <v>21</v>
      </c>
      <c r="X4221" s="35" t="str">
        <f>MID(Tabla1[[#This Row],[Aplicación]],14,6)</f>
        <v>212</v>
      </c>
    </row>
    <row r="4222" spans="1:24" x14ac:dyDescent="0.25">
      <c r="A4222" s="45">
        <v>220210049862</v>
      </c>
      <c r="B4222" s="46" t="s">
        <v>204</v>
      </c>
      <c r="C4222" s="47">
        <v>44433</v>
      </c>
      <c r="D4222" s="45">
        <v>22021002225</v>
      </c>
      <c r="E4222" s="46" t="s">
        <v>1574</v>
      </c>
      <c r="F4222" s="48">
        <v>281.88</v>
      </c>
      <c r="G4222" s="46" t="s">
        <v>235</v>
      </c>
      <c r="H4222" s="46" t="s">
        <v>5865</v>
      </c>
      <c r="I4222" s="45" t="s">
        <v>205</v>
      </c>
      <c r="J4222" s="46" t="s">
        <v>742</v>
      </c>
      <c r="K4222" s="46" t="s">
        <v>165</v>
      </c>
      <c r="L4222" s="46" t="s">
        <v>15</v>
      </c>
      <c r="M4222" s="46" t="s">
        <v>13</v>
      </c>
      <c r="N4222" s="46" t="s">
        <v>16</v>
      </c>
      <c r="O4222" s="49" t="s">
        <v>814</v>
      </c>
      <c r="P4222" s="49" t="s">
        <v>4910</v>
      </c>
      <c r="Q4222" s="35" t="str">
        <f>MID(Tabla1[[#This Row],[Aplicación]],14,1)</f>
        <v>2</v>
      </c>
      <c r="R4222" s="35" t="s">
        <v>495</v>
      </c>
      <c r="S4222" s="35" t="str">
        <f>MID(Tabla1[[#This Row],[Aplicación]],6,2)</f>
        <v>06</v>
      </c>
      <c r="T4222" s="35" t="str">
        <f>VLOOKUP(Tabla1[[#This Row],[AREA]],Hoja1!A:B,2,FALSE)</f>
        <v>06. Educación, infancia, juventud e igualdad</v>
      </c>
      <c r="U4222" s="35" t="str">
        <f>MID(Tabla1[[#This Row],[Aplicación]],9,4)</f>
        <v>3231</v>
      </c>
      <c r="V4222" s="35" t="str">
        <f>VLOOKUP(Tabla1[[#This Row],[PROGRAMA]],Hoja1!A:B,2,FALSE)</f>
        <v>3231. Escuelas infantiles</v>
      </c>
      <c r="W4222" s="35" t="str">
        <f>MID(Tabla1[[#This Row],[Aplicación]],14,2)</f>
        <v>21</v>
      </c>
      <c r="X4222" s="35" t="str">
        <f>MID(Tabla1[[#This Row],[Aplicación]],14,6)</f>
        <v>212</v>
      </c>
    </row>
    <row r="4223" spans="1:24" x14ac:dyDescent="0.25">
      <c r="A4223" s="45">
        <v>220210049855</v>
      </c>
      <c r="B4223" s="46" t="s">
        <v>204</v>
      </c>
      <c r="C4223" s="47">
        <v>44433</v>
      </c>
      <c r="D4223" s="45">
        <v>22021002228</v>
      </c>
      <c r="E4223" s="46" t="s">
        <v>1471</v>
      </c>
      <c r="F4223" s="48">
        <v>212.43</v>
      </c>
      <c r="G4223" s="46" t="s">
        <v>235</v>
      </c>
      <c r="H4223" s="46" t="s">
        <v>5866</v>
      </c>
      <c r="I4223" s="45" t="s">
        <v>205</v>
      </c>
      <c r="J4223" s="46" t="s">
        <v>742</v>
      </c>
      <c r="K4223" s="46" t="s">
        <v>165</v>
      </c>
      <c r="L4223" s="46" t="s">
        <v>15</v>
      </c>
      <c r="M4223" s="46" t="s">
        <v>13</v>
      </c>
      <c r="N4223" s="46" t="s">
        <v>16</v>
      </c>
      <c r="O4223" s="49" t="s">
        <v>814</v>
      </c>
      <c r="P4223" s="49" t="s">
        <v>4910</v>
      </c>
      <c r="Q4223" s="35" t="str">
        <f>MID(Tabla1[[#This Row],[Aplicación]],14,1)</f>
        <v>2</v>
      </c>
      <c r="R4223" s="35" t="s">
        <v>495</v>
      </c>
      <c r="S4223" s="35" t="str">
        <f>MID(Tabla1[[#This Row],[Aplicación]],6,2)</f>
        <v>06</v>
      </c>
      <c r="T4223" s="35" t="str">
        <f>VLOOKUP(Tabla1[[#This Row],[AREA]],Hoja1!A:B,2,FALSE)</f>
        <v>06. Educación, infancia, juventud e igualdad</v>
      </c>
      <c r="U4223" s="35" t="str">
        <f>MID(Tabla1[[#This Row],[Aplicación]],9,4)</f>
        <v>3232</v>
      </c>
      <c r="V4223" s="35" t="str">
        <f>VLOOKUP(Tabla1[[#This Row],[PROGRAMA]],Hoja1!A:B,2,FALSE)</f>
        <v>3232. Conservación y mantenimiento centros educación infantil y primaria</v>
      </c>
      <c r="W4223" s="35" t="str">
        <f>MID(Tabla1[[#This Row],[Aplicación]],14,2)</f>
        <v>21</v>
      </c>
      <c r="X4223" s="35" t="str">
        <f>MID(Tabla1[[#This Row],[Aplicación]],14,6)</f>
        <v>212</v>
      </c>
    </row>
    <row r="4224" spans="1:24" x14ac:dyDescent="0.25">
      <c r="A4224" s="45">
        <v>220210048780</v>
      </c>
      <c r="B4224" s="46" t="s">
        <v>204</v>
      </c>
      <c r="C4224" s="47">
        <v>44428</v>
      </c>
      <c r="D4224" s="45">
        <v>22021002369</v>
      </c>
      <c r="E4224" s="46" t="s">
        <v>1336</v>
      </c>
      <c r="F4224" s="48">
        <v>182.17</v>
      </c>
      <c r="G4224" s="46" t="s">
        <v>235</v>
      </c>
      <c r="H4224" s="46" t="s">
        <v>5867</v>
      </c>
      <c r="I4224" s="45" t="s">
        <v>205</v>
      </c>
      <c r="J4224" s="46" t="s">
        <v>742</v>
      </c>
      <c r="K4224" s="46" t="s">
        <v>165</v>
      </c>
      <c r="L4224" s="46" t="s">
        <v>15</v>
      </c>
      <c r="M4224" s="46" t="s">
        <v>13</v>
      </c>
      <c r="N4224" s="46" t="s">
        <v>14</v>
      </c>
      <c r="O4224" s="49" t="s">
        <v>814</v>
      </c>
      <c r="P4224" s="49" t="s">
        <v>4910</v>
      </c>
      <c r="Q4224" s="35" t="str">
        <f>MID(Tabla1[[#This Row],[Aplicación]],14,1)</f>
        <v>2</v>
      </c>
      <c r="R4224" s="35" t="s">
        <v>495</v>
      </c>
      <c r="S4224" s="35" t="str">
        <f>MID(Tabla1[[#This Row],[Aplicación]],6,2)</f>
        <v>02</v>
      </c>
      <c r="T4224" s="35" t="str">
        <f>VLOOKUP(Tabla1[[#This Row],[AREA]],Hoja1!A:B,2,FALSE)</f>
        <v>02. Planeamiento urbanístico y vivienda</v>
      </c>
      <c r="U4224" s="35" t="str">
        <f>MID(Tabla1[[#This Row],[Aplicación]],9,4)</f>
        <v>9332</v>
      </c>
      <c r="V4224" s="35" t="str">
        <f>VLOOKUP(Tabla1[[#This Row],[PROGRAMA]],Hoja1!A:B,2,FALSE)</f>
        <v>9332. Mantenimiento de edificios e instalaciones municipales</v>
      </c>
      <c r="W4224" s="35" t="str">
        <f>MID(Tabla1[[#This Row],[Aplicación]],14,2)</f>
        <v>21</v>
      </c>
      <c r="X4224" s="35" t="str">
        <f>MID(Tabla1[[#This Row],[Aplicación]],14,6)</f>
        <v>212</v>
      </c>
    </row>
    <row r="4225" spans="1:24" x14ac:dyDescent="0.25">
      <c r="A4225" s="45">
        <v>220210053653</v>
      </c>
      <c r="B4225" s="46" t="s">
        <v>204</v>
      </c>
      <c r="C4225" s="47">
        <v>44452</v>
      </c>
      <c r="D4225" s="45">
        <v>22021002228</v>
      </c>
      <c r="E4225" s="46" t="s">
        <v>1471</v>
      </c>
      <c r="F4225" s="48">
        <v>112.13</v>
      </c>
      <c r="G4225" s="46" t="s">
        <v>235</v>
      </c>
      <c r="H4225" s="46" t="s">
        <v>5868</v>
      </c>
      <c r="I4225" s="45" t="s">
        <v>205</v>
      </c>
      <c r="J4225" s="46" t="s">
        <v>742</v>
      </c>
      <c r="K4225" s="46" t="s">
        <v>165</v>
      </c>
      <c r="L4225" s="46" t="s">
        <v>15</v>
      </c>
      <c r="M4225" s="46" t="s">
        <v>13</v>
      </c>
      <c r="N4225" s="46" t="s">
        <v>16</v>
      </c>
      <c r="O4225" s="49" t="s">
        <v>814</v>
      </c>
      <c r="P4225" s="49" t="s">
        <v>4910</v>
      </c>
      <c r="Q4225" s="35" t="str">
        <f>MID(Tabla1[[#This Row],[Aplicación]],14,1)</f>
        <v>2</v>
      </c>
      <c r="R4225" s="35" t="s">
        <v>495</v>
      </c>
      <c r="S4225" s="35" t="str">
        <f>MID(Tabla1[[#This Row],[Aplicación]],6,2)</f>
        <v>06</v>
      </c>
      <c r="T4225" s="35" t="str">
        <f>VLOOKUP(Tabla1[[#This Row],[AREA]],Hoja1!A:B,2,FALSE)</f>
        <v>06. Educación, infancia, juventud e igualdad</v>
      </c>
      <c r="U4225" s="35" t="str">
        <f>MID(Tabla1[[#This Row],[Aplicación]],9,4)</f>
        <v>3232</v>
      </c>
      <c r="V4225" s="35" t="str">
        <f>VLOOKUP(Tabla1[[#This Row],[PROGRAMA]],Hoja1!A:B,2,FALSE)</f>
        <v>3232. Conservación y mantenimiento centros educación infantil y primaria</v>
      </c>
      <c r="W4225" s="35" t="str">
        <f>MID(Tabla1[[#This Row],[Aplicación]],14,2)</f>
        <v>21</v>
      </c>
      <c r="X4225" s="35" t="str">
        <f>MID(Tabla1[[#This Row],[Aplicación]],14,6)</f>
        <v>212</v>
      </c>
    </row>
    <row r="4226" spans="1:24" x14ac:dyDescent="0.25">
      <c r="A4226" s="45">
        <v>220210047813</v>
      </c>
      <c r="B4226" s="46" t="s">
        <v>204</v>
      </c>
      <c r="C4226" s="47">
        <v>44425</v>
      </c>
      <c r="D4226" s="45">
        <v>22021002088</v>
      </c>
      <c r="E4226" s="46" t="s">
        <v>1478</v>
      </c>
      <c r="F4226" s="48">
        <v>64.239999999999995</v>
      </c>
      <c r="G4226" s="46" t="s">
        <v>235</v>
      </c>
      <c r="H4226" s="46" t="s">
        <v>5869</v>
      </c>
      <c r="I4226" s="45" t="s">
        <v>205</v>
      </c>
      <c r="J4226" s="46" t="s">
        <v>742</v>
      </c>
      <c r="K4226" s="46" t="s">
        <v>165</v>
      </c>
      <c r="L4226" s="46" t="s">
        <v>15</v>
      </c>
      <c r="M4226" s="46" t="s">
        <v>13</v>
      </c>
      <c r="N4226" s="46" t="s">
        <v>14</v>
      </c>
      <c r="O4226" s="49" t="s">
        <v>814</v>
      </c>
      <c r="P4226" s="49" t="s">
        <v>4910</v>
      </c>
      <c r="Q4226" s="35" t="str">
        <f>MID(Tabla1[[#This Row],[Aplicación]],14,1)</f>
        <v>2</v>
      </c>
      <c r="R4226" s="35" t="s">
        <v>495</v>
      </c>
      <c r="S4226" s="35" t="str">
        <f>MID(Tabla1[[#This Row],[Aplicación]],6,2)</f>
        <v>03</v>
      </c>
      <c r="T4226" s="35" t="str">
        <f>VLOOKUP(Tabla1[[#This Row],[AREA]],Hoja1!A:B,2,FALSE)</f>
        <v>03. Participación ciudadana y deportes</v>
      </c>
      <c r="U4226" s="35" t="str">
        <f>MID(Tabla1[[#This Row],[Aplicación]],9,4)</f>
        <v>9241</v>
      </c>
      <c r="V4226" s="35" t="str">
        <f>VLOOKUP(Tabla1[[#This Row],[PROGRAMA]],Hoja1!A:B,2,FALSE)</f>
        <v>9241. Participación ciudadana</v>
      </c>
      <c r="W4226" s="35" t="str">
        <f>MID(Tabla1[[#This Row],[Aplicación]],14,2)</f>
        <v>21</v>
      </c>
      <c r="X4226" s="35" t="str">
        <f>MID(Tabla1[[#This Row],[Aplicación]],14,6)</f>
        <v>212</v>
      </c>
    </row>
    <row r="4227" spans="1:24" x14ac:dyDescent="0.25">
      <c r="A4227" s="45">
        <v>220210048789</v>
      </c>
      <c r="B4227" s="46" t="s">
        <v>204</v>
      </c>
      <c r="C4227" s="47">
        <v>44428</v>
      </c>
      <c r="D4227" s="45">
        <v>22021002369</v>
      </c>
      <c r="E4227" s="46" t="s">
        <v>1336</v>
      </c>
      <c r="F4227" s="48">
        <v>35.619999999999997</v>
      </c>
      <c r="G4227" s="46" t="s">
        <v>235</v>
      </c>
      <c r="H4227" s="46" t="s">
        <v>5870</v>
      </c>
      <c r="I4227" s="45" t="s">
        <v>205</v>
      </c>
      <c r="J4227" s="46" t="s">
        <v>742</v>
      </c>
      <c r="K4227" s="46" t="s">
        <v>165</v>
      </c>
      <c r="L4227" s="46" t="s">
        <v>15</v>
      </c>
      <c r="M4227" s="46" t="s">
        <v>13</v>
      </c>
      <c r="N4227" s="46" t="s">
        <v>14</v>
      </c>
      <c r="O4227" s="49" t="s">
        <v>814</v>
      </c>
      <c r="P4227" s="49" t="s">
        <v>4910</v>
      </c>
      <c r="Q4227" s="35" t="str">
        <f>MID(Tabla1[[#This Row],[Aplicación]],14,1)</f>
        <v>2</v>
      </c>
      <c r="R4227" s="35" t="s">
        <v>495</v>
      </c>
      <c r="S4227" s="35" t="str">
        <f>MID(Tabla1[[#This Row],[Aplicación]],6,2)</f>
        <v>02</v>
      </c>
      <c r="T4227" s="35" t="str">
        <f>VLOOKUP(Tabla1[[#This Row],[AREA]],Hoja1!A:B,2,FALSE)</f>
        <v>02. Planeamiento urbanístico y vivienda</v>
      </c>
      <c r="U4227" s="35" t="str">
        <f>MID(Tabla1[[#This Row],[Aplicación]],9,4)</f>
        <v>9332</v>
      </c>
      <c r="V4227" s="35" t="str">
        <f>VLOOKUP(Tabla1[[#This Row],[PROGRAMA]],Hoja1!A:B,2,FALSE)</f>
        <v>9332. Mantenimiento de edificios e instalaciones municipales</v>
      </c>
      <c r="W4227" s="35" t="str">
        <f>MID(Tabla1[[#This Row],[Aplicación]],14,2)</f>
        <v>21</v>
      </c>
      <c r="X4227" s="35" t="str">
        <f>MID(Tabla1[[#This Row],[Aplicación]],14,6)</f>
        <v>212</v>
      </c>
    </row>
    <row r="4228" spans="1:24" x14ac:dyDescent="0.25">
      <c r="A4228" s="45">
        <v>220210053462</v>
      </c>
      <c r="B4228" s="46" t="s">
        <v>204</v>
      </c>
      <c r="C4228" s="47">
        <v>44452</v>
      </c>
      <c r="D4228" s="45">
        <v>22021001038</v>
      </c>
      <c r="E4228" s="46" t="s">
        <v>844</v>
      </c>
      <c r="F4228" s="48">
        <v>27.37</v>
      </c>
      <c r="G4228" s="46" t="s">
        <v>235</v>
      </c>
      <c r="H4228" s="46" t="s">
        <v>5871</v>
      </c>
      <c r="I4228" s="45" t="s">
        <v>205</v>
      </c>
      <c r="J4228" s="46" t="s">
        <v>742</v>
      </c>
      <c r="K4228" s="46" t="s">
        <v>165</v>
      </c>
      <c r="L4228" s="46" t="s">
        <v>15</v>
      </c>
      <c r="M4228" s="46" t="s">
        <v>13</v>
      </c>
      <c r="N4228" s="46" t="s">
        <v>14</v>
      </c>
      <c r="O4228" s="49" t="s">
        <v>814</v>
      </c>
      <c r="P4228" s="49" t="s">
        <v>4910</v>
      </c>
      <c r="Q4228" s="35" t="str">
        <f>MID(Tabla1[[#This Row],[Aplicación]],14,1)</f>
        <v>2</v>
      </c>
      <c r="R4228" s="35" t="s">
        <v>495</v>
      </c>
      <c r="S4228" s="35" t="str">
        <f>MID(Tabla1[[#This Row],[Aplicación]],6,2)</f>
        <v>10</v>
      </c>
      <c r="T4228" s="35" t="str">
        <f>VLOOKUP(Tabla1[[#This Row],[AREA]],Hoja1!A:B,2,FALSE)</f>
        <v>10. Servicios sociales y mediación comunitaria</v>
      </c>
      <c r="U4228" s="35" t="str">
        <f>MID(Tabla1[[#This Row],[Aplicación]],9,4)</f>
        <v>2312</v>
      </c>
      <c r="V4228" s="35" t="str">
        <f>VLOOKUP(Tabla1[[#This Row],[PROGRAMA]],Hoja1!A:B,2,FALSE)</f>
        <v>2312. Iniciativas sociales</v>
      </c>
      <c r="W4228" s="35" t="str">
        <f>MID(Tabla1[[#This Row],[Aplicación]],14,2)</f>
        <v>21</v>
      </c>
      <c r="X4228" s="35" t="str">
        <f>MID(Tabla1[[#This Row],[Aplicación]],14,6)</f>
        <v>212</v>
      </c>
    </row>
    <row r="4229" spans="1:24" x14ac:dyDescent="0.25">
      <c r="A4229" s="45">
        <v>220210050105</v>
      </c>
      <c r="B4229" s="46" t="s">
        <v>204</v>
      </c>
      <c r="C4229" s="47">
        <v>44435</v>
      </c>
      <c r="D4229" s="45">
        <v>22021002088</v>
      </c>
      <c r="E4229" s="46" t="s">
        <v>1478</v>
      </c>
      <c r="F4229" s="48">
        <v>26.95</v>
      </c>
      <c r="G4229" s="46" t="s">
        <v>235</v>
      </c>
      <c r="H4229" s="46" t="s">
        <v>5872</v>
      </c>
      <c r="I4229" s="45" t="s">
        <v>205</v>
      </c>
      <c r="J4229" s="46" t="s">
        <v>742</v>
      </c>
      <c r="K4229" s="46" t="s">
        <v>165</v>
      </c>
      <c r="L4229" s="46" t="s">
        <v>15</v>
      </c>
      <c r="M4229" s="46" t="s">
        <v>13</v>
      </c>
      <c r="N4229" s="46" t="s">
        <v>14</v>
      </c>
      <c r="O4229" s="49" t="s">
        <v>814</v>
      </c>
      <c r="P4229" s="49" t="s">
        <v>4910</v>
      </c>
      <c r="Q4229" s="35" t="str">
        <f>MID(Tabla1[[#This Row],[Aplicación]],14,1)</f>
        <v>2</v>
      </c>
      <c r="R4229" s="35" t="s">
        <v>495</v>
      </c>
      <c r="S4229" s="35" t="str">
        <f>MID(Tabla1[[#This Row],[Aplicación]],6,2)</f>
        <v>03</v>
      </c>
      <c r="T4229" s="35" t="str">
        <f>VLOOKUP(Tabla1[[#This Row],[AREA]],Hoja1!A:B,2,FALSE)</f>
        <v>03. Participación ciudadana y deportes</v>
      </c>
      <c r="U4229" s="35" t="str">
        <f>MID(Tabla1[[#This Row],[Aplicación]],9,4)</f>
        <v>9241</v>
      </c>
      <c r="V4229" s="35" t="str">
        <f>VLOOKUP(Tabla1[[#This Row],[PROGRAMA]],Hoja1!A:B,2,FALSE)</f>
        <v>9241. Participación ciudadana</v>
      </c>
      <c r="W4229" s="35" t="str">
        <f>MID(Tabla1[[#This Row],[Aplicación]],14,2)</f>
        <v>21</v>
      </c>
      <c r="X4229" s="35" t="str">
        <f>MID(Tabla1[[#This Row],[Aplicación]],14,6)</f>
        <v>212</v>
      </c>
    </row>
    <row r="4230" spans="1:24" x14ac:dyDescent="0.25">
      <c r="A4230" s="45">
        <v>220210049869</v>
      </c>
      <c r="B4230" s="46" t="s">
        <v>204</v>
      </c>
      <c r="C4230" s="47">
        <v>44433</v>
      </c>
      <c r="D4230" s="45">
        <v>22021001968</v>
      </c>
      <c r="E4230" s="46" t="s">
        <v>1388</v>
      </c>
      <c r="F4230" s="48">
        <v>12.55</v>
      </c>
      <c r="G4230" s="46" t="s">
        <v>235</v>
      </c>
      <c r="H4230" s="46" t="s">
        <v>5873</v>
      </c>
      <c r="I4230" s="45" t="s">
        <v>205</v>
      </c>
      <c r="J4230" s="46" t="s">
        <v>742</v>
      </c>
      <c r="K4230" s="46" t="s">
        <v>165</v>
      </c>
      <c r="L4230" s="46" t="s">
        <v>15</v>
      </c>
      <c r="M4230" s="46" t="s">
        <v>13</v>
      </c>
      <c r="N4230" s="46" t="s">
        <v>14</v>
      </c>
      <c r="O4230" s="49" t="s">
        <v>814</v>
      </c>
      <c r="P4230" s="49" t="s">
        <v>4910</v>
      </c>
      <c r="Q4230" s="35" t="str">
        <f>MID(Tabla1[[#This Row],[Aplicación]],14,1)</f>
        <v>2</v>
      </c>
      <c r="R4230" s="35" t="s">
        <v>495</v>
      </c>
      <c r="S4230" s="35" t="str">
        <f>MID(Tabla1[[#This Row],[Aplicación]],6,2)</f>
        <v>11</v>
      </c>
      <c r="T4230" s="35" t="str">
        <f>VLOOKUP(Tabla1[[#This Row],[AREA]],Hoja1!A:B,2,FALSE)</f>
        <v>11. Salud pública y seguridad ciudadana</v>
      </c>
      <c r="U4230" s="35" t="str">
        <f>MID(Tabla1[[#This Row],[Aplicación]],9,4)</f>
        <v>1321</v>
      </c>
      <c r="V4230" s="35" t="str">
        <f>VLOOKUP(Tabla1[[#This Row],[PROGRAMA]],Hoja1!A:B,2,FALSE)</f>
        <v>1321. Policía municipal</v>
      </c>
      <c r="W4230" s="35" t="str">
        <f>MID(Tabla1[[#This Row],[Aplicación]],14,2)</f>
        <v>22</v>
      </c>
      <c r="X4230" s="35" t="str">
        <f>MID(Tabla1[[#This Row],[Aplicación]],14,6)</f>
        <v>22199</v>
      </c>
    </row>
    <row r="4231" spans="1:24" x14ac:dyDescent="0.25">
      <c r="A4231" s="45">
        <v>220210040088</v>
      </c>
      <c r="B4231" s="46" t="s">
        <v>204</v>
      </c>
      <c r="C4231" s="47">
        <v>44396</v>
      </c>
      <c r="D4231" s="45">
        <v>22021002089</v>
      </c>
      <c r="E4231" s="46" t="s">
        <v>1220</v>
      </c>
      <c r="F4231" s="48">
        <v>142.33000000000001</v>
      </c>
      <c r="G4231" s="46" t="s">
        <v>277</v>
      </c>
      <c r="H4231" s="46" t="s">
        <v>5874</v>
      </c>
      <c r="I4231" s="45" t="s">
        <v>205</v>
      </c>
      <c r="J4231" s="46" t="s">
        <v>127</v>
      </c>
      <c r="K4231" s="46" t="s">
        <v>127</v>
      </c>
      <c r="L4231" s="46" t="s">
        <v>15</v>
      </c>
      <c r="M4231" s="46" t="s">
        <v>13</v>
      </c>
      <c r="N4231" s="46" t="s">
        <v>16</v>
      </c>
      <c r="O4231" s="49" t="s">
        <v>814</v>
      </c>
      <c r="P4231" s="49" t="s">
        <v>4910</v>
      </c>
      <c r="Q4231" s="35" t="str">
        <f>MID(Tabla1[[#This Row],[Aplicación]],14,1)</f>
        <v>2</v>
      </c>
      <c r="R4231" s="35" t="s">
        <v>495</v>
      </c>
      <c r="S4231" s="35" t="str">
        <f>MID(Tabla1[[#This Row],[Aplicación]],6,2)</f>
        <v>03</v>
      </c>
      <c r="T4231" s="35" t="str">
        <f>VLOOKUP(Tabla1[[#This Row],[AREA]],Hoja1!A:B,2,FALSE)</f>
        <v>03. Participación ciudadana y deportes</v>
      </c>
      <c r="U4231" s="35" t="str">
        <f>MID(Tabla1[[#This Row],[Aplicación]],9,4)</f>
        <v>9241</v>
      </c>
      <c r="V4231" s="35" t="str">
        <f>VLOOKUP(Tabla1[[#This Row],[PROGRAMA]],Hoja1!A:B,2,FALSE)</f>
        <v>9241. Participación ciudadana</v>
      </c>
      <c r="W4231" s="35" t="str">
        <f>MID(Tabla1[[#This Row],[Aplicación]],14,2)</f>
        <v>21</v>
      </c>
      <c r="X4231" s="35" t="str">
        <f>MID(Tabla1[[#This Row],[Aplicación]],14,6)</f>
        <v>213</v>
      </c>
    </row>
    <row r="4232" spans="1:24" x14ac:dyDescent="0.25">
      <c r="A4232" s="45">
        <v>220210036821</v>
      </c>
      <c r="B4232" s="46" t="s">
        <v>204</v>
      </c>
      <c r="C4232" s="47">
        <v>44386</v>
      </c>
      <c r="D4232" s="45">
        <v>22021002057</v>
      </c>
      <c r="E4232" s="46" t="s">
        <v>1715</v>
      </c>
      <c r="F4232" s="48">
        <v>119.45</v>
      </c>
      <c r="G4232" s="46" t="s">
        <v>277</v>
      </c>
      <c r="H4232" s="46" t="s">
        <v>5875</v>
      </c>
      <c r="I4232" s="45" t="s">
        <v>205</v>
      </c>
      <c r="J4232" s="46" t="s">
        <v>127</v>
      </c>
      <c r="K4232" s="46" t="s">
        <v>127</v>
      </c>
      <c r="L4232" s="46" t="s">
        <v>15</v>
      </c>
      <c r="M4232" s="46" t="s">
        <v>13</v>
      </c>
      <c r="N4232" s="46" t="s">
        <v>14</v>
      </c>
      <c r="O4232" s="49" t="s">
        <v>814</v>
      </c>
      <c r="P4232" s="49" t="s">
        <v>4910</v>
      </c>
      <c r="Q4232" s="35" t="str">
        <f>MID(Tabla1[[#This Row],[Aplicación]],14,1)</f>
        <v>2</v>
      </c>
      <c r="R4232" s="35" t="s">
        <v>495</v>
      </c>
      <c r="S4232" s="35" t="str">
        <f>MID(Tabla1[[#This Row],[Aplicación]],6,2)</f>
        <v>11</v>
      </c>
      <c r="T4232" s="35" t="str">
        <f>VLOOKUP(Tabla1[[#This Row],[AREA]],Hoja1!A:B,2,FALSE)</f>
        <v>11. Salud pública y seguridad ciudadana</v>
      </c>
      <c r="U4232" s="35" t="str">
        <f>MID(Tabla1[[#This Row],[Aplicación]],9,4)</f>
        <v>1631</v>
      </c>
      <c r="V4232" s="35" t="str">
        <f>VLOOKUP(Tabla1[[#This Row],[PROGRAMA]],Hoja1!A:B,2,FALSE)</f>
        <v>1631. Limpieza viaria</v>
      </c>
      <c r="W4232" s="35" t="str">
        <f>MID(Tabla1[[#This Row],[Aplicación]],14,2)</f>
        <v>22</v>
      </c>
      <c r="X4232" s="35" t="str">
        <f>MID(Tabla1[[#This Row],[Aplicación]],14,6)</f>
        <v>22199</v>
      </c>
    </row>
    <row r="4233" spans="1:24" x14ac:dyDescent="0.25">
      <c r="A4233" s="45">
        <v>220210036414</v>
      </c>
      <c r="B4233" s="46" t="s">
        <v>204</v>
      </c>
      <c r="C4233" s="47">
        <v>44384</v>
      </c>
      <c r="D4233" s="45">
        <v>22021002228</v>
      </c>
      <c r="E4233" s="46" t="s">
        <v>1471</v>
      </c>
      <c r="F4233" s="48">
        <v>109.07</v>
      </c>
      <c r="G4233" s="46" t="s">
        <v>277</v>
      </c>
      <c r="H4233" s="46" t="s">
        <v>5876</v>
      </c>
      <c r="I4233" s="45" t="s">
        <v>205</v>
      </c>
      <c r="J4233" s="46" t="s">
        <v>127</v>
      </c>
      <c r="K4233" s="46" t="s">
        <v>127</v>
      </c>
      <c r="L4233" s="46" t="s">
        <v>15</v>
      </c>
      <c r="M4233" s="46" t="s">
        <v>13</v>
      </c>
      <c r="N4233" s="46" t="s">
        <v>16</v>
      </c>
      <c r="O4233" s="49" t="s">
        <v>814</v>
      </c>
      <c r="P4233" s="49" t="s">
        <v>4910</v>
      </c>
      <c r="Q4233" s="35" t="str">
        <f>MID(Tabla1[[#This Row],[Aplicación]],14,1)</f>
        <v>2</v>
      </c>
      <c r="R4233" s="35" t="s">
        <v>495</v>
      </c>
      <c r="S4233" s="35" t="str">
        <f>MID(Tabla1[[#This Row],[Aplicación]],6,2)</f>
        <v>06</v>
      </c>
      <c r="T4233" s="35" t="str">
        <f>VLOOKUP(Tabla1[[#This Row],[AREA]],Hoja1!A:B,2,FALSE)</f>
        <v>06. Educación, infancia, juventud e igualdad</v>
      </c>
      <c r="U4233" s="35" t="str">
        <f>MID(Tabla1[[#This Row],[Aplicación]],9,4)</f>
        <v>3232</v>
      </c>
      <c r="V4233" s="35" t="str">
        <f>VLOOKUP(Tabla1[[#This Row],[PROGRAMA]],Hoja1!A:B,2,FALSE)</f>
        <v>3232. Conservación y mantenimiento centros educación infantil y primaria</v>
      </c>
      <c r="W4233" s="35" t="str">
        <f>MID(Tabla1[[#This Row],[Aplicación]],14,2)</f>
        <v>21</v>
      </c>
      <c r="X4233" s="35" t="str">
        <f>MID(Tabla1[[#This Row],[Aplicación]],14,6)</f>
        <v>212</v>
      </c>
    </row>
    <row r="4234" spans="1:24" x14ac:dyDescent="0.25">
      <c r="A4234" s="45">
        <v>220210040086</v>
      </c>
      <c r="B4234" s="46" t="s">
        <v>204</v>
      </c>
      <c r="C4234" s="47">
        <v>44396</v>
      </c>
      <c r="D4234" s="45">
        <v>22021002089</v>
      </c>
      <c r="E4234" s="46" t="s">
        <v>1220</v>
      </c>
      <c r="F4234" s="48">
        <v>60.99</v>
      </c>
      <c r="G4234" s="46" t="s">
        <v>277</v>
      </c>
      <c r="H4234" s="46" t="s">
        <v>5877</v>
      </c>
      <c r="I4234" s="45" t="s">
        <v>205</v>
      </c>
      <c r="J4234" s="46" t="s">
        <v>127</v>
      </c>
      <c r="K4234" s="46" t="s">
        <v>127</v>
      </c>
      <c r="L4234" s="46" t="s">
        <v>15</v>
      </c>
      <c r="M4234" s="46" t="s">
        <v>13</v>
      </c>
      <c r="N4234" s="46" t="s">
        <v>16</v>
      </c>
      <c r="O4234" s="49" t="s">
        <v>814</v>
      </c>
      <c r="P4234" s="49" t="s">
        <v>4910</v>
      </c>
      <c r="Q4234" s="35" t="str">
        <f>MID(Tabla1[[#This Row],[Aplicación]],14,1)</f>
        <v>2</v>
      </c>
      <c r="R4234" s="35" t="s">
        <v>495</v>
      </c>
      <c r="S4234" s="35" t="str">
        <f>MID(Tabla1[[#This Row],[Aplicación]],6,2)</f>
        <v>03</v>
      </c>
      <c r="T4234" s="35" t="str">
        <f>VLOOKUP(Tabla1[[#This Row],[AREA]],Hoja1!A:B,2,FALSE)</f>
        <v>03. Participación ciudadana y deportes</v>
      </c>
      <c r="U4234" s="35" t="str">
        <f>MID(Tabla1[[#This Row],[Aplicación]],9,4)</f>
        <v>9241</v>
      </c>
      <c r="V4234" s="35" t="str">
        <f>VLOOKUP(Tabla1[[#This Row],[PROGRAMA]],Hoja1!A:B,2,FALSE)</f>
        <v>9241. Participación ciudadana</v>
      </c>
      <c r="W4234" s="35" t="str">
        <f>MID(Tabla1[[#This Row],[Aplicación]],14,2)</f>
        <v>21</v>
      </c>
      <c r="X4234" s="35" t="str">
        <f>MID(Tabla1[[#This Row],[Aplicación]],14,6)</f>
        <v>213</v>
      </c>
    </row>
    <row r="4235" spans="1:24" x14ac:dyDescent="0.25">
      <c r="A4235" s="45">
        <v>220210036785</v>
      </c>
      <c r="B4235" s="46" t="s">
        <v>204</v>
      </c>
      <c r="C4235" s="47">
        <v>44386</v>
      </c>
      <c r="D4235" s="45">
        <v>22021002369</v>
      </c>
      <c r="E4235" s="46" t="s">
        <v>1336</v>
      </c>
      <c r="F4235" s="48">
        <v>51.55</v>
      </c>
      <c r="G4235" s="46" t="s">
        <v>277</v>
      </c>
      <c r="H4235" s="46" t="s">
        <v>5878</v>
      </c>
      <c r="I4235" s="45" t="s">
        <v>205</v>
      </c>
      <c r="J4235" s="46" t="s">
        <v>127</v>
      </c>
      <c r="K4235" s="46" t="s">
        <v>127</v>
      </c>
      <c r="L4235" s="46" t="s">
        <v>15</v>
      </c>
      <c r="M4235" s="46" t="s">
        <v>13</v>
      </c>
      <c r="N4235" s="46" t="s">
        <v>14</v>
      </c>
      <c r="O4235" s="49" t="s">
        <v>814</v>
      </c>
      <c r="P4235" s="49" t="s">
        <v>4910</v>
      </c>
      <c r="Q4235" s="35" t="str">
        <f>MID(Tabla1[[#This Row],[Aplicación]],14,1)</f>
        <v>2</v>
      </c>
      <c r="R4235" s="35" t="s">
        <v>495</v>
      </c>
      <c r="S4235" s="35" t="str">
        <f>MID(Tabla1[[#This Row],[Aplicación]],6,2)</f>
        <v>02</v>
      </c>
      <c r="T4235" s="35" t="str">
        <f>VLOOKUP(Tabla1[[#This Row],[AREA]],Hoja1!A:B,2,FALSE)</f>
        <v>02. Planeamiento urbanístico y vivienda</v>
      </c>
      <c r="U4235" s="35" t="str">
        <f>MID(Tabla1[[#This Row],[Aplicación]],9,4)</f>
        <v>9332</v>
      </c>
      <c r="V4235" s="35" t="str">
        <f>VLOOKUP(Tabla1[[#This Row],[PROGRAMA]],Hoja1!A:B,2,FALSE)</f>
        <v>9332. Mantenimiento de edificios e instalaciones municipales</v>
      </c>
      <c r="W4235" s="35" t="str">
        <f>MID(Tabla1[[#This Row],[Aplicación]],14,2)</f>
        <v>21</v>
      </c>
      <c r="X4235" s="35" t="str">
        <f>MID(Tabla1[[#This Row],[Aplicación]],14,6)</f>
        <v>212</v>
      </c>
    </row>
    <row r="4236" spans="1:24" x14ac:dyDescent="0.25">
      <c r="A4236" s="45">
        <v>220210036404</v>
      </c>
      <c r="B4236" s="46" t="s">
        <v>204</v>
      </c>
      <c r="C4236" s="47">
        <v>44384</v>
      </c>
      <c r="D4236" s="45">
        <v>22021002228</v>
      </c>
      <c r="E4236" s="46" t="s">
        <v>1471</v>
      </c>
      <c r="F4236" s="48">
        <v>44.64</v>
      </c>
      <c r="G4236" s="46" t="s">
        <v>277</v>
      </c>
      <c r="H4236" s="46" t="s">
        <v>5879</v>
      </c>
      <c r="I4236" s="45" t="s">
        <v>205</v>
      </c>
      <c r="J4236" s="46" t="s">
        <v>127</v>
      </c>
      <c r="K4236" s="46" t="s">
        <v>127</v>
      </c>
      <c r="L4236" s="46" t="s">
        <v>15</v>
      </c>
      <c r="M4236" s="46" t="s">
        <v>13</v>
      </c>
      <c r="N4236" s="46" t="s">
        <v>16</v>
      </c>
      <c r="O4236" s="49" t="s">
        <v>814</v>
      </c>
      <c r="P4236" s="49" t="s">
        <v>4910</v>
      </c>
      <c r="Q4236" s="35" t="str">
        <f>MID(Tabla1[[#This Row],[Aplicación]],14,1)</f>
        <v>2</v>
      </c>
      <c r="R4236" s="35" t="s">
        <v>495</v>
      </c>
      <c r="S4236" s="35" t="str">
        <f>MID(Tabla1[[#This Row],[Aplicación]],6,2)</f>
        <v>06</v>
      </c>
      <c r="T4236" s="35" t="str">
        <f>VLOOKUP(Tabla1[[#This Row],[AREA]],Hoja1!A:B,2,FALSE)</f>
        <v>06. Educación, infancia, juventud e igualdad</v>
      </c>
      <c r="U4236" s="35" t="str">
        <f>MID(Tabla1[[#This Row],[Aplicación]],9,4)</f>
        <v>3232</v>
      </c>
      <c r="V4236" s="35" t="str">
        <f>VLOOKUP(Tabla1[[#This Row],[PROGRAMA]],Hoja1!A:B,2,FALSE)</f>
        <v>3232. Conservación y mantenimiento centros educación infantil y primaria</v>
      </c>
      <c r="W4236" s="35" t="str">
        <f>MID(Tabla1[[#This Row],[Aplicación]],14,2)</f>
        <v>21</v>
      </c>
      <c r="X4236" s="35" t="str">
        <f>MID(Tabla1[[#This Row],[Aplicación]],14,6)</f>
        <v>212</v>
      </c>
    </row>
    <row r="4237" spans="1:24" x14ac:dyDescent="0.25">
      <c r="A4237" s="45">
        <v>220210036418</v>
      </c>
      <c r="B4237" s="46" t="s">
        <v>204</v>
      </c>
      <c r="C4237" s="47">
        <v>44384</v>
      </c>
      <c r="D4237" s="45">
        <v>22021002228</v>
      </c>
      <c r="E4237" s="46" t="s">
        <v>1471</v>
      </c>
      <c r="F4237" s="48">
        <v>39.450000000000003</v>
      </c>
      <c r="G4237" s="46" t="s">
        <v>277</v>
      </c>
      <c r="H4237" s="46" t="s">
        <v>5880</v>
      </c>
      <c r="I4237" s="45" t="s">
        <v>205</v>
      </c>
      <c r="J4237" s="46" t="s">
        <v>127</v>
      </c>
      <c r="K4237" s="46" t="s">
        <v>127</v>
      </c>
      <c r="L4237" s="46" t="s">
        <v>15</v>
      </c>
      <c r="M4237" s="46" t="s">
        <v>13</v>
      </c>
      <c r="N4237" s="46" t="s">
        <v>16</v>
      </c>
      <c r="O4237" s="49" t="s">
        <v>814</v>
      </c>
      <c r="P4237" s="49" t="s">
        <v>4910</v>
      </c>
      <c r="Q4237" s="35" t="str">
        <f>MID(Tabla1[[#This Row],[Aplicación]],14,1)</f>
        <v>2</v>
      </c>
      <c r="R4237" s="35" t="s">
        <v>495</v>
      </c>
      <c r="S4237" s="35" t="str">
        <f>MID(Tabla1[[#This Row],[Aplicación]],6,2)</f>
        <v>06</v>
      </c>
      <c r="T4237" s="35" t="str">
        <f>VLOOKUP(Tabla1[[#This Row],[AREA]],Hoja1!A:B,2,FALSE)</f>
        <v>06. Educación, infancia, juventud e igualdad</v>
      </c>
      <c r="U4237" s="35" t="str">
        <f>MID(Tabla1[[#This Row],[Aplicación]],9,4)</f>
        <v>3232</v>
      </c>
      <c r="V4237" s="35" t="str">
        <f>VLOOKUP(Tabla1[[#This Row],[PROGRAMA]],Hoja1!A:B,2,FALSE)</f>
        <v>3232. Conservación y mantenimiento centros educación infantil y primaria</v>
      </c>
      <c r="W4237" s="35" t="str">
        <f>MID(Tabla1[[#This Row],[Aplicación]],14,2)</f>
        <v>21</v>
      </c>
      <c r="X4237" s="35" t="str">
        <f>MID(Tabla1[[#This Row],[Aplicación]],14,6)</f>
        <v>212</v>
      </c>
    </row>
    <row r="4238" spans="1:24" x14ac:dyDescent="0.25">
      <c r="A4238" s="45">
        <v>220210036416</v>
      </c>
      <c r="B4238" s="46" t="s">
        <v>204</v>
      </c>
      <c r="C4238" s="47">
        <v>44384</v>
      </c>
      <c r="D4238" s="45">
        <v>22021002228</v>
      </c>
      <c r="E4238" s="46" t="s">
        <v>1471</v>
      </c>
      <c r="F4238" s="48">
        <v>24.56</v>
      </c>
      <c r="G4238" s="46" t="s">
        <v>277</v>
      </c>
      <c r="H4238" s="46" t="s">
        <v>5881</v>
      </c>
      <c r="I4238" s="45" t="s">
        <v>205</v>
      </c>
      <c r="J4238" s="46" t="s">
        <v>127</v>
      </c>
      <c r="K4238" s="46" t="s">
        <v>127</v>
      </c>
      <c r="L4238" s="46" t="s">
        <v>15</v>
      </c>
      <c r="M4238" s="46" t="s">
        <v>13</v>
      </c>
      <c r="N4238" s="46" t="s">
        <v>16</v>
      </c>
      <c r="O4238" s="49" t="s">
        <v>814</v>
      </c>
      <c r="P4238" s="49" t="s">
        <v>4910</v>
      </c>
      <c r="Q4238" s="35" t="str">
        <f>MID(Tabla1[[#This Row],[Aplicación]],14,1)</f>
        <v>2</v>
      </c>
      <c r="R4238" s="35" t="s">
        <v>495</v>
      </c>
      <c r="S4238" s="35" t="str">
        <f>MID(Tabla1[[#This Row],[Aplicación]],6,2)</f>
        <v>06</v>
      </c>
      <c r="T4238" s="35" t="str">
        <f>VLOOKUP(Tabla1[[#This Row],[AREA]],Hoja1!A:B,2,FALSE)</f>
        <v>06. Educación, infancia, juventud e igualdad</v>
      </c>
      <c r="U4238" s="35" t="str">
        <f>MID(Tabla1[[#This Row],[Aplicación]],9,4)</f>
        <v>3232</v>
      </c>
      <c r="V4238" s="35" t="str">
        <f>VLOOKUP(Tabla1[[#This Row],[PROGRAMA]],Hoja1!A:B,2,FALSE)</f>
        <v>3232. Conservación y mantenimiento centros educación infantil y primaria</v>
      </c>
      <c r="W4238" s="35" t="str">
        <f>MID(Tabla1[[#This Row],[Aplicación]],14,2)</f>
        <v>21</v>
      </c>
      <c r="X4238" s="35" t="str">
        <f>MID(Tabla1[[#This Row],[Aplicación]],14,6)</f>
        <v>212</v>
      </c>
    </row>
    <row r="4239" spans="1:24" x14ac:dyDescent="0.25">
      <c r="A4239" s="45">
        <v>220210036427</v>
      </c>
      <c r="B4239" s="46" t="s">
        <v>204</v>
      </c>
      <c r="C4239" s="47">
        <v>44384</v>
      </c>
      <c r="D4239" s="45">
        <v>22021001038</v>
      </c>
      <c r="E4239" s="46" t="s">
        <v>844</v>
      </c>
      <c r="F4239" s="48">
        <v>23.93</v>
      </c>
      <c r="G4239" s="46" t="s">
        <v>277</v>
      </c>
      <c r="H4239" s="46" t="s">
        <v>5882</v>
      </c>
      <c r="I4239" s="45" t="s">
        <v>205</v>
      </c>
      <c r="J4239" s="46" t="s">
        <v>127</v>
      </c>
      <c r="K4239" s="46" t="s">
        <v>127</v>
      </c>
      <c r="L4239" s="46" t="s">
        <v>15</v>
      </c>
      <c r="M4239" s="46" t="s">
        <v>13</v>
      </c>
      <c r="N4239" s="46" t="s">
        <v>14</v>
      </c>
      <c r="O4239" s="49" t="s">
        <v>814</v>
      </c>
      <c r="P4239" s="49" t="s">
        <v>4910</v>
      </c>
      <c r="Q4239" s="35" t="str">
        <f>MID(Tabla1[[#This Row],[Aplicación]],14,1)</f>
        <v>2</v>
      </c>
      <c r="R4239" s="35" t="s">
        <v>495</v>
      </c>
      <c r="S4239" s="35" t="str">
        <f>MID(Tabla1[[#This Row],[Aplicación]],6,2)</f>
        <v>10</v>
      </c>
      <c r="T4239" s="35" t="str">
        <f>VLOOKUP(Tabla1[[#This Row],[AREA]],Hoja1!A:B,2,FALSE)</f>
        <v>10. Servicios sociales y mediación comunitaria</v>
      </c>
      <c r="U4239" s="35" t="str">
        <f>MID(Tabla1[[#This Row],[Aplicación]],9,4)</f>
        <v>2312</v>
      </c>
      <c r="V4239" s="35" t="str">
        <f>VLOOKUP(Tabla1[[#This Row],[PROGRAMA]],Hoja1!A:B,2,FALSE)</f>
        <v>2312. Iniciativas sociales</v>
      </c>
      <c r="W4239" s="35" t="str">
        <f>MID(Tabla1[[#This Row],[Aplicación]],14,2)</f>
        <v>21</v>
      </c>
      <c r="X4239" s="35" t="str">
        <f>MID(Tabla1[[#This Row],[Aplicación]],14,6)</f>
        <v>212</v>
      </c>
    </row>
    <row r="4240" spans="1:24" x14ac:dyDescent="0.25">
      <c r="A4240" s="45">
        <v>220210036420</v>
      </c>
      <c r="B4240" s="46" t="s">
        <v>204</v>
      </c>
      <c r="C4240" s="47">
        <v>44384</v>
      </c>
      <c r="D4240" s="45">
        <v>22021002228</v>
      </c>
      <c r="E4240" s="46" t="s">
        <v>1471</v>
      </c>
      <c r="F4240" s="48">
        <v>7.5</v>
      </c>
      <c r="G4240" s="46" t="s">
        <v>277</v>
      </c>
      <c r="H4240" s="46" t="s">
        <v>5883</v>
      </c>
      <c r="I4240" s="45" t="s">
        <v>205</v>
      </c>
      <c r="J4240" s="46" t="s">
        <v>127</v>
      </c>
      <c r="K4240" s="46" t="s">
        <v>127</v>
      </c>
      <c r="L4240" s="46" t="s">
        <v>15</v>
      </c>
      <c r="M4240" s="46" t="s">
        <v>13</v>
      </c>
      <c r="N4240" s="46" t="s">
        <v>16</v>
      </c>
      <c r="O4240" s="49" t="s">
        <v>814</v>
      </c>
      <c r="P4240" s="49" t="s">
        <v>4910</v>
      </c>
      <c r="Q4240" s="35" t="str">
        <f>MID(Tabla1[[#This Row],[Aplicación]],14,1)</f>
        <v>2</v>
      </c>
      <c r="R4240" s="35" t="s">
        <v>495</v>
      </c>
      <c r="S4240" s="35" t="str">
        <f>MID(Tabla1[[#This Row],[Aplicación]],6,2)</f>
        <v>06</v>
      </c>
      <c r="T4240" s="35" t="str">
        <f>VLOOKUP(Tabla1[[#This Row],[AREA]],Hoja1!A:B,2,FALSE)</f>
        <v>06. Educación, infancia, juventud e igualdad</v>
      </c>
      <c r="U4240" s="35" t="str">
        <f>MID(Tabla1[[#This Row],[Aplicación]],9,4)</f>
        <v>3232</v>
      </c>
      <c r="V4240" s="35" t="str">
        <f>VLOOKUP(Tabla1[[#This Row],[PROGRAMA]],Hoja1!A:B,2,FALSE)</f>
        <v>3232. Conservación y mantenimiento centros educación infantil y primaria</v>
      </c>
      <c r="W4240" s="35" t="str">
        <f>MID(Tabla1[[#This Row],[Aplicación]],14,2)</f>
        <v>21</v>
      </c>
      <c r="X4240" s="35" t="str">
        <f>MID(Tabla1[[#This Row],[Aplicación]],14,6)</f>
        <v>212</v>
      </c>
    </row>
    <row r="4241" spans="1:24" x14ac:dyDescent="0.25">
      <c r="A4241" s="45">
        <v>220210050170</v>
      </c>
      <c r="B4241" s="46" t="s">
        <v>204</v>
      </c>
      <c r="C4241" s="47">
        <v>44435</v>
      </c>
      <c r="D4241" s="45">
        <v>22021001968</v>
      </c>
      <c r="E4241" s="46" t="s">
        <v>1388</v>
      </c>
      <c r="F4241" s="48">
        <v>92.71</v>
      </c>
      <c r="G4241" s="46" t="s">
        <v>277</v>
      </c>
      <c r="H4241" s="46" t="s">
        <v>5884</v>
      </c>
      <c r="I4241" s="45" t="s">
        <v>205</v>
      </c>
      <c r="J4241" s="46" t="s">
        <v>127</v>
      </c>
      <c r="K4241" s="46" t="s">
        <v>127</v>
      </c>
      <c r="L4241" s="46" t="s">
        <v>15</v>
      </c>
      <c r="M4241" s="46" t="s">
        <v>13</v>
      </c>
      <c r="N4241" s="46" t="s">
        <v>14</v>
      </c>
      <c r="O4241" s="49" t="s">
        <v>814</v>
      </c>
      <c r="P4241" s="49" t="s">
        <v>4910</v>
      </c>
      <c r="Q4241" s="35" t="str">
        <f>MID(Tabla1[[#This Row],[Aplicación]],14,1)</f>
        <v>2</v>
      </c>
      <c r="R4241" s="35" t="s">
        <v>495</v>
      </c>
      <c r="S4241" s="35" t="str">
        <f>MID(Tabla1[[#This Row],[Aplicación]],6,2)</f>
        <v>11</v>
      </c>
      <c r="T4241" s="35" t="str">
        <f>VLOOKUP(Tabla1[[#This Row],[AREA]],Hoja1!A:B,2,FALSE)</f>
        <v>11. Salud pública y seguridad ciudadana</v>
      </c>
      <c r="U4241" s="35" t="str">
        <f>MID(Tabla1[[#This Row],[Aplicación]],9,4)</f>
        <v>1321</v>
      </c>
      <c r="V4241" s="35" t="str">
        <f>VLOOKUP(Tabla1[[#This Row],[PROGRAMA]],Hoja1!A:B,2,FALSE)</f>
        <v>1321. Policía municipal</v>
      </c>
      <c r="W4241" s="35" t="str">
        <f>MID(Tabla1[[#This Row],[Aplicación]],14,2)</f>
        <v>22</v>
      </c>
      <c r="X4241" s="35" t="str">
        <f>MID(Tabla1[[#This Row],[Aplicación]],14,6)</f>
        <v>22199</v>
      </c>
    </row>
    <row r="4242" spans="1:24" x14ac:dyDescent="0.25">
      <c r="A4242" s="45">
        <v>220210040129</v>
      </c>
      <c r="B4242" s="46" t="s">
        <v>204</v>
      </c>
      <c r="C4242" s="47">
        <v>44396</v>
      </c>
      <c r="D4242" s="45">
        <v>22021002054</v>
      </c>
      <c r="E4242" s="46" t="s">
        <v>1382</v>
      </c>
      <c r="F4242" s="48">
        <v>3443.3</v>
      </c>
      <c r="G4242" s="46" t="s">
        <v>272</v>
      </c>
      <c r="H4242" s="46" t="s">
        <v>5885</v>
      </c>
      <c r="I4242" s="45" t="s">
        <v>205</v>
      </c>
      <c r="J4242" s="46" t="s">
        <v>127</v>
      </c>
      <c r="K4242" s="46" t="s">
        <v>127</v>
      </c>
      <c r="L4242" s="46" t="s">
        <v>15</v>
      </c>
      <c r="M4242" s="46" t="s">
        <v>13</v>
      </c>
      <c r="N4242" s="46" t="s">
        <v>14</v>
      </c>
      <c r="O4242" s="49" t="s">
        <v>814</v>
      </c>
      <c r="P4242" s="49" t="s">
        <v>4910</v>
      </c>
      <c r="Q4242" s="35" t="str">
        <f>MID(Tabla1[[#This Row],[Aplicación]],14,1)</f>
        <v>2</v>
      </c>
      <c r="R4242" s="35" t="s">
        <v>495</v>
      </c>
      <c r="S4242" s="35" t="str">
        <f>MID(Tabla1[[#This Row],[Aplicación]],6,2)</f>
        <v>11</v>
      </c>
      <c r="T4242" s="35" t="str">
        <f>VLOOKUP(Tabla1[[#This Row],[AREA]],Hoja1!A:B,2,FALSE)</f>
        <v>11. Salud pública y seguridad ciudadana</v>
      </c>
      <c r="U4242" s="35" t="str">
        <f>MID(Tabla1[[#This Row],[Aplicación]],9,4)</f>
        <v>1631</v>
      </c>
      <c r="V4242" s="35" t="str">
        <f>VLOOKUP(Tabla1[[#This Row],[PROGRAMA]],Hoja1!A:B,2,FALSE)</f>
        <v>1631. Limpieza viaria</v>
      </c>
      <c r="W4242" s="35" t="str">
        <f>MID(Tabla1[[#This Row],[Aplicación]],14,2)</f>
        <v>21</v>
      </c>
      <c r="X4242" s="35" t="str">
        <f>MID(Tabla1[[#This Row],[Aplicación]],14,6)</f>
        <v>214</v>
      </c>
    </row>
    <row r="4243" spans="1:24" x14ac:dyDescent="0.25">
      <c r="A4243" s="45">
        <v>220210040125</v>
      </c>
      <c r="B4243" s="46" t="s">
        <v>204</v>
      </c>
      <c r="C4243" s="47">
        <v>44396</v>
      </c>
      <c r="D4243" s="45">
        <v>22021002056</v>
      </c>
      <c r="E4243" s="46" t="s">
        <v>876</v>
      </c>
      <c r="F4243" s="48">
        <v>860.27</v>
      </c>
      <c r="G4243" s="46" t="s">
        <v>272</v>
      </c>
      <c r="H4243" s="46" t="s">
        <v>5886</v>
      </c>
      <c r="I4243" s="45" t="s">
        <v>205</v>
      </c>
      <c r="J4243" s="46" t="s">
        <v>127</v>
      </c>
      <c r="K4243" s="46" t="s">
        <v>127</v>
      </c>
      <c r="L4243" s="46" t="s">
        <v>15</v>
      </c>
      <c r="M4243" s="46" t="s">
        <v>13</v>
      </c>
      <c r="N4243" s="46" t="s">
        <v>14</v>
      </c>
      <c r="O4243" s="49" t="s">
        <v>814</v>
      </c>
      <c r="P4243" s="49" t="s">
        <v>4910</v>
      </c>
      <c r="Q4243" s="35" t="str">
        <f>MID(Tabla1[[#This Row],[Aplicación]],14,1)</f>
        <v>2</v>
      </c>
      <c r="R4243" s="35" t="s">
        <v>495</v>
      </c>
      <c r="S4243" s="35" t="str">
        <f>MID(Tabla1[[#This Row],[Aplicación]],6,2)</f>
        <v>11</v>
      </c>
      <c r="T4243" s="35" t="str">
        <f>VLOOKUP(Tabla1[[#This Row],[AREA]],Hoja1!A:B,2,FALSE)</f>
        <v>11. Salud pública y seguridad ciudadana</v>
      </c>
      <c r="U4243" s="35" t="str">
        <f>MID(Tabla1[[#This Row],[Aplicación]],9,4)</f>
        <v>1631</v>
      </c>
      <c r="V4243" s="35" t="str">
        <f>VLOOKUP(Tabla1[[#This Row],[PROGRAMA]],Hoja1!A:B,2,FALSE)</f>
        <v>1631. Limpieza viaria</v>
      </c>
      <c r="W4243" s="35" t="str">
        <f>MID(Tabla1[[#This Row],[Aplicación]],14,2)</f>
        <v>22</v>
      </c>
      <c r="X4243" s="35" t="str">
        <f>MID(Tabla1[[#This Row],[Aplicación]],14,6)</f>
        <v>22110</v>
      </c>
    </row>
    <row r="4244" spans="1:24" x14ac:dyDescent="0.25">
      <c r="A4244" s="45">
        <v>220210040117</v>
      </c>
      <c r="B4244" s="46" t="s">
        <v>204</v>
      </c>
      <c r="C4244" s="47">
        <v>44396</v>
      </c>
      <c r="D4244" s="45">
        <v>22021002052</v>
      </c>
      <c r="E4244" s="46" t="s">
        <v>1340</v>
      </c>
      <c r="F4244" s="48">
        <v>235.95</v>
      </c>
      <c r="G4244" s="46" t="s">
        <v>272</v>
      </c>
      <c r="H4244" s="46" t="s">
        <v>5887</v>
      </c>
      <c r="I4244" s="45" t="s">
        <v>205</v>
      </c>
      <c r="J4244" s="46" t="s">
        <v>127</v>
      </c>
      <c r="K4244" s="46" t="s">
        <v>127</v>
      </c>
      <c r="L4244" s="46" t="s">
        <v>15</v>
      </c>
      <c r="M4244" s="46" t="s">
        <v>13</v>
      </c>
      <c r="N4244" s="46" t="s">
        <v>14</v>
      </c>
      <c r="O4244" s="49" t="s">
        <v>814</v>
      </c>
      <c r="P4244" s="49" t="s">
        <v>4910</v>
      </c>
      <c r="Q4244" s="35" t="str">
        <f>MID(Tabla1[[#This Row],[Aplicación]],14,1)</f>
        <v>2</v>
      </c>
      <c r="R4244" s="35" t="s">
        <v>495</v>
      </c>
      <c r="S4244" s="35" t="str">
        <f>MID(Tabla1[[#This Row],[Aplicación]],6,2)</f>
        <v>11</v>
      </c>
      <c r="T4244" s="35" t="str">
        <f>VLOOKUP(Tabla1[[#This Row],[AREA]],Hoja1!A:B,2,FALSE)</f>
        <v>11. Salud pública y seguridad ciudadana</v>
      </c>
      <c r="U4244" s="35" t="str">
        <f>MID(Tabla1[[#This Row],[Aplicación]],9,4)</f>
        <v>1621</v>
      </c>
      <c r="V4244" s="35" t="str">
        <f>VLOOKUP(Tabla1[[#This Row],[PROGRAMA]],Hoja1!A:B,2,FALSE)</f>
        <v>1621. Servicio de limpieza</v>
      </c>
      <c r="W4244" s="35" t="str">
        <f>MID(Tabla1[[#This Row],[Aplicación]],14,2)</f>
        <v>22</v>
      </c>
      <c r="X4244" s="35" t="str">
        <f>MID(Tabla1[[#This Row],[Aplicación]],14,6)</f>
        <v>22199</v>
      </c>
    </row>
    <row r="4245" spans="1:24" x14ac:dyDescent="0.25">
      <c r="A4245" s="45">
        <v>220210045472</v>
      </c>
      <c r="B4245" s="46" t="s">
        <v>204</v>
      </c>
      <c r="C4245" s="47">
        <v>44413</v>
      </c>
      <c r="D4245" s="45">
        <v>22021002052</v>
      </c>
      <c r="E4245" s="46" t="s">
        <v>1340</v>
      </c>
      <c r="F4245" s="48">
        <v>356.44</v>
      </c>
      <c r="G4245" s="46" t="s">
        <v>272</v>
      </c>
      <c r="H4245" s="46" t="s">
        <v>5888</v>
      </c>
      <c r="I4245" s="45" t="s">
        <v>205</v>
      </c>
      <c r="J4245" s="46" t="s">
        <v>127</v>
      </c>
      <c r="K4245" s="46" t="s">
        <v>127</v>
      </c>
      <c r="L4245" s="46" t="s">
        <v>15</v>
      </c>
      <c r="M4245" s="46" t="s">
        <v>13</v>
      </c>
      <c r="N4245" s="46" t="s">
        <v>14</v>
      </c>
      <c r="O4245" s="49" t="s">
        <v>814</v>
      </c>
      <c r="P4245" s="49" t="s">
        <v>4910</v>
      </c>
      <c r="Q4245" s="35" t="str">
        <f>MID(Tabla1[[#This Row],[Aplicación]],14,1)</f>
        <v>2</v>
      </c>
      <c r="R4245" s="35" t="s">
        <v>495</v>
      </c>
      <c r="S4245" s="35" t="str">
        <f>MID(Tabla1[[#This Row],[Aplicación]],6,2)</f>
        <v>11</v>
      </c>
      <c r="T4245" s="35" t="str">
        <f>VLOOKUP(Tabla1[[#This Row],[AREA]],Hoja1!A:B,2,FALSE)</f>
        <v>11. Salud pública y seguridad ciudadana</v>
      </c>
      <c r="U4245" s="35" t="str">
        <f>MID(Tabla1[[#This Row],[Aplicación]],9,4)</f>
        <v>1621</v>
      </c>
      <c r="V4245" s="35" t="str">
        <f>VLOOKUP(Tabla1[[#This Row],[PROGRAMA]],Hoja1!A:B,2,FALSE)</f>
        <v>1621. Servicio de limpieza</v>
      </c>
      <c r="W4245" s="35" t="str">
        <f>MID(Tabla1[[#This Row],[Aplicación]],14,2)</f>
        <v>22</v>
      </c>
      <c r="X4245" s="35" t="str">
        <f>MID(Tabla1[[#This Row],[Aplicación]],14,6)</f>
        <v>22199</v>
      </c>
    </row>
    <row r="4246" spans="1:24" x14ac:dyDescent="0.25">
      <c r="A4246" s="45">
        <v>220210045476</v>
      </c>
      <c r="B4246" s="46" t="s">
        <v>204</v>
      </c>
      <c r="C4246" s="47">
        <v>44413</v>
      </c>
      <c r="D4246" s="45">
        <v>22021002056</v>
      </c>
      <c r="E4246" s="46" t="s">
        <v>876</v>
      </c>
      <c r="F4246" s="48">
        <v>860.27</v>
      </c>
      <c r="G4246" s="46" t="s">
        <v>272</v>
      </c>
      <c r="H4246" s="46" t="s">
        <v>5889</v>
      </c>
      <c r="I4246" s="45" t="s">
        <v>205</v>
      </c>
      <c r="J4246" s="46" t="s">
        <v>127</v>
      </c>
      <c r="K4246" s="46" t="s">
        <v>127</v>
      </c>
      <c r="L4246" s="46" t="s">
        <v>15</v>
      </c>
      <c r="M4246" s="46" t="s">
        <v>13</v>
      </c>
      <c r="N4246" s="46" t="s">
        <v>14</v>
      </c>
      <c r="O4246" s="49" t="s">
        <v>814</v>
      </c>
      <c r="P4246" s="49" t="s">
        <v>4910</v>
      </c>
      <c r="Q4246" s="35" t="str">
        <f>MID(Tabla1[[#This Row],[Aplicación]],14,1)</f>
        <v>2</v>
      </c>
      <c r="R4246" s="35" t="s">
        <v>495</v>
      </c>
      <c r="S4246" s="35" t="str">
        <f>MID(Tabla1[[#This Row],[Aplicación]],6,2)</f>
        <v>11</v>
      </c>
      <c r="T4246" s="35" t="str">
        <f>VLOOKUP(Tabla1[[#This Row],[AREA]],Hoja1!A:B,2,FALSE)</f>
        <v>11. Salud pública y seguridad ciudadana</v>
      </c>
      <c r="U4246" s="35" t="str">
        <f>MID(Tabla1[[#This Row],[Aplicación]],9,4)</f>
        <v>1631</v>
      </c>
      <c r="V4246" s="35" t="str">
        <f>VLOOKUP(Tabla1[[#This Row],[PROGRAMA]],Hoja1!A:B,2,FALSE)</f>
        <v>1631. Limpieza viaria</v>
      </c>
      <c r="W4246" s="35" t="str">
        <f>MID(Tabla1[[#This Row],[Aplicación]],14,2)</f>
        <v>22</v>
      </c>
      <c r="X4246" s="35" t="str">
        <f>MID(Tabla1[[#This Row],[Aplicación]],14,6)</f>
        <v>22110</v>
      </c>
    </row>
    <row r="4247" spans="1:24" x14ac:dyDescent="0.25">
      <c r="A4247" s="45">
        <v>220210045470</v>
      </c>
      <c r="B4247" s="46" t="s">
        <v>204</v>
      </c>
      <c r="C4247" s="47">
        <v>44413</v>
      </c>
      <c r="D4247" s="45">
        <v>22021002052</v>
      </c>
      <c r="E4247" s="46" t="s">
        <v>1340</v>
      </c>
      <c r="F4247" s="48">
        <v>96.2</v>
      </c>
      <c r="G4247" s="46" t="s">
        <v>272</v>
      </c>
      <c r="H4247" s="46" t="s">
        <v>5890</v>
      </c>
      <c r="I4247" s="45" t="s">
        <v>205</v>
      </c>
      <c r="J4247" s="46" t="s">
        <v>127</v>
      </c>
      <c r="K4247" s="46" t="s">
        <v>127</v>
      </c>
      <c r="L4247" s="46" t="s">
        <v>15</v>
      </c>
      <c r="M4247" s="46" t="s">
        <v>13</v>
      </c>
      <c r="N4247" s="46" t="s">
        <v>14</v>
      </c>
      <c r="O4247" s="49" t="s">
        <v>814</v>
      </c>
      <c r="P4247" s="49" t="s">
        <v>4910</v>
      </c>
      <c r="Q4247" s="35" t="str">
        <f>MID(Tabla1[[#This Row],[Aplicación]],14,1)</f>
        <v>2</v>
      </c>
      <c r="R4247" s="35" t="s">
        <v>495</v>
      </c>
      <c r="S4247" s="35" t="str">
        <f>MID(Tabla1[[#This Row],[Aplicación]],6,2)</f>
        <v>11</v>
      </c>
      <c r="T4247" s="35" t="str">
        <f>VLOOKUP(Tabla1[[#This Row],[AREA]],Hoja1!A:B,2,FALSE)</f>
        <v>11. Salud pública y seguridad ciudadana</v>
      </c>
      <c r="U4247" s="35" t="str">
        <f>MID(Tabla1[[#This Row],[Aplicación]],9,4)</f>
        <v>1621</v>
      </c>
      <c r="V4247" s="35" t="str">
        <f>VLOOKUP(Tabla1[[#This Row],[PROGRAMA]],Hoja1!A:B,2,FALSE)</f>
        <v>1621. Servicio de limpieza</v>
      </c>
      <c r="W4247" s="35" t="str">
        <f>MID(Tabla1[[#This Row],[Aplicación]],14,2)</f>
        <v>22</v>
      </c>
      <c r="X4247" s="35" t="str">
        <f>MID(Tabla1[[#This Row],[Aplicación]],14,6)</f>
        <v>22199</v>
      </c>
    </row>
    <row r="4248" spans="1:24" x14ac:dyDescent="0.25">
      <c r="A4248" s="45">
        <v>220210045478</v>
      </c>
      <c r="B4248" s="46" t="s">
        <v>204</v>
      </c>
      <c r="C4248" s="47">
        <v>44413</v>
      </c>
      <c r="D4248" s="45">
        <v>22021002056</v>
      </c>
      <c r="E4248" s="46" t="s">
        <v>876</v>
      </c>
      <c r="F4248" s="48">
        <v>1804.07</v>
      </c>
      <c r="G4248" s="46" t="s">
        <v>272</v>
      </c>
      <c r="H4248" s="46" t="s">
        <v>5891</v>
      </c>
      <c r="I4248" s="45" t="s">
        <v>205</v>
      </c>
      <c r="J4248" s="46" t="s">
        <v>127</v>
      </c>
      <c r="K4248" s="46" t="s">
        <v>127</v>
      </c>
      <c r="L4248" s="46" t="s">
        <v>15</v>
      </c>
      <c r="M4248" s="46" t="s">
        <v>13</v>
      </c>
      <c r="N4248" s="46" t="s">
        <v>14</v>
      </c>
      <c r="O4248" s="49" t="s">
        <v>814</v>
      </c>
      <c r="P4248" s="49" t="s">
        <v>4910</v>
      </c>
      <c r="Q4248" s="35" t="str">
        <f>MID(Tabla1[[#This Row],[Aplicación]],14,1)</f>
        <v>2</v>
      </c>
      <c r="R4248" s="35" t="s">
        <v>495</v>
      </c>
      <c r="S4248" s="35" t="str">
        <f>MID(Tabla1[[#This Row],[Aplicación]],6,2)</f>
        <v>11</v>
      </c>
      <c r="T4248" s="35" t="str">
        <f>VLOOKUP(Tabla1[[#This Row],[AREA]],Hoja1!A:B,2,FALSE)</f>
        <v>11. Salud pública y seguridad ciudadana</v>
      </c>
      <c r="U4248" s="35" t="str">
        <f>MID(Tabla1[[#This Row],[Aplicación]],9,4)</f>
        <v>1631</v>
      </c>
      <c r="V4248" s="35" t="str">
        <f>VLOOKUP(Tabla1[[#This Row],[PROGRAMA]],Hoja1!A:B,2,FALSE)</f>
        <v>1631. Limpieza viaria</v>
      </c>
      <c r="W4248" s="35" t="str">
        <f>MID(Tabla1[[#This Row],[Aplicación]],14,2)</f>
        <v>22</v>
      </c>
      <c r="X4248" s="35" t="str">
        <f>MID(Tabla1[[#This Row],[Aplicación]],14,6)</f>
        <v>22110</v>
      </c>
    </row>
    <row r="4249" spans="1:24" x14ac:dyDescent="0.25">
      <c r="A4249" s="45">
        <v>220210045474</v>
      </c>
      <c r="B4249" s="46" t="s">
        <v>204</v>
      </c>
      <c r="C4249" s="47">
        <v>44413</v>
      </c>
      <c r="D4249" s="45">
        <v>22021002052</v>
      </c>
      <c r="E4249" s="46" t="s">
        <v>1340</v>
      </c>
      <c r="F4249" s="48">
        <v>298.14</v>
      </c>
      <c r="G4249" s="46" t="s">
        <v>272</v>
      </c>
      <c r="H4249" s="46" t="s">
        <v>5892</v>
      </c>
      <c r="I4249" s="45" t="s">
        <v>205</v>
      </c>
      <c r="J4249" s="46" t="s">
        <v>127</v>
      </c>
      <c r="K4249" s="46" t="s">
        <v>127</v>
      </c>
      <c r="L4249" s="46" t="s">
        <v>15</v>
      </c>
      <c r="M4249" s="46" t="s">
        <v>13</v>
      </c>
      <c r="N4249" s="46" t="s">
        <v>14</v>
      </c>
      <c r="O4249" s="49" t="s">
        <v>814</v>
      </c>
      <c r="P4249" s="49" t="s">
        <v>4910</v>
      </c>
      <c r="Q4249" s="35" t="str">
        <f>MID(Tabla1[[#This Row],[Aplicación]],14,1)</f>
        <v>2</v>
      </c>
      <c r="R4249" s="35" t="s">
        <v>495</v>
      </c>
      <c r="S4249" s="35" t="str">
        <f>MID(Tabla1[[#This Row],[Aplicación]],6,2)</f>
        <v>11</v>
      </c>
      <c r="T4249" s="35" t="str">
        <f>VLOOKUP(Tabla1[[#This Row],[AREA]],Hoja1!A:B,2,FALSE)</f>
        <v>11. Salud pública y seguridad ciudadana</v>
      </c>
      <c r="U4249" s="35" t="str">
        <f>MID(Tabla1[[#This Row],[Aplicación]],9,4)</f>
        <v>1621</v>
      </c>
      <c r="V4249" s="35" t="str">
        <f>VLOOKUP(Tabla1[[#This Row],[PROGRAMA]],Hoja1!A:B,2,FALSE)</f>
        <v>1621. Servicio de limpieza</v>
      </c>
      <c r="W4249" s="35" t="str">
        <f>MID(Tabla1[[#This Row],[Aplicación]],14,2)</f>
        <v>22</v>
      </c>
      <c r="X4249" s="35" t="str">
        <f>MID(Tabla1[[#This Row],[Aplicación]],14,6)</f>
        <v>22199</v>
      </c>
    </row>
    <row r="4250" spans="1:24" x14ac:dyDescent="0.25">
      <c r="A4250" s="45">
        <v>220210045480</v>
      </c>
      <c r="B4250" s="46" t="s">
        <v>204</v>
      </c>
      <c r="C4250" s="47">
        <v>44413</v>
      </c>
      <c r="D4250" s="45">
        <v>22021002057</v>
      </c>
      <c r="E4250" s="46" t="s">
        <v>1715</v>
      </c>
      <c r="F4250" s="48">
        <v>3332.12</v>
      </c>
      <c r="G4250" s="46" t="s">
        <v>272</v>
      </c>
      <c r="H4250" s="46" t="s">
        <v>5893</v>
      </c>
      <c r="I4250" s="45" t="s">
        <v>205</v>
      </c>
      <c r="J4250" s="46" t="s">
        <v>127</v>
      </c>
      <c r="K4250" s="46" t="s">
        <v>127</v>
      </c>
      <c r="L4250" s="46" t="s">
        <v>15</v>
      </c>
      <c r="M4250" s="46" t="s">
        <v>13</v>
      </c>
      <c r="N4250" s="46" t="s">
        <v>14</v>
      </c>
      <c r="O4250" s="49" t="s">
        <v>814</v>
      </c>
      <c r="P4250" s="49" t="s">
        <v>4910</v>
      </c>
      <c r="Q4250" s="35" t="str">
        <f>MID(Tabla1[[#This Row],[Aplicación]],14,1)</f>
        <v>2</v>
      </c>
      <c r="R4250" s="35" t="s">
        <v>495</v>
      </c>
      <c r="S4250" s="35" t="str">
        <f>MID(Tabla1[[#This Row],[Aplicación]],6,2)</f>
        <v>11</v>
      </c>
      <c r="T4250" s="35" t="str">
        <f>VLOOKUP(Tabla1[[#This Row],[AREA]],Hoja1!A:B,2,FALSE)</f>
        <v>11. Salud pública y seguridad ciudadana</v>
      </c>
      <c r="U4250" s="35" t="str">
        <f>MID(Tabla1[[#This Row],[Aplicación]],9,4)</f>
        <v>1631</v>
      </c>
      <c r="V4250" s="35" t="str">
        <f>VLOOKUP(Tabla1[[#This Row],[PROGRAMA]],Hoja1!A:B,2,FALSE)</f>
        <v>1631. Limpieza viaria</v>
      </c>
      <c r="W4250" s="35" t="str">
        <f>MID(Tabla1[[#This Row],[Aplicación]],14,2)</f>
        <v>22</v>
      </c>
      <c r="X4250" s="35" t="str">
        <f>MID(Tabla1[[#This Row],[Aplicación]],14,6)</f>
        <v>22199</v>
      </c>
    </row>
    <row r="4251" spans="1:24" x14ac:dyDescent="0.25">
      <c r="A4251" s="45">
        <v>220210051095</v>
      </c>
      <c r="B4251" s="46" t="s">
        <v>204</v>
      </c>
      <c r="C4251" s="47">
        <v>44448</v>
      </c>
      <c r="D4251" s="45">
        <v>22021002056</v>
      </c>
      <c r="E4251" s="46" t="s">
        <v>876</v>
      </c>
      <c r="F4251" s="48">
        <v>3608.15</v>
      </c>
      <c r="G4251" s="46" t="s">
        <v>272</v>
      </c>
      <c r="H4251" s="46" t="s">
        <v>5894</v>
      </c>
      <c r="I4251" s="45" t="s">
        <v>205</v>
      </c>
      <c r="J4251" s="46" t="s">
        <v>127</v>
      </c>
      <c r="K4251" s="46" t="s">
        <v>127</v>
      </c>
      <c r="L4251" s="46" t="s">
        <v>15</v>
      </c>
      <c r="M4251" s="46" t="s">
        <v>13</v>
      </c>
      <c r="N4251" s="46" t="s">
        <v>14</v>
      </c>
      <c r="O4251" s="49" t="s">
        <v>814</v>
      </c>
      <c r="P4251" s="49" t="s">
        <v>4910</v>
      </c>
      <c r="Q4251" s="35" t="str">
        <f>MID(Tabla1[[#This Row],[Aplicación]],14,1)</f>
        <v>2</v>
      </c>
      <c r="R4251" s="35" t="s">
        <v>495</v>
      </c>
      <c r="S4251" s="35" t="str">
        <f>MID(Tabla1[[#This Row],[Aplicación]],6,2)</f>
        <v>11</v>
      </c>
      <c r="T4251" s="35" t="str">
        <f>VLOOKUP(Tabla1[[#This Row],[AREA]],Hoja1!A:B,2,FALSE)</f>
        <v>11. Salud pública y seguridad ciudadana</v>
      </c>
      <c r="U4251" s="35" t="str">
        <f>MID(Tabla1[[#This Row],[Aplicación]],9,4)</f>
        <v>1631</v>
      </c>
      <c r="V4251" s="35" t="str">
        <f>VLOOKUP(Tabla1[[#This Row],[PROGRAMA]],Hoja1!A:B,2,FALSE)</f>
        <v>1631. Limpieza viaria</v>
      </c>
      <c r="W4251" s="35" t="str">
        <f>MID(Tabla1[[#This Row],[Aplicación]],14,2)</f>
        <v>22</v>
      </c>
      <c r="X4251" s="35" t="str">
        <f>MID(Tabla1[[#This Row],[Aplicación]],14,6)</f>
        <v>22110</v>
      </c>
    </row>
    <row r="4252" spans="1:24" x14ac:dyDescent="0.25">
      <c r="A4252" s="45">
        <v>220210053483</v>
      </c>
      <c r="B4252" s="46" t="s">
        <v>204</v>
      </c>
      <c r="C4252" s="47">
        <v>44452</v>
      </c>
      <c r="D4252" s="45">
        <v>22021002052</v>
      </c>
      <c r="E4252" s="46" t="s">
        <v>1340</v>
      </c>
      <c r="F4252" s="48">
        <v>1418.22</v>
      </c>
      <c r="G4252" s="46" t="s">
        <v>272</v>
      </c>
      <c r="H4252" s="46" t="s">
        <v>2229</v>
      </c>
      <c r="I4252" s="45" t="s">
        <v>205</v>
      </c>
      <c r="J4252" s="46" t="s">
        <v>127</v>
      </c>
      <c r="K4252" s="46" t="s">
        <v>127</v>
      </c>
      <c r="L4252" s="46" t="s">
        <v>15</v>
      </c>
      <c r="M4252" s="46" t="s">
        <v>13</v>
      </c>
      <c r="N4252" s="46" t="s">
        <v>14</v>
      </c>
      <c r="O4252" s="49" t="s">
        <v>814</v>
      </c>
      <c r="P4252" s="49" t="s">
        <v>4910</v>
      </c>
      <c r="Q4252" s="35" t="str">
        <f>MID(Tabla1[[#This Row],[Aplicación]],14,1)</f>
        <v>2</v>
      </c>
      <c r="R4252" s="35" t="s">
        <v>495</v>
      </c>
      <c r="S4252" s="35" t="str">
        <f>MID(Tabla1[[#This Row],[Aplicación]],6,2)</f>
        <v>11</v>
      </c>
      <c r="T4252" s="35" t="str">
        <f>VLOOKUP(Tabla1[[#This Row],[AREA]],Hoja1!A:B,2,FALSE)</f>
        <v>11. Salud pública y seguridad ciudadana</v>
      </c>
      <c r="U4252" s="35" t="str">
        <f>MID(Tabla1[[#This Row],[Aplicación]],9,4)</f>
        <v>1621</v>
      </c>
      <c r="V4252" s="35" t="str">
        <f>VLOOKUP(Tabla1[[#This Row],[PROGRAMA]],Hoja1!A:B,2,FALSE)</f>
        <v>1621. Servicio de limpieza</v>
      </c>
      <c r="W4252" s="35" t="str">
        <f>MID(Tabla1[[#This Row],[Aplicación]],14,2)</f>
        <v>22</v>
      </c>
      <c r="X4252" s="35" t="str">
        <f>MID(Tabla1[[#This Row],[Aplicación]],14,6)</f>
        <v>22199</v>
      </c>
    </row>
    <row r="4253" spans="1:24" x14ac:dyDescent="0.25">
      <c r="A4253" s="45">
        <v>220210048706</v>
      </c>
      <c r="B4253" s="46" t="s">
        <v>204</v>
      </c>
      <c r="C4253" s="47">
        <v>44428</v>
      </c>
      <c r="D4253" s="45">
        <v>22021002048</v>
      </c>
      <c r="E4253" s="46" t="s">
        <v>890</v>
      </c>
      <c r="F4253" s="48">
        <v>1377.48</v>
      </c>
      <c r="G4253" s="46" t="s">
        <v>272</v>
      </c>
      <c r="H4253" s="46" t="s">
        <v>5895</v>
      </c>
      <c r="I4253" s="45" t="s">
        <v>205</v>
      </c>
      <c r="J4253" s="46" t="s">
        <v>127</v>
      </c>
      <c r="K4253" s="46" t="s">
        <v>127</v>
      </c>
      <c r="L4253" s="46" t="s">
        <v>15</v>
      </c>
      <c r="M4253" s="46" t="s">
        <v>13</v>
      </c>
      <c r="N4253" s="46" t="s">
        <v>14</v>
      </c>
      <c r="O4253" s="49" t="s">
        <v>814</v>
      </c>
      <c r="P4253" s="49" t="s">
        <v>4910</v>
      </c>
      <c r="Q4253" s="35" t="str">
        <f>MID(Tabla1[[#This Row],[Aplicación]],14,1)</f>
        <v>2</v>
      </c>
      <c r="R4253" s="35" t="s">
        <v>495</v>
      </c>
      <c r="S4253" s="35" t="str">
        <f>MID(Tabla1[[#This Row],[Aplicación]],6,2)</f>
        <v>11</v>
      </c>
      <c r="T4253" s="35" t="str">
        <f>VLOOKUP(Tabla1[[#This Row],[AREA]],Hoja1!A:B,2,FALSE)</f>
        <v>11. Salud pública y seguridad ciudadana</v>
      </c>
      <c r="U4253" s="35" t="str">
        <f>MID(Tabla1[[#This Row],[Aplicación]],9,4)</f>
        <v>1621</v>
      </c>
      <c r="V4253" s="35" t="str">
        <f>VLOOKUP(Tabla1[[#This Row],[PROGRAMA]],Hoja1!A:B,2,FALSE)</f>
        <v>1621. Servicio de limpieza</v>
      </c>
      <c r="W4253" s="35" t="str">
        <f>MID(Tabla1[[#This Row],[Aplicación]],14,2)</f>
        <v>21</v>
      </c>
      <c r="X4253" s="35" t="str">
        <f>MID(Tabla1[[#This Row],[Aplicación]],14,6)</f>
        <v>214</v>
      </c>
    </row>
    <row r="4254" spans="1:24" x14ac:dyDescent="0.25">
      <c r="A4254" s="45">
        <v>220210053481</v>
      </c>
      <c r="B4254" s="46" t="s">
        <v>204</v>
      </c>
      <c r="C4254" s="47">
        <v>44452</v>
      </c>
      <c r="D4254" s="45">
        <v>22021002048</v>
      </c>
      <c r="E4254" s="46" t="s">
        <v>890</v>
      </c>
      <c r="F4254" s="48">
        <v>318.47000000000003</v>
      </c>
      <c r="G4254" s="46" t="s">
        <v>272</v>
      </c>
      <c r="H4254" s="46" t="s">
        <v>5896</v>
      </c>
      <c r="I4254" s="45" t="s">
        <v>205</v>
      </c>
      <c r="J4254" s="46" t="s">
        <v>127</v>
      </c>
      <c r="K4254" s="46" t="s">
        <v>127</v>
      </c>
      <c r="L4254" s="46" t="s">
        <v>15</v>
      </c>
      <c r="M4254" s="46" t="s">
        <v>13</v>
      </c>
      <c r="N4254" s="46" t="s">
        <v>14</v>
      </c>
      <c r="O4254" s="49" t="s">
        <v>814</v>
      </c>
      <c r="P4254" s="49" t="s">
        <v>4910</v>
      </c>
      <c r="Q4254" s="35" t="str">
        <f>MID(Tabla1[[#This Row],[Aplicación]],14,1)</f>
        <v>2</v>
      </c>
      <c r="R4254" s="35" t="s">
        <v>495</v>
      </c>
      <c r="S4254" s="35" t="str">
        <f>MID(Tabla1[[#This Row],[Aplicación]],6,2)</f>
        <v>11</v>
      </c>
      <c r="T4254" s="35" t="str">
        <f>VLOOKUP(Tabla1[[#This Row],[AREA]],Hoja1!A:B,2,FALSE)</f>
        <v>11. Salud pública y seguridad ciudadana</v>
      </c>
      <c r="U4254" s="35" t="str">
        <f>MID(Tabla1[[#This Row],[Aplicación]],9,4)</f>
        <v>1621</v>
      </c>
      <c r="V4254" s="35" t="str">
        <f>VLOOKUP(Tabla1[[#This Row],[PROGRAMA]],Hoja1!A:B,2,FALSE)</f>
        <v>1621. Servicio de limpieza</v>
      </c>
      <c r="W4254" s="35" t="str">
        <f>MID(Tabla1[[#This Row],[Aplicación]],14,2)</f>
        <v>21</v>
      </c>
      <c r="X4254" s="35" t="str">
        <f>MID(Tabla1[[#This Row],[Aplicación]],14,6)</f>
        <v>214</v>
      </c>
    </row>
    <row r="4255" spans="1:24" x14ac:dyDescent="0.25">
      <c r="A4255" s="45">
        <v>220210047862</v>
      </c>
      <c r="B4255" s="46" t="s">
        <v>204</v>
      </c>
      <c r="C4255" s="47">
        <v>44425</v>
      </c>
      <c r="D4255" s="45">
        <v>22021002133</v>
      </c>
      <c r="E4255" s="46" t="s">
        <v>1326</v>
      </c>
      <c r="F4255" s="48">
        <v>211.57</v>
      </c>
      <c r="G4255" s="46" t="s">
        <v>272</v>
      </c>
      <c r="H4255" s="46" t="s">
        <v>5897</v>
      </c>
      <c r="I4255" s="45" t="s">
        <v>205</v>
      </c>
      <c r="J4255" s="46" t="s">
        <v>127</v>
      </c>
      <c r="K4255" s="46" t="s">
        <v>127</v>
      </c>
      <c r="L4255" s="46" t="s">
        <v>15</v>
      </c>
      <c r="M4255" s="46" t="s">
        <v>13</v>
      </c>
      <c r="N4255" s="46" t="s">
        <v>14</v>
      </c>
      <c r="O4255" s="49" t="s">
        <v>814</v>
      </c>
      <c r="P4255" s="49" t="s">
        <v>4910</v>
      </c>
      <c r="Q4255" s="35" t="str">
        <f>MID(Tabla1[[#This Row],[Aplicación]],14,1)</f>
        <v>2</v>
      </c>
      <c r="R4255" s="35" t="s">
        <v>495</v>
      </c>
      <c r="S4255" s="35" t="str">
        <f>MID(Tabla1[[#This Row],[Aplicación]],6,2)</f>
        <v>08</v>
      </c>
      <c r="T4255" s="35" t="str">
        <f>VLOOKUP(Tabla1[[#This Row],[AREA]],Hoja1!A:B,2,FALSE)</f>
        <v>08. Movilidad y espacio urbano</v>
      </c>
      <c r="U4255" s="35" t="str">
        <f>MID(Tabla1[[#This Row],[Aplicación]],9,4)</f>
        <v>1651</v>
      </c>
      <c r="V4255" s="35" t="str">
        <f>VLOOKUP(Tabla1[[#This Row],[PROGRAMA]],Hoja1!A:B,2,FALSE)</f>
        <v>1651. Alumbrado público</v>
      </c>
      <c r="W4255" s="35" t="str">
        <f>MID(Tabla1[[#This Row],[Aplicación]],14,2)</f>
        <v>22</v>
      </c>
      <c r="X4255" s="35" t="str">
        <f>MID(Tabla1[[#This Row],[Aplicación]],14,6)</f>
        <v>22199</v>
      </c>
    </row>
    <row r="4256" spans="1:24" x14ac:dyDescent="0.25">
      <c r="A4256" s="45">
        <v>220210050155</v>
      </c>
      <c r="B4256" s="46" t="s">
        <v>204</v>
      </c>
      <c r="C4256" s="47">
        <v>44435</v>
      </c>
      <c r="D4256" s="45">
        <v>22021002048</v>
      </c>
      <c r="E4256" s="46" t="s">
        <v>890</v>
      </c>
      <c r="F4256" s="48">
        <v>180.79</v>
      </c>
      <c r="G4256" s="46" t="s">
        <v>272</v>
      </c>
      <c r="H4256" s="46" t="s">
        <v>5898</v>
      </c>
      <c r="I4256" s="45" t="s">
        <v>205</v>
      </c>
      <c r="J4256" s="46" t="s">
        <v>127</v>
      </c>
      <c r="K4256" s="46" t="s">
        <v>127</v>
      </c>
      <c r="L4256" s="46" t="s">
        <v>15</v>
      </c>
      <c r="M4256" s="46" t="s">
        <v>13</v>
      </c>
      <c r="N4256" s="46" t="s">
        <v>14</v>
      </c>
      <c r="O4256" s="49" t="s">
        <v>814</v>
      </c>
      <c r="P4256" s="49" t="s">
        <v>4910</v>
      </c>
      <c r="Q4256" s="35" t="str">
        <f>MID(Tabla1[[#This Row],[Aplicación]],14,1)</f>
        <v>2</v>
      </c>
      <c r="R4256" s="35" t="s">
        <v>495</v>
      </c>
      <c r="S4256" s="35" t="str">
        <f>MID(Tabla1[[#This Row],[Aplicación]],6,2)</f>
        <v>11</v>
      </c>
      <c r="T4256" s="35" t="str">
        <f>VLOOKUP(Tabla1[[#This Row],[AREA]],Hoja1!A:B,2,FALSE)</f>
        <v>11. Salud pública y seguridad ciudadana</v>
      </c>
      <c r="U4256" s="35" t="str">
        <f>MID(Tabla1[[#This Row],[Aplicación]],9,4)</f>
        <v>1621</v>
      </c>
      <c r="V4256" s="35" t="str">
        <f>VLOOKUP(Tabla1[[#This Row],[PROGRAMA]],Hoja1!A:B,2,FALSE)</f>
        <v>1621. Servicio de limpieza</v>
      </c>
      <c r="W4256" s="35" t="str">
        <f>MID(Tabla1[[#This Row],[Aplicación]],14,2)</f>
        <v>21</v>
      </c>
      <c r="X4256" s="35" t="str">
        <f>MID(Tabla1[[#This Row],[Aplicación]],14,6)</f>
        <v>214</v>
      </c>
    </row>
    <row r="4257" spans="1:24" x14ac:dyDescent="0.25">
      <c r="A4257" s="45">
        <v>220210043810</v>
      </c>
      <c r="B4257" s="46" t="s">
        <v>9</v>
      </c>
      <c r="C4257" s="47">
        <v>44404</v>
      </c>
      <c r="D4257" s="45">
        <v>22021005764</v>
      </c>
      <c r="E4257" s="46" t="s">
        <v>873</v>
      </c>
      <c r="F4257" s="48">
        <v>243</v>
      </c>
      <c r="G4257" s="46" t="s">
        <v>212</v>
      </c>
      <c r="H4257" s="46" t="s">
        <v>5899</v>
      </c>
      <c r="I4257" s="45" t="s">
        <v>125</v>
      </c>
      <c r="J4257" s="46" t="s">
        <v>127</v>
      </c>
      <c r="K4257" s="46" t="s">
        <v>127</v>
      </c>
      <c r="L4257" s="46" t="s">
        <v>15</v>
      </c>
      <c r="M4257" s="46" t="s">
        <v>10</v>
      </c>
      <c r="N4257" s="46" t="s">
        <v>11</v>
      </c>
      <c r="O4257" s="49" t="s">
        <v>815</v>
      </c>
      <c r="P4257" s="49" t="s">
        <v>4910</v>
      </c>
      <c r="Q4257" s="35" t="str">
        <f>MID(Tabla1[[#This Row],[Aplicación]],14,1)</f>
        <v>2</v>
      </c>
      <c r="R4257" s="35" t="s">
        <v>495</v>
      </c>
      <c r="S4257" s="35" t="str">
        <f>MID(Tabla1[[#This Row],[Aplicación]],6,2)</f>
        <v>10</v>
      </c>
      <c r="T4257" s="35" t="str">
        <f>VLOOKUP(Tabla1[[#This Row],[AREA]],Hoja1!A:B,2,FALSE)</f>
        <v>10. Servicios sociales y mediación comunitaria</v>
      </c>
      <c r="U4257" s="35" t="str">
        <f>MID(Tabla1[[#This Row],[Aplicación]],9,4)</f>
        <v>2412</v>
      </c>
      <c r="V4257" s="35" t="str">
        <f>VLOOKUP(Tabla1[[#This Row],[PROGRAMA]],Hoja1!A:B,2,FALSE)</f>
        <v>2412. Formación para el empleo</v>
      </c>
      <c r="W4257" s="35" t="str">
        <f>MID(Tabla1[[#This Row],[Aplicación]],14,2)</f>
        <v>22</v>
      </c>
      <c r="X4257" s="35" t="str">
        <f>MID(Tabla1[[#This Row],[Aplicación]],14,6)</f>
        <v>22199</v>
      </c>
    </row>
    <row r="4258" spans="1:24" x14ac:dyDescent="0.25">
      <c r="A4258" s="45">
        <v>220210036834</v>
      </c>
      <c r="B4258" s="46" t="s">
        <v>9</v>
      </c>
      <c r="C4258" s="47">
        <v>44389</v>
      </c>
      <c r="D4258" s="45">
        <v>22021005584</v>
      </c>
      <c r="E4258" s="46" t="s">
        <v>1167</v>
      </c>
      <c r="F4258" s="48">
        <v>1142.28</v>
      </c>
      <c r="G4258" s="46" t="s">
        <v>262</v>
      </c>
      <c r="H4258" s="46" t="s">
        <v>5900</v>
      </c>
      <c r="I4258" s="45" t="s">
        <v>125</v>
      </c>
      <c r="J4258" s="46" t="s">
        <v>127</v>
      </c>
      <c r="K4258" s="46" t="s">
        <v>127</v>
      </c>
      <c r="L4258" s="46" t="s">
        <v>12</v>
      </c>
      <c r="M4258" s="46" t="s">
        <v>10</v>
      </c>
      <c r="N4258" s="46" t="s">
        <v>11</v>
      </c>
      <c r="O4258" s="49" t="s">
        <v>815</v>
      </c>
      <c r="P4258" s="49" t="s">
        <v>4910</v>
      </c>
      <c r="Q4258" s="35" t="str">
        <f>MID(Tabla1[[#This Row],[Aplicación]],14,1)</f>
        <v>2</v>
      </c>
      <c r="R4258" s="35" t="s">
        <v>495</v>
      </c>
      <c r="S4258" s="35" t="str">
        <f>MID(Tabla1[[#This Row],[Aplicación]],6,2)</f>
        <v>11</v>
      </c>
      <c r="T4258" s="35" t="str">
        <f>VLOOKUP(Tabla1[[#This Row],[AREA]],Hoja1!A:B,2,FALSE)</f>
        <v>11. Salud pública y seguridad ciudadana</v>
      </c>
      <c r="U4258" s="35" t="str">
        <f>MID(Tabla1[[#This Row],[Aplicación]],9,4)</f>
        <v>1321</v>
      </c>
      <c r="V4258" s="35" t="str">
        <f>VLOOKUP(Tabla1[[#This Row],[PROGRAMA]],Hoja1!A:B,2,FALSE)</f>
        <v>1321. Policía municipal</v>
      </c>
      <c r="W4258" s="35" t="str">
        <f>MID(Tabla1[[#This Row],[Aplicación]],14,2)</f>
        <v>21</v>
      </c>
      <c r="X4258" s="35" t="str">
        <f>MID(Tabla1[[#This Row],[Aplicación]],14,6)</f>
        <v>214</v>
      </c>
    </row>
    <row r="4259" spans="1:24" x14ac:dyDescent="0.25">
      <c r="A4259" s="45">
        <v>220210045482</v>
      </c>
      <c r="B4259" s="46" t="s">
        <v>204</v>
      </c>
      <c r="C4259" s="47">
        <v>44413</v>
      </c>
      <c r="D4259" s="45">
        <v>22021004982</v>
      </c>
      <c r="E4259" s="46" t="s">
        <v>5901</v>
      </c>
      <c r="F4259" s="48">
        <v>679.8</v>
      </c>
      <c r="G4259" s="46" t="s">
        <v>262</v>
      </c>
      <c r="H4259" s="46" t="s">
        <v>5902</v>
      </c>
      <c r="I4259" s="45" t="s">
        <v>205</v>
      </c>
      <c r="J4259" s="46" t="s">
        <v>127</v>
      </c>
      <c r="K4259" s="46" t="s">
        <v>127</v>
      </c>
      <c r="L4259" s="46" t="s">
        <v>12</v>
      </c>
      <c r="M4259" s="46" t="s">
        <v>13</v>
      </c>
      <c r="N4259" s="46" t="s">
        <v>14</v>
      </c>
      <c r="O4259" s="49" t="s">
        <v>814</v>
      </c>
      <c r="P4259" s="49" t="s">
        <v>4910</v>
      </c>
      <c r="Q4259" s="35" t="str">
        <f>MID(Tabla1[[#This Row],[Aplicación]],14,1)</f>
        <v>2</v>
      </c>
      <c r="R4259" s="35" t="s">
        <v>495</v>
      </c>
      <c r="S4259" s="35" t="str">
        <f>MID(Tabla1[[#This Row],[Aplicación]],6,2)</f>
        <v>06</v>
      </c>
      <c r="T4259" s="35" t="str">
        <f>VLOOKUP(Tabla1[[#This Row],[AREA]],Hoja1!A:B,2,FALSE)</f>
        <v>06. Educación, infancia, juventud e igualdad</v>
      </c>
      <c r="U4259" s="35" t="str">
        <f>MID(Tabla1[[#This Row],[Aplicación]],9,4)</f>
        <v>3261</v>
      </c>
      <c r="V4259" s="35" t="str">
        <f>VLOOKUP(Tabla1[[#This Row],[PROGRAMA]],Hoja1!A:B,2,FALSE)</f>
        <v>3261. Servicios complementarios de educación</v>
      </c>
      <c r="W4259" s="35" t="str">
        <f>MID(Tabla1[[#This Row],[Aplicación]],14,2)</f>
        <v>21</v>
      </c>
      <c r="X4259" s="35" t="str">
        <f>MID(Tabla1[[#This Row],[Aplicación]],14,6)</f>
        <v>214</v>
      </c>
    </row>
    <row r="4260" spans="1:24" x14ac:dyDescent="0.25">
      <c r="A4260" s="45">
        <v>220210047087</v>
      </c>
      <c r="B4260" s="46" t="s">
        <v>204</v>
      </c>
      <c r="C4260" s="47">
        <v>44421</v>
      </c>
      <c r="D4260" s="45">
        <v>22021004423</v>
      </c>
      <c r="E4260" s="46" t="s">
        <v>1799</v>
      </c>
      <c r="F4260" s="48">
        <v>98.62</v>
      </c>
      <c r="G4260" s="46" t="s">
        <v>262</v>
      </c>
      <c r="H4260" s="46" t="s">
        <v>5903</v>
      </c>
      <c r="I4260" s="45" t="s">
        <v>205</v>
      </c>
      <c r="J4260" s="46" t="s">
        <v>127</v>
      </c>
      <c r="K4260" s="46" t="s">
        <v>127</v>
      </c>
      <c r="L4260" s="46" t="s">
        <v>12</v>
      </c>
      <c r="M4260" s="46" t="s">
        <v>13</v>
      </c>
      <c r="N4260" s="46" t="s">
        <v>14</v>
      </c>
      <c r="O4260" s="49" t="s">
        <v>814</v>
      </c>
      <c r="P4260" s="49" t="s">
        <v>4910</v>
      </c>
      <c r="Q4260" s="35" t="str">
        <f>MID(Tabla1[[#This Row],[Aplicación]],14,1)</f>
        <v>2</v>
      </c>
      <c r="R4260" s="35" t="s">
        <v>495</v>
      </c>
      <c r="S4260" s="35" t="str">
        <f>MID(Tabla1[[#This Row],[Aplicación]],6,2)</f>
        <v>08</v>
      </c>
      <c r="T4260" s="35" t="str">
        <f>VLOOKUP(Tabla1[[#This Row],[AREA]],Hoja1!A:B,2,FALSE)</f>
        <v>08. Movilidad y espacio urbano</v>
      </c>
      <c r="U4260" s="35" t="str">
        <f>MID(Tabla1[[#This Row],[Aplicación]],9,4)</f>
        <v>1341</v>
      </c>
      <c r="V4260" s="35" t="str">
        <f>VLOOKUP(Tabla1[[#This Row],[PROGRAMA]],Hoja1!A:B,2,FALSE)</f>
        <v>1341. Movilidad</v>
      </c>
      <c r="W4260" s="35" t="str">
        <f>MID(Tabla1[[#This Row],[Aplicación]],14,2)</f>
        <v>21</v>
      </c>
      <c r="X4260" s="35" t="str">
        <f>MID(Tabla1[[#This Row],[Aplicación]],14,6)</f>
        <v>214</v>
      </c>
    </row>
    <row r="4261" spans="1:24" x14ac:dyDescent="0.25">
      <c r="A4261" s="45">
        <v>220210048745</v>
      </c>
      <c r="B4261" s="46" t="s">
        <v>204</v>
      </c>
      <c r="C4261" s="47">
        <v>44428</v>
      </c>
      <c r="D4261" s="45">
        <v>22021006022</v>
      </c>
      <c r="E4261" s="46" t="s">
        <v>2315</v>
      </c>
      <c r="F4261" s="48">
        <v>202.53</v>
      </c>
      <c r="G4261" s="46" t="s">
        <v>262</v>
      </c>
      <c r="H4261" s="46" t="s">
        <v>5904</v>
      </c>
      <c r="I4261" s="45" t="s">
        <v>205</v>
      </c>
      <c r="J4261" s="46" t="s">
        <v>127</v>
      </c>
      <c r="K4261" s="46" t="s">
        <v>127</v>
      </c>
      <c r="L4261" s="46" t="s">
        <v>12</v>
      </c>
      <c r="M4261" s="46" t="s">
        <v>13</v>
      </c>
      <c r="N4261" s="46" t="s">
        <v>14</v>
      </c>
      <c r="O4261" s="49" t="s">
        <v>814</v>
      </c>
      <c r="P4261" s="49" t="s">
        <v>4910</v>
      </c>
      <c r="Q4261" s="35" t="str">
        <f>MID(Tabla1[[#This Row],[Aplicación]],14,1)</f>
        <v>2</v>
      </c>
      <c r="R4261" s="35" t="s">
        <v>495</v>
      </c>
      <c r="S4261" s="35" t="str">
        <f>MID(Tabla1[[#This Row],[Aplicación]],6,2)</f>
        <v>01</v>
      </c>
      <c r="T4261" s="35" t="str">
        <f>VLOOKUP(Tabla1[[#This Row],[AREA]],Hoja1!A:B,2,FALSE)</f>
        <v>01. Alcaldía</v>
      </c>
      <c r="U4261" s="35" t="str">
        <f>MID(Tabla1[[#This Row],[Aplicación]],9,4)</f>
        <v>9203</v>
      </c>
      <c r="V4261" s="35" t="str">
        <f>VLOOKUP(Tabla1[[#This Row],[PROGRAMA]],Hoja1!A:B,2,FALSE)</f>
        <v>9203. Unidad de régimen interior</v>
      </c>
      <c r="W4261" s="35" t="str">
        <f>MID(Tabla1[[#This Row],[Aplicación]],14,2)</f>
        <v>21</v>
      </c>
      <c r="X4261" s="35" t="str">
        <f>MID(Tabla1[[#This Row],[Aplicación]],14,6)</f>
        <v>214</v>
      </c>
    </row>
    <row r="4262" spans="1:24" x14ac:dyDescent="0.25">
      <c r="A4262" s="45">
        <v>220210048743</v>
      </c>
      <c r="B4262" s="46" t="s">
        <v>204</v>
      </c>
      <c r="C4262" s="47">
        <v>44428</v>
      </c>
      <c r="D4262" s="45">
        <v>22021006022</v>
      </c>
      <c r="E4262" s="46" t="s">
        <v>2315</v>
      </c>
      <c r="F4262" s="48">
        <v>171.87</v>
      </c>
      <c r="G4262" s="46" t="s">
        <v>262</v>
      </c>
      <c r="H4262" s="46" t="s">
        <v>5905</v>
      </c>
      <c r="I4262" s="45" t="s">
        <v>205</v>
      </c>
      <c r="J4262" s="46" t="s">
        <v>127</v>
      </c>
      <c r="K4262" s="46" t="s">
        <v>127</v>
      </c>
      <c r="L4262" s="46" t="s">
        <v>12</v>
      </c>
      <c r="M4262" s="46" t="s">
        <v>13</v>
      </c>
      <c r="N4262" s="46" t="s">
        <v>14</v>
      </c>
      <c r="O4262" s="49" t="s">
        <v>814</v>
      </c>
      <c r="P4262" s="49" t="s">
        <v>4910</v>
      </c>
      <c r="Q4262" s="35" t="str">
        <f>MID(Tabla1[[#This Row],[Aplicación]],14,1)</f>
        <v>2</v>
      </c>
      <c r="R4262" s="35" t="s">
        <v>495</v>
      </c>
      <c r="S4262" s="35" t="str">
        <f>MID(Tabla1[[#This Row],[Aplicación]],6,2)</f>
        <v>01</v>
      </c>
      <c r="T4262" s="35" t="str">
        <f>VLOOKUP(Tabla1[[#This Row],[AREA]],Hoja1!A:B,2,FALSE)</f>
        <v>01. Alcaldía</v>
      </c>
      <c r="U4262" s="35" t="str">
        <f>MID(Tabla1[[#This Row],[Aplicación]],9,4)</f>
        <v>9203</v>
      </c>
      <c r="V4262" s="35" t="str">
        <f>VLOOKUP(Tabla1[[#This Row],[PROGRAMA]],Hoja1!A:B,2,FALSE)</f>
        <v>9203. Unidad de régimen interior</v>
      </c>
      <c r="W4262" s="35" t="str">
        <f>MID(Tabla1[[#This Row],[Aplicación]],14,2)</f>
        <v>21</v>
      </c>
      <c r="X4262" s="35" t="str">
        <f>MID(Tabla1[[#This Row],[Aplicación]],14,6)</f>
        <v>214</v>
      </c>
    </row>
    <row r="4263" spans="1:24" x14ac:dyDescent="0.25">
      <c r="A4263" s="45">
        <v>220210049786</v>
      </c>
      <c r="B4263" s="46" t="s">
        <v>204</v>
      </c>
      <c r="C4263" s="47">
        <v>44433</v>
      </c>
      <c r="D4263" s="45">
        <v>22021005946</v>
      </c>
      <c r="E4263" s="46" t="s">
        <v>1167</v>
      </c>
      <c r="F4263" s="48">
        <v>114.72</v>
      </c>
      <c r="G4263" s="46" t="s">
        <v>262</v>
      </c>
      <c r="H4263" s="46" t="s">
        <v>5906</v>
      </c>
      <c r="I4263" s="45" t="s">
        <v>205</v>
      </c>
      <c r="J4263" s="46" t="s">
        <v>127</v>
      </c>
      <c r="K4263" s="46" t="s">
        <v>127</v>
      </c>
      <c r="L4263" s="46" t="s">
        <v>12</v>
      </c>
      <c r="M4263" s="46" t="s">
        <v>13</v>
      </c>
      <c r="N4263" s="46" t="s">
        <v>14</v>
      </c>
      <c r="O4263" s="49" t="s">
        <v>814</v>
      </c>
      <c r="P4263" s="49" t="s">
        <v>4910</v>
      </c>
      <c r="Q4263" s="35" t="str">
        <f>MID(Tabla1[[#This Row],[Aplicación]],14,1)</f>
        <v>2</v>
      </c>
      <c r="R4263" s="35" t="s">
        <v>495</v>
      </c>
      <c r="S4263" s="35" t="str">
        <f>MID(Tabla1[[#This Row],[Aplicación]],6,2)</f>
        <v>11</v>
      </c>
      <c r="T4263" s="35" t="str">
        <f>VLOOKUP(Tabla1[[#This Row],[AREA]],Hoja1!A:B,2,FALSE)</f>
        <v>11. Salud pública y seguridad ciudadana</v>
      </c>
      <c r="U4263" s="35" t="str">
        <f>MID(Tabla1[[#This Row],[Aplicación]],9,4)</f>
        <v>1321</v>
      </c>
      <c r="V4263" s="35" t="str">
        <f>VLOOKUP(Tabla1[[#This Row],[PROGRAMA]],Hoja1!A:B,2,FALSE)</f>
        <v>1321. Policía municipal</v>
      </c>
      <c r="W4263" s="35" t="str">
        <f>MID(Tabla1[[#This Row],[Aplicación]],14,2)</f>
        <v>21</v>
      </c>
      <c r="X4263" s="35" t="str">
        <f>MID(Tabla1[[#This Row],[Aplicación]],14,6)</f>
        <v>214</v>
      </c>
    </row>
    <row r="4264" spans="1:24" x14ac:dyDescent="0.25">
      <c r="A4264" s="45">
        <v>220210048683</v>
      </c>
      <c r="B4264" s="46" t="s">
        <v>204</v>
      </c>
      <c r="C4264" s="47">
        <v>44428</v>
      </c>
      <c r="D4264" s="45">
        <v>22021005716</v>
      </c>
      <c r="E4264" s="46" t="s">
        <v>1270</v>
      </c>
      <c r="F4264" s="48">
        <v>2546.0300000000002</v>
      </c>
      <c r="G4264" s="46" t="s">
        <v>2852</v>
      </c>
      <c r="H4264" s="46" t="s">
        <v>5907</v>
      </c>
      <c r="I4264" s="45" t="s">
        <v>205</v>
      </c>
      <c r="J4264" s="46" t="s">
        <v>127</v>
      </c>
      <c r="K4264" s="46" t="s">
        <v>127</v>
      </c>
      <c r="L4264" s="46" t="s">
        <v>12</v>
      </c>
      <c r="M4264" s="46" t="s">
        <v>13</v>
      </c>
      <c r="N4264" s="46" t="s">
        <v>14</v>
      </c>
      <c r="O4264" s="49" t="s">
        <v>814</v>
      </c>
      <c r="P4264" s="49" t="s">
        <v>4910</v>
      </c>
      <c r="Q4264" s="35" t="str">
        <f>MID(Tabla1[[#This Row],[Aplicación]],14,1)</f>
        <v>6</v>
      </c>
      <c r="R4264" s="35" t="s">
        <v>496</v>
      </c>
      <c r="S4264" s="35" t="str">
        <f>MID(Tabla1[[#This Row],[Aplicación]],6,2)</f>
        <v>11</v>
      </c>
      <c r="T4264" s="35" t="str">
        <f>VLOOKUP(Tabla1[[#This Row],[AREA]],Hoja1!A:B,2,FALSE)</f>
        <v>11. Salud pública y seguridad ciudadana</v>
      </c>
      <c r="U4264" s="35" t="str">
        <f>MID(Tabla1[[#This Row],[Aplicación]],9,4)</f>
        <v>1621</v>
      </c>
      <c r="V4264" s="35" t="str">
        <f>VLOOKUP(Tabla1[[#This Row],[PROGRAMA]],Hoja1!A:B,2,FALSE)</f>
        <v>1621. Servicio de limpieza</v>
      </c>
      <c r="W4264" s="35" t="str">
        <f>MID(Tabla1[[#This Row],[Aplicación]],14,2)</f>
        <v>63</v>
      </c>
      <c r="X4264" s="35" t="str">
        <f>MID(Tabla1[[#This Row],[Aplicación]],14,6)</f>
        <v>634</v>
      </c>
    </row>
    <row r="4265" spans="1:24" x14ac:dyDescent="0.25">
      <c r="A4265" s="45">
        <v>220210048694</v>
      </c>
      <c r="B4265" s="46" t="s">
        <v>204</v>
      </c>
      <c r="C4265" s="47">
        <v>44428</v>
      </c>
      <c r="D4265" s="45">
        <v>22021005716</v>
      </c>
      <c r="E4265" s="46" t="s">
        <v>1270</v>
      </c>
      <c r="F4265" s="48">
        <v>1941.53</v>
      </c>
      <c r="G4265" s="46" t="s">
        <v>2852</v>
      </c>
      <c r="H4265" s="46" t="s">
        <v>5908</v>
      </c>
      <c r="I4265" s="45" t="s">
        <v>205</v>
      </c>
      <c r="J4265" s="46" t="s">
        <v>127</v>
      </c>
      <c r="K4265" s="46" t="s">
        <v>127</v>
      </c>
      <c r="L4265" s="46" t="s">
        <v>12</v>
      </c>
      <c r="M4265" s="46" t="s">
        <v>13</v>
      </c>
      <c r="N4265" s="46" t="s">
        <v>14</v>
      </c>
      <c r="O4265" s="49" t="s">
        <v>814</v>
      </c>
      <c r="P4265" s="49" t="s">
        <v>4910</v>
      </c>
      <c r="Q4265" s="35" t="str">
        <f>MID(Tabla1[[#This Row],[Aplicación]],14,1)</f>
        <v>6</v>
      </c>
      <c r="R4265" s="35" t="s">
        <v>496</v>
      </c>
      <c r="S4265" s="35" t="str">
        <f>MID(Tabla1[[#This Row],[Aplicación]],6,2)</f>
        <v>11</v>
      </c>
      <c r="T4265" s="35" t="str">
        <f>VLOOKUP(Tabla1[[#This Row],[AREA]],Hoja1!A:B,2,FALSE)</f>
        <v>11. Salud pública y seguridad ciudadana</v>
      </c>
      <c r="U4265" s="35" t="str">
        <f>MID(Tabla1[[#This Row],[Aplicación]],9,4)</f>
        <v>1621</v>
      </c>
      <c r="V4265" s="35" t="str">
        <f>VLOOKUP(Tabla1[[#This Row],[PROGRAMA]],Hoja1!A:B,2,FALSE)</f>
        <v>1621. Servicio de limpieza</v>
      </c>
      <c r="W4265" s="35" t="str">
        <f>MID(Tabla1[[#This Row],[Aplicación]],14,2)</f>
        <v>63</v>
      </c>
      <c r="X4265" s="35" t="str">
        <f>MID(Tabla1[[#This Row],[Aplicación]],14,6)</f>
        <v>634</v>
      </c>
    </row>
    <row r="4266" spans="1:24" x14ac:dyDescent="0.25">
      <c r="A4266" s="45">
        <v>220210044000</v>
      </c>
      <c r="B4266" s="46" t="s">
        <v>204</v>
      </c>
      <c r="C4266" s="47">
        <v>44405</v>
      </c>
      <c r="D4266" s="45">
        <v>22021002602</v>
      </c>
      <c r="E4266" s="46" t="s">
        <v>3362</v>
      </c>
      <c r="F4266" s="48">
        <v>2051.37</v>
      </c>
      <c r="G4266" s="46" t="s">
        <v>4476</v>
      </c>
      <c r="H4266" s="46" t="s">
        <v>5909</v>
      </c>
      <c r="I4266" s="45" t="s">
        <v>205</v>
      </c>
      <c r="J4266" s="46" t="s">
        <v>146</v>
      </c>
      <c r="K4266" s="46" t="s">
        <v>146</v>
      </c>
      <c r="L4266" s="46" t="s">
        <v>15</v>
      </c>
      <c r="M4266" s="46" t="s">
        <v>13</v>
      </c>
      <c r="N4266" s="46" t="s">
        <v>14</v>
      </c>
      <c r="O4266" s="49" t="s">
        <v>814</v>
      </c>
      <c r="P4266" s="49" t="s">
        <v>4910</v>
      </c>
      <c r="Q4266" s="35" t="str">
        <f>MID(Tabla1[[#This Row],[Aplicación]],14,1)</f>
        <v>6</v>
      </c>
      <c r="R4266" s="35" t="s">
        <v>496</v>
      </c>
      <c r="S4266" s="35" t="str">
        <f>MID(Tabla1[[#This Row],[Aplicación]],6,2)</f>
        <v>06</v>
      </c>
      <c r="T4266" s="35" t="str">
        <f>VLOOKUP(Tabla1[[#This Row],[AREA]],Hoja1!A:B,2,FALSE)</f>
        <v>06. Educación, infancia, juventud e igualdad</v>
      </c>
      <c r="U4266" s="35" t="str">
        <f>MID(Tabla1[[#This Row],[Aplicación]],9,4)</f>
        <v>3321</v>
      </c>
      <c r="V4266" s="35" t="str">
        <f>VLOOKUP(Tabla1[[#This Row],[PROGRAMA]],Hoja1!A:B,2,FALSE)</f>
        <v>3321. Bibliotecas públicas</v>
      </c>
      <c r="W4266" s="35" t="str">
        <f>MID(Tabla1[[#This Row],[Aplicación]],14,2)</f>
        <v>62</v>
      </c>
      <c r="X4266" s="35" t="str">
        <f>MID(Tabla1[[#This Row],[Aplicación]],14,6)</f>
        <v>629</v>
      </c>
    </row>
    <row r="4267" spans="1:24" x14ac:dyDescent="0.25">
      <c r="A4267" s="45">
        <v>220210049802</v>
      </c>
      <c r="B4267" s="46" t="s">
        <v>204</v>
      </c>
      <c r="C4267" s="47">
        <v>44433</v>
      </c>
      <c r="D4267" s="45">
        <v>22021002602</v>
      </c>
      <c r="E4267" s="46" t="s">
        <v>3362</v>
      </c>
      <c r="F4267" s="48">
        <v>422.02</v>
      </c>
      <c r="G4267" s="46" t="s">
        <v>4476</v>
      </c>
      <c r="H4267" s="46" t="s">
        <v>5910</v>
      </c>
      <c r="I4267" s="45" t="s">
        <v>205</v>
      </c>
      <c r="J4267" s="46" t="s">
        <v>146</v>
      </c>
      <c r="K4267" s="46" t="s">
        <v>146</v>
      </c>
      <c r="L4267" s="46" t="s">
        <v>15</v>
      </c>
      <c r="M4267" s="46" t="s">
        <v>13</v>
      </c>
      <c r="N4267" s="46" t="s">
        <v>14</v>
      </c>
      <c r="O4267" s="49" t="s">
        <v>814</v>
      </c>
      <c r="P4267" s="49" t="s">
        <v>4910</v>
      </c>
      <c r="Q4267" s="35" t="str">
        <f>MID(Tabla1[[#This Row],[Aplicación]],14,1)</f>
        <v>6</v>
      </c>
      <c r="R4267" s="35" t="s">
        <v>496</v>
      </c>
      <c r="S4267" s="35" t="str">
        <f>MID(Tabla1[[#This Row],[Aplicación]],6,2)</f>
        <v>06</v>
      </c>
      <c r="T4267" s="35" t="str">
        <f>VLOOKUP(Tabla1[[#This Row],[AREA]],Hoja1!A:B,2,FALSE)</f>
        <v>06. Educación, infancia, juventud e igualdad</v>
      </c>
      <c r="U4267" s="35" t="str">
        <f>MID(Tabla1[[#This Row],[Aplicación]],9,4)</f>
        <v>3321</v>
      </c>
      <c r="V4267" s="35" t="str">
        <f>VLOOKUP(Tabla1[[#This Row],[PROGRAMA]],Hoja1!A:B,2,FALSE)</f>
        <v>3321. Bibliotecas públicas</v>
      </c>
      <c r="W4267" s="35" t="str">
        <f>MID(Tabla1[[#This Row],[Aplicación]],14,2)</f>
        <v>62</v>
      </c>
      <c r="X4267" s="35" t="str">
        <f>MID(Tabla1[[#This Row],[Aplicación]],14,6)</f>
        <v>629</v>
      </c>
    </row>
    <row r="4268" spans="1:24" x14ac:dyDescent="0.25">
      <c r="A4268" s="45">
        <v>220210041567</v>
      </c>
      <c r="B4268" s="46" t="s">
        <v>9</v>
      </c>
      <c r="C4268" s="47">
        <v>44398</v>
      </c>
      <c r="D4268" s="45">
        <v>22021005679</v>
      </c>
      <c r="E4268" s="46" t="s">
        <v>1372</v>
      </c>
      <c r="F4268" s="48">
        <v>2000</v>
      </c>
      <c r="G4268" s="46" t="s">
        <v>51</v>
      </c>
      <c r="H4268" s="46" t="s">
        <v>5911</v>
      </c>
      <c r="I4268" s="45" t="s">
        <v>125</v>
      </c>
      <c r="J4268" s="46" t="s">
        <v>127</v>
      </c>
      <c r="K4268" s="46" t="s">
        <v>127</v>
      </c>
      <c r="L4268" s="46" t="s">
        <v>12</v>
      </c>
      <c r="M4268" s="46" t="s">
        <v>10</v>
      </c>
      <c r="N4268" s="46" t="s">
        <v>11</v>
      </c>
      <c r="O4268" s="49" t="s">
        <v>815</v>
      </c>
      <c r="P4268" s="49" t="s">
        <v>4910</v>
      </c>
      <c r="Q4268" s="35" t="str">
        <f>MID(Tabla1[[#This Row],[Aplicación]],14,1)</f>
        <v>2</v>
      </c>
      <c r="R4268" s="35" t="s">
        <v>495</v>
      </c>
      <c r="S4268" s="35" t="str">
        <f>MID(Tabla1[[#This Row],[Aplicación]],6,2)</f>
        <v>07</v>
      </c>
      <c r="T4268" s="35" t="str">
        <f>VLOOKUP(Tabla1[[#This Row],[AREA]],Hoja1!A:B,2,FALSE)</f>
        <v>07. Medio ambiente y desarrollo sostenible</v>
      </c>
      <c r="U4268" s="35" t="str">
        <f>MID(Tabla1[[#This Row],[Aplicación]],9,4)</f>
        <v>1711</v>
      </c>
      <c r="V4268" s="35" t="str">
        <f>VLOOKUP(Tabla1[[#This Row],[PROGRAMA]],Hoja1!A:B,2,FALSE)</f>
        <v>1711. Parques y jardines</v>
      </c>
      <c r="W4268" s="35" t="str">
        <f>MID(Tabla1[[#This Row],[Aplicación]],14,2)</f>
        <v>21</v>
      </c>
      <c r="X4268" s="35" t="str">
        <f>MID(Tabla1[[#This Row],[Aplicación]],14,6)</f>
        <v>213</v>
      </c>
    </row>
    <row r="4269" spans="1:24" x14ac:dyDescent="0.25">
      <c r="A4269" s="45">
        <v>220210043871</v>
      </c>
      <c r="B4269" s="46" t="s">
        <v>9</v>
      </c>
      <c r="C4269" s="47">
        <v>44405</v>
      </c>
      <c r="D4269" s="45">
        <v>22021005816</v>
      </c>
      <c r="E4269" s="46" t="s">
        <v>1183</v>
      </c>
      <c r="F4269" s="48">
        <v>1972.3</v>
      </c>
      <c r="G4269" s="46" t="s">
        <v>59</v>
      </c>
      <c r="H4269" s="46" t="s">
        <v>5912</v>
      </c>
      <c r="I4269" s="45" t="s">
        <v>125</v>
      </c>
      <c r="J4269" s="46" t="s">
        <v>127</v>
      </c>
      <c r="K4269" s="46" t="s">
        <v>127</v>
      </c>
      <c r="L4269" s="46" t="s">
        <v>15</v>
      </c>
      <c r="M4269" s="46" t="s">
        <v>10</v>
      </c>
      <c r="N4269" s="46" t="s">
        <v>11</v>
      </c>
      <c r="O4269" s="49" t="s">
        <v>815</v>
      </c>
      <c r="P4269" s="49" t="s">
        <v>4910</v>
      </c>
      <c r="Q4269" s="35" t="str">
        <f>MID(Tabla1[[#This Row],[Aplicación]],14,1)</f>
        <v>2</v>
      </c>
      <c r="R4269" s="35" t="s">
        <v>495</v>
      </c>
      <c r="S4269" s="35" t="str">
        <f>MID(Tabla1[[#This Row],[Aplicación]],6,2)</f>
        <v>11</v>
      </c>
      <c r="T4269" s="35" t="str">
        <f>VLOOKUP(Tabla1[[#This Row],[AREA]],Hoja1!A:B,2,FALSE)</f>
        <v>11. Salud pública y seguridad ciudadana</v>
      </c>
      <c r="U4269" s="35" t="str">
        <f>MID(Tabla1[[#This Row],[Aplicación]],9,4)</f>
        <v>1361</v>
      </c>
      <c r="V4269" s="35" t="str">
        <f>VLOOKUP(Tabla1[[#This Row],[PROGRAMA]],Hoja1!A:B,2,FALSE)</f>
        <v>1361. Prevención y extinción de incencios</v>
      </c>
      <c r="W4269" s="35" t="str">
        <f>MID(Tabla1[[#This Row],[Aplicación]],14,2)</f>
        <v>22</v>
      </c>
      <c r="X4269" s="35" t="str">
        <f>MID(Tabla1[[#This Row],[Aplicación]],14,6)</f>
        <v>22199</v>
      </c>
    </row>
    <row r="4270" spans="1:24" x14ac:dyDescent="0.25">
      <c r="A4270" s="45">
        <v>220210035418</v>
      </c>
      <c r="B4270" s="46" t="s">
        <v>9</v>
      </c>
      <c r="C4270" s="47">
        <v>44379</v>
      </c>
      <c r="D4270" s="45">
        <v>22021005274</v>
      </c>
      <c r="E4270" s="46" t="s">
        <v>982</v>
      </c>
      <c r="F4270" s="48">
        <v>94.38</v>
      </c>
      <c r="G4270" s="46" t="s">
        <v>59</v>
      </c>
      <c r="H4270" s="46" t="s">
        <v>5913</v>
      </c>
      <c r="I4270" s="45" t="s">
        <v>125</v>
      </c>
      <c r="J4270" s="46" t="s">
        <v>127</v>
      </c>
      <c r="K4270" s="46" t="s">
        <v>127</v>
      </c>
      <c r="L4270" s="46" t="s">
        <v>15</v>
      </c>
      <c r="M4270" s="46" t="s">
        <v>10</v>
      </c>
      <c r="N4270" s="46" t="s">
        <v>11</v>
      </c>
      <c r="O4270" s="49" t="s">
        <v>815</v>
      </c>
      <c r="P4270" s="49" t="s">
        <v>4910</v>
      </c>
      <c r="Q4270" s="35" t="str">
        <f>MID(Tabla1[[#This Row],[Aplicación]],14,1)</f>
        <v>2</v>
      </c>
      <c r="R4270" s="35" t="s">
        <v>495</v>
      </c>
      <c r="S4270" s="35" t="str">
        <f>MID(Tabla1[[#This Row],[Aplicación]],6,2)</f>
        <v>10</v>
      </c>
      <c r="T4270" s="35" t="str">
        <f>VLOOKUP(Tabla1[[#This Row],[AREA]],Hoja1!A:B,2,FALSE)</f>
        <v>10. Servicios sociales y mediación comunitaria</v>
      </c>
      <c r="U4270" s="35" t="str">
        <f>MID(Tabla1[[#This Row],[Aplicación]],9,4)</f>
        <v>2312</v>
      </c>
      <c r="V4270" s="35" t="str">
        <f>VLOOKUP(Tabla1[[#This Row],[PROGRAMA]],Hoja1!A:B,2,FALSE)</f>
        <v>2312. Iniciativas sociales</v>
      </c>
      <c r="W4270" s="35" t="str">
        <f>MID(Tabla1[[#This Row],[Aplicación]],14,2)</f>
        <v>21</v>
      </c>
      <c r="X4270" s="35" t="str">
        <f>MID(Tabla1[[#This Row],[Aplicación]],14,6)</f>
        <v>213</v>
      </c>
    </row>
    <row r="4271" spans="1:24" x14ac:dyDescent="0.25">
      <c r="A4271" s="45">
        <v>220210040688</v>
      </c>
      <c r="B4271" s="46" t="s">
        <v>9</v>
      </c>
      <c r="C4271" s="47">
        <v>44397</v>
      </c>
      <c r="D4271" s="45">
        <v>22021005710</v>
      </c>
      <c r="E4271" s="46" t="s">
        <v>982</v>
      </c>
      <c r="F4271" s="48">
        <v>2160</v>
      </c>
      <c r="G4271" s="46" t="s">
        <v>59</v>
      </c>
      <c r="H4271" s="46" t="s">
        <v>5914</v>
      </c>
      <c r="I4271" s="45" t="s">
        <v>125</v>
      </c>
      <c r="J4271" s="46" t="s">
        <v>127</v>
      </c>
      <c r="K4271" s="46" t="s">
        <v>127</v>
      </c>
      <c r="L4271" s="46" t="s">
        <v>12</v>
      </c>
      <c r="M4271" s="46" t="s">
        <v>10</v>
      </c>
      <c r="N4271" s="46" t="s">
        <v>11</v>
      </c>
      <c r="O4271" s="49" t="s">
        <v>815</v>
      </c>
      <c r="P4271" s="49" t="s">
        <v>4910</v>
      </c>
      <c r="Q4271" s="35" t="str">
        <f>MID(Tabla1[[#This Row],[Aplicación]],14,1)</f>
        <v>2</v>
      </c>
      <c r="R4271" s="35" t="s">
        <v>495</v>
      </c>
      <c r="S4271" s="35" t="str">
        <f>MID(Tabla1[[#This Row],[Aplicación]],6,2)</f>
        <v>10</v>
      </c>
      <c r="T4271" s="35" t="str">
        <f>VLOOKUP(Tabla1[[#This Row],[AREA]],Hoja1!A:B,2,FALSE)</f>
        <v>10. Servicios sociales y mediación comunitaria</v>
      </c>
      <c r="U4271" s="35" t="str">
        <f>MID(Tabla1[[#This Row],[Aplicación]],9,4)</f>
        <v>2312</v>
      </c>
      <c r="V4271" s="35" t="str">
        <f>VLOOKUP(Tabla1[[#This Row],[PROGRAMA]],Hoja1!A:B,2,FALSE)</f>
        <v>2312. Iniciativas sociales</v>
      </c>
      <c r="W4271" s="35" t="str">
        <f>MID(Tabla1[[#This Row],[Aplicación]],14,2)</f>
        <v>21</v>
      </c>
      <c r="X4271" s="35" t="str">
        <f>MID(Tabla1[[#This Row],[Aplicación]],14,6)</f>
        <v>213</v>
      </c>
    </row>
    <row r="4272" spans="1:24" x14ac:dyDescent="0.25">
      <c r="A4272" s="45">
        <v>220210041848</v>
      </c>
      <c r="B4272" s="46" t="s">
        <v>204</v>
      </c>
      <c r="C4272" s="47">
        <v>44399</v>
      </c>
      <c r="D4272" s="45">
        <v>22021002144</v>
      </c>
      <c r="E4272" s="46" t="s">
        <v>1328</v>
      </c>
      <c r="F4272" s="48">
        <v>43.56</v>
      </c>
      <c r="G4272" s="46" t="s">
        <v>59</v>
      </c>
      <c r="H4272" s="46" t="s">
        <v>5915</v>
      </c>
      <c r="I4272" s="45" t="s">
        <v>205</v>
      </c>
      <c r="J4272" s="46" t="s">
        <v>127</v>
      </c>
      <c r="K4272" s="46" t="s">
        <v>127</v>
      </c>
      <c r="L4272" s="46" t="s">
        <v>12</v>
      </c>
      <c r="M4272" s="46" t="s">
        <v>13</v>
      </c>
      <c r="N4272" s="46" t="s">
        <v>14</v>
      </c>
      <c r="O4272" s="49" t="s">
        <v>814</v>
      </c>
      <c r="P4272" s="49" t="s">
        <v>4910</v>
      </c>
      <c r="Q4272" s="35" t="str">
        <f>MID(Tabla1[[#This Row],[Aplicación]],14,1)</f>
        <v>2</v>
      </c>
      <c r="R4272" s="35" t="s">
        <v>495</v>
      </c>
      <c r="S4272" s="35" t="str">
        <f>MID(Tabla1[[#This Row],[Aplicación]],6,2)</f>
        <v>10</v>
      </c>
      <c r="T4272" s="35" t="str">
        <f>VLOOKUP(Tabla1[[#This Row],[AREA]],Hoja1!A:B,2,FALSE)</f>
        <v>10. Servicios sociales y mediación comunitaria</v>
      </c>
      <c r="U4272" s="35" t="str">
        <f>MID(Tabla1[[#This Row],[Aplicación]],9,4)</f>
        <v>2311</v>
      </c>
      <c r="V4272" s="35" t="str">
        <f>VLOOKUP(Tabla1[[#This Row],[PROGRAMA]],Hoja1!A:B,2,FALSE)</f>
        <v>2311. Intervención social</v>
      </c>
      <c r="W4272" s="35" t="str">
        <f>MID(Tabla1[[#This Row],[Aplicación]],14,2)</f>
        <v>21</v>
      </c>
      <c r="X4272" s="35" t="str">
        <f>MID(Tabla1[[#This Row],[Aplicación]],14,6)</f>
        <v>212</v>
      </c>
    </row>
    <row r="4273" spans="1:24" x14ac:dyDescent="0.25">
      <c r="A4273" s="45">
        <v>220210036374</v>
      </c>
      <c r="B4273" s="46" t="s">
        <v>204</v>
      </c>
      <c r="C4273" s="47">
        <v>44384</v>
      </c>
      <c r="D4273" s="45">
        <v>22021002047</v>
      </c>
      <c r="E4273" s="46" t="s">
        <v>944</v>
      </c>
      <c r="F4273" s="48">
        <v>38.72</v>
      </c>
      <c r="G4273" s="46" t="s">
        <v>59</v>
      </c>
      <c r="H4273" s="46" t="s">
        <v>5916</v>
      </c>
      <c r="I4273" s="45" t="s">
        <v>205</v>
      </c>
      <c r="J4273" s="46" t="s">
        <v>127</v>
      </c>
      <c r="K4273" s="46" t="s">
        <v>127</v>
      </c>
      <c r="L4273" s="46" t="s">
        <v>12</v>
      </c>
      <c r="M4273" s="46" t="s">
        <v>13</v>
      </c>
      <c r="N4273" s="46" t="s">
        <v>14</v>
      </c>
      <c r="O4273" s="49" t="s">
        <v>814</v>
      </c>
      <c r="P4273" s="49" t="s">
        <v>4910</v>
      </c>
      <c r="Q4273" s="35" t="str">
        <f>MID(Tabla1[[#This Row],[Aplicación]],14,1)</f>
        <v>2</v>
      </c>
      <c r="R4273" s="35" t="s">
        <v>495</v>
      </c>
      <c r="S4273" s="35" t="str">
        <f>MID(Tabla1[[#This Row],[Aplicación]],6,2)</f>
        <v>11</v>
      </c>
      <c r="T4273" s="35" t="str">
        <f>VLOOKUP(Tabla1[[#This Row],[AREA]],Hoja1!A:B,2,FALSE)</f>
        <v>11. Salud pública y seguridad ciudadana</v>
      </c>
      <c r="U4273" s="35" t="str">
        <f>MID(Tabla1[[#This Row],[Aplicación]],9,4)</f>
        <v>1621</v>
      </c>
      <c r="V4273" s="35" t="str">
        <f>VLOOKUP(Tabla1[[#This Row],[PROGRAMA]],Hoja1!A:B,2,FALSE)</f>
        <v>1621. Servicio de limpieza</v>
      </c>
      <c r="W4273" s="35" t="str">
        <f>MID(Tabla1[[#This Row],[Aplicación]],14,2)</f>
        <v>21</v>
      </c>
      <c r="X4273" s="35" t="str">
        <f>MID(Tabla1[[#This Row],[Aplicación]],14,6)</f>
        <v>213</v>
      </c>
    </row>
    <row r="4274" spans="1:24" x14ac:dyDescent="0.25">
      <c r="A4274" s="45">
        <v>220210045369</v>
      </c>
      <c r="B4274" s="46" t="s">
        <v>9</v>
      </c>
      <c r="C4274" s="47">
        <v>44413</v>
      </c>
      <c r="D4274" s="45">
        <v>22021006001</v>
      </c>
      <c r="E4274" s="46" t="s">
        <v>886</v>
      </c>
      <c r="F4274" s="48">
        <v>293.18</v>
      </c>
      <c r="G4274" s="46" t="s">
        <v>5739</v>
      </c>
      <c r="H4274" s="46" t="s">
        <v>5917</v>
      </c>
      <c r="I4274" s="45" t="s">
        <v>125</v>
      </c>
      <c r="J4274" s="46" t="s">
        <v>127</v>
      </c>
      <c r="K4274" s="46" t="s">
        <v>127</v>
      </c>
      <c r="L4274" s="46" t="s">
        <v>12</v>
      </c>
      <c r="M4274" s="46" t="s">
        <v>10</v>
      </c>
      <c r="N4274" s="46" t="s">
        <v>11</v>
      </c>
      <c r="O4274" s="49" t="s">
        <v>815</v>
      </c>
      <c r="P4274" s="49" t="s">
        <v>4910</v>
      </c>
      <c r="Q4274" s="35" t="str">
        <f>MID(Tabla1[[#This Row],[Aplicación]],14,1)</f>
        <v>2</v>
      </c>
      <c r="R4274" s="35" t="s">
        <v>495</v>
      </c>
      <c r="S4274" s="35" t="str">
        <f>MID(Tabla1[[#This Row],[Aplicación]],6,2)</f>
        <v>10</v>
      </c>
      <c r="T4274" s="35" t="str">
        <f>VLOOKUP(Tabla1[[#This Row],[AREA]],Hoja1!A:B,2,FALSE)</f>
        <v>10. Servicios sociales y mediación comunitaria</v>
      </c>
      <c r="U4274" s="35" t="str">
        <f>MID(Tabla1[[#This Row],[Aplicación]],9,4)</f>
        <v>2311</v>
      </c>
      <c r="V4274" s="35" t="str">
        <f>VLOOKUP(Tabla1[[#This Row],[PROGRAMA]],Hoja1!A:B,2,FALSE)</f>
        <v>2311. Intervención social</v>
      </c>
      <c r="W4274" s="35" t="str">
        <f>MID(Tabla1[[#This Row],[Aplicación]],14,2)</f>
        <v>21</v>
      </c>
      <c r="X4274" s="35" t="str">
        <f>MID(Tabla1[[#This Row],[Aplicación]],14,6)</f>
        <v>213</v>
      </c>
    </row>
    <row r="4275" spans="1:24" x14ac:dyDescent="0.25">
      <c r="A4275" s="45">
        <v>220210054489</v>
      </c>
      <c r="B4275" s="46" t="s">
        <v>9</v>
      </c>
      <c r="C4275" s="47">
        <v>44453</v>
      </c>
      <c r="D4275" s="45">
        <v>22021006467</v>
      </c>
      <c r="E4275" s="46" t="s">
        <v>3308</v>
      </c>
      <c r="F4275" s="48">
        <v>82.52</v>
      </c>
      <c r="G4275" s="46" t="s">
        <v>764</v>
      </c>
      <c r="H4275" s="46" t="s">
        <v>5918</v>
      </c>
      <c r="I4275" s="45" t="s">
        <v>125</v>
      </c>
      <c r="J4275" s="46" t="s">
        <v>127</v>
      </c>
      <c r="K4275" s="46" t="s">
        <v>127</v>
      </c>
      <c r="L4275" s="46" t="s">
        <v>12</v>
      </c>
      <c r="M4275" s="46" t="s">
        <v>13</v>
      </c>
      <c r="N4275" s="46" t="s">
        <v>14</v>
      </c>
      <c r="O4275" s="49" t="s">
        <v>814</v>
      </c>
      <c r="P4275" s="49" t="s">
        <v>4910</v>
      </c>
      <c r="Q4275" s="35" t="str">
        <f>MID(Tabla1[[#This Row],[Aplicación]],14,1)</f>
        <v>6</v>
      </c>
      <c r="R4275" s="35" t="s">
        <v>496</v>
      </c>
      <c r="S4275" s="35" t="str">
        <f>MID(Tabla1[[#This Row],[Aplicación]],6,2)</f>
        <v>06</v>
      </c>
      <c r="T4275" s="35" t="str">
        <f>VLOOKUP(Tabla1[[#This Row],[AREA]],Hoja1!A:B,2,FALSE)</f>
        <v>06. Educación, infancia, juventud e igualdad</v>
      </c>
      <c r="U4275" s="35" t="str">
        <f>MID(Tabla1[[#This Row],[Aplicación]],9,4)</f>
        <v>3232</v>
      </c>
      <c r="V4275" s="35" t="str">
        <f>VLOOKUP(Tabla1[[#This Row],[PROGRAMA]],Hoja1!A:B,2,FALSE)</f>
        <v>3232. Conservación y mantenimiento centros educación infantil y primaria</v>
      </c>
      <c r="W4275" s="35" t="str">
        <f>MID(Tabla1[[#This Row],[Aplicación]],14,2)</f>
        <v>63</v>
      </c>
      <c r="X4275" s="35" t="str">
        <f>MID(Tabla1[[#This Row],[Aplicación]],14,6)</f>
        <v>632</v>
      </c>
    </row>
    <row r="4276" spans="1:24" x14ac:dyDescent="0.25">
      <c r="A4276" s="45">
        <v>220210051123</v>
      </c>
      <c r="B4276" s="46" t="s">
        <v>32</v>
      </c>
      <c r="C4276" s="47">
        <v>44448</v>
      </c>
      <c r="D4276" s="45">
        <v>22021006298</v>
      </c>
      <c r="E4276" s="46" t="s">
        <v>5919</v>
      </c>
      <c r="F4276" s="48">
        <v>214.23</v>
      </c>
      <c r="G4276" s="46" t="s">
        <v>3969</v>
      </c>
      <c r="H4276" s="46" t="s">
        <v>5920</v>
      </c>
      <c r="I4276" s="45" t="s">
        <v>234</v>
      </c>
      <c r="J4276" s="46" t="s">
        <v>126</v>
      </c>
      <c r="K4276" s="46" t="s">
        <v>126</v>
      </c>
      <c r="L4276" s="46" t="s">
        <v>15</v>
      </c>
      <c r="M4276" s="46" t="s">
        <v>10</v>
      </c>
      <c r="N4276" s="46" t="s">
        <v>11</v>
      </c>
      <c r="O4276" s="49" t="s">
        <v>815</v>
      </c>
      <c r="P4276" s="49" t="s">
        <v>4910</v>
      </c>
      <c r="Q4276" s="35" t="str">
        <f>MID(Tabla1[[#This Row],[Aplicación]],14,1)</f>
        <v>2</v>
      </c>
      <c r="R4276" s="35" t="s">
        <v>495</v>
      </c>
      <c r="S4276" s="35" t="str">
        <f>MID(Tabla1[[#This Row],[Aplicación]],6,2)</f>
        <v>04</v>
      </c>
      <c r="T4276" s="35" t="str">
        <f>VLOOKUP(Tabla1[[#This Row],[AREA]],Hoja1!A:B,2,FALSE)</f>
        <v>04. Planificación y recursos</v>
      </c>
      <c r="U4276" s="35" t="str">
        <f>MID(Tabla1[[#This Row],[Aplicación]],9,4)</f>
        <v>9321</v>
      </c>
      <c r="V4276" s="35" t="str">
        <f>VLOOKUP(Tabla1[[#This Row],[PROGRAMA]],Hoja1!A:B,2,FALSE)</f>
        <v>9321. Gestión de ingresos e inspección</v>
      </c>
      <c r="W4276" s="35" t="str">
        <f>MID(Tabla1[[#This Row],[Aplicación]],14,2)</f>
        <v>22</v>
      </c>
      <c r="X4276" s="35" t="str">
        <f>MID(Tabla1[[#This Row],[Aplicación]],14,6)</f>
        <v>22000</v>
      </c>
    </row>
    <row r="4277" spans="1:24" x14ac:dyDescent="0.25">
      <c r="A4277" s="45">
        <v>220210043779</v>
      </c>
      <c r="B4277" s="46" t="s">
        <v>9</v>
      </c>
      <c r="C4277" s="47">
        <v>44404</v>
      </c>
      <c r="D4277" s="45">
        <v>22021005874</v>
      </c>
      <c r="E4277" s="46" t="s">
        <v>818</v>
      </c>
      <c r="F4277" s="48">
        <v>27.5</v>
      </c>
      <c r="G4277" s="46" t="s">
        <v>86</v>
      </c>
      <c r="H4277" s="46" t="s">
        <v>5921</v>
      </c>
      <c r="I4277" s="45" t="s">
        <v>125</v>
      </c>
      <c r="J4277" s="46" t="s">
        <v>186</v>
      </c>
      <c r="K4277" s="46" t="s">
        <v>186</v>
      </c>
      <c r="L4277" s="46" t="s">
        <v>12</v>
      </c>
      <c r="M4277" s="46" t="s">
        <v>10</v>
      </c>
      <c r="N4277" s="46" t="s">
        <v>11</v>
      </c>
      <c r="O4277" s="49" t="s">
        <v>815</v>
      </c>
      <c r="P4277" s="49" t="s">
        <v>4910</v>
      </c>
      <c r="Q4277" s="35" t="str">
        <f>MID(Tabla1[[#This Row],[Aplicación]],14,1)</f>
        <v>2</v>
      </c>
      <c r="R4277" s="35" t="s">
        <v>495</v>
      </c>
      <c r="S4277" s="35" t="str">
        <f>MID(Tabla1[[#This Row],[Aplicación]],6,2)</f>
        <v>09</v>
      </c>
      <c r="T4277" s="35" t="str">
        <f>VLOOKUP(Tabla1[[#This Row],[AREA]],Hoja1!A:B,2,FALSE)</f>
        <v>09. Cultura y turismo</v>
      </c>
      <c r="U4277" s="35" t="str">
        <f>MID(Tabla1[[#This Row],[Aplicación]],9,4)</f>
        <v>3341</v>
      </c>
      <c r="V4277" s="35" t="str">
        <f>VLOOKUP(Tabla1[[#This Row],[PROGRAMA]],Hoja1!A:B,2,FALSE)</f>
        <v>3341. Coordinación de políticas culturales</v>
      </c>
      <c r="W4277" s="35" t="str">
        <f>MID(Tabla1[[#This Row],[Aplicación]],14,2)</f>
        <v>22</v>
      </c>
      <c r="X4277" s="35" t="str">
        <f>MID(Tabla1[[#This Row],[Aplicación]],14,6)</f>
        <v>22609</v>
      </c>
    </row>
    <row r="4278" spans="1:24" x14ac:dyDescent="0.25">
      <c r="A4278" s="45">
        <v>220210056299</v>
      </c>
      <c r="B4278" s="46" t="s">
        <v>9</v>
      </c>
      <c r="C4278" s="47">
        <v>44454</v>
      </c>
      <c r="D4278" s="45">
        <v>22021006513</v>
      </c>
      <c r="E4278" s="46" t="s">
        <v>1471</v>
      </c>
      <c r="F4278" s="48">
        <v>15.9</v>
      </c>
      <c r="G4278" s="46" t="s">
        <v>5922</v>
      </c>
      <c r="H4278" s="46" t="s">
        <v>5923</v>
      </c>
      <c r="I4278" s="45" t="s">
        <v>125</v>
      </c>
      <c r="J4278" s="46" t="s">
        <v>127</v>
      </c>
      <c r="K4278" s="46" t="s">
        <v>127</v>
      </c>
      <c r="L4278" s="46" t="s">
        <v>15</v>
      </c>
      <c r="M4278" s="46" t="s">
        <v>10</v>
      </c>
      <c r="N4278" s="46" t="s">
        <v>11</v>
      </c>
      <c r="O4278" s="49" t="s">
        <v>815</v>
      </c>
      <c r="P4278" s="49" t="s">
        <v>4910</v>
      </c>
      <c r="Q4278" s="35" t="str">
        <f>MID(Tabla1[[#This Row],[Aplicación]],14,1)</f>
        <v>2</v>
      </c>
      <c r="R4278" s="35" t="s">
        <v>495</v>
      </c>
      <c r="S4278" s="35" t="str">
        <f>MID(Tabla1[[#This Row],[Aplicación]],6,2)</f>
        <v>06</v>
      </c>
      <c r="T4278" s="35" t="str">
        <f>VLOOKUP(Tabla1[[#This Row],[AREA]],Hoja1!A:B,2,FALSE)</f>
        <v>06. Educación, infancia, juventud e igualdad</v>
      </c>
      <c r="U4278" s="35" t="str">
        <f>MID(Tabla1[[#This Row],[Aplicación]],9,4)</f>
        <v>3232</v>
      </c>
      <c r="V4278" s="35" t="str">
        <f>VLOOKUP(Tabla1[[#This Row],[PROGRAMA]],Hoja1!A:B,2,FALSE)</f>
        <v>3232. Conservación y mantenimiento centros educación infantil y primaria</v>
      </c>
      <c r="W4278" s="35" t="str">
        <f>MID(Tabla1[[#This Row],[Aplicación]],14,2)</f>
        <v>21</v>
      </c>
      <c r="X4278" s="35" t="str">
        <f>MID(Tabla1[[#This Row],[Aplicación]],14,6)</f>
        <v>212</v>
      </c>
    </row>
    <row r="4279" spans="1:24" x14ac:dyDescent="0.25">
      <c r="A4279" s="45">
        <v>220210048389</v>
      </c>
      <c r="B4279" s="46" t="s">
        <v>9</v>
      </c>
      <c r="C4279" s="47">
        <v>44426</v>
      </c>
      <c r="D4279" s="45">
        <v>22021006058</v>
      </c>
      <c r="E4279" s="46" t="s">
        <v>844</v>
      </c>
      <c r="F4279" s="48">
        <v>15</v>
      </c>
      <c r="G4279" s="46" t="s">
        <v>4947</v>
      </c>
      <c r="H4279" s="46" t="s">
        <v>5924</v>
      </c>
      <c r="I4279" s="45" t="s">
        <v>125</v>
      </c>
      <c r="J4279" s="46" t="s">
        <v>127</v>
      </c>
      <c r="K4279" s="46" t="s">
        <v>127</v>
      </c>
      <c r="L4279" s="46" t="s">
        <v>15</v>
      </c>
      <c r="M4279" s="46" t="s">
        <v>10</v>
      </c>
      <c r="N4279" s="46" t="s">
        <v>11</v>
      </c>
      <c r="O4279" s="49" t="s">
        <v>815</v>
      </c>
      <c r="P4279" s="49" t="s">
        <v>4910</v>
      </c>
      <c r="Q4279" s="35" t="str">
        <f>MID(Tabla1[[#This Row],[Aplicación]],14,1)</f>
        <v>2</v>
      </c>
      <c r="R4279" s="35" t="s">
        <v>495</v>
      </c>
      <c r="S4279" s="35" t="str">
        <f>MID(Tabla1[[#This Row],[Aplicación]],6,2)</f>
        <v>10</v>
      </c>
      <c r="T4279" s="35" t="str">
        <f>VLOOKUP(Tabla1[[#This Row],[AREA]],Hoja1!A:B,2,FALSE)</f>
        <v>10. Servicios sociales y mediación comunitaria</v>
      </c>
      <c r="U4279" s="35" t="str">
        <f>MID(Tabla1[[#This Row],[Aplicación]],9,4)</f>
        <v>2312</v>
      </c>
      <c r="V4279" s="35" t="str">
        <f>VLOOKUP(Tabla1[[#This Row],[PROGRAMA]],Hoja1!A:B,2,FALSE)</f>
        <v>2312. Iniciativas sociales</v>
      </c>
      <c r="W4279" s="35" t="str">
        <f>MID(Tabla1[[#This Row],[Aplicación]],14,2)</f>
        <v>21</v>
      </c>
      <c r="X4279" s="35" t="str">
        <f>MID(Tabla1[[#This Row],[Aplicación]],14,6)</f>
        <v>212</v>
      </c>
    </row>
    <row r="4280" spans="1:24" x14ac:dyDescent="0.25">
      <c r="A4280" s="45">
        <v>220210034309</v>
      </c>
      <c r="B4280" s="46" t="s">
        <v>9</v>
      </c>
      <c r="C4280" s="47">
        <v>44378</v>
      </c>
      <c r="D4280" s="45">
        <v>22021005144</v>
      </c>
      <c r="E4280" s="46" t="s">
        <v>3308</v>
      </c>
      <c r="F4280" s="48">
        <v>38720</v>
      </c>
      <c r="G4280" s="46" t="s">
        <v>2030</v>
      </c>
      <c r="H4280" s="46" t="s">
        <v>5925</v>
      </c>
      <c r="I4280" s="45" t="s">
        <v>125</v>
      </c>
      <c r="J4280" s="46" t="s">
        <v>749</v>
      </c>
      <c r="K4280" s="46" t="s">
        <v>127</v>
      </c>
      <c r="L4280" s="46" t="s">
        <v>31</v>
      </c>
      <c r="M4280" s="46" t="s">
        <v>10</v>
      </c>
      <c r="N4280" s="46" t="s">
        <v>11</v>
      </c>
      <c r="O4280" s="49" t="s">
        <v>815</v>
      </c>
      <c r="P4280" s="49" t="s">
        <v>4910</v>
      </c>
      <c r="Q4280" s="35" t="str">
        <f>MID(Tabla1[[#This Row],[Aplicación]],14,1)</f>
        <v>6</v>
      </c>
      <c r="R4280" s="35" t="s">
        <v>496</v>
      </c>
      <c r="S4280" s="35" t="str">
        <f>MID(Tabla1[[#This Row],[Aplicación]],6,2)</f>
        <v>06</v>
      </c>
      <c r="T4280" s="35" t="str">
        <f>VLOOKUP(Tabla1[[#This Row],[AREA]],Hoja1!A:B,2,FALSE)</f>
        <v>06. Educación, infancia, juventud e igualdad</v>
      </c>
      <c r="U4280" s="35" t="str">
        <f>MID(Tabla1[[#This Row],[Aplicación]],9,4)</f>
        <v>3232</v>
      </c>
      <c r="V4280" s="35" t="str">
        <f>VLOOKUP(Tabla1[[#This Row],[PROGRAMA]],Hoja1!A:B,2,FALSE)</f>
        <v>3232. Conservación y mantenimiento centros educación infantil y primaria</v>
      </c>
      <c r="W4280" s="35" t="str">
        <f>MID(Tabla1[[#This Row],[Aplicación]],14,2)</f>
        <v>63</v>
      </c>
      <c r="X4280" s="35" t="str">
        <f>MID(Tabla1[[#This Row],[Aplicación]],14,6)</f>
        <v>632</v>
      </c>
    </row>
    <row r="4281" spans="1:24" x14ac:dyDescent="0.25">
      <c r="A4281" s="45">
        <v>220210036314</v>
      </c>
      <c r="B4281" s="46" t="s">
        <v>9</v>
      </c>
      <c r="C4281" s="47">
        <v>44384</v>
      </c>
      <c r="D4281" s="45">
        <v>22021004776</v>
      </c>
      <c r="E4281" s="46" t="s">
        <v>1724</v>
      </c>
      <c r="F4281" s="48">
        <v>229017.34</v>
      </c>
      <c r="G4281" s="46" t="s">
        <v>3011</v>
      </c>
      <c r="H4281" s="46" t="s">
        <v>5926</v>
      </c>
      <c r="I4281" s="45" t="s">
        <v>125</v>
      </c>
      <c r="J4281" s="46" t="s">
        <v>127</v>
      </c>
      <c r="K4281" s="46" t="s">
        <v>127</v>
      </c>
      <c r="L4281" s="46" t="s">
        <v>31</v>
      </c>
      <c r="M4281" s="46" t="s">
        <v>13</v>
      </c>
      <c r="N4281" s="46" t="s">
        <v>14</v>
      </c>
      <c r="O4281" s="49" t="s">
        <v>803</v>
      </c>
      <c r="P4281" s="49" t="s">
        <v>4910</v>
      </c>
      <c r="Q4281" s="35" t="str">
        <f>MID(Tabla1[[#This Row],[Aplicación]],14,1)</f>
        <v>6</v>
      </c>
      <c r="R4281" s="35" t="s">
        <v>496</v>
      </c>
      <c r="S4281" s="35" t="str">
        <f>MID(Tabla1[[#This Row],[Aplicación]],6,2)</f>
        <v>07</v>
      </c>
      <c r="T4281" s="35" t="str">
        <f>VLOOKUP(Tabla1[[#This Row],[AREA]],Hoja1!A:B,2,FALSE)</f>
        <v>07. Medio ambiente y desarrollo sostenible</v>
      </c>
      <c r="U4281" s="35" t="str">
        <f>MID(Tabla1[[#This Row],[Aplicación]],9,4)</f>
        <v>1711</v>
      </c>
      <c r="V4281" s="35" t="str">
        <f>VLOOKUP(Tabla1[[#This Row],[PROGRAMA]],Hoja1!A:B,2,FALSE)</f>
        <v>1711. Parques y jardines</v>
      </c>
      <c r="W4281" s="35" t="str">
        <f>MID(Tabla1[[#This Row],[Aplicación]],14,2)</f>
        <v>61</v>
      </c>
      <c r="X4281" s="35" t="str">
        <f>MID(Tabla1[[#This Row],[Aplicación]],14,6)</f>
        <v>619</v>
      </c>
    </row>
    <row r="4282" spans="1:24" x14ac:dyDescent="0.25">
      <c r="A4282" s="45">
        <v>220210043854</v>
      </c>
      <c r="B4282" s="46" t="s">
        <v>9</v>
      </c>
      <c r="C4282" s="47">
        <v>44405</v>
      </c>
      <c r="D4282" s="45">
        <v>22021004895</v>
      </c>
      <c r="E4282" s="46" t="s">
        <v>1724</v>
      </c>
      <c r="F4282" s="48">
        <v>36340.21</v>
      </c>
      <c r="G4282" s="46" t="s">
        <v>3011</v>
      </c>
      <c r="H4282" s="46" t="s">
        <v>5927</v>
      </c>
      <c r="I4282" s="45" t="s">
        <v>125</v>
      </c>
      <c r="J4282" s="46" t="s">
        <v>127</v>
      </c>
      <c r="K4282" s="46" t="s">
        <v>127</v>
      </c>
      <c r="L4282" s="46" t="s">
        <v>31</v>
      </c>
      <c r="M4282" s="46" t="s">
        <v>13</v>
      </c>
      <c r="N4282" s="46" t="s">
        <v>14</v>
      </c>
      <c r="O4282" s="49" t="s">
        <v>814</v>
      </c>
      <c r="P4282" s="49" t="s">
        <v>4910</v>
      </c>
      <c r="Q4282" s="35" t="str">
        <f>MID(Tabla1[[#This Row],[Aplicación]],14,1)</f>
        <v>6</v>
      </c>
      <c r="R4282" s="35" t="s">
        <v>496</v>
      </c>
      <c r="S4282" s="35" t="str">
        <f>MID(Tabla1[[#This Row],[Aplicación]],6,2)</f>
        <v>07</v>
      </c>
      <c r="T4282" s="35" t="str">
        <f>VLOOKUP(Tabla1[[#This Row],[AREA]],Hoja1!A:B,2,FALSE)</f>
        <v>07. Medio ambiente y desarrollo sostenible</v>
      </c>
      <c r="U4282" s="35" t="str">
        <f>MID(Tabla1[[#This Row],[Aplicación]],9,4)</f>
        <v>1711</v>
      </c>
      <c r="V4282" s="35" t="str">
        <f>VLOOKUP(Tabla1[[#This Row],[PROGRAMA]],Hoja1!A:B,2,FALSE)</f>
        <v>1711. Parques y jardines</v>
      </c>
      <c r="W4282" s="35" t="str">
        <f>MID(Tabla1[[#This Row],[Aplicación]],14,2)</f>
        <v>61</v>
      </c>
      <c r="X4282" s="35" t="str">
        <f>MID(Tabla1[[#This Row],[Aplicación]],14,6)</f>
        <v>619</v>
      </c>
    </row>
    <row r="4283" spans="1:24" x14ac:dyDescent="0.25">
      <c r="A4283" s="45">
        <v>220210043857</v>
      </c>
      <c r="B4283" s="46" t="s">
        <v>9</v>
      </c>
      <c r="C4283" s="47">
        <v>44405</v>
      </c>
      <c r="D4283" s="45">
        <v>22021005170</v>
      </c>
      <c r="E4283" s="46" t="s">
        <v>1724</v>
      </c>
      <c r="F4283" s="48">
        <v>19565.12</v>
      </c>
      <c r="G4283" s="46" t="s">
        <v>3011</v>
      </c>
      <c r="H4283" s="46" t="s">
        <v>5928</v>
      </c>
      <c r="I4283" s="45" t="s">
        <v>125</v>
      </c>
      <c r="J4283" s="46" t="s">
        <v>127</v>
      </c>
      <c r="K4283" s="46" t="s">
        <v>127</v>
      </c>
      <c r="L4283" s="46" t="s">
        <v>31</v>
      </c>
      <c r="M4283" s="46" t="s">
        <v>13</v>
      </c>
      <c r="N4283" s="46" t="s">
        <v>14</v>
      </c>
      <c r="O4283" s="49" t="s">
        <v>814</v>
      </c>
      <c r="P4283" s="49" t="s">
        <v>4910</v>
      </c>
      <c r="Q4283" s="35" t="str">
        <f>MID(Tabla1[[#This Row],[Aplicación]],14,1)</f>
        <v>6</v>
      </c>
      <c r="R4283" s="35" t="s">
        <v>496</v>
      </c>
      <c r="S4283" s="35" t="str">
        <f>MID(Tabla1[[#This Row],[Aplicación]],6,2)</f>
        <v>07</v>
      </c>
      <c r="T4283" s="35" t="str">
        <f>VLOOKUP(Tabla1[[#This Row],[AREA]],Hoja1!A:B,2,FALSE)</f>
        <v>07. Medio ambiente y desarrollo sostenible</v>
      </c>
      <c r="U4283" s="35" t="str">
        <f>MID(Tabla1[[#This Row],[Aplicación]],9,4)</f>
        <v>1711</v>
      </c>
      <c r="V4283" s="35" t="str">
        <f>VLOOKUP(Tabla1[[#This Row],[PROGRAMA]],Hoja1!A:B,2,FALSE)</f>
        <v>1711. Parques y jardines</v>
      </c>
      <c r="W4283" s="35" t="str">
        <f>MID(Tabla1[[#This Row],[Aplicación]],14,2)</f>
        <v>61</v>
      </c>
      <c r="X4283" s="35" t="str">
        <f>MID(Tabla1[[#This Row],[Aplicación]],14,6)</f>
        <v>619</v>
      </c>
    </row>
    <row r="4284" spans="1:24" x14ac:dyDescent="0.25">
      <c r="A4284" s="45">
        <v>220210048521</v>
      </c>
      <c r="B4284" s="46" t="s">
        <v>9</v>
      </c>
      <c r="C4284" s="47">
        <v>44428</v>
      </c>
      <c r="D4284" s="45">
        <v>22021006096</v>
      </c>
      <c r="E4284" s="46" t="s">
        <v>2155</v>
      </c>
      <c r="F4284" s="48">
        <v>4.59</v>
      </c>
      <c r="G4284" s="46" t="s">
        <v>120</v>
      </c>
      <c r="H4284" s="46" t="s">
        <v>5929</v>
      </c>
      <c r="I4284" s="45" t="s">
        <v>125</v>
      </c>
      <c r="J4284" s="46" t="s">
        <v>126</v>
      </c>
      <c r="K4284" s="46" t="s">
        <v>126</v>
      </c>
      <c r="L4284" s="46" t="s">
        <v>12</v>
      </c>
      <c r="M4284" s="46" t="s">
        <v>10</v>
      </c>
      <c r="N4284" s="46" t="s">
        <v>11</v>
      </c>
      <c r="O4284" s="49" t="s">
        <v>815</v>
      </c>
      <c r="P4284" s="49" t="s">
        <v>4910</v>
      </c>
      <c r="Q4284" s="35" t="str">
        <f>MID(Tabla1[[#This Row],[Aplicación]],14,1)</f>
        <v>2</v>
      </c>
      <c r="R4284" s="35" t="s">
        <v>495</v>
      </c>
      <c r="S4284" s="35" t="str">
        <f>MID(Tabla1[[#This Row],[Aplicación]],6,2)</f>
        <v>11</v>
      </c>
      <c r="T4284" s="35" t="str">
        <f>VLOOKUP(Tabla1[[#This Row],[AREA]],Hoja1!A:B,2,FALSE)</f>
        <v>11. Salud pública y seguridad ciudadana</v>
      </c>
      <c r="U4284" s="35" t="str">
        <f>MID(Tabla1[[#This Row],[Aplicación]],9,4)</f>
        <v>1621</v>
      </c>
      <c r="V4284" s="35" t="str">
        <f>VLOOKUP(Tabla1[[#This Row],[PROGRAMA]],Hoja1!A:B,2,FALSE)</f>
        <v>1621. Servicio de limpieza</v>
      </c>
      <c r="W4284" s="35" t="str">
        <f>MID(Tabla1[[#This Row],[Aplicación]],14,2)</f>
        <v>21</v>
      </c>
      <c r="X4284" s="35" t="str">
        <f>MID(Tabla1[[#This Row],[Aplicación]],14,6)</f>
        <v>212</v>
      </c>
    </row>
    <row r="4285" spans="1:24" x14ac:dyDescent="0.25">
      <c r="A4285" s="45">
        <v>220210037293</v>
      </c>
      <c r="B4285" s="46" t="s">
        <v>9</v>
      </c>
      <c r="C4285" s="47">
        <v>44391</v>
      </c>
      <c r="D4285" s="45">
        <v>22021004845</v>
      </c>
      <c r="E4285" s="46" t="s">
        <v>1613</v>
      </c>
      <c r="F4285" s="48">
        <v>65909.899999999994</v>
      </c>
      <c r="G4285" s="46" t="s">
        <v>137</v>
      </c>
      <c r="H4285" s="46" t="s">
        <v>5930</v>
      </c>
      <c r="I4285" s="45" t="s">
        <v>125</v>
      </c>
      <c r="J4285" s="46" t="s">
        <v>613</v>
      </c>
      <c r="K4285" s="46" t="s">
        <v>127</v>
      </c>
      <c r="L4285" s="46" t="s">
        <v>15</v>
      </c>
      <c r="M4285" s="46" t="s">
        <v>13</v>
      </c>
      <c r="N4285" s="46" t="s">
        <v>14</v>
      </c>
      <c r="O4285" s="49" t="s">
        <v>803</v>
      </c>
      <c r="P4285" s="49" t="s">
        <v>4910</v>
      </c>
      <c r="Q4285" s="35" t="str">
        <f>MID(Tabla1[[#This Row],[Aplicación]],14,1)</f>
        <v>2</v>
      </c>
      <c r="R4285" s="35" t="s">
        <v>495</v>
      </c>
      <c r="S4285" s="35" t="str">
        <f>MID(Tabla1[[#This Row],[Aplicación]],6,2)</f>
        <v>11</v>
      </c>
      <c r="T4285" s="35" t="str">
        <f>VLOOKUP(Tabla1[[#This Row],[AREA]],Hoja1!A:B,2,FALSE)</f>
        <v>11. Salud pública y seguridad ciudadana</v>
      </c>
      <c r="U4285" s="35" t="str">
        <f>MID(Tabla1[[#This Row],[Aplicación]],9,4)</f>
        <v>1631</v>
      </c>
      <c r="V4285" s="35" t="str">
        <f>VLOOKUP(Tabla1[[#This Row],[PROGRAMA]],Hoja1!A:B,2,FALSE)</f>
        <v>1631. Limpieza viaria</v>
      </c>
      <c r="W4285" s="35" t="str">
        <f>MID(Tabla1[[#This Row],[Aplicación]],14,2)</f>
        <v>22</v>
      </c>
      <c r="X4285" s="35" t="str">
        <f>MID(Tabla1[[#This Row],[Aplicación]],14,6)</f>
        <v>22104</v>
      </c>
    </row>
    <row r="4286" spans="1:24" x14ac:dyDescent="0.25">
      <c r="A4286" s="45">
        <v>220210037290</v>
      </c>
      <c r="B4286" s="46" t="s">
        <v>9</v>
      </c>
      <c r="C4286" s="47">
        <v>44391</v>
      </c>
      <c r="D4286" s="45">
        <v>22021004841</v>
      </c>
      <c r="E4286" s="46" t="s">
        <v>2002</v>
      </c>
      <c r="F4286" s="48">
        <v>31016.43</v>
      </c>
      <c r="G4286" s="46" t="s">
        <v>137</v>
      </c>
      <c r="H4286" s="46" t="s">
        <v>5931</v>
      </c>
      <c r="I4286" s="45" t="s">
        <v>125</v>
      </c>
      <c r="J4286" s="46" t="s">
        <v>613</v>
      </c>
      <c r="K4286" s="46" t="s">
        <v>127</v>
      </c>
      <c r="L4286" s="46" t="s">
        <v>15</v>
      </c>
      <c r="M4286" s="46" t="s">
        <v>13</v>
      </c>
      <c r="N4286" s="46" t="s">
        <v>14</v>
      </c>
      <c r="O4286" s="49" t="s">
        <v>803</v>
      </c>
      <c r="P4286" s="49" t="s">
        <v>4910</v>
      </c>
      <c r="Q4286" s="35" t="str">
        <f>MID(Tabla1[[#This Row],[Aplicación]],14,1)</f>
        <v>2</v>
      </c>
      <c r="R4286" s="35" t="s">
        <v>495</v>
      </c>
      <c r="S4286" s="35" t="str">
        <f>MID(Tabla1[[#This Row],[Aplicación]],6,2)</f>
        <v>11</v>
      </c>
      <c r="T4286" s="35" t="str">
        <f>VLOOKUP(Tabla1[[#This Row],[AREA]],Hoja1!A:B,2,FALSE)</f>
        <v>11. Salud pública y seguridad ciudadana</v>
      </c>
      <c r="U4286" s="35" t="str">
        <f>MID(Tabla1[[#This Row],[Aplicación]],9,4)</f>
        <v>1621</v>
      </c>
      <c r="V4286" s="35" t="str">
        <f>VLOOKUP(Tabla1[[#This Row],[PROGRAMA]],Hoja1!A:B,2,FALSE)</f>
        <v>1621. Servicio de limpieza</v>
      </c>
      <c r="W4286" s="35" t="str">
        <f>MID(Tabla1[[#This Row],[Aplicación]],14,2)</f>
        <v>22</v>
      </c>
      <c r="X4286" s="35" t="str">
        <f>MID(Tabla1[[#This Row],[Aplicación]],14,6)</f>
        <v>22104</v>
      </c>
    </row>
    <row r="4287" spans="1:24" x14ac:dyDescent="0.25">
      <c r="A4287" s="45">
        <v>220210036223</v>
      </c>
      <c r="B4287" s="46" t="s">
        <v>9</v>
      </c>
      <c r="C4287" s="47">
        <v>44383</v>
      </c>
      <c r="D4287" s="45">
        <v>22021005277</v>
      </c>
      <c r="E4287" s="46" t="s">
        <v>2002</v>
      </c>
      <c r="F4287" s="48">
        <v>1234.2</v>
      </c>
      <c r="G4287" s="46" t="s">
        <v>137</v>
      </c>
      <c r="H4287" s="46" t="s">
        <v>5932</v>
      </c>
      <c r="I4287" s="45" t="s">
        <v>125</v>
      </c>
      <c r="J4287" s="46" t="s">
        <v>613</v>
      </c>
      <c r="K4287" s="46" t="s">
        <v>127</v>
      </c>
      <c r="L4287" s="46" t="s">
        <v>15</v>
      </c>
      <c r="M4287" s="46" t="s">
        <v>13</v>
      </c>
      <c r="N4287" s="46" t="s">
        <v>14</v>
      </c>
      <c r="O4287" s="49" t="s">
        <v>803</v>
      </c>
      <c r="P4287" s="49" t="s">
        <v>4910</v>
      </c>
      <c r="Q4287" s="35" t="str">
        <f>MID(Tabla1[[#This Row],[Aplicación]],14,1)</f>
        <v>2</v>
      </c>
      <c r="R4287" s="35" t="s">
        <v>495</v>
      </c>
      <c r="S4287" s="35" t="str">
        <f>MID(Tabla1[[#This Row],[Aplicación]],6,2)</f>
        <v>11</v>
      </c>
      <c r="T4287" s="35" t="str">
        <f>VLOOKUP(Tabla1[[#This Row],[AREA]],Hoja1!A:B,2,FALSE)</f>
        <v>11. Salud pública y seguridad ciudadana</v>
      </c>
      <c r="U4287" s="35" t="str">
        <f>MID(Tabla1[[#This Row],[Aplicación]],9,4)</f>
        <v>1621</v>
      </c>
      <c r="V4287" s="35" t="str">
        <f>VLOOKUP(Tabla1[[#This Row],[PROGRAMA]],Hoja1!A:B,2,FALSE)</f>
        <v>1621. Servicio de limpieza</v>
      </c>
      <c r="W4287" s="35" t="str">
        <f>MID(Tabla1[[#This Row],[Aplicación]],14,2)</f>
        <v>22</v>
      </c>
      <c r="X4287" s="35" t="str">
        <f>MID(Tabla1[[#This Row],[Aplicación]],14,6)</f>
        <v>22104</v>
      </c>
    </row>
    <row r="4288" spans="1:24" x14ac:dyDescent="0.25">
      <c r="A4288" s="45">
        <v>220210036756</v>
      </c>
      <c r="B4288" s="46" t="s">
        <v>32</v>
      </c>
      <c r="C4288" s="47">
        <v>44386</v>
      </c>
      <c r="D4288" s="45">
        <v>22021005533</v>
      </c>
      <c r="E4288" s="46" t="s">
        <v>1613</v>
      </c>
      <c r="F4288" s="48">
        <v>16458.77</v>
      </c>
      <c r="G4288" s="46" t="s">
        <v>137</v>
      </c>
      <c r="H4288" s="46" t="s">
        <v>5933</v>
      </c>
      <c r="I4288" s="45" t="s">
        <v>234</v>
      </c>
      <c r="J4288" s="46" t="s">
        <v>613</v>
      </c>
      <c r="K4288" s="46" t="s">
        <v>127</v>
      </c>
      <c r="L4288" s="46" t="s">
        <v>15</v>
      </c>
      <c r="M4288" s="46" t="s">
        <v>13</v>
      </c>
      <c r="N4288" s="46" t="s">
        <v>14</v>
      </c>
      <c r="O4288" s="49" t="s">
        <v>803</v>
      </c>
      <c r="P4288" s="49" t="s">
        <v>4910</v>
      </c>
      <c r="Q4288" s="35" t="str">
        <f>MID(Tabla1[[#This Row],[Aplicación]],14,1)</f>
        <v>2</v>
      </c>
      <c r="R4288" s="35" t="s">
        <v>495</v>
      </c>
      <c r="S4288" s="35" t="str">
        <f>MID(Tabla1[[#This Row],[Aplicación]],6,2)</f>
        <v>11</v>
      </c>
      <c r="T4288" s="35" t="str">
        <f>VLOOKUP(Tabla1[[#This Row],[AREA]],Hoja1!A:B,2,FALSE)</f>
        <v>11. Salud pública y seguridad ciudadana</v>
      </c>
      <c r="U4288" s="35" t="str">
        <f>MID(Tabla1[[#This Row],[Aplicación]],9,4)</f>
        <v>1631</v>
      </c>
      <c r="V4288" s="35" t="str">
        <f>VLOOKUP(Tabla1[[#This Row],[PROGRAMA]],Hoja1!A:B,2,FALSE)</f>
        <v>1631. Limpieza viaria</v>
      </c>
      <c r="W4288" s="35" t="str">
        <f>MID(Tabla1[[#This Row],[Aplicación]],14,2)</f>
        <v>22</v>
      </c>
      <c r="X4288" s="35" t="str">
        <f>MID(Tabla1[[#This Row],[Aplicación]],14,6)</f>
        <v>22104</v>
      </c>
    </row>
    <row r="4289" spans="1:24" x14ac:dyDescent="0.25">
      <c r="A4289" s="45">
        <v>220210036755</v>
      </c>
      <c r="B4289" s="46" t="s">
        <v>32</v>
      </c>
      <c r="C4289" s="47">
        <v>44386</v>
      </c>
      <c r="D4289" s="45">
        <v>22021005532</v>
      </c>
      <c r="E4289" s="46" t="s">
        <v>2002</v>
      </c>
      <c r="F4289" s="48">
        <v>2243.8200000000002</v>
      </c>
      <c r="G4289" s="46" t="s">
        <v>137</v>
      </c>
      <c r="H4289" s="46" t="s">
        <v>5934</v>
      </c>
      <c r="I4289" s="45" t="s">
        <v>234</v>
      </c>
      <c r="J4289" s="46" t="s">
        <v>613</v>
      </c>
      <c r="K4289" s="46" t="s">
        <v>127</v>
      </c>
      <c r="L4289" s="46" t="s">
        <v>15</v>
      </c>
      <c r="M4289" s="46" t="s">
        <v>13</v>
      </c>
      <c r="N4289" s="46" t="s">
        <v>14</v>
      </c>
      <c r="O4289" s="49" t="s">
        <v>803</v>
      </c>
      <c r="P4289" s="49" t="s">
        <v>4910</v>
      </c>
      <c r="Q4289" s="35" t="str">
        <f>MID(Tabla1[[#This Row],[Aplicación]],14,1)</f>
        <v>2</v>
      </c>
      <c r="R4289" s="35" t="s">
        <v>495</v>
      </c>
      <c r="S4289" s="35" t="str">
        <f>MID(Tabla1[[#This Row],[Aplicación]],6,2)</f>
        <v>11</v>
      </c>
      <c r="T4289" s="35" t="str">
        <f>VLOOKUP(Tabla1[[#This Row],[AREA]],Hoja1!A:B,2,FALSE)</f>
        <v>11. Salud pública y seguridad ciudadana</v>
      </c>
      <c r="U4289" s="35" t="str">
        <f>MID(Tabla1[[#This Row],[Aplicación]],9,4)</f>
        <v>1621</v>
      </c>
      <c r="V4289" s="35" t="str">
        <f>VLOOKUP(Tabla1[[#This Row],[PROGRAMA]],Hoja1!A:B,2,FALSE)</f>
        <v>1621. Servicio de limpieza</v>
      </c>
      <c r="W4289" s="35" t="str">
        <f>MID(Tabla1[[#This Row],[Aplicación]],14,2)</f>
        <v>22</v>
      </c>
      <c r="X4289" s="35" t="str">
        <f>MID(Tabla1[[#This Row],[Aplicación]],14,6)</f>
        <v>22104</v>
      </c>
    </row>
    <row r="4290" spans="1:24" x14ac:dyDescent="0.25">
      <c r="A4290" s="45">
        <v>220210039545</v>
      </c>
      <c r="B4290" s="46" t="s">
        <v>9</v>
      </c>
      <c r="C4290" s="47">
        <v>44393</v>
      </c>
      <c r="D4290" s="45">
        <v>22021005674</v>
      </c>
      <c r="E4290" s="46" t="s">
        <v>930</v>
      </c>
      <c r="F4290" s="48">
        <v>3569.5</v>
      </c>
      <c r="G4290" s="46" t="s">
        <v>550</v>
      </c>
      <c r="H4290" s="46" t="s">
        <v>5935</v>
      </c>
      <c r="I4290" s="45" t="s">
        <v>125</v>
      </c>
      <c r="J4290" s="46" t="s">
        <v>127</v>
      </c>
      <c r="K4290" s="46" t="s">
        <v>127</v>
      </c>
      <c r="L4290" s="46" t="s">
        <v>15</v>
      </c>
      <c r="M4290" s="46" t="s">
        <v>10</v>
      </c>
      <c r="N4290" s="46" t="s">
        <v>11</v>
      </c>
      <c r="O4290" s="49" t="s">
        <v>815</v>
      </c>
      <c r="P4290" s="49" t="s">
        <v>4910</v>
      </c>
      <c r="Q4290" s="35" t="str">
        <f>MID(Tabla1[[#This Row],[Aplicación]],14,1)</f>
        <v>2</v>
      </c>
      <c r="R4290" s="35" t="s">
        <v>495</v>
      </c>
      <c r="S4290" s="35" t="str">
        <f>MID(Tabla1[[#This Row],[Aplicación]],6,2)</f>
        <v>08</v>
      </c>
      <c r="T4290" s="35" t="str">
        <f>VLOOKUP(Tabla1[[#This Row],[AREA]],Hoja1!A:B,2,FALSE)</f>
        <v>08. Movilidad y espacio urbano</v>
      </c>
      <c r="U4290" s="35" t="str">
        <f>MID(Tabla1[[#This Row],[Aplicación]],9,4)</f>
        <v>1532</v>
      </c>
      <c r="V4290" s="35" t="str">
        <f>VLOOKUP(Tabla1[[#This Row],[PROGRAMA]],Hoja1!A:B,2,FALSE)</f>
        <v>1532. Pavimentación vias públicas y otros servicios urbanísticos</v>
      </c>
      <c r="W4290" s="35" t="str">
        <f>MID(Tabla1[[#This Row],[Aplicación]],14,2)</f>
        <v>20</v>
      </c>
      <c r="X4290" s="35" t="str">
        <f>MID(Tabla1[[#This Row],[Aplicación]],14,6)</f>
        <v>203</v>
      </c>
    </row>
    <row r="4291" spans="1:24" x14ac:dyDescent="0.25">
      <c r="A4291" s="45">
        <v>220210039545</v>
      </c>
      <c r="B4291" s="46" t="s">
        <v>9</v>
      </c>
      <c r="C4291" s="47">
        <v>44393</v>
      </c>
      <c r="D4291" s="45">
        <v>22021005675</v>
      </c>
      <c r="E4291" s="46" t="s">
        <v>1521</v>
      </c>
      <c r="F4291" s="48">
        <v>3569.5</v>
      </c>
      <c r="G4291" s="46" t="s">
        <v>550</v>
      </c>
      <c r="H4291" s="46" t="s">
        <v>5935</v>
      </c>
      <c r="I4291" s="45" t="s">
        <v>125</v>
      </c>
      <c r="J4291" s="46" t="s">
        <v>127</v>
      </c>
      <c r="K4291" s="46" t="s">
        <v>127</v>
      </c>
      <c r="L4291" s="46" t="s">
        <v>15</v>
      </c>
      <c r="M4291" s="46" t="s">
        <v>10</v>
      </c>
      <c r="N4291" s="46" t="s">
        <v>11</v>
      </c>
      <c r="O4291" s="49" t="s">
        <v>815</v>
      </c>
      <c r="P4291" s="49" t="s">
        <v>4910</v>
      </c>
      <c r="Q4291" s="35" t="str">
        <f>MID(Tabla1[[#This Row],[Aplicación]],14,1)</f>
        <v>2</v>
      </c>
      <c r="R4291" s="35" t="s">
        <v>495</v>
      </c>
      <c r="S4291" s="35" t="str">
        <f>MID(Tabla1[[#This Row],[Aplicación]],6,2)</f>
        <v>08</v>
      </c>
      <c r="T4291" s="35" t="str">
        <f>VLOOKUP(Tabla1[[#This Row],[AREA]],Hoja1!A:B,2,FALSE)</f>
        <v>08. Movilidad y espacio urbano</v>
      </c>
      <c r="U4291" s="35" t="str">
        <f>MID(Tabla1[[#This Row],[Aplicación]],9,4)</f>
        <v>1532</v>
      </c>
      <c r="V4291" s="35" t="str">
        <f>VLOOKUP(Tabla1[[#This Row],[PROGRAMA]],Hoja1!A:B,2,FALSE)</f>
        <v>1532. Pavimentación vias públicas y otros servicios urbanísticos</v>
      </c>
      <c r="W4291" s="35" t="str">
        <f>MID(Tabla1[[#This Row],[Aplicación]],14,2)</f>
        <v>20</v>
      </c>
      <c r="X4291" s="35" t="str">
        <f>MID(Tabla1[[#This Row],[Aplicación]],14,6)</f>
        <v>204</v>
      </c>
    </row>
    <row r="4292" spans="1:24" x14ac:dyDescent="0.25">
      <c r="A4292" s="45">
        <v>220210036831</v>
      </c>
      <c r="B4292" s="46" t="s">
        <v>9</v>
      </c>
      <c r="C4292" s="47">
        <v>44386</v>
      </c>
      <c r="D4292" s="45">
        <v>22021005604</v>
      </c>
      <c r="E4292" s="46" t="s">
        <v>1621</v>
      </c>
      <c r="F4292" s="48">
        <v>2420</v>
      </c>
      <c r="G4292" s="46" t="s">
        <v>2724</v>
      </c>
      <c r="H4292" s="46" t="s">
        <v>5936</v>
      </c>
      <c r="I4292" s="45" t="s">
        <v>125</v>
      </c>
      <c r="J4292" s="46" t="s">
        <v>162</v>
      </c>
      <c r="K4292" s="46" t="s">
        <v>162</v>
      </c>
      <c r="L4292" s="46" t="s">
        <v>12</v>
      </c>
      <c r="M4292" s="46" t="s">
        <v>13</v>
      </c>
      <c r="N4292" s="46" t="s">
        <v>14</v>
      </c>
      <c r="O4292" s="49" t="s">
        <v>814</v>
      </c>
      <c r="P4292" s="49" t="s">
        <v>4910</v>
      </c>
      <c r="Q4292" s="35" t="str">
        <f>MID(Tabla1[[#This Row],[Aplicación]],14,1)</f>
        <v>2</v>
      </c>
      <c r="R4292" s="35" t="s">
        <v>495</v>
      </c>
      <c r="S4292" s="35" t="str">
        <f>MID(Tabla1[[#This Row],[Aplicación]],6,2)</f>
        <v>01</v>
      </c>
      <c r="T4292" s="35" t="str">
        <f>VLOOKUP(Tabla1[[#This Row],[AREA]],Hoja1!A:B,2,FALSE)</f>
        <v>01. Alcaldía</v>
      </c>
      <c r="U4292" s="35" t="str">
        <f>MID(Tabla1[[#This Row],[Aplicación]],9,4)</f>
        <v>9207</v>
      </c>
      <c r="V4292" s="35" t="str">
        <f>VLOOKUP(Tabla1[[#This Row],[PROGRAMA]],Hoja1!A:B,2,FALSE)</f>
        <v>9207. Gobierno y relaciones</v>
      </c>
      <c r="W4292" s="35" t="str">
        <f>MID(Tabla1[[#This Row],[Aplicación]],14,2)</f>
        <v>22</v>
      </c>
      <c r="X4292" s="35" t="str">
        <f>MID(Tabla1[[#This Row],[Aplicación]],14,6)</f>
        <v>22602</v>
      </c>
    </row>
    <row r="4293" spans="1:24" x14ac:dyDescent="0.25">
      <c r="A4293" s="45">
        <v>220210043825</v>
      </c>
      <c r="B4293" s="46" t="s">
        <v>9</v>
      </c>
      <c r="C4293" s="47">
        <v>44404</v>
      </c>
      <c r="D4293" s="45">
        <v>22021005835</v>
      </c>
      <c r="E4293" s="46" t="s">
        <v>1617</v>
      </c>
      <c r="F4293" s="48">
        <v>2420</v>
      </c>
      <c r="G4293" s="46" t="s">
        <v>2724</v>
      </c>
      <c r="H4293" s="46" t="s">
        <v>5937</v>
      </c>
      <c r="I4293" s="45" t="s">
        <v>125</v>
      </c>
      <c r="J4293" s="46" t="s">
        <v>162</v>
      </c>
      <c r="K4293" s="46" t="s">
        <v>162</v>
      </c>
      <c r="L4293" s="46" t="s">
        <v>12</v>
      </c>
      <c r="M4293" s="46" t="s">
        <v>13</v>
      </c>
      <c r="N4293" s="46" t="s">
        <v>14</v>
      </c>
      <c r="O4293" s="49" t="s">
        <v>814</v>
      </c>
      <c r="P4293" s="49" t="s">
        <v>4910</v>
      </c>
      <c r="Q4293" s="35" t="str">
        <f>MID(Tabla1[[#This Row],[Aplicación]],14,1)</f>
        <v>2</v>
      </c>
      <c r="R4293" s="35" t="s">
        <v>495</v>
      </c>
      <c r="S4293" s="35" t="str">
        <f>MID(Tabla1[[#This Row],[Aplicación]],6,2)</f>
        <v>05</v>
      </c>
      <c r="T4293" s="35" t="str">
        <f>VLOOKUP(Tabla1[[#This Row],[AREA]],Hoja1!A:B,2,FALSE)</f>
        <v>05. Innovación, desarrollo económico, empleo y comercio</v>
      </c>
      <c r="U4293" s="35" t="str">
        <f>MID(Tabla1[[#This Row],[Aplicación]],9,4)</f>
        <v>4331</v>
      </c>
      <c r="V4293" s="35" t="str">
        <f>VLOOKUP(Tabla1[[#This Row],[PROGRAMA]],Hoja1!A:B,2,FALSE)</f>
        <v>4331. Desarrollo empresarial</v>
      </c>
      <c r="W4293" s="35" t="str">
        <f>MID(Tabla1[[#This Row],[Aplicación]],14,2)</f>
        <v>22</v>
      </c>
      <c r="X4293" s="35" t="str">
        <f>MID(Tabla1[[#This Row],[Aplicación]],14,6)</f>
        <v>22602</v>
      </c>
    </row>
    <row r="4294" spans="1:24" x14ac:dyDescent="0.25">
      <c r="A4294" s="45">
        <v>220210036829</v>
      </c>
      <c r="B4294" s="46" t="s">
        <v>9</v>
      </c>
      <c r="C4294" s="47">
        <v>44386</v>
      </c>
      <c r="D4294" s="45">
        <v>22021005015</v>
      </c>
      <c r="E4294" s="46" t="s">
        <v>1267</v>
      </c>
      <c r="F4294" s="48">
        <v>2000</v>
      </c>
      <c r="G4294" s="46" t="s">
        <v>2724</v>
      </c>
      <c r="H4294" s="46" t="s">
        <v>5126</v>
      </c>
      <c r="I4294" s="45" t="s">
        <v>125</v>
      </c>
      <c r="J4294" s="46" t="s">
        <v>162</v>
      </c>
      <c r="K4294" s="46" t="s">
        <v>162</v>
      </c>
      <c r="L4294" s="46" t="s">
        <v>12</v>
      </c>
      <c r="M4294" s="46" t="s">
        <v>13</v>
      </c>
      <c r="N4294" s="46" t="s">
        <v>14</v>
      </c>
      <c r="O4294" s="49" t="s">
        <v>814</v>
      </c>
      <c r="P4294" s="49" t="s">
        <v>4910</v>
      </c>
      <c r="Q4294" s="35" t="str">
        <f>MID(Tabla1[[#This Row],[Aplicación]],14,1)</f>
        <v>2</v>
      </c>
      <c r="R4294" s="35" t="s">
        <v>495</v>
      </c>
      <c r="S4294" s="35" t="str">
        <f>MID(Tabla1[[#This Row],[Aplicación]],6,2)</f>
        <v>03</v>
      </c>
      <c r="T4294" s="35" t="str">
        <f>VLOOKUP(Tabla1[[#This Row],[AREA]],Hoja1!A:B,2,FALSE)</f>
        <v>03. Participación ciudadana y deportes</v>
      </c>
      <c r="U4294" s="35" t="str">
        <f>MID(Tabla1[[#This Row],[Aplicación]],9,4)</f>
        <v>9241</v>
      </c>
      <c r="V4294" s="35" t="str">
        <f>VLOOKUP(Tabla1[[#This Row],[PROGRAMA]],Hoja1!A:B,2,FALSE)</f>
        <v>9241. Participación ciudadana</v>
      </c>
      <c r="W4294" s="35" t="str">
        <f>MID(Tabla1[[#This Row],[Aplicación]],14,2)</f>
        <v>22</v>
      </c>
      <c r="X4294" s="35" t="str">
        <f>MID(Tabla1[[#This Row],[Aplicación]],14,6)</f>
        <v>22602</v>
      </c>
    </row>
    <row r="4295" spans="1:24" x14ac:dyDescent="0.25">
      <c r="A4295" s="45">
        <v>220210051118</v>
      </c>
      <c r="B4295" s="46" t="s">
        <v>9</v>
      </c>
      <c r="C4295" s="47">
        <v>44448</v>
      </c>
      <c r="D4295" s="45">
        <v>22021006002</v>
      </c>
      <c r="E4295" s="46" t="s">
        <v>1621</v>
      </c>
      <c r="F4295" s="48">
        <v>1500</v>
      </c>
      <c r="G4295" s="46" t="s">
        <v>2724</v>
      </c>
      <c r="H4295" s="46" t="s">
        <v>5938</v>
      </c>
      <c r="I4295" s="45" t="s">
        <v>125</v>
      </c>
      <c r="J4295" s="46" t="s">
        <v>162</v>
      </c>
      <c r="K4295" s="46" t="s">
        <v>162</v>
      </c>
      <c r="L4295" s="46" t="s">
        <v>12</v>
      </c>
      <c r="M4295" s="46" t="s">
        <v>13</v>
      </c>
      <c r="N4295" s="46" t="s">
        <v>14</v>
      </c>
      <c r="O4295" s="49" t="s">
        <v>814</v>
      </c>
      <c r="P4295" s="49" t="s">
        <v>4910</v>
      </c>
      <c r="Q4295" s="35" t="str">
        <f>MID(Tabla1[[#This Row],[Aplicación]],14,1)</f>
        <v>2</v>
      </c>
      <c r="R4295" s="35" t="s">
        <v>495</v>
      </c>
      <c r="S4295" s="35" t="str">
        <f>MID(Tabla1[[#This Row],[Aplicación]],6,2)</f>
        <v>01</v>
      </c>
      <c r="T4295" s="35" t="str">
        <f>VLOOKUP(Tabla1[[#This Row],[AREA]],Hoja1!A:B,2,FALSE)</f>
        <v>01. Alcaldía</v>
      </c>
      <c r="U4295" s="35" t="str">
        <f>MID(Tabla1[[#This Row],[Aplicación]],9,4)</f>
        <v>9207</v>
      </c>
      <c r="V4295" s="35" t="str">
        <f>VLOOKUP(Tabla1[[#This Row],[PROGRAMA]],Hoja1!A:B,2,FALSE)</f>
        <v>9207. Gobierno y relaciones</v>
      </c>
      <c r="W4295" s="35" t="str">
        <f>MID(Tabla1[[#This Row],[Aplicación]],14,2)</f>
        <v>22</v>
      </c>
      <c r="X4295" s="35" t="str">
        <f>MID(Tabla1[[#This Row],[Aplicación]],14,6)</f>
        <v>22602</v>
      </c>
    </row>
    <row r="4296" spans="1:24" x14ac:dyDescent="0.25">
      <c r="A4296" s="45">
        <v>220210043784</v>
      </c>
      <c r="B4296" s="46" t="s">
        <v>204</v>
      </c>
      <c r="C4296" s="47">
        <v>44404</v>
      </c>
      <c r="D4296" s="45">
        <v>22021003332</v>
      </c>
      <c r="E4296" s="46" t="s">
        <v>1286</v>
      </c>
      <c r="F4296" s="48">
        <v>11664.4</v>
      </c>
      <c r="G4296" s="46" t="s">
        <v>577</v>
      </c>
      <c r="H4296" s="46" t="s">
        <v>5939</v>
      </c>
      <c r="I4296" s="45" t="s">
        <v>205</v>
      </c>
      <c r="J4296" s="46" t="s">
        <v>146</v>
      </c>
      <c r="K4296" s="46" t="s">
        <v>146</v>
      </c>
      <c r="L4296" s="46" t="s">
        <v>15</v>
      </c>
      <c r="M4296" s="46" t="s">
        <v>13</v>
      </c>
      <c r="N4296" s="46" t="s">
        <v>16</v>
      </c>
      <c r="O4296" s="49" t="s">
        <v>803</v>
      </c>
      <c r="P4296" s="49" t="s">
        <v>4910</v>
      </c>
      <c r="Q4296" s="35" t="str">
        <f>MID(Tabla1[[#This Row],[Aplicación]],14,1)</f>
        <v>6</v>
      </c>
      <c r="R4296" s="35" t="s">
        <v>496</v>
      </c>
      <c r="S4296" s="35" t="str">
        <f>MID(Tabla1[[#This Row],[Aplicación]],6,2)</f>
        <v>04</v>
      </c>
      <c r="T4296" s="35" t="str">
        <f>VLOOKUP(Tabla1[[#This Row],[AREA]],Hoja1!A:B,2,FALSE)</f>
        <v>04. Planificación y recursos</v>
      </c>
      <c r="U4296" s="35" t="str">
        <f>MID(Tabla1[[#This Row],[Aplicación]],9,4)</f>
        <v>9204</v>
      </c>
      <c r="V4296" s="35" t="str">
        <f>VLOOKUP(Tabla1[[#This Row],[PROGRAMA]],Hoja1!A:B,2,FALSE)</f>
        <v>9204. Tecnologías de la información y comunicación</v>
      </c>
      <c r="W4296" s="35" t="str">
        <f>MID(Tabla1[[#This Row],[Aplicación]],14,2)</f>
        <v>64</v>
      </c>
      <c r="X4296" s="35" t="str">
        <f>MID(Tabla1[[#This Row],[Aplicación]],14,6)</f>
        <v>641</v>
      </c>
    </row>
    <row r="4297" spans="1:24" x14ac:dyDescent="0.25">
      <c r="A4297" s="45">
        <v>220210045566</v>
      </c>
      <c r="B4297" s="46" t="s">
        <v>9</v>
      </c>
      <c r="C4297" s="47">
        <v>44414</v>
      </c>
      <c r="D4297" s="45">
        <v>22021005917</v>
      </c>
      <c r="E4297" s="46" t="s">
        <v>881</v>
      </c>
      <c r="F4297" s="48">
        <v>18029</v>
      </c>
      <c r="G4297" s="46" t="s">
        <v>577</v>
      </c>
      <c r="H4297" s="46" t="s">
        <v>5940</v>
      </c>
      <c r="I4297" s="45" t="s">
        <v>125</v>
      </c>
      <c r="J4297" s="46" t="s">
        <v>146</v>
      </c>
      <c r="K4297" s="46" t="s">
        <v>146</v>
      </c>
      <c r="L4297" s="46" t="s">
        <v>12</v>
      </c>
      <c r="M4297" s="46" t="s">
        <v>10</v>
      </c>
      <c r="N4297" s="46" t="s">
        <v>11</v>
      </c>
      <c r="O4297" s="49" t="s">
        <v>815</v>
      </c>
      <c r="P4297" s="49" t="s">
        <v>4910</v>
      </c>
      <c r="Q4297" s="35" t="str">
        <f>MID(Tabla1[[#This Row],[Aplicación]],14,1)</f>
        <v>2</v>
      </c>
      <c r="R4297" s="35" t="s">
        <v>495</v>
      </c>
      <c r="S4297" s="35" t="str">
        <f>MID(Tabla1[[#This Row],[Aplicación]],6,2)</f>
        <v>05</v>
      </c>
      <c r="T4297" s="35" t="str">
        <f>VLOOKUP(Tabla1[[#This Row],[AREA]],Hoja1!A:B,2,FALSE)</f>
        <v>05. Innovación, desarrollo económico, empleo y comercio</v>
      </c>
      <c r="U4297" s="35" t="str">
        <f>MID(Tabla1[[#This Row],[Aplicación]],9,4)</f>
        <v>4331</v>
      </c>
      <c r="V4297" s="35" t="str">
        <f>VLOOKUP(Tabla1[[#This Row],[PROGRAMA]],Hoja1!A:B,2,FALSE)</f>
        <v>4331. Desarrollo empresarial</v>
      </c>
      <c r="W4297" s="35" t="str">
        <f>MID(Tabla1[[#This Row],[Aplicación]],14,2)</f>
        <v>22</v>
      </c>
      <c r="X4297" s="35" t="str">
        <f>MID(Tabla1[[#This Row],[Aplicación]],14,6)</f>
        <v>22799</v>
      </c>
    </row>
    <row r="4298" spans="1:24" x14ac:dyDescent="0.25">
      <c r="A4298" s="45">
        <v>220210056281</v>
      </c>
      <c r="B4298" s="46" t="s">
        <v>501</v>
      </c>
      <c r="C4298" s="47">
        <v>44454</v>
      </c>
      <c r="D4298" s="45">
        <v>22021000701</v>
      </c>
      <c r="E4298" s="46" t="s">
        <v>1196</v>
      </c>
      <c r="F4298" s="48">
        <v>-415.72</v>
      </c>
      <c r="G4298" s="46" t="s">
        <v>120</v>
      </c>
      <c r="H4298" s="46" t="s">
        <v>739</v>
      </c>
      <c r="I4298" s="45" t="s">
        <v>125</v>
      </c>
      <c r="J4298" s="46" t="s">
        <v>126</v>
      </c>
      <c r="K4298" s="46" t="s">
        <v>126</v>
      </c>
      <c r="L4298" s="46" t="s">
        <v>12</v>
      </c>
      <c r="M4298" s="46" t="s">
        <v>10</v>
      </c>
      <c r="N4298" s="46" t="s">
        <v>14</v>
      </c>
      <c r="O4298" s="49" t="s">
        <v>815</v>
      </c>
      <c r="P4298" s="49" t="s">
        <v>4910</v>
      </c>
      <c r="Q4298" s="35" t="str">
        <f>MID(Tabla1[[#This Row],[Aplicación]],14,1)</f>
        <v>6</v>
      </c>
      <c r="R4298" s="35" t="s">
        <v>496</v>
      </c>
      <c r="S4298" s="35" t="str">
        <f>MID(Tabla1[[#This Row],[Aplicación]],6,2)</f>
        <v>08</v>
      </c>
      <c r="T4298" s="35" t="str">
        <f>VLOOKUP(Tabla1[[#This Row],[AREA]],Hoja1!A:B,2,FALSE)</f>
        <v>08. Movilidad y espacio urbano</v>
      </c>
      <c r="U4298" s="35" t="str">
        <f>MID(Tabla1[[#This Row],[Aplicación]],9,4)</f>
        <v>1341</v>
      </c>
      <c r="V4298" s="35" t="str">
        <f>VLOOKUP(Tabla1[[#This Row],[PROGRAMA]],Hoja1!A:B,2,FALSE)</f>
        <v>1341. Movilidad</v>
      </c>
      <c r="W4298" s="35" t="str">
        <f>MID(Tabla1[[#This Row],[Aplicación]],14,2)</f>
        <v>61</v>
      </c>
      <c r="X4298" s="35" t="str">
        <f>MID(Tabla1[[#This Row],[Aplicación]],14,6)</f>
        <v>619</v>
      </c>
    </row>
    <row r="4299" spans="1:24" x14ac:dyDescent="0.25">
      <c r="A4299" s="45">
        <v>220210039534</v>
      </c>
      <c r="B4299" s="46" t="s">
        <v>9</v>
      </c>
      <c r="C4299" s="47">
        <v>44393</v>
      </c>
      <c r="D4299" s="45">
        <v>22021005741</v>
      </c>
      <c r="E4299" s="46" t="s">
        <v>2849</v>
      </c>
      <c r="F4299" s="48">
        <v>2500</v>
      </c>
      <c r="G4299" s="46" t="s">
        <v>3244</v>
      </c>
      <c r="H4299" s="46" t="s">
        <v>5941</v>
      </c>
      <c r="I4299" s="45" t="s">
        <v>125</v>
      </c>
      <c r="J4299" s="46" t="s">
        <v>3246</v>
      </c>
      <c r="K4299" s="46" t="s">
        <v>126</v>
      </c>
      <c r="L4299" s="46" t="s">
        <v>12</v>
      </c>
      <c r="M4299" s="46" t="s">
        <v>13</v>
      </c>
      <c r="N4299" s="46" t="s">
        <v>14</v>
      </c>
      <c r="O4299" s="49" t="s">
        <v>814</v>
      </c>
      <c r="P4299" s="49" t="s">
        <v>4910</v>
      </c>
      <c r="Q4299" s="35" t="str">
        <f>MID(Tabla1[[#This Row],[Aplicación]],14,1)</f>
        <v>2</v>
      </c>
      <c r="R4299" s="35" t="s">
        <v>495</v>
      </c>
      <c r="S4299" s="35" t="str">
        <f>MID(Tabla1[[#This Row],[Aplicación]],6,2)</f>
        <v>03</v>
      </c>
      <c r="T4299" s="35" t="str">
        <f>VLOOKUP(Tabla1[[#This Row],[AREA]],Hoja1!A:B,2,FALSE)</f>
        <v>03. Participación ciudadana y deportes</v>
      </c>
      <c r="U4299" s="35" t="str">
        <f>MID(Tabla1[[#This Row],[Aplicación]],9,4)</f>
        <v>9200</v>
      </c>
      <c r="V4299" s="35" t="str">
        <f>VLOOKUP(Tabla1[[#This Row],[PROGRAMA]],Hoja1!A:B,2,FALSE)</f>
        <v>9200. Dirección del area de participación ciudadana</v>
      </c>
      <c r="W4299" s="35" t="str">
        <f>MID(Tabla1[[#This Row],[Aplicación]],14,2)</f>
        <v>22</v>
      </c>
      <c r="X4299" s="35" t="str">
        <f>MID(Tabla1[[#This Row],[Aplicación]],14,6)</f>
        <v>22602</v>
      </c>
    </row>
    <row r="4300" spans="1:24" x14ac:dyDescent="0.25">
      <c r="A4300" s="45">
        <v>220210041571</v>
      </c>
      <c r="B4300" s="46" t="s">
        <v>9</v>
      </c>
      <c r="C4300" s="47">
        <v>44398</v>
      </c>
      <c r="D4300" s="45">
        <v>22021005692</v>
      </c>
      <c r="E4300" s="46" t="s">
        <v>1304</v>
      </c>
      <c r="F4300" s="48">
        <v>242</v>
      </c>
      <c r="G4300" s="46" t="s">
        <v>2330</v>
      </c>
      <c r="H4300" s="46" t="s">
        <v>5942</v>
      </c>
      <c r="I4300" s="45" t="s">
        <v>125</v>
      </c>
      <c r="J4300" s="46" t="s">
        <v>127</v>
      </c>
      <c r="K4300" s="46" t="s">
        <v>127</v>
      </c>
      <c r="L4300" s="46" t="s">
        <v>12</v>
      </c>
      <c r="M4300" s="46" t="s">
        <v>10</v>
      </c>
      <c r="N4300" s="46" t="s">
        <v>11</v>
      </c>
      <c r="O4300" s="49" t="s">
        <v>815</v>
      </c>
      <c r="P4300" s="49" t="s">
        <v>4910</v>
      </c>
      <c r="Q4300" s="35" t="str">
        <f>MID(Tabla1[[#This Row],[Aplicación]],14,1)</f>
        <v>2</v>
      </c>
      <c r="R4300" s="35" t="s">
        <v>495</v>
      </c>
      <c r="S4300" s="35" t="str">
        <f>MID(Tabla1[[#This Row],[Aplicación]],6,2)</f>
        <v>07</v>
      </c>
      <c r="T4300" s="35" t="str">
        <f>VLOOKUP(Tabla1[[#This Row],[AREA]],Hoja1!A:B,2,FALSE)</f>
        <v>07. Medio ambiente y desarrollo sostenible</v>
      </c>
      <c r="U4300" s="35" t="str">
        <f>MID(Tabla1[[#This Row],[Aplicación]],9,4)</f>
        <v>1721</v>
      </c>
      <c r="V4300" s="35" t="str">
        <f>VLOOKUP(Tabla1[[#This Row],[PROGRAMA]],Hoja1!A:B,2,FALSE)</f>
        <v>1721. Protección del medio ambiente</v>
      </c>
      <c r="W4300" s="35" t="str">
        <f>MID(Tabla1[[#This Row],[Aplicación]],14,2)</f>
        <v>22</v>
      </c>
      <c r="X4300" s="35" t="str">
        <f>MID(Tabla1[[#This Row],[Aplicación]],14,6)</f>
        <v>22799</v>
      </c>
    </row>
    <row r="4301" spans="1:24" x14ac:dyDescent="0.25">
      <c r="A4301" s="45">
        <v>220210043812</v>
      </c>
      <c r="B4301" s="46" t="s">
        <v>9</v>
      </c>
      <c r="C4301" s="47">
        <v>44404</v>
      </c>
      <c r="D4301" s="45">
        <v>22021005691</v>
      </c>
      <c r="E4301" s="46" t="s">
        <v>1304</v>
      </c>
      <c r="F4301" s="48">
        <v>145.19999999999999</v>
      </c>
      <c r="G4301" s="46" t="s">
        <v>2330</v>
      </c>
      <c r="H4301" s="46" t="s">
        <v>5943</v>
      </c>
      <c r="I4301" s="45" t="s">
        <v>125</v>
      </c>
      <c r="J4301" s="46" t="s">
        <v>127</v>
      </c>
      <c r="K4301" s="46" t="s">
        <v>127</v>
      </c>
      <c r="L4301" s="46" t="s">
        <v>12</v>
      </c>
      <c r="M4301" s="46" t="s">
        <v>10</v>
      </c>
      <c r="N4301" s="46" t="s">
        <v>11</v>
      </c>
      <c r="O4301" s="49" t="s">
        <v>815</v>
      </c>
      <c r="P4301" s="49" t="s">
        <v>4910</v>
      </c>
      <c r="Q4301" s="35" t="str">
        <f>MID(Tabla1[[#This Row],[Aplicación]],14,1)</f>
        <v>2</v>
      </c>
      <c r="R4301" s="35" t="s">
        <v>495</v>
      </c>
      <c r="S4301" s="35" t="str">
        <f>MID(Tabla1[[#This Row],[Aplicación]],6,2)</f>
        <v>07</v>
      </c>
      <c r="T4301" s="35" t="str">
        <f>VLOOKUP(Tabla1[[#This Row],[AREA]],Hoja1!A:B,2,FALSE)</f>
        <v>07. Medio ambiente y desarrollo sostenible</v>
      </c>
      <c r="U4301" s="35" t="str">
        <f>MID(Tabla1[[#This Row],[Aplicación]],9,4)</f>
        <v>1721</v>
      </c>
      <c r="V4301" s="35" t="str">
        <f>VLOOKUP(Tabla1[[#This Row],[PROGRAMA]],Hoja1!A:B,2,FALSE)</f>
        <v>1721. Protección del medio ambiente</v>
      </c>
      <c r="W4301" s="35" t="str">
        <f>MID(Tabla1[[#This Row],[Aplicación]],14,2)</f>
        <v>22</v>
      </c>
      <c r="X4301" s="35" t="str">
        <f>MID(Tabla1[[#This Row],[Aplicación]],14,6)</f>
        <v>22799</v>
      </c>
    </row>
    <row r="4302" spans="1:24" x14ac:dyDescent="0.25">
      <c r="A4302" s="45">
        <v>220210039723</v>
      </c>
      <c r="B4302" s="46" t="s">
        <v>32</v>
      </c>
      <c r="C4302" s="47">
        <v>44396</v>
      </c>
      <c r="D4302" s="45">
        <v>22021005530</v>
      </c>
      <c r="E4302" s="46" t="s">
        <v>1660</v>
      </c>
      <c r="F4302" s="48">
        <v>518.70000000000005</v>
      </c>
      <c r="G4302" s="46" t="s">
        <v>2330</v>
      </c>
      <c r="H4302" s="46" t="s">
        <v>5944</v>
      </c>
      <c r="I4302" s="45" t="s">
        <v>234</v>
      </c>
      <c r="J4302" s="46" t="s">
        <v>127</v>
      </c>
      <c r="K4302" s="46" t="s">
        <v>127</v>
      </c>
      <c r="L4302" s="46" t="s">
        <v>12</v>
      </c>
      <c r="M4302" s="46" t="s">
        <v>10</v>
      </c>
      <c r="N4302" s="46" t="s">
        <v>11</v>
      </c>
      <c r="O4302" s="49" t="s">
        <v>815</v>
      </c>
      <c r="P4302" s="49" t="s">
        <v>4910</v>
      </c>
      <c r="Q4302" s="35" t="str">
        <f>MID(Tabla1[[#This Row],[Aplicación]],14,1)</f>
        <v>2</v>
      </c>
      <c r="R4302" s="35" t="s">
        <v>495</v>
      </c>
      <c r="S4302" s="35" t="str">
        <f>MID(Tabla1[[#This Row],[Aplicación]],6,2)</f>
        <v>04</v>
      </c>
      <c r="T4302" s="35" t="str">
        <f>VLOOKUP(Tabla1[[#This Row],[AREA]],Hoja1!A:B,2,FALSE)</f>
        <v>04. Planificación y recursos</v>
      </c>
      <c r="U4302" s="35" t="str">
        <f>MID(Tabla1[[#This Row],[Aplicación]],9,4)</f>
        <v>9202</v>
      </c>
      <c r="V4302" s="35" t="str">
        <f>VLOOKUP(Tabla1[[#This Row],[PROGRAMA]],Hoja1!A:B,2,FALSE)</f>
        <v>9202. Gestión de recursos humanos</v>
      </c>
      <c r="W4302" s="35" t="str">
        <f>MID(Tabla1[[#This Row],[Aplicación]],14,2)</f>
        <v>22</v>
      </c>
      <c r="X4302" s="35" t="str">
        <f>MID(Tabla1[[#This Row],[Aplicación]],14,6)</f>
        <v>22607</v>
      </c>
    </row>
    <row r="4303" spans="1:24" x14ac:dyDescent="0.25">
      <c r="A4303" s="45">
        <v>220210043827</v>
      </c>
      <c r="B4303" s="46" t="s">
        <v>9</v>
      </c>
      <c r="C4303" s="47">
        <v>44404</v>
      </c>
      <c r="D4303" s="45">
        <v>22021000141</v>
      </c>
      <c r="E4303" s="46" t="s">
        <v>883</v>
      </c>
      <c r="F4303" s="48">
        <v>138266.97</v>
      </c>
      <c r="G4303" s="46" t="s">
        <v>192</v>
      </c>
      <c r="H4303" s="46" t="s">
        <v>5945</v>
      </c>
      <c r="I4303" s="45" t="s">
        <v>125</v>
      </c>
      <c r="J4303" s="46" t="s">
        <v>126</v>
      </c>
      <c r="K4303" s="46" t="s">
        <v>126</v>
      </c>
      <c r="L4303" s="46" t="s">
        <v>12</v>
      </c>
      <c r="M4303" s="46" t="s">
        <v>13</v>
      </c>
      <c r="N4303" s="46" t="s">
        <v>14</v>
      </c>
      <c r="O4303" s="49" t="s">
        <v>803</v>
      </c>
      <c r="P4303" s="49" t="s">
        <v>4910</v>
      </c>
      <c r="Q4303" s="35" t="str">
        <f>MID(Tabla1[[#This Row],[Aplicación]],14,1)</f>
        <v>2</v>
      </c>
      <c r="R4303" s="35" t="s">
        <v>495</v>
      </c>
      <c r="S4303" s="35" t="str">
        <f>MID(Tabla1[[#This Row],[Aplicación]],6,2)</f>
        <v>11</v>
      </c>
      <c r="T4303" s="35" t="str">
        <f>VLOOKUP(Tabla1[[#This Row],[AREA]],Hoja1!A:B,2,FALSE)</f>
        <v>11. Salud pública y seguridad ciudadana</v>
      </c>
      <c r="U4303" s="35" t="str">
        <f>MID(Tabla1[[#This Row],[Aplicación]],9,4)</f>
        <v>1621</v>
      </c>
      <c r="V4303" s="35" t="str">
        <f>VLOOKUP(Tabla1[[#This Row],[PROGRAMA]],Hoja1!A:B,2,FALSE)</f>
        <v>1621. Servicio de limpieza</v>
      </c>
      <c r="W4303" s="35" t="str">
        <f>MID(Tabla1[[#This Row],[Aplicación]],14,2)</f>
        <v>22</v>
      </c>
      <c r="X4303" s="35" t="str">
        <f>MID(Tabla1[[#This Row],[Aplicación]],14,6)</f>
        <v>22700</v>
      </c>
    </row>
    <row r="4304" spans="1:24" x14ac:dyDescent="0.25">
      <c r="A4304" s="45">
        <v>220210056279</v>
      </c>
      <c r="B4304" s="46" t="s">
        <v>501</v>
      </c>
      <c r="C4304" s="47">
        <v>44454</v>
      </c>
      <c r="D4304" s="45">
        <v>22021000702</v>
      </c>
      <c r="E4304" s="46" t="s">
        <v>1196</v>
      </c>
      <c r="F4304" s="48">
        <v>-1143.21</v>
      </c>
      <c r="G4304" s="46" t="s">
        <v>120</v>
      </c>
      <c r="H4304" s="46" t="s">
        <v>723</v>
      </c>
      <c r="I4304" s="45" t="s">
        <v>125</v>
      </c>
      <c r="J4304" s="46" t="s">
        <v>126</v>
      </c>
      <c r="K4304" s="46" t="s">
        <v>126</v>
      </c>
      <c r="L4304" s="46" t="s">
        <v>12</v>
      </c>
      <c r="M4304" s="46" t="s">
        <v>10</v>
      </c>
      <c r="N4304" s="46" t="s">
        <v>14</v>
      </c>
      <c r="O4304" s="49" t="s">
        <v>815</v>
      </c>
      <c r="P4304" s="49" t="s">
        <v>4910</v>
      </c>
      <c r="Q4304" s="35" t="str">
        <f>MID(Tabla1[[#This Row],[Aplicación]],14,1)</f>
        <v>6</v>
      </c>
      <c r="R4304" s="35" t="s">
        <v>496</v>
      </c>
      <c r="S4304" s="35" t="str">
        <f>MID(Tabla1[[#This Row],[Aplicación]],6,2)</f>
        <v>08</v>
      </c>
      <c r="T4304" s="35" t="str">
        <f>VLOOKUP(Tabla1[[#This Row],[AREA]],Hoja1!A:B,2,FALSE)</f>
        <v>08. Movilidad y espacio urbano</v>
      </c>
      <c r="U4304" s="35" t="str">
        <f>MID(Tabla1[[#This Row],[Aplicación]],9,4)</f>
        <v>1341</v>
      </c>
      <c r="V4304" s="35" t="str">
        <f>VLOOKUP(Tabla1[[#This Row],[PROGRAMA]],Hoja1!A:B,2,FALSE)</f>
        <v>1341. Movilidad</v>
      </c>
      <c r="W4304" s="35" t="str">
        <f>MID(Tabla1[[#This Row],[Aplicación]],14,2)</f>
        <v>61</v>
      </c>
      <c r="X4304" s="35" t="str">
        <f>MID(Tabla1[[#This Row],[Aplicación]],14,6)</f>
        <v>619</v>
      </c>
    </row>
    <row r="4305" spans="1:24" x14ac:dyDescent="0.25">
      <c r="A4305" s="45">
        <v>220210035429</v>
      </c>
      <c r="B4305" s="46" t="s">
        <v>9</v>
      </c>
      <c r="C4305" s="47">
        <v>44379</v>
      </c>
      <c r="D4305" s="45">
        <v>22021004836</v>
      </c>
      <c r="E4305" s="46" t="s">
        <v>1724</v>
      </c>
      <c r="F4305" s="48">
        <v>108859.35</v>
      </c>
      <c r="G4305" s="46" t="s">
        <v>2065</v>
      </c>
      <c r="H4305" s="46" t="s">
        <v>5946</v>
      </c>
      <c r="I4305" s="45" t="s">
        <v>125</v>
      </c>
      <c r="J4305" s="46" t="s">
        <v>187</v>
      </c>
      <c r="K4305" s="46" t="s">
        <v>187</v>
      </c>
      <c r="L4305" s="46" t="s">
        <v>31</v>
      </c>
      <c r="M4305" s="46" t="s">
        <v>13</v>
      </c>
      <c r="N4305" s="46" t="s">
        <v>14</v>
      </c>
      <c r="O4305" s="49" t="s">
        <v>803</v>
      </c>
      <c r="P4305" s="49" t="s">
        <v>4910</v>
      </c>
      <c r="Q4305" s="35" t="str">
        <f>MID(Tabla1[[#This Row],[Aplicación]],14,1)</f>
        <v>6</v>
      </c>
      <c r="R4305" s="35" t="s">
        <v>496</v>
      </c>
      <c r="S4305" s="35" t="str">
        <f>MID(Tabla1[[#This Row],[Aplicación]],6,2)</f>
        <v>07</v>
      </c>
      <c r="T4305" s="35" t="str">
        <f>VLOOKUP(Tabla1[[#This Row],[AREA]],Hoja1!A:B,2,FALSE)</f>
        <v>07. Medio ambiente y desarrollo sostenible</v>
      </c>
      <c r="U4305" s="35" t="str">
        <f>MID(Tabla1[[#This Row],[Aplicación]],9,4)</f>
        <v>1711</v>
      </c>
      <c r="V4305" s="35" t="str">
        <f>VLOOKUP(Tabla1[[#This Row],[PROGRAMA]],Hoja1!A:B,2,FALSE)</f>
        <v>1711. Parques y jardines</v>
      </c>
      <c r="W4305" s="35" t="str">
        <f>MID(Tabla1[[#This Row],[Aplicación]],14,2)</f>
        <v>61</v>
      </c>
      <c r="X4305" s="35" t="str">
        <f>MID(Tabla1[[#This Row],[Aplicación]],14,6)</f>
        <v>619</v>
      </c>
    </row>
    <row r="4306" spans="1:24" x14ac:dyDescent="0.25">
      <c r="A4306" s="45">
        <v>220210037300</v>
      </c>
      <c r="B4306" s="46" t="s">
        <v>9</v>
      </c>
      <c r="C4306" s="47">
        <v>44392</v>
      </c>
      <c r="D4306" s="45">
        <v>22021004881</v>
      </c>
      <c r="E4306" s="46" t="s">
        <v>1724</v>
      </c>
      <c r="F4306" s="48">
        <v>71494.179999999993</v>
      </c>
      <c r="G4306" s="46" t="s">
        <v>2065</v>
      </c>
      <c r="H4306" s="46" t="s">
        <v>5947</v>
      </c>
      <c r="I4306" s="45" t="s">
        <v>125</v>
      </c>
      <c r="J4306" s="46" t="s">
        <v>187</v>
      </c>
      <c r="K4306" s="46" t="s">
        <v>187</v>
      </c>
      <c r="L4306" s="46" t="s">
        <v>31</v>
      </c>
      <c r="M4306" s="46" t="s">
        <v>13</v>
      </c>
      <c r="N4306" s="46" t="s">
        <v>14</v>
      </c>
      <c r="O4306" s="49" t="s">
        <v>803</v>
      </c>
      <c r="P4306" s="49" t="s">
        <v>4910</v>
      </c>
      <c r="Q4306" s="35" t="str">
        <f>MID(Tabla1[[#This Row],[Aplicación]],14,1)</f>
        <v>6</v>
      </c>
      <c r="R4306" s="35" t="s">
        <v>496</v>
      </c>
      <c r="S4306" s="35" t="str">
        <f>MID(Tabla1[[#This Row],[Aplicación]],6,2)</f>
        <v>07</v>
      </c>
      <c r="T4306" s="35" t="str">
        <f>VLOOKUP(Tabla1[[#This Row],[AREA]],Hoja1!A:B,2,FALSE)</f>
        <v>07. Medio ambiente y desarrollo sostenible</v>
      </c>
      <c r="U4306" s="35" t="str">
        <f>MID(Tabla1[[#This Row],[Aplicación]],9,4)</f>
        <v>1711</v>
      </c>
      <c r="V4306" s="35" t="str">
        <f>VLOOKUP(Tabla1[[#This Row],[PROGRAMA]],Hoja1!A:B,2,FALSE)</f>
        <v>1711. Parques y jardines</v>
      </c>
      <c r="W4306" s="35" t="str">
        <f>MID(Tabla1[[#This Row],[Aplicación]],14,2)</f>
        <v>61</v>
      </c>
      <c r="X4306" s="35" t="str">
        <f>MID(Tabla1[[#This Row],[Aplicación]],14,6)</f>
        <v>619</v>
      </c>
    </row>
    <row r="4307" spans="1:24" x14ac:dyDescent="0.25">
      <c r="A4307" s="45">
        <v>220210037297</v>
      </c>
      <c r="B4307" s="46" t="s">
        <v>9</v>
      </c>
      <c r="C4307" s="47">
        <v>44392</v>
      </c>
      <c r="D4307" s="45">
        <v>22021004891</v>
      </c>
      <c r="E4307" s="46" t="s">
        <v>1724</v>
      </c>
      <c r="F4307" s="48">
        <v>42214.37</v>
      </c>
      <c r="G4307" s="46" t="s">
        <v>2065</v>
      </c>
      <c r="H4307" s="46" t="s">
        <v>5948</v>
      </c>
      <c r="I4307" s="45" t="s">
        <v>125</v>
      </c>
      <c r="J4307" s="46" t="s">
        <v>187</v>
      </c>
      <c r="K4307" s="46" t="s">
        <v>187</v>
      </c>
      <c r="L4307" s="46" t="s">
        <v>31</v>
      </c>
      <c r="M4307" s="46" t="s">
        <v>13</v>
      </c>
      <c r="N4307" s="46" t="s">
        <v>14</v>
      </c>
      <c r="O4307" s="49" t="s">
        <v>803</v>
      </c>
      <c r="P4307" s="49" t="s">
        <v>4910</v>
      </c>
      <c r="Q4307" s="35" t="str">
        <f>MID(Tabla1[[#This Row],[Aplicación]],14,1)</f>
        <v>6</v>
      </c>
      <c r="R4307" s="35" t="s">
        <v>496</v>
      </c>
      <c r="S4307" s="35" t="str">
        <f>MID(Tabla1[[#This Row],[Aplicación]],6,2)</f>
        <v>07</v>
      </c>
      <c r="T4307" s="35" t="str">
        <f>VLOOKUP(Tabla1[[#This Row],[AREA]],Hoja1!A:B,2,FALSE)</f>
        <v>07. Medio ambiente y desarrollo sostenible</v>
      </c>
      <c r="U4307" s="35" t="str">
        <f>MID(Tabla1[[#This Row],[Aplicación]],9,4)</f>
        <v>1711</v>
      </c>
      <c r="V4307" s="35" t="str">
        <f>VLOOKUP(Tabla1[[#This Row],[PROGRAMA]],Hoja1!A:B,2,FALSE)</f>
        <v>1711. Parques y jardines</v>
      </c>
      <c r="W4307" s="35" t="str">
        <f>MID(Tabla1[[#This Row],[Aplicación]],14,2)</f>
        <v>61</v>
      </c>
      <c r="X4307" s="35" t="str">
        <f>MID(Tabla1[[#This Row],[Aplicación]],14,6)</f>
        <v>619</v>
      </c>
    </row>
    <row r="4308" spans="1:24" x14ac:dyDescent="0.25">
      <c r="A4308" s="45">
        <v>220210036838</v>
      </c>
      <c r="B4308" s="46" t="s">
        <v>9</v>
      </c>
      <c r="C4308" s="47">
        <v>44389</v>
      </c>
      <c r="D4308" s="45">
        <v>22021004556</v>
      </c>
      <c r="E4308" s="46" t="s">
        <v>1724</v>
      </c>
      <c r="F4308" s="48">
        <v>16416.8</v>
      </c>
      <c r="G4308" s="46" t="s">
        <v>2065</v>
      </c>
      <c r="H4308" s="46" t="s">
        <v>5949</v>
      </c>
      <c r="I4308" s="45" t="s">
        <v>125</v>
      </c>
      <c r="J4308" s="46" t="s">
        <v>187</v>
      </c>
      <c r="K4308" s="46" t="s">
        <v>187</v>
      </c>
      <c r="L4308" s="46" t="s">
        <v>31</v>
      </c>
      <c r="M4308" s="46" t="s">
        <v>13</v>
      </c>
      <c r="N4308" s="46" t="s">
        <v>14</v>
      </c>
      <c r="O4308" s="49" t="s">
        <v>814</v>
      </c>
      <c r="P4308" s="49" t="s">
        <v>4910</v>
      </c>
      <c r="Q4308" s="35" t="str">
        <f>MID(Tabla1[[#This Row],[Aplicación]],14,1)</f>
        <v>6</v>
      </c>
      <c r="R4308" s="35" t="s">
        <v>496</v>
      </c>
      <c r="S4308" s="35" t="str">
        <f>MID(Tabla1[[#This Row],[Aplicación]],6,2)</f>
        <v>07</v>
      </c>
      <c r="T4308" s="35" t="str">
        <f>VLOOKUP(Tabla1[[#This Row],[AREA]],Hoja1!A:B,2,FALSE)</f>
        <v>07. Medio ambiente y desarrollo sostenible</v>
      </c>
      <c r="U4308" s="35" t="str">
        <f>MID(Tabla1[[#This Row],[Aplicación]],9,4)</f>
        <v>1711</v>
      </c>
      <c r="V4308" s="35" t="str">
        <f>VLOOKUP(Tabla1[[#This Row],[PROGRAMA]],Hoja1!A:B,2,FALSE)</f>
        <v>1711. Parques y jardines</v>
      </c>
      <c r="W4308" s="35" t="str">
        <f>MID(Tabla1[[#This Row],[Aplicación]],14,2)</f>
        <v>61</v>
      </c>
      <c r="X4308" s="35" t="str">
        <f>MID(Tabla1[[#This Row],[Aplicación]],14,6)</f>
        <v>619</v>
      </c>
    </row>
    <row r="4309" spans="1:24" x14ac:dyDescent="0.25">
      <c r="A4309" s="45">
        <v>220210048856</v>
      </c>
      <c r="B4309" s="46" t="s">
        <v>204</v>
      </c>
      <c r="C4309" s="47">
        <v>44431</v>
      </c>
      <c r="D4309" s="45">
        <v>22021003490</v>
      </c>
      <c r="E4309" s="46" t="s">
        <v>3220</v>
      </c>
      <c r="F4309" s="48">
        <v>138116.6</v>
      </c>
      <c r="G4309" s="46" t="s">
        <v>528</v>
      </c>
      <c r="H4309" s="46" t="s">
        <v>5950</v>
      </c>
      <c r="I4309" s="45" t="s">
        <v>205</v>
      </c>
      <c r="J4309" s="46" t="s">
        <v>127</v>
      </c>
      <c r="K4309" s="46" t="s">
        <v>127</v>
      </c>
      <c r="L4309" s="46" t="s">
        <v>15</v>
      </c>
      <c r="M4309" s="46" t="s">
        <v>13</v>
      </c>
      <c r="N4309" s="46" t="s">
        <v>16</v>
      </c>
      <c r="O4309" s="49" t="s">
        <v>814</v>
      </c>
      <c r="P4309" s="49" t="s">
        <v>4910</v>
      </c>
      <c r="Q4309" s="35" t="str">
        <f>MID(Tabla1[[#This Row],[Aplicación]],14,1)</f>
        <v>6</v>
      </c>
      <c r="R4309" s="35" t="s">
        <v>496</v>
      </c>
      <c r="S4309" s="35" t="str">
        <f>MID(Tabla1[[#This Row],[Aplicación]],6,2)</f>
        <v>08</v>
      </c>
      <c r="T4309" s="35" t="str">
        <f>VLOOKUP(Tabla1[[#This Row],[AREA]],Hoja1!A:B,2,FALSE)</f>
        <v>08. Movilidad y espacio urbano</v>
      </c>
      <c r="U4309" s="35" t="str">
        <f>MID(Tabla1[[#This Row],[Aplicación]],9,4)</f>
        <v>1532</v>
      </c>
      <c r="V4309" s="35" t="str">
        <f>VLOOKUP(Tabla1[[#This Row],[PROGRAMA]],Hoja1!A:B,2,FALSE)</f>
        <v>1532. Pavimentación vias públicas y otros servicios urbanísticos</v>
      </c>
      <c r="W4309" s="35" t="str">
        <f>MID(Tabla1[[#This Row],[Aplicación]],14,2)</f>
        <v>62</v>
      </c>
      <c r="X4309" s="35" t="str">
        <f>MID(Tabla1[[#This Row],[Aplicación]],14,6)</f>
        <v>624</v>
      </c>
    </row>
    <row r="4310" spans="1:24" x14ac:dyDescent="0.25">
      <c r="A4310" s="45">
        <v>220210050511</v>
      </c>
      <c r="B4310" s="46" t="s">
        <v>9</v>
      </c>
      <c r="C4310" s="47">
        <v>44440</v>
      </c>
      <c r="D4310" s="45">
        <v>22021006042</v>
      </c>
      <c r="E4310" s="46" t="s">
        <v>897</v>
      </c>
      <c r="F4310" s="48">
        <v>978.6</v>
      </c>
      <c r="G4310" s="46" t="s">
        <v>528</v>
      </c>
      <c r="H4310" s="46" t="s">
        <v>5951</v>
      </c>
      <c r="I4310" s="45" t="s">
        <v>125</v>
      </c>
      <c r="J4310" s="46" t="s">
        <v>127</v>
      </c>
      <c r="K4310" s="46" t="s">
        <v>127</v>
      </c>
      <c r="L4310" s="46" t="s">
        <v>15</v>
      </c>
      <c r="M4310" s="46" t="s">
        <v>10</v>
      </c>
      <c r="N4310" s="46" t="s">
        <v>11</v>
      </c>
      <c r="O4310" s="49" t="s">
        <v>815</v>
      </c>
      <c r="P4310" s="49" t="s">
        <v>4910</v>
      </c>
      <c r="Q4310" s="35" t="str">
        <f>MID(Tabla1[[#This Row],[Aplicación]],14,1)</f>
        <v>2</v>
      </c>
      <c r="R4310" s="35" t="s">
        <v>495</v>
      </c>
      <c r="S4310" s="35" t="str">
        <f>MID(Tabla1[[#This Row],[Aplicación]],6,2)</f>
        <v>08</v>
      </c>
      <c r="T4310" s="35" t="str">
        <f>VLOOKUP(Tabla1[[#This Row],[AREA]],Hoja1!A:B,2,FALSE)</f>
        <v>08. Movilidad y espacio urbano</v>
      </c>
      <c r="U4310" s="35" t="str">
        <f>MID(Tabla1[[#This Row],[Aplicación]],9,4)</f>
        <v>1341</v>
      </c>
      <c r="V4310" s="35" t="str">
        <f>VLOOKUP(Tabla1[[#This Row],[PROGRAMA]],Hoja1!A:B,2,FALSE)</f>
        <v>1341. Movilidad</v>
      </c>
      <c r="W4310" s="35" t="str">
        <f>MID(Tabla1[[#This Row],[Aplicación]],14,2)</f>
        <v>20</v>
      </c>
      <c r="X4310" s="35" t="str">
        <f>MID(Tabla1[[#This Row],[Aplicación]],14,6)</f>
        <v>203</v>
      </c>
    </row>
    <row r="4311" spans="1:24" x14ac:dyDescent="0.25">
      <c r="A4311" s="45">
        <v>220210050101</v>
      </c>
      <c r="B4311" s="46" t="s">
        <v>204</v>
      </c>
      <c r="C4311" s="47">
        <v>44435</v>
      </c>
      <c r="D4311" s="45">
        <v>22021005946</v>
      </c>
      <c r="E4311" s="46" t="s">
        <v>1167</v>
      </c>
      <c r="F4311" s="48">
        <v>130.16</v>
      </c>
      <c r="G4311" s="46" t="s">
        <v>528</v>
      </c>
      <c r="H4311" s="46" t="s">
        <v>5952</v>
      </c>
      <c r="I4311" s="45" t="s">
        <v>205</v>
      </c>
      <c r="J4311" s="46" t="s">
        <v>127</v>
      </c>
      <c r="K4311" s="46" t="s">
        <v>127</v>
      </c>
      <c r="L4311" s="46" t="s">
        <v>12</v>
      </c>
      <c r="M4311" s="46" t="s">
        <v>13</v>
      </c>
      <c r="N4311" s="46" t="s">
        <v>14</v>
      </c>
      <c r="O4311" s="49" t="s">
        <v>814</v>
      </c>
      <c r="P4311" s="49" t="s">
        <v>4910</v>
      </c>
      <c r="Q4311" s="35" t="str">
        <f>MID(Tabla1[[#This Row],[Aplicación]],14,1)</f>
        <v>2</v>
      </c>
      <c r="R4311" s="35" t="s">
        <v>495</v>
      </c>
      <c r="S4311" s="35" t="str">
        <f>MID(Tabla1[[#This Row],[Aplicación]],6,2)</f>
        <v>11</v>
      </c>
      <c r="T4311" s="35" t="str">
        <f>VLOOKUP(Tabla1[[#This Row],[AREA]],Hoja1!A:B,2,FALSE)</f>
        <v>11. Salud pública y seguridad ciudadana</v>
      </c>
      <c r="U4311" s="35" t="str">
        <f>MID(Tabla1[[#This Row],[Aplicación]],9,4)</f>
        <v>1321</v>
      </c>
      <c r="V4311" s="35" t="str">
        <f>VLOOKUP(Tabla1[[#This Row],[PROGRAMA]],Hoja1!A:B,2,FALSE)</f>
        <v>1321. Policía municipal</v>
      </c>
      <c r="W4311" s="35" t="str">
        <f>MID(Tabla1[[#This Row],[Aplicación]],14,2)</f>
        <v>21</v>
      </c>
      <c r="X4311" s="35" t="str">
        <f>MID(Tabla1[[#This Row],[Aplicación]],14,6)</f>
        <v>214</v>
      </c>
    </row>
    <row r="4312" spans="1:24" x14ac:dyDescent="0.25">
      <c r="A4312" s="45">
        <v>220210050099</v>
      </c>
      <c r="B4312" s="46" t="s">
        <v>204</v>
      </c>
      <c r="C4312" s="47">
        <v>44435</v>
      </c>
      <c r="D4312" s="45">
        <v>22021005946</v>
      </c>
      <c r="E4312" s="46" t="s">
        <v>1167</v>
      </c>
      <c r="F4312" s="48">
        <v>125.56</v>
      </c>
      <c r="G4312" s="46" t="s">
        <v>528</v>
      </c>
      <c r="H4312" s="46" t="s">
        <v>5953</v>
      </c>
      <c r="I4312" s="45" t="s">
        <v>205</v>
      </c>
      <c r="J4312" s="46" t="s">
        <v>127</v>
      </c>
      <c r="K4312" s="46" t="s">
        <v>127</v>
      </c>
      <c r="L4312" s="46" t="s">
        <v>12</v>
      </c>
      <c r="M4312" s="46" t="s">
        <v>13</v>
      </c>
      <c r="N4312" s="46" t="s">
        <v>14</v>
      </c>
      <c r="O4312" s="49" t="s">
        <v>814</v>
      </c>
      <c r="P4312" s="49" t="s">
        <v>4910</v>
      </c>
      <c r="Q4312" s="35" t="str">
        <f>MID(Tabla1[[#This Row],[Aplicación]],14,1)</f>
        <v>2</v>
      </c>
      <c r="R4312" s="35" t="s">
        <v>495</v>
      </c>
      <c r="S4312" s="35" t="str">
        <f>MID(Tabla1[[#This Row],[Aplicación]],6,2)</f>
        <v>11</v>
      </c>
      <c r="T4312" s="35" t="str">
        <f>VLOOKUP(Tabla1[[#This Row],[AREA]],Hoja1!A:B,2,FALSE)</f>
        <v>11. Salud pública y seguridad ciudadana</v>
      </c>
      <c r="U4312" s="35" t="str">
        <f>MID(Tabla1[[#This Row],[Aplicación]],9,4)</f>
        <v>1321</v>
      </c>
      <c r="V4312" s="35" t="str">
        <f>VLOOKUP(Tabla1[[#This Row],[PROGRAMA]],Hoja1!A:B,2,FALSE)</f>
        <v>1321. Policía municipal</v>
      </c>
      <c r="W4312" s="35" t="str">
        <f>MID(Tabla1[[#This Row],[Aplicación]],14,2)</f>
        <v>21</v>
      </c>
      <c r="X4312" s="35" t="str">
        <f>MID(Tabla1[[#This Row],[Aplicación]],14,6)</f>
        <v>214</v>
      </c>
    </row>
    <row r="4313" spans="1:24" x14ac:dyDescent="0.25">
      <c r="A4313" s="45">
        <v>220210050103</v>
      </c>
      <c r="B4313" s="46" t="s">
        <v>204</v>
      </c>
      <c r="C4313" s="47">
        <v>44435</v>
      </c>
      <c r="D4313" s="45">
        <v>22021005946</v>
      </c>
      <c r="E4313" s="46" t="s">
        <v>1167</v>
      </c>
      <c r="F4313" s="48">
        <v>33.21</v>
      </c>
      <c r="G4313" s="46" t="s">
        <v>528</v>
      </c>
      <c r="H4313" s="46" t="s">
        <v>5954</v>
      </c>
      <c r="I4313" s="45" t="s">
        <v>205</v>
      </c>
      <c r="J4313" s="46" t="s">
        <v>127</v>
      </c>
      <c r="K4313" s="46" t="s">
        <v>127</v>
      </c>
      <c r="L4313" s="46" t="s">
        <v>12</v>
      </c>
      <c r="M4313" s="46" t="s">
        <v>13</v>
      </c>
      <c r="N4313" s="46" t="s">
        <v>14</v>
      </c>
      <c r="O4313" s="49" t="s">
        <v>814</v>
      </c>
      <c r="P4313" s="49" t="s">
        <v>4910</v>
      </c>
      <c r="Q4313" s="35" t="str">
        <f>MID(Tabla1[[#This Row],[Aplicación]],14,1)</f>
        <v>2</v>
      </c>
      <c r="R4313" s="35" t="s">
        <v>495</v>
      </c>
      <c r="S4313" s="35" t="str">
        <f>MID(Tabla1[[#This Row],[Aplicación]],6,2)</f>
        <v>11</v>
      </c>
      <c r="T4313" s="35" t="str">
        <f>VLOOKUP(Tabla1[[#This Row],[AREA]],Hoja1!A:B,2,FALSE)</f>
        <v>11. Salud pública y seguridad ciudadana</v>
      </c>
      <c r="U4313" s="35" t="str">
        <f>MID(Tabla1[[#This Row],[Aplicación]],9,4)</f>
        <v>1321</v>
      </c>
      <c r="V4313" s="35" t="str">
        <f>VLOOKUP(Tabla1[[#This Row],[PROGRAMA]],Hoja1!A:B,2,FALSE)</f>
        <v>1321. Policía municipal</v>
      </c>
      <c r="W4313" s="35" t="str">
        <f>MID(Tabla1[[#This Row],[Aplicación]],14,2)</f>
        <v>21</v>
      </c>
      <c r="X4313" s="35" t="str">
        <f>MID(Tabla1[[#This Row],[Aplicación]],14,6)</f>
        <v>214</v>
      </c>
    </row>
    <row r="4314" spans="1:24" x14ac:dyDescent="0.25">
      <c r="A4314" s="45">
        <v>220210043971</v>
      </c>
      <c r="B4314" s="46" t="s">
        <v>204</v>
      </c>
      <c r="C4314" s="47">
        <v>44405</v>
      </c>
      <c r="D4314" s="45">
        <v>22021002006</v>
      </c>
      <c r="E4314" s="46" t="s">
        <v>1310</v>
      </c>
      <c r="F4314" s="48">
        <v>23.05</v>
      </c>
      <c r="G4314" s="46" t="s">
        <v>261</v>
      </c>
      <c r="H4314" s="46" t="s">
        <v>5955</v>
      </c>
      <c r="I4314" s="45" t="s">
        <v>205</v>
      </c>
      <c r="J4314" s="46" t="s">
        <v>127</v>
      </c>
      <c r="K4314" s="46" t="s">
        <v>127</v>
      </c>
      <c r="L4314" s="46" t="s">
        <v>15</v>
      </c>
      <c r="M4314" s="46" t="s">
        <v>10</v>
      </c>
      <c r="N4314" s="46" t="s">
        <v>11</v>
      </c>
      <c r="O4314" s="49" t="s">
        <v>815</v>
      </c>
      <c r="P4314" s="49" t="s">
        <v>4910</v>
      </c>
      <c r="Q4314" s="35" t="str">
        <f>MID(Tabla1[[#This Row],[Aplicación]],14,1)</f>
        <v>2</v>
      </c>
      <c r="R4314" s="35" t="s">
        <v>495</v>
      </c>
      <c r="S4314" s="35" t="str">
        <f>MID(Tabla1[[#This Row],[Aplicación]],6,2)</f>
        <v>11</v>
      </c>
      <c r="T4314" s="35" t="str">
        <f>VLOOKUP(Tabla1[[#This Row],[AREA]],Hoja1!A:B,2,FALSE)</f>
        <v>11. Salud pública y seguridad ciudadana</v>
      </c>
      <c r="U4314" s="35" t="str">
        <f>MID(Tabla1[[#This Row],[Aplicación]],9,4)</f>
        <v>3111</v>
      </c>
      <c r="V4314" s="35" t="str">
        <f>VLOOKUP(Tabla1[[#This Row],[PROGRAMA]],Hoja1!A:B,2,FALSE)</f>
        <v>3111. Protección de la salubridad pública</v>
      </c>
      <c r="W4314" s="35" t="str">
        <f>MID(Tabla1[[#This Row],[Aplicación]],14,2)</f>
        <v>22</v>
      </c>
      <c r="X4314" s="35" t="str">
        <f>MID(Tabla1[[#This Row],[Aplicación]],14,6)</f>
        <v>22199</v>
      </c>
    </row>
    <row r="4315" spans="1:24" x14ac:dyDescent="0.25">
      <c r="A4315" s="45">
        <v>220210044972</v>
      </c>
      <c r="B4315" s="46" t="s">
        <v>9</v>
      </c>
      <c r="C4315" s="47">
        <v>44411</v>
      </c>
      <c r="D4315" s="45">
        <v>22021005999</v>
      </c>
      <c r="E4315" s="46" t="s">
        <v>5956</v>
      </c>
      <c r="F4315" s="48">
        <v>83.49</v>
      </c>
      <c r="G4315" s="46" t="s">
        <v>261</v>
      </c>
      <c r="H4315" s="46" t="s">
        <v>5957</v>
      </c>
      <c r="I4315" s="45" t="s">
        <v>125</v>
      </c>
      <c r="J4315" s="46" t="s">
        <v>127</v>
      </c>
      <c r="K4315" s="46" t="s">
        <v>127</v>
      </c>
      <c r="L4315" s="46" t="s">
        <v>15</v>
      </c>
      <c r="M4315" s="46" t="s">
        <v>10</v>
      </c>
      <c r="N4315" s="46" t="s">
        <v>11</v>
      </c>
      <c r="O4315" s="49" t="s">
        <v>815</v>
      </c>
      <c r="P4315" s="49" t="s">
        <v>4910</v>
      </c>
      <c r="Q4315" s="35" t="str">
        <f>MID(Tabla1[[#This Row],[Aplicación]],14,1)</f>
        <v>2</v>
      </c>
      <c r="R4315" s="35" t="s">
        <v>495</v>
      </c>
      <c r="S4315" s="35" t="str">
        <f>MID(Tabla1[[#This Row],[Aplicación]],6,2)</f>
        <v>04</v>
      </c>
      <c r="T4315" s="35" t="str">
        <f>VLOOKUP(Tabla1[[#This Row],[AREA]],Hoja1!A:B,2,FALSE)</f>
        <v>04. Planificación y recursos</v>
      </c>
      <c r="U4315" s="35" t="str">
        <f>MID(Tabla1[[#This Row],[Aplicación]],9,4)</f>
        <v>9202</v>
      </c>
      <c r="V4315" s="35" t="str">
        <f>VLOOKUP(Tabla1[[#This Row],[PROGRAMA]],Hoja1!A:B,2,FALSE)</f>
        <v>9202. Gestión de recursos humanos</v>
      </c>
      <c r="W4315" s="35" t="str">
        <f>MID(Tabla1[[#This Row],[Aplicación]],14,2)</f>
        <v>22</v>
      </c>
      <c r="X4315" s="35" t="str">
        <f>MID(Tabla1[[#This Row],[Aplicación]],14,6)</f>
        <v>22699</v>
      </c>
    </row>
    <row r="4316" spans="1:24" x14ac:dyDescent="0.25">
      <c r="A4316" s="45">
        <v>220210044965</v>
      </c>
      <c r="B4316" s="46" t="s">
        <v>9</v>
      </c>
      <c r="C4316" s="47">
        <v>44411</v>
      </c>
      <c r="D4316" s="45">
        <v>22021005893</v>
      </c>
      <c r="E4316" s="46" t="s">
        <v>1401</v>
      </c>
      <c r="F4316" s="48">
        <v>92.2</v>
      </c>
      <c r="G4316" s="46" t="s">
        <v>261</v>
      </c>
      <c r="H4316" s="46" t="s">
        <v>5958</v>
      </c>
      <c r="I4316" s="45" t="s">
        <v>125</v>
      </c>
      <c r="J4316" s="46" t="s">
        <v>127</v>
      </c>
      <c r="K4316" s="46" t="s">
        <v>127</v>
      </c>
      <c r="L4316" s="46" t="s">
        <v>15</v>
      </c>
      <c r="M4316" s="46" t="s">
        <v>10</v>
      </c>
      <c r="N4316" s="46" t="s">
        <v>11</v>
      </c>
      <c r="O4316" s="49" t="s">
        <v>815</v>
      </c>
      <c r="P4316" s="49" t="s">
        <v>4910</v>
      </c>
      <c r="Q4316" s="35" t="str">
        <f>MID(Tabla1[[#This Row],[Aplicación]],14,1)</f>
        <v>2</v>
      </c>
      <c r="R4316" s="35" t="s">
        <v>495</v>
      </c>
      <c r="S4316" s="35" t="str">
        <f>MID(Tabla1[[#This Row],[Aplicación]],6,2)</f>
        <v>10</v>
      </c>
      <c r="T4316" s="35" t="str">
        <f>VLOOKUP(Tabla1[[#This Row],[AREA]],Hoja1!A:B,2,FALSE)</f>
        <v>10. Servicios sociales y mediación comunitaria</v>
      </c>
      <c r="U4316" s="35" t="str">
        <f>MID(Tabla1[[#This Row],[Aplicación]],9,4)</f>
        <v>2312</v>
      </c>
      <c r="V4316" s="35" t="str">
        <f>VLOOKUP(Tabla1[[#This Row],[PROGRAMA]],Hoja1!A:B,2,FALSE)</f>
        <v>2312. Iniciativas sociales</v>
      </c>
      <c r="W4316" s="35" t="str">
        <f>MID(Tabla1[[#This Row],[Aplicación]],14,2)</f>
        <v>22</v>
      </c>
      <c r="X4316" s="35" t="str">
        <f>MID(Tabla1[[#This Row],[Aplicación]],14,6)</f>
        <v>22699</v>
      </c>
    </row>
    <row r="4317" spans="1:24" x14ac:dyDescent="0.25">
      <c r="A4317" s="45">
        <v>220210050357</v>
      </c>
      <c r="B4317" s="46" t="s">
        <v>9</v>
      </c>
      <c r="C4317" s="47">
        <v>44438</v>
      </c>
      <c r="D4317" s="45">
        <v>22021006320</v>
      </c>
      <c r="E4317" s="46" t="s">
        <v>890</v>
      </c>
      <c r="F4317" s="48">
        <v>105.17</v>
      </c>
      <c r="G4317" s="46" t="s">
        <v>5557</v>
      </c>
      <c r="H4317" s="46" t="s">
        <v>5959</v>
      </c>
      <c r="I4317" s="45" t="s">
        <v>125</v>
      </c>
      <c r="J4317" s="46" t="s">
        <v>5559</v>
      </c>
      <c r="K4317" s="46" t="s">
        <v>126</v>
      </c>
      <c r="L4317" s="46" t="s">
        <v>15</v>
      </c>
      <c r="M4317" s="46" t="s">
        <v>10</v>
      </c>
      <c r="N4317" s="46" t="s">
        <v>11</v>
      </c>
      <c r="O4317" s="49" t="s">
        <v>815</v>
      </c>
      <c r="P4317" s="49" t="s">
        <v>4910</v>
      </c>
      <c r="Q4317" s="35" t="str">
        <f>MID(Tabla1[[#This Row],[Aplicación]],14,1)</f>
        <v>2</v>
      </c>
      <c r="R4317" s="35" t="s">
        <v>495</v>
      </c>
      <c r="S4317" s="35" t="str">
        <f>MID(Tabla1[[#This Row],[Aplicación]],6,2)</f>
        <v>11</v>
      </c>
      <c r="T4317" s="35" t="str">
        <f>VLOOKUP(Tabla1[[#This Row],[AREA]],Hoja1!A:B,2,FALSE)</f>
        <v>11. Salud pública y seguridad ciudadana</v>
      </c>
      <c r="U4317" s="35" t="str">
        <f>MID(Tabla1[[#This Row],[Aplicación]],9,4)</f>
        <v>1621</v>
      </c>
      <c r="V4317" s="35" t="str">
        <f>VLOOKUP(Tabla1[[#This Row],[PROGRAMA]],Hoja1!A:B,2,FALSE)</f>
        <v>1621. Servicio de limpieza</v>
      </c>
      <c r="W4317" s="35" t="str">
        <f>MID(Tabla1[[#This Row],[Aplicación]],14,2)</f>
        <v>21</v>
      </c>
      <c r="X4317" s="35" t="str">
        <f>MID(Tabla1[[#This Row],[Aplicación]],14,6)</f>
        <v>214</v>
      </c>
    </row>
    <row r="4318" spans="1:24" x14ac:dyDescent="0.25">
      <c r="A4318" s="45">
        <v>220210039538</v>
      </c>
      <c r="B4318" s="46" t="s">
        <v>9</v>
      </c>
      <c r="C4318" s="47">
        <v>44393</v>
      </c>
      <c r="D4318" s="45">
        <v>22021005694</v>
      </c>
      <c r="E4318" s="46" t="s">
        <v>5960</v>
      </c>
      <c r="F4318" s="48">
        <v>968</v>
      </c>
      <c r="G4318" s="46" t="s">
        <v>5961</v>
      </c>
      <c r="H4318" s="46" t="s">
        <v>5962</v>
      </c>
      <c r="I4318" s="45" t="s">
        <v>125</v>
      </c>
      <c r="J4318" s="46" t="s">
        <v>127</v>
      </c>
      <c r="K4318" s="46" t="s">
        <v>127</v>
      </c>
      <c r="L4318" s="46" t="s">
        <v>15</v>
      </c>
      <c r="M4318" s="46" t="s">
        <v>10</v>
      </c>
      <c r="N4318" s="46" t="s">
        <v>11</v>
      </c>
      <c r="O4318" s="49" t="s">
        <v>815</v>
      </c>
      <c r="P4318" s="49" t="s">
        <v>4910</v>
      </c>
      <c r="Q4318" s="35" t="str">
        <f>MID(Tabla1[[#This Row],[Aplicación]],14,1)</f>
        <v>2</v>
      </c>
      <c r="R4318" s="35" t="s">
        <v>495</v>
      </c>
      <c r="S4318" s="35" t="str">
        <f>MID(Tabla1[[#This Row],[Aplicación]],6,2)</f>
        <v>10</v>
      </c>
      <c r="T4318" s="35" t="str">
        <f>VLOOKUP(Tabla1[[#This Row],[AREA]],Hoja1!A:B,2,FALSE)</f>
        <v>10. Servicios sociales y mediación comunitaria</v>
      </c>
      <c r="U4318" s="35" t="str">
        <f>MID(Tabla1[[#This Row],[Aplicación]],9,4)</f>
        <v>2312</v>
      </c>
      <c r="V4318" s="35" t="str">
        <f>VLOOKUP(Tabla1[[#This Row],[PROGRAMA]],Hoja1!A:B,2,FALSE)</f>
        <v>2312. Iniciativas sociales</v>
      </c>
      <c r="W4318" s="35" t="str">
        <f>MID(Tabla1[[#This Row],[Aplicación]],14,2)</f>
        <v>22</v>
      </c>
      <c r="X4318" s="35" t="str">
        <f>MID(Tabla1[[#This Row],[Aplicación]],14,6)</f>
        <v>22618</v>
      </c>
    </row>
    <row r="4319" spans="1:24" x14ac:dyDescent="0.25">
      <c r="A4319" s="45">
        <v>220210046274</v>
      </c>
      <c r="B4319" s="46" t="s">
        <v>9</v>
      </c>
      <c r="C4319" s="47">
        <v>44419</v>
      </c>
      <c r="D4319" s="45">
        <v>22021006038</v>
      </c>
      <c r="E4319" s="46" t="s">
        <v>830</v>
      </c>
      <c r="F4319" s="48">
        <v>121</v>
      </c>
      <c r="G4319" s="46" t="s">
        <v>2957</v>
      </c>
      <c r="H4319" s="46" t="s">
        <v>5963</v>
      </c>
      <c r="I4319" s="45" t="s">
        <v>125</v>
      </c>
      <c r="J4319" s="46" t="s">
        <v>127</v>
      </c>
      <c r="K4319" s="46" t="s">
        <v>127</v>
      </c>
      <c r="L4319" s="46" t="s">
        <v>12</v>
      </c>
      <c r="M4319" s="46" t="s">
        <v>10</v>
      </c>
      <c r="N4319" s="46" t="s">
        <v>11</v>
      </c>
      <c r="O4319" s="49" t="s">
        <v>815</v>
      </c>
      <c r="P4319" s="49" t="s">
        <v>4910</v>
      </c>
      <c r="Q4319" s="35" t="str">
        <f>MID(Tabla1[[#This Row],[Aplicación]],14,1)</f>
        <v>2</v>
      </c>
      <c r="R4319" s="35" t="s">
        <v>495</v>
      </c>
      <c r="S4319" s="35" t="str">
        <f>MID(Tabla1[[#This Row],[Aplicación]],6,2)</f>
        <v>01</v>
      </c>
      <c r="T4319" s="35" t="str">
        <f>VLOOKUP(Tabla1[[#This Row],[AREA]],Hoja1!A:B,2,FALSE)</f>
        <v>01. Alcaldía</v>
      </c>
      <c r="U4319" s="35" t="str">
        <f>MID(Tabla1[[#This Row],[Aplicación]],9,4)</f>
        <v>9203</v>
      </c>
      <c r="V4319" s="35" t="str">
        <f>VLOOKUP(Tabla1[[#This Row],[PROGRAMA]],Hoja1!A:B,2,FALSE)</f>
        <v>9203. Unidad de régimen interior</v>
      </c>
      <c r="W4319" s="35" t="str">
        <f>MID(Tabla1[[#This Row],[Aplicación]],14,2)</f>
        <v>21</v>
      </c>
      <c r="X4319" s="35" t="str">
        <f>MID(Tabla1[[#This Row],[Aplicación]],14,6)</f>
        <v>213</v>
      </c>
    </row>
    <row r="4320" spans="1:24" x14ac:dyDescent="0.25">
      <c r="A4320" s="45">
        <v>220210051190</v>
      </c>
      <c r="B4320" s="46" t="s">
        <v>204</v>
      </c>
      <c r="C4320" s="47">
        <v>44448</v>
      </c>
      <c r="D4320" s="45">
        <v>22021002369</v>
      </c>
      <c r="E4320" s="46" t="s">
        <v>1336</v>
      </c>
      <c r="F4320" s="48">
        <v>96.8</v>
      </c>
      <c r="G4320" s="46" t="s">
        <v>286</v>
      </c>
      <c r="H4320" s="46" t="s">
        <v>5964</v>
      </c>
      <c r="I4320" s="45" t="s">
        <v>205</v>
      </c>
      <c r="J4320" s="46" t="s">
        <v>127</v>
      </c>
      <c r="K4320" s="46" t="s">
        <v>127</v>
      </c>
      <c r="L4320" s="46" t="s">
        <v>15</v>
      </c>
      <c r="M4320" s="46" t="s">
        <v>10</v>
      </c>
      <c r="N4320" s="46" t="s">
        <v>11</v>
      </c>
      <c r="O4320" s="49" t="s">
        <v>815</v>
      </c>
      <c r="P4320" s="49" t="s">
        <v>4910</v>
      </c>
      <c r="Q4320" s="35" t="str">
        <f>MID(Tabla1[[#This Row],[Aplicación]],14,1)</f>
        <v>2</v>
      </c>
      <c r="R4320" s="35" t="s">
        <v>495</v>
      </c>
      <c r="S4320" s="35" t="str">
        <f>MID(Tabla1[[#This Row],[Aplicación]],6,2)</f>
        <v>02</v>
      </c>
      <c r="T4320" s="35" t="str">
        <f>VLOOKUP(Tabla1[[#This Row],[AREA]],Hoja1!A:B,2,FALSE)</f>
        <v>02. Planeamiento urbanístico y vivienda</v>
      </c>
      <c r="U4320" s="35" t="str">
        <f>MID(Tabla1[[#This Row],[Aplicación]],9,4)</f>
        <v>9332</v>
      </c>
      <c r="V4320" s="35" t="str">
        <f>VLOOKUP(Tabla1[[#This Row],[PROGRAMA]],Hoja1!A:B,2,FALSE)</f>
        <v>9332. Mantenimiento de edificios e instalaciones municipales</v>
      </c>
      <c r="W4320" s="35" t="str">
        <f>MID(Tabla1[[#This Row],[Aplicación]],14,2)</f>
        <v>21</v>
      </c>
      <c r="X4320" s="35" t="str">
        <f>MID(Tabla1[[#This Row],[Aplicación]],14,6)</f>
        <v>212</v>
      </c>
    </row>
    <row r="4321" spans="1:24" x14ac:dyDescent="0.25">
      <c r="A4321" s="45">
        <v>220210049418</v>
      </c>
      <c r="B4321" s="46" t="s">
        <v>9</v>
      </c>
      <c r="C4321" s="47">
        <v>44432</v>
      </c>
      <c r="D4321" s="45">
        <v>22021001247</v>
      </c>
      <c r="E4321" s="46" t="s">
        <v>1382</v>
      </c>
      <c r="F4321" s="48">
        <v>600</v>
      </c>
      <c r="G4321" s="46" t="s">
        <v>116</v>
      </c>
      <c r="H4321" s="46" t="s">
        <v>5965</v>
      </c>
      <c r="I4321" s="45" t="s">
        <v>125</v>
      </c>
      <c r="J4321" s="46" t="s">
        <v>127</v>
      </c>
      <c r="K4321" s="46" t="s">
        <v>127</v>
      </c>
      <c r="L4321" s="46" t="s">
        <v>15</v>
      </c>
      <c r="M4321" s="46" t="s">
        <v>10</v>
      </c>
      <c r="N4321" s="46" t="s">
        <v>11</v>
      </c>
      <c r="O4321" s="49" t="s">
        <v>815</v>
      </c>
      <c r="P4321" s="49" t="s">
        <v>4910</v>
      </c>
      <c r="Q4321" s="35" t="str">
        <f>MID(Tabla1[[#This Row],[Aplicación]],14,1)</f>
        <v>2</v>
      </c>
      <c r="R4321" s="35" t="s">
        <v>495</v>
      </c>
      <c r="S4321" s="35" t="str">
        <f>MID(Tabla1[[#This Row],[Aplicación]],6,2)</f>
        <v>11</v>
      </c>
      <c r="T4321" s="35" t="str">
        <f>VLOOKUP(Tabla1[[#This Row],[AREA]],Hoja1!A:B,2,FALSE)</f>
        <v>11. Salud pública y seguridad ciudadana</v>
      </c>
      <c r="U4321" s="35" t="str">
        <f>MID(Tabla1[[#This Row],[Aplicación]],9,4)</f>
        <v>1631</v>
      </c>
      <c r="V4321" s="35" t="str">
        <f>VLOOKUP(Tabla1[[#This Row],[PROGRAMA]],Hoja1!A:B,2,FALSE)</f>
        <v>1631. Limpieza viaria</v>
      </c>
      <c r="W4321" s="35" t="str">
        <f>MID(Tabla1[[#This Row],[Aplicación]],14,2)</f>
        <v>21</v>
      </c>
      <c r="X4321" s="35" t="str">
        <f>MID(Tabla1[[#This Row],[Aplicación]],14,6)</f>
        <v>214</v>
      </c>
    </row>
    <row r="4322" spans="1:24" x14ac:dyDescent="0.25">
      <c r="A4322" s="45">
        <v>220210050524</v>
      </c>
      <c r="B4322" s="46" t="s">
        <v>9</v>
      </c>
      <c r="C4322" s="47">
        <v>44440</v>
      </c>
      <c r="D4322" s="45">
        <v>22021006323</v>
      </c>
      <c r="E4322" s="46" t="s">
        <v>1392</v>
      </c>
      <c r="F4322" s="48">
        <v>3811.5</v>
      </c>
      <c r="G4322" s="46" t="s">
        <v>515</v>
      </c>
      <c r="H4322" s="46" t="s">
        <v>5966</v>
      </c>
      <c r="I4322" s="45" t="s">
        <v>125</v>
      </c>
      <c r="J4322" s="46" t="s">
        <v>659</v>
      </c>
      <c r="K4322" s="46" t="s">
        <v>127</v>
      </c>
      <c r="L4322" s="46" t="s">
        <v>12</v>
      </c>
      <c r="M4322" s="46" t="s">
        <v>13</v>
      </c>
      <c r="N4322" s="46" t="s">
        <v>14</v>
      </c>
      <c r="O4322" s="49" t="s">
        <v>814</v>
      </c>
      <c r="P4322" s="49" t="s">
        <v>4910</v>
      </c>
      <c r="Q4322" s="35" t="str">
        <f>MID(Tabla1[[#This Row],[Aplicación]],14,1)</f>
        <v>2</v>
      </c>
      <c r="R4322" s="35" t="s">
        <v>495</v>
      </c>
      <c r="S4322" s="35" t="str">
        <f>MID(Tabla1[[#This Row],[Aplicación]],6,2)</f>
        <v>08</v>
      </c>
      <c r="T4322" s="35" t="str">
        <f>VLOOKUP(Tabla1[[#This Row],[AREA]],Hoja1!A:B,2,FALSE)</f>
        <v>08. Movilidad y espacio urbano</v>
      </c>
      <c r="U4322" s="35" t="str">
        <f>MID(Tabla1[[#This Row],[Aplicación]],9,4)</f>
        <v>1532</v>
      </c>
      <c r="V4322" s="35" t="str">
        <f>VLOOKUP(Tabla1[[#This Row],[PROGRAMA]],Hoja1!A:B,2,FALSE)</f>
        <v>1532. Pavimentación vias públicas y otros servicios urbanísticos</v>
      </c>
      <c r="W4322" s="35" t="str">
        <f>MID(Tabla1[[#This Row],[Aplicación]],14,2)</f>
        <v>21</v>
      </c>
      <c r="X4322" s="35" t="str">
        <f>MID(Tabla1[[#This Row],[Aplicación]],14,6)</f>
        <v>214</v>
      </c>
    </row>
    <row r="4323" spans="1:24" x14ac:dyDescent="0.25">
      <c r="A4323" s="45">
        <v>220210037258</v>
      </c>
      <c r="B4323" s="46" t="s">
        <v>9</v>
      </c>
      <c r="C4323" s="47">
        <v>44391</v>
      </c>
      <c r="D4323" s="45">
        <v>22021005409</v>
      </c>
      <c r="E4323" s="46" t="s">
        <v>3333</v>
      </c>
      <c r="F4323" s="48">
        <v>471.9</v>
      </c>
      <c r="G4323" s="46" t="s">
        <v>3988</v>
      </c>
      <c r="H4323" s="46" t="s">
        <v>5967</v>
      </c>
      <c r="I4323" s="45" t="s">
        <v>125</v>
      </c>
      <c r="J4323" s="46" t="s">
        <v>127</v>
      </c>
      <c r="K4323" s="46" t="s">
        <v>127</v>
      </c>
      <c r="L4323" s="46" t="s">
        <v>12</v>
      </c>
      <c r="M4323" s="46" t="s">
        <v>10</v>
      </c>
      <c r="N4323" s="46" t="s">
        <v>11</v>
      </c>
      <c r="O4323" s="49" t="s">
        <v>815</v>
      </c>
      <c r="P4323" s="49" t="s">
        <v>4910</v>
      </c>
      <c r="Q4323" s="35" t="str">
        <f>MID(Tabla1[[#This Row],[Aplicación]],14,1)</f>
        <v>2</v>
      </c>
      <c r="R4323" s="35" t="s">
        <v>495</v>
      </c>
      <c r="S4323" s="35" t="str">
        <f>MID(Tabla1[[#This Row],[Aplicación]],6,2)</f>
        <v>10</v>
      </c>
      <c r="T4323" s="35" t="str">
        <f>VLOOKUP(Tabla1[[#This Row],[AREA]],Hoja1!A:B,2,FALSE)</f>
        <v>10. Servicios sociales y mediación comunitaria</v>
      </c>
      <c r="U4323" s="35" t="str">
        <f>MID(Tabla1[[#This Row],[Aplicación]],9,4)</f>
        <v>2316</v>
      </c>
      <c r="V4323" s="35" t="str">
        <f>VLOOKUP(Tabla1[[#This Row],[PROGRAMA]],Hoja1!A:B,2,FALSE)</f>
        <v>2316. Mediación comunitaria</v>
      </c>
      <c r="W4323" s="35" t="str">
        <f>MID(Tabla1[[#This Row],[Aplicación]],14,2)</f>
        <v>22</v>
      </c>
      <c r="X4323" s="35" t="str">
        <f>MID(Tabla1[[#This Row],[Aplicación]],14,6)</f>
        <v>22616</v>
      </c>
    </row>
    <row r="4324" spans="1:24" x14ac:dyDescent="0.25">
      <c r="A4324" s="45">
        <v>220210054498</v>
      </c>
      <c r="B4324" s="46" t="s">
        <v>9</v>
      </c>
      <c r="C4324" s="47">
        <v>44453</v>
      </c>
      <c r="D4324" s="45">
        <v>22021006451</v>
      </c>
      <c r="E4324" s="46" t="s">
        <v>2169</v>
      </c>
      <c r="F4324" s="48">
        <v>647.62</v>
      </c>
      <c r="G4324" s="46" t="s">
        <v>772</v>
      </c>
      <c r="H4324" s="46" t="s">
        <v>5968</v>
      </c>
      <c r="I4324" s="45" t="s">
        <v>125</v>
      </c>
      <c r="J4324" s="46" t="s">
        <v>126</v>
      </c>
      <c r="K4324" s="46" t="s">
        <v>126</v>
      </c>
      <c r="L4324" s="46" t="s">
        <v>15</v>
      </c>
      <c r="M4324" s="46" t="s">
        <v>10</v>
      </c>
      <c r="N4324" s="46" t="s">
        <v>11</v>
      </c>
      <c r="O4324" s="49" t="s">
        <v>815</v>
      </c>
      <c r="P4324" s="49" t="s">
        <v>4910</v>
      </c>
      <c r="Q4324" s="35" t="str">
        <f>MID(Tabla1[[#This Row],[Aplicación]],14,1)</f>
        <v>2</v>
      </c>
      <c r="R4324" s="35" t="s">
        <v>495</v>
      </c>
      <c r="S4324" s="35" t="str">
        <f>MID(Tabla1[[#This Row],[Aplicación]],6,2)</f>
        <v>10</v>
      </c>
      <c r="T4324" s="35" t="str">
        <f>VLOOKUP(Tabla1[[#This Row],[AREA]],Hoja1!A:B,2,FALSE)</f>
        <v>10. Servicios sociales y mediación comunitaria</v>
      </c>
      <c r="U4324" s="35" t="str">
        <f>MID(Tabla1[[#This Row],[Aplicación]],9,4)</f>
        <v>2312</v>
      </c>
      <c r="V4324" s="35" t="str">
        <f>VLOOKUP(Tabla1[[#This Row],[PROGRAMA]],Hoja1!A:B,2,FALSE)</f>
        <v>2312. Iniciativas sociales</v>
      </c>
      <c r="W4324" s="35" t="str">
        <f>MID(Tabla1[[#This Row],[Aplicación]],14,2)</f>
        <v>22</v>
      </c>
      <c r="X4324" s="35" t="str">
        <f>MID(Tabla1[[#This Row],[Aplicación]],14,6)</f>
        <v>22199</v>
      </c>
    </row>
    <row r="4325" spans="1:24" x14ac:dyDescent="0.25">
      <c r="A4325" s="45">
        <v>220209000649</v>
      </c>
      <c r="B4325" s="46" t="s">
        <v>9</v>
      </c>
      <c r="C4325" s="47">
        <v>44198</v>
      </c>
      <c r="D4325" s="45">
        <v>22021000413</v>
      </c>
      <c r="E4325" s="46" t="s">
        <v>1511</v>
      </c>
      <c r="F4325" s="48">
        <v>54961.75</v>
      </c>
      <c r="G4325" s="46" t="s">
        <v>179</v>
      </c>
      <c r="H4325" s="46" t="s">
        <v>2135</v>
      </c>
      <c r="I4325" s="45" t="s">
        <v>125</v>
      </c>
      <c r="J4325" s="46" t="s">
        <v>180</v>
      </c>
      <c r="K4325" s="46" t="s">
        <v>180</v>
      </c>
      <c r="L4325" s="46" t="s">
        <v>12</v>
      </c>
      <c r="M4325" s="46" t="s">
        <v>13</v>
      </c>
      <c r="N4325" s="46" t="s">
        <v>14</v>
      </c>
      <c r="O4325" s="49" t="s">
        <v>803</v>
      </c>
      <c r="P4325" s="46" t="s">
        <v>507</v>
      </c>
      <c r="Q4325" s="35" t="str">
        <f>MID(Tabla1[[#This Row],[Aplicación]],14,1)</f>
        <v>2</v>
      </c>
      <c r="R4325" s="35" t="s">
        <v>495</v>
      </c>
      <c r="S4325" s="35" t="str">
        <f>MID(Tabla1[[#This Row],[Aplicación]],6,2)</f>
        <v>11</v>
      </c>
      <c r="T4325" s="35" t="str">
        <f>VLOOKUP(Tabla1[[#This Row],[AREA]],Hoja1!A:B,2,FALSE)</f>
        <v>11. Salud pública y seguridad ciudadana</v>
      </c>
      <c r="U4325" s="35" t="str">
        <f>MID(Tabla1[[#This Row],[Aplicación]],9,4)</f>
        <v>1631</v>
      </c>
      <c r="V4325" s="35" t="str">
        <f>VLOOKUP(Tabla1[[#This Row],[PROGRAMA]],Hoja1!A:B,2,FALSE)</f>
        <v>1631. Limpieza viaria</v>
      </c>
      <c r="W4325" s="35" t="str">
        <f>MID(Tabla1[[#This Row],[Aplicación]],14,2)</f>
        <v>22</v>
      </c>
      <c r="X4325" s="35" t="str">
        <f>MID(Tabla1[[#This Row],[Aplicación]],14,6)</f>
        <v>22700</v>
      </c>
    </row>
    <row r="4326" spans="1:24" x14ac:dyDescent="0.25">
      <c r="A4326" s="45">
        <v>220209000648</v>
      </c>
      <c r="B4326" s="46" t="s">
        <v>9</v>
      </c>
      <c r="C4326" s="47">
        <v>44198</v>
      </c>
      <c r="D4326" s="45">
        <v>22021000412</v>
      </c>
      <c r="E4326" s="46" t="s">
        <v>883</v>
      </c>
      <c r="F4326" s="48">
        <v>24898.25</v>
      </c>
      <c r="G4326" s="46" t="s">
        <v>179</v>
      </c>
      <c r="H4326" s="46" t="s">
        <v>3259</v>
      </c>
      <c r="I4326" s="45" t="s">
        <v>125</v>
      </c>
      <c r="J4326" s="46" t="s">
        <v>180</v>
      </c>
      <c r="K4326" s="46" t="s">
        <v>180</v>
      </c>
      <c r="L4326" s="46" t="s">
        <v>12</v>
      </c>
      <c r="M4326" s="46" t="s">
        <v>13</v>
      </c>
      <c r="N4326" s="46" t="s">
        <v>14</v>
      </c>
      <c r="O4326" s="49" t="s">
        <v>803</v>
      </c>
      <c r="P4326" s="46" t="s">
        <v>507</v>
      </c>
      <c r="Q4326" s="35" t="str">
        <f>MID(Tabla1[[#This Row],[Aplicación]],14,1)</f>
        <v>2</v>
      </c>
      <c r="R4326" s="35" t="s">
        <v>495</v>
      </c>
      <c r="S4326" s="35" t="str">
        <f>MID(Tabla1[[#This Row],[Aplicación]],6,2)</f>
        <v>11</v>
      </c>
      <c r="T4326" s="35" t="str">
        <f>VLOOKUP(Tabla1[[#This Row],[AREA]],Hoja1!A:B,2,FALSE)</f>
        <v>11. Salud pública y seguridad ciudadana</v>
      </c>
      <c r="U4326" s="35" t="str">
        <f>MID(Tabla1[[#This Row],[Aplicación]],9,4)</f>
        <v>1621</v>
      </c>
      <c r="V4326" s="35" t="str">
        <f>VLOOKUP(Tabla1[[#This Row],[PROGRAMA]],Hoja1!A:B,2,FALSE)</f>
        <v>1621. Servicio de limpieza</v>
      </c>
      <c r="W4326" s="35" t="str">
        <f>MID(Tabla1[[#This Row],[Aplicación]],14,2)</f>
        <v>22</v>
      </c>
      <c r="X4326" s="35" t="str">
        <f>MID(Tabla1[[#This Row],[Aplicación]],14,6)</f>
        <v>22700</v>
      </c>
    </row>
    <row r="4327" spans="1:24" x14ac:dyDescent="0.25">
      <c r="A4327" s="45">
        <v>220210044589</v>
      </c>
      <c r="B4327" s="46" t="s">
        <v>204</v>
      </c>
      <c r="C4327" s="47">
        <v>44407</v>
      </c>
      <c r="D4327" s="45">
        <v>22021005036</v>
      </c>
      <c r="E4327" s="46" t="s">
        <v>1300</v>
      </c>
      <c r="F4327" s="48">
        <v>180486.09</v>
      </c>
      <c r="G4327" s="46" t="s">
        <v>608</v>
      </c>
      <c r="H4327" s="46" t="s">
        <v>5970</v>
      </c>
      <c r="I4327" s="45" t="s">
        <v>205</v>
      </c>
      <c r="J4327" s="46" t="s">
        <v>146</v>
      </c>
      <c r="K4327" s="46" t="s">
        <v>146</v>
      </c>
      <c r="L4327" s="46" t="s">
        <v>17</v>
      </c>
      <c r="M4327" s="46" t="s">
        <v>13</v>
      </c>
      <c r="N4327" s="46" t="s">
        <v>14</v>
      </c>
      <c r="O4327" s="49" t="s">
        <v>814</v>
      </c>
      <c r="P4327" s="49" t="s">
        <v>4910</v>
      </c>
      <c r="Q4327" s="35" t="str">
        <f>MID(Tabla1[[#This Row],[Aplicación]],14,1)</f>
        <v>2</v>
      </c>
      <c r="R4327" s="35" t="s">
        <v>495</v>
      </c>
      <c r="S4327" s="35" t="str">
        <f>MID(Tabla1[[#This Row],[Aplicación]],6,2)</f>
        <v>04</v>
      </c>
      <c r="T4327" s="35" t="str">
        <f>VLOOKUP(Tabla1[[#This Row],[AREA]],Hoja1!A:B,2,FALSE)</f>
        <v>04. Planificación y recursos</v>
      </c>
      <c r="U4327" s="35" t="str">
        <f>MID(Tabla1[[#This Row],[Aplicación]],9,4)</f>
        <v>9331</v>
      </c>
      <c r="V4327" s="35" t="str">
        <f>VLOOKUP(Tabla1[[#This Row],[PROGRAMA]],Hoja1!A:B,2,FALSE)</f>
        <v>9331. Gestión del patrimonio</v>
      </c>
      <c r="W4327" s="35" t="str">
        <f>MID(Tabla1[[#This Row],[Aplicación]],14,2)</f>
        <v>22</v>
      </c>
      <c r="X4327" s="35" t="str">
        <f>MID(Tabla1[[#This Row],[Aplicación]],14,6)</f>
        <v>224</v>
      </c>
    </row>
    <row r="4328" spans="1:24" x14ac:dyDescent="0.25">
      <c r="A4328" s="45">
        <v>220210057513</v>
      </c>
      <c r="B4328" s="46" t="s">
        <v>9</v>
      </c>
      <c r="C4328" s="47">
        <v>44456</v>
      </c>
      <c r="D4328" s="45">
        <v>22021006359</v>
      </c>
      <c r="E4328" s="46" t="s">
        <v>1724</v>
      </c>
      <c r="F4328" s="48">
        <v>290917.76000000001</v>
      </c>
      <c r="G4328" s="46" t="s">
        <v>3011</v>
      </c>
      <c r="H4328" s="46" t="s">
        <v>5971</v>
      </c>
      <c r="I4328" s="45" t="s">
        <v>125</v>
      </c>
      <c r="J4328" s="46" t="s">
        <v>127</v>
      </c>
      <c r="K4328" s="46" t="s">
        <v>127</v>
      </c>
      <c r="L4328" s="46" t="s">
        <v>31</v>
      </c>
      <c r="M4328" s="46" t="s">
        <v>13</v>
      </c>
      <c r="N4328" s="46" t="s">
        <v>14</v>
      </c>
      <c r="O4328" s="49" t="s">
        <v>803</v>
      </c>
      <c r="P4328" s="49" t="s">
        <v>4910</v>
      </c>
      <c r="Q4328" s="35" t="str">
        <f>MID(Tabla1[[#This Row],[Aplicación]],14,1)</f>
        <v>6</v>
      </c>
      <c r="R4328" s="35" t="s">
        <v>496</v>
      </c>
      <c r="S4328" s="35" t="str">
        <f>MID(Tabla1[[#This Row],[Aplicación]],6,2)</f>
        <v>07</v>
      </c>
      <c r="T4328" s="35" t="str">
        <f>VLOOKUP(Tabla1[[#This Row],[AREA]],Hoja1!A:B,2,FALSE)</f>
        <v>07. Medio ambiente y desarrollo sostenible</v>
      </c>
      <c r="U4328" s="35" t="str">
        <f>MID(Tabla1[[#This Row],[Aplicación]],9,4)</f>
        <v>1711</v>
      </c>
      <c r="V4328" s="35" t="str">
        <f>VLOOKUP(Tabla1[[#This Row],[PROGRAMA]],Hoja1!A:B,2,FALSE)</f>
        <v>1711. Parques y jardines</v>
      </c>
      <c r="W4328" s="35" t="str">
        <f>MID(Tabla1[[#This Row],[Aplicación]],14,2)</f>
        <v>61</v>
      </c>
      <c r="X4328" s="35" t="str">
        <f>MID(Tabla1[[#This Row],[Aplicación]],14,6)</f>
        <v>619</v>
      </c>
    </row>
    <row r="4329" spans="1:24" x14ac:dyDescent="0.25">
      <c r="A4329" s="45">
        <v>220210057701</v>
      </c>
      <c r="B4329" s="46" t="s">
        <v>9</v>
      </c>
      <c r="C4329" s="47">
        <v>44456</v>
      </c>
      <c r="D4329" s="45">
        <v>22021004943</v>
      </c>
      <c r="E4329" s="46" t="s">
        <v>1196</v>
      </c>
      <c r="F4329" s="48">
        <v>269366.78999999998</v>
      </c>
      <c r="G4329" s="46" t="s">
        <v>221</v>
      </c>
      <c r="H4329" s="46" t="s">
        <v>5972</v>
      </c>
      <c r="I4329" s="45" t="s">
        <v>216</v>
      </c>
      <c r="J4329" s="46" t="s">
        <v>565</v>
      </c>
      <c r="K4329" s="46" t="s">
        <v>126</v>
      </c>
      <c r="L4329" s="46" t="s">
        <v>12</v>
      </c>
      <c r="M4329" s="46" t="s">
        <v>13</v>
      </c>
      <c r="N4329" s="46" t="s">
        <v>14</v>
      </c>
      <c r="O4329" s="49" t="s">
        <v>803</v>
      </c>
      <c r="P4329" s="49" t="s">
        <v>4910</v>
      </c>
      <c r="Q4329" s="35" t="str">
        <f>MID(Tabla1[[#This Row],[Aplicación]],14,1)</f>
        <v>6</v>
      </c>
      <c r="R4329" s="35" t="s">
        <v>496</v>
      </c>
      <c r="S4329" s="35" t="str">
        <f>MID(Tabla1[[#This Row],[Aplicación]],6,2)</f>
        <v>08</v>
      </c>
      <c r="T4329" s="35" t="str">
        <f>VLOOKUP(Tabla1[[#This Row],[AREA]],Hoja1!A:B,2,FALSE)</f>
        <v>08. Movilidad y espacio urbano</v>
      </c>
      <c r="U4329" s="35" t="str">
        <f>MID(Tabla1[[#This Row],[Aplicación]],9,4)</f>
        <v>1341</v>
      </c>
      <c r="V4329" s="35" t="str">
        <f>VLOOKUP(Tabla1[[#This Row],[PROGRAMA]],Hoja1!A:B,2,FALSE)</f>
        <v>1341. Movilidad</v>
      </c>
      <c r="W4329" s="35" t="str">
        <f>MID(Tabla1[[#This Row],[Aplicación]],14,2)</f>
        <v>61</v>
      </c>
      <c r="X4329" s="35" t="str">
        <f>MID(Tabla1[[#This Row],[Aplicación]],14,6)</f>
        <v>619</v>
      </c>
    </row>
    <row r="4330" spans="1:24" x14ac:dyDescent="0.25">
      <c r="A4330" s="45">
        <v>220210059033</v>
      </c>
      <c r="B4330" s="46" t="s">
        <v>204</v>
      </c>
      <c r="C4330" s="47">
        <v>44463</v>
      </c>
      <c r="D4330" s="45">
        <v>22021004333</v>
      </c>
      <c r="E4330" s="46" t="s">
        <v>4911</v>
      </c>
      <c r="F4330" s="48">
        <v>268957.95</v>
      </c>
      <c r="G4330" s="46" t="s">
        <v>3483</v>
      </c>
      <c r="H4330" s="46" t="s">
        <v>5973</v>
      </c>
      <c r="I4330" s="45" t="s">
        <v>205</v>
      </c>
      <c r="J4330" s="46" t="s">
        <v>127</v>
      </c>
      <c r="K4330" s="46" t="s">
        <v>127</v>
      </c>
      <c r="L4330" s="46" t="s">
        <v>31</v>
      </c>
      <c r="M4330" s="46" t="s">
        <v>13</v>
      </c>
      <c r="N4330" s="46" t="s">
        <v>14</v>
      </c>
      <c r="O4330" s="49" t="s">
        <v>803</v>
      </c>
      <c r="P4330" s="49" t="s">
        <v>4910</v>
      </c>
      <c r="Q4330" s="35" t="str">
        <f>MID(Tabla1[[#This Row],[Aplicación]],14,1)</f>
        <v>6</v>
      </c>
      <c r="R4330" s="35" t="s">
        <v>496</v>
      </c>
      <c r="S4330" s="35" t="str">
        <f>MID(Tabla1[[#This Row],[Aplicación]],6,2)</f>
        <v>09</v>
      </c>
      <c r="T4330" s="35" t="str">
        <f>VLOOKUP(Tabla1[[#This Row],[AREA]],Hoja1!A:B,2,FALSE)</f>
        <v>09. Cultura y turismo</v>
      </c>
      <c r="U4330" s="35" t="str">
        <f>MID(Tabla1[[#This Row],[Aplicación]],9,4)</f>
        <v>3341</v>
      </c>
      <c r="V4330" s="35" t="str">
        <f>VLOOKUP(Tabla1[[#This Row],[PROGRAMA]],Hoja1!A:B,2,FALSE)</f>
        <v>3341. Coordinación de políticas culturales</v>
      </c>
      <c r="W4330" s="35" t="str">
        <f>MID(Tabla1[[#This Row],[Aplicación]],14,2)</f>
        <v>63</v>
      </c>
      <c r="X4330" s="35" t="str">
        <f>MID(Tabla1[[#This Row],[Aplicación]],14,6)</f>
        <v>632</v>
      </c>
    </row>
    <row r="4331" spans="1:24" x14ac:dyDescent="0.25">
      <c r="A4331" s="45">
        <v>220210058709</v>
      </c>
      <c r="B4331" s="46" t="s">
        <v>204</v>
      </c>
      <c r="C4331" s="47">
        <v>44461</v>
      </c>
      <c r="D4331" s="45">
        <v>22021002865</v>
      </c>
      <c r="E4331" s="46" t="s">
        <v>832</v>
      </c>
      <c r="F4331" s="48">
        <v>149531.79999999999</v>
      </c>
      <c r="G4331" s="46" t="s">
        <v>5974</v>
      </c>
      <c r="H4331" s="46" t="s">
        <v>5975</v>
      </c>
      <c r="I4331" s="45" t="s">
        <v>205</v>
      </c>
      <c r="J4331" s="46" t="s">
        <v>681</v>
      </c>
      <c r="K4331" s="46" t="s">
        <v>145</v>
      </c>
      <c r="L4331" s="46" t="s">
        <v>15</v>
      </c>
      <c r="M4331" s="46" t="s">
        <v>13</v>
      </c>
      <c r="N4331" s="46" t="s">
        <v>14</v>
      </c>
      <c r="O4331" s="49" t="s">
        <v>803</v>
      </c>
      <c r="P4331" s="49" t="s">
        <v>4910</v>
      </c>
      <c r="Q4331" s="35" t="str">
        <f>MID(Tabla1[[#This Row],[Aplicación]],14,1)</f>
        <v>2</v>
      </c>
      <c r="R4331" s="35" t="s">
        <v>495</v>
      </c>
      <c r="S4331" s="35" t="str">
        <f>MID(Tabla1[[#This Row],[Aplicación]],6,2)</f>
        <v>11</v>
      </c>
      <c r="T4331" s="35" t="str">
        <f>VLOOKUP(Tabla1[[#This Row],[AREA]],Hoja1!A:B,2,FALSE)</f>
        <v>11. Salud pública y seguridad ciudadana</v>
      </c>
      <c r="U4331" s="35" t="str">
        <f>MID(Tabla1[[#This Row],[Aplicación]],9,4)</f>
        <v>1321</v>
      </c>
      <c r="V4331" s="35" t="str">
        <f>VLOOKUP(Tabla1[[#This Row],[PROGRAMA]],Hoja1!A:B,2,FALSE)</f>
        <v>1321. Policía municipal</v>
      </c>
      <c r="W4331" s="35" t="str">
        <f>MID(Tabla1[[#This Row],[Aplicación]],14,2)</f>
        <v>22</v>
      </c>
      <c r="X4331" s="35" t="str">
        <f>MID(Tabla1[[#This Row],[Aplicación]],14,6)</f>
        <v>22104</v>
      </c>
    </row>
    <row r="4332" spans="1:24" x14ac:dyDescent="0.25">
      <c r="A4332" s="45">
        <v>220210057019</v>
      </c>
      <c r="B4332" s="46" t="s">
        <v>9</v>
      </c>
      <c r="C4332" s="47">
        <v>44456</v>
      </c>
      <c r="D4332" s="45">
        <v>22021004962</v>
      </c>
      <c r="E4332" s="46" t="s">
        <v>1671</v>
      </c>
      <c r="F4332" s="48">
        <v>85000</v>
      </c>
      <c r="G4332" s="46" t="s">
        <v>5976</v>
      </c>
      <c r="H4332" s="46" t="s">
        <v>5977</v>
      </c>
      <c r="I4332" s="45" t="s">
        <v>125</v>
      </c>
      <c r="J4332" s="46" t="s">
        <v>126</v>
      </c>
      <c r="K4332" s="46" t="s">
        <v>126</v>
      </c>
      <c r="L4332" s="46" t="s">
        <v>15</v>
      </c>
      <c r="M4332" s="46" t="s">
        <v>13</v>
      </c>
      <c r="N4332" s="46" t="s">
        <v>14</v>
      </c>
      <c r="O4332" s="49" t="s">
        <v>803</v>
      </c>
      <c r="P4332" s="49" t="s">
        <v>4910</v>
      </c>
      <c r="Q4332" s="35" t="str">
        <f>MID(Tabla1[[#This Row],[Aplicación]],14,1)</f>
        <v>2</v>
      </c>
      <c r="R4332" s="35" t="s">
        <v>495</v>
      </c>
      <c r="S4332" s="35" t="str">
        <f>MID(Tabla1[[#This Row],[Aplicación]],6,2)</f>
        <v>11</v>
      </c>
      <c r="T4332" s="35" t="str">
        <f>VLOOKUP(Tabla1[[#This Row],[AREA]],Hoja1!A:B,2,FALSE)</f>
        <v>11. Salud pública y seguridad ciudadana</v>
      </c>
      <c r="U4332" s="35" t="str">
        <f>MID(Tabla1[[#This Row],[Aplicación]],9,4)</f>
        <v>1621</v>
      </c>
      <c r="V4332" s="35" t="str">
        <f>VLOOKUP(Tabla1[[#This Row],[PROGRAMA]],Hoja1!A:B,2,FALSE)</f>
        <v>1621. Servicio de limpieza</v>
      </c>
      <c r="W4332" s="35" t="str">
        <f>MID(Tabla1[[#This Row],[Aplicación]],14,2)</f>
        <v>22</v>
      </c>
      <c r="X4332" s="35" t="str">
        <f>MID(Tabla1[[#This Row],[Aplicación]],14,6)</f>
        <v>22103</v>
      </c>
    </row>
    <row r="4333" spans="1:24" x14ac:dyDescent="0.25">
      <c r="A4333" s="45">
        <v>220210057514</v>
      </c>
      <c r="B4333" s="46" t="s">
        <v>9</v>
      </c>
      <c r="C4333" s="47">
        <v>44456</v>
      </c>
      <c r="D4333" s="45">
        <v>22021006362</v>
      </c>
      <c r="E4333" s="46" t="s">
        <v>1724</v>
      </c>
      <c r="F4333" s="48">
        <v>78100.3</v>
      </c>
      <c r="G4333" s="46" t="s">
        <v>3011</v>
      </c>
      <c r="H4333" s="46" t="s">
        <v>5978</v>
      </c>
      <c r="I4333" s="45" t="s">
        <v>125</v>
      </c>
      <c r="J4333" s="46" t="s">
        <v>127</v>
      </c>
      <c r="K4333" s="46" t="s">
        <v>127</v>
      </c>
      <c r="L4333" s="46" t="s">
        <v>31</v>
      </c>
      <c r="M4333" s="46" t="s">
        <v>13</v>
      </c>
      <c r="N4333" s="46" t="s">
        <v>14</v>
      </c>
      <c r="O4333" s="49" t="s">
        <v>803</v>
      </c>
      <c r="P4333" s="49" t="s">
        <v>4910</v>
      </c>
      <c r="Q4333" s="35" t="str">
        <f>MID(Tabla1[[#This Row],[Aplicación]],14,1)</f>
        <v>6</v>
      </c>
      <c r="R4333" s="35" t="s">
        <v>496</v>
      </c>
      <c r="S4333" s="35" t="str">
        <f>MID(Tabla1[[#This Row],[Aplicación]],6,2)</f>
        <v>07</v>
      </c>
      <c r="T4333" s="35" t="str">
        <f>VLOOKUP(Tabla1[[#This Row],[AREA]],Hoja1!A:B,2,FALSE)</f>
        <v>07. Medio ambiente y desarrollo sostenible</v>
      </c>
      <c r="U4333" s="35" t="str">
        <f>MID(Tabla1[[#This Row],[Aplicación]],9,4)</f>
        <v>1711</v>
      </c>
      <c r="V4333" s="35" t="str">
        <f>VLOOKUP(Tabla1[[#This Row],[PROGRAMA]],Hoja1!A:B,2,FALSE)</f>
        <v>1711. Parques y jardines</v>
      </c>
      <c r="W4333" s="35" t="str">
        <f>MID(Tabla1[[#This Row],[Aplicación]],14,2)</f>
        <v>61</v>
      </c>
      <c r="X4333" s="35" t="str">
        <f>MID(Tabla1[[#This Row],[Aplicación]],14,6)</f>
        <v>619</v>
      </c>
    </row>
    <row r="4334" spans="1:24" x14ac:dyDescent="0.25">
      <c r="A4334" s="45">
        <v>220210057512</v>
      </c>
      <c r="B4334" s="46" t="s">
        <v>9</v>
      </c>
      <c r="C4334" s="47">
        <v>44456</v>
      </c>
      <c r="D4334" s="45">
        <v>22021006356</v>
      </c>
      <c r="E4334" s="46" t="s">
        <v>5032</v>
      </c>
      <c r="F4334" s="48">
        <v>66722.320000000007</v>
      </c>
      <c r="G4334" s="46" t="s">
        <v>3011</v>
      </c>
      <c r="H4334" s="46" t="s">
        <v>5979</v>
      </c>
      <c r="I4334" s="45" t="s">
        <v>125</v>
      </c>
      <c r="J4334" s="46" t="s">
        <v>127</v>
      </c>
      <c r="K4334" s="46" t="s">
        <v>127</v>
      </c>
      <c r="L4334" s="46" t="s">
        <v>31</v>
      </c>
      <c r="M4334" s="46" t="s">
        <v>13</v>
      </c>
      <c r="N4334" s="46" t="s">
        <v>14</v>
      </c>
      <c r="O4334" s="49" t="s">
        <v>803</v>
      </c>
      <c r="P4334" s="49" t="s">
        <v>4910</v>
      </c>
      <c r="Q4334" s="35" t="str">
        <f>MID(Tabla1[[#This Row],[Aplicación]],14,1)</f>
        <v>6</v>
      </c>
      <c r="R4334" s="35" t="s">
        <v>496</v>
      </c>
      <c r="S4334" s="35" t="str">
        <f>MID(Tabla1[[#This Row],[Aplicación]],6,2)</f>
        <v>07</v>
      </c>
      <c r="T4334" s="35" t="str">
        <f>VLOOKUP(Tabla1[[#This Row],[AREA]],Hoja1!A:B,2,FALSE)</f>
        <v>07. Medio ambiente y desarrollo sostenible</v>
      </c>
      <c r="U4334" s="35" t="str">
        <f>MID(Tabla1[[#This Row],[Aplicación]],9,4)</f>
        <v>1711</v>
      </c>
      <c r="V4334" s="35" t="str">
        <f>VLOOKUP(Tabla1[[#This Row],[PROGRAMA]],Hoja1!A:B,2,FALSE)</f>
        <v>1711. Parques y jardines</v>
      </c>
      <c r="W4334" s="35" t="str">
        <f>MID(Tabla1[[#This Row],[Aplicación]],14,2)</f>
        <v>63</v>
      </c>
      <c r="X4334" s="35" t="str">
        <f>MID(Tabla1[[#This Row],[Aplicación]],14,6)</f>
        <v>632</v>
      </c>
    </row>
    <row r="4335" spans="1:24" x14ac:dyDescent="0.25">
      <c r="A4335" s="45">
        <v>220210058313</v>
      </c>
      <c r="B4335" s="46" t="s">
        <v>204</v>
      </c>
      <c r="C4335" s="47">
        <v>44460</v>
      </c>
      <c r="D4335" s="45">
        <v>22021003739</v>
      </c>
      <c r="E4335" s="46" t="s">
        <v>1483</v>
      </c>
      <c r="F4335" s="48">
        <v>59221.78</v>
      </c>
      <c r="G4335" s="46" t="s">
        <v>5980</v>
      </c>
      <c r="H4335" s="46" t="s">
        <v>5981</v>
      </c>
      <c r="I4335" s="45" t="s">
        <v>205</v>
      </c>
      <c r="J4335" s="46" t="s">
        <v>127</v>
      </c>
      <c r="K4335" s="46" t="s">
        <v>127</v>
      </c>
      <c r="L4335" s="46" t="s">
        <v>31</v>
      </c>
      <c r="M4335" s="46" t="s">
        <v>13</v>
      </c>
      <c r="N4335" s="46" t="s">
        <v>16</v>
      </c>
      <c r="O4335" s="49" t="s">
        <v>803</v>
      </c>
      <c r="P4335" s="49" t="s">
        <v>4910</v>
      </c>
      <c r="Q4335" s="35" t="str">
        <f>MID(Tabla1[[#This Row],[Aplicación]],14,1)</f>
        <v>6</v>
      </c>
      <c r="R4335" s="35" t="s">
        <v>496</v>
      </c>
      <c r="S4335" s="35" t="str">
        <f>MID(Tabla1[[#This Row],[Aplicación]],6,2)</f>
        <v>03</v>
      </c>
      <c r="T4335" s="35" t="str">
        <f>VLOOKUP(Tabla1[[#This Row],[AREA]],Hoja1!A:B,2,FALSE)</f>
        <v>03. Participación ciudadana y deportes</v>
      </c>
      <c r="U4335" s="35" t="str">
        <f>MID(Tabla1[[#This Row],[Aplicación]],9,4)</f>
        <v>9241</v>
      </c>
      <c r="V4335" s="35" t="str">
        <f>VLOOKUP(Tabla1[[#This Row],[PROGRAMA]],Hoja1!A:B,2,FALSE)</f>
        <v>9241. Participación ciudadana</v>
      </c>
      <c r="W4335" s="35" t="str">
        <f>MID(Tabla1[[#This Row],[Aplicación]],14,2)</f>
        <v>63</v>
      </c>
      <c r="X4335" s="35" t="str">
        <f>MID(Tabla1[[#This Row],[Aplicación]],14,6)</f>
        <v>632</v>
      </c>
    </row>
    <row r="4336" spans="1:24" x14ac:dyDescent="0.25">
      <c r="A4336" s="45">
        <v>220210058712</v>
      </c>
      <c r="B4336" s="46" t="s">
        <v>204</v>
      </c>
      <c r="C4336" s="47">
        <v>44461</v>
      </c>
      <c r="D4336" s="45">
        <v>22021002865</v>
      </c>
      <c r="E4336" s="46" t="s">
        <v>832</v>
      </c>
      <c r="F4336" s="48">
        <v>48400</v>
      </c>
      <c r="G4336" s="46" t="s">
        <v>5982</v>
      </c>
      <c r="H4336" s="46" t="s">
        <v>5983</v>
      </c>
      <c r="I4336" s="45" t="s">
        <v>205</v>
      </c>
      <c r="J4336" s="46" t="s">
        <v>5984</v>
      </c>
      <c r="K4336" s="46" t="s">
        <v>187</v>
      </c>
      <c r="L4336" s="46" t="s">
        <v>15</v>
      </c>
      <c r="M4336" s="46" t="s">
        <v>13</v>
      </c>
      <c r="N4336" s="46" t="s">
        <v>14</v>
      </c>
      <c r="O4336" s="49" t="s">
        <v>803</v>
      </c>
      <c r="P4336" s="49" t="s">
        <v>4910</v>
      </c>
      <c r="Q4336" s="35" t="str">
        <f>MID(Tabla1[[#This Row],[Aplicación]],14,1)</f>
        <v>2</v>
      </c>
      <c r="R4336" s="35" t="s">
        <v>495</v>
      </c>
      <c r="S4336" s="35" t="str">
        <f>MID(Tabla1[[#This Row],[Aplicación]],6,2)</f>
        <v>11</v>
      </c>
      <c r="T4336" s="35" t="str">
        <f>VLOOKUP(Tabla1[[#This Row],[AREA]],Hoja1!A:B,2,FALSE)</f>
        <v>11. Salud pública y seguridad ciudadana</v>
      </c>
      <c r="U4336" s="35" t="str">
        <f>MID(Tabla1[[#This Row],[Aplicación]],9,4)</f>
        <v>1321</v>
      </c>
      <c r="V4336" s="35" t="str">
        <f>VLOOKUP(Tabla1[[#This Row],[PROGRAMA]],Hoja1!A:B,2,FALSE)</f>
        <v>1321. Policía municipal</v>
      </c>
      <c r="W4336" s="35" t="str">
        <f>MID(Tabla1[[#This Row],[Aplicación]],14,2)</f>
        <v>22</v>
      </c>
      <c r="X4336" s="35" t="str">
        <f>MID(Tabla1[[#This Row],[Aplicación]],14,6)</f>
        <v>22104</v>
      </c>
    </row>
    <row r="4337" spans="1:24" x14ac:dyDescent="0.25">
      <c r="A4337" s="45">
        <v>220210057695</v>
      </c>
      <c r="B4337" s="46" t="s">
        <v>9</v>
      </c>
      <c r="C4337" s="47">
        <v>44456</v>
      </c>
      <c r="D4337" s="45">
        <v>22021005977</v>
      </c>
      <c r="E4337" s="46" t="s">
        <v>2590</v>
      </c>
      <c r="F4337" s="48">
        <v>26143</v>
      </c>
      <c r="G4337" s="46" t="s">
        <v>121</v>
      </c>
      <c r="H4337" s="46" t="s">
        <v>5985</v>
      </c>
      <c r="I4337" s="45" t="s">
        <v>125</v>
      </c>
      <c r="J4337" s="46" t="s">
        <v>664</v>
      </c>
      <c r="K4337" s="46" t="s">
        <v>127</v>
      </c>
      <c r="L4337" s="46" t="s">
        <v>12</v>
      </c>
      <c r="M4337" s="46" t="s">
        <v>13</v>
      </c>
      <c r="N4337" s="46" t="s">
        <v>14</v>
      </c>
      <c r="O4337" s="49" t="s">
        <v>814</v>
      </c>
      <c r="P4337" s="49" t="s">
        <v>4910</v>
      </c>
      <c r="Q4337" s="35" t="str">
        <f>MID(Tabla1[[#This Row],[Aplicación]],14,1)</f>
        <v>6</v>
      </c>
      <c r="R4337" s="35" t="s">
        <v>496</v>
      </c>
      <c r="S4337" s="35" t="str">
        <f>MID(Tabla1[[#This Row],[Aplicación]],6,2)</f>
        <v>02</v>
      </c>
      <c r="T4337" s="35" t="str">
        <f>VLOOKUP(Tabla1[[#This Row],[AREA]],Hoja1!A:B,2,FALSE)</f>
        <v>02. Planeamiento urbanístico y vivienda</v>
      </c>
      <c r="U4337" s="35" t="str">
        <f>MID(Tabla1[[#This Row],[Aplicación]],9,4)</f>
        <v>1511</v>
      </c>
      <c r="V4337" s="35" t="str">
        <f>VLOOKUP(Tabla1[[#This Row],[PROGRAMA]],Hoja1!A:B,2,FALSE)</f>
        <v>1511. Planficación y gestión del urbanismo</v>
      </c>
      <c r="W4337" s="35" t="str">
        <f>MID(Tabla1[[#This Row],[Aplicación]],14,2)</f>
        <v>60</v>
      </c>
      <c r="X4337" s="35" t="str">
        <f>MID(Tabla1[[#This Row],[Aplicación]],14,6)</f>
        <v>609</v>
      </c>
    </row>
    <row r="4338" spans="1:24" x14ac:dyDescent="0.25">
      <c r="A4338" s="45">
        <v>220210058711</v>
      </c>
      <c r="B4338" s="46" t="s">
        <v>204</v>
      </c>
      <c r="C4338" s="47">
        <v>44461</v>
      </c>
      <c r="D4338" s="45">
        <v>22021002865</v>
      </c>
      <c r="E4338" s="46" t="s">
        <v>832</v>
      </c>
      <c r="F4338" s="48">
        <v>24835.25</v>
      </c>
      <c r="G4338" s="46" t="s">
        <v>122</v>
      </c>
      <c r="H4338" s="46" t="s">
        <v>5986</v>
      </c>
      <c r="I4338" s="45" t="s">
        <v>205</v>
      </c>
      <c r="J4338" s="46" t="s">
        <v>127</v>
      </c>
      <c r="K4338" s="46" t="s">
        <v>127</v>
      </c>
      <c r="L4338" s="46" t="s">
        <v>15</v>
      </c>
      <c r="M4338" s="46" t="s">
        <v>13</v>
      </c>
      <c r="N4338" s="46" t="s">
        <v>14</v>
      </c>
      <c r="O4338" s="49" t="s">
        <v>803</v>
      </c>
      <c r="P4338" s="49" t="s">
        <v>4910</v>
      </c>
      <c r="Q4338" s="35" t="str">
        <f>MID(Tabla1[[#This Row],[Aplicación]],14,1)</f>
        <v>2</v>
      </c>
      <c r="R4338" s="35" t="s">
        <v>495</v>
      </c>
      <c r="S4338" s="35" t="str">
        <f>MID(Tabla1[[#This Row],[Aplicación]],6,2)</f>
        <v>11</v>
      </c>
      <c r="T4338" s="35" t="str">
        <f>VLOOKUP(Tabla1[[#This Row],[AREA]],Hoja1!A:B,2,FALSE)</f>
        <v>11. Salud pública y seguridad ciudadana</v>
      </c>
      <c r="U4338" s="35" t="str">
        <f>MID(Tabla1[[#This Row],[Aplicación]],9,4)</f>
        <v>1321</v>
      </c>
      <c r="V4338" s="35" t="str">
        <f>VLOOKUP(Tabla1[[#This Row],[PROGRAMA]],Hoja1!A:B,2,FALSE)</f>
        <v>1321. Policía municipal</v>
      </c>
      <c r="W4338" s="35" t="str">
        <f>MID(Tabla1[[#This Row],[Aplicación]],14,2)</f>
        <v>22</v>
      </c>
      <c r="X4338" s="35" t="str">
        <f>MID(Tabla1[[#This Row],[Aplicación]],14,6)</f>
        <v>22104</v>
      </c>
    </row>
    <row r="4339" spans="1:24" x14ac:dyDescent="0.25">
      <c r="A4339" s="45">
        <v>220210059034</v>
      </c>
      <c r="B4339" s="46" t="s">
        <v>204</v>
      </c>
      <c r="C4339" s="47">
        <v>44463</v>
      </c>
      <c r="D4339" s="45">
        <v>22021004335</v>
      </c>
      <c r="E4339" s="46" t="s">
        <v>4911</v>
      </c>
      <c r="F4339" s="48">
        <v>836.36</v>
      </c>
      <c r="G4339" s="46" t="s">
        <v>764</v>
      </c>
      <c r="H4339" s="46" t="s">
        <v>5987</v>
      </c>
      <c r="I4339" s="45" t="s">
        <v>205</v>
      </c>
      <c r="J4339" s="46" t="s">
        <v>127</v>
      </c>
      <c r="K4339" s="46" t="s">
        <v>127</v>
      </c>
      <c r="L4339" s="46" t="s">
        <v>12</v>
      </c>
      <c r="M4339" s="46" t="s">
        <v>13</v>
      </c>
      <c r="N4339" s="46" t="s">
        <v>14</v>
      </c>
      <c r="O4339" s="49" t="s">
        <v>814</v>
      </c>
      <c r="P4339" s="49" t="s">
        <v>4910</v>
      </c>
      <c r="Q4339" s="35" t="str">
        <f>MID(Tabla1[[#This Row],[Aplicación]],14,1)</f>
        <v>6</v>
      </c>
      <c r="R4339" s="35" t="s">
        <v>496</v>
      </c>
      <c r="S4339" s="35" t="str">
        <f>MID(Tabla1[[#This Row],[Aplicación]],6,2)</f>
        <v>09</v>
      </c>
      <c r="T4339" s="35" t="str">
        <f>VLOOKUP(Tabla1[[#This Row],[AREA]],Hoja1!A:B,2,FALSE)</f>
        <v>09. Cultura y turismo</v>
      </c>
      <c r="U4339" s="35" t="str">
        <f>MID(Tabla1[[#This Row],[Aplicación]],9,4)</f>
        <v>3341</v>
      </c>
      <c r="V4339" s="35" t="str">
        <f>VLOOKUP(Tabla1[[#This Row],[PROGRAMA]],Hoja1!A:B,2,FALSE)</f>
        <v>3341. Coordinación de políticas culturales</v>
      </c>
      <c r="W4339" s="35" t="str">
        <f>MID(Tabla1[[#This Row],[Aplicación]],14,2)</f>
        <v>63</v>
      </c>
      <c r="X4339" s="35" t="str">
        <f>MID(Tabla1[[#This Row],[Aplicación]],14,6)</f>
        <v>632</v>
      </c>
    </row>
    <row r="4340" spans="1:24" x14ac:dyDescent="0.25">
      <c r="A4340" s="45">
        <v>220210058713</v>
      </c>
      <c r="B4340" s="46" t="s">
        <v>204</v>
      </c>
      <c r="C4340" s="47">
        <v>44461</v>
      </c>
      <c r="D4340" s="45">
        <v>22021002865</v>
      </c>
      <c r="E4340" s="46" t="s">
        <v>832</v>
      </c>
      <c r="F4340" s="48">
        <v>23080.75</v>
      </c>
      <c r="G4340" s="46" t="s">
        <v>5988</v>
      </c>
      <c r="H4340" s="46" t="s">
        <v>5989</v>
      </c>
      <c r="I4340" s="45" t="s">
        <v>205</v>
      </c>
      <c r="J4340" s="46" t="s">
        <v>822</v>
      </c>
      <c r="K4340" s="46" t="s">
        <v>822</v>
      </c>
      <c r="L4340" s="46" t="s">
        <v>15</v>
      </c>
      <c r="M4340" s="46" t="s">
        <v>13</v>
      </c>
      <c r="N4340" s="46" t="s">
        <v>14</v>
      </c>
      <c r="O4340" s="49" t="s">
        <v>803</v>
      </c>
      <c r="P4340" s="49" t="s">
        <v>4910</v>
      </c>
      <c r="Q4340" s="35" t="str">
        <f>MID(Tabla1[[#This Row],[Aplicación]],14,1)</f>
        <v>2</v>
      </c>
      <c r="R4340" s="35" t="s">
        <v>495</v>
      </c>
      <c r="S4340" s="35" t="str">
        <f>MID(Tabla1[[#This Row],[Aplicación]],6,2)</f>
        <v>11</v>
      </c>
      <c r="T4340" s="35" t="str">
        <f>VLOOKUP(Tabla1[[#This Row],[AREA]],Hoja1!A:B,2,FALSE)</f>
        <v>11. Salud pública y seguridad ciudadana</v>
      </c>
      <c r="U4340" s="35" t="str">
        <f>MID(Tabla1[[#This Row],[Aplicación]],9,4)</f>
        <v>1321</v>
      </c>
      <c r="V4340" s="35" t="str">
        <f>VLOOKUP(Tabla1[[#This Row],[PROGRAMA]],Hoja1!A:B,2,FALSE)</f>
        <v>1321. Policía municipal</v>
      </c>
      <c r="W4340" s="35" t="str">
        <f>MID(Tabla1[[#This Row],[Aplicación]],14,2)</f>
        <v>22</v>
      </c>
      <c r="X4340" s="35" t="str">
        <f>MID(Tabla1[[#This Row],[Aplicación]],14,6)</f>
        <v>22104</v>
      </c>
    </row>
    <row r="4341" spans="1:24" x14ac:dyDescent="0.25">
      <c r="A4341" s="45">
        <v>220210058715</v>
      </c>
      <c r="B4341" s="46" t="s">
        <v>204</v>
      </c>
      <c r="C4341" s="47">
        <v>44461</v>
      </c>
      <c r="D4341" s="45">
        <v>22021002865</v>
      </c>
      <c r="E4341" s="46" t="s">
        <v>832</v>
      </c>
      <c r="F4341" s="48">
        <v>19753.25</v>
      </c>
      <c r="G4341" s="46" t="s">
        <v>122</v>
      </c>
      <c r="H4341" s="46" t="s">
        <v>5990</v>
      </c>
      <c r="I4341" s="45" t="s">
        <v>205</v>
      </c>
      <c r="J4341" s="46" t="s">
        <v>127</v>
      </c>
      <c r="K4341" s="46" t="s">
        <v>127</v>
      </c>
      <c r="L4341" s="46" t="s">
        <v>15</v>
      </c>
      <c r="M4341" s="46" t="s">
        <v>13</v>
      </c>
      <c r="N4341" s="46" t="s">
        <v>14</v>
      </c>
      <c r="O4341" s="49" t="s">
        <v>803</v>
      </c>
      <c r="P4341" s="49" t="s">
        <v>4910</v>
      </c>
      <c r="Q4341" s="35" t="str">
        <f>MID(Tabla1[[#This Row],[Aplicación]],14,1)</f>
        <v>2</v>
      </c>
      <c r="R4341" s="35" t="s">
        <v>495</v>
      </c>
      <c r="S4341" s="35" t="str">
        <f>MID(Tabla1[[#This Row],[Aplicación]],6,2)</f>
        <v>11</v>
      </c>
      <c r="T4341" s="35" t="str">
        <f>VLOOKUP(Tabla1[[#This Row],[AREA]],Hoja1!A:B,2,FALSE)</f>
        <v>11. Salud pública y seguridad ciudadana</v>
      </c>
      <c r="U4341" s="35" t="str">
        <f>MID(Tabla1[[#This Row],[Aplicación]],9,4)</f>
        <v>1321</v>
      </c>
      <c r="V4341" s="35" t="str">
        <f>VLOOKUP(Tabla1[[#This Row],[PROGRAMA]],Hoja1!A:B,2,FALSE)</f>
        <v>1321. Policía municipal</v>
      </c>
      <c r="W4341" s="35" t="str">
        <f>MID(Tabla1[[#This Row],[Aplicación]],14,2)</f>
        <v>22</v>
      </c>
      <c r="X4341" s="35" t="str">
        <f>MID(Tabla1[[#This Row],[Aplicación]],14,6)</f>
        <v>22104</v>
      </c>
    </row>
    <row r="4342" spans="1:24" x14ac:dyDescent="0.25">
      <c r="A4342" s="45">
        <v>220210058580</v>
      </c>
      <c r="B4342" s="46" t="s">
        <v>9</v>
      </c>
      <c r="C4342" s="47">
        <v>44461</v>
      </c>
      <c r="D4342" s="45">
        <v>22021005161</v>
      </c>
      <c r="E4342" s="46" t="s">
        <v>1487</v>
      </c>
      <c r="F4342" s="48">
        <v>19176.47</v>
      </c>
      <c r="G4342" s="46" t="s">
        <v>121</v>
      </c>
      <c r="H4342" s="46" t="s">
        <v>5991</v>
      </c>
      <c r="I4342" s="45" t="s">
        <v>125</v>
      </c>
      <c r="J4342" s="46" t="s">
        <v>664</v>
      </c>
      <c r="K4342" s="46" t="s">
        <v>127</v>
      </c>
      <c r="L4342" s="46" t="s">
        <v>12</v>
      </c>
      <c r="M4342" s="46" t="s">
        <v>13</v>
      </c>
      <c r="N4342" s="46" t="s">
        <v>14</v>
      </c>
      <c r="O4342" s="49" t="s">
        <v>814</v>
      </c>
      <c r="P4342" s="49" t="s">
        <v>4910</v>
      </c>
      <c r="Q4342" s="35" t="str">
        <f>MID(Tabla1[[#This Row],[Aplicación]],14,1)</f>
        <v>6</v>
      </c>
      <c r="R4342" s="35" t="s">
        <v>496</v>
      </c>
      <c r="S4342" s="35" t="str">
        <f>MID(Tabla1[[#This Row],[Aplicación]],6,2)</f>
        <v>08</v>
      </c>
      <c r="T4342" s="35" t="str">
        <f>VLOOKUP(Tabla1[[#This Row],[AREA]],Hoja1!A:B,2,FALSE)</f>
        <v>08. Movilidad y espacio urbano</v>
      </c>
      <c r="U4342" s="35" t="str">
        <f>MID(Tabla1[[#This Row],[Aplicación]],9,4)</f>
        <v>1532</v>
      </c>
      <c r="V4342" s="35" t="str">
        <f>VLOOKUP(Tabla1[[#This Row],[PROGRAMA]],Hoja1!A:B,2,FALSE)</f>
        <v>1532. Pavimentación vias públicas y otros servicios urbanísticos</v>
      </c>
      <c r="W4342" s="35" t="str">
        <f>MID(Tabla1[[#This Row],[Aplicación]],14,2)</f>
        <v>61</v>
      </c>
      <c r="X4342" s="35" t="str">
        <f>MID(Tabla1[[#This Row],[Aplicación]],14,6)</f>
        <v>619</v>
      </c>
    </row>
    <row r="4343" spans="1:24" x14ac:dyDescent="0.25">
      <c r="A4343" s="45">
        <v>220210058710</v>
      </c>
      <c r="B4343" s="46" t="s">
        <v>204</v>
      </c>
      <c r="C4343" s="47">
        <v>44461</v>
      </c>
      <c r="D4343" s="45">
        <v>22021002865</v>
      </c>
      <c r="E4343" s="46" t="s">
        <v>832</v>
      </c>
      <c r="F4343" s="48">
        <v>18376.87</v>
      </c>
      <c r="G4343" s="46" t="s">
        <v>122</v>
      </c>
      <c r="H4343" s="46" t="s">
        <v>5992</v>
      </c>
      <c r="I4343" s="45" t="s">
        <v>205</v>
      </c>
      <c r="J4343" s="46" t="s">
        <v>127</v>
      </c>
      <c r="K4343" s="46" t="s">
        <v>127</v>
      </c>
      <c r="L4343" s="46" t="s">
        <v>15</v>
      </c>
      <c r="M4343" s="46" t="s">
        <v>13</v>
      </c>
      <c r="N4343" s="46" t="s">
        <v>14</v>
      </c>
      <c r="O4343" s="49" t="s">
        <v>803</v>
      </c>
      <c r="P4343" s="49" t="s">
        <v>4910</v>
      </c>
      <c r="Q4343" s="35" t="str">
        <f>MID(Tabla1[[#This Row],[Aplicación]],14,1)</f>
        <v>2</v>
      </c>
      <c r="R4343" s="35" t="s">
        <v>495</v>
      </c>
      <c r="S4343" s="35" t="str">
        <f>MID(Tabla1[[#This Row],[Aplicación]],6,2)</f>
        <v>11</v>
      </c>
      <c r="T4343" s="35" t="str">
        <f>VLOOKUP(Tabla1[[#This Row],[AREA]],Hoja1!A:B,2,FALSE)</f>
        <v>11. Salud pública y seguridad ciudadana</v>
      </c>
      <c r="U4343" s="35" t="str">
        <f>MID(Tabla1[[#This Row],[Aplicación]],9,4)</f>
        <v>1321</v>
      </c>
      <c r="V4343" s="35" t="str">
        <f>VLOOKUP(Tabla1[[#This Row],[PROGRAMA]],Hoja1!A:B,2,FALSE)</f>
        <v>1321. Policía municipal</v>
      </c>
      <c r="W4343" s="35" t="str">
        <f>MID(Tabla1[[#This Row],[Aplicación]],14,2)</f>
        <v>22</v>
      </c>
      <c r="X4343" s="35" t="str">
        <f>MID(Tabla1[[#This Row],[Aplicación]],14,6)</f>
        <v>22104</v>
      </c>
    </row>
    <row r="4344" spans="1:24" x14ac:dyDescent="0.25">
      <c r="A4344" s="45">
        <v>220210058788</v>
      </c>
      <c r="B4344" s="46" t="s">
        <v>204</v>
      </c>
      <c r="C4344" s="47">
        <v>44462</v>
      </c>
      <c r="D4344" s="45">
        <v>22021001275</v>
      </c>
      <c r="E4344" s="46" t="s">
        <v>1334</v>
      </c>
      <c r="F4344" s="48">
        <v>1433.8</v>
      </c>
      <c r="G4344" s="46" t="s">
        <v>2907</v>
      </c>
      <c r="H4344" s="46" t="s">
        <v>2908</v>
      </c>
      <c r="I4344" s="45" t="s">
        <v>205</v>
      </c>
      <c r="J4344" s="46" t="s">
        <v>2909</v>
      </c>
      <c r="K4344" s="46" t="s">
        <v>127</v>
      </c>
      <c r="L4344" s="46" t="s">
        <v>15</v>
      </c>
      <c r="M4344" s="46" t="s">
        <v>13</v>
      </c>
      <c r="N4344" s="46" t="s">
        <v>14</v>
      </c>
      <c r="O4344" s="49" t="s">
        <v>814</v>
      </c>
      <c r="P4344" s="49" t="s">
        <v>4910</v>
      </c>
      <c r="Q4344" s="35" t="str">
        <f>MID(Tabla1[[#This Row],[Aplicación]],14,1)</f>
        <v>2</v>
      </c>
      <c r="R4344" s="35" t="s">
        <v>495</v>
      </c>
      <c r="S4344" s="35" t="str">
        <f>MID(Tabla1[[#This Row],[Aplicación]],6,2)</f>
        <v>07</v>
      </c>
      <c r="T4344" s="35" t="str">
        <f>VLOOKUP(Tabla1[[#This Row],[AREA]],Hoja1!A:B,2,FALSE)</f>
        <v>07. Medio ambiente y desarrollo sostenible</v>
      </c>
      <c r="U4344" s="35" t="str">
        <f>MID(Tabla1[[#This Row],[Aplicación]],9,4)</f>
        <v>1711</v>
      </c>
      <c r="V4344" s="35" t="str">
        <f>VLOOKUP(Tabla1[[#This Row],[PROGRAMA]],Hoja1!A:B,2,FALSE)</f>
        <v>1711. Parques y jardines</v>
      </c>
      <c r="W4344" s="35" t="str">
        <f>MID(Tabla1[[#This Row],[Aplicación]],14,2)</f>
        <v>22</v>
      </c>
      <c r="X4344" s="35" t="str">
        <f>MID(Tabla1[[#This Row],[Aplicación]],14,6)</f>
        <v>22199</v>
      </c>
    </row>
    <row r="4345" spans="1:24" x14ac:dyDescent="0.25">
      <c r="A4345" s="45">
        <v>220210059125</v>
      </c>
      <c r="B4345" s="46" t="s">
        <v>204</v>
      </c>
      <c r="C4345" s="47">
        <v>44466</v>
      </c>
      <c r="D4345" s="45">
        <v>22021004537</v>
      </c>
      <c r="E4345" s="46" t="s">
        <v>2590</v>
      </c>
      <c r="F4345" s="48">
        <v>17878.490000000002</v>
      </c>
      <c r="G4345" s="46" t="s">
        <v>3889</v>
      </c>
      <c r="H4345" s="46" t="s">
        <v>5993</v>
      </c>
      <c r="I4345" s="45" t="s">
        <v>205</v>
      </c>
      <c r="J4345" s="46" t="s">
        <v>203</v>
      </c>
      <c r="K4345" s="46" t="s">
        <v>203</v>
      </c>
      <c r="L4345" s="46" t="s">
        <v>12</v>
      </c>
      <c r="M4345" s="46" t="s">
        <v>13</v>
      </c>
      <c r="N4345" s="46" t="s">
        <v>14</v>
      </c>
      <c r="O4345" s="49" t="s">
        <v>803</v>
      </c>
      <c r="P4345" s="49" t="s">
        <v>4910</v>
      </c>
      <c r="Q4345" s="35" t="str">
        <f>MID(Tabla1[[#This Row],[Aplicación]],14,1)</f>
        <v>6</v>
      </c>
      <c r="R4345" s="35" t="s">
        <v>496</v>
      </c>
      <c r="S4345" s="35" t="str">
        <f>MID(Tabla1[[#This Row],[Aplicación]],6,2)</f>
        <v>02</v>
      </c>
      <c r="T4345" s="35" t="str">
        <f>VLOOKUP(Tabla1[[#This Row],[AREA]],Hoja1!A:B,2,FALSE)</f>
        <v>02. Planeamiento urbanístico y vivienda</v>
      </c>
      <c r="U4345" s="35" t="str">
        <f>MID(Tabla1[[#This Row],[Aplicación]],9,4)</f>
        <v>1511</v>
      </c>
      <c r="V4345" s="35" t="str">
        <f>VLOOKUP(Tabla1[[#This Row],[PROGRAMA]],Hoja1!A:B,2,FALSE)</f>
        <v>1511. Planficación y gestión del urbanismo</v>
      </c>
      <c r="W4345" s="35" t="str">
        <f>MID(Tabla1[[#This Row],[Aplicación]],14,2)</f>
        <v>60</v>
      </c>
      <c r="X4345" s="35" t="str">
        <f>MID(Tabla1[[#This Row],[Aplicación]],14,6)</f>
        <v>609</v>
      </c>
    </row>
    <row r="4346" spans="1:24" x14ac:dyDescent="0.25">
      <c r="A4346" s="45">
        <v>220210058920</v>
      </c>
      <c r="B4346" s="46" t="s">
        <v>9</v>
      </c>
      <c r="C4346" s="47">
        <v>44462</v>
      </c>
      <c r="D4346" s="45">
        <v>22021005975</v>
      </c>
      <c r="E4346" s="46" t="s">
        <v>2590</v>
      </c>
      <c r="F4346" s="48">
        <v>17404</v>
      </c>
      <c r="G4346" s="46" t="s">
        <v>5994</v>
      </c>
      <c r="H4346" s="46" t="s">
        <v>5995</v>
      </c>
      <c r="I4346" s="45" t="s">
        <v>125</v>
      </c>
      <c r="J4346" s="46" t="s">
        <v>127</v>
      </c>
      <c r="K4346" s="46" t="s">
        <v>127</v>
      </c>
      <c r="L4346" s="46" t="s">
        <v>12</v>
      </c>
      <c r="M4346" s="46" t="s">
        <v>13</v>
      </c>
      <c r="N4346" s="46" t="s">
        <v>14</v>
      </c>
      <c r="O4346" s="49" t="s">
        <v>814</v>
      </c>
      <c r="P4346" s="49" t="s">
        <v>4910</v>
      </c>
      <c r="Q4346" s="35" t="str">
        <f>MID(Tabla1[[#This Row],[Aplicación]],14,1)</f>
        <v>6</v>
      </c>
      <c r="R4346" s="35" t="s">
        <v>496</v>
      </c>
      <c r="S4346" s="35" t="str">
        <f>MID(Tabla1[[#This Row],[Aplicación]],6,2)</f>
        <v>02</v>
      </c>
      <c r="T4346" s="35" t="str">
        <f>VLOOKUP(Tabla1[[#This Row],[AREA]],Hoja1!A:B,2,FALSE)</f>
        <v>02. Planeamiento urbanístico y vivienda</v>
      </c>
      <c r="U4346" s="35" t="str">
        <f>MID(Tabla1[[#This Row],[Aplicación]],9,4)</f>
        <v>1511</v>
      </c>
      <c r="V4346" s="35" t="str">
        <f>VLOOKUP(Tabla1[[#This Row],[PROGRAMA]],Hoja1!A:B,2,FALSE)</f>
        <v>1511. Planficación y gestión del urbanismo</v>
      </c>
      <c r="W4346" s="35" t="str">
        <f>MID(Tabla1[[#This Row],[Aplicación]],14,2)</f>
        <v>60</v>
      </c>
      <c r="X4346" s="35" t="str">
        <f>MID(Tabla1[[#This Row],[Aplicación]],14,6)</f>
        <v>609</v>
      </c>
    </row>
    <row r="4347" spans="1:24" x14ac:dyDescent="0.25">
      <c r="A4347" s="45">
        <v>220210059129</v>
      </c>
      <c r="B4347" s="46" t="s">
        <v>32</v>
      </c>
      <c r="C4347" s="47">
        <v>44466</v>
      </c>
      <c r="D4347" s="45">
        <v>22021006631</v>
      </c>
      <c r="E4347" s="46" t="s">
        <v>3311</v>
      </c>
      <c r="F4347" s="48">
        <v>30.13</v>
      </c>
      <c r="G4347" s="46" t="s">
        <v>764</v>
      </c>
      <c r="H4347" s="46" t="s">
        <v>5996</v>
      </c>
      <c r="I4347" s="45" t="s">
        <v>234</v>
      </c>
      <c r="J4347" s="46" t="s">
        <v>127</v>
      </c>
      <c r="K4347" s="46" t="s">
        <v>127</v>
      </c>
      <c r="L4347" s="46" t="s">
        <v>12</v>
      </c>
      <c r="M4347" s="46" t="s">
        <v>13</v>
      </c>
      <c r="N4347" s="46" t="s">
        <v>14</v>
      </c>
      <c r="O4347" s="49" t="s">
        <v>814</v>
      </c>
      <c r="P4347" s="49" t="s">
        <v>4910</v>
      </c>
      <c r="Q4347" s="35" t="str">
        <f>MID(Tabla1[[#This Row],[Aplicación]],14,1)</f>
        <v>8</v>
      </c>
      <c r="R4347" s="35" t="s">
        <v>497</v>
      </c>
      <c r="S4347" s="35" t="str">
        <f>MID(Tabla1[[#This Row],[Aplicación]],6,2)</f>
        <v>08</v>
      </c>
      <c r="T4347" s="35" t="str">
        <f>VLOOKUP(Tabla1[[#This Row],[AREA]],Hoja1!A:B,2,FALSE)</f>
        <v>08. Movilidad y espacio urbano</v>
      </c>
      <c r="U4347" s="35" t="str">
        <f>MID(Tabla1[[#This Row],[Aplicación]],9,4)</f>
        <v>1513</v>
      </c>
      <c r="V4347" s="35" t="str">
        <f>VLOOKUP(Tabla1[[#This Row],[PROGRAMA]],Hoja1!A:B,2,FALSE)</f>
        <v>1513. Licencias urbanísticas</v>
      </c>
      <c r="W4347" s="35" t="str">
        <f>MID(Tabla1[[#This Row],[Aplicación]],14,2)</f>
        <v>83</v>
      </c>
      <c r="X4347" s="35" t="str">
        <f>MID(Tabla1[[#This Row],[Aplicación]],14,6)</f>
        <v>83100</v>
      </c>
    </row>
    <row r="4348" spans="1:24" x14ac:dyDescent="0.25">
      <c r="A4348" s="45">
        <v>220210058810</v>
      </c>
      <c r="B4348" s="46" t="s">
        <v>204</v>
      </c>
      <c r="C4348" s="47">
        <v>44462</v>
      </c>
      <c r="D4348" s="45">
        <v>22021001275</v>
      </c>
      <c r="E4348" s="46" t="s">
        <v>1334</v>
      </c>
      <c r="F4348" s="48">
        <v>1462.94</v>
      </c>
      <c r="G4348" s="46" t="s">
        <v>2907</v>
      </c>
      <c r="H4348" s="46" t="s">
        <v>3267</v>
      </c>
      <c r="I4348" s="45" t="s">
        <v>205</v>
      </c>
      <c r="J4348" s="46" t="s">
        <v>2909</v>
      </c>
      <c r="K4348" s="46" t="s">
        <v>127</v>
      </c>
      <c r="L4348" s="46" t="s">
        <v>15</v>
      </c>
      <c r="M4348" s="46" t="s">
        <v>13</v>
      </c>
      <c r="N4348" s="46" t="s">
        <v>14</v>
      </c>
      <c r="O4348" s="49" t="s">
        <v>814</v>
      </c>
      <c r="P4348" s="49" t="s">
        <v>4910</v>
      </c>
      <c r="Q4348" s="35" t="str">
        <f>MID(Tabla1[[#This Row],[Aplicación]],14,1)</f>
        <v>2</v>
      </c>
      <c r="R4348" s="35" t="s">
        <v>495</v>
      </c>
      <c r="S4348" s="35" t="str">
        <f>MID(Tabla1[[#This Row],[Aplicación]],6,2)</f>
        <v>07</v>
      </c>
      <c r="T4348" s="35" t="str">
        <f>VLOOKUP(Tabla1[[#This Row],[AREA]],Hoja1!A:B,2,FALSE)</f>
        <v>07. Medio ambiente y desarrollo sostenible</v>
      </c>
      <c r="U4348" s="35" t="str">
        <f>MID(Tabla1[[#This Row],[Aplicación]],9,4)</f>
        <v>1711</v>
      </c>
      <c r="V4348" s="35" t="str">
        <f>VLOOKUP(Tabla1[[#This Row],[PROGRAMA]],Hoja1!A:B,2,FALSE)</f>
        <v>1711. Parques y jardines</v>
      </c>
      <c r="W4348" s="35" t="str">
        <f>MID(Tabla1[[#This Row],[Aplicación]],14,2)</f>
        <v>22</v>
      </c>
      <c r="X4348" s="35" t="str">
        <f>MID(Tabla1[[#This Row],[Aplicación]],14,6)</f>
        <v>22199</v>
      </c>
    </row>
    <row r="4349" spans="1:24" x14ac:dyDescent="0.25">
      <c r="A4349" s="45">
        <v>220210058997</v>
      </c>
      <c r="B4349" s="46" t="s">
        <v>204</v>
      </c>
      <c r="C4349" s="47">
        <v>44463</v>
      </c>
      <c r="D4349" s="45">
        <v>22021001275</v>
      </c>
      <c r="E4349" s="46" t="s">
        <v>1334</v>
      </c>
      <c r="F4349" s="48">
        <v>616</v>
      </c>
      <c r="G4349" s="46" t="s">
        <v>2907</v>
      </c>
      <c r="H4349" s="46" t="s">
        <v>5997</v>
      </c>
      <c r="I4349" s="45" t="s">
        <v>205</v>
      </c>
      <c r="J4349" s="46" t="s">
        <v>2909</v>
      </c>
      <c r="K4349" s="46" t="s">
        <v>127</v>
      </c>
      <c r="L4349" s="46" t="s">
        <v>15</v>
      </c>
      <c r="M4349" s="46" t="s">
        <v>13</v>
      </c>
      <c r="N4349" s="46" t="s">
        <v>14</v>
      </c>
      <c r="O4349" s="49" t="s">
        <v>814</v>
      </c>
      <c r="P4349" s="49" t="s">
        <v>4910</v>
      </c>
      <c r="Q4349" s="35" t="str">
        <f>MID(Tabla1[[#This Row],[Aplicación]],14,1)</f>
        <v>2</v>
      </c>
      <c r="R4349" s="35" t="s">
        <v>495</v>
      </c>
      <c r="S4349" s="35" t="str">
        <f>MID(Tabla1[[#This Row],[Aplicación]],6,2)</f>
        <v>07</v>
      </c>
      <c r="T4349" s="35" t="str">
        <f>VLOOKUP(Tabla1[[#This Row],[AREA]],Hoja1!A:B,2,FALSE)</f>
        <v>07. Medio ambiente y desarrollo sostenible</v>
      </c>
      <c r="U4349" s="35" t="str">
        <f>MID(Tabla1[[#This Row],[Aplicación]],9,4)</f>
        <v>1711</v>
      </c>
      <c r="V4349" s="35" t="str">
        <f>VLOOKUP(Tabla1[[#This Row],[PROGRAMA]],Hoja1!A:B,2,FALSE)</f>
        <v>1711. Parques y jardines</v>
      </c>
      <c r="W4349" s="35" t="str">
        <f>MID(Tabla1[[#This Row],[Aplicación]],14,2)</f>
        <v>22</v>
      </c>
      <c r="X4349" s="35" t="str">
        <f>MID(Tabla1[[#This Row],[Aplicación]],14,6)</f>
        <v>22199</v>
      </c>
    </row>
    <row r="4350" spans="1:24" x14ac:dyDescent="0.25">
      <c r="A4350" s="45">
        <v>220210056728</v>
      </c>
      <c r="B4350" s="46" t="s">
        <v>204</v>
      </c>
      <c r="C4350" s="47">
        <v>44455</v>
      </c>
      <c r="D4350" s="45">
        <v>22021005946</v>
      </c>
      <c r="E4350" s="46" t="s">
        <v>1167</v>
      </c>
      <c r="F4350" s="48">
        <v>1455.73</v>
      </c>
      <c r="G4350" s="46" t="s">
        <v>1168</v>
      </c>
      <c r="H4350" s="46" t="s">
        <v>5998</v>
      </c>
      <c r="I4350" s="45" t="s">
        <v>205</v>
      </c>
      <c r="J4350" s="46" t="s">
        <v>127</v>
      </c>
      <c r="K4350" s="46" t="s">
        <v>127</v>
      </c>
      <c r="L4350" s="46" t="s">
        <v>12</v>
      </c>
      <c r="M4350" s="46" t="s">
        <v>13</v>
      </c>
      <c r="N4350" s="46" t="s">
        <v>16</v>
      </c>
      <c r="O4350" s="49" t="s">
        <v>814</v>
      </c>
      <c r="P4350" s="49" t="s">
        <v>4910</v>
      </c>
      <c r="Q4350" s="35" t="str">
        <f>MID(Tabla1[[#This Row],[Aplicación]],14,1)</f>
        <v>2</v>
      </c>
      <c r="R4350" s="35" t="s">
        <v>495</v>
      </c>
      <c r="S4350" s="35" t="str">
        <f>MID(Tabla1[[#This Row],[Aplicación]],6,2)</f>
        <v>11</v>
      </c>
      <c r="T4350" s="35" t="str">
        <f>VLOOKUP(Tabla1[[#This Row],[AREA]],Hoja1!A:B,2,FALSE)</f>
        <v>11. Salud pública y seguridad ciudadana</v>
      </c>
      <c r="U4350" s="35" t="str">
        <f>MID(Tabla1[[#This Row],[Aplicación]],9,4)</f>
        <v>1321</v>
      </c>
      <c r="V4350" s="35" t="str">
        <f>VLOOKUP(Tabla1[[#This Row],[PROGRAMA]],Hoja1!A:B,2,FALSE)</f>
        <v>1321. Policía municipal</v>
      </c>
      <c r="W4350" s="35" t="str">
        <f>MID(Tabla1[[#This Row],[Aplicación]],14,2)</f>
        <v>21</v>
      </c>
      <c r="X4350" s="35" t="str">
        <f>MID(Tabla1[[#This Row],[Aplicación]],14,6)</f>
        <v>214</v>
      </c>
    </row>
    <row r="4351" spans="1:24" x14ac:dyDescent="0.25">
      <c r="A4351" s="45">
        <v>220210063147</v>
      </c>
      <c r="B4351" s="46" t="s">
        <v>204</v>
      </c>
      <c r="C4351" s="47">
        <v>44469</v>
      </c>
      <c r="D4351" s="45">
        <v>22021001275</v>
      </c>
      <c r="E4351" s="46" t="s">
        <v>1334</v>
      </c>
      <c r="F4351" s="48">
        <v>46.95</v>
      </c>
      <c r="G4351" s="46" t="s">
        <v>102</v>
      </c>
      <c r="H4351" s="46" t="s">
        <v>3217</v>
      </c>
      <c r="I4351" s="45" t="s">
        <v>205</v>
      </c>
      <c r="J4351" s="46" t="s">
        <v>127</v>
      </c>
      <c r="K4351" s="46" t="s">
        <v>127</v>
      </c>
      <c r="L4351" s="46" t="s">
        <v>15</v>
      </c>
      <c r="M4351" s="46" t="s">
        <v>13</v>
      </c>
      <c r="N4351" s="46" t="s">
        <v>14</v>
      </c>
      <c r="O4351" s="49" t="s">
        <v>814</v>
      </c>
      <c r="P4351" s="49" t="s">
        <v>4910</v>
      </c>
      <c r="Q4351" s="35" t="str">
        <f>MID(Tabla1[[#This Row],[Aplicación]],14,1)</f>
        <v>2</v>
      </c>
      <c r="R4351" s="35" t="s">
        <v>495</v>
      </c>
      <c r="S4351" s="35" t="str">
        <f>MID(Tabla1[[#This Row],[Aplicación]],6,2)</f>
        <v>07</v>
      </c>
      <c r="T4351" s="35" t="str">
        <f>VLOOKUP(Tabla1[[#This Row],[AREA]],Hoja1!A:B,2,FALSE)</f>
        <v>07. Medio ambiente y desarrollo sostenible</v>
      </c>
      <c r="U4351" s="35" t="str">
        <f>MID(Tabla1[[#This Row],[Aplicación]],9,4)</f>
        <v>1711</v>
      </c>
      <c r="V4351" s="35" t="str">
        <f>VLOOKUP(Tabla1[[#This Row],[PROGRAMA]],Hoja1!A:B,2,FALSE)</f>
        <v>1711. Parques y jardines</v>
      </c>
      <c r="W4351" s="35" t="str">
        <f>MID(Tabla1[[#This Row],[Aplicación]],14,2)</f>
        <v>22</v>
      </c>
      <c r="X4351" s="35" t="str">
        <f>MID(Tabla1[[#This Row],[Aplicación]],14,6)</f>
        <v>22199</v>
      </c>
    </row>
    <row r="4352" spans="1:24" x14ac:dyDescent="0.25">
      <c r="A4352" s="45">
        <v>220210059124</v>
      </c>
      <c r="B4352" s="46" t="s">
        <v>204</v>
      </c>
      <c r="C4352" s="47">
        <v>44466</v>
      </c>
      <c r="D4352" s="45">
        <v>22021003950</v>
      </c>
      <c r="E4352" s="46" t="s">
        <v>1415</v>
      </c>
      <c r="F4352" s="48">
        <v>3200</v>
      </c>
      <c r="G4352" s="46" t="s">
        <v>3524</v>
      </c>
      <c r="H4352" s="46" t="s">
        <v>5999</v>
      </c>
      <c r="I4352" s="45" t="s">
        <v>205</v>
      </c>
      <c r="J4352" s="46" t="s">
        <v>127</v>
      </c>
      <c r="K4352" s="46" t="s">
        <v>184</v>
      </c>
      <c r="L4352" s="46" t="s">
        <v>12</v>
      </c>
      <c r="M4352" s="46" t="s">
        <v>13</v>
      </c>
      <c r="N4352" s="46" t="s">
        <v>14</v>
      </c>
      <c r="O4352" s="49" t="s">
        <v>803</v>
      </c>
      <c r="P4352" s="49" t="s">
        <v>4910</v>
      </c>
      <c r="Q4352" s="35" t="str">
        <f>MID(Tabla1[[#This Row],[Aplicación]],14,1)</f>
        <v>2</v>
      </c>
      <c r="R4352" s="35" t="s">
        <v>495</v>
      </c>
      <c r="S4352" s="35" t="str">
        <f>MID(Tabla1[[#This Row],[Aplicación]],6,2)</f>
        <v>10</v>
      </c>
      <c r="T4352" s="35" t="str">
        <f>VLOOKUP(Tabla1[[#This Row],[AREA]],Hoja1!A:B,2,FALSE)</f>
        <v>10. Servicios sociales y mediación comunitaria</v>
      </c>
      <c r="U4352" s="35" t="str">
        <f>MID(Tabla1[[#This Row],[Aplicación]],9,4)</f>
        <v>2312</v>
      </c>
      <c r="V4352" s="35" t="str">
        <f>VLOOKUP(Tabla1[[#This Row],[PROGRAMA]],Hoja1!A:B,2,FALSE)</f>
        <v>2312. Iniciativas sociales</v>
      </c>
      <c r="W4352" s="35" t="str">
        <f>MID(Tabla1[[#This Row],[Aplicación]],14,2)</f>
        <v>22</v>
      </c>
      <c r="X4352" s="35" t="str">
        <f>MID(Tabla1[[#This Row],[Aplicación]],14,6)</f>
        <v>22799</v>
      </c>
    </row>
    <row r="4353" spans="1:24" x14ac:dyDescent="0.25">
      <c r="A4353" s="45">
        <v>220210063207</v>
      </c>
      <c r="B4353" s="46" t="s">
        <v>204</v>
      </c>
      <c r="C4353" s="47">
        <v>44469</v>
      </c>
      <c r="D4353" s="45">
        <v>22021005981</v>
      </c>
      <c r="E4353" s="46" t="s">
        <v>1410</v>
      </c>
      <c r="F4353" s="48">
        <v>318.41000000000003</v>
      </c>
      <c r="G4353" s="46" t="s">
        <v>232</v>
      </c>
      <c r="H4353" s="46" t="s">
        <v>5094</v>
      </c>
      <c r="I4353" s="45" t="s">
        <v>205</v>
      </c>
      <c r="J4353" s="46" t="s">
        <v>127</v>
      </c>
      <c r="K4353" s="46" t="s">
        <v>127</v>
      </c>
      <c r="L4353" s="46" t="s">
        <v>12</v>
      </c>
      <c r="M4353" s="46" t="s">
        <v>13</v>
      </c>
      <c r="N4353" s="46" t="s">
        <v>14</v>
      </c>
      <c r="O4353" s="49" t="s">
        <v>814</v>
      </c>
      <c r="P4353" s="49" t="s">
        <v>4910</v>
      </c>
      <c r="Q4353" s="35" t="str">
        <f>MID(Tabla1[[#This Row],[Aplicación]],14,1)</f>
        <v>2</v>
      </c>
      <c r="R4353" s="35" t="s">
        <v>495</v>
      </c>
      <c r="S4353" s="35" t="str">
        <f>MID(Tabla1[[#This Row],[Aplicación]],6,2)</f>
        <v>07</v>
      </c>
      <c r="T4353" s="35" t="str">
        <f>VLOOKUP(Tabla1[[#This Row],[AREA]],Hoja1!A:B,2,FALSE)</f>
        <v>07. Medio ambiente y desarrollo sostenible</v>
      </c>
      <c r="U4353" s="35" t="str">
        <f>MID(Tabla1[[#This Row],[Aplicación]],9,4)</f>
        <v>1711</v>
      </c>
      <c r="V4353" s="35" t="str">
        <f>VLOOKUP(Tabla1[[#This Row],[PROGRAMA]],Hoja1!A:B,2,FALSE)</f>
        <v>1711. Parques y jardines</v>
      </c>
      <c r="W4353" s="35" t="str">
        <f>MID(Tabla1[[#This Row],[Aplicación]],14,2)</f>
        <v>21</v>
      </c>
      <c r="X4353" s="35" t="str">
        <f>MID(Tabla1[[#This Row],[Aplicación]],14,6)</f>
        <v>214</v>
      </c>
    </row>
    <row r="4354" spans="1:24" x14ac:dyDescent="0.25">
      <c r="A4354" s="45">
        <v>220210056690</v>
      </c>
      <c r="B4354" s="46" t="s">
        <v>204</v>
      </c>
      <c r="C4354" s="47">
        <v>44455</v>
      </c>
      <c r="D4354" s="45">
        <v>22021005946</v>
      </c>
      <c r="E4354" s="46" t="s">
        <v>1167</v>
      </c>
      <c r="F4354" s="48">
        <v>362.26</v>
      </c>
      <c r="G4354" s="46" t="s">
        <v>239</v>
      </c>
      <c r="H4354" s="46" t="s">
        <v>6000</v>
      </c>
      <c r="I4354" s="45" t="s">
        <v>205</v>
      </c>
      <c r="J4354" s="46" t="s">
        <v>127</v>
      </c>
      <c r="K4354" s="46" t="s">
        <v>127</v>
      </c>
      <c r="L4354" s="46" t="s">
        <v>12</v>
      </c>
      <c r="M4354" s="46" t="s">
        <v>13</v>
      </c>
      <c r="N4354" s="46" t="s">
        <v>14</v>
      </c>
      <c r="O4354" s="49" t="s">
        <v>814</v>
      </c>
      <c r="P4354" s="49" t="s">
        <v>4910</v>
      </c>
      <c r="Q4354" s="35" t="str">
        <f>MID(Tabla1[[#This Row],[Aplicación]],14,1)</f>
        <v>2</v>
      </c>
      <c r="R4354" s="35" t="s">
        <v>495</v>
      </c>
      <c r="S4354" s="35" t="str">
        <f>MID(Tabla1[[#This Row],[Aplicación]],6,2)</f>
        <v>11</v>
      </c>
      <c r="T4354" s="35" t="str">
        <f>VLOOKUP(Tabla1[[#This Row],[AREA]],Hoja1!A:B,2,FALSE)</f>
        <v>11. Salud pública y seguridad ciudadana</v>
      </c>
      <c r="U4354" s="35" t="str">
        <f>MID(Tabla1[[#This Row],[Aplicación]],9,4)</f>
        <v>1321</v>
      </c>
      <c r="V4354" s="35" t="str">
        <f>VLOOKUP(Tabla1[[#This Row],[PROGRAMA]],Hoja1!A:B,2,FALSE)</f>
        <v>1321. Policía municipal</v>
      </c>
      <c r="W4354" s="35" t="str">
        <f>MID(Tabla1[[#This Row],[Aplicación]],14,2)</f>
        <v>21</v>
      </c>
      <c r="X4354" s="35" t="str">
        <f>MID(Tabla1[[#This Row],[Aplicación]],14,6)</f>
        <v>214</v>
      </c>
    </row>
    <row r="4355" spans="1:24" x14ac:dyDescent="0.25">
      <c r="A4355" s="45">
        <v>220210057784</v>
      </c>
      <c r="B4355" s="46" t="s">
        <v>204</v>
      </c>
      <c r="C4355" s="47">
        <v>44459</v>
      </c>
      <c r="D4355" s="45">
        <v>22021005981</v>
      </c>
      <c r="E4355" s="46" t="s">
        <v>1410</v>
      </c>
      <c r="F4355" s="48">
        <v>12.78</v>
      </c>
      <c r="G4355" s="46" t="s">
        <v>239</v>
      </c>
      <c r="H4355" s="46" t="s">
        <v>6001</v>
      </c>
      <c r="I4355" s="45" t="s">
        <v>205</v>
      </c>
      <c r="J4355" s="46" t="s">
        <v>127</v>
      </c>
      <c r="K4355" s="46" t="s">
        <v>127</v>
      </c>
      <c r="L4355" s="46" t="s">
        <v>12</v>
      </c>
      <c r="M4355" s="46" t="s">
        <v>13</v>
      </c>
      <c r="N4355" s="46" t="s">
        <v>14</v>
      </c>
      <c r="O4355" s="49" t="s">
        <v>814</v>
      </c>
      <c r="P4355" s="49" t="s">
        <v>4910</v>
      </c>
      <c r="Q4355" s="35" t="str">
        <f>MID(Tabla1[[#This Row],[Aplicación]],14,1)</f>
        <v>2</v>
      </c>
      <c r="R4355" s="35" t="s">
        <v>495</v>
      </c>
      <c r="S4355" s="35" t="str">
        <f>MID(Tabla1[[#This Row],[Aplicación]],6,2)</f>
        <v>07</v>
      </c>
      <c r="T4355" s="35" t="str">
        <f>VLOOKUP(Tabla1[[#This Row],[AREA]],Hoja1!A:B,2,FALSE)</f>
        <v>07. Medio ambiente y desarrollo sostenible</v>
      </c>
      <c r="U4355" s="35" t="str">
        <f>MID(Tabla1[[#This Row],[Aplicación]],9,4)</f>
        <v>1711</v>
      </c>
      <c r="V4355" s="35" t="str">
        <f>VLOOKUP(Tabla1[[#This Row],[PROGRAMA]],Hoja1!A:B,2,FALSE)</f>
        <v>1711. Parques y jardines</v>
      </c>
      <c r="W4355" s="35" t="str">
        <f>MID(Tabla1[[#This Row],[Aplicación]],14,2)</f>
        <v>21</v>
      </c>
      <c r="X4355" s="35" t="str">
        <f>MID(Tabla1[[#This Row],[Aplicación]],14,6)</f>
        <v>214</v>
      </c>
    </row>
    <row r="4356" spans="1:24" x14ac:dyDescent="0.25">
      <c r="A4356" s="45">
        <v>220210057786</v>
      </c>
      <c r="B4356" s="46" t="s">
        <v>204</v>
      </c>
      <c r="C4356" s="47">
        <v>44459</v>
      </c>
      <c r="D4356" s="45">
        <v>22021005981</v>
      </c>
      <c r="E4356" s="46" t="s">
        <v>1410</v>
      </c>
      <c r="F4356" s="48">
        <v>188.35</v>
      </c>
      <c r="G4356" s="46" t="s">
        <v>239</v>
      </c>
      <c r="H4356" s="46" t="s">
        <v>5120</v>
      </c>
      <c r="I4356" s="45" t="s">
        <v>205</v>
      </c>
      <c r="J4356" s="46" t="s">
        <v>127</v>
      </c>
      <c r="K4356" s="46" t="s">
        <v>127</v>
      </c>
      <c r="L4356" s="46" t="s">
        <v>12</v>
      </c>
      <c r="M4356" s="46" t="s">
        <v>13</v>
      </c>
      <c r="N4356" s="46" t="s">
        <v>14</v>
      </c>
      <c r="O4356" s="49" t="s">
        <v>814</v>
      </c>
      <c r="P4356" s="49" t="s">
        <v>4910</v>
      </c>
      <c r="Q4356" s="35" t="str">
        <f>MID(Tabla1[[#This Row],[Aplicación]],14,1)</f>
        <v>2</v>
      </c>
      <c r="R4356" s="35" t="s">
        <v>495</v>
      </c>
      <c r="S4356" s="35" t="str">
        <f>MID(Tabla1[[#This Row],[Aplicación]],6,2)</f>
        <v>07</v>
      </c>
      <c r="T4356" s="35" t="str">
        <f>VLOOKUP(Tabla1[[#This Row],[AREA]],Hoja1!A:B,2,FALSE)</f>
        <v>07. Medio ambiente y desarrollo sostenible</v>
      </c>
      <c r="U4356" s="35" t="str">
        <f>MID(Tabla1[[#This Row],[Aplicación]],9,4)</f>
        <v>1711</v>
      </c>
      <c r="V4356" s="35" t="str">
        <f>VLOOKUP(Tabla1[[#This Row],[PROGRAMA]],Hoja1!A:B,2,FALSE)</f>
        <v>1711. Parques y jardines</v>
      </c>
      <c r="W4356" s="35" t="str">
        <f>MID(Tabla1[[#This Row],[Aplicación]],14,2)</f>
        <v>21</v>
      </c>
      <c r="X4356" s="35" t="str">
        <f>MID(Tabla1[[#This Row],[Aplicación]],14,6)</f>
        <v>214</v>
      </c>
    </row>
    <row r="4357" spans="1:24" x14ac:dyDescent="0.25">
      <c r="A4357" s="45">
        <v>220210058581</v>
      </c>
      <c r="B4357" s="46" t="s">
        <v>9</v>
      </c>
      <c r="C4357" s="47">
        <v>44461</v>
      </c>
      <c r="D4357" s="45">
        <v>22021005162</v>
      </c>
      <c r="E4357" s="46" t="s">
        <v>1487</v>
      </c>
      <c r="F4357" s="48">
        <v>13177.48</v>
      </c>
      <c r="G4357" s="46" t="s">
        <v>121</v>
      </c>
      <c r="H4357" s="46" t="s">
        <v>6002</v>
      </c>
      <c r="I4357" s="45" t="s">
        <v>125</v>
      </c>
      <c r="J4357" s="46" t="s">
        <v>664</v>
      </c>
      <c r="K4357" s="46" t="s">
        <v>127</v>
      </c>
      <c r="L4357" s="46" t="s">
        <v>12</v>
      </c>
      <c r="M4357" s="46" t="s">
        <v>13</v>
      </c>
      <c r="N4357" s="46" t="s">
        <v>14</v>
      </c>
      <c r="O4357" s="49" t="s">
        <v>814</v>
      </c>
      <c r="P4357" s="49" t="s">
        <v>4910</v>
      </c>
      <c r="Q4357" s="35" t="str">
        <f>MID(Tabla1[[#This Row],[Aplicación]],14,1)</f>
        <v>6</v>
      </c>
      <c r="R4357" s="35" t="s">
        <v>496</v>
      </c>
      <c r="S4357" s="35" t="str">
        <f>MID(Tabla1[[#This Row],[Aplicación]],6,2)</f>
        <v>08</v>
      </c>
      <c r="T4357" s="35" t="str">
        <f>VLOOKUP(Tabla1[[#This Row],[AREA]],Hoja1!A:B,2,FALSE)</f>
        <v>08. Movilidad y espacio urbano</v>
      </c>
      <c r="U4357" s="35" t="str">
        <f>MID(Tabla1[[#This Row],[Aplicación]],9,4)</f>
        <v>1532</v>
      </c>
      <c r="V4357" s="35" t="str">
        <f>VLOOKUP(Tabla1[[#This Row],[PROGRAMA]],Hoja1!A:B,2,FALSE)</f>
        <v>1532. Pavimentación vias públicas y otros servicios urbanísticos</v>
      </c>
      <c r="W4357" s="35" t="str">
        <f>MID(Tabla1[[#This Row],[Aplicación]],14,2)</f>
        <v>61</v>
      </c>
      <c r="X4357" s="35" t="str">
        <f>MID(Tabla1[[#This Row],[Aplicación]],14,6)</f>
        <v>619</v>
      </c>
    </row>
    <row r="4358" spans="1:24" x14ac:dyDescent="0.25">
      <c r="A4358" s="45">
        <v>220210057788</v>
      </c>
      <c r="B4358" s="46" t="s">
        <v>204</v>
      </c>
      <c r="C4358" s="47">
        <v>44459</v>
      </c>
      <c r="D4358" s="45">
        <v>22021005981</v>
      </c>
      <c r="E4358" s="46" t="s">
        <v>1410</v>
      </c>
      <c r="F4358" s="48">
        <v>1475.03</v>
      </c>
      <c r="G4358" s="46" t="s">
        <v>239</v>
      </c>
      <c r="H4358" s="46" t="s">
        <v>6003</v>
      </c>
      <c r="I4358" s="45" t="s">
        <v>205</v>
      </c>
      <c r="J4358" s="46" t="s">
        <v>127</v>
      </c>
      <c r="K4358" s="46" t="s">
        <v>127</v>
      </c>
      <c r="L4358" s="46" t="s">
        <v>12</v>
      </c>
      <c r="M4358" s="46" t="s">
        <v>13</v>
      </c>
      <c r="N4358" s="46" t="s">
        <v>14</v>
      </c>
      <c r="O4358" s="49" t="s">
        <v>814</v>
      </c>
      <c r="P4358" s="49" t="s">
        <v>4910</v>
      </c>
      <c r="Q4358" s="35" t="str">
        <f>MID(Tabla1[[#This Row],[Aplicación]],14,1)</f>
        <v>2</v>
      </c>
      <c r="R4358" s="35" t="s">
        <v>495</v>
      </c>
      <c r="S4358" s="35" t="str">
        <f>MID(Tabla1[[#This Row],[Aplicación]],6,2)</f>
        <v>07</v>
      </c>
      <c r="T4358" s="35" t="str">
        <f>VLOOKUP(Tabla1[[#This Row],[AREA]],Hoja1!A:B,2,FALSE)</f>
        <v>07. Medio ambiente y desarrollo sostenible</v>
      </c>
      <c r="U4358" s="35" t="str">
        <f>MID(Tabla1[[#This Row],[Aplicación]],9,4)</f>
        <v>1711</v>
      </c>
      <c r="V4358" s="35" t="str">
        <f>VLOOKUP(Tabla1[[#This Row],[PROGRAMA]],Hoja1!A:B,2,FALSE)</f>
        <v>1711. Parques y jardines</v>
      </c>
      <c r="W4358" s="35" t="str">
        <f>MID(Tabla1[[#This Row],[Aplicación]],14,2)</f>
        <v>21</v>
      </c>
      <c r="X4358" s="35" t="str">
        <f>MID(Tabla1[[#This Row],[Aplicación]],14,6)</f>
        <v>214</v>
      </c>
    </row>
    <row r="4359" spans="1:24" x14ac:dyDescent="0.25">
      <c r="A4359" s="45">
        <v>220210058314</v>
      </c>
      <c r="B4359" s="46" t="s">
        <v>204</v>
      </c>
      <c r="C4359" s="47">
        <v>44460</v>
      </c>
      <c r="D4359" s="45">
        <v>22021003741</v>
      </c>
      <c r="E4359" s="46" t="s">
        <v>1483</v>
      </c>
      <c r="F4359" s="48">
        <v>9072.56</v>
      </c>
      <c r="G4359" s="46" t="s">
        <v>557</v>
      </c>
      <c r="H4359" s="46" t="s">
        <v>6004</v>
      </c>
      <c r="I4359" s="45" t="s">
        <v>205</v>
      </c>
      <c r="J4359" s="46" t="s">
        <v>634</v>
      </c>
      <c r="K4359" s="46" t="s">
        <v>127</v>
      </c>
      <c r="L4359" s="46" t="s">
        <v>31</v>
      </c>
      <c r="M4359" s="46" t="s">
        <v>13</v>
      </c>
      <c r="N4359" s="46" t="s">
        <v>16</v>
      </c>
      <c r="O4359" s="49" t="s">
        <v>803</v>
      </c>
      <c r="P4359" s="49" t="s">
        <v>4910</v>
      </c>
      <c r="Q4359" s="35" t="str">
        <f>MID(Tabla1[[#This Row],[Aplicación]],14,1)</f>
        <v>6</v>
      </c>
      <c r="R4359" s="35" t="s">
        <v>496</v>
      </c>
      <c r="S4359" s="35" t="str">
        <f>MID(Tabla1[[#This Row],[Aplicación]],6,2)</f>
        <v>03</v>
      </c>
      <c r="T4359" s="35" t="str">
        <f>VLOOKUP(Tabla1[[#This Row],[AREA]],Hoja1!A:B,2,FALSE)</f>
        <v>03. Participación ciudadana y deportes</v>
      </c>
      <c r="U4359" s="35" t="str">
        <f>MID(Tabla1[[#This Row],[Aplicación]],9,4)</f>
        <v>9241</v>
      </c>
      <c r="V4359" s="35" t="str">
        <f>VLOOKUP(Tabla1[[#This Row],[PROGRAMA]],Hoja1!A:B,2,FALSE)</f>
        <v>9241. Participación ciudadana</v>
      </c>
      <c r="W4359" s="35" t="str">
        <f>MID(Tabla1[[#This Row],[Aplicación]],14,2)</f>
        <v>63</v>
      </c>
      <c r="X4359" s="35" t="str">
        <f>MID(Tabla1[[#This Row],[Aplicación]],14,6)</f>
        <v>632</v>
      </c>
    </row>
    <row r="4360" spans="1:24" x14ac:dyDescent="0.25">
      <c r="A4360" s="45">
        <v>220210059003</v>
      </c>
      <c r="B4360" s="46" t="s">
        <v>204</v>
      </c>
      <c r="C4360" s="47">
        <v>44463</v>
      </c>
      <c r="D4360" s="45">
        <v>22021005981</v>
      </c>
      <c r="E4360" s="46" t="s">
        <v>1410</v>
      </c>
      <c r="F4360" s="48">
        <v>951.31</v>
      </c>
      <c r="G4360" s="46" t="s">
        <v>239</v>
      </c>
      <c r="H4360" s="46" t="s">
        <v>5120</v>
      </c>
      <c r="I4360" s="45" t="s">
        <v>205</v>
      </c>
      <c r="J4360" s="46" t="s">
        <v>127</v>
      </c>
      <c r="K4360" s="46" t="s">
        <v>127</v>
      </c>
      <c r="L4360" s="46" t="s">
        <v>12</v>
      </c>
      <c r="M4360" s="46" t="s">
        <v>13</v>
      </c>
      <c r="N4360" s="46" t="s">
        <v>14</v>
      </c>
      <c r="O4360" s="49" t="s">
        <v>814</v>
      </c>
      <c r="P4360" s="49" t="s">
        <v>4910</v>
      </c>
      <c r="Q4360" s="35" t="str">
        <f>MID(Tabla1[[#This Row],[Aplicación]],14,1)</f>
        <v>2</v>
      </c>
      <c r="R4360" s="35" t="s">
        <v>495</v>
      </c>
      <c r="S4360" s="35" t="str">
        <f>MID(Tabla1[[#This Row],[Aplicación]],6,2)</f>
        <v>07</v>
      </c>
      <c r="T4360" s="35" t="str">
        <f>VLOOKUP(Tabla1[[#This Row],[AREA]],Hoja1!A:B,2,FALSE)</f>
        <v>07. Medio ambiente y desarrollo sostenible</v>
      </c>
      <c r="U4360" s="35" t="str">
        <f>MID(Tabla1[[#This Row],[Aplicación]],9,4)</f>
        <v>1711</v>
      </c>
      <c r="V4360" s="35" t="str">
        <f>VLOOKUP(Tabla1[[#This Row],[PROGRAMA]],Hoja1!A:B,2,FALSE)</f>
        <v>1711. Parques y jardines</v>
      </c>
      <c r="W4360" s="35" t="str">
        <f>MID(Tabla1[[#This Row],[Aplicación]],14,2)</f>
        <v>21</v>
      </c>
      <c r="X4360" s="35" t="str">
        <f>MID(Tabla1[[#This Row],[Aplicación]],14,6)</f>
        <v>214</v>
      </c>
    </row>
    <row r="4361" spans="1:24" x14ac:dyDescent="0.25">
      <c r="A4361" s="45">
        <v>220210062268</v>
      </c>
      <c r="B4361" s="46" t="s">
        <v>9</v>
      </c>
      <c r="C4361" s="47">
        <v>44469</v>
      </c>
      <c r="D4361" s="45">
        <v>22021006683</v>
      </c>
      <c r="E4361" s="46" t="s">
        <v>1187</v>
      </c>
      <c r="F4361" s="48">
        <v>1200</v>
      </c>
      <c r="G4361" s="46" t="s">
        <v>3524</v>
      </c>
      <c r="H4361" s="46" t="s">
        <v>6005</v>
      </c>
      <c r="I4361" s="45" t="s">
        <v>125</v>
      </c>
      <c r="J4361" s="46" t="s">
        <v>127</v>
      </c>
      <c r="K4361" s="46" t="s">
        <v>184</v>
      </c>
      <c r="L4361" s="46" t="s">
        <v>12</v>
      </c>
      <c r="M4361" s="46" t="s">
        <v>10</v>
      </c>
      <c r="N4361" s="46" t="s">
        <v>11</v>
      </c>
      <c r="O4361" s="49" t="s">
        <v>815</v>
      </c>
      <c r="P4361" s="49" t="s">
        <v>4910</v>
      </c>
      <c r="Q4361" s="35" t="str">
        <f>MID(Tabla1[[#This Row],[Aplicación]],14,1)</f>
        <v>2</v>
      </c>
      <c r="R4361" s="35" t="s">
        <v>495</v>
      </c>
      <c r="S4361" s="35" t="str">
        <f>MID(Tabla1[[#This Row],[Aplicación]],6,2)</f>
        <v>06</v>
      </c>
      <c r="T4361" s="35" t="str">
        <f>VLOOKUP(Tabla1[[#This Row],[AREA]],Hoja1!A:B,2,FALSE)</f>
        <v>06. Educación, infancia, juventud e igualdad</v>
      </c>
      <c r="U4361" s="35" t="str">
        <f>MID(Tabla1[[#This Row],[Aplicación]],9,4)</f>
        <v>2315</v>
      </c>
      <c r="V4361" s="35" t="str">
        <f>VLOOKUP(Tabla1[[#This Row],[PROGRAMA]],Hoja1!A:B,2,FALSE)</f>
        <v>2315. Políticas de Igualdad e infancia</v>
      </c>
      <c r="W4361" s="35" t="str">
        <f>MID(Tabla1[[#This Row],[Aplicación]],14,2)</f>
        <v>22</v>
      </c>
      <c r="X4361" s="35" t="str">
        <f>MID(Tabla1[[#This Row],[Aplicación]],14,6)</f>
        <v>22611</v>
      </c>
    </row>
    <row r="4362" spans="1:24" x14ac:dyDescent="0.25">
      <c r="A4362" s="45">
        <v>220210063191</v>
      </c>
      <c r="B4362" s="46" t="s">
        <v>204</v>
      </c>
      <c r="C4362" s="47">
        <v>44469</v>
      </c>
      <c r="D4362" s="45">
        <v>22021005981</v>
      </c>
      <c r="E4362" s="46" t="s">
        <v>1410</v>
      </c>
      <c r="F4362" s="48">
        <v>672.07</v>
      </c>
      <c r="G4362" s="46" t="s">
        <v>239</v>
      </c>
      <c r="H4362" s="46" t="s">
        <v>6006</v>
      </c>
      <c r="I4362" s="45" t="s">
        <v>205</v>
      </c>
      <c r="J4362" s="46" t="s">
        <v>127</v>
      </c>
      <c r="K4362" s="46" t="s">
        <v>127</v>
      </c>
      <c r="L4362" s="46" t="s">
        <v>12</v>
      </c>
      <c r="M4362" s="46" t="s">
        <v>13</v>
      </c>
      <c r="N4362" s="46" t="s">
        <v>14</v>
      </c>
      <c r="O4362" s="49" t="s">
        <v>814</v>
      </c>
      <c r="P4362" s="49" t="s">
        <v>4910</v>
      </c>
      <c r="Q4362" s="35" t="str">
        <f>MID(Tabla1[[#This Row],[Aplicación]],14,1)</f>
        <v>2</v>
      </c>
      <c r="R4362" s="35" t="s">
        <v>495</v>
      </c>
      <c r="S4362" s="35" t="str">
        <f>MID(Tabla1[[#This Row],[Aplicación]],6,2)</f>
        <v>07</v>
      </c>
      <c r="T4362" s="35" t="str">
        <f>VLOOKUP(Tabla1[[#This Row],[AREA]],Hoja1!A:B,2,FALSE)</f>
        <v>07. Medio ambiente y desarrollo sostenible</v>
      </c>
      <c r="U4362" s="35" t="str">
        <f>MID(Tabla1[[#This Row],[Aplicación]],9,4)</f>
        <v>1711</v>
      </c>
      <c r="V4362" s="35" t="str">
        <f>VLOOKUP(Tabla1[[#This Row],[PROGRAMA]],Hoja1!A:B,2,FALSE)</f>
        <v>1711. Parques y jardines</v>
      </c>
      <c r="W4362" s="35" t="str">
        <f>MID(Tabla1[[#This Row],[Aplicación]],14,2)</f>
        <v>21</v>
      </c>
      <c r="X4362" s="35" t="str">
        <f>MID(Tabla1[[#This Row],[Aplicación]],14,6)</f>
        <v>214</v>
      </c>
    </row>
    <row r="4363" spans="1:24" x14ac:dyDescent="0.25">
      <c r="A4363" s="45">
        <v>220210056638</v>
      </c>
      <c r="B4363" s="46" t="s">
        <v>204</v>
      </c>
      <c r="C4363" s="47">
        <v>44455</v>
      </c>
      <c r="D4363" s="45">
        <v>22021001968</v>
      </c>
      <c r="E4363" s="46" t="s">
        <v>1388</v>
      </c>
      <c r="F4363" s="48">
        <v>291.62</v>
      </c>
      <c r="G4363" s="46" t="s">
        <v>1475</v>
      </c>
      <c r="H4363" s="46" t="s">
        <v>6007</v>
      </c>
      <c r="I4363" s="45" t="s">
        <v>205</v>
      </c>
      <c r="J4363" s="46" t="s">
        <v>127</v>
      </c>
      <c r="K4363" s="46" t="s">
        <v>127</v>
      </c>
      <c r="L4363" s="46" t="s">
        <v>15</v>
      </c>
      <c r="M4363" s="46" t="s">
        <v>13</v>
      </c>
      <c r="N4363" s="46" t="s">
        <v>14</v>
      </c>
      <c r="O4363" s="49" t="s">
        <v>814</v>
      </c>
      <c r="P4363" s="49" t="s">
        <v>4910</v>
      </c>
      <c r="Q4363" s="35" t="str">
        <f>MID(Tabla1[[#This Row],[Aplicación]],14,1)</f>
        <v>2</v>
      </c>
      <c r="R4363" s="35" t="s">
        <v>495</v>
      </c>
      <c r="S4363" s="35" t="str">
        <f>MID(Tabla1[[#This Row],[Aplicación]],6,2)</f>
        <v>11</v>
      </c>
      <c r="T4363" s="35" t="str">
        <f>VLOOKUP(Tabla1[[#This Row],[AREA]],Hoja1!A:B,2,FALSE)</f>
        <v>11. Salud pública y seguridad ciudadana</v>
      </c>
      <c r="U4363" s="35" t="str">
        <f>MID(Tabla1[[#This Row],[Aplicación]],9,4)</f>
        <v>1321</v>
      </c>
      <c r="V4363" s="35" t="str">
        <f>VLOOKUP(Tabla1[[#This Row],[PROGRAMA]],Hoja1!A:B,2,FALSE)</f>
        <v>1321. Policía municipal</v>
      </c>
      <c r="W4363" s="35" t="str">
        <f>MID(Tabla1[[#This Row],[Aplicación]],14,2)</f>
        <v>22</v>
      </c>
      <c r="X4363" s="35" t="str">
        <f>MID(Tabla1[[#This Row],[Aplicación]],14,6)</f>
        <v>22199</v>
      </c>
    </row>
    <row r="4364" spans="1:24" x14ac:dyDescent="0.25">
      <c r="A4364" s="45">
        <v>220210059377</v>
      </c>
      <c r="B4364" s="46" t="s">
        <v>204</v>
      </c>
      <c r="C4364" s="47">
        <v>44466</v>
      </c>
      <c r="D4364" s="45">
        <v>22021002048</v>
      </c>
      <c r="E4364" s="46" t="s">
        <v>890</v>
      </c>
      <c r="F4364" s="48">
        <v>1567.88</v>
      </c>
      <c r="G4364" s="46" t="s">
        <v>271</v>
      </c>
      <c r="H4364" s="46" t="s">
        <v>6008</v>
      </c>
      <c r="I4364" s="45" t="s">
        <v>205</v>
      </c>
      <c r="J4364" s="46" t="s">
        <v>127</v>
      </c>
      <c r="K4364" s="46" t="s">
        <v>127</v>
      </c>
      <c r="L4364" s="46" t="s">
        <v>15</v>
      </c>
      <c r="M4364" s="46" t="s">
        <v>13</v>
      </c>
      <c r="N4364" s="46" t="s">
        <v>14</v>
      </c>
      <c r="O4364" s="49" t="s">
        <v>814</v>
      </c>
      <c r="P4364" s="49" t="s">
        <v>4910</v>
      </c>
      <c r="Q4364" s="35" t="str">
        <f>MID(Tabla1[[#This Row],[Aplicación]],14,1)</f>
        <v>2</v>
      </c>
      <c r="R4364" s="35" t="s">
        <v>495</v>
      </c>
      <c r="S4364" s="35" t="str">
        <f>MID(Tabla1[[#This Row],[Aplicación]],6,2)</f>
        <v>11</v>
      </c>
      <c r="T4364" s="35" t="str">
        <f>VLOOKUP(Tabla1[[#This Row],[AREA]],Hoja1!A:B,2,FALSE)</f>
        <v>11. Salud pública y seguridad ciudadana</v>
      </c>
      <c r="U4364" s="35" t="str">
        <f>MID(Tabla1[[#This Row],[Aplicación]],9,4)</f>
        <v>1621</v>
      </c>
      <c r="V4364" s="35" t="str">
        <f>VLOOKUP(Tabla1[[#This Row],[PROGRAMA]],Hoja1!A:B,2,FALSE)</f>
        <v>1621. Servicio de limpieza</v>
      </c>
      <c r="W4364" s="35" t="str">
        <f>MID(Tabla1[[#This Row],[Aplicación]],14,2)</f>
        <v>21</v>
      </c>
      <c r="X4364" s="35" t="str">
        <f>MID(Tabla1[[#This Row],[Aplicación]],14,6)</f>
        <v>214</v>
      </c>
    </row>
    <row r="4365" spans="1:24" x14ac:dyDescent="0.25">
      <c r="A4365" s="45">
        <v>220210056707</v>
      </c>
      <c r="B4365" s="46" t="s">
        <v>204</v>
      </c>
      <c r="C4365" s="47">
        <v>44455</v>
      </c>
      <c r="D4365" s="45">
        <v>22021005716</v>
      </c>
      <c r="E4365" s="46" t="s">
        <v>1270</v>
      </c>
      <c r="F4365" s="48">
        <v>678.81</v>
      </c>
      <c r="G4365" s="46" t="s">
        <v>317</v>
      </c>
      <c r="H4365" s="46" t="s">
        <v>6009</v>
      </c>
      <c r="I4365" s="45" t="s">
        <v>205</v>
      </c>
      <c r="J4365" s="46" t="s">
        <v>127</v>
      </c>
      <c r="K4365" s="46" t="s">
        <v>127</v>
      </c>
      <c r="L4365" s="46" t="s">
        <v>12</v>
      </c>
      <c r="M4365" s="46" t="s">
        <v>13</v>
      </c>
      <c r="N4365" s="46" t="s">
        <v>14</v>
      </c>
      <c r="O4365" s="49" t="s">
        <v>814</v>
      </c>
      <c r="P4365" s="49" t="s">
        <v>4910</v>
      </c>
      <c r="Q4365" s="35" t="str">
        <f>MID(Tabla1[[#This Row],[Aplicación]],14,1)</f>
        <v>6</v>
      </c>
      <c r="R4365" s="35" t="s">
        <v>496</v>
      </c>
      <c r="S4365" s="35" t="str">
        <f>MID(Tabla1[[#This Row],[Aplicación]],6,2)</f>
        <v>11</v>
      </c>
      <c r="T4365" s="35" t="str">
        <f>VLOOKUP(Tabla1[[#This Row],[AREA]],Hoja1!A:B,2,FALSE)</f>
        <v>11. Salud pública y seguridad ciudadana</v>
      </c>
      <c r="U4365" s="35" t="str">
        <f>MID(Tabla1[[#This Row],[Aplicación]],9,4)</f>
        <v>1621</v>
      </c>
      <c r="V4365" s="35" t="str">
        <f>VLOOKUP(Tabla1[[#This Row],[PROGRAMA]],Hoja1!A:B,2,FALSE)</f>
        <v>1621. Servicio de limpieza</v>
      </c>
      <c r="W4365" s="35" t="str">
        <f>MID(Tabla1[[#This Row],[Aplicación]],14,2)</f>
        <v>63</v>
      </c>
      <c r="X4365" s="35" t="str">
        <f>MID(Tabla1[[#This Row],[Aplicación]],14,6)</f>
        <v>634</v>
      </c>
    </row>
    <row r="4366" spans="1:24" x14ac:dyDescent="0.25">
      <c r="A4366" s="45">
        <v>220210058620</v>
      </c>
      <c r="B4366" s="46" t="s">
        <v>204</v>
      </c>
      <c r="C4366" s="47">
        <v>44461</v>
      </c>
      <c r="D4366" s="45">
        <v>22021002053</v>
      </c>
      <c r="E4366" s="46" t="s">
        <v>1443</v>
      </c>
      <c r="F4366" s="48">
        <v>425.19</v>
      </c>
      <c r="G4366" s="46" t="s">
        <v>1475</v>
      </c>
      <c r="H4366" s="46" t="s">
        <v>6010</v>
      </c>
      <c r="I4366" s="45" t="s">
        <v>205</v>
      </c>
      <c r="J4366" s="46" t="s">
        <v>127</v>
      </c>
      <c r="K4366" s="46" t="s">
        <v>127</v>
      </c>
      <c r="L4366" s="46" t="s">
        <v>15</v>
      </c>
      <c r="M4366" s="46" t="s">
        <v>13</v>
      </c>
      <c r="N4366" s="46" t="s">
        <v>14</v>
      </c>
      <c r="O4366" s="49" t="s">
        <v>814</v>
      </c>
      <c r="P4366" s="49" t="s">
        <v>4910</v>
      </c>
      <c r="Q4366" s="35" t="str">
        <f>MID(Tabla1[[#This Row],[Aplicación]],14,1)</f>
        <v>2</v>
      </c>
      <c r="R4366" s="35" t="s">
        <v>495</v>
      </c>
      <c r="S4366" s="35" t="str">
        <f>MID(Tabla1[[#This Row],[Aplicación]],6,2)</f>
        <v>11</v>
      </c>
      <c r="T4366" s="35" t="str">
        <f>VLOOKUP(Tabla1[[#This Row],[AREA]],Hoja1!A:B,2,FALSE)</f>
        <v>11. Salud pública y seguridad ciudadana</v>
      </c>
      <c r="U4366" s="35" t="str">
        <f>MID(Tabla1[[#This Row],[Aplicación]],9,4)</f>
        <v>1631</v>
      </c>
      <c r="V4366" s="35" t="str">
        <f>VLOOKUP(Tabla1[[#This Row],[PROGRAMA]],Hoja1!A:B,2,FALSE)</f>
        <v>1631. Limpieza viaria</v>
      </c>
      <c r="W4366" s="35" t="str">
        <f>MID(Tabla1[[#This Row],[Aplicación]],14,2)</f>
        <v>21</v>
      </c>
      <c r="X4366" s="35" t="str">
        <f>MID(Tabla1[[#This Row],[Aplicación]],14,6)</f>
        <v>212</v>
      </c>
    </row>
    <row r="4367" spans="1:24" x14ac:dyDescent="0.25">
      <c r="A4367" s="45">
        <v>220210058791</v>
      </c>
      <c r="B4367" s="46" t="s">
        <v>204</v>
      </c>
      <c r="C4367" s="47">
        <v>44462</v>
      </c>
      <c r="D4367" s="45">
        <v>22021001275</v>
      </c>
      <c r="E4367" s="46" t="s">
        <v>1334</v>
      </c>
      <c r="F4367" s="48">
        <v>2.86</v>
      </c>
      <c r="G4367" s="46" t="s">
        <v>1475</v>
      </c>
      <c r="H4367" s="46" t="s">
        <v>6011</v>
      </c>
      <c r="I4367" s="45" t="s">
        <v>205</v>
      </c>
      <c r="J4367" s="46" t="s">
        <v>127</v>
      </c>
      <c r="K4367" s="46" t="s">
        <v>127</v>
      </c>
      <c r="L4367" s="46" t="s">
        <v>15</v>
      </c>
      <c r="M4367" s="46" t="s">
        <v>13</v>
      </c>
      <c r="N4367" s="46" t="s">
        <v>14</v>
      </c>
      <c r="O4367" s="49" t="s">
        <v>814</v>
      </c>
      <c r="P4367" s="49" t="s">
        <v>4910</v>
      </c>
      <c r="Q4367" s="35" t="str">
        <f>MID(Tabla1[[#This Row],[Aplicación]],14,1)</f>
        <v>2</v>
      </c>
      <c r="R4367" s="35" t="s">
        <v>495</v>
      </c>
      <c r="S4367" s="35" t="str">
        <f>MID(Tabla1[[#This Row],[Aplicación]],6,2)</f>
        <v>07</v>
      </c>
      <c r="T4367" s="35" t="str">
        <f>VLOOKUP(Tabla1[[#This Row],[AREA]],Hoja1!A:B,2,FALSE)</f>
        <v>07. Medio ambiente y desarrollo sostenible</v>
      </c>
      <c r="U4367" s="35" t="str">
        <f>MID(Tabla1[[#This Row],[Aplicación]],9,4)</f>
        <v>1711</v>
      </c>
      <c r="V4367" s="35" t="str">
        <f>VLOOKUP(Tabla1[[#This Row],[PROGRAMA]],Hoja1!A:B,2,FALSE)</f>
        <v>1711. Parques y jardines</v>
      </c>
      <c r="W4367" s="35" t="str">
        <f>MID(Tabla1[[#This Row],[Aplicación]],14,2)</f>
        <v>22</v>
      </c>
      <c r="X4367" s="35" t="str">
        <f>MID(Tabla1[[#This Row],[Aplicación]],14,6)</f>
        <v>22199</v>
      </c>
    </row>
    <row r="4368" spans="1:24" x14ac:dyDescent="0.25">
      <c r="A4368" s="45">
        <v>220210056660</v>
      </c>
      <c r="B4368" s="46" t="s">
        <v>204</v>
      </c>
      <c r="C4368" s="47">
        <v>44455</v>
      </c>
      <c r="D4368" s="45">
        <v>22021005979</v>
      </c>
      <c r="E4368" s="46" t="s">
        <v>1372</v>
      </c>
      <c r="F4368" s="48">
        <v>3629.46</v>
      </c>
      <c r="G4368" s="46" t="s">
        <v>290</v>
      </c>
      <c r="H4368" s="46" t="s">
        <v>5170</v>
      </c>
      <c r="I4368" s="45" t="s">
        <v>205</v>
      </c>
      <c r="J4368" s="46" t="s">
        <v>127</v>
      </c>
      <c r="K4368" s="46" t="s">
        <v>127</v>
      </c>
      <c r="L4368" s="46" t="s">
        <v>12</v>
      </c>
      <c r="M4368" s="46" t="s">
        <v>13</v>
      </c>
      <c r="N4368" s="46" t="s">
        <v>14</v>
      </c>
      <c r="O4368" s="49" t="s">
        <v>814</v>
      </c>
      <c r="P4368" s="49" t="s">
        <v>4910</v>
      </c>
      <c r="Q4368" s="35" t="str">
        <f>MID(Tabla1[[#This Row],[Aplicación]],14,1)</f>
        <v>2</v>
      </c>
      <c r="R4368" s="35" t="s">
        <v>495</v>
      </c>
      <c r="S4368" s="35" t="str">
        <f>MID(Tabla1[[#This Row],[Aplicación]],6,2)</f>
        <v>07</v>
      </c>
      <c r="T4368" s="35" t="str">
        <f>VLOOKUP(Tabla1[[#This Row],[AREA]],Hoja1!A:B,2,FALSE)</f>
        <v>07. Medio ambiente y desarrollo sostenible</v>
      </c>
      <c r="U4368" s="35" t="str">
        <f>MID(Tabla1[[#This Row],[Aplicación]],9,4)</f>
        <v>1711</v>
      </c>
      <c r="V4368" s="35" t="str">
        <f>VLOOKUP(Tabla1[[#This Row],[PROGRAMA]],Hoja1!A:B,2,FALSE)</f>
        <v>1711. Parques y jardines</v>
      </c>
      <c r="W4368" s="35" t="str">
        <f>MID(Tabla1[[#This Row],[Aplicación]],14,2)</f>
        <v>21</v>
      </c>
      <c r="X4368" s="35" t="str">
        <f>MID(Tabla1[[#This Row],[Aplicación]],14,6)</f>
        <v>213</v>
      </c>
    </row>
    <row r="4369" spans="1:24" x14ac:dyDescent="0.25">
      <c r="A4369" s="45">
        <v>220210056678</v>
      </c>
      <c r="B4369" s="46" t="s">
        <v>204</v>
      </c>
      <c r="C4369" s="47">
        <v>44455</v>
      </c>
      <c r="D4369" s="45">
        <v>22021005979</v>
      </c>
      <c r="E4369" s="46" t="s">
        <v>1372</v>
      </c>
      <c r="F4369" s="48">
        <v>6817.7</v>
      </c>
      <c r="G4369" s="46" t="s">
        <v>290</v>
      </c>
      <c r="H4369" s="46" t="s">
        <v>5170</v>
      </c>
      <c r="I4369" s="45" t="s">
        <v>205</v>
      </c>
      <c r="J4369" s="46" t="s">
        <v>127</v>
      </c>
      <c r="K4369" s="46" t="s">
        <v>127</v>
      </c>
      <c r="L4369" s="46" t="s">
        <v>12</v>
      </c>
      <c r="M4369" s="46" t="s">
        <v>13</v>
      </c>
      <c r="N4369" s="46" t="s">
        <v>14</v>
      </c>
      <c r="O4369" s="49" t="s">
        <v>814</v>
      </c>
      <c r="P4369" s="49" t="s">
        <v>4910</v>
      </c>
      <c r="Q4369" s="35" t="str">
        <f>MID(Tabla1[[#This Row],[Aplicación]],14,1)</f>
        <v>2</v>
      </c>
      <c r="R4369" s="35" t="s">
        <v>495</v>
      </c>
      <c r="S4369" s="35" t="str">
        <f>MID(Tabla1[[#This Row],[Aplicación]],6,2)</f>
        <v>07</v>
      </c>
      <c r="T4369" s="35" t="str">
        <f>VLOOKUP(Tabla1[[#This Row],[AREA]],Hoja1!A:B,2,FALSE)</f>
        <v>07. Medio ambiente y desarrollo sostenible</v>
      </c>
      <c r="U4369" s="35" t="str">
        <f>MID(Tabla1[[#This Row],[Aplicación]],9,4)</f>
        <v>1711</v>
      </c>
      <c r="V4369" s="35" t="str">
        <f>VLOOKUP(Tabla1[[#This Row],[PROGRAMA]],Hoja1!A:B,2,FALSE)</f>
        <v>1711. Parques y jardines</v>
      </c>
      <c r="W4369" s="35" t="str">
        <f>MID(Tabla1[[#This Row],[Aplicación]],14,2)</f>
        <v>21</v>
      </c>
      <c r="X4369" s="35" t="str">
        <f>MID(Tabla1[[#This Row],[Aplicación]],14,6)</f>
        <v>213</v>
      </c>
    </row>
    <row r="4370" spans="1:24" x14ac:dyDescent="0.25">
      <c r="A4370" s="45">
        <v>220210045182</v>
      </c>
      <c r="B4370" s="46" t="s">
        <v>204</v>
      </c>
      <c r="C4370" s="47">
        <v>44411</v>
      </c>
      <c r="D4370" s="45">
        <v>22021002143</v>
      </c>
      <c r="E4370" s="46" t="s">
        <v>1328</v>
      </c>
      <c r="F4370" s="48">
        <v>1.8</v>
      </c>
      <c r="G4370" s="46" t="s">
        <v>266</v>
      </c>
      <c r="H4370" s="46" t="s">
        <v>6012</v>
      </c>
      <c r="I4370" s="45" t="s">
        <v>205</v>
      </c>
      <c r="J4370" s="46" t="s">
        <v>127</v>
      </c>
      <c r="K4370" s="46" t="s">
        <v>127</v>
      </c>
      <c r="L4370" s="46" t="s">
        <v>15</v>
      </c>
      <c r="M4370" s="46" t="s">
        <v>13</v>
      </c>
      <c r="N4370" s="46" t="s">
        <v>14</v>
      </c>
      <c r="O4370" s="49" t="s">
        <v>814</v>
      </c>
      <c r="P4370" s="49" t="s">
        <v>4910</v>
      </c>
      <c r="Q4370" s="35" t="str">
        <f>MID(Tabla1[[#This Row],[Aplicación]],14,1)</f>
        <v>2</v>
      </c>
      <c r="R4370" s="35" t="s">
        <v>495</v>
      </c>
      <c r="S4370" s="35" t="str">
        <f>MID(Tabla1[[#This Row],[Aplicación]],6,2)</f>
        <v>10</v>
      </c>
      <c r="T4370" s="35" t="str">
        <f>VLOOKUP(Tabla1[[#This Row],[AREA]],Hoja1!A:B,2,FALSE)</f>
        <v>10. Servicios sociales y mediación comunitaria</v>
      </c>
      <c r="U4370" s="35" t="str">
        <f>MID(Tabla1[[#This Row],[Aplicación]],9,4)</f>
        <v>2311</v>
      </c>
      <c r="V4370" s="35" t="str">
        <f>VLOOKUP(Tabla1[[#This Row],[PROGRAMA]],Hoja1!A:B,2,FALSE)</f>
        <v>2311. Intervención social</v>
      </c>
      <c r="W4370" s="35" t="str">
        <f>MID(Tabla1[[#This Row],[Aplicación]],14,2)</f>
        <v>21</v>
      </c>
      <c r="X4370" s="35" t="str">
        <f>MID(Tabla1[[#This Row],[Aplicación]],14,6)</f>
        <v>212</v>
      </c>
    </row>
    <row r="4371" spans="1:24" x14ac:dyDescent="0.25">
      <c r="A4371" s="45">
        <v>220210063197</v>
      </c>
      <c r="B4371" s="46" t="s">
        <v>204</v>
      </c>
      <c r="C4371" s="47">
        <v>44469</v>
      </c>
      <c r="D4371" s="45">
        <v>22021001275</v>
      </c>
      <c r="E4371" s="46" t="s">
        <v>1334</v>
      </c>
      <c r="F4371" s="48">
        <v>1039.2</v>
      </c>
      <c r="G4371" s="46" t="s">
        <v>135</v>
      </c>
      <c r="H4371" s="46" t="s">
        <v>1461</v>
      </c>
      <c r="I4371" s="45" t="s">
        <v>205</v>
      </c>
      <c r="J4371" s="46" t="s">
        <v>127</v>
      </c>
      <c r="K4371" s="46" t="s">
        <v>127</v>
      </c>
      <c r="L4371" s="46" t="s">
        <v>15</v>
      </c>
      <c r="M4371" s="46" t="s">
        <v>13</v>
      </c>
      <c r="N4371" s="46" t="s">
        <v>14</v>
      </c>
      <c r="O4371" s="49" t="s">
        <v>814</v>
      </c>
      <c r="P4371" s="49" t="s">
        <v>4910</v>
      </c>
      <c r="Q4371" s="35" t="str">
        <f>MID(Tabla1[[#This Row],[Aplicación]],14,1)</f>
        <v>2</v>
      </c>
      <c r="R4371" s="35" t="s">
        <v>495</v>
      </c>
      <c r="S4371" s="35" t="str">
        <f>MID(Tabla1[[#This Row],[Aplicación]],6,2)</f>
        <v>07</v>
      </c>
      <c r="T4371" s="35" t="str">
        <f>VLOOKUP(Tabla1[[#This Row],[AREA]],Hoja1!A:B,2,FALSE)</f>
        <v>07. Medio ambiente y desarrollo sostenible</v>
      </c>
      <c r="U4371" s="35" t="str">
        <f>MID(Tabla1[[#This Row],[Aplicación]],9,4)</f>
        <v>1711</v>
      </c>
      <c r="V4371" s="35" t="str">
        <f>VLOOKUP(Tabla1[[#This Row],[PROGRAMA]],Hoja1!A:B,2,FALSE)</f>
        <v>1711. Parques y jardines</v>
      </c>
      <c r="W4371" s="35" t="str">
        <f>MID(Tabla1[[#This Row],[Aplicación]],14,2)</f>
        <v>22</v>
      </c>
      <c r="X4371" s="35" t="str">
        <f>MID(Tabla1[[#This Row],[Aplicación]],14,6)</f>
        <v>22199</v>
      </c>
    </row>
    <row r="4372" spans="1:24" x14ac:dyDescent="0.25">
      <c r="A4372" s="45">
        <v>220210045184</v>
      </c>
      <c r="B4372" s="46" t="s">
        <v>204</v>
      </c>
      <c r="C4372" s="47">
        <v>44411</v>
      </c>
      <c r="D4372" s="45">
        <v>22021002144</v>
      </c>
      <c r="E4372" s="46" t="s">
        <v>1328</v>
      </c>
      <c r="F4372" s="48">
        <v>62.61</v>
      </c>
      <c r="G4372" s="46" t="s">
        <v>266</v>
      </c>
      <c r="H4372" s="46" t="s">
        <v>6013</v>
      </c>
      <c r="I4372" s="45" t="s">
        <v>205</v>
      </c>
      <c r="J4372" s="46" t="s">
        <v>127</v>
      </c>
      <c r="K4372" s="46" t="s">
        <v>127</v>
      </c>
      <c r="L4372" s="46" t="s">
        <v>15</v>
      </c>
      <c r="M4372" s="46" t="s">
        <v>13</v>
      </c>
      <c r="N4372" s="46" t="s">
        <v>14</v>
      </c>
      <c r="O4372" s="49" t="s">
        <v>814</v>
      </c>
      <c r="P4372" s="49" t="s">
        <v>4910</v>
      </c>
      <c r="Q4372" s="35" t="str">
        <f>MID(Tabla1[[#This Row],[Aplicación]],14,1)</f>
        <v>2</v>
      </c>
      <c r="R4372" s="35" t="s">
        <v>495</v>
      </c>
      <c r="S4372" s="35" t="str">
        <f>MID(Tabla1[[#This Row],[Aplicación]],6,2)</f>
        <v>10</v>
      </c>
      <c r="T4372" s="35" t="str">
        <f>VLOOKUP(Tabla1[[#This Row],[AREA]],Hoja1!A:B,2,FALSE)</f>
        <v>10. Servicios sociales y mediación comunitaria</v>
      </c>
      <c r="U4372" s="35" t="str">
        <f>MID(Tabla1[[#This Row],[Aplicación]],9,4)</f>
        <v>2311</v>
      </c>
      <c r="V4372" s="35" t="str">
        <f>VLOOKUP(Tabla1[[#This Row],[PROGRAMA]],Hoja1!A:B,2,FALSE)</f>
        <v>2311. Intervención social</v>
      </c>
      <c r="W4372" s="35" t="str">
        <f>MID(Tabla1[[#This Row],[Aplicación]],14,2)</f>
        <v>21</v>
      </c>
      <c r="X4372" s="35" t="str">
        <f>MID(Tabla1[[#This Row],[Aplicación]],14,6)</f>
        <v>212</v>
      </c>
    </row>
    <row r="4373" spans="1:24" x14ac:dyDescent="0.25">
      <c r="A4373" s="45">
        <v>220210058937</v>
      </c>
      <c r="B4373" s="46" t="s">
        <v>9</v>
      </c>
      <c r="C4373" s="47">
        <v>44462</v>
      </c>
      <c r="D4373" s="45">
        <v>22021006592</v>
      </c>
      <c r="E4373" s="46" t="s">
        <v>1336</v>
      </c>
      <c r="F4373" s="48">
        <v>357</v>
      </c>
      <c r="G4373" s="46" t="s">
        <v>6014</v>
      </c>
      <c r="H4373" s="46" t="s">
        <v>6015</v>
      </c>
      <c r="I4373" s="45" t="s">
        <v>125</v>
      </c>
      <c r="J4373" s="46" t="s">
        <v>613</v>
      </c>
      <c r="K4373" s="46" t="s">
        <v>127</v>
      </c>
      <c r="L4373" s="46" t="s">
        <v>15</v>
      </c>
      <c r="M4373" s="46" t="s">
        <v>10</v>
      </c>
      <c r="N4373" s="46" t="s">
        <v>14</v>
      </c>
      <c r="O4373" s="49" t="s">
        <v>815</v>
      </c>
      <c r="P4373" s="49" t="s">
        <v>4910</v>
      </c>
      <c r="Q4373" s="35" t="str">
        <f>MID(Tabla1[[#This Row],[Aplicación]],14,1)</f>
        <v>2</v>
      </c>
      <c r="R4373" s="35" t="s">
        <v>495</v>
      </c>
      <c r="S4373" s="35" t="str">
        <f>MID(Tabla1[[#This Row],[Aplicación]],6,2)</f>
        <v>02</v>
      </c>
      <c r="T4373" s="35" t="str">
        <f>VLOOKUP(Tabla1[[#This Row],[AREA]],Hoja1!A:B,2,FALSE)</f>
        <v>02. Planeamiento urbanístico y vivienda</v>
      </c>
      <c r="U4373" s="35" t="str">
        <f>MID(Tabla1[[#This Row],[Aplicación]],9,4)</f>
        <v>9332</v>
      </c>
      <c r="V4373" s="35" t="str">
        <f>VLOOKUP(Tabla1[[#This Row],[PROGRAMA]],Hoja1!A:B,2,FALSE)</f>
        <v>9332. Mantenimiento de edificios e instalaciones municipales</v>
      </c>
      <c r="W4373" s="35" t="str">
        <f>MID(Tabla1[[#This Row],[Aplicación]],14,2)</f>
        <v>21</v>
      </c>
      <c r="X4373" s="35" t="str">
        <f>MID(Tabla1[[#This Row],[Aplicación]],14,6)</f>
        <v>212</v>
      </c>
    </row>
    <row r="4374" spans="1:24" x14ac:dyDescent="0.25">
      <c r="A4374" s="45">
        <v>220210056726</v>
      </c>
      <c r="B4374" s="46" t="s">
        <v>204</v>
      </c>
      <c r="C4374" s="47">
        <v>44455</v>
      </c>
      <c r="D4374" s="45">
        <v>22021005946</v>
      </c>
      <c r="E4374" s="46" t="s">
        <v>1167</v>
      </c>
      <c r="F4374" s="48">
        <v>500.89</v>
      </c>
      <c r="G4374" s="46" t="s">
        <v>4088</v>
      </c>
      <c r="H4374" s="46" t="s">
        <v>6016</v>
      </c>
      <c r="I4374" s="45" t="s">
        <v>205</v>
      </c>
      <c r="J4374" s="46" t="s">
        <v>127</v>
      </c>
      <c r="K4374" s="46" t="s">
        <v>127</v>
      </c>
      <c r="L4374" s="46" t="s">
        <v>12</v>
      </c>
      <c r="M4374" s="46" t="s">
        <v>13</v>
      </c>
      <c r="N4374" s="46" t="s">
        <v>14</v>
      </c>
      <c r="O4374" s="49" t="s">
        <v>814</v>
      </c>
      <c r="P4374" s="49" t="s">
        <v>4910</v>
      </c>
      <c r="Q4374" s="35" t="str">
        <f>MID(Tabla1[[#This Row],[Aplicación]],14,1)</f>
        <v>2</v>
      </c>
      <c r="R4374" s="35" t="s">
        <v>495</v>
      </c>
      <c r="S4374" s="35" t="str">
        <f>MID(Tabla1[[#This Row],[Aplicación]],6,2)</f>
        <v>11</v>
      </c>
      <c r="T4374" s="35" t="str">
        <f>VLOOKUP(Tabla1[[#This Row],[AREA]],Hoja1!A:B,2,FALSE)</f>
        <v>11. Salud pública y seguridad ciudadana</v>
      </c>
      <c r="U4374" s="35" t="str">
        <f>MID(Tabla1[[#This Row],[Aplicación]],9,4)</f>
        <v>1321</v>
      </c>
      <c r="V4374" s="35" t="str">
        <f>VLOOKUP(Tabla1[[#This Row],[PROGRAMA]],Hoja1!A:B,2,FALSE)</f>
        <v>1321. Policía municipal</v>
      </c>
      <c r="W4374" s="35" t="str">
        <f>MID(Tabla1[[#This Row],[Aplicación]],14,2)</f>
        <v>21</v>
      </c>
      <c r="X4374" s="35" t="str">
        <f>MID(Tabla1[[#This Row],[Aplicación]],14,6)</f>
        <v>214</v>
      </c>
    </row>
    <row r="4375" spans="1:24" x14ac:dyDescent="0.25">
      <c r="A4375" s="45">
        <v>220210058714</v>
      </c>
      <c r="B4375" s="46" t="s">
        <v>204</v>
      </c>
      <c r="C4375" s="47">
        <v>44461</v>
      </c>
      <c r="D4375" s="45">
        <v>22021002865</v>
      </c>
      <c r="E4375" s="46" t="s">
        <v>832</v>
      </c>
      <c r="F4375" s="48">
        <v>7260</v>
      </c>
      <c r="G4375" s="46" t="s">
        <v>135</v>
      </c>
      <c r="H4375" s="46" t="s">
        <v>6017</v>
      </c>
      <c r="I4375" s="45" t="s">
        <v>205</v>
      </c>
      <c r="J4375" s="46" t="s">
        <v>127</v>
      </c>
      <c r="K4375" s="46" t="s">
        <v>127</v>
      </c>
      <c r="L4375" s="46" t="s">
        <v>15</v>
      </c>
      <c r="M4375" s="46" t="s">
        <v>13</v>
      </c>
      <c r="N4375" s="46" t="s">
        <v>14</v>
      </c>
      <c r="O4375" s="49" t="s">
        <v>803</v>
      </c>
      <c r="P4375" s="49" t="s">
        <v>4910</v>
      </c>
      <c r="Q4375" s="35" t="str">
        <f>MID(Tabla1[[#This Row],[Aplicación]],14,1)</f>
        <v>2</v>
      </c>
      <c r="R4375" s="35" t="s">
        <v>495</v>
      </c>
      <c r="S4375" s="35" t="str">
        <f>MID(Tabla1[[#This Row],[Aplicación]],6,2)</f>
        <v>11</v>
      </c>
      <c r="T4375" s="35" t="str">
        <f>VLOOKUP(Tabla1[[#This Row],[AREA]],Hoja1!A:B,2,FALSE)</f>
        <v>11. Salud pública y seguridad ciudadana</v>
      </c>
      <c r="U4375" s="35" t="str">
        <f>MID(Tabla1[[#This Row],[Aplicación]],9,4)</f>
        <v>1321</v>
      </c>
      <c r="V4375" s="35" t="str">
        <f>VLOOKUP(Tabla1[[#This Row],[PROGRAMA]],Hoja1!A:B,2,FALSE)</f>
        <v>1321. Policía municipal</v>
      </c>
      <c r="W4375" s="35" t="str">
        <f>MID(Tabla1[[#This Row],[Aplicación]],14,2)</f>
        <v>22</v>
      </c>
      <c r="X4375" s="35" t="str">
        <f>MID(Tabla1[[#This Row],[Aplicación]],14,6)</f>
        <v>22104</v>
      </c>
    </row>
    <row r="4376" spans="1:24" x14ac:dyDescent="0.25">
      <c r="A4376" s="45">
        <v>220210058628</v>
      </c>
      <c r="B4376" s="46" t="s">
        <v>204</v>
      </c>
      <c r="C4376" s="47">
        <v>44461</v>
      </c>
      <c r="D4376" s="45">
        <v>22021005946</v>
      </c>
      <c r="E4376" s="46" t="s">
        <v>1167</v>
      </c>
      <c r="F4376" s="48">
        <v>345.68</v>
      </c>
      <c r="G4376" s="46" t="s">
        <v>4088</v>
      </c>
      <c r="H4376" s="46" t="s">
        <v>6018</v>
      </c>
      <c r="I4376" s="45" t="s">
        <v>205</v>
      </c>
      <c r="J4376" s="46" t="s">
        <v>127</v>
      </c>
      <c r="K4376" s="46" t="s">
        <v>127</v>
      </c>
      <c r="L4376" s="46" t="s">
        <v>12</v>
      </c>
      <c r="M4376" s="46" t="s">
        <v>13</v>
      </c>
      <c r="N4376" s="46" t="s">
        <v>14</v>
      </c>
      <c r="O4376" s="49" t="s">
        <v>814</v>
      </c>
      <c r="P4376" s="49" t="s">
        <v>4910</v>
      </c>
      <c r="Q4376" s="35" t="str">
        <f>MID(Tabla1[[#This Row],[Aplicación]],14,1)</f>
        <v>2</v>
      </c>
      <c r="R4376" s="35" t="s">
        <v>495</v>
      </c>
      <c r="S4376" s="35" t="str">
        <f>MID(Tabla1[[#This Row],[Aplicación]],6,2)</f>
        <v>11</v>
      </c>
      <c r="T4376" s="35" t="str">
        <f>VLOOKUP(Tabla1[[#This Row],[AREA]],Hoja1!A:B,2,FALSE)</f>
        <v>11. Salud pública y seguridad ciudadana</v>
      </c>
      <c r="U4376" s="35" t="str">
        <f>MID(Tabla1[[#This Row],[Aplicación]],9,4)</f>
        <v>1321</v>
      </c>
      <c r="V4376" s="35" t="str">
        <f>VLOOKUP(Tabla1[[#This Row],[PROGRAMA]],Hoja1!A:B,2,FALSE)</f>
        <v>1321. Policía municipal</v>
      </c>
      <c r="W4376" s="35" t="str">
        <f>MID(Tabla1[[#This Row],[Aplicación]],14,2)</f>
        <v>21</v>
      </c>
      <c r="X4376" s="35" t="str">
        <f>MID(Tabla1[[#This Row],[Aplicación]],14,6)</f>
        <v>214</v>
      </c>
    </row>
    <row r="4377" spans="1:24" x14ac:dyDescent="0.25">
      <c r="A4377" s="45">
        <v>220210061287</v>
      </c>
      <c r="B4377" s="46" t="s">
        <v>204</v>
      </c>
      <c r="C4377" s="47">
        <v>44468</v>
      </c>
      <c r="D4377" s="45">
        <v>22021005946</v>
      </c>
      <c r="E4377" s="46" t="s">
        <v>1167</v>
      </c>
      <c r="F4377" s="48">
        <v>700.11</v>
      </c>
      <c r="G4377" s="46" t="s">
        <v>4088</v>
      </c>
      <c r="H4377" s="46" t="s">
        <v>6019</v>
      </c>
      <c r="I4377" s="45" t="s">
        <v>205</v>
      </c>
      <c r="J4377" s="46" t="s">
        <v>127</v>
      </c>
      <c r="K4377" s="46" t="s">
        <v>127</v>
      </c>
      <c r="L4377" s="46" t="s">
        <v>12</v>
      </c>
      <c r="M4377" s="46" t="s">
        <v>13</v>
      </c>
      <c r="N4377" s="46" t="s">
        <v>14</v>
      </c>
      <c r="O4377" s="49" t="s">
        <v>814</v>
      </c>
      <c r="P4377" s="49" t="s">
        <v>4910</v>
      </c>
      <c r="Q4377" s="35" t="str">
        <f>MID(Tabla1[[#This Row],[Aplicación]],14,1)</f>
        <v>2</v>
      </c>
      <c r="R4377" s="35" t="s">
        <v>495</v>
      </c>
      <c r="S4377" s="35" t="str">
        <f>MID(Tabla1[[#This Row],[Aplicación]],6,2)</f>
        <v>11</v>
      </c>
      <c r="T4377" s="35" t="str">
        <f>VLOOKUP(Tabla1[[#This Row],[AREA]],Hoja1!A:B,2,FALSE)</f>
        <v>11. Salud pública y seguridad ciudadana</v>
      </c>
      <c r="U4377" s="35" t="str">
        <f>MID(Tabla1[[#This Row],[Aplicación]],9,4)</f>
        <v>1321</v>
      </c>
      <c r="V4377" s="35" t="str">
        <f>VLOOKUP(Tabla1[[#This Row],[PROGRAMA]],Hoja1!A:B,2,FALSE)</f>
        <v>1321. Policía municipal</v>
      </c>
      <c r="W4377" s="35" t="str">
        <f>MID(Tabla1[[#This Row],[Aplicación]],14,2)</f>
        <v>21</v>
      </c>
      <c r="X4377" s="35" t="str">
        <f>MID(Tabla1[[#This Row],[Aplicación]],14,6)</f>
        <v>214</v>
      </c>
    </row>
    <row r="4378" spans="1:24" x14ac:dyDescent="0.25">
      <c r="A4378" s="45">
        <v>220210063202</v>
      </c>
      <c r="B4378" s="46" t="s">
        <v>204</v>
      </c>
      <c r="C4378" s="47">
        <v>44469</v>
      </c>
      <c r="D4378" s="45">
        <v>22021005981</v>
      </c>
      <c r="E4378" s="46" t="s">
        <v>1410</v>
      </c>
      <c r="F4378" s="48">
        <v>142.1</v>
      </c>
      <c r="G4378" s="46" t="s">
        <v>4088</v>
      </c>
      <c r="H4378" s="46" t="s">
        <v>6020</v>
      </c>
      <c r="I4378" s="45" t="s">
        <v>205</v>
      </c>
      <c r="J4378" s="46" t="s">
        <v>127</v>
      </c>
      <c r="K4378" s="46" t="s">
        <v>127</v>
      </c>
      <c r="L4378" s="46" t="s">
        <v>12</v>
      </c>
      <c r="M4378" s="46" t="s">
        <v>13</v>
      </c>
      <c r="N4378" s="46" t="s">
        <v>14</v>
      </c>
      <c r="O4378" s="49" t="s">
        <v>814</v>
      </c>
      <c r="P4378" s="49" t="s">
        <v>4910</v>
      </c>
      <c r="Q4378" s="35" t="str">
        <f>MID(Tabla1[[#This Row],[Aplicación]],14,1)</f>
        <v>2</v>
      </c>
      <c r="R4378" s="35" t="s">
        <v>495</v>
      </c>
      <c r="S4378" s="35" t="str">
        <f>MID(Tabla1[[#This Row],[Aplicación]],6,2)</f>
        <v>07</v>
      </c>
      <c r="T4378" s="35" t="str">
        <f>VLOOKUP(Tabla1[[#This Row],[AREA]],Hoja1!A:B,2,FALSE)</f>
        <v>07. Medio ambiente y desarrollo sostenible</v>
      </c>
      <c r="U4378" s="35" t="str">
        <f>MID(Tabla1[[#This Row],[Aplicación]],9,4)</f>
        <v>1711</v>
      </c>
      <c r="V4378" s="35" t="str">
        <f>VLOOKUP(Tabla1[[#This Row],[PROGRAMA]],Hoja1!A:B,2,FALSE)</f>
        <v>1711. Parques y jardines</v>
      </c>
      <c r="W4378" s="35" t="str">
        <f>MID(Tabla1[[#This Row],[Aplicación]],14,2)</f>
        <v>21</v>
      </c>
      <c r="X4378" s="35" t="str">
        <f>MID(Tabla1[[#This Row],[Aplicación]],14,6)</f>
        <v>214</v>
      </c>
    </row>
    <row r="4379" spans="1:24" x14ac:dyDescent="0.25">
      <c r="A4379" s="45">
        <v>220210059391</v>
      </c>
      <c r="B4379" s="46" t="s">
        <v>204</v>
      </c>
      <c r="C4379" s="47">
        <v>44466</v>
      </c>
      <c r="D4379" s="45">
        <v>22021001275</v>
      </c>
      <c r="E4379" s="46" t="s">
        <v>1334</v>
      </c>
      <c r="F4379" s="48">
        <v>312.12</v>
      </c>
      <c r="G4379" s="46" t="s">
        <v>257</v>
      </c>
      <c r="H4379" s="46" t="s">
        <v>1461</v>
      </c>
      <c r="I4379" s="45" t="s">
        <v>205</v>
      </c>
      <c r="J4379" s="46" t="s">
        <v>127</v>
      </c>
      <c r="K4379" s="46" t="s">
        <v>127</v>
      </c>
      <c r="L4379" s="46" t="s">
        <v>15</v>
      </c>
      <c r="M4379" s="46" t="s">
        <v>13</v>
      </c>
      <c r="N4379" s="46" t="s">
        <v>14</v>
      </c>
      <c r="O4379" s="49" t="s">
        <v>814</v>
      </c>
      <c r="P4379" s="49" t="s">
        <v>4910</v>
      </c>
      <c r="Q4379" s="35" t="str">
        <f>MID(Tabla1[[#This Row],[Aplicación]],14,1)</f>
        <v>2</v>
      </c>
      <c r="R4379" s="35" t="s">
        <v>495</v>
      </c>
      <c r="S4379" s="35" t="str">
        <f>MID(Tabla1[[#This Row],[Aplicación]],6,2)</f>
        <v>07</v>
      </c>
      <c r="T4379" s="35" t="str">
        <f>VLOOKUP(Tabla1[[#This Row],[AREA]],Hoja1!A:B,2,FALSE)</f>
        <v>07. Medio ambiente y desarrollo sostenible</v>
      </c>
      <c r="U4379" s="35" t="str">
        <f>MID(Tabla1[[#This Row],[Aplicación]],9,4)</f>
        <v>1711</v>
      </c>
      <c r="V4379" s="35" t="str">
        <f>VLOOKUP(Tabla1[[#This Row],[PROGRAMA]],Hoja1!A:B,2,FALSE)</f>
        <v>1711. Parques y jardines</v>
      </c>
      <c r="W4379" s="35" t="str">
        <f>MID(Tabla1[[#This Row],[Aplicación]],14,2)</f>
        <v>22</v>
      </c>
      <c r="X4379" s="35" t="str">
        <f>MID(Tabla1[[#This Row],[Aplicación]],14,6)</f>
        <v>22199</v>
      </c>
    </row>
    <row r="4380" spans="1:24" x14ac:dyDescent="0.25">
      <c r="A4380" s="45">
        <v>220210058922</v>
      </c>
      <c r="B4380" s="46" t="s">
        <v>9</v>
      </c>
      <c r="C4380" s="47">
        <v>44462</v>
      </c>
      <c r="D4380" s="45">
        <v>22021006621</v>
      </c>
      <c r="E4380" s="46" t="s">
        <v>1023</v>
      </c>
      <c r="F4380" s="48">
        <v>1112</v>
      </c>
      <c r="G4380" s="46" t="s">
        <v>6021</v>
      </c>
      <c r="H4380" s="46" t="s">
        <v>6022</v>
      </c>
      <c r="I4380" s="45" t="s">
        <v>125</v>
      </c>
      <c r="J4380" s="46" t="s">
        <v>6023</v>
      </c>
      <c r="K4380" s="46" t="s">
        <v>127</v>
      </c>
      <c r="L4380" s="46" t="s">
        <v>15</v>
      </c>
      <c r="M4380" s="46" t="s">
        <v>10</v>
      </c>
      <c r="N4380" s="46" t="s">
        <v>11</v>
      </c>
      <c r="O4380" s="49" t="s">
        <v>815</v>
      </c>
      <c r="P4380" s="49" t="s">
        <v>4910</v>
      </c>
      <c r="Q4380" s="35" t="str">
        <f>MID(Tabla1[[#This Row],[Aplicación]],14,1)</f>
        <v>2</v>
      </c>
      <c r="R4380" s="35" t="s">
        <v>495</v>
      </c>
      <c r="S4380" s="35" t="str">
        <f>MID(Tabla1[[#This Row],[Aplicación]],6,2)</f>
        <v>11</v>
      </c>
      <c r="T4380" s="35" t="str">
        <f>VLOOKUP(Tabla1[[#This Row],[AREA]],Hoja1!A:B,2,FALSE)</f>
        <v>11. Salud pública y seguridad ciudadana</v>
      </c>
      <c r="U4380" s="35" t="str">
        <f>MID(Tabla1[[#This Row],[Aplicación]],9,4)</f>
        <v>3111</v>
      </c>
      <c r="V4380" s="35" t="str">
        <f>VLOOKUP(Tabla1[[#This Row],[PROGRAMA]],Hoja1!A:B,2,FALSE)</f>
        <v>3111. Protección de la salubridad pública</v>
      </c>
      <c r="W4380" s="35" t="str">
        <f>MID(Tabla1[[#This Row],[Aplicación]],14,2)</f>
        <v>20</v>
      </c>
      <c r="X4380" s="35" t="str">
        <f>MID(Tabla1[[#This Row],[Aplicación]],14,6)</f>
        <v>203</v>
      </c>
    </row>
    <row r="4381" spans="1:24" x14ac:dyDescent="0.25">
      <c r="A4381" s="45">
        <v>220210062277</v>
      </c>
      <c r="B4381" s="46" t="s">
        <v>9</v>
      </c>
      <c r="C4381" s="47">
        <v>44469</v>
      </c>
      <c r="D4381" s="45">
        <v>22021006731</v>
      </c>
      <c r="E4381" s="46" t="s">
        <v>1187</v>
      </c>
      <c r="F4381" s="48">
        <v>880</v>
      </c>
      <c r="G4381" s="46" t="s">
        <v>67</v>
      </c>
      <c r="H4381" s="46" t="s">
        <v>6024</v>
      </c>
      <c r="I4381" s="45" t="s">
        <v>125</v>
      </c>
      <c r="J4381" s="46" t="s">
        <v>127</v>
      </c>
      <c r="K4381" s="46" t="s">
        <v>127</v>
      </c>
      <c r="L4381" s="46" t="s">
        <v>12</v>
      </c>
      <c r="M4381" s="46" t="s">
        <v>10</v>
      </c>
      <c r="N4381" s="46" t="s">
        <v>11</v>
      </c>
      <c r="O4381" s="49" t="s">
        <v>815</v>
      </c>
      <c r="P4381" s="49" t="s">
        <v>4910</v>
      </c>
      <c r="Q4381" s="35" t="str">
        <f>MID(Tabla1[[#This Row],[Aplicación]],14,1)</f>
        <v>2</v>
      </c>
      <c r="R4381" s="35" t="s">
        <v>495</v>
      </c>
      <c r="S4381" s="35" t="str">
        <f>MID(Tabla1[[#This Row],[Aplicación]],6,2)</f>
        <v>06</v>
      </c>
      <c r="T4381" s="35" t="str">
        <f>VLOOKUP(Tabla1[[#This Row],[AREA]],Hoja1!A:B,2,FALSE)</f>
        <v>06. Educación, infancia, juventud e igualdad</v>
      </c>
      <c r="U4381" s="35" t="str">
        <f>MID(Tabla1[[#This Row],[Aplicación]],9,4)</f>
        <v>2315</v>
      </c>
      <c r="V4381" s="35" t="str">
        <f>VLOOKUP(Tabla1[[#This Row],[PROGRAMA]],Hoja1!A:B,2,FALSE)</f>
        <v>2315. Políticas de Igualdad e infancia</v>
      </c>
      <c r="W4381" s="35" t="str">
        <f>MID(Tabla1[[#This Row],[Aplicación]],14,2)</f>
        <v>22</v>
      </c>
      <c r="X4381" s="35" t="str">
        <f>MID(Tabla1[[#This Row],[Aplicación]],14,6)</f>
        <v>22611</v>
      </c>
    </row>
    <row r="4382" spans="1:24" x14ac:dyDescent="0.25">
      <c r="A4382" s="45">
        <v>220210058828</v>
      </c>
      <c r="B4382" s="46" t="s">
        <v>204</v>
      </c>
      <c r="C4382" s="47">
        <v>44462</v>
      </c>
      <c r="D4382" s="45">
        <v>22021002378</v>
      </c>
      <c r="E4382" s="46" t="s">
        <v>1228</v>
      </c>
      <c r="F4382" s="48">
        <v>65.84</v>
      </c>
      <c r="G4382" s="46" t="s">
        <v>6025</v>
      </c>
      <c r="H4382" s="46" t="s">
        <v>6026</v>
      </c>
      <c r="I4382" s="45" t="s">
        <v>205</v>
      </c>
      <c r="J4382" s="46" t="s">
        <v>127</v>
      </c>
      <c r="K4382" s="46" t="s">
        <v>127</v>
      </c>
      <c r="L4382" s="46" t="s">
        <v>15</v>
      </c>
      <c r="M4382" s="46" t="s">
        <v>13</v>
      </c>
      <c r="N4382" s="46" t="s">
        <v>14</v>
      </c>
      <c r="O4382" s="49" t="s">
        <v>814</v>
      </c>
      <c r="P4382" s="49" t="s">
        <v>4910</v>
      </c>
      <c r="Q4382" s="35" t="str">
        <f>MID(Tabla1[[#This Row],[Aplicación]],14,1)</f>
        <v>2</v>
      </c>
      <c r="R4382" s="35" t="s">
        <v>495</v>
      </c>
      <c r="S4382" s="35" t="str">
        <f>MID(Tabla1[[#This Row],[Aplicación]],6,2)</f>
        <v>02</v>
      </c>
      <c r="T4382" s="35" t="str">
        <f>VLOOKUP(Tabla1[[#This Row],[AREA]],Hoja1!A:B,2,FALSE)</f>
        <v>02. Planeamiento urbanístico y vivienda</v>
      </c>
      <c r="U4382" s="35" t="str">
        <f>MID(Tabla1[[#This Row],[Aplicación]],9,4)</f>
        <v>9332</v>
      </c>
      <c r="V4382" s="35" t="str">
        <f>VLOOKUP(Tabla1[[#This Row],[PROGRAMA]],Hoja1!A:B,2,FALSE)</f>
        <v>9332. Mantenimiento de edificios e instalaciones municipales</v>
      </c>
      <c r="W4382" s="35" t="str">
        <f>MID(Tabla1[[#This Row],[Aplicación]],14,2)</f>
        <v>21</v>
      </c>
      <c r="X4382" s="35" t="str">
        <f>MID(Tabla1[[#This Row],[Aplicación]],14,6)</f>
        <v>214</v>
      </c>
    </row>
    <row r="4383" spans="1:24" x14ac:dyDescent="0.25">
      <c r="A4383" s="45">
        <v>220210056535</v>
      </c>
      <c r="B4383" s="46" t="s">
        <v>204</v>
      </c>
      <c r="C4383" s="47">
        <v>44455</v>
      </c>
      <c r="D4383" s="45">
        <v>22021003381</v>
      </c>
      <c r="E4383" s="46" t="s">
        <v>1183</v>
      </c>
      <c r="F4383" s="48">
        <v>5.65</v>
      </c>
      <c r="G4383" s="46" t="s">
        <v>271</v>
      </c>
      <c r="H4383" s="46" t="s">
        <v>6027</v>
      </c>
      <c r="I4383" s="45" t="s">
        <v>205</v>
      </c>
      <c r="J4383" s="46" t="s">
        <v>127</v>
      </c>
      <c r="K4383" s="46" t="s">
        <v>127</v>
      </c>
      <c r="L4383" s="46" t="s">
        <v>15</v>
      </c>
      <c r="M4383" s="46" t="s">
        <v>13</v>
      </c>
      <c r="N4383" s="46" t="s">
        <v>14</v>
      </c>
      <c r="O4383" s="49" t="s">
        <v>814</v>
      </c>
      <c r="P4383" s="49" t="s">
        <v>4910</v>
      </c>
      <c r="Q4383" s="35" t="str">
        <f>MID(Tabla1[[#This Row],[Aplicación]],14,1)</f>
        <v>2</v>
      </c>
      <c r="R4383" s="35" t="s">
        <v>495</v>
      </c>
      <c r="S4383" s="35" t="str">
        <f>MID(Tabla1[[#This Row],[Aplicación]],6,2)</f>
        <v>11</v>
      </c>
      <c r="T4383" s="35" t="str">
        <f>VLOOKUP(Tabla1[[#This Row],[AREA]],Hoja1!A:B,2,FALSE)</f>
        <v>11. Salud pública y seguridad ciudadana</v>
      </c>
      <c r="U4383" s="35" t="str">
        <f>MID(Tabla1[[#This Row],[Aplicación]],9,4)</f>
        <v>1361</v>
      </c>
      <c r="V4383" s="35" t="str">
        <f>VLOOKUP(Tabla1[[#This Row],[PROGRAMA]],Hoja1!A:B,2,FALSE)</f>
        <v>1361. Prevención y extinción de incencios</v>
      </c>
      <c r="W4383" s="35" t="str">
        <f>MID(Tabla1[[#This Row],[Aplicación]],14,2)</f>
        <v>22</v>
      </c>
      <c r="X4383" s="35" t="str">
        <f>MID(Tabla1[[#This Row],[Aplicación]],14,6)</f>
        <v>22199</v>
      </c>
    </row>
    <row r="4384" spans="1:24" x14ac:dyDescent="0.25">
      <c r="A4384" s="45">
        <v>220210058320</v>
      </c>
      <c r="B4384" s="46" t="s">
        <v>9</v>
      </c>
      <c r="C4384" s="47">
        <v>44460</v>
      </c>
      <c r="D4384" s="45">
        <v>22021006558</v>
      </c>
      <c r="E4384" s="46" t="s">
        <v>1478</v>
      </c>
      <c r="F4384" s="48">
        <v>1049.19</v>
      </c>
      <c r="G4384" s="46" t="s">
        <v>4947</v>
      </c>
      <c r="H4384" s="46" t="s">
        <v>6028</v>
      </c>
      <c r="I4384" s="45" t="s">
        <v>125</v>
      </c>
      <c r="J4384" s="46" t="s">
        <v>127</v>
      </c>
      <c r="K4384" s="46" t="s">
        <v>127</v>
      </c>
      <c r="L4384" s="46" t="s">
        <v>15</v>
      </c>
      <c r="M4384" s="46" t="s">
        <v>10</v>
      </c>
      <c r="N4384" s="46" t="s">
        <v>11</v>
      </c>
      <c r="O4384" s="49" t="s">
        <v>815</v>
      </c>
      <c r="P4384" s="49" t="s">
        <v>4910</v>
      </c>
      <c r="Q4384" s="35" t="str">
        <f>MID(Tabla1[[#This Row],[Aplicación]],14,1)</f>
        <v>2</v>
      </c>
      <c r="R4384" s="35" t="s">
        <v>495</v>
      </c>
      <c r="S4384" s="35" t="str">
        <f>MID(Tabla1[[#This Row],[Aplicación]],6,2)</f>
        <v>03</v>
      </c>
      <c r="T4384" s="35" t="str">
        <f>VLOOKUP(Tabla1[[#This Row],[AREA]],Hoja1!A:B,2,FALSE)</f>
        <v>03. Participación ciudadana y deportes</v>
      </c>
      <c r="U4384" s="35" t="str">
        <f>MID(Tabla1[[#This Row],[Aplicación]],9,4)</f>
        <v>9241</v>
      </c>
      <c r="V4384" s="35" t="str">
        <f>VLOOKUP(Tabla1[[#This Row],[PROGRAMA]],Hoja1!A:B,2,FALSE)</f>
        <v>9241. Participación ciudadana</v>
      </c>
      <c r="W4384" s="35" t="str">
        <f>MID(Tabla1[[#This Row],[Aplicación]],14,2)</f>
        <v>21</v>
      </c>
      <c r="X4384" s="35" t="str">
        <f>MID(Tabla1[[#This Row],[Aplicación]],14,6)</f>
        <v>212</v>
      </c>
    </row>
    <row r="4385" spans="1:24" x14ac:dyDescent="0.25">
      <c r="A4385" s="45">
        <v>220210059123</v>
      </c>
      <c r="B4385" s="46" t="s">
        <v>204</v>
      </c>
      <c r="C4385" s="47">
        <v>44466</v>
      </c>
      <c r="D4385" s="45">
        <v>22021003950</v>
      </c>
      <c r="E4385" s="46" t="s">
        <v>1415</v>
      </c>
      <c r="F4385" s="48">
        <v>6669.61</v>
      </c>
      <c r="G4385" s="46" t="s">
        <v>3557</v>
      </c>
      <c r="H4385" s="46" t="s">
        <v>6029</v>
      </c>
      <c r="I4385" s="45" t="s">
        <v>205</v>
      </c>
      <c r="J4385" s="46" t="s">
        <v>127</v>
      </c>
      <c r="K4385" s="46" t="s">
        <v>127</v>
      </c>
      <c r="L4385" s="46" t="s">
        <v>12</v>
      </c>
      <c r="M4385" s="46" t="s">
        <v>13</v>
      </c>
      <c r="N4385" s="46" t="s">
        <v>14</v>
      </c>
      <c r="O4385" s="49" t="s">
        <v>803</v>
      </c>
      <c r="P4385" s="49" t="s">
        <v>4910</v>
      </c>
      <c r="Q4385" s="35" t="str">
        <f>MID(Tabla1[[#This Row],[Aplicación]],14,1)</f>
        <v>2</v>
      </c>
      <c r="R4385" s="35" t="s">
        <v>495</v>
      </c>
      <c r="S4385" s="35" t="str">
        <f>MID(Tabla1[[#This Row],[Aplicación]],6,2)</f>
        <v>10</v>
      </c>
      <c r="T4385" s="35" t="str">
        <f>VLOOKUP(Tabla1[[#This Row],[AREA]],Hoja1!A:B,2,FALSE)</f>
        <v>10. Servicios sociales y mediación comunitaria</v>
      </c>
      <c r="U4385" s="35" t="str">
        <f>MID(Tabla1[[#This Row],[Aplicación]],9,4)</f>
        <v>2312</v>
      </c>
      <c r="V4385" s="35" t="str">
        <f>VLOOKUP(Tabla1[[#This Row],[PROGRAMA]],Hoja1!A:B,2,FALSE)</f>
        <v>2312. Iniciativas sociales</v>
      </c>
      <c r="W4385" s="35" t="str">
        <f>MID(Tabla1[[#This Row],[Aplicación]],14,2)</f>
        <v>22</v>
      </c>
      <c r="X4385" s="35" t="str">
        <f>MID(Tabla1[[#This Row],[Aplicación]],14,6)</f>
        <v>22799</v>
      </c>
    </row>
    <row r="4386" spans="1:24" x14ac:dyDescent="0.25">
      <c r="A4386" s="45">
        <v>220210058923</v>
      </c>
      <c r="B4386" s="46" t="s">
        <v>9</v>
      </c>
      <c r="C4386" s="47">
        <v>44462</v>
      </c>
      <c r="D4386" s="45">
        <v>22021006622</v>
      </c>
      <c r="E4386" s="46" t="s">
        <v>1596</v>
      </c>
      <c r="F4386" s="48">
        <v>215.99</v>
      </c>
      <c r="G4386" s="46" t="s">
        <v>6030</v>
      </c>
      <c r="H4386" s="46" t="s">
        <v>6031</v>
      </c>
      <c r="I4386" s="45" t="s">
        <v>125</v>
      </c>
      <c r="J4386" s="46" t="s">
        <v>127</v>
      </c>
      <c r="K4386" s="46" t="s">
        <v>127</v>
      </c>
      <c r="L4386" s="46" t="s">
        <v>15</v>
      </c>
      <c r="M4386" s="46" t="s">
        <v>10</v>
      </c>
      <c r="N4386" s="46" t="s">
        <v>11</v>
      </c>
      <c r="O4386" s="49" t="s">
        <v>815</v>
      </c>
      <c r="P4386" s="49" t="s">
        <v>4910</v>
      </c>
      <c r="Q4386" s="35" t="str">
        <f>MID(Tabla1[[#This Row],[Aplicación]],14,1)</f>
        <v>2</v>
      </c>
      <c r="R4386" s="35" t="s">
        <v>495</v>
      </c>
      <c r="S4386" s="35" t="str">
        <f>MID(Tabla1[[#This Row],[Aplicación]],6,2)</f>
        <v>11</v>
      </c>
      <c r="T4386" s="35" t="str">
        <f>VLOOKUP(Tabla1[[#This Row],[AREA]],Hoja1!A:B,2,FALSE)</f>
        <v>11. Salud pública y seguridad ciudadana</v>
      </c>
      <c r="U4386" s="35" t="str">
        <f>MID(Tabla1[[#This Row],[Aplicación]],9,4)</f>
        <v>1321</v>
      </c>
      <c r="V4386" s="35" t="str">
        <f>VLOOKUP(Tabla1[[#This Row],[PROGRAMA]],Hoja1!A:B,2,FALSE)</f>
        <v>1321. Policía municipal</v>
      </c>
      <c r="W4386" s="35" t="str">
        <f>MID(Tabla1[[#This Row],[Aplicación]],14,2)</f>
        <v>22</v>
      </c>
      <c r="X4386" s="35" t="str">
        <f>MID(Tabla1[[#This Row],[Aplicación]],14,6)</f>
        <v>22699</v>
      </c>
    </row>
    <row r="4387" spans="1:24" x14ac:dyDescent="0.25">
      <c r="A4387" s="45">
        <v>220210061342</v>
      </c>
      <c r="B4387" s="46" t="s">
        <v>9</v>
      </c>
      <c r="C4387" s="47">
        <v>44468</v>
      </c>
      <c r="D4387" s="45">
        <v>22021006682</v>
      </c>
      <c r="E4387" s="46" t="s">
        <v>3333</v>
      </c>
      <c r="F4387" s="48">
        <v>350</v>
      </c>
      <c r="G4387" s="46" t="s">
        <v>1248</v>
      </c>
      <c r="H4387" s="46" t="s">
        <v>6032</v>
      </c>
      <c r="I4387" s="45" t="s">
        <v>125</v>
      </c>
      <c r="J4387" s="46" t="s">
        <v>126</v>
      </c>
      <c r="K4387" s="46" t="s">
        <v>126</v>
      </c>
      <c r="L4387" s="46" t="s">
        <v>12</v>
      </c>
      <c r="M4387" s="46" t="s">
        <v>10</v>
      </c>
      <c r="N4387" s="46" t="s">
        <v>11</v>
      </c>
      <c r="O4387" s="49" t="s">
        <v>815</v>
      </c>
      <c r="P4387" s="49" t="s">
        <v>4910</v>
      </c>
      <c r="Q4387" s="35" t="str">
        <f>MID(Tabla1[[#This Row],[Aplicación]],14,1)</f>
        <v>2</v>
      </c>
      <c r="R4387" s="35" t="s">
        <v>495</v>
      </c>
      <c r="S4387" s="35" t="str">
        <f>MID(Tabla1[[#This Row],[Aplicación]],6,2)</f>
        <v>10</v>
      </c>
      <c r="T4387" s="35" t="str">
        <f>VLOOKUP(Tabla1[[#This Row],[AREA]],Hoja1!A:B,2,FALSE)</f>
        <v>10. Servicios sociales y mediación comunitaria</v>
      </c>
      <c r="U4387" s="35" t="str">
        <f>MID(Tabla1[[#This Row],[Aplicación]],9,4)</f>
        <v>2316</v>
      </c>
      <c r="V4387" s="35" t="str">
        <f>VLOOKUP(Tabla1[[#This Row],[PROGRAMA]],Hoja1!A:B,2,FALSE)</f>
        <v>2316. Mediación comunitaria</v>
      </c>
      <c r="W4387" s="35" t="str">
        <f>MID(Tabla1[[#This Row],[Aplicación]],14,2)</f>
        <v>22</v>
      </c>
      <c r="X4387" s="35" t="str">
        <f>MID(Tabla1[[#This Row],[Aplicación]],14,6)</f>
        <v>22616</v>
      </c>
    </row>
    <row r="4388" spans="1:24" x14ac:dyDescent="0.25">
      <c r="A4388" s="45">
        <v>220210059025</v>
      </c>
      <c r="B4388" s="46" t="s">
        <v>9</v>
      </c>
      <c r="C4388" s="47">
        <v>44463</v>
      </c>
      <c r="D4388" s="45">
        <v>22021006512</v>
      </c>
      <c r="E4388" s="46" t="s">
        <v>1187</v>
      </c>
      <c r="F4388" s="48">
        <v>2931.83</v>
      </c>
      <c r="G4388" s="46" t="s">
        <v>4991</v>
      </c>
      <c r="H4388" s="46" t="s">
        <v>6033</v>
      </c>
      <c r="I4388" s="45" t="s">
        <v>125</v>
      </c>
      <c r="J4388" s="46" t="s">
        <v>127</v>
      </c>
      <c r="K4388" s="46" t="s">
        <v>127</v>
      </c>
      <c r="L4388" s="46" t="s">
        <v>12</v>
      </c>
      <c r="M4388" s="46" t="s">
        <v>10</v>
      </c>
      <c r="N4388" s="46" t="s">
        <v>11</v>
      </c>
      <c r="O4388" s="49" t="s">
        <v>815</v>
      </c>
      <c r="P4388" s="49" t="s">
        <v>4910</v>
      </c>
      <c r="Q4388" s="35" t="str">
        <f>MID(Tabla1[[#This Row],[Aplicación]],14,1)</f>
        <v>2</v>
      </c>
      <c r="R4388" s="35" t="s">
        <v>495</v>
      </c>
      <c r="S4388" s="35" t="str">
        <f>MID(Tabla1[[#This Row],[Aplicación]],6,2)</f>
        <v>06</v>
      </c>
      <c r="T4388" s="35" t="str">
        <f>VLOOKUP(Tabla1[[#This Row],[AREA]],Hoja1!A:B,2,FALSE)</f>
        <v>06. Educación, infancia, juventud e igualdad</v>
      </c>
      <c r="U4388" s="35" t="str">
        <f>MID(Tabla1[[#This Row],[Aplicación]],9,4)</f>
        <v>2315</v>
      </c>
      <c r="V4388" s="35" t="str">
        <f>VLOOKUP(Tabla1[[#This Row],[PROGRAMA]],Hoja1!A:B,2,FALSE)</f>
        <v>2315. Políticas de Igualdad e infancia</v>
      </c>
      <c r="W4388" s="35" t="str">
        <f>MID(Tabla1[[#This Row],[Aplicación]],14,2)</f>
        <v>22</v>
      </c>
      <c r="X4388" s="35" t="str">
        <f>MID(Tabla1[[#This Row],[Aplicación]],14,6)</f>
        <v>22611</v>
      </c>
    </row>
    <row r="4389" spans="1:24" x14ac:dyDescent="0.25">
      <c r="A4389" s="45">
        <v>220210062279</v>
      </c>
      <c r="B4389" s="46" t="s">
        <v>9</v>
      </c>
      <c r="C4389" s="47">
        <v>44469</v>
      </c>
      <c r="D4389" s="45">
        <v>22021006744</v>
      </c>
      <c r="E4389" s="46" t="s">
        <v>2647</v>
      </c>
      <c r="F4389" s="48">
        <v>7260</v>
      </c>
      <c r="G4389" s="46" t="s">
        <v>1268</v>
      </c>
      <c r="H4389" s="46" t="s">
        <v>6034</v>
      </c>
      <c r="I4389" s="45" t="s">
        <v>125</v>
      </c>
      <c r="J4389" s="46" t="s">
        <v>127</v>
      </c>
      <c r="K4389" s="46" t="s">
        <v>127</v>
      </c>
      <c r="L4389" s="46" t="s">
        <v>15</v>
      </c>
      <c r="M4389" s="46" t="s">
        <v>10</v>
      </c>
      <c r="N4389" s="46" t="s">
        <v>11</v>
      </c>
      <c r="O4389" s="49" t="s">
        <v>815</v>
      </c>
      <c r="P4389" s="49" t="s">
        <v>4910</v>
      </c>
      <c r="Q4389" s="35" t="str">
        <f>MID(Tabla1[[#This Row],[Aplicación]],14,1)</f>
        <v>2</v>
      </c>
      <c r="R4389" s="35" t="s">
        <v>495</v>
      </c>
      <c r="S4389" s="35" t="str">
        <f>MID(Tabla1[[#This Row],[Aplicación]],6,2)</f>
        <v>06</v>
      </c>
      <c r="T4389" s="35" t="str">
        <f>VLOOKUP(Tabla1[[#This Row],[AREA]],Hoja1!A:B,2,FALSE)</f>
        <v>06. Educación, infancia, juventud e igualdad</v>
      </c>
      <c r="U4389" s="35" t="str">
        <f>MID(Tabla1[[#This Row],[Aplicación]],9,4)</f>
        <v>2314</v>
      </c>
      <c r="V4389" s="35" t="str">
        <f>VLOOKUP(Tabla1[[#This Row],[PROGRAMA]],Hoja1!A:B,2,FALSE)</f>
        <v>2314. Centro de programas juveniles</v>
      </c>
      <c r="W4389" s="35" t="str">
        <f>MID(Tabla1[[#This Row],[Aplicación]],14,2)</f>
        <v>22</v>
      </c>
      <c r="X4389" s="35" t="str">
        <f>MID(Tabla1[[#This Row],[Aplicación]],14,6)</f>
        <v>22613</v>
      </c>
    </row>
    <row r="4390" spans="1:24" x14ac:dyDescent="0.25">
      <c r="A4390" s="45">
        <v>220210059409</v>
      </c>
      <c r="B4390" s="46" t="s">
        <v>9</v>
      </c>
      <c r="C4390" s="47">
        <v>44467</v>
      </c>
      <c r="D4390" s="45">
        <v>22021000782</v>
      </c>
      <c r="E4390" s="46" t="s">
        <v>1274</v>
      </c>
      <c r="F4390" s="48">
        <v>600</v>
      </c>
      <c r="G4390" s="46" t="s">
        <v>310</v>
      </c>
      <c r="H4390" s="46" t="s">
        <v>6035</v>
      </c>
      <c r="I4390" s="45" t="s">
        <v>125</v>
      </c>
      <c r="J4390" s="46" t="s">
        <v>127</v>
      </c>
      <c r="K4390" s="46" t="s">
        <v>127</v>
      </c>
      <c r="L4390" s="46" t="s">
        <v>12</v>
      </c>
      <c r="M4390" s="46" t="s">
        <v>10</v>
      </c>
      <c r="N4390" s="46" t="s">
        <v>11</v>
      </c>
      <c r="O4390" s="49" t="s">
        <v>815</v>
      </c>
      <c r="P4390" s="49" t="s">
        <v>4910</v>
      </c>
      <c r="Q4390" s="35" t="str">
        <f>MID(Tabla1[[#This Row],[Aplicación]],14,1)</f>
        <v>2</v>
      </c>
      <c r="R4390" s="35" t="s">
        <v>495</v>
      </c>
      <c r="S4390" s="35" t="str">
        <f>MID(Tabla1[[#This Row],[Aplicación]],6,2)</f>
        <v>11</v>
      </c>
      <c r="T4390" s="35" t="str">
        <f>VLOOKUP(Tabla1[[#This Row],[AREA]],Hoja1!A:B,2,FALSE)</f>
        <v>11. Salud pública y seguridad ciudadana</v>
      </c>
      <c r="U4390" s="35" t="str">
        <f>MID(Tabla1[[#This Row],[Aplicación]],9,4)</f>
        <v>1621</v>
      </c>
      <c r="V4390" s="35" t="str">
        <f>VLOOKUP(Tabla1[[#This Row],[PROGRAMA]],Hoja1!A:B,2,FALSE)</f>
        <v>1621. Servicio de limpieza</v>
      </c>
      <c r="W4390" s="35" t="str">
        <f>MID(Tabla1[[#This Row],[Aplicación]],14,2)</f>
        <v>20</v>
      </c>
      <c r="X4390" s="35" t="str">
        <f>MID(Tabla1[[#This Row],[Aplicación]],14,6)</f>
        <v>204</v>
      </c>
    </row>
    <row r="4391" spans="1:24" x14ac:dyDescent="0.25">
      <c r="A4391" s="45">
        <v>220210058927</v>
      </c>
      <c r="B4391" s="46" t="s">
        <v>9</v>
      </c>
      <c r="C4391" s="47">
        <v>44462</v>
      </c>
      <c r="D4391" s="45">
        <v>22021006619</v>
      </c>
      <c r="E4391" s="46" t="s">
        <v>6036</v>
      </c>
      <c r="F4391" s="48">
        <v>603.66</v>
      </c>
      <c r="G4391" s="46" t="s">
        <v>576</v>
      </c>
      <c r="H4391" s="46" t="s">
        <v>6037</v>
      </c>
      <c r="I4391" s="45" t="s">
        <v>125</v>
      </c>
      <c r="J4391" s="46" t="s">
        <v>623</v>
      </c>
      <c r="K4391" s="46" t="s">
        <v>201</v>
      </c>
      <c r="L4391" s="46" t="s">
        <v>12</v>
      </c>
      <c r="M4391" s="46" t="s">
        <v>10</v>
      </c>
      <c r="N4391" s="46" t="s">
        <v>11</v>
      </c>
      <c r="O4391" s="49" t="s">
        <v>815</v>
      </c>
      <c r="P4391" s="49" t="s">
        <v>4910</v>
      </c>
      <c r="Q4391" s="35" t="str">
        <f>MID(Tabla1[[#This Row],[Aplicación]],14,1)</f>
        <v>2</v>
      </c>
      <c r="R4391" s="35" t="s">
        <v>495</v>
      </c>
      <c r="S4391" s="35" t="str">
        <f>MID(Tabla1[[#This Row],[Aplicación]],6,2)</f>
        <v>05</v>
      </c>
      <c r="T4391" s="35" t="str">
        <f>VLOOKUP(Tabla1[[#This Row],[AREA]],Hoja1!A:B,2,FALSE)</f>
        <v>05. Innovación, desarrollo económico, empleo y comercio</v>
      </c>
      <c r="U4391" s="35" t="str">
        <f>MID(Tabla1[[#This Row],[Aplicación]],9,4)</f>
        <v>4331</v>
      </c>
      <c r="V4391" s="35" t="str">
        <f>VLOOKUP(Tabla1[[#This Row],[PROGRAMA]],Hoja1!A:B,2,FALSE)</f>
        <v>4331. Desarrollo empresarial</v>
      </c>
      <c r="W4391" s="35" t="str">
        <f>MID(Tabla1[[#This Row],[Aplicación]],14,2)</f>
        <v>22</v>
      </c>
      <c r="X4391" s="35" t="str">
        <f>MID(Tabla1[[#This Row],[Aplicación]],14,6)</f>
        <v>224</v>
      </c>
    </row>
    <row r="4392" spans="1:24" x14ac:dyDescent="0.25">
      <c r="A4392" s="45">
        <v>220210062282</v>
      </c>
      <c r="B4392" s="46" t="s">
        <v>9</v>
      </c>
      <c r="C4392" s="47">
        <v>44469</v>
      </c>
      <c r="D4392" s="45">
        <v>22021006724</v>
      </c>
      <c r="E4392" s="46" t="s">
        <v>3129</v>
      </c>
      <c r="F4392" s="48">
        <v>6731.04</v>
      </c>
      <c r="G4392" s="46" t="s">
        <v>6038</v>
      </c>
      <c r="H4392" s="46" t="s">
        <v>6039</v>
      </c>
      <c r="I4392" s="45" t="s">
        <v>125</v>
      </c>
      <c r="J4392" s="46" t="s">
        <v>1554</v>
      </c>
      <c r="K4392" s="46" t="s">
        <v>1554</v>
      </c>
      <c r="L4392" s="46" t="s">
        <v>15</v>
      </c>
      <c r="M4392" s="46" t="s">
        <v>10</v>
      </c>
      <c r="N4392" s="46" t="s">
        <v>11</v>
      </c>
      <c r="O4392" s="49" t="s">
        <v>815</v>
      </c>
      <c r="P4392" s="49" t="s">
        <v>4910</v>
      </c>
      <c r="Q4392" s="35" t="str">
        <f>MID(Tabla1[[#This Row],[Aplicación]],14,1)</f>
        <v>2</v>
      </c>
      <c r="R4392" s="35" t="s">
        <v>495</v>
      </c>
      <c r="S4392" s="35" t="str">
        <f>MID(Tabla1[[#This Row],[Aplicación]],6,2)</f>
        <v>01</v>
      </c>
      <c r="T4392" s="35" t="str">
        <f>VLOOKUP(Tabla1[[#This Row],[AREA]],Hoja1!A:B,2,FALSE)</f>
        <v>01. Alcaldía</v>
      </c>
      <c r="U4392" s="35" t="str">
        <f>MID(Tabla1[[#This Row],[Aplicación]],9,4)</f>
        <v>9312</v>
      </c>
      <c r="V4392" s="35" t="str">
        <f>VLOOKUP(Tabla1[[#This Row],[PROGRAMA]],Hoja1!A:B,2,FALSE)</f>
        <v>9312. Intervención general</v>
      </c>
      <c r="W4392" s="35" t="str">
        <f>MID(Tabla1[[#This Row],[Aplicación]],14,2)</f>
        <v>22</v>
      </c>
      <c r="X4392" s="35" t="str">
        <f>MID(Tabla1[[#This Row],[Aplicación]],14,6)</f>
        <v>22706</v>
      </c>
    </row>
    <row r="4393" spans="1:24" x14ac:dyDescent="0.25">
      <c r="A4393" s="45">
        <v>220210057023</v>
      </c>
      <c r="B4393" s="46" t="s">
        <v>9</v>
      </c>
      <c r="C4393" s="47">
        <v>44456</v>
      </c>
      <c r="D4393" s="45">
        <v>22021006524</v>
      </c>
      <c r="E4393" s="46" t="s">
        <v>3308</v>
      </c>
      <c r="F4393" s="48">
        <v>320.75</v>
      </c>
      <c r="G4393" s="46" t="s">
        <v>4200</v>
      </c>
      <c r="H4393" s="46" t="s">
        <v>6040</v>
      </c>
      <c r="I4393" s="45" t="s">
        <v>125</v>
      </c>
      <c r="J4393" s="46" t="s">
        <v>4202</v>
      </c>
      <c r="K4393" s="46" t="s">
        <v>146</v>
      </c>
      <c r="L4393" s="46" t="s">
        <v>12</v>
      </c>
      <c r="M4393" s="46" t="s">
        <v>13</v>
      </c>
      <c r="N4393" s="46" t="s">
        <v>14</v>
      </c>
      <c r="O4393" s="49" t="s">
        <v>814</v>
      </c>
      <c r="P4393" s="49" t="s">
        <v>4910</v>
      </c>
      <c r="Q4393" s="35" t="str">
        <f>MID(Tabla1[[#This Row],[Aplicación]],14,1)</f>
        <v>6</v>
      </c>
      <c r="R4393" s="35" t="s">
        <v>496</v>
      </c>
      <c r="S4393" s="35" t="str">
        <f>MID(Tabla1[[#This Row],[Aplicación]],6,2)</f>
        <v>06</v>
      </c>
      <c r="T4393" s="35" t="str">
        <f>VLOOKUP(Tabla1[[#This Row],[AREA]],Hoja1!A:B,2,FALSE)</f>
        <v>06. Educación, infancia, juventud e igualdad</v>
      </c>
      <c r="U4393" s="35" t="str">
        <f>MID(Tabla1[[#This Row],[Aplicación]],9,4)</f>
        <v>3232</v>
      </c>
      <c r="V4393" s="35" t="str">
        <f>VLOOKUP(Tabla1[[#This Row],[PROGRAMA]],Hoja1!A:B,2,FALSE)</f>
        <v>3232. Conservación y mantenimiento centros educación infantil y primaria</v>
      </c>
      <c r="W4393" s="35" t="str">
        <f>MID(Tabla1[[#This Row],[Aplicación]],14,2)</f>
        <v>63</v>
      </c>
      <c r="X4393" s="35" t="str">
        <f>MID(Tabla1[[#This Row],[Aplicación]],14,6)</f>
        <v>632</v>
      </c>
    </row>
    <row r="4394" spans="1:24" x14ac:dyDescent="0.25">
      <c r="A4394" s="45">
        <v>220210062272</v>
      </c>
      <c r="B4394" s="46" t="s">
        <v>9</v>
      </c>
      <c r="C4394" s="47">
        <v>44469</v>
      </c>
      <c r="D4394" s="45">
        <v>22021006697</v>
      </c>
      <c r="E4394" s="46" t="s">
        <v>1990</v>
      </c>
      <c r="F4394" s="48">
        <v>4158</v>
      </c>
      <c r="G4394" s="46" t="s">
        <v>104</v>
      </c>
      <c r="H4394" s="46" t="s">
        <v>6041</v>
      </c>
      <c r="I4394" s="45" t="s">
        <v>125</v>
      </c>
      <c r="J4394" s="46" t="s">
        <v>711</v>
      </c>
      <c r="K4394" s="46" t="s">
        <v>127</v>
      </c>
      <c r="L4394" s="46" t="s">
        <v>12</v>
      </c>
      <c r="M4394" s="46" t="s">
        <v>10</v>
      </c>
      <c r="N4394" s="46" t="s">
        <v>11</v>
      </c>
      <c r="O4394" s="49" t="s">
        <v>815</v>
      </c>
      <c r="P4394" s="49" t="s">
        <v>4910</v>
      </c>
      <c r="Q4394" s="35" t="str">
        <f>MID(Tabla1[[#This Row],[Aplicación]],14,1)</f>
        <v>2</v>
      </c>
      <c r="R4394" s="35" t="s">
        <v>495</v>
      </c>
      <c r="S4394" s="35" t="str">
        <f>MID(Tabla1[[#This Row],[Aplicación]],6,2)</f>
        <v>06</v>
      </c>
      <c r="T4394" s="35" t="str">
        <f>VLOOKUP(Tabla1[[#This Row],[AREA]],Hoja1!A:B,2,FALSE)</f>
        <v>06. Educación, infancia, juventud e igualdad</v>
      </c>
      <c r="U4394" s="35" t="str">
        <f>MID(Tabla1[[#This Row],[Aplicación]],9,4)</f>
        <v>3321</v>
      </c>
      <c r="V4394" s="35" t="str">
        <f>VLOOKUP(Tabla1[[#This Row],[PROGRAMA]],Hoja1!A:B,2,FALSE)</f>
        <v>3321. Bibliotecas públicas</v>
      </c>
      <c r="W4394" s="35" t="str">
        <f>MID(Tabla1[[#This Row],[Aplicación]],14,2)</f>
        <v>22</v>
      </c>
      <c r="X4394" s="35" t="str">
        <f>MID(Tabla1[[#This Row],[Aplicación]],14,6)</f>
        <v>22799</v>
      </c>
    </row>
    <row r="4395" spans="1:24" x14ac:dyDescent="0.25">
      <c r="A4395" s="45">
        <v>220210059122</v>
      </c>
      <c r="B4395" s="46" t="s">
        <v>9</v>
      </c>
      <c r="C4395" s="47">
        <v>44466</v>
      </c>
      <c r="D4395" s="45">
        <v>22021006626</v>
      </c>
      <c r="E4395" s="46" t="s">
        <v>3356</v>
      </c>
      <c r="F4395" s="48">
        <v>906.29</v>
      </c>
      <c r="G4395" s="46" t="s">
        <v>3431</v>
      </c>
      <c r="H4395" s="46" t="s">
        <v>6042</v>
      </c>
      <c r="I4395" s="45" t="s">
        <v>125</v>
      </c>
      <c r="J4395" s="46" t="s">
        <v>127</v>
      </c>
      <c r="K4395" s="46" t="s">
        <v>127</v>
      </c>
      <c r="L4395" s="46" t="s">
        <v>15</v>
      </c>
      <c r="M4395" s="46" t="s">
        <v>10</v>
      </c>
      <c r="N4395" s="46" t="s">
        <v>11</v>
      </c>
      <c r="O4395" s="49" t="s">
        <v>815</v>
      </c>
      <c r="P4395" s="49" t="s">
        <v>4910</v>
      </c>
      <c r="Q4395" s="35" t="str">
        <f>MID(Tabla1[[#This Row],[Aplicación]],14,1)</f>
        <v>2</v>
      </c>
      <c r="R4395" s="35" t="s">
        <v>495</v>
      </c>
      <c r="S4395" s="35" t="str">
        <f>MID(Tabla1[[#This Row],[Aplicación]],6,2)</f>
        <v>08</v>
      </c>
      <c r="T4395" s="35" t="str">
        <f>VLOOKUP(Tabla1[[#This Row],[AREA]],Hoja1!A:B,2,FALSE)</f>
        <v>08. Movilidad y espacio urbano</v>
      </c>
      <c r="U4395" s="35" t="str">
        <f>MID(Tabla1[[#This Row],[Aplicación]],9,4)</f>
        <v>1532</v>
      </c>
      <c r="V4395" s="35" t="str">
        <f>VLOOKUP(Tabla1[[#This Row],[PROGRAMA]],Hoja1!A:B,2,FALSE)</f>
        <v>1532. Pavimentación vias públicas y otros servicios urbanísticos</v>
      </c>
      <c r="W4395" s="35" t="str">
        <f>MID(Tabla1[[#This Row],[Aplicación]],14,2)</f>
        <v>22</v>
      </c>
      <c r="X4395" s="35" t="str">
        <f>MID(Tabla1[[#This Row],[Aplicación]],14,6)</f>
        <v>22699</v>
      </c>
    </row>
    <row r="4396" spans="1:24" x14ac:dyDescent="0.25">
      <c r="A4396" s="45">
        <v>220210061328</v>
      </c>
      <c r="B4396" s="46" t="s">
        <v>204</v>
      </c>
      <c r="C4396" s="47">
        <v>44468</v>
      </c>
      <c r="D4396" s="45">
        <v>22021005716</v>
      </c>
      <c r="E4396" s="46" t="s">
        <v>1270</v>
      </c>
      <c r="F4396" s="48">
        <v>1280.26</v>
      </c>
      <c r="G4396" s="46" t="s">
        <v>232</v>
      </c>
      <c r="H4396" s="46" t="s">
        <v>6043</v>
      </c>
      <c r="I4396" s="45" t="s">
        <v>205</v>
      </c>
      <c r="J4396" s="46" t="s">
        <v>127</v>
      </c>
      <c r="K4396" s="46" t="s">
        <v>127</v>
      </c>
      <c r="L4396" s="46" t="s">
        <v>15</v>
      </c>
      <c r="M4396" s="46" t="s">
        <v>13</v>
      </c>
      <c r="N4396" s="46" t="s">
        <v>14</v>
      </c>
      <c r="O4396" s="49" t="s">
        <v>814</v>
      </c>
      <c r="P4396" s="49" t="s">
        <v>4910</v>
      </c>
      <c r="Q4396" s="35" t="str">
        <f>MID(Tabla1[[#This Row],[Aplicación]],14,1)</f>
        <v>6</v>
      </c>
      <c r="R4396" s="35" t="s">
        <v>496</v>
      </c>
      <c r="S4396" s="35" t="str">
        <f>MID(Tabla1[[#This Row],[Aplicación]],6,2)</f>
        <v>11</v>
      </c>
      <c r="T4396" s="35" t="str">
        <f>VLOOKUP(Tabla1[[#This Row],[AREA]],Hoja1!A:B,2,FALSE)</f>
        <v>11. Salud pública y seguridad ciudadana</v>
      </c>
      <c r="U4396" s="35" t="str">
        <f>MID(Tabla1[[#This Row],[Aplicación]],9,4)</f>
        <v>1621</v>
      </c>
      <c r="V4396" s="35" t="str">
        <f>VLOOKUP(Tabla1[[#This Row],[PROGRAMA]],Hoja1!A:B,2,FALSE)</f>
        <v>1621. Servicio de limpieza</v>
      </c>
      <c r="W4396" s="35" t="str">
        <f>MID(Tabla1[[#This Row],[Aplicación]],14,2)</f>
        <v>63</v>
      </c>
      <c r="X4396" s="35" t="str">
        <f>MID(Tabla1[[#This Row],[Aplicación]],14,6)</f>
        <v>634</v>
      </c>
    </row>
    <row r="4397" spans="1:24" x14ac:dyDescent="0.25">
      <c r="A4397" s="45">
        <v>220210058319</v>
      </c>
      <c r="B4397" s="46" t="s">
        <v>9</v>
      </c>
      <c r="C4397" s="47">
        <v>44460</v>
      </c>
      <c r="D4397" s="45">
        <v>22021006541</v>
      </c>
      <c r="E4397" s="46" t="s">
        <v>2554</v>
      </c>
      <c r="F4397" s="48">
        <v>1656.2</v>
      </c>
      <c r="G4397" s="46" t="s">
        <v>5097</v>
      </c>
      <c r="H4397" s="46" t="s">
        <v>6044</v>
      </c>
      <c r="I4397" s="45" t="s">
        <v>125</v>
      </c>
      <c r="J4397" s="46" t="s">
        <v>127</v>
      </c>
      <c r="K4397" s="46" t="s">
        <v>127</v>
      </c>
      <c r="L4397" s="46" t="s">
        <v>15</v>
      </c>
      <c r="M4397" s="46" t="s">
        <v>10</v>
      </c>
      <c r="N4397" s="46" t="s">
        <v>11</v>
      </c>
      <c r="O4397" s="49" t="s">
        <v>815</v>
      </c>
      <c r="P4397" s="49" t="s">
        <v>4910</v>
      </c>
      <c r="Q4397" s="35" t="str">
        <f>MID(Tabla1[[#This Row],[Aplicación]],14,1)</f>
        <v>2</v>
      </c>
      <c r="R4397" s="35" t="s">
        <v>495</v>
      </c>
      <c r="S4397" s="35" t="str">
        <f>MID(Tabla1[[#This Row],[Aplicación]],6,2)</f>
        <v>02</v>
      </c>
      <c r="T4397" s="35" t="str">
        <f>VLOOKUP(Tabla1[[#This Row],[AREA]],Hoja1!A:B,2,FALSE)</f>
        <v>02. Planeamiento urbanístico y vivienda</v>
      </c>
      <c r="U4397" s="35" t="str">
        <f>MID(Tabla1[[#This Row],[Aplicación]],9,4)</f>
        <v>1511</v>
      </c>
      <c r="V4397" s="35" t="str">
        <f>VLOOKUP(Tabla1[[#This Row],[PROGRAMA]],Hoja1!A:B,2,FALSE)</f>
        <v>1511. Planficación y gestión del urbanismo</v>
      </c>
      <c r="W4397" s="35" t="str">
        <f>MID(Tabla1[[#This Row],[Aplicación]],14,2)</f>
        <v>22</v>
      </c>
      <c r="X4397" s="35" t="str">
        <f>MID(Tabla1[[#This Row],[Aplicación]],14,6)</f>
        <v>22706</v>
      </c>
    </row>
    <row r="4398" spans="1:24" x14ac:dyDescent="0.25">
      <c r="A4398" s="45">
        <v>220210058251</v>
      </c>
      <c r="B4398" s="46" t="s">
        <v>9</v>
      </c>
      <c r="C4398" s="47">
        <v>44459</v>
      </c>
      <c r="D4398" s="45">
        <v>22021006560</v>
      </c>
      <c r="E4398" s="46" t="s">
        <v>1382</v>
      </c>
      <c r="F4398" s="48">
        <v>5890.8</v>
      </c>
      <c r="G4398" s="46" t="s">
        <v>1383</v>
      </c>
      <c r="H4398" s="46" t="s">
        <v>6045</v>
      </c>
      <c r="I4398" s="45" t="s">
        <v>125</v>
      </c>
      <c r="J4398" s="46" t="s">
        <v>126</v>
      </c>
      <c r="K4398" s="46" t="s">
        <v>126</v>
      </c>
      <c r="L4398" s="46" t="s">
        <v>15</v>
      </c>
      <c r="M4398" s="46" t="s">
        <v>10</v>
      </c>
      <c r="N4398" s="46" t="s">
        <v>11</v>
      </c>
      <c r="O4398" s="49" t="s">
        <v>815</v>
      </c>
      <c r="P4398" s="49" t="s">
        <v>4910</v>
      </c>
      <c r="Q4398" s="35" t="str">
        <f>MID(Tabla1[[#This Row],[Aplicación]],14,1)</f>
        <v>2</v>
      </c>
      <c r="R4398" s="35" t="s">
        <v>495</v>
      </c>
      <c r="S4398" s="35" t="str">
        <f>MID(Tabla1[[#This Row],[Aplicación]],6,2)</f>
        <v>11</v>
      </c>
      <c r="T4398" s="35" t="str">
        <f>VLOOKUP(Tabla1[[#This Row],[AREA]],Hoja1!A:B,2,FALSE)</f>
        <v>11. Salud pública y seguridad ciudadana</v>
      </c>
      <c r="U4398" s="35" t="str">
        <f>MID(Tabla1[[#This Row],[Aplicación]],9,4)</f>
        <v>1631</v>
      </c>
      <c r="V4398" s="35" t="str">
        <f>VLOOKUP(Tabla1[[#This Row],[PROGRAMA]],Hoja1!A:B,2,FALSE)</f>
        <v>1631. Limpieza viaria</v>
      </c>
      <c r="W4398" s="35" t="str">
        <f>MID(Tabla1[[#This Row],[Aplicación]],14,2)</f>
        <v>21</v>
      </c>
      <c r="X4398" s="35" t="str">
        <f>MID(Tabla1[[#This Row],[Aplicación]],14,6)</f>
        <v>214</v>
      </c>
    </row>
    <row r="4399" spans="1:24" x14ac:dyDescent="0.25">
      <c r="A4399" s="45">
        <v>220210056557</v>
      </c>
      <c r="B4399" s="46" t="s">
        <v>204</v>
      </c>
      <c r="C4399" s="47">
        <v>44455</v>
      </c>
      <c r="D4399" s="45">
        <v>22021005928</v>
      </c>
      <c r="E4399" s="46" t="s">
        <v>1397</v>
      </c>
      <c r="F4399" s="48">
        <v>241.69</v>
      </c>
      <c r="G4399" s="46" t="s">
        <v>239</v>
      </c>
      <c r="H4399" s="46" t="s">
        <v>6046</v>
      </c>
      <c r="I4399" s="45" t="s">
        <v>205</v>
      </c>
      <c r="J4399" s="46" t="s">
        <v>127</v>
      </c>
      <c r="K4399" s="46" t="s">
        <v>127</v>
      </c>
      <c r="L4399" s="46" t="s">
        <v>12</v>
      </c>
      <c r="M4399" s="46" t="s">
        <v>13</v>
      </c>
      <c r="N4399" s="46" t="s">
        <v>14</v>
      </c>
      <c r="O4399" s="49" t="s">
        <v>814</v>
      </c>
      <c r="P4399" s="49" t="s">
        <v>4910</v>
      </c>
      <c r="Q4399" s="35" t="str">
        <f>MID(Tabla1[[#This Row],[Aplicación]],14,1)</f>
        <v>2</v>
      </c>
      <c r="R4399" s="35" t="s">
        <v>495</v>
      </c>
      <c r="S4399" s="35" t="str">
        <f>MID(Tabla1[[#This Row],[Aplicación]],6,2)</f>
        <v>11</v>
      </c>
      <c r="T4399" s="35" t="str">
        <f>VLOOKUP(Tabla1[[#This Row],[AREA]],Hoja1!A:B,2,FALSE)</f>
        <v>11. Salud pública y seguridad ciudadana</v>
      </c>
      <c r="U4399" s="35" t="str">
        <f>MID(Tabla1[[#This Row],[Aplicación]],9,4)</f>
        <v>1361</v>
      </c>
      <c r="V4399" s="35" t="str">
        <f>VLOOKUP(Tabla1[[#This Row],[PROGRAMA]],Hoja1!A:B,2,FALSE)</f>
        <v>1361. Prevención y extinción de incencios</v>
      </c>
      <c r="W4399" s="35" t="str">
        <f>MID(Tabla1[[#This Row],[Aplicación]],14,2)</f>
        <v>21</v>
      </c>
      <c r="X4399" s="35" t="str">
        <f>MID(Tabla1[[#This Row],[Aplicación]],14,6)</f>
        <v>214</v>
      </c>
    </row>
    <row r="4400" spans="1:24" x14ac:dyDescent="0.25">
      <c r="A4400" s="45">
        <v>220210058678</v>
      </c>
      <c r="B4400" s="46" t="s">
        <v>204</v>
      </c>
      <c r="C4400" s="47">
        <v>44461</v>
      </c>
      <c r="D4400" s="45">
        <v>22021002378</v>
      </c>
      <c r="E4400" s="46" t="s">
        <v>1228</v>
      </c>
      <c r="F4400" s="48">
        <v>237.92</v>
      </c>
      <c r="G4400" s="46" t="s">
        <v>239</v>
      </c>
      <c r="H4400" s="46" t="s">
        <v>6047</v>
      </c>
      <c r="I4400" s="45" t="s">
        <v>205</v>
      </c>
      <c r="J4400" s="46" t="s">
        <v>127</v>
      </c>
      <c r="K4400" s="46" t="s">
        <v>127</v>
      </c>
      <c r="L4400" s="46" t="s">
        <v>15</v>
      </c>
      <c r="M4400" s="46" t="s">
        <v>13</v>
      </c>
      <c r="N4400" s="46" t="s">
        <v>14</v>
      </c>
      <c r="O4400" s="49" t="s">
        <v>814</v>
      </c>
      <c r="P4400" s="49" t="s">
        <v>4910</v>
      </c>
      <c r="Q4400" s="35" t="str">
        <f>MID(Tabla1[[#This Row],[Aplicación]],14,1)</f>
        <v>2</v>
      </c>
      <c r="R4400" s="35" t="s">
        <v>495</v>
      </c>
      <c r="S4400" s="35" t="str">
        <f>MID(Tabla1[[#This Row],[Aplicación]],6,2)</f>
        <v>02</v>
      </c>
      <c r="T4400" s="35" t="str">
        <f>VLOOKUP(Tabla1[[#This Row],[AREA]],Hoja1!A:B,2,FALSE)</f>
        <v>02. Planeamiento urbanístico y vivienda</v>
      </c>
      <c r="U4400" s="35" t="str">
        <f>MID(Tabla1[[#This Row],[Aplicación]],9,4)</f>
        <v>9332</v>
      </c>
      <c r="V4400" s="35" t="str">
        <f>VLOOKUP(Tabla1[[#This Row],[PROGRAMA]],Hoja1!A:B,2,FALSE)</f>
        <v>9332. Mantenimiento de edificios e instalaciones municipales</v>
      </c>
      <c r="W4400" s="35" t="str">
        <f>MID(Tabla1[[#This Row],[Aplicación]],14,2)</f>
        <v>21</v>
      </c>
      <c r="X4400" s="35" t="str">
        <f>MID(Tabla1[[#This Row],[Aplicación]],14,6)</f>
        <v>214</v>
      </c>
    </row>
    <row r="4401" spans="1:24" x14ac:dyDescent="0.25">
      <c r="A4401" s="45">
        <v>220210058601</v>
      </c>
      <c r="B4401" s="46" t="s">
        <v>204</v>
      </c>
      <c r="C4401" s="47">
        <v>44461</v>
      </c>
      <c r="D4401" s="45">
        <v>22021005928</v>
      </c>
      <c r="E4401" s="46" t="s">
        <v>1397</v>
      </c>
      <c r="F4401" s="48">
        <v>150.19</v>
      </c>
      <c r="G4401" s="46" t="s">
        <v>239</v>
      </c>
      <c r="H4401" s="46" t="s">
        <v>6048</v>
      </c>
      <c r="I4401" s="45" t="s">
        <v>205</v>
      </c>
      <c r="J4401" s="46" t="s">
        <v>127</v>
      </c>
      <c r="K4401" s="46" t="s">
        <v>127</v>
      </c>
      <c r="L4401" s="46" t="s">
        <v>12</v>
      </c>
      <c r="M4401" s="46" t="s">
        <v>13</v>
      </c>
      <c r="N4401" s="46" t="s">
        <v>14</v>
      </c>
      <c r="O4401" s="49" t="s">
        <v>814</v>
      </c>
      <c r="P4401" s="49" t="s">
        <v>4910</v>
      </c>
      <c r="Q4401" s="35" t="str">
        <f>MID(Tabla1[[#This Row],[Aplicación]],14,1)</f>
        <v>2</v>
      </c>
      <c r="R4401" s="35" t="s">
        <v>495</v>
      </c>
      <c r="S4401" s="35" t="str">
        <f>MID(Tabla1[[#This Row],[Aplicación]],6,2)</f>
        <v>11</v>
      </c>
      <c r="T4401" s="35" t="str">
        <f>VLOOKUP(Tabla1[[#This Row],[AREA]],Hoja1!A:B,2,FALSE)</f>
        <v>11. Salud pública y seguridad ciudadana</v>
      </c>
      <c r="U4401" s="35" t="str">
        <f>MID(Tabla1[[#This Row],[Aplicación]],9,4)</f>
        <v>1361</v>
      </c>
      <c r="V4401" s="35" t="str">
        <f>VLOOKUP(Tabla1[[#This Row],[PROGRAMA]],Hoja1!A:B,2,FALSE)</f>
        <v>1361. Prevención y extinción de incencios</v>
      </c>
      <c r="W4401" s="35" t="str">
        <f>MID(Tabla1[[#This Row],[Aplicación]],14,2)</f>
        <v>21</v>
      </c>
      <c r="X4401" s="35" t="str">
        <f>MID(Tabla1[[#This Row],[Aplicación]],14,6)</f>
        <v>214</v>
      </c>
    </row>
    <row r="4402" spans="1:24" x14ac:dyDescent="0.25">
      <c r="A4402" s="45">
        <v>220210058676</v>
      </c>
      <c r="B4402" s="46" t="s">
        <v>204</v>
      </c>
      <c r="C4402" s="47">
        <v>44461</v>
      </c>
      <c r="D4402" s="45">
        <v>22021002378</v>
      </c>
      <c r="E4402" s="46" t="s">
        <v>1228</v>
      </c>
      <c r="F4402" s="48">
        <v>95.95</v>
      </c>
      <c r="G4402" s="46" t="s">
        <v>239</v>
      </c>
      <c r="H4402" s="46" t="s">
        <v>6049</v>
      </c>
      <c r="I4402" s="45" t="s">
        <v>205</v>
      </c>
      <c r="J4402" s="46" t="s">
        <v>127</v>
      </c>
      <c r="K4402" s="46" t="s">
        <v>127</v>
      </c>
      <c r="L4402" s="46" t="s">
        <v>15</v>
      </c>
      <c r="M4402" s="46" t="s">
        <v>13</v>
      </c>
      <c r="N4402" s="46" t="s">
        <v>14</v>
      </c>
      <c r="O4402" s="49" t="s">
        <v>814</v>
      </c>
      <c r="P4402" s="49" t="s">
        <v>4910</v>
      </c>
      <c r="Q4402" s="35" t="str">
        <f>MID(Tabla1[[#This Row],[Aplicación]],14,1)</f>
        <v>2</v>
      </c>
      <c r="R4402" s="35" t="s">
        <v>495</v>
      </c>
      <c r="S4402" s="35" t="str">
        <f>MID(Tabla1[[#This Row],[Aplicación]],6,2)</f>
        <v>02</v>
      </c>
      <c r="T4402" s="35" t="str">
        <f>VLOOKUP(Tabla1[[#This Row],[AREA]],Hoja1!A:B,2,FALSE)</f>
        <v>02. Planeamiento urbanístico y vivienda</v>
      </c>
      <c r="U4402" s="35" t="str">
        <f>MID(Tabla1[[#This Row],[Aplicación]],9,4)</f>
        <v>9332</v>
      </c>
      <c r="V4402" s="35" t="str">
        <f>VLOOKUP(Tabla1[[#This Row],[PROGRAMA]],Hoja1!A:B,2,FALSE)</f>
        <v>9332. Mantenimiento de edificios e instalaciones municipales</v>
      </c>
      <c r="W4402" s="35" t="str">
        <f>MID(Tabla1[[#This Row],[Aplicación]],14,2)</f>
        <v>21</v>
      </c>
      <c r="X4402" s="35" t="str">
        <f>MID(Tabla1[[#This Row],[Aplicación]],14,6)</f>
        <v>214</v>
      </c>
    </row>
    <row r="4403" spans="1:24" x14ac:dyDescent="0.25">
      <c r="A4403" s="45">
        <v>220210058830</v>
      </c>
      <c r="B4403" s="46" t="s">
        <v>204</v>
      </c>
      <c r="C4403" s="47">
        <v>44462</v>
      </c>
      <c r="D4403" s="45">
        <v>22021002378</v>
      </c>
      <c r="E4403" s="46" t="s">
        <v>1228</v>
      </c>
      <c r="F4403" s="48">
        <v>35</v>
      </c>
      <c r="G4403" s="46" t="s">
        <v>239</v>
      </c>
      <c r="H4403" s="46" t="s">
        <v>6050</v>
      </c>
      <c r="I4403" s="45" t="s">
        <v>205</v>
      </c>
      <c r="J4403" s="46" t="s">
        <v>127</v>
      </c>
      <c r="K4403" s="46" t="s">
        <v>127</v>
      </c>
      <c r="L4403" s="46" t="s">
        <v>15</v>
      </c>
      <c r="M4403" s="46" t="s">
        <v>13</v>
      </c>
      <c r="N4403" s="46" t="s">
        <v>14</v>
      </c>
      <c r="O4403" s="49" t="s">
        <v>814</v>
      </c>
      <c r="P4403" s="49" t="s">
        <v>4910</v>
      </c>
      <c r="Q4403" s="35" t="str">
        <f>MID(Tabla1[[#This Row],[Aplicación]],14,1)</f>
        <v>2</v>
      </c>
      <c r="R4403" s="35" t="s">
        <v>495</v>
      </c>
      <c r="S4403" s="35" t="str">
        <f>MID(Tabla1[[#This Row],[Aplicación]],6,2)</f>
        <v>02</v>
      </c>
      <c r="T4403" s="35" t="str">
        <f>VLOOKUP(Tabla1[[#This Row],[AREA]],Hoja1!A:B,2,FALSE)</f>
        <v>02. Planeamiento urbanístico y vivienda</v>
      </c>
      <c r="U4403" s="35" t="str">
        <f>MID(Tabla1[[#This Row],[Aplicación]],9,4)</f>
        <v>9332</v>
      </c>
      <c r="V4403" s="35" t="str">
        <f>VLOOKUP(Tabla1[[#This Row],[PROGRAMA]],Hoja1!A:B,2,FALSE)</f>
        <v>9332. Mantenimiento de edificios e instalaciones municipales</v>
      </c>
      <c r="W4403" s="35" t="str">
        <f>MID(Tabla1[[#This Row],[Aplicación]],14,2)</f>
        <v>21</v>
      </c>
      <c r="X4403" s="35" t="str">
        <f>MID(Tabla1[[#This Row],[Aplicación]],14,6)</f>
        <v>214</v>
      </c>
    </row>
    <row r="4404" spans="1:24" x14ac:dyDescent="0.25">
      <c r="A4404" s="45">
        <v>220210058833</v>
      </c>
      <c r="B4404" s="46" t="s">
        <v>204</v>
      </c>
      <c r="C4404" s="47">
        <v>44462</v>
      </c>
      <c r="D4404" s="45">
        <v>22021002373</v>
      </c>
      <c r="E4404" s="46" t="s">
        <v>1336</v>
      </c>
      <c r="F4404" s="48">
        <v>80.45</v>
      </c>
      <c r="G4404" s="46" t="s">
        <v>1475</v>
      </c>
      <c r="H4404" s="46" t="s">
        <v>6051</v>
      </c>
      <c r="I4404" s="45" t="s">
        <v>205</v>
      </c>
      <c r="J4404" s="46" t="s">
        <v>127</v>
      </c>
      <c r="K4404" s="46" t="s">
        <v>127</v>
      </c>
      <c r="L4404" s="46" t="s">
        <v>15</v>
      </c>
      <c r="M4404" s="46" t="s">
        <v>13</v>
      </c>
      <c r="N4404" s="46" t="s">
        <v>14</v>
      </c>
      <c r="O4404" s="49" t="s">
        <v>814</v>
      </c>
      <c r="P4404" s="49" t="s">
        <v>4910</v>
      </c>
      <c r="Q4404" s="35" t="str">
        <f>MID(Tabla1[[#This Row],[Aplicación]],14,1)</f>
        <v>2</v>
      </c>
      <c r="R4404" s="35" t="s">
        <v>495</v>
      </c>
      <c r="S4404" s="35" t="str">
        <f>MID(Tabla1[[#This Row],[Aplicación]],6,2)</f>
        <v>02</v>
      </c>
      <c r="T4404" s="35" t="str">
        <f>VLOOKUP(Tabla1[[#This Row],[AREA]],Hoja1!A:B,2,FALSE)</f>
        <v>02. Planeamiento urbanístico y vivienda</v>
      </c>
      <c r="U4404" s="35" t="str">
        <f>MID(Tabla1[[#This Row],[Aplicación]],9,4)</f>
        <v>9332</v>
      </c>
      <c r="V4404" s="35" t="str">
        <f>VLOOKUP(Tabla1[[#This Row],[PROGRAMA]],Hoja1!A:B,2,FALSE)</f>
        <v>9332. Mantenimiento de edificios e instalaciones municipales</v>
      </c>
      <c r="W4404" s="35" t="str">
        <f>MID(Tabla1[[#This Row],[Aplicación]],14,2)</f>
        <v>21</v>
      </c>
      <c r="X4404" s="35" t="str">
        <f>MID(Tabla1[[#This Row],[Aplicación]],14,6)</f>
        <v>212</v>
      </c>
    </row>
    <row r="4405" spans="1:24" x14ac:dyDescent="0.25">
      <c r="A4405" s="45">
        <v>220210056642</v>
      </c>
      <c r="B4405" s="46" t="s">
        <v>204</v>
      </c>
      <c r="C4405" s="47">
        <v>44455</v>
      </c>
      <c r="D4405" s="45">
        <v>22021001038</v>
      </c>
      <c r="E4405" s="46" t="s">
        <v>844</v>
      </c>
      <c r="F4405" s="48">
        <v>28.51</v>
      </c>
      <c r="G4405" s="46" t="s">
        <v>1475</v>
      </c>
      <c r="H4405" s="46" t="s">
        <v>6052</v>
      </c>
      <c r="I4405" s="45" t="s">
        <v>205</v>
      </c>
      <c r="J4405" s="46" t="s">
        <v>127</v>
      </c>
      <c r="K4405" s="46" t="s">
        <v>127</v>
      </c>
      <c r="L4405" s="46" t="s">
        <v>15</v>
      </c>
      <c r="M4405" s="46" t="s">
        <v>13</v>
      </c>
      <c r="N4405" s="46" t="s">
        <v>14</v>
      </c>
      <c r="O4405" s="49" t="s">
        <v>814</v>
      </c>
      <c r="P4405" s="49" t="s">
        <v>4910</v>
      </c>
      <c r="Q4405" s="35" t="str">
        <f>MID(Tabla1[[#This Row],[Aplicación]],14,1)</f>
        <v>2</v>
      </c>
      <c r="R4405" s="35" t="s">
        <v>495</v>
      </c>
      <c r="S4405" s="35" t="str">
        <f>MID(Tabla1[[#This Row],[Aplicación]],6,2)</f>
        <v>10</v>
      </c>
      <c r="T4405" s="35" t="str">
        <f>VLOOKUP(Tabla1[[#This Row],[AREA]],Hoja1!A:B,2,FALSE)</f>
        <v>10. Servicios sociales y mediación comunitaria</v>
      </c>
      <c r="U4405" s="35" t="str">
        <f>MID(Tabla1[[#This Row],[Aplicación]],9,4)</f>
        <v>2312</v>
      </c>
      <c r="V4405" s="35" t="str">
        <f>VLOOKUP(Tabla1[[#This Row],[PROGRAMA]],Hoja1!A:B,2,FALSE)</f>
        <v>2312. Iniciativas sociales</v>
      </c>
      <c r="W4405" s="35" t="str">
        <f>MID(Tabla1[[#This Row],[Aplicación]],14,2)</f>
        <v>21</v>
      </c>
      <c r="X4405" s="35" t="str">
        <f>MID(Tabla1[[#This Row],[Aplicación]],14,6)</f>
        <v>212</v>
      </c>
    </row>
    <row r="4406" spans="1:24" x14ac:dyDescent="0.25">
      <c r="A4406" s="45">
        <v>220210056553</v>
      </c>
      <c r="B4406" s="46" t="s">
        <v>204</v>
      </c>
      <c r="C4406" s="47">
        <v>44455</v>
      </c>
      <c r="D4406" s="45">
        <v>22021003381</v>
      </c>
      <c r="E4406" s="46" t="s">
        <v>1183</v>
      </c>
      <c r="F4406" s="48">
        <v>20.260000000000002</v>
      </c>
      <c r="G4406" s="46" t="s">
        <v>1475</v>
      </c>
      <c r="H4406" s="46" t="s">
        <v>6053</v>
      </c>
      <c r="I4406" s="45" t="s">
        <v>205</v>
      </c>
      <c r="J4406" s="46" t="s">
        <v>127</v>
      </c>
      <c r="K4406" s="46" t="s">
        <v>127</v>
      </c>
      <c r="L4406" s="46" t="s">
        <v>15</v>
      </c>
      <c r="M4406" s="46" t="s">
        <v>13</v>
      </c>
      <c r="N4406" s="46" t="s">
        <v>14</v>
      </c>
      <c r="O4406" s="49" t="s">
        <v>814</v>
      </c>
      <c r="P4406" s="49" t="s">
        <v>4910</v>
      </c>
      <c r="Q4406" s="35" t="str">
        <f>MID(Tabla1[[#This Row],[Aplicación]],14,1)</f>
        <v>2</v>
      </c>
      <c r="R4406" s="35" t="s">
        <v>495</v>
      </c>
      <c r="S4406" s="35" t="str">
        <f>MID(Tabla1[[#This Row],[Aplicación]],6,2)</f>
        <v>11</v>
      </c>
      <c r="T4406" s="35" t="str">
        <f>VLOOKUP(Tabla1[[#This Row],[AREA]],Hoja1!A:B,2,FALSE)</f>
        <v>11. Salud pública y seguridad ciudadana</v>
      </c>
      <c r="U4406" s="35" t="str">
        <f>MID(Tabla1[[#This Row],[Aplicación]],9,4)</f>
        <v>1361</v>
      </c>
      <c r="V4406" s="35" t="str">
        <f>VLOOKUP(Tabla1[[#This Row],[PROGRAMA]],Hoja1!A:B,2,FALSE)</f>
        <v>1361. Prevención y extinción de incencios</v>
      </c>
      <c r="W4406" s="35" t="str">
        <f>MID(Tabla1[[#This Row],[Aplicación]],14,2)</f>
        <v>22</v>
      </c>
      <c r="X4406" s="35" t="str">
        <f>MID(Tabla1[[#This Row],[Aplicación]],14,6)</f>
        <v>22199</v>
      </c>
    </row>
    <row r="4407" spans="1:24" x14ac:dyDescent="0.25">
      <c r="A4407" s="45">
        <v>220210058647</v>
      </c>
      <c r="B4407" s="46" t="s">
        <v>204</v>
      </c>
      <c r="C4407" s="47">
        <v>44461</v>
      </c>
      <c r="D4407" s="45">
        <v>22021002373</v>
      </c>
      <c r="E4407" s="46" t="s">
        <v>1336</v>
      </c>
      <c r="F4407" s="48">
        <v>8.6999999999999993</v>
      </c>
      <c r="G4407" s="46" t="s">
        <v>1475</v>
      </c>
      <c r="H4407" s="46" t="s">
        <v>6054</v>
      </c>
      <c r="I4407" s="45" t="s">
        <v>205</v>
      </c>
      <c r="J4407" s="46" t="s">
        <v>127</v>
      </c>
      <c r="K4407" s="46" t="s">
        <v>127</v>
      </c>
      <c r="L4407" s="46" t="s">
        <v>15</v>
      </c>
      <c r="M4407" s="46" t="s">
        <v>13</v>
      </c>
      <c r="N4407" s="46" t="s">
        <v>14</v>
      </c>
      <c r="O4407" s="49" t="s">
        <v>814</v>
      </c>
      <c r="P4407" s="49" t="s">
        <v>4910</v>
      </c>
      <c r="Q4407" s="35" t="str">
        <f>MID(Tabla1[[#This Row],[Aplicación]],14,1)</f>
        <v>2</v>
      </c>
      <c r="R4407" s="35" t="s">
        <v>495</v>
      </c>
      <c r="S4407" s="35" t="str">
        <f>MID(Tabla1[[#This Row],[Aplicación]],6,2)</f>
        <v>02</v>
      </c>
      <c r="T4407" s="35" t="str">
        <f>VLOOKUP(Tabla1[[#This Row],[AREA]],Hoja1!A:B,2,FALSE)</f>
        <v>02. Planeamiento urbanístico y vivienda</v>
      </c>
      <c r="U4407" s="35" t="str">
        <f>MID(Tabla1[[#This Row],[Aplicación]],9,4)</f>
        <v>9332</v>
      </c>
      <c r="V4407" s="35" t="str">
        <f>VLOOKUP(Tabla1[[#This Row],[PROGRAMA]],Hoja1!A:B,2,FALSE)</f>
        <v>9332. Mantenimiento de edificios e instalaciones municipales</v>
      </c>
      <c r="W4407" s="35" t="str">
        <f>MID(Tabla1[[#This Row],[Aplicación]],14,2)</f>
        <v>21</v>
      </c>
      <c r="X4407" s="35" t="str">
        <f>MID(Tabla1[[#This Row],[Aplicación]],14,6)</f>
        <v>212</v>
      </c>
    </row>
    <row r="4408" spans="1:24" x14ac:dyDescent="0.25">
      <c r="A4408" s="45">
        <v>220210057021</v>
      </c>
      <c r="B4408" s="46" t="s">
        <v>9</v>
      </c>
      <c r="C4408" s="47">
        <v>44456</v>
      </c>
      <c r="D4408" s="45">
        <v>22021006542</v>
      </c>
      <c r="E4408" s="46" t="s">
        <v>881</v>
      </c>
      <c r="F4408" s="48">
        <v>5929</v>
      </c>
      <c r="G4408" s="46" t="s">
        <v>6055</v>
      </c>
      <c r="H4408" s="46" t="s">
        <v>6056</v>
      </c>
      <c r="I4408" s="45" t="s">
        <v>125</v>
      </c>
      <c r="J4408" s="46" t="s">
        <v>136</v>
      </c>
      <c r="K4408" s="46" t="s">
        <v>136</v>
      </c>
      <c r="L4408" s="46" t="s">
        <v>12</v>
      </c>
      <c r="M4408" s="46" t="s">
        <v>10</v>
      </c>
      <c r="N4408" s="46" t="s">
        <v>11</v>
      </c>
      <c r="O4408" s="49" t="s">
        <v>815</v>
      </c>
      <c r="P4408" s="49" t="s">
        <v>4910</v>
      </c>
      <c r="Q4408" s="35" t="str">
        <f>MID(Tabla1[[#This Row],[Aplicación]],14,1)</f>
        <v>2</v>
      </c>
      <c r="R4408" s="35" t="s">
        <v>495</v>
      </c>
      <c r="S4408" s="35" t="str">
        <f>MID(Tabla1[[#This Row],[Aplicación]],6,2)</f>
        <v>05</v>
      </c>
      <c r="T4408" s="35" t="str">
        <f>VLOOKUP(Tabla1[[#This Row],[AREA]],Hoja1!A:B,2,FALSE)</f>
        <v>05. Innovación, desarrollo económico, empleo y comercio</v>
      </c>
      <c r="U4408" s="35" t="str">
        <f>MID(Tabla1[[#This Row],[Aplicación]],9,4)</f>
        <v>4331</v>
      </c>
      <c r="V4408" s="35" t="str">
        <f>VLOOKUP(Tabla1[[#This Row],[PROGRAMA]],Hoja1!A:B,2,FALSE)</f>
        <v>4331. Desarrollo empresarial</v>
      </c>
      <c r="W4408" s="35" t="str">
        <f>MID(Tabla1[[#This Row],[Aplicación]],14,2)</f>
        <v>22</v>
      </c>
      <c r="X4408" s="35" t="str">
        <f>MID(Tabla1[[#This Row],[Aplicación]],14,6)</f>
        <v>22799</v>
      </c>
    </row>
    <row r="4409" spans="1:24" x14ac:dyDescent="0.25">
      <c r="A4409" s="45">
        <v>220210063185</v>
      </c>
      <c r="B4409" s="46" t="s">
        <v>204</v>
      </c>
      <c r="C4409" s="47">
        <v>44469</v>
      </c>
      <c r="D4409" s="45">
        <v>22021002132</v>
      </c>
      <c r="E4409" s="46" t="s">
        <v>1180</v>
      </c>
      <c r="F4409" s="48">
        <v>1732.9</v>
      </c>
      <c r="G4409" s="46" t="s">
        <v>257</v>
      </c>
      <c r="H4409" s="46" t="s">
        <v>6057</v>
      </c>
      <c r="I4409" s="45" t="s">
        <v>205</v>
      </c>
      <c r="J4409" s="46" t="s">
        <v>127</v>
      </c>
      <c r="K4409" s="46" t="s">
        <v>127</v>
      </c>
      <c r="L4409" s="46" t="s">
        <v>15</v>
      </c>
      <c r="M4409" s="46" t="s">
        <v>13</v>
      </c>
      <c r="N4409" s="46" t="s">
        <v>14</v>
      </c>
      <c r="O4409" s="49" t="s">
        <v>814</v>
      </c>
      <c r="P4409" s="49" t="s">
        <v>4910</v>
      </c>
      <c r="Q4409" s="35" t="str">
        <f>MID(Tabla1[[#This Row],[Aplicación]],14,1)</f>
        <v>2</v>
      </c>
      <c r="R4409" s="35" t="s">
        <v>495</v>
      </c>
      <c r="S4409" s="35" t="str">
        <f>MID(Tabla1[[#This Row],[Aplicación]],6,2)</f>
        <v>08</v>
      </c>
      <c r="T4409" s="35" t="str">
        <f>VLOOKUP(Tabla1[[#This Row],[AREA]],Hoja1!A:B,2,FALSE)</f>
        <v>08. Movilidad y espacio urbano</v>
      </c>
      <c r="U4409" s="35" t="str">
        <f>MID(Tabla1[[#This Row],[Aplicación]],9,4)</f>
        <v>1532</v>
      </c>
      <c r="V4409" s="35" t="str">
        <f>VLOOKUP(Tabla1[[#This Row],[PROGRAMA]],Hoja1!A:B,2,FALSE)</f>
        <v>1532. Pavimentación vias públicas y otros servicios urbanísticos</v>
      </c>
      <c r="W4409" s="35" t="str">
        <f>MID(Tabla1[[#This Row],[Aplicación]],14,2)</f>
        <v>21</v>
      </c>
      <c r="X4409" s="35" t="str">
        <f>MID(Tabla1[[#This Row],[Aplicación]],14,6)</f>
        <v>210</v>
      </c>
    </row>
    <row r="4410" spans="1:24" x14ac:dyDescent="0.25">
      <c r="A4410" s="45">
        <v>220210058318</v>
      </c>
      <c r="B4410" s="46" t="s">
        <v>501</v>
      </c>
      <c r="C4410" s="47">
        <v>44460</v>
      </c>
      <c r="D4410" s="45">
        <v>22021005797</v>
      </c>
      <c r="E4410" s="46" t="s">
        <v>4974</v>
      </c>
      <c r="F4410" s="48">
        <v>-13673</v>
      </c>
      <c r="G4410" s="46" t="s">
        <v>4975</v>
      </c>
      <c r="H4410" s="46" t="s">
        <v>4976</v>
      </c>
      <c r="I4410" s="45" t="s">
        <v>125</v>
      </c>
      <c r="J4410" s="46" t="s">
        <v>127</v>
      </c>
      <c r="K4410" s="46" t="s">
        <v>127</v>
      </c>
      <c r="L4410" s="46" t="s">
        <v>12</v>
      </c>
      <c r="M4410" s="46" t="s">
        <v>10</v>
      </c>
      <c r="N4410" s="46" t="s">
        <v>11</v>
      </c>
      <c r="O4410" s="49" t="s">
        <v>815</v>
      </c>
      <c r="P4410" s="49" t="s">
        <v>4910</v>
      </c>
      <c r="Q4410" s="35" t="str">
        <f>MID(Tabla1[[#This Row],[Aplicación]],14,1)</f>
        <v>2</v>
      </c>
      <c r="R4410" s="35" t="s">
        <v>495</v>
      </c>
      <c r="S4410" s="35" t="str">
        <f>MID(Tabla1[[#This Row],[Aplicación]],6,2)</f>
        <v>02</v>
      </c>
      <c r="T4410" s="35" t="str">
        <f>VLOOKUP(Tabla1[[#This Row],[AREA]],Hoja1!A:B,2,FALSE)</f>
        <v>02. Planeamiento urbanístico y vivienda</v>
      </c>
      <c r="U4410" s="35" t="str">
        <f>MID(Tabla1[[#This Row],[Aplicación]],9,4)</f>
        <v>9332</v>
      </c>
      <c r="V4410" s="35" t="str">
        <f>VLOOKUP(Tabla1[[#This Row],[PROGRAMA]],Hoja1!A:B,2,FALSE)</f>
        <v>9332. Mantenimiento de edificios e instalaciones municipales</v>
      </c>
      <c r="W4410" s="35" t="str">
        <f>MID(Tabla1[[#This Row],[Aplicación]],14,2)</f>
        <v>22</v>
      </c>
      <c r="X4410" s="35" t="str">
        <f>MID(Tabla1[[#This Row],[Aplicación]],14,6)</f>
        <v>22706</v>
      </c>
    </row>
    <row r="4411" spans="1:24" x14ac:dyDescent="0.25">
      <c r="A4411" s="45">
        <v>220210045186</v>
      </c>
      <c r="B4411" s="46" t="s">
        <v>204</v>
      </c>
      <c r="C4411" s="47">
        <v>44411</v>
      </c>
      <c r="D4411" s="45">
        <v>22021002144</v>
      </c>
      <c r="E4411" s="46" t="s">
        <v>1328</v>
      </c>
      <c r="F4411" s="48">
        <v>42</v>
      </c>
      <c r="G4411" s="46" t="s">
        <v>266</v>
      </c>
      <c r="H4411" s="46" t="s">
        <v>6058</v>
      </c>
      <c r="I4411" s="45" t="s">
        <v>205</v>
      </c>
      <c r="J4411" s="46" t="s">
        <v>127</v>
      </c>
      <c r="K4411" s="46" t="s">
        <v>127</v>
      </c>
      <c r="L4411" s="46" t="s">
        <v>15</v>
      </c>
      <c r="M4411" s="46" t="s">
        <v>13</v>
      </c>
      <c r="N4411" s="46" t="s">
        <v>14</v>
      </c>
      <c r="O4411" s="49" t="s">
        <v>814</v>
      </c>
      <c r="P4411" s="49" t="s">
        <v>4910</v>
      </c>
      <c r="Q4411" s="35" t="str">
        <f>MID(Tabla1[[#This Row],[Aplicación]],14,1)</f>
        <v>2</v>
      </c>
      <c r="R4411" s="35" t="s">
        <v>495</v>
      </c>
      <c r="S4411" s="35" t="str">
        <f>MID(Tabla1[[#This Row],[Aplicación]],6,2)</f>
        <v>10</v>
      </c>
      <c r="T4411" s="35" t="str">
        <f>VLOOKUP(Tabla1[[#This Row],[AREA]],Hoja1!A:B,2,FALSE)</f>
        <v>10. Servicios sociales y mediación comunitaria</v>
      </c>
      <c r="U4411" s="35" t="str">
        <f>MID(Tabla1[[#This Row],[Aplicación]],9,4)</f>
        <v>2311</v>
      </c>
      <c r="V4411" s="35" t="str">
        <f>VLOOKUP(Tabla1[[#This Row],[PROGRAMA]],Hoja1!A:B,2,FALSE)</f>
        <v>2311. Intervención social</v>
      </c>
      <c r="W4411" s="35" t="str">
        <f>MID(Tabla1[[#This Row],[Aplicación]],14,2)</f>
        <v>21</v>
      </c>
      <c r="X4411" s="35" t="str">
        <f>MID(Tabla1[[#This Row],[Aplicación]],14,6)</f>
        <v>212</v>
      </c>
    </row>
    <row r="4412" spans="1:24" x14ac:dyDescent="0.25">
      <c r="A4412" s="45">
        <v>220210045188</v>
      </c>
      <c r="B4412" s="46" t="s">
        <v>204</v>
      </c>
      <c r="C4412" s="47">
        <v>44411</v>
      </c>
      <c r="D4412" s="45">
        <v>22021002144</v>
      </c>
      <c r="E4412" s="46" t="s">
        <v>1328</v>
      </c>
      <c r="F4412" s="48">
        <v>105</v>
      </c>
      <c r="G4412" s="46" t="s">
        <v>266</v>
      </c>
      <c r="H4412" s="46" t="s">
        <v>6059</v>
      </c>
      <c r="I4412" s="45" t="s">
        <v>205</v>
      </c>
      <c r="J4412" s="46" t="s">
        <v>127</v>
      </c>
      <c r="K4412" s="46" t="s">
        <v>127</v>
      </c>
      <c r="L4412" s="46" t="s">
        <v>15</v>
      </c>
      <c r="M4412" s="46" t="s">
        <v>13</v>
      </c>
      <c r="N4412" s="46" t="s">
        <v>14</v>
      </c>
      <c r="O4412" s="49" t="s">
        <v>814</v>
      </c>
      <c r="P4412" s="49" t="s">
        <v>4910</v>
      </c>
      <c r="Q4412" s="35" t="str">
        <f>MID(Tabla1[[#This Row],[Aplicación]],14,1)</f>
        <v>2</v>
      </c>
      <c r="R4412" s="35" t="s">
        <v>495</v>
      </c>
      <c r="S4412" s="35" t="str">
        <f>MID(Tabla1[[#This Row],[Aplicación]],6,2)</f>
        <v>10</v>
      </c>
      <c r="T4412" s="35" t="str">
        <f>VLOOKUP(Tabla1[[#This Row],[AREA]],Hoja1!A:B,2,FALSE)</f>
        <v>10. Servicios sociales y mediación comunitaria</v>
      </c>
      <c r="U4412" s="35" t="str">
        <f>MID(Tabla1[[#This Row],[Aplicación]],9,4)</f>
        <v>2311</v>
      </c>
      <c r="V4412" s="35" t="str">
        <f>VLOOKUP(Tabla1[[#This Row],[PROGRAMA]],Hoja1!A:B,2,FALSE)</f>
        <v>2311. Intervención social</v>
      </c>
      <c r="W4412" s="35" t="str">
        <f>MID(Tabla1[[#This Row],[Aplicación]],14,2)</f>
        <v>21</v>
      </c>
      <c r="X4412" s="35" t="str">
        <f>MID(Tabla1[[#This Row],[Aplicación]],14,6)</f>
        <v>212</v>
      </c>
    </row>
    <row r="4413" spans="1:24" x14ac:dyDescent="0.25">
      <c r="A4413" s="45">
        <v>220210046999</v>
      </c>
      <c r="B4413" s="46" t="s">
        <v>204</v>
      </c>
      <c r="C4413" s="47">
        <v>44421</v>
      </c>
      <c r="D4413" s="45">
        <v>22021001039</v>
      </c>
      <c r="E4413" s="46" t="s">
        <v>844</v>
      </c>
      <c r="F4413" s="48">
        <v>7.6</v>
      </c>
      <c r="G4413" s="46" t="s">
        <v>266</v>
      </c>
      <c r="H4413" s="46" t="s">
        <v>6060</v>
      </c>
      <c r="I4413" s="45" t="s">
        <v>205</v>
      </c>
      <c r="J4413" s="46" t="s">
        <v>127</v>
      </c>
      <c r="K4413" s="46" t="s">
        <v>127</v>
      </c>
      <c r="L4413" s="46" t="s">
        <v>15</v>
      </c>
      <c r="M4413" s="46" t="s">
        <v>13</v>
      </c>
      <c r="N4413" s="46" t="s">
        <v>14</v>
      </c>
      <c r="O4413" s="49" t="s">
        <v>814</v>
      </c>
      <c r="P4413" s="49" t="s">
        <v>4910</v>
      </c>
      <c r="Q4413" s="35" t="str">
        <f>MID(Tabla1[[#This Row],[Aplicación]],14,1)</f>
        <v>2</v>
      </c>
      <c r="R4413" s="35" t="s">
        <v>495</v>
      </c>
      <c r="S4413" s="35" t="str">
        <f>MID(Tabla1[[#This Row],[Aplicación]],6,2)</f>
        <v>10</v>
      </c>
      <c r="T4413" s="35" t="str">
        <f>VLOOKUP(Tabla1[[#This Row],[AREA]],Hoja1!A:B,2,FALSE)</f>
        <v>10. Servicios sociales y mediación comunitaria</v>
      </c>
      <c r="U4413" s="35" t="str">
        <f>MID(Tabla1[[#This Row],[Aplicación]],9,4)</f>
        <v>2312</v>
      </c>
      <c r="V4413" s="35" t="str">
        <f>VLOOKUP(Tabla1[[#This Row],[PROGRAMA]],Hoja1!A:B,2,FALSE)</f>
        <v>2312. Iniciativas sociales</v>
      </c>
      <c r="W4413" s="35" t="str">
        <f>MID(Tabla1[[#This Row],[Aplicación]],14,2)</f>
        <v>21</v>
      </c>
      <c r="X4413" s="35" t="str">
        <f>MID(Tabla1[[#This Row],[Aplicación]],14,6)</f>
        <v>212</v>
      </c>
    </row>
    <row r="4414" spans="1:24" x14ac:dyDescent="0.25">
      <c r="A4414" s="45">
        <v>220210046999</v>
      </c>
      <c r="B4414" s="46" t="s">
        <v>204</v>
      </c>
      <c r="C4414" s="47">
        <v>44421</v>
      </c>
      <c r="D4414" s="45">
        <v>22021001038</v>
      </c>
      <c r="E4414" s="46" t="s">
        <v>844</v>
      </c>
      <c r="F4414" s="48">
        <v>2.75</v>
      </c>
      <c r="G4414" s="46" t="s">
        <v>266</v>
      </c>
      <c r="H4414" s="46" t="s">
        <v>6060</v>
      </c>
      <c r="I4414" s="45" t="s">
        <v>205</v>
      </c>
      <c r="J4414" s="46" t="s">
        <v>127</v>
      </c>
      <c r="K4414" s="46" t="s">
        <v>127</v>
      </c>
      <c r="L4414" s="46" t="s">
        <v>15</v>
      </c>
      <c r="M4414" s="46" t="s">
        <v>13</v>
      </c>
      <c r="N4414" s="46" t="s">
        <v>14</v>
      </c>
      <c r="O4414" s="49" t="s">
        <v>814</v>
      </c>
      <c r="P4414" s="49" t="s">
        <v>4910</v>
      </c>
      <c r="Q4414" s="35" t="str">
        <f>MID(Tabla1[[#This Row],[Aplicación]],14,1)</f>
        <v>2</v>
      </c>
      <c r="R4414" s="35" t="s">
        <v>495</v>
      </c>
      <c r="S4414" s="35" t="str">
        <f>MID(Tabla1[[#This Row],[Aplicación]],6,2)</f>
        <v>10</v>
      </c>
      <c r="T4414" s="35" t="str">
        <f>VLOOKUP(Tabla1[[#This Row],[AREA]],Hoja1!A:B,2,FALSE)</f>
        <v>10. Servicios sociales y mediación comunitaria</v>
      </c>
      <c r="U4414" s="35" t="str">
        <f>MID(Tabla1[[#This Row],[Aplicación]],9,4)</f>
        <v>2312</v>
      </c>
      <c r="V4414" s="35" t="str">
        <f>VLOOKUP(Tabla1[[#This Row],[PROGRAMA]],Hoja1!A:B,2,FALSE)</f>
        <v>2312. Iniciativas sociales</v>
      </c>
      <c r="W4414" s="35" t="str">
        <f>MID(Tabla1[[#This Row],[Aplicación]],14,2)</f>
        <v>21</v>
      </c>
      <c r="X4414" s="35" t="str">
        <f>MID(Tabla1[[#This Row],[Aplicación]],14,6)</f>
        <v>212</v>
      </c>
    </row>
    <row r="4415" spans="1:24" x14ac:dyDescent="0.25">
      <c r="A4415" s="45">
        <v>220210046979</v>
      </c>
      <c r="B4415" s="46" t="s">
        <v>204</v>
      </c>
      <c r="C4415" s="47">
        <v>44421</v>
      </c>
      <c r="D4415" s="45">
        <v>22021002006</v>
      </c>
      <c r="E4415" s="46" t="s">
        <v>1310</v>
      </c>
      <c r="F4415" s="48">
        <v>8.23</v>
      </c>
      <c r="G4415" s="46" t="s">
        <v>266</v>
      </c>
      <c r="H4415" s="46" t="s">
        <v>6061</v>
      </c>
      <c r="I4415" s="45" t="s">
        <v>205</v>
      </c>
      <c r="J4415" s="46" t="s">
        <v>127</v>
      </c>
      <c r="K4415" s="46" t="s">
        <v>127</v>
      </c>
      <c r="L4415" s="46" t="s">
        <v>15</v>
      </c>
      <c r="M4415" s="46" t="s">
        <v>13</v>
      </c>
      <c r="N4415" s="46" t="s">
        <v>14</v>
      </c>
      <c r="O4415" s="49" t="s">
        <v>814</v>
      </c>
      <c r="P4415" s="49" t="s">
        <v>4910</v>
      </c>
      <c r="Q4415" s="35" t="str">
        <f>MID(Tabla1[[#This Row],[Aplicación]],14,1)</f>
        <v>2</v>
      </c>
      <c r="R4415" s="35" t="s">
        <v>495</v>
      </c>
      <c r="S4415" s="35" t="str">
        <f>MID(Tabla1[[#This Row],[Aplicación]],6,2)</f>
        <v>11</v>
      </c>
      <c r="T4415" s="35" t="str">
        <f>VLOOKUP(Tabla1[[#This Row],[AREA]],Hoja1!A:B,2,FALSE)</f>
        <v>11. Salud pública y seguridad ciudadana</v>
      </c>
      <c r="U4415" s="35" t="str">
        <f>MID(Tabla1[[#This Row],[Aplicación]],9,4)</f>
        <v>3111</v>
      </c>
      <c r="V4415" s="35" t="str">
        <f>VLOOKUP(Tabla1[[#This Row],[PROGRAMA]],Hoja1!A:B,2,FALSE)</f>
        <v>3111. Protección de la salubridad pública</v>
      </c>
      <c r="W4415" s="35" t="str">
        <f>MID(Tabla1[[#This Row],[Aplicación]],14,2)</f>
        <v>22</v>
      </c>
      <c r="X4415" s="35" t="str">
        <f>MID(Tabla1[[#This Row],[Aplicación]],14,6)</f>
        <v>22199</v>
      </c>
    </row>
    <row r="4416" spans="1:24" x14ac:dyDescent="0.25">
      <c r="A4416" s="45">
        <v>220210046048</v>
      </c>
      <c r="B4416" s="46" t="s">
        <v>204</v>
      </c>
      <c r="C4416" s="47">
        <v>44418</v>
      </c>
      <c r="D4416" s="45">
        <v>22021002228</v>
      </c>
      <c r="E4416" s="46" t="s">
        <v>1471</v>
      </c>
      <c r="F4416" s="48">
        <v>67.17</v>
      </c>
      <c r="G4416" s="46" t="s">
        <v>266</v>
      </c>
      <c r="H4416" s="46" t="s">
        <v>6062</v>
      </c>
      <c r="I4416" s="45" t="s">
        <v>205</v>
      </c>
      <c r="J4416" s="46" t="s">
        <v>127</v>
      </c>
      <c r="K4416" s="46" t="s">
        <v>127</v>
      </c>
      <c r="L4416" s="46" t="s">
        <v>15</v>
      </c>
      <c r="M4416" s="46" t="s">
        <v>13</v>
      </c>
      <c r="N4416" s="46" t="s">
        <v>16</v>
      </c>
      <c r="O4416" s="49" t="s">
        <v>814</v>
      </c>
      <c r="P4416" s="49" t="s">
        <v>4910</v>
      </c>
      <c r="Q4416" s="35" t="str">
        <f>MID(Tabla1[[#This Row],[Aplicación]],14,1)</f>
        <v>2</v>
      </c>
      <c r="R4416" s="35" t="s">
        <v>495</v>
      </c>
      <c r="S4416" s="35" t="str">
        <f>MID(Tabla1[[#This Row],[Aplicación]],6,2)</f>
        <v>06</v>
      </c>
      <c r="T4416" s="35" t="str">
        <f>VLOOKUP(Tabla1[[#This Row],[AREA]],Hoja1!A:B,2,FALSE)</f>
        <v>06. Educación, infancia, juventud e igualdad</v>
      </c>
      <c r="U4416" s="35" t="str">
        <f>MID(Tabla1[[#This Row],[Aplicación]],9,4)</f>
        <v>3232</v>
      </c>
      <c r="V4416" s="35" t="str">
        <f>VLOOKUP(Tabla1[[#This Row],[PROGRAMA]],Hoja1!A:B,2,FALSE)</f>
        <v>3232. Conservación y mantenimiento centros educación infantil y primaria</v>
      </c>
      <c r="W4416" s="35" t="str">
        <f>MID(Tabla1[[#This Row],[Aplicación]],14,2)</f>
        <v>21</v>
      </c>
      <c r="X4416" s="35" t="str">
        <f>MID(Tabla1[[#This Row],[Aplicación]],14,6)</f>
        <v>212</v>
      </c>
    </row>
    <row r="4417" spans="1:24" x14ac:dyDescent="0.25">
      <c r="A4417" s="45">
        <v>220210045672</v>
      </c>
      <c r="B4417" s="46" t="s">
        <v>204</v>
      </c>
      <c r="C4417" s="47">
        <v>44414</v>
      </c>
      <c r="D4417" s="45">
        <v>22021002227</v>
      </c>
      <c r="E4417" s="46" t="s">
        <v>1324</v>
      </c>
      <c r="F4417" s="48">
        <v>21.45</v>
      </c>
      <c r="G4417" s="46" t="s">
        <v>266</v>
      </c>
      <c r="H4417" s="46" t="s">
        <v>6063</v>
      </c>
      <c r="I4417" s="45" t="s">
        <v>205</v>
      </c>
      <c r="J4417" s="46" t="s">
        <v>127</v>
      </c>
      <c r="K4417" s="46" t="s">
        <v>127</v>
      </c>
      <c r="L4417" s="46" t="s">
        <v>15</v>
      </c>
      <c r="M4417" s="46" t="s">
        <v>13</v>
      </c>
      <c r="N4417" s="46" t="s">
        <v>16</v>
      </c>
      <c r="O4417" s="49" t="s">
        <v>814</v>
      </c>
      <c r="P4417" s="49" t="s">
        <v>4910</v>
      </c>
      <c r="Q4417" s="35" t="str">
        <f>MID(Tabla1[[#This Row],[Aplicación]],14,1)</f>
        <v>2</v>
      </c>
      <c r="R4417" s="35" t="s">
        <v>495</v>
      </c>
      <c r="S4417" s="35" t="str">
        <f>MID(Tabla1[[#This Row],[Aplicación]],6,2)</f>
        <v>06</v>
      </c>
      <c r="T4417" s="35" t="str">
        <f>VLOOKUP(Tabla1[[#This Row],[AREA]],Hoja1!A:B,2,FALSE)</f>
        <v>06. Educación, infancia, juventud e igualdad</v>
      </c>
      <c r="U4417" s="35" t="str">
        <f>MID(Tabla1[[#This Row],[Aplicación]],9,4)</f>
        <v>3321</v>
      </c>
      <c r="V4417" s="35" t="str">
        <f>VLOOKUP(Tabla1[[#This Row],[PROGRAMA]],Hoja1!A:B,2,FALSE)</f>
        <v>3321. Bibliotecas públicas</v>
      </c>
      <c r="W4417" s="35" t="str">
        <f>MID(Tabla1[[#This Row],[Aplicación]],14,2)</f>
        <v>21</v>
      </c>
      <c r="X4417" s="35" t="str">
        <f>MID(Tabla1[[#This Row],[Aplicación]],14,6)</f>
        <v>212</v>
      </c>
    </row>
    <row r="4418" spans="1:24" x14ac:dyDescent="0.25">
      <c r="A4418" s="45">
        <v>220210053489</v>
      </c>
      <c r="B4418" s="46" t="s">
        <v>204</v>
      </c>
      <c r="C4418" s="47">
        <v>44452</v>
      </c>
      <c r="D4418" s="45">
        <v>22021002057</v>
      </c>
      <c r="E4418" s="46" t="s">
        <v>1715</v>
      </c>
      <c r="F4418" s="48">
        <v>127.26</v>
      </c>
      <c r="G4418" s="46" t="s">
        <v>266</v>
      </c>
      <c r="H4418" s="46" t="s">
        <v>6064</v>
      </c>
      <c r="I4418" s="45" t="s">
        <v>205</v>
      </c>
      <c r="J4418" s="46" t="s">
        <v>127</v>
      </c>
      <c r="K4418" s="46" t="s">
        <v>127</v>
      </c>
      <c r="L4418" s="46" t="s">
        <v>15</v>
      </c>
      <c r="M4418" s="46" t="s">
        <v>13</v>
      </c>
      <c r="N4418" s="46" t="s">
        <v>14</v>
      </c>
      <c r="O4418" s="49" t="s">
        <v>814</v>
      </c>
      <c r="P4418" s="49" t="s">
        <v>4910</v>
      </c>
      <c r="Q4418" s="35" t="str">
        <f>MID(Tabla1[[#This Row],[Aplicación]],14,1)</f>
        <v>2</v>
      </c>
      <c r="R4418" s="35" t="s">
        <v>495</v>
      </c>
      <c r="S4418" s="35" t="str">
        <f>MID(Tabla1[[#This Row],[Aplicación]],6,2)</f>
        <v>11</v>
      </c>
      <c r="T4418" s="35" t="str">
        <f>VLOOKUP(Tabla1[[#This Row],[AREA]],Hoja1!A:B,2,FALSE)</f>
        <v>11. Salud pública y seguridad ciudadana</v>
      </c>
      <c r="U4418" s="35" t="str">
        <f>MID(Tabla1[[#This Row],[Aplicación]],9,4)</f>
        <v>1631</v>
      </c>
      <c r="V4418" s="35" t="str">
        <f>VLOOKUP(Tabla1[[#This Row],[PROGRAMA]],Hoja1!A:B,2,FALSE)</f>
        <v>1631. Limpieza viaria</v>
      </c>
      <c r="W4418" s="35" t="str">
        <f>MID(Tabla1[[#This Row],[Aplicación]],14,2)</f>
        <v>22</v>
      </c>
      <c r="X4418" s="35" t="str">
        <f>MID(Tabla1[[#This Row],[Aplicación]],14,6)</f>
        <v>22199</v>
      </c>
    </row>
    <row r="4419" spans="1:24" x14ac:dyDescent="0.25">
      <c r="A4419" s="45">
        <v>220210056666</v>
      </c>
      <c r="B4419" s="46" t="s">
        <v>204</v>
      </c>
      <c r="C4419" s="47">
        <v>44455</v>
      </c>
      <c r="D4419" s="45">
        <v>22021005981</v>
      </c>
      <c r="E4419" s="46" t="s">
        <v>1410</v>
      </c>
      <c r="F4419" s="48">
        <v>1800.61</v>
      </c>
      <c r="G4419" s="46" t="s">
        <v>258</v>
      </c>
      <c r="H4419" s="46" t="s">
        <v>6065</v>
      </c>
      <c r="I4419" s="45" t="s">
        <v>205</v>
      </c>
      <c r="J4419" s="46" t="s">
        <v>127</v>
      </c>
      <c r="K4419" s="46" t="s">
        <v>127</v>
      </c>
      <c r="L4419" s="46" t="s">
        <v>12</v>
      </c>
      <c r="M4419" s="46" t="s">
        <v>13</v>
      </c>
      <c r="N4419" s="46" t="s">
        <v>14</v>
      </c>
      <c r="O4419" s="49" t="s">
        <v>814</v>
      </c>
      <c r="P4419" s="49" t="s">
        <v>4910</v>
      </c>
      <c r="Q4419" s="35" t="str">
        <f>MID(Tabla1[[#This Row],[Aplicación]],14,1)</f>
        <v>2</v>
      </c>
      <c r="R4419" s="35" t="s">
        <v>495</v>
      </c>
      <c r="S4419" s="35" t="str">
        <f>MID(Tabla1[[#This Row],[Aplicación]],6,2)</f>
        <v>07</v>
      </c>
      <c r="T4419" s="35" t="str">
        <f>VLOOKUP(Tabla1[[#This Row],[AREA]],Hoja1!A:B,2,FALSE)</f>
        <v>07. Medio ambiente y desarrollo sostenible</v>
      </c>
      <c r="U4419" s="35" t="str">
        <f>MID(Tabla1[[#This Row],[Aplicación]],9,4)</f>
        <v>1711</v>
      </c>
      <c r="V4419" s="35" t="str">
        <f>VLOOKUP(Tabla1[[#This Row],[PROGRAMA]],Hoja1!A:B,2,FALSE)</f>
        <v>1711. Parques y jardines</v>
      </c>
      <c r="W4419" s="35" t="str">
        <f>MID(Tabla1[[#This Row],[Aplicación]],14,2)</f>
        <v>21</v>
      </c>
      <c r="X4419" s="35" t="str">
        <f>MID(Tabla1[[#This Row],[Aplicación]],14,6)</f>
        <v>214</v>
      </c>
    </row>
    <row r="4420" spans="1:24" x14ac:dyDescent="0.25">
      <c r="A4420" s="45">
        <v>220210047816</v>
      </c>
      <c r="B4420" s="46" t="s">
        <v>204</v>
      </c>
      <c r="C4420" s="47">
        <v>44425</v>
      </c>
      <c r="D4420" s="45">
        <v>22021002088</v>
      </c>
      <c r="E4420" s="46" t="s">
        <v>1478</v>
      </c>
      <c r="F4420" s="48">
        <v>126.95</v>
      </c>
      <c r="G4420" s="46" t="s">
        <v>266</v>
      </c>
      <c r="H4420" s="46" t="s">
        <v>6066</v>
      </c>
      <c r="I4420" s="45" t="s">
        <v>205</v>
      </c>
      <c r="J4420" s="46" t="s">
        <v>127</v>
      </c>
      <c r="K4420" s="46" t="s">
        <v>127</v>
      </c>
      <c r="L4420" s="46" t="s">
        <v>15</v>
      </c>
      <c r="M4420" s="46" t="s">
        <v>13</v>
      </c>
      <c r="N4420" s="46" t="s">
        <v>14</v>
      </c>
      <c r="O4420" s="49" t="s">
        <v>814</v>
      </c>
      <c r="P4420" s="49" t="s">
        <v>4910</v>
      </c>
      <c r="Q4420" s="35" t="str">
        <f>MID(Tabla1[[#This Row],[Aplicación]],14,1)</f>
        <v>2</v>
      </c>
      <c r="R4420" s="35" t="s">
        <v>495</v>
      </c>
      <c r="S4420" s="35" t="str">
        <f>MID(Tabla1[[#This Row],[Aplicación]],6,2)</f>
        <v>03</v>
      </c>
      <c r="T4420" s="35" t="str">
        <f>VLOOKUP(Tabla1[[#This Row],[AREA]],Hoja1!A:B,2,FALSE)</f>
        <v>03. Participación ciudadana y deportes</v>
      </c>
      <c r="U4420" s="35" t="str">
        <f>MID(Tabla1[[#This Row],[Aplicación]],9,4)</f>
        <v>9241</v>
      </c>
      <c r="V4420" s="35" t="str">
        <f>VLOOKUP(Tabla1[[#This Row],[PROGRAMA]],Hoja1!A:B,2,FALSE)</f>
        <v>9241. Participación ciudadana</v>
      </c>
      <c r="W4420" s="35" t="str">
        <f>MID(Tabla1[[#This Row],[Aplicación]],14,2)</f>
        <v>21</v>
      </c>
      <c r="X4420" s="35" t="str">
        <f>MID(Tabla1[[#This Row],[Aplicación]],14,6)</f>
        <v>212</v>
      </c>
    </row>
    <row r="4421" spans="1:24" x14ac:dyDescent="0.25">
      <c r="A4421" s="45">
        <v>220210058841</v>
      </c>
      <c r="B4421" s="46" t="s">
        <v>204</v>
      </c>
      <c r="C4421" s="47">
        <v>44462</v>
      </c>
      <c r="D4421" s="45">
        <v>22021002369</v>
      </c>
      <c r="E4421" s="46" t="s">
        <v>1336</v>
      </c>
      <c r="F4421" s="48">
        <v>1524.73</v>
      </c>
      <c r="G4421" s="46" t="s">
        <v>235</v>
      </c>
      <c r="H4421" s="46" t="s">
        <v>6067</v>
      </c>
      <c r="I4421" s="45" t="s">
        <v>205</v>
      </c>
      <c r="J4421" s="46" t="s">
        <v>742</v>
      </c>
      <c r="K4421" s="46" t="s">
        <v>165</v>
      </c>
      <c r="L4421" s="46" t="s">
        <v>15</v>
      </c>
      <c r="M4421" s="46" t="s">
        <v>13</v>
      </c>
      <c r="N4421" s="46" t="s">
        <v>14</v>
      </c>
      <c r="O4421" s="49" t="s">
        <v>814</v>
      </c>
      <c r="P4421" s="49" t="s">
        <v>4910</v>
      </c>
      <c r="Q4421" s="35" t="str">
        <f>MID(Tabla1[[#This Row],[Aplicación]],14,1)</f>
        <v>2</v>
      </c>
      <c r="R4421" s="35" t="s">
        <v>495</v>
      </c>
      <c r="S4421" s="35" t="str">
        <f>MID(Tabla1[[#This Row],[Aplicación]],6,2)</f>
        <v>02</v>
      </c>
      <c r="T4421" s="35" t="str">
        <f>VLOOKUP(Tabla1[[#This Row],[AREA]],Hoja1!A:B,2,FALSE)</f>
        <v>02. Planeamiento urbanístico y vivienda</v>
      </c>
      <c r="U4421" s="35" t="str">
        <f>MID(Tabla1[[#This Row],[Aplicación]],9,4)</f>
        <v>9332</v>
      </c>
      <c r="V4421" s="35" t="str">
        <f>VLOOKUP(Tabla1[[#This Row],[PROGRAMA]],Hoja1!A:B,2,FALSE)</f>
        <v>9332. Mantenimiento de edificios e instalaciones municipales</v>
      </c>
      <c r="W4421" s="35" t="str">
        <f>MID(Tabla1[[#This Row],[Aplicación]],14,2)</f>
        <v>21</v>
      </c>
      <c r="X4421" s="35" t="str">
        <f>MID(Tabla1[[#This Row],[Aplicación]],14,6)</f>
        <v>212</v>
      </c>
    </row>
    <row r="4422" spans="1:24" x14ac:dyDescent="0.25">
      <c r="A4422" s="45">
        <v>220210053500</v>
      </c>
      <c r="B4422" s="46" t="s">
        <v>204</v>
      </c>
      <c r="C4422" s="47">
        <v>44452</v>
      </c>
      <c r="D4422" s="45">
        <v>22021002088</v>
      </c>
      <c r="E4422" s="46" t="s">
        <v>1478</v>
      </c>
      <c r="F4422" s="48">
        <v>114.64</v>
      </c>
      <c r="G4422" s="46" t="s">
        <v>266</v>
      </c>
      <c r="H4422" s="46" t="s">
        <v>6068</v>
      </c>
      <c r="I4422" s="45" t="s">
        <v>205</v>
      </c>
      <c r="J4422" s="46" t="s">
        <v>127</v>
      </c>
      <c r="K4422" s="46" t="s">
        <v>127</v>
      </c>
      <c r="L4422" s="46" t="s">
        <v>15</v>
      </c>
      <c r="M4422" s="46" t="s">
        <v>13</v>
      </c>
      <c r="N4422" s="46" t="s">
        <v>16</v>
      </c>
      <c r="O4422" s="49" t="s">
        <v>814</v>
      </c>
      <c r="P4422" s="49" t="s">
        <v>4910</v>
      </c>
      <c r="Q4422" s="35" t="str">
        <f>MID(Tabla1[[#This Row],[Aplicación]],14,1)</f>
        <v>2</v>
      </c>
      <c r="R4422" s="35" t="s">
        <v>495</v>
      </c>
      <c r="S4422" s="35" t="str">
        <f>MID(Tabla1[[#This Row],[Aplicación]],6,2)</f>
        <v>03</v>
      </c>
      <c r="T4422" s="35" t="str">
        <f>VLOOKUP(Tabla1[[#This Row],[AREA]],Hoja1!A:B,2,FALSE)</f>
        <v>03. Participación ciudadana y deportes</v>
      </c>
      <c r="U4422" s="35" t="str">
        <f>MID(Tabla1[[#This Row],[Aplicación]],9,4)</f>
        <v>9241</v>
      </c>
      <c r="V4422" s="35" t="str">
        <f>VLOOKUP(Tabla1[[#This Row],[PROGRAMA]],Hoja1!A:B,2,FALSE)</f>
        <v>9241. Participación ciudadana</v>
      </c>
      <c r="W4422" s="35" t="str">
        <f>MID(Tabla1[[#This Row],[Aplicación]],14,2)</f>
        <v>21</v>
      </c>
      <c r="X4422" s="35" t="str">
        <f>MID(Tabla1[[#This Row],[Aplicación]],14,6)</f>
        <v>212</v>
      </c>
    </row>
    <row r="4423" spans="1:24" x14ac:dyDescent="0.25">
      <c r="A4423" s="45">
        <v>220210059410</v>
      </c>
      <c r="B4423" s="46" t="s">
        <v>9</v>
      </c>
      <c r="C4423" s="47">
        <v>44467</v>
      </c>
      <c r="D4423" s="45">
        <v>22021006613</v>
      </c>
      <c r="E4423" s="46" t="s">
        <v>1511</v>
      </c>
      <c r="F4423" s="48">
        <v>16500</v>
      </c>
      <c r="G4423" s="46" t="s">
        <v>190</v>
      </c>
      <c r="H4423" s="46" t="s">
        <v>6069</v>
      </c>
      <c r="I4423" s="45" t="s">
        <v>125</v>
      </c>
      <c r="J4423" s="46" t="s">
        <v>157</v>
      </c>
      <c r="K4423" s="46" t="s">
        <v>157</v>
      </c>
      <c r="L4423" s="46" t="s">
        <v>12</v>
      </c>
      <c r="M4423" s="46" t="s">
        <v>10</v>
      </c>
      <c r="N4423" s="46" t="s">
        <v>11</v>
      </c>
      <c r="O4423" s="49" t="s">
        <v>815</v>
      </c>
      <c r="P4423" s="49" t="s">
        <v>4910</v>
      </c>
      <c r="Q4423" s="35" t="str">
        <f>MID(Tabla1[[#This Row],[Aplicación]],14,1)</f>
        <v>2</v>
      </c>
      <c r="R4423" s="35" t="s">
        <v>495</v>
      </c>
      <c r="S4423" s="35" t="str">
        <f>MID(Tabla1[[#This Row],[Aplicación]],6,2)</f>
        <v>11</v>
      </c>
      <c r="T4423" s="35" t="str">
        <f>VLOOKUP(Tabla1[[#This Row],[AREA]],Hoja1!A:B,2,FALSE)</f>
        <v>11. Salud pública y seguridad ciudadana</v>
      </c>
      <c r="U4423" s="35" t="str">
        <f>MID(Tabla1[[#This Row],[Aplicación]],9,4)</f>
        <v>1631</v>
      </c>
      <c r="V4423" s="35" t="str">
        <f>VLOOKUP(Tabla1[[#This Row],[PROGRAMA]],Hoja1!A:B,2,FALSE)</f>
        <v>1631. Limpieza viaria</v>
      </c>
      <c r="W4423" s="35" t="str">
        <f>MID(Tabla1[[#This Row],[Aplicación]],14,2)</f>
        <v>22</v>
      </c>
      <c r="X4423" s="35" t="str">
        <f>MID(Tabla1[[#This Row],[Aplicación]],14,6)</f>
        <v>22700</v>
      </c>
    </row>
    <row r="4424" spans="1:24" x14ac:dyDescent="0.25">
      <c r="A4424" s="45">
        <v>220210057027</v>
      </c>
      <c r="B4424" s="46" t="s">
        <v>9</v>
      </c>
      <c r="C4424" s="47">
        <v>44456</v>
      </c>
      <c r="D4424" s="45">
        <v>22021006483</v>
      </c>
      <c r="E4424" s="46" t="s">
        <v>6070</v>
      </c>
      <c r="F4424" s="48">
        <v>133.1</v>
      </c>
      <c r="G4424" s="46" t="s">
        <v>302</v>
      </c>
      <c r="H4424" s="46" t="s">
        <v>6071</v>
      </c>
      <c r="I4424" s="45" t="s">
        <v>125</v>
      </c>
      <c r="J4424" s="46" t="s">
        <v>700</v>
      </c>
      <c r="K4424" s="46" t="s">
        <v>127</v>
      </c>
      <c r="L4424" s="46" t="s">
        <v>12</v>
      </c>
      <c r="M4424" s="46" t="s">
        <v>10</v>
      </c>
      <c r="N4424" s="46" t="s">
        <v>11</v>
      </c>
      <c r="O4424" s="49" t="s">
        <v>815</v>
      </c>
      <c r="P4424" s="49" t="s">
        <v>4910</v>
      </c>
      <c r="Q4424" s="35" t="str">
        <f>MID(Tabla1[[#This Row],[Aplicación]],14,1)</f>
        <v>2</v>
      </c>
      <c r="R4424" s="35" t="s">
        <v>495</v>
      </c>
      <c r="S4424" s="35" t="str">
        <f>MID(Tabla1[[#This Row],[Aplicación]],6,2)</f>
        <v>05</v>
      </c>
      <c r="T4424" s="35" t="str">
        <f>VLOOKUP(Tabla1[[#This Row],[AREA]],Hoja1!A:B,2,FALSE)</f>
        <v>05. Innovación, desarrollo económico, empleo y comercio</v>
      </c>
      <c r="U4424" s="35" t="str">
        <f>MID(Tabla1[[#This Row],[Aplicación]],9,4)</f>
        <v>4331</v>
      </c>
      <c r="V4424" s="35" t="str">
        <f>VLOOKUP(Tabla1[[#This Row],[PROGRAMA]],Hoja1!A:B,2,FALSE)</f>
        <v>4331. Desarrollo empresarial</v>
      </c>
      <c r="W4424" s="35" t="str">
        <f>MID(Tabla1[[#This Row],[Aplicación]],14,2)</f>
        <v>21</v>
      </c>
      <c r="X4424" s="35" t="str">
        <f>MID(Tabla1[[#This Row],[Aplicación]],14,6)</f>
        <v>212</v>
      </c>
    </row>
    <row r="4425" spans="1:24" x14ac:dyDescent="0.25">
      <c r="A4425" s="45">
        <v>220210049792</v>
      </c>
      <c r="B4425" s="46" t="s">
        <v>204</v>
      </c>
      <c r="C4425" s="47">
        <v>44433</v>
      </c>
      <c r="D4425" s="45">
        <v>22021002228</v>
      </c>
      <c r="E4425" s="46" t="s">
        <v>1471</v>
      </c>
      <c r="F4425" s="48">
        <v>63.09</v>
      </c>
      <c r="G4425" s="46" t="s">
        <v>266</v>
      </c>
      <c r="H4425" s="46" t="s">
        <v>6072</v>
      </c>
      <c r="I4425" s="45" t="s">
        <v>205</v>
      </c>
      <c r="J4425" s="46" t="s">
        <v>127</v>
      </c>
      <c r="K4425" s="46" t="s">
        <v>127</v>
      </c>
      <c r="L4425" s="46" t="s">
        <v>15</v>
      </c>
      <c r="M4425" s="46" t="s">
        <v>13</v>
      </c>
      <c r="N4425" s="46" t="s">
        <v>16</v>
      </c>
      <c r="O4425" s="49" t="s">
        <v>814</v>
      </c>
      <c r="P4425" s="49" t="s">
        <v>4910</v>
      </c>
      <c r="Q4425" s="35" t="str">
        <f>MID(Tabla1[[#This Row],[Aplicación]],14,1)</f>
        <v>2</v>
      </c>
      <c r="R4425" s="35" t="s">
        <v>495</v>
      </c>
      <c r="S4425" s="35" t="str">
        <f>MID(Tabla1[[#This Row],[Aplicación]],6,2)</f>
        <v>06</v>
      </c>
      <c r="T4425" s="35" t="str">
        <f>VLOOKUP(Tabla1[[#This Row],[AREA]],Hoja1!A:B,2,FALSE)</f>
        <v>06. Educación, infancia, juventud e igualdad</v>
      </c>
      <c r="U4425" s="35" t="str">
        <f>MID(Tabla1[[#This Row],[Aplicación]],9,4)</f>
        <v>3232</v>
      </c>
      <c r="V4425" s="35" t="str">
        <f>VLOOKUP(Tabla1[[#This Row],[PROGRAMA]],Hoja1!A:B,2,FALSE)</f>
        <v>3232. Conservación y mantenimiento centros educación infantil y primaria</v>
      </c>
      <c r="W4425" s="35" t="str">
        <f>MID(Tabla1[[#This Row],[Aplicación]],14,2)</f>
        <v>21</v>
      </c>
      <c r="X4425" s="35" t="str">
        <f>MID(Tabla1[[#This Row],[Aplicación]],14,6)</f>
        <v>212</v>
      </c>
    </row>
    <row r="4426" spans="1:24" x14ac:dyDescent="0.25">
      <c r="A4426" s="45">
        <v>220210048768</v>
      </c>
      <c r="B4426" s="46" t="s">
        <v>204</v>
      </c>
      <c r="C4426" s="47">
        <v>44428</v>
      </c>
      <c r="D4426" s="45">
        <v>22021002374</v>
      </c>
      <c r="E4426" s="46" t="s">
        <v>1336</v>
      </c>
      <c r="F4426" s="48">
        <v>60.05</v>
      </c>
      <c r="G4426" s="46" t="s">
        <v>266</v>
      </c>
      <c r="H4426" s="46" t="s">
        <v>6073</v>
      </c>
      <c r="I4426" s="45" t="s">
        <v>205</v>
      </c>
      <c r="J4426" s="46" t="s">
        <v>127</v>
      </c>
      <c r="K4426" s="46" t="s">
        <v>127</v>
      </c>
      <c r="L4426" s="46" t="s">
        <v>15</v>
      </c>
      <c r="M4426" s="46" t="s">
        <v>13</v>
      </c>
      <c r="N4426" s="46" t="s">
        <v>14</v>
      </c>
      <c r="O4426" s="49" t="s">
        <v>814</v>
      </c>
      <c r="P4426" s="49" t="s">
        <v>4910</v>
      </c>
      <c r="Q4426" s="35" t="str">
        <f>MID(Tabla1[[#This Row],[Aplicación]],14,1)</f>
        <v>2</v>
      </c>
      <c r="R4426" s="35" t="s">
        <v>495</v>
      </c>
      <c r="S4426" s="35" t="str">
        <f>MID(Tabla1[[#This Row],[Aplicación]],6,2)</f>
        <v>02</v>
      </c>
      <c r="T4426" s="35" t="str">
        <f>VLOOKUP(Tabla1[[#This Row],[AREA]],Hoja1!A:B,2,FALSE)</f>
        <v>02. Planeamiento urbanístico y vivienda</v>
      </c>
      <c r="U4426" s="35" t="str">
        <f>MID(Tabla1[[#This Row],[Aplicación]],9,4)</f>
        <v>9332</v>
      </c>
      <c r="V4426" s="35" t="str">
        <f>VLOOKUP(Tabla1[[#This Row],[PROGRAMA]],Hoja1!A:B,2,FALSE)</f>
        <v>9332. Mantenimiento de edificios e instalaciones municipales</v>
      </c>
      <c r="W4426" s="35" t="str">
        <f>MID(Tabla1[[#This Row],[Aplicación]],14,2)</f>
        <v>21</v>
      </c>
      <c r="X4426" s="35" t="str">
        <f>MID(Tabla1[[#This Row],[Aplicación]],14,6)</f>
        <v>212</v>
      </c>
    </row>
    <row r="4427" spans="1:24" x14ac:dyDescent="0.25">
      <c r="A4427" s="45">
        <v>220210048674</v>
      </c>
      <c r="B4427" s="46" t="s">
        <v>204</v>
      </c>
      <c r="C4427" s="47">
        <v>44428</v>
      </c>
      <c r="D4427" s="45">
        <v>22021002088</v>
      </c>
      <c r="E4427" s="46" t="s">
        <v>1478</v>
      </c>
      <c r="F4427" s="48">
        <v>54.95</v>
      </c>
      <c r="G4427" s="46" t="s">
        <v>266</v>
      </c>
      <c r="H4427" s="46" t="s">
        <v>6074</v>
      </c>
      <c r="I4427" s="45" t="s">
        <v>205</v>
      </c>
      <c r="J4427" s="46" t="s">
        <v>127</v>
      </c>
      <c r="K4427" s="46" t="s">
        <v>127</v>
      </c>
      <c r="L4427" s="46" t="s">
        <v>15</v>
      </c>
      <c r="M4427" s="46" t="s">
        <v>13</v>
      </c>
      <c r="N4427" s="46" t="s">
        <v>14</v>
      </c>
      <c r="O4427" s="49" t="s">
        <v>814</v>
      </c>
      <c r="P4427" s="49" t="s">
        <v>4910</v>
      </c>
      <c r="Q4427" s="35" t="str">
        <f>MID(Tabla1[[#This Row],[Aplicación]],14,1)</f>
        <v>2</v>
      </c>
      <c r="R4427" s="35" t="s">
        <v>495</v>
      </c>
      <c r="S4427" s="35" t="str">
        <f>MID(Tabla1[[#This Row],[Aplicación]],6,2)</f>
        <v>03</v>
      </c>
      <c r="T4427" s="35" t="str">
        <f>VLOOKUP(Tabla1[[#This Row],[AREA]],Hoja1!A:B,2,FALSE)</f>
        <v>03. Participación ciudadana y deportes</v>
      </c>
      <c r="U4427" s="35" t="str">
        <f>MID(Tabla1[[#This Row],[Aplicación]],9,4)</f>
        <v>9241</v>
      </c>
      <c r="V4427" s="35" t="str">
        <f>VLOOKUP(Tabla1[[#This Row],[PROGRAMA]],Hoja1!A:B,2,FALSE)</f>
        <v>9241. Participación ciudadana</v>
      </c>
      <c r="W4427" s="35" t="str">
        <f>MID(Tabla1[[#This Row],[Aplicación]],14,2)</f>
        <v>21</v>
      </c>
      <c r="X4427" s="35" t="str">
        <f>MID(Tabla1[[#This Row],[Aplicación]],14,6)</f>
        <v>212</v>
      </c>
    </row>
    <row r="4428" spans="1:24" x14ac:dyDescent="0.25">
      <c r="A4428" s="45">
        <v>220210050645</v>
      </c>
      <c r="B4428" s="46" t="s">
        <v>204</v>
      </c>
      <c r="C4428" s="47">
        <v>44441</v>
      </c>
      <c r="D4428" s="45">
        <v>22021001962</v>
      </c>
      <c r="E4428" s="46" t="s">
        <v>866</v>
      </c>
      <c r="F4428" s="48">
        <v>39.450000000000003</v>
      </c>
      <c r="G4428" s="46" t="s">
        <v>266</v>
      </c>
      <c r="H4428" s="46" t="s">
        <v>6075</v>
      </c>
      <c r="I4428" s="45" t="s">
        <v>205</v>
      </c>
      <c r="J4428" s="46" t="s">
        <v>127</v>
      </c>
      <c r="K4428" s="46" t="s">
        <v>127</v>
      </c>
      <c r="L4428" s="46" t="s">
        <v>15</v>
      </c>
      <c r="M4428" s="46" t="s">
        <v>13</v>
      </c>
      <c r="N4428" s="46" t="s">
        <v>14</v>
      </c>
      <c r="O4428" s="49" t="s">
        <v>814</v>
      </c>
      <c r="P4428" s="49" t="s">
        <v>4910</v>
      </c>
      <c r="Q4428" s="35" t="str">
        <f>MID(Tabla1[[#This Row],[Aplicación]],14,1)</f>
        <v>2</v>
      </c>
      <c r="R4428" s="35" t="s">
        <v>495</v>
      </c>
      <c r="S4428" s="35" t="str">
        <f>MID(Tabla1[[#This Row],[Aplicación]],6,2)</f>
        <v>07</v>
      </c>
      <c r="T4428" s="35" t="str">
        <f>VLOOKUP(Tabla1[[#This Row],[AREA]],Hoja1!A:B,2,FALSE)</f>
        <v>07. Medio ambiente y desarrollo sostenible</v>
      </c>
      <c r="U4428" s="35" t="str">
        <f>MID(Tabla1[[#This Row],[Aplicación]],9,4)</f>
        <v>1721</v>
      </c>
      <c r="V4428" s="35" t="str">
        <f>VLOOKUP(Tabla1[[#This Row],[PROGRAMA]],Hoja1!A:B,2,FALSE)</f>
        <v>1721. Protección del medio ambiente</v>
      </c>
      <c r="W4428" s="35" t="str">
        <f>MID(Tabla1[[#This Row],[Aplicación]],14,2)</f>
        <v>22</v>
      </c>
      <c r="X4428" s="35" t="str">
        <f>MID(Tabla1[[#This Row],[Aplicación]],14,6)</f>
        <v>22199</v>
      </c>
    </row>
    <row r="4429" spans="1:24" x14ac:dyDescent="0.25">
      <c r="A4429" s="45">
        <v>220210048782</v>
      </c>
      <c r="B4429" s="46" t="s">
        <v>204</v>
      </c>
      <c r="C4429" s="47">
        <v>44428</v>
      </c>
      <c r="D4429" s="45">
        <v>22021002374</v>
      </c>
      <c r="E4429" s="46" t="s">
        <v>1336</v>
      </c>
      <c r="F4429" s="48">
        <v>36.64</v>
      </c>
      <c r="G4429" s="46" t="s">
        <v>266</v>
      </c>
      <c r="H4429" s="46" t="s">
        <v>6076</v>
      </c>
      <c r="I4429" s="45" t="s">
        <v>205</v>
      </c>
      <c r="J4429" s="46" t="s">
        <v>127</v>
      </c>
      <c r="K4429" s="46" t="s">
        <v>127</v>
      </c>
      <c r="L4429" s="46" t="s">
        <v>15</v>
      </c>
      <c r="M4429" s="46" t="s">
        <v>13</v>
      </c>
      <c r="N4429" s="46" t="s">
        <v>14</v>
      </c>
      <c r="O4429" s="49" t="s">
        <v>814</v>
      </c>
      <c r="P4429" s="49" t="s">
        <v>4910</v>
      </c>
      <c r="Q4429" s="35" t="str">
        <f>MID(Tabla1[[#This Row],[Aplicación]],14,1)</f>
        <v>2</v>
      </c>
      <c r="R4429" s="35" t="s">
        <v>495</v>
      </c>
      <c r="S4429" s="35" t="str">
        <f>MID(Tabla1[[#This Row],[Aplicación]],6,2)</f>
        <v>02</v>
      </c>
      <c r="T4429" s="35" t="str">
        <f>VLOOKUP(Tabla1[[#This Row],[AREA]],Hoja1!A:B,2,FALSE)</f>
        <v>02. Planeamiento urbanístico y vivienda</v>
      </c>
      <c r="U4429" s="35" t="str">
        <f>MID(Tabla1[[#This Row],[Aplicación]],9,4)</f>
        <v>9332</v>
      </c>
      <c r="V4429" s="35" t="str">
        <f>VLOOKUP(Tabla1[[#This Row],[PROGRAMA]],Hoja1!A:B,2,FALSE)</f>
        <v>9332. Mantenimiento de edificios e instalaciones municipales</v>
      </c>
      <c r="W4429" s="35" t="str">
        <f>MID(Tabla1[[#This Row],[Aplicación]],14,2)</f>
        <v>21</v>
      </c>
      <c r="X4429" s="35" t="str">
        <f>MID(Tabla1[[#This Row],[Aplicación]],14,6)</f>
        <v>212</v>
      </c>
    </row>
    <row r="4430" spans="1:24" x14ac:dyDescent="0.25">
      <c r="A4430" s="45">
        <v>220210048784</v>
      </c>
      <c r="B4430" s="46" t="s">
        <v>204</v>
      </c>
      <c r="C4430" s="47">
        <v>44428</v>
      </c>
      <c r="D4430" s="45">
        <v>22021002374</v>
      </c>
      <c r="E4430" s="46" t="s">
        <v>1336</v>
      </c>
      <c r="F4430" s="48">
        <v>8.82</v>
      </c>
      <c r="G4430" s="46" t="s">
        <v>266</v>
      </c>
      <c r="H4430" s="46" t="s">
        <v>6077</v>
      </c>
      <c r="I4430" s="45" t="s">
        <v>205</v>
      </c>
      <c r="J4430" s="46" t="s">
        <v>127</v>
      </c>
      <c r="K4430" s="46" t="s">
        <v>127</v>
      </c>
      <c r="L4430" s="46" t="s">
        <v>12</v>
      </c>
      <c r="M4430" s="46" t="s">
        <v>13</v>
      </c>
      <c r="N4430" s="46" t="s">
        <v>14</v>
      </c>
      <c r="O4430" s="49" t="s">
        <v>814</v>
      </c>
      <c r="P4430" s="49" t="s">
        <v>4910</v>
      </c>
      <c r="Q4430" s="35" t="str">
        <f>MID(Tabla1[[#This Row],[Aplicación]],14,1)</f>
        <v>2</v>
      </c>
      <c r="R4430" s="35" t="s">
        <v>495</v>
      </c>
      <c r="S4430" s="35" t="str">
        <f>MID(Tabla1[[#This Row],[Aplicación]],6,2)</f>
        <v>02</v>
      </c>
      <c r="T4430" s="35" t="str">
        <f>VLOOKUP(Tabla1[[#This Row],[AREA]],Hoja1!A:B,2,FALSE)</f>
        <v>02. Planeamiento urbanístico y vivienda</v>
      </c>
      <c r="U4430" s="35" t="str">
        <f>MID(Tabla1[[#This Row],[Aplicación]],9,4)</f>
        <v>9332</v>
      </c>
      <c r="V4430" s="35" t="str">
        <f>VLOOKUP(Tabla1[[#This Row],[PROGRAMA]],Hoja1!A:B,2,FALSE)</f>
        <v>9332. Mantenimiento de edificios e instalaciones municipales</v>
      </c>
      <c r="W4430" s="35" t="str">
        <f>MID(Tabla1[[#This Row],[Aplicación]],14,2)</f>
        <v>21</v>
      </c>
      <c r="X4430" s="35" t="str">
        <f>MID(Tabla1[[#This Row],[Aplicación]],14,6)</f>
        <v>212</v>
      </c>
    </row>
    <row r="4431" spans="1:24" x14ac:dyDescent="0.25">
      <c r="A4431" s="45">
        <v>220210057020</v>
      </c>
      <c r="B4431" s="46" t="s">
        <v>9</v>
      </c>
      <c r="C4431" s="47">
        <v>44456</v>
      </c>
      <c r="D4431" s="45">
        <v>22021006567</v>
      </c>
      <c r="E4431" s="46" t="s">
        <v>1525</v>
      </c>
      <c r="F4431" s="48">
        <v>1034.82</v>
      </c>
      <c r="G4431" s="46" t="s">
        <v>1526</v>
      </c>
      <c r="H4431" s="46" t="s">
        <v>6078</v>
      </c>
      <c r="I4431" s="45" t="s">
        <v>125</v>
      </c>
      <c r="J4431" s="46" t="s">
        <v>126</v>
      </c>
      <c r="K4431" s="46" t="s">
        <v>126</v>
      </c>
      <c r="L4431" s="46" t="s">
        <v>12</v>
      </c>
      <c r="M4431" s="46" t="s">
        <v>10</v>
      </c>
      <c r="N4431" s="46" t="s">
        <v>11</v>
      </c>
      <c r="O4431" s="49" t="s">
        <v>815</v>
      </c>
      <c r="P4431" s="49" t="s">
        <v>4910</v>
      </c>
      <c r="Q4431" s="35" t="str">
        <f>MID(Tabla1[[#This Row],[Aplicación]],14,1)</f>
        <v>2</v>
      </c>
      <c r="R4431" s="35" t="s">
        <v>495</v>
      </c>
      <c r="S4431" s="35" t="str">
        <f>MID(Tabla1[[#This Row],[Aplicación]],6,2)</f>
        <v>04</v>
      </c>
      <c r="T4431" s="35" t="str">
        <f>VLOOKUP(Tabla1[[#This Row],[AREA]],Hoja1!A:B,2,FALSE)</f>
        <v>04. Planificación y recursos</v>
      </c>
      <c r="U4431" s="35" t="str">
        <f>MID(Tabla1[[#This Row],[Aplicación]],9,4)</f>
        <v>3121</v>
      </c>
      <c r="V4431" s="35" t="str">
        <f>VLOOKUP(Tabla1[[#This Row],[PROGRAMA]],Hoja1!A:B,2,FALSE)</f>
        <v>3121. Prevención y salud laboral</v>
      </c>
      <c r="W4431" s="35" t="str">
        <f>MID(Tabla1[[#This Row],[Aplicación]],14,2)</f>
        <v>22</v>
      </c>
      <c r="X4431" s="35" t="str">
        <f>MID(Tabla1[[#This Row],[Aplicación]],14,6)</f>
        <v>22706</v>
      </c>
    </row>
    <row r="4432" spans="1:24" x14ac:dyDescent="0.25">
      <c r="A4432" s="45">
        <v>220210062275</v>
      </c>
      <c r="B4432" s="46" t="s">
        <v>9</v>
      </c>
      <c r="C4432" s="47">
        <v>44469</v>
      </c>
      <c r="D4432" s="45">
        <v>22021006703</v>
      </c>
      <c r="E4432" s="46" t="s">
        <v>1392</v>
      </c>
      <c r="F4432" s="48">
        <v>1350.44</v>
      </c>
      <c r="G4432" s="46" t="s">
        <v>3783</v>
      </c>
      <c r="H4432" s="46" t="s">
        <v>6079</v>
      </c>
      <c r="I4432" s="45" t="s">
        <v>125</v>
      </c>
      <c r="J4432" s="46" t="s">
        <v>127</v>
      </c>
      <c r="K4432" s="46" t="s">
        <v>127</v>
      </c>
      <c r="L4432" s="46" t="s">
        <v>12</v>
      </c>
      <c r="M4432" s="46" t="s">
        <v>10</v>
      </c>
      <c r="N4432" s="46" t="s">
        <v>11</v>
      </c>
      <c r="O4432" s="49" t="s">
        <v>815</v>
      </c>
      <c r="P4432" s="49" t="s">
        <v>4910</v>
      </c>
      <c r="Q4432" s="35" t="str">
        <f>MID(Tabla1[[#This Row],[Aplicación]],14,1)</f>
        <v>2</v>
      </c>
      <c r="R4432" s="35" t="s">
        <v>495</v>
      </c>
      <c r="S4432" s="35" t="str">
        <f>MID(Tabla1[[#This Row],[Aplicación]],6,2)</f>
        <v>08</v>
      </c>
      <c r="T4432" s="35" t="str">
        <f>VLOOKUP(Tabla1[[#This Row],[AREA]],Hoja1!A:B,2,FALSE)</f>
        <v>08. Movilidad y espacio urbano</v>
      </c>
      <c r="U4432" s="35" t="str">
        <f>MID(Tabla1[[#This Row],[Aplicación]],9,4)</f>
        <v>1532</v>
      </c>
      <c r="V4432" s="35" t="str">
        <f>VLOOKUP(Tabla1[[#This Row],[PROGRAMA]],Hoja1!A:B,2,FALSE)</f>
        <v>1532. Pavimentación vias públicas y otros servicios urbanísticos</v>
      </c>
      <c r="W4432" s="35" t="str">
        <f>MID(Tabla1[[#This Row],[Aplicación]],14,2)</f>
        <v>21</v>
      </c>
      <c r="X4432" s="35" t="str">
        <f>MID(Tabla1[[#This Row],[Aplicación]],14,6)</f>
        <v>214</v>
      </c>
    </row>
    <row r="4433" spans="1:24" x14ac:dyDescent="0.25">
      <c r="A4433" s="45">
        <v>220210059128</v>
      </c>
      <c r="B4433" s="46" t="s">
        <v>32</v>
      </c>
      <c r="C4433" s="47">
        <v>44466</v>
      </c>
      <c r="D4433" s="45">
        <v>22021006630</v>
      </c>
      <c r="E4433" s="46" t="s">
        <v>3311</v>
      </c>
      <c r="F4433" s="48">
        <v>292.5</v>
      </c>
      <c r="G4433" s="46" t="s">
        <v>3886</v>
      </c>
      <c r="H4433" s="46" t="s">
        <v>6080</v>
      </c>
      <c r="I4433" s="45" t="s">
        <v>234</v>
      </c>
      <c r="J4433" s="46" t="s">
        <v>127</v>
      </c>
      <c r="K4433" s="46" t="s">
        <v>127</v>
      </c>
      <c r="L4433" s="46" t="s">
        <v>12</v>
      </c>
      <c r="M4433" s="46" t="s">
        <v>10</v>
      </c>
      <c r="N4433" s="46" t="s">
        <v>11</v>
      </c>
      <c r="O4433" s="49" t="s">
        <v>815</v>
      </c>
      <c r="P4433" s="49" t="s">
        <v>4910</v>
      </c>
      <c r="Q4433" s="35" t="str">
        <f>MID(Tabla1[[#This Row],[Aplicación]],14,1)</f>
        <v>8</v>
      </c>
      <c r="R4433" s="35" t="s">
        <v>497</v>
      </c>
      <c r="S4433" s="35" t="str">
        <f>MID(Tabla1[[#This Row],[Aplicación]],6,2)</f>
        <v>08</v>
      </c>
      <c r="T4433" s="35" t="str">
        <f>VLOOKUP(Tabla1[[#This Row],[AREA]],Hoja1!A:B,2,FALSE)</f>
        <v>08. Movilidad y espacio urbano</v>
      </c>
      <c r="U4433" s="35" t="str">
        <f>MID(Tabla1[[#This Row],[Aplicación]],9,4)</f>
        <v>1513</v>
      </c>
      <c r="V4433" s="35" t="str">
        <f>VLOOKUP(Tabla1[[#This Row],[PROGRAMA]],Hoja1!A:B,2,FALSE)</f>
        <v>1513. Licencias urbanísticas</v>
      </c>
      <c r="W4433" s="35" t="str">
        <f>MID(Tabla1[[#This Row],[Aplicación]],14,2)</f>
        <v>83</v>
      </c>
      <c r="X4433" s="35" t="str">
        <f>MID(Tabla1[[#This Row],[Aplicación]],14,6)</f>
        <v>83100</v>
      </c>
    </row>
    <row r="4434" spans="1:24" x14ac:dyDescent="0.25">
      <c r="A4434" s="45">
        <v>220210062264</v>
      </c>
      <c r="B4434" s="46" t="s">
        <v>9</v>
      </c>
      <c r="C4434" s="47">
        <v>44469</v>
      </c>
      <c r="D4434" s="45">
        <v>22021006105</v>
      </c>
      <c r="E4434" s="46" t="s">
        <v>1617</v>
      </c>
      <c r="F4434" s="48">
        <v>1815</v>
      </c>
      <c r="G4434" s="46" t="s">
        <v>52</v>
      </c>
      <c r="H4434" s="46" t="s">
        <v>6081</v>
      </c>
      <c r="I4434" s="45" t="s">
        <v>125</v>
      </c>
      <c r="J4434" s="46" t="s">
        <v>127</v>
      </c>
      <c r="K4434" s="46" t="s">
        <v>127</v>
      </c>
      <c r="L4434" s="46" t="s">
        <v>12</v>
      </c>
      <c r="M4434" s="46" t="s">
        <v>10</v>
      </c>
      <c r="N4434" s="46" t="s">
        <v>11</v>
      </c>
      <c r="O4434" s="49" t="s">
        <v>815</v>
      </c>
      <c r="P4434" s="49" t="s">
        <v>4910</v>
      </c>
      <c r="Q4434" s="35" t="str">
        <f>MID(Tabla1[[#This Row],[Aplicación]],14,1)</f>
        <v>2</v>
      </c>
      <c r="R4434" s="35" t="s">
        <v>495</v>
      </c>
      <c r="S4434" s="35" t="str">
        <f>MID(Tabla1[[#This Row],[Aplicación]],6,2)</f>
        <v>05</v>
      </c>
      <c r="T4434" s="35" t="str">
        <f>VLOOKUP(Tabla1[[#This Row],[AREA]],Hoja1!A:B,2,FALSE)</f>
        <v>05. Innovación, desarrollo económico, empleo y comercio</v>
      </c>
      <c r="U4434" s="35" t="str">
        <f>MID(Tabla1[[#This Row],[Aplicación]],9,4)</f>
        <v>4331</v>
      </c>
      <c r="V4434" s="35" t="str">
        <f>VLOOKUP(Tabla1[[#This Row],[PROGRAMA]],Hoja1!A:B,2,FALSE)</f>
        <v>4331. Desarrollo empresarial</v>
      </c>
      <c r="W4434" s="35" t="str">
        <f>MID(Tabla1[[#This Row],[Aplicación]],14,2)</f>
        <v>22</v>
      </c>
      <c r="X4434" s="35" t="str">
        <f>MID(Tabla1[[#This Row],[Aplicación]],14,6)</f>
        <v>22602</v>
      </c>
    </row>
    <row r="4435" spans="1:24" x14ac:dyDescent="0.25">
      <c r="A4435" s="45">
        <v>220210059026</v>
      </c>
      <c r="B4435" s="46" t="s">
        <v>9</v>
      </c>
      <c r="C4435" s="47">
        <v>44463</v>
      </c>
      <c r="D4435" s="45">
        <v>22021006515</v>
      </c>
      <c r="E4435" s="46" t="s">
        <v>3375</v>
      </c>
      <c r="F4435" s="48">
        <v>2000</v>
      </c>
      <c r="G4435" s="46" t="s">
        <v>1576</v>
      </c>
      <c r="H4435" s="46" t="s">
        <v>6082</v>
      </c>
      <c r="I4435" s="45" t="s">
        <v>125</v>
      </c>
      <c r="J4435" s="46" t="s">
        <v>127</v>
      </c>
      <c r="K4435" s="46" t="s">
        <v>127</v>
      </c>
      <c r="L4435" s="46" t="s">
        <v>12</v>
      </c>
      <c r="M4435" s="46" t="s">
        <v>10</v>
      </c>
      <c r="N4435" s="46" t="s">
        <v>11</v>
      </c>
      <c r="O4435" s="49" t="s">
        <v>815</v>
      </c>
      <c r="P4435" s="49" t="s">
        <v>4910</v>
      </c>
      <c r="Q4435" s="35" t="str">
        <f>MID(Tabla1[[#This Row],[Aplicación]],14,1)</f>
        <v>2</v>
      </c>
      <c r="R4435" s="35" t="s">
        <v>495</v>
      </c>
      <c r="S4435" s="35" t="str">
        <f>MID(Tabla1[[#This Row],[Aplicación]],6,2)</f>
        <v>06</v>
      </c>
      <c r="T4435" s="35" t="str">
        <f>VLOOKUP(Tabla1[[#This Row],[AREA]],Hoja1!A:B,2,FALSE)</f>
        <v>06. Educación, infancia, juventud e igualdad</v>
      </c>
      <c r="U4435" s="35" t="str">
        <f>MID(Tabla1[[#This Row],[Aplicación]],9,4)</f>
        <v>2315</v>
      </c>
      <c r="V4435" s="35" t="str">
        <f>VLOOKUP(Tabla1[[#This Row],[PROGRAMA]],Hoja1!A:B,2,FALSE)</f>
        <v>2315. Políticas de Igualdad e infancia</v>
      </c>
      <c r="W4435" s="35" t="str">
        <f>MID(Tabla1[[#This Row],[Aplicación]],14,2)</f>
        <v>22</v>
      </c>
      <c r="X4435" s="35" t="str">
        <f>MID(Tabla1[[#This Row],[Aplicación]],14,6)</f>
        <v>22699</v>
      </c>
    </row>
    <row r="4436" spans="1:24" x14ac:dyDescent="0.25">
      <c r="A4436" s="45">
        <v>220210059118</v>
      </c>
      <c r="B4436" s="46" t="s">
        <v>9</v>
      </c>
      <c r="C4436" s="47">
        <v>44466</v>
      </c>
      <c r="D4436" s="45">
        <v>22021006641</v>
      </c>
      <c r="E4436" s="46" t="s">
        <v>890</v>
      </c>
      <c r="F4436" s="48">
        <v>600</v>
      </c>
      <c r="G4436" s="46" t="s">
        <v>109</v>
      </c>
      <c r="H4436" s="46" t="s">
        <v>6083</v>
      </c>
      <c r="I4436" s="45" t="s">
        <v>125</v>
      </c>
      <c r="J4436" s="46" t="s">
        <v>732</v>
      </c>
      <c r="K4436" s="46" t="s">
        <v>127</v>
      </c>
      <c r="L4436" s="46" t="s">
        <v>15</v>
      </c>
      <c r="M4436" s="46" t="s">
        <v>10</v>
      </c>
      <c r="N4436" s="46" t="s">
        <v>11</v>
      </c>
      <c r="O4436" s="49" t="s">
        <v>815</v>
      </c>
      <c r="P4436" s="49" t="s">
        <v>4910</v>
      </c>
      <c r="Q4436" s="35" t="str">
        <f>MID(Tabla1[[#This Row],[Aplicación]],14,1)</f>
        <v>2</v>
      </c>
      <c r="R4436" s="35" t="s">
        <v>495</v>
      </c>
      <c r="S4436" s="35" t="str">
        <f>MID(Tabla1[[#This Row],[Aplicación]],6,2)</f>
        <v>11</v>
      </c>
      <c r="T4436" s="35" t="str">
        <f>VLOOKUP(Tabla1[[#This Row],[AREA]],Hoja1!A:B,2,FALSE)</f>
        <v>11. Salud pública y seguridad ciudadana</v>
      </c>
      <c r="U4436" s="35" t="str">
        <f>MID(Tabla1[[#This Row],[Aplicación]],9,4)</f>
        <v>1621</v>
      </c>
      <c r="V4436" s="35" t="str">
        <f>VLOOKUP(Tabla1[[#This Row],[PROGRAMA]],Hoja1!A:B,2,FALSE)</f>
        <v>1621. Servicio de limpieza</v>
      </c>
      <c r="W4436" s="35" t="str">
        <f>MID(Tabla1[[#This Row],[Aplicación]],14,2)</f>
        <v>21</v>
      </c>
      <c r="X4436" s="35" t="str">
        <f>MID(Tabla1[[#This Row],[Aplicación]],14,6)</f>
        <v>214</v>
      </c>
    </row>
    <row r="4437" spans="1:24" x14ac:dyDescent="0.25">
      <c r="A4437" s="45">
        <v>220210059027</v>
      </c>
      <c r="B4437" s="46" t="s">
        <v>9</v>
      </c>
      <c r="C4437" s="47">
        <v>44463</v>
      </c>
      <c r="D4437" s="45">
        <v>22021004921</v>
      </c>
      <c r="E4437" s="46" t="s">
        <v>1175</v>
      </c>
      <c r="F4437" s="48">
        <v>158.22</v>
      </c>
      <c r="G4437" s="46" t="s">
        <v>1597</v>
      </c>
      <c r="H4437" s="46" t="s">
        <v>6084</v>
      </c>
      <c r="I4437" s="45" t="s">
        <v>125</v>
      </c>
      <c r="J4437" s="46" t="s">
        <v>127</v>
      </c>
      <c r="K4437" s="46" t="s">
        <v>127</v>
      </c>
      <c r="L4437" s="46" t="s">
        <v>12</v>
      </c>
      <c r="M4437" s="46" t="s">
        <v>10</v>
      </c>
      <c r="N4437" s="46" t="s">
        <v>11</v>
      </c>
      <c r="O4437" s="49" t="s">
        <v>815</v>
      </c>
      <c r="P4437" s="49" t="s">
        <v>4910</v>
      </c>
      <c r="Q4437" s="35" t="str">
        <f>MID(Tabla1[[#This Row],[Aplicación]],14,1)</f>
        <v>2</v>
      </c>
      <c r="R4437" s="35" t="s">
        <v>495</v>
      </c>
      <c r="S4437" s="35" t="str">
        <f>MID(Tabla1[[#This Row],[Aplicación]],6,2)</f>
        <v>06</v>
      </c>
      <c r="T4437" s="35" t="str">
        <f>VLOOKUP(Tabla1[[#This Row],[AREA]],Hoja1!A:B,2,FALSE)</f>
        <v>06. Educación, infancia, juventud e igualdad</v>
      </c>
      <c r="U4437" s="35" t="str">
        <f>MID(Tabla1[[#This Row],[Aplicación]],9,4)</f>
        <v>2314</v>
      </c>
      <c r="V4437" s="35" t="str">
        <f>VLOOKUP(Tabla1[[#This Row],[PROGRAMA]],Hoja1!A:B,2,FALSE)</f>
        <v>2314. Centro de programas juveniles</v>
      </c>
      <c r="W4437" s="35" t="str">
        <f>MID(Tabla1[[#This Row],[Aplicación]],14,2)</f>
        <v>22</v>
      </c>
      <c r="X4437" s="35" t="str">
        <f>MID(Tabla1[[#This Row],[Aplicación]],14,6)</f>
        <v>22799</v>
      </c>
    </row>
    <row r="4438" spans="1:24" x14ac:dyDescent="0.25">
      <c r="A4438" s="45">
        <v>220210057026</v>
      </c>
      <c r="B4438" s="46" t="s">
        <v>9</v>
      </c>
      <c r="C4438" s="47">
        <v>44456</v>
      </c>
      <c r="D4438" s="45">
        <v>22021006484</v>
      </c>
      <c r="E4438" s="46" t="s">
        <v>1625</v>
      </c>
      <c r="F4438" s="48">
        <v>90</v>
      </c>
      <c r="G4438" s="46" t="s">
        <v>1651</v>
      </c>
      <c r="H4438" s="46" t="s">
        <v>6085</v>
      </c>
      <c r="I4438" s="45" t="s">
        <v>125</v>
      </c>
      <c r="J4438" s="46" t="s">
        <v>127</v>
      </c>
      <c r="K4438" s="46" t="s">
        <v>127</v>
      </c>
      <c r="L4438" s="46" t="s">
        <v>12</v>
      </c>
      <c r="M4438" s="46" t="s">
        <v>10</v>
      </c>
      <c r="N4438" s="46" t="s">
        <v>11</v>
      </c>
      <c r="O4438" s="49" t="s">
        <v>815</v>
      </c>
      <c r="P4438" s="49" t="s">
        <v>4910</v>
      </c>
      <c r="Q4438" s="35" t="str">
        <f>MID(Tabla1[[#This Row],[Aplicación]],14,1)</f>
        <v>2</v>
      </c>
      <c r="R4438" s="35" t="s">
        <v>495</v>
      </c>
      <c r="S4438" s="35" t="str">
        <f>MID(Tabla1[[#This Row],[Aplicación]],6,2)</f>
        <v>05</v>
      </c>
      <c r="T4438" s="35" t="str">
        <f>VLOOKUP(Tabla1[[#This Row],[AREA]],Hoja1!A:B,2,FALSE)</f>
        <v>05. Innovación, desarrollo económico, empleo y comercio</v>
      </c>
      <c r="U4438" s="35" t="str">
        <f>MID(Tabla1[[#This Row],[Aplicación]],9,4)</f>
        <v>4331</v>
      </c>
      <c r="V4438" s="35" t="str">
        <f>VLOOKUP(Tabla1[[#This Row],[PROGRAMA]],Hoja1!A:B,2,FALSE)</f>
        <v>4331. Desarrollo empresarial</v>
      </c>
      <c r="W4438" s="35" t="str">
        <f>MID(Tabla1[[#This Row],[Aplicación]],14,2)</f>
        <v>22</v>
      </c>
      <c r="X4438" s="35" t="str">
        <f>MID(Tabla1[[#This Row],[Aplicación]],14,6)</f>
        <v>22001</v>
      </c>
    </row>
    <row r="4439" spans="1:24" x14ac:dyDescent="0.25">
      <c r="A4439" s="45">
        <v>220210062273</v>
      </c>
      <c r="B4439" s="46" t="s">
        <v>9</v>
      </c>
      <c r="C4439" s="47">
        <v>44469</v>
      </c>
      <c r="D4439" s="45">
        <v>22021006698</v>
      </c>
      <c r="E4439" s="46" t="s">
        <v>1163</v>
      </c>
      <c r="F4439" s="48">
        <v>441</v>
      </c>
      <c r="G4439" s="46" t="s">
        <v>6086</v>
      </c>
      <c r="H4439" s="46" t="s">
        <v>6087</v>
      </c>
      <c r="I4439" s="45" t="s">
        <v>125</v>
      </c>
      <c r="J4439" s="46" t="s">
        <v>600</v>
      </c>
      <c r="K4439" s="46" t="s">
        <v>126</v>
      </c>
      <c r="L4439" s="46" t="s">
        <v>15</v>
      </c>
      <c r="M4439" s="46" t="s">
        <v>10</v>
      </c>
      <c r="N4439" s="46" t="s">
        <v>11</v>
      </c>
      <c r="O4439" s="49" t="s">
        <v>815</v>
      </c>
      <c r="P4439" s="49" t="s">
        <v>4910</v>
      </c>
      <c r="Q4439" s="35" t="str">
        <f>MID(Tabla1[[#This Row],[Aplicación]],14,1)</f>
        <v>2</v>
      </c>
      <c r="R4439" s="35" t="s">
        <v>495</v>
      </c>
      <c r="S4439" s="35" t="str">
        <f>MID(Tabla1[[#This Row],[Aplicación]],6,2)</f>
        <v>06</v>
      </c>
      <c r="T4439" s="35" t="str">
        <f>VLOOKUP(Tabla1[[#This Row],[AREA]],Hoja1!A:B,2,FALSE)</f>
        <v>06. Educación, infancia, juventud e igualdad</v>
      </c>
      <c r="U4439" s="35" t="str">
        <f>MID(Tabla1[[#This Row],[Aplicación]],9,4)</f>
        <v>3321</v>
      </c>
      <c r="V4439" s="35" t="str">
        <f>VLOOKUP(Tabla1[[#This Row],[PROGRAMA]],Hoja1!A:B,2,FALSE)</f>
        <v>3321. Bibliotecas públicas</v>
      </c>
      <c r="W4439" s="35" t="str">
        <f>MID(Tabla1[[#This Row],[Aplicación]],14,2)</f>
        <v>22</v>
      </c>
      <c r="X4439" s="35" t="str">
        <f>MID(Tabla1[[#This Row],[Aplicación]],14,6)</f>
        <v>22001</v>
      </c>
    </row>
    <row r="4440" spans="1:24" x14ac:dyDescent="0.25">
      <c r="A4440" s="45">
        <v>220210049790</v>
      </c>
      <c r="B4440" s="46" t="s">
        <v>204</v>
      </c>
      <c r="C4440" s="47">
        <v>44433</v>
      </c>
      <c r="D4440" s="45">
        <v>22021002227</v>
      </c>
      <c r="E4440" s="46" t="s">
        <v>1324</v>
      </c>
      <c r="F4440" s="48">
        <v>8.25</v>
      </c>
      <c r="G4440" s="46" t="s">
        <v>266</v>
      </c>
      <c r="H4440" s="46" t="s">
        <v>6088</v>
      </c>
      <c r="I4440" s="45" t="s">
        <v>205</v>
      </c>
      <c r="J4440" s="46" t="s">
        <v>127</v>
      </c>
      <c r="K4440" s="46" t="s">
        <v>127</v>
      </c>
      <c r="L4440" s="46" t="s">
        <v>15</v>
      </c>
      <c r="M4440" s="46" t="s">
        <v>13</v>
      </c>
      <c r="N4440" s="46" t="s">
        <v>16</v>
      </c>
      <c r="O4440" s="49" t="s">
        <v>814</v>
      </c>
      <c r="P4440" s="49" t="s">
        <v>4910</v>
      </c>
      <c r="Q4440" s="35" t="str">
        <f>MID(Tabla1[[#This Row],[Aplicación]],14,1)</f>
        <v>2</v>
      </c>
      <c r="R4440" s="35" t="s">
        <v>495</v>
      </c>
      <c r="S4440" s="35" t="str">
        <f>MID(Tabla1[[#This Row],[Aplicación]],6,2)</f>
        <v>06</v>
      </c>
      <c r="T4440" s="35" t="str">
        <f>VLOOKUP(Tabla1[[#This Row],[AREA]],Hoja1!A:B,2,FALSE)</f>
        <v>06. Educación, infancia, juventud e igualdad</v>
      </c>
      <c r="U4440" s="35" t="str">
        <f>MID(Tabla1[[#This Row],[Aplicación]],9,4)</f>
        <v>3321</v>
      </c>
      <c r="V4440" s="35" t="str">
        <f>VLOOKUP(Tabla1[[#This Row],[PROGRAMA]],Hoja1!A:B,2,FALSE)</f>
        <v>3321. Bibliotecas públicas</v>
      </c>
      <c r="W4440" s="35" t="str">
        <f>MID(Tabla1[[#This Row],[Aplicación]],14,2)</f>
        <v>21</v>
      </c>
      <c r="X4440" s="35" t="str">
        <f>MID(Tabla1[[#This Row],[Aplicación]],14,6)</f>
        <v>212</v>
      </c>
    </row>
    <row r="4441" spans="1:24" x14ac:dyDescent="0.25">
      <c r="A4441" s="45">
        <v>220210058622</v>
      </c>
      <c r="B4441" s="46" t="s">
        <v>204</v>
      </c>
      <c r="C4441" s="47">
        <v>44461</v>
      </c>
      <c r="D4441" s="45">
        <v>22021005716</v>
      </c>
      <c r="E4441" s="46" t="s">
        <v>1270</v>
      </c>
      <c r="F4441" s="48">
        <v>374.06</v>
      </c>
      <c r="G4441" s="46" t="s">
        <v>5319</v>
      </c>
      <c r="H4441" s="46" t="s">
        <v>6089</v>
      </c>
      <c r="I4441" s="45" t="s">
        <v>205</v>
      </c>
      <c r="J4441" s="46" t="s">
        <v>127</v>
      </c>
      <c r="K4441" s="46" t="s">
        <v>127</v>
      </c>
      <c r="L4441" s="46" t="s">
        <v>12</v>
      </c>
      <c r="M4441" s="46" t="s">
        <v>13</v>
      </c>
      <c r="N4441" s="46" t="s">
        <v>14</v>
      </c>
      <c r="O4441" s="49" t="s">
        <v>814</v>
      </c>
      <c r="P4441" s="49" t="s">
        <v>4910</v>
      </c>
      <c r="Q4441" s="35" t="str">
        <f>MID(Tabla1[[#This Row],[Aplicación]],14,1)</f>
        <v>6</v>
      </c>
      <c r="R4441" s="35" t="s">
        <v>496</v>
      </c>
      <c r="S4441" s="35" t="str">
        <f>MID(Tabla1[[#This Row],[Aplicación]],6,2)</f>
        <v>11</v>
      </c>
      <c r="T4441" s="35" t="str">
        <f>VLOOKUP(Tabla1[[#This Row],[AREA]],Hoja1!A:B,2,FALSE)</f>
        <v>11. Salud pública y seguridad ciudadana</v>
      </c>
      <c r="U4441" s="35" t="str">
        <f>MID(Tabla1[[#This Row],[Aplicación]],9,4)</f>
        <v>1621</v>
      </c>
      <c r="V4441" s="35" t="str">
        <f>VLOOKUP(Tabla1[[#This Row],[PROGRAMA]],Hoja1!A:B,2,FALSE)</f>
        <v>1621. Servicio de limpieza</v>
      </c>
      <c r="W4441" s="35" t="str">
        <f>MID(Tabla1[[#This Row],[Aplicación]],14,2)</f>
        <v>63</v>
      </c>
      <c r="X4441" s="35" t="str">
        <f>MID(Tabla1[[#This Row],[Aplicación]],14,6)</f>
        <v>634</v>
      </c>
    </row>
    <row r="4442" spans="1:24" x14ac:dyDescent="0.25">
      <c r="A4442" s="45">
        <v>220210056698</v>
      </c>
      <c r="B4442" s="46" t="s">
        <v>204</v>
      </c>
      <c r="C4442" s="47">
        <v>44455</v>
      </c>
      <c r="D4442" s="45">
        <v>22021005981</v>
      </c>
      <c r="E4442" s="46" t="s">
        <v>1410</v>
      </c>
      <c r="F4442" s="48">
        <v>1104.3399999999999</v>
      </c>
      <c r="G4442" s="46" t="s">
        <v>258</v>
      </c>
      <c r="H4442" s="46" t="s">
        <v>6090</v>
      </c>
      <c r="I4442" s="45" t="s">
        <v>205</v>
      </c>
      <c r="J4442" s="46" t="s">
        <v>127</v>
      </c>
      <c r="K4442" s="46" t="s">
        <v>127</v>
      </c>
      <c r="L4442" s="46" t="s">
        <v>12</v>
      </c>
      <c r="M4442" s="46" t="s">
        <v>13</v>
      </c>
      <c r="N4442" s="46" t="s">
        <v>14</v>
      </c>
      <c r="O4442" s="49" t="s">
        <v>814</v>
      </c>
      <c r="P4442" s="49" t="s">
        <v>4910</v>
      </c>
      <c r="Q4442" s="35" t="str">
        <f>MID(Tabla1[[#This Row],[Aplicación]],14,1)</f>
        <v>2</v>
      </c>
      <c r="R4442" s="35" t="s">
        <v>495</v>
      </c>
      <c r="S4442" s="35" t="str">
        <f>MID(Tabla1[[#This Row],[Aplicación]],6,2)</f>
        <v>07</v>
      </c>
      <c r="T4442" s="35" t="str">
        <f>VLOOKUP(Tabla1[[#This Row],[AREA]],Hoja1!A:B,2,FALSE)</f>
        <v>07. Medio ambiente y desarrollo sostenible</v>
      </c>
      <c r="U4442" s="35" t="str">
        <f>MID(Tabla1[[#This Row],[Aplicación]],9,4)</f>
        <v>1711</v>
      </c>
      <c r="V4442" s="35" t="str">
        <f>VLOOKUP(Tabla1[[#This Row],[PROGRAMA]],Hoja1!A:B,2,FALSE)</f>
        <v>1711. Parques y jardines</v>
      </c>
      <c r="W4442" s="35" t="str">
        <f>MID(Tabla1[[#This Row],[Aplicación]],14,2)</f>
        <v>21</v>
      </c>
      <c r="X4442" s="35" t="str">
        <f>MID(Tabla1[[#This Row],[Aplicación]],14,6)</f>
        <v>214</v>
      </c>
    </row>
    <row r="4443" spans="1:24" x14ac:dyDescent="0.25">
      <c r="A4443" s="45">
        <v>220210059408</v>
      </c>
      <c r="B4443" s="46" t="s">
        <v>9</v>
      </c>
      <c r="C4443" s="47">
        <v>44467</v>
      </c>
      <c r="D4443" s="45">
        <v>22021006684</v>
      </c>
      <c r="E4443" s="46" t="s">
        <v>1172</v>
      </c>
      <c r="F4443" s="48">
        <v>2163.44</v>
      </c>
      <c r="G4443" s="46" t="s">
        <v>182</v>
      </c>
      <c r="H4443" s="46" t="s">
        <v>6091</v>
      </c>
      <c r="I4443" s="45" t="s">
        <v>125</v>
      </c>
      <c r="J4443" s="46" t="s">
        <v>144</v>
      </c>
      <c r="K4443" s="46" t="s">
        <v>144</v>
      </c>
      <c r="L4443" s="46" t="s">
        <v>12</v>
      </c>
      <c r="M4443" s="46" t="s">
        <v>10</v>
      </c>
      <c r="N4443" s="46" t="s">
        <v>11</v>
      </c>
      <c r="O4443" s="49" t="s">
        <v>815</v>
      </c>
      <c r="P4443" s="49" t="s">
        <v>4910</v>
      </c>
      <c r="Q4443" s="35" t="str">
        <f>MID(Tabla1[[#This Row],[Aplicación]],14,1)</f>
        <v>6</v>
      </c>
      <c r="R4443" s="35" t="s">
        <v>496</v>
      </c>
      <c r="S4443" s="35" t="str">
        <f>MID(Tabla1[[#This Row],[Aplicación]],6,2)</f>
        <v>02</v>
      </c>
      <c r="T4443" s="35" t="str">
        <f>VLOOKUP(Tabla1[[#This Row],[AREA]],Hoja1!A:B,2,FALSE)</f>
        <v>02. Planeamiento urbanístico y vivienda</v>
      </c>
      <c r="U4443" s="35" t="str">
        <f>MID(Tabla1[[#This Row],[Aplicación]],9,4)</f>
        <v>9332</v>
      </c>
      <c r="V4443" s="35" t="str">
        <f>VLOOKUP(Tabla1[[#This Row],[PROGRAMA]],Hoja1!A:B,2,FALSE)</f>
        <v>9332. Mantenimiento de edificios e instalaciones municipales</v>
      </c>
      <c r="W4443" s="35" t="str">
        <f>MID(Tabla1[[#This Row],[Aplicación]],14,2)</f>
        <v>63</v>
      </c>
      <c r="X4443" s="35" t="str">
        <f>MID(Tabla1[[#This Row],[Aplicación]],14,6)</f>
        <v>632</v>
      </c>
    </row>
    <row r="4444" spans="1:24" x14ac:dyDescent="0.25">
      <c r="A4444" s="45">
        <v>220210063159</v>
      </c>
      <c r="B4444" s="46" t="s">
        <v>204</v>
      </c>
      <c r="C4444" s="47">
        <v>44469</v>
      </c>
      <c r="D4444" s="45">
        <v>22021002371</v>
      </c>
      <c r="E4444" s="46" t="s">
        <v>1336</v>
      </c>
      <c r="F4444" s="48">
        <v>1017.23</v>
      </c>
      <c r="G4444" s="46" t="s">
        <v>102</v>
      </c>
      <c r="H4444" s="46" t="s">
        <v>6092</v>
      </c>
      <c r="I4444" s="45" t="s">
        <v>205</v>
      </c>
      <c r="J4444" s="46" t="s">
        <v>127</v>
      </c>
      <c r="K4444" s="46" t="s">
        <v>127</v>
      </c>
      <c r="L4444" s="46" t="s">
        <v>15</v>
      </c>
      <c r="M4444" s="46" t="s">
        <v>13</v>
      </c>
      <c r="N4444" s="46" t="s">
        <v>14</v>
      </c>
      <c r="O4444" s="49" t="s">
        <v>814</v>
      </c>
      <c r="P4444" s="49" t="s">
        <v>4910</v>
      </c>
      <c r="Q4444" s="35" t="str">
        <f>MID(Tabla1[[#This Row],[Aplicación]],14,1)</f>
        <v>2</v>
      </c>
      <c r="R4444" s="35" t="s">
        <v>495</v>
      </c>
      <c r="S4444" s="35" t="str">
        <f>MID(Tabla1[[#This Row],[Aplicación]],6,2)</f>
        <v>02</v>
      </c>
      <c r="T4444" s="35" t="str">
        <f>VLOOKUP(Tabla1[[#This Row],[AREA]],Hoja1!A:B,2,FALSE)</f>
        <v>02. Planeamiento urbanístico y vivienda</v>
      </c>
      <c r="U4444" s="35" t="str">
        <f>MID(Tabla1[[#This Row],[Aplicación]],9,4)</f>
        <v>9332</v>
      </c>
      <c r="V4444" s="35" t="str">
        <f>VLOOKUP(Tabla1[[#This Row],[PROGRAMA]],Hoja1!A:B,2,FALSE)</f>
        <v>9332. Mantenimiento de edificios e instalaciones municipales</v>
      </c>
      <c r="W4444" s="35" t="str">
        <f>MID(Tabla1[[#This Row],[Aplicación]],14,2)</f>
        <v>21</v>
      </c>
      <c r="X4444" s="35" t="str">
        <f>MID(Tabla1[[#This Row],[Aplicación]],14,6)</f>
        <v>212</v>
      </c>
    </row>
    <row r="4445" spans="1:24" x14ac:dyDescent="0.25">
      <c r="A4445" s="45">
        <v>220210062270</v>
      </c>
      <c r="B4445" s="46" t="s">
        <v>9</v>
      </c>
      <c r="C4445" s="47">
        <v>44469</v>
      </c>
      <c r="D4445" s="45">
        <v>22021006693</v>
      </c>
      <c r="E4445" s="46" t="s">
        <v>950</v>
      </c>
      <c r="F4445" s="48">
        <v>885.72</v>
      </c>
      <c r="G4445" s="46" t="s">
        <v>535</v>
      </c>
      <c r="H4445" s="46" t="s">
        <v>6093</v>
      </c>
      <c r="I4445" s="45" t="s">
        <v>125</v>
      </c>
      <c r="J4445" s="46" t="s">
        <v>127</v>
      </c>
      <c r="K4445" s="46" t="s">
        <v>127</v>
      </c>
      <c r="L4445" s="46" t="s">
        <v>12</v>
      </c>
      <c r="M4445" s="46" t="s">
        <v>10</v>
      </c>
      <c r="N4445" s="46" t="s">
        <v>11</v>
      </c>
      <c r="O4445" s="49" t="s">
        <v>815</v>
      </c>
      <c r="P4445" s="49" t="s">
        <v>4910</v>
      </c>
      <c r="Q4445" s="35" t="str">
        <f>MID(Tabla1[[#This Row],[Aplicación]],14,1)</f>
        <v>2</v>
      </c>
      <c r="R4445" s="35" t="s">
        <v>495</v>
      </c>
      <c r="S4445" s="35" t="str">
        <f>MID(Tabla1[[#This Row],[Aplicación]],6,2)</f>
        <v>11</v>
      </c>
      <c r="T4445" s="35" t="str">
        <f>VLOOKUP(Tabla1[[#This Row],[AREA]],Hoja1!A:B,2,FALSE)</f>
        <v>11. Salud pública y seguridad ciudadana</v>
      </c>
      <c r="U4445" s="35" t="str">
        <f>MID(Tabla1[[#This Row],[Aplicación]],9,4)</f>
        <v>1321</v>
      </c>
      <c r="V4445" s="35" t="str">
        <f>VLOOKUP(Tabla1[[#This Row],[PROGRAMA]],Hoja1!A:B,2,FALSE)</f>
        <v>1321. Policía municipal</v>
      </c>
      <c r="W4445" s="35" t="str">
        <f>MID(Tabla1[[#This Row],[Aplicación]],14,2)</f>
        <v>21</v>
      </c>
      <c r="X4445" s="35" t="str">
        <f>MID(Tabla1[[#This Row],[Aplicación]],14,6)</f>
        <v>213</v>
      </c>
    </row>
    <row r="4446" spans="1:24" x14ac:dyDescent="0.25">
      <c r="A4446" s="45">
        <v>220210059121</v>
      </c>
      <c r="B4446" s="46" t="s">
        <v>9</v>
      </c>
      <c r="C4446" s="47">
        <v>44466</v>
      </c>
      <c r="D4446" s="45">
        <v>22021006540</v>
      </c>
      <c r="E4446" s="46" t="s">
        <v>2528</v>
      </c>
      <c r="F4446" s="48">
        <v>591.69000000000005</v>
      </c>
      <c r="G4446" s="46" t="s">
        <v>535</v>
      </c>
      <c r="H4446" s="46" t="s">
        <v>6094</v>
      </c>
      <c r="I4446" s="45" t="s">
        <v>125</v>
      </c>
      <c r="J4446" s="46" t="s">
        <v>127</v>
      </c>
      <c r="K4446" s="46" t="s">
        <v>127</v>
      </c>
      <c r="L4446" s="46" t="s">
        <v>12</v>
      </c>
      <c r="M4446" s="46" t="s">
        <v>10</v>
      </c>
      <c r="N4446" s="46" t="s">
        <v>11</v>
      </c>
      <c r="O4446" s="49" t="s">
        <v>815</v>
      </c>
      <c r="P4446" s="49" t="s">
        <v>4910</v>
      </c>
      <c r="Q4446" s="35" t="str">
        <f>MID(Tabla1[[#This Row],[Aplicación]],14,1)</f>
        <v>2</v>
      </c>
      <c r="R4446" s="35" t="s">
        <v>495</v>
      </c>
      <c r="S4446" s="35" t="str">
        <f>MID(Tabla1[[#This Row],[Aplicación]],6,2)</f>
        <v>01</v>
      </c>
      <c r="T4446" s="35" t="str">
        <f>VLOOKUP(Tabla1[[#This Row],[AREA]],Hoja1!A:B,2,FALSE)</f>
        <v>01. Alcaldía</v>
      </c>
      <c r="U4446" s="35" t="str">
        <f>MID(Tabla1[[#This Row],[Aplicación]],9,4)</f>
        <v>9206</v>
      </c>
      <c r="V4446" s="35" t="str">
        <f>VLOOKUP(Tabla1[[#This Row],[PROGRAMA]],Hoja1!A:B,2,FALSE)</f>
        <v>9206. Archivo municipal</v>
      </c>
      <c r="W4446" s="35" t="str">
        <f>MID(Tabla1[[#This Row],[Aplicación]],14,2)</f>
        <v>22</v>
      </c>
      <c r="X4446" s="35" t="str">
        <f>MID(Tabla1[[#This Row],[Aplicación]],14,6)</f>
        <v>22799</v>
      </c>
    </row>
    <row r="4447" spans="1:24" x14ac:dyDescent="0.25">
      <c r="A4447" s="45">
        <v>220210049413</v>
      </c>
      <c r="B4447" s="46" t="s">
        <v>9</v>
      </c>
      <c r="C4447" s="47">
        <v>44432</v>
      </c>
      <c r="D4447" s="45">
        <v>22021006108</v>
      </c>
      <c r="E4447" s="46" t="s">
        <v>1314</v>
      </c>
      <c r="F4447" s="48">
        <v>1.8</v>
      </c>
      <c r="G4447" s="46" t="s">
        <v>266</v>
      </c>
      <c r="H4447" s="46" t="s">
        <v>6095</v>
      </c>
      <c r="I4447" s="45" t="s">
        <v>125</v>
      </c>
      <c r="J4447" s="46" t="s">
        <v>127</v>
      </c>
      <c r="K4447" s="46" t="s">
        <v>127</v>
      </c>
      <c r="L4447" s="46" t="s">
        <v>15</v>
      </c>
      <c r="M4447" s="46" t="s">
        <v>13</v>
      </c>
      <c r="N4447" s="46" t="s">
        <v>14</v>
      </c>
      <c r="O4447" s="49" t="s">
        <v>814</v>
      </c>
      <c r="P4447" s="49" t="s">
        <v>4910</v>
      </c>
      <c r="Q4447" s="35" t="str">
        <f>MID(Tabla1[[#This Row],[Aplicación]],14,1)</f>
        <v>2</v>
      </c>
      <c r="R4447" s="35" t="s">
        <v>495</v>
      </c>
      <c r="S4447" s="35" t="str">
        <f>MID(Tabla1[[#This Row],[Aplicación]],6,2)</f>
        <v>01</v>
      </c>
      <c r="T4447" s="35" t="str">
        <f>VLOOKUP(Tabla1[[#This Row],[AREA]],Hoja1!A:B,2,FALSE)</f>
        <v>01. Alcaldía</v>
      </c>
      <c r="U4447" s="35" t="str">
        <f>MID(Tabla1[[#This Row],[Aplicación]],9,4)</f>
        <v>9206</v>
      </c>
      <c r="V4447" s="35" t="str">
        <f>VLOOKUP(Tabla1[[#This Row],[PROGRAMA]],Hoja1!A:B,2,FALSE)</f>
        <v>9206. Archivo municipal</v>
      </c>
      <c r="W4447" s="35" t="str">
        <f>MID(Tabla1[[#This Row],[Aplicación]],14,2)</f>
        <v>22</v>
      </c>
      <c r="X4447" s="35" t="str">
        <f>MID(Tabla1[[#This Row],[Aplicación]],14,6)</f>
        <v>22199</v>
      </c>
    </row>
    <row r="4448" spans="1:24" x14ac:dyDescent="0.25">
      <c r="A4448" s="45">
        <v>220210059031</v>
      </c>
      <c r="B4448" s="46" t="s">
        <v>9</v>
      </c>
      <c r="C4448" s="47">
        <v>44463</v>
      </c>
      <c r="D4448" s="45">
        <v>22021006648</v>
      </c>
      <c r="E4448" s="46" t="s">
        <v>1177</v>
      </c>
      <c r="F4448" s="48">
        <v>726</v>
      </c>
      <c r="G4448" s="46" t="s">
        <v>6096</v>
      </c>
      <c r="H4448" s="46" t="s">
        <v>6097</v>
      </c>
      <c r="I4448" s="45" t="s">
        <v>125</v>
      </c>
      <c r="J4448" s="46" t="s">
        <v>674</v>
      </c>
      <c r="K4448" s="46" t="s">
        <v>127</v>
      </c>
      <c r="L4448" s="46" t="s">
        <v>17</v>
      </c>
      <c r="M4448" s="46" t="s">
        <v>10</v>
      </c>
      <c r="N4448" s="46" t="s">
        <v>11</v>
      </c>
      <c r="O4448" s="49" t="s">
        <v>815</v>
      </c>
      <c r="P4448" s="49" t="s">
        <v>4910</v>
      </c>
      <c r="Q4448" s="35" t="str">
        <f>MID(Tabla1[[#This Row],[Aplicación]],14,1)</f>
        <v>2</v>
      </c>
      <c r="R4448" s="35" t="s">
        <v>495</v>
      </c>
      <c r="S4448" s="35" t="str">
        <f>MID(Tabla1[[#This Row],[Aplicación]],6,2)</f>
        <v>09</v>
      </c>
      <c r="T4448" s="35" t="str">
        <f>VLOOKUP(Tabla1[[#This Row],[AREA]],Hoja1!A:B,2,FALSE)</f>
        <v>09. Cultura y turismo</v>
      </c>
      <c r="U4448" s="35" t="str">
        <f>MID(Tabla1[[#This Row],[Aplicación]],9,4)</f>
        <v>3341</v>
      </c>
      <c r="V4448" s="35" t="str">
        <f>VLOOKUP(Tabla1[[#This Row],[PROGRAMA]],Hoja1!A:B,2,FALSE)</f>
        <v>3341. Coordinación de políticas culturales</v>
      </c>
      <c r="W4448" s="35" t="str">
        <f>MID(Tabla1[[#This Row],[Aplicación]],14,2)</f>
        <v>22</v>
      </c>
      <c r="X4448" s="35" t="str">
        <f>MID(Tabla1[[#This Row],[Aplicación]],14,6)</f>
        <v>22699</v>
      </c>
    </row>
    <row r="4449" spans="1:24" x14ac:dyDescent="0.25">
      <c r="A4449" s="45">
        <v>220210057029</v>
      </c>
      <c r="B4449" s="46" t="s">
        <v>9</v>
      </c>
      <c r="C4449" s="47">
        <v>44456</v>
      </c>
      <c r="D4449" s="45">
        <v>22021006473</v>
      </c>
      <c r="E4449" s="46" t="s">
        <v>6070</v>
      </c>
      <c r="F4449" s="48">
        <v>983.81</v>
      </c>
      <c r="G4449" s="46" t="s">
        <v>235</v>
      </c>
      <c r="H4449" s="46" t="s">
        <v>6098</v>
      </c>
      <c r="I4449" s="45" t="s">
        <v>125</v>
      </c>
      <c r="J4449" s="46" t="s">
        <v>742</v>
      </c>
      <c r="K4449" s="46" t="s">
        <v>165</v>
      </c>
      <c r="L4449" s="46" t="s">
        <v>15</v>
      </c>
      <c r="M4449" s="46" t="s">
        <v>13</v>
      </c>
      <c r="N4449" s="46" t="s">
        <v>14</v>
      </c>
      <c r="O4449" s="49" t="s">
        <v>814</v>
      </c>
      <c r="P4449" s="49" t="s">
        <v>4910</v>
      </c>
      <c r="Q4449" s="35" t="str">
        <f>MID(Tabla1[[#This Row],[Aplicación]],14,1)</f>
        <v>2</v>
      </c>
      <c r="R4449" s="35" t="s">
        <v>495</v>
      </c>
      <c r="S4449" s="35" t="str">
        <f>MID(Tabla1[[#This Row],[Aplicación]],6,2)</f>
        <v>05</v>
      </c>
      <c r="T4449" s="35" t="str">
        <f>VLOOKUP(Tabla1[[#This Row],[AREA]],Hoja1!A:B,2,FALSE)</f>
        <v>05. Innovación, desarrollo económico, empleo y comercio</v>
      </c>
      <c r="U4449" s="35" t="str">
        <f>MID(Tabla1[[#This Row],[Aplicación]],9,4)</f>
        <v>4331</v>
      </c>
      <c r="V4449" s="35" t="str">
        <f>VLOOKUP(Tabla1[[#This Row],[PROGRAMA]],Hoja1!A:B,2,FALSE)</f>
        <v>4331. Desarrollo empresarial</v>
      </c>
      <c r="W4449" s="35" t="str">
        <f>MID(Tabla1[[#This Row],[Aplicación]],14,2)</f>
        <v>21</v>
      </c>
      <c r="X4449" s="35" t="str">
        <f>MID(Tabla1[[#This Row],[Aplicación]],14,6)</f>
        <v>212</v>
      </c>
    </row>
    <row r="4450" spans="1:24" x14ac:dyDescent="0.25">
      <c r="A4450" s="45">
        <v>220210058807</v>
      </c>
      <c r="B4450" s="46" t="s">
        <v>204</v>
      </c>
      <c r="C4450" s="47">
        <v>44462</v>
      </c>
      <c r="D4450" s="45">
        <v>22021001275</v>
      </c>
      <c r="E4450" s="46" t="s">
        <v>1334</v>
      </c>
      <c r="F4450" s="48">
        <v>23.96</v>
      </c>
      <c r="G4450" s="46" t="s">
        <v>266</v>
      </c>
      <c r="H4450" s="46" t="s">
        <v>1713</v>
      </c>
      <c r="I4450" s="45" t="s">
        <v>205</v>
      </c>
      <c r="J4450" s="46" t="s">
        <v>127</v>
      </c>
      <c r="K4450" s="46" t="s">
        <v>127</v>
      </c>
      <c r="L4450" s="46" t="s">
        <v>15</v>
      </c>
      <c r="M4450" s="46" t="s">
        <v>13</v>
      </c>
      <c r="N4450" s="46" t="s">
        <v>14</v>
      </c>
      <c r="O4450" s="49" t="s">
        <v>814</v>
      </c>
      <c r="P4450" s="49" t="s">
        <v>4910</v>
      </c>
      <c r="Q4450" s="35" t="str">
        <f>MID(Tabla1[[#This Row],[Aplicación]],14,1)</f>
        <v>2</v>
      </c>
      <c r="R4450" s="35" t="s">
        <v>495</v>
      </c>
      <c r="S4450" s="35" t="str">
        <f>MID(Tabla1[[#This Row],[Aplicación]],6,2)</f>
        <v>07</v>
      </c>
      <c r="T4450" s="35" t="str">
        <f>VLOOKUP(Tabla1[[#This Row],[AREA]],Hoja1!A:B,2,FALSE)</f>
        <v>07. Medio ambiente y desarrollo sostenible</v>
      </c>
      <c r="U4450" s="35" t="str">
        <f>MID(Tabla1[[#This Row],[Aplicación]],9,4)</f>
        <v>1711</v>
      </c>
      <c r="V4450" s="35" t="str">
        <f>VLOOKUP(Tabla1[[#This Row],[PROGRAMA]],Hoja1!A:B,2,FALSE)</f>
        <v>1711. Parques y jardines</v>
      </c>
      <c r="W4450" s="35" t="str">
        <f>MID(Tabla1[[#This Row],[Aplicación]],14,2)</f>
        <v>22</v>
      </c>
      <c r="X4450" s="35" t="str">
        <f>MID(Tabla1[[#This Row],[Aplicación]],14,6)</f>
        <v>22199</v>
      </c>
    </row>
    <row r="4451" spans="1:24" x14ac:dyDescent="0.25">
      <c r="A4451" s="45">
        <v>220210058653</v>
      </c>
      <c r="B4451" s="46" t="s">
        <v>204</v>
      </c>
      <c r="C4451" s="47">
        <v>44461</v>
      </c>
      <c r="D4451" s="45">
        <v>22021002369</v>
      </c>
      <c r="E4451" s="46" t="s">
        <v>1336</v>
      </c>
      <c r="F4451" s="48">
        <v>315.43</v>
      </c>
      <c r="G4451" s="46" t="s">
        <v>266</v>
      </c>
      <c r="H4451" s="46" t="s">
        <v>6099</v>
      </c>
      <c r="I4451" s="45" t="s">
        <v>205</v>
      </c>
      <c r="J4451" s="46" t="s">
        <v>127</v>
      </c>
      <c r="K4451" s="46" t="s">
        <v>127</v>
      </c>
      <c r="L4451" s="46" t="s">
        <v>15</v>
      </c>
      <c r="M4451" s="46" t="s">
        <v>13</v>
      </c>
      <c r="N4451" s="46" t="s">
        <v>14</v>
      </c>
      <c r="O4451" s="49" t="s">
        <v>814</v>
      </c>
      <c r="P4451" s="49" t="s">
        <v>4910</v>
      </c>
      <c r="Q4451" s="35" t="str">
        <f>MID(Tabla1[[#This Row],[Aplicación]],14,1)</f>
        <v>2</v>
      </c>
      <c r="R4451" s="35" t="s">
        <v>495</v>
      </c>
      <c r="S4451" s="35" t="str">
        <f>MID(Tabla1[[#This Row],[Aplicación]],6,2)</f>
        <v>02</v>
      </c>
      <c r="T4451" s="35" t="str">
        <f>VLOOKUP(Tabla1[[#This Row],[AREA]],Hoja1!A:B,2,FALSE)</f>
        <v>02. Planeamiento urbanístico y vivienda</v>
      </c>
      <c r="U4451" s="35" t="str">
        <f>MID(Tabla1[[#This Row],[Aplicación]],9,4)</f>
        <v>9332</v>
      </c>
      <c r="V4451" s="35" t="str">
        <f>VLOOKUP(Tabla1[[#This Row],[PROGRAMA]],Hoja1!A:B,2,FALSE)</f>
        <v>9332. Mantenimiento de edificios e instalaciones municipales</v>
      </c>
      <c r="W4451" s="35" t="str">
        <f>MID(Tabla1[[#This Row],[Aplicación]],14,2)</f>
        <v>21</v>
      </c>
      <c r="X4451" s="35" t="str">
        <f>MID(Tabla1[[#This Row],[Aplicación]],14,6)</f>
        <v>212</v>
      </c>
    </row>
    <row r="4452" spans="1:24" x14ac:dyDescent="0.25">
      <c r="A4452" s="45">
        <v>220210056582</v>
      </c>
      <c r="B4452" s="46" t="s">
        <v>204</v>
      </c>
      <c r="C4452" s="47">
        <v>44455</v>
      </c>
      <c r="D4452" s="45">
        <v>22021001038</v>
      </c>
      <c r="E4452" s="46" t="s">
        <v>844</v>
      </c>
      <c r="F4452" s="48">
        <v>63.31</v>
      </c>
      <c r="G4452" s="46" t="s">
        <v>266</v>
      </c>
      <c r="H4452" s="46" t="s">
        <v>6100</v>
      </c>
      <c r="I4452" s="45" t="s">
        <v>205</v>
      </c>
      <c r="J4452" s="46" t="s">
        <v>127</v>
      </c>
      <c r="K4452" s="46" t="s">
        <v>127</v>
      </c>
      <c r="L4452" s="46" t="s">
        <v>15</v>
      </c>
      <c r="M4452" s="46" t="s">
        <v>13</v>
      </c>
      <c r="N4452" s="46" t="s">
        <v>14</v>
      </c>
      <c r="O4452" s="49" t="s">
        <v>814</v>
      </c>
      <c r="P4452" s="49" t="s">
        <v>4910</v>
      </c>
      <c r="Q4452" s="35" t="str">
        <f>MID(Tabla1[[#This Row],[Aplicación]],14,1)</f>
        <v>2</v>
      </c>
      <c r="R4452" s="35" t="s">
        <v>495</v>
      </c>
      <c r="S4452" s="35" t="str">
        <f>MID(Tabla1[[#This Row],[Aplicación]],6,2)</f>
        <v>10</v>
      </c>
      <c r="T4452" s="35" t="str">
        <f>VLOOKUP(Tabla1[[#This Row],[AREA]],Hoja1!A:B,2,FALSE)</f>
        <v>10. Servicios sociales y mediación comunitaria</v>
      </c>
      <c r="U4452" s="35" t="str">
        <f>MID(Tabla1[[#This Row],[Aplicación]],9,4)</f>
        <v>2312</v>
      </c>
      <c r="V4452" s="35" t="str">
        <f>VLOOKUP(Tabla1[[#This Row],[PROGRAMA]],Hoja1!A:B,2,FALSE)</f>
        <v>2312. Iniciativas sociales</v>
      </c>
      <c r="W4452" s="35" t="str">
        <f>MID(Tabla1[[#This Row],[Aplicación]],14,2)</f>
        <v>21</v>
      </c>
      <c r="X4452" s="35" t="str">
        <f>MID(Tabla1[[#This Row],[Aplicación]],14,6)</f>
        <v>212</v>
      </c>
    </row>
    <row r="4453" spans="1:24" x14ac:dyDescent="0.25">
      <c r="A4453" s="45">
        <v>220210056570</v>
      </c>
      <c r="B4453" s="46" t="s">
        <v>204</v>
      </c>
      <c r="C4453" s="47">
        <v>44455</v>
      </c>
      <c r="D4453" s="45">
        <v>22021004466</v>
      </c>
      <c r="E4453" s="46" t="s">
        <v>1328</v>
      </c>
      <c r="F4453" s="48">
        <v>38.74</v>
      </c>
      <c r="G4453" s="46" t="s">
        <v>266</v>
      </c>
      <c r="H4453" s="46" t="s">
        <v>6101</v>
      </c>
      <c r="I4453" s="45" t="s">
        <v>205</v>
      </c>
      <c r="J4453" s="46" t="s">
        <v>127</v>
      </c>
      <c r="K4453" s="46" t="s">
        <v>127</v>
      </c>
      <c r="L4453" s="46" t="s">
        <v>15</v>
      </c>
      <c r="M4453" s="46" t="s">
        <v>13</v>
      </c>
      <c r="N4453" s="46" t="s">
        <v>14</v>
      </c>
      <c r="O4453" s="49" t="s">
        <v>814</v>
      </c>
      <c r="P4453" s="49" t="s">
        <v>4910</v>
      </c>
      <c r="Q4453" s="35" t="str">
        <f>MID(Tabla1[[#This Row],[Aplicación]],14,1)</f>
        <v>2</v>
      </c>
      <c r="R4453" s="35" t="s">
        <v>495</v>
      </c>
      <c r="S4453" s="35" t="str">
        <f>MID(Tabla1[[#This Row],[Aplicación]],6,2)</f>
        <v>10</v>
      </c>
      <c r="T4453" s="35" t="str">
        <f>VLOOKUP(Tabla1[[#This Row],[AREA]],Hoja1!A:B,2,FALSE)</f>
        <v>10. Servicios sociales y mediación comunitaria</v>
      </c>
      <c r="U4453" s="35" t="str">
        <f>MID(Tabla1[[#This Row],[Aplicación]],9,4)</f>
        <v>2311</v>
      </c>
      <c r="V4453" s="35" t="str">
        <f>VLOOKUP(Tabla1[[#This Row],[PROGRAMA]],Hoja1!A:B,2,FALSE)</f>
        <v>2311. Intervención social</v>
      </c>
      <c r="W4453" s="35" t="str">
        <f>MID(Tabla1[[#This Row],[Aplicación]],14,2)</f>
        <v>21</v>
      </c>
      <c r="X4453" s="35" t="str">
        <f>MID(Tabla1[[#This Row],[Aplicación]],14,6)</f>
        <v>212</v>
      </c>
    </row>
    <row r="4454" spans="1:24" x14ac:dyDescent="0.25">
      <c r="A4454" s="45">
        <v>220210063151</v>
      </c>
      <c r="B4454" s="46" t="s">
        <v>204</v>
      </c>
      <c r="C4454" s="47">
        <v>44469</v>
      </c>
      <c r="D4454" s="45">
        <v>22021002374</v>
      </c>
      <c r="E4454" s="46" t="s">
        <v>1336</v>
      </c>
      <c r="F4454" s="48">
        <v>6.05</v>
      </c>
      <c r="G4454" s="46" t="s">
        <v>266</v>
      </c>
      <c r="H4454" s="46" t="s">
        <v>6102</v>
      </c>
      <c r="I4454" s="45" t="s">
        <v>205</v>
      </c>
      <c r="J4454" s="46" t="s">
        <v>127</v>
      </c>
      <c r="K4454" s="46" t="s">
        <v>127</v>
      </c>
      <c r="L4454" s="46" t="s">
        <v>15</v>
      </c>
      <c r="M4454" s="46" t="s">
        <v>13</v>
      </c>
      <c r="N4454" s="46" t="s">
        <v>14</v>
      </c>
      <c r="O4454" s="49" t="s">
        <v>814</v>
      </c>
      <c r="P4454" s="49" t="s">
        <v>4910</v>
      </c>
      <c r="Q4454" s="35" t="str">
        <f>MID(Tabla1[[#This Row],[Aplicación]],14,1)</f>
        <v>2</v>
      </c>
      <c r="R4454" s="35" t="s">
        <v>495</v>
      </c>
      <c r="S4454" s="35" t="str">
        <f>MID(Tabla1[[#This Row],[Aplicación]],6,2)</f>
        <v>02</v>
      </c>
      <c r="T4454" s="35" t="str">
        <f>VLOOKUP(Tabla1[[#This Row],[AREA]],Hoja1!A:B,2,FALSE)</f>
        <v>02. Planeamiento urbanístico y vivienda</v>
      </c>
      <c r="U4454" s="35" t="str">
        <f>MID(Tabla1[[#This Row],[Aplicación]],9,4)</f>
        <v>9332</v>
      </c>
      <c r="V4454" s="35" t="str">
        <f>VLOOKUP(Tabla1[[#This Row],[PROGRAMA]],Hoja1!A:B,2,FALSE)</f>
        <v>9332. Mantenimiento de edificios e instalaciones municipales</v>
      </c>
      <c r="W4454" s="35" t="str">
        <f>MID(Tabla1[[#This Row],[Aplicación]],14,2)</f>
        <v>21</v>
      </c>
      <c r="X4454" s="35" t="str">
        <f>MID(Tabla1[[#This Row],[Aplicación]],14,6)</f>
        <v>212</v>
      </c>
    </row>
    <row r="4455" spans="1:24" x14ac:dyDescent="0.25">
      <c r="A4455" s="45">
        <v>220210043892</v>
      </c>
      <c r="B4455" s="46" t="s">
        <v>204</v>
      </c>
      <c r="C4455" s="47">
        <v>44405</v>
      </c>
      <c r="D4455" s="45">
        <v>22021003381</v>
      </c>
      <c r="E4455" s="46" t="s">
        <v>1183</v>
      </c>
      <c r="F4455" s="48">
        <v>503.66</v>
      </c>
      <c r="G4455" s="46" t="s">
        <v>236</v>
      </c>
      <c r="H4455" s="46" t="s">
        <v>6103</v>
      </c>
      <c r="I4455" s="45" t="s">
        <v>205</v>
      </c>
      <c r="J4455" s="46" t="s">
        <v>127</v>
      </c>
      <c r="K4455" s="46" t="s">
        <v>127</v>
      </c>
      <c r="L4455" s="46" t="s">
        <v>15</v>
      </c>
      <c r="M4455" s="46" t="s">
        <v>13</v>
      </c>
      <c r="N4455" s="46" t="s">
        <v>14</v>
      </c>
      <c r="O4455" s="49" t="s">
        <v>814</v>
      </c>
      <c r="P4455" s="49" t="s">
        <v>4910</v>
      </c>
      <c r="Q4455" s="35" t="str">
        <f>MID(Tabla1[[#This Row],[Aplicación]],14,1)</f>
        <v>2</v>
      </c>
      <c r="R4455" s="35" t="s">
        <v>495</v>
      </c>
      <c r="S4455" s="35" t="str">
        <f>MID(Tabla1[[#This Row],[Aplicación]],6,2)</f>
        <v>11</v>
      </c>
      <c r="T4455" s="35" t="str">
        <f>VLOOKUP(Tabla1[[#This Row],[AREA]],Hoja1!A:B,2,FALSE)</f>
        <v>11. Salud pública y seguridad ciudadana</v>
      </c>
      <c r="U4455" s="35" t="str">
        <f>MID(Tabla1[[#This Row],[Aplicación]],9,4)</f>
        <v>1361</v>
      </c>
      <c r="V4455" s="35" t="str">
        <f>VLOOKUP(Tabla1[[#This Row],[PROGRAMA]],Hoja1!A:B,2,FALSE)</f>
        <v>1361. Prevención y extinción de incencios</v>
      </c>
      <c r="W4455" s="35" t="str">
        <f>MID(Tabla1[[#This Row],[Aplicación]],14,2)</f>
        <v>22</v>
      </c>
      <c r="X4455" s="35" t="str">
        <f>MID(Tabla1[[#This Row],[Aplicación]],14,6)</f>
        <v>22199</v>
      </c>
    </row>
    <row r="4456" spans="1:24" x14ac:dyDescent="0.25">
      <c r="A4456" s="45">
        <v>220210059386</v>
      </c>
      <c r="B4456" s="46" t="s">
        <v>204</v>
      </c>
      <c r="C4456" s="47">
        <v>44466</v>
      </c>
      <c r="D4456" s="45">
        <v>22021005717</v>
      </c>
      <c r="E4456" s="46" t="s">
        <v>5503</v>
      </c>
      <c r="F4456" s="48">
        <v>909.54</v>
      </c>
      <c r="G4456" s="46" t="s">
        <v>244</v>
      </c>
      <c r="H4456" s="46" t="s">
        <v>6104</v>
      </c>
      <c r="I4456" s="45" t="s">
        <v>205</v>
      </c>
      <c r="J4456" s="46" t="s">
        <v>127</v>
      </c>
      <c r="K4456" s="46" t="s">
        <v>127</v>
      </c>
      <c r="L4456" s="46" t="s">
        <v>12</v>
      </c>
      <c r="M4456" s="46" t="s">
        <v>13</v>
      </c>
      <c r="N4456" s="46" t="s">
        <v>14</v>
      </c>
      <c r="O4456" s="49" t="s">
        <v>814</v>
      </c>
      <c r="P4456" s="49" t="s">
        <v>4910</v>
      </c>
      <c r="Q4456" s="35" t="str">
        <f>MID(Tabla1[[#This Row],[Aplicación]],14,1)</f>
        <v>6</v>
      </c>
      <c r="R4456" s="35" t="s">
        <v>496</v>
      </c>
      <c r="S4456" s="35" t="str">
        <f>MID(Tabla1[[#This Row],[Aplicación]],6,2)</f>
        <v>11</v>
      </c>
      <c r="T4456" s="35" t="str">
        <f>VLOOKUP(Tabla1[[#This Row],[AREA]],Hoja1!A:B,2,FALSE)</f>
        <v>11. Salud pública y seguridad ciudadana</v>
      </c>
      <c r="U4456" s="35" t="str">
        <f>MID(Tabla1[[#This Row],[Aplicación]],9,4)</f>
        <v>1631</v>
      </c>
      <c r="V4456" s="35" t="str">
        <f>VLOOKUP(Tabla1[[#This Row],[PROGRAMA]],Hoja1!A:B,2,FALSE)</f>
        <v>1631. Limpieza viaria</v>
      </c>
      <c r="W4456" s="35" t="str">
        <f>MID(Tabla1[[#This Row],[Aplicación]],14,2)</f>
        <v>63</v>
      </c>
      <c r="X4456" s="35" t="str">
        <f>MID(Tabla1[[#This Row],[Aplicación]],14,6)</f>
        <v>634</v>
      </c>
    </row>
    <row r="4457" spans="1:24" x14ac:dyDescent="0.25">
      <c r="A4457" s="45">
        <v>220210044393</v>
      </c>
      <c r="B4457" s="46" t="s">
        <v>204</v>
      </c>
      <c r="C4457" s="47">
        <v>44407</v>
      </c>
      <c r="D4457" s="45">
        <v>22021004466</v>
      </c>
      <c r="E4457" s="46" t="s">
        <v>1328</v>
      </c>
      <c r="F4457" s="48">
        <v>285.02999999999997</v>
      </c>
      <c r="G4457" s="46" t="s">
        <v>236</v>
      </c>
      <c r="H4457" s="46" t="s">
        <v>6105</v>
      </c>
      <c r="I4457" s="45" t="s">
        <v>205</v>
      </c>
      <c r="J4457" s="46" t="s">
        <v>127</v>
      </c>
      <c r="K4457" s="46" t="s">
        <v>127</v>
      </c>
      <c r="L4457" s="46" t="s">
        <v>15</v>
      </c>
      <c r="M4457" s="46" t="s">
        <v>13</v>
      </c>
      <c r="N4457" s="46" t="s">
        <v>14</v>
      </c>
      <c r="O4457" s="49" t="s">
        <v>814</v>
      </c>
      <c r="P4457" s="49" t="s">
        <v>4910</v>
      </c>
      <c r="Q4457" s="35" t="str">
        <f>MID(Tabla1[[#This Row],[Aplicación]],14,1)</f>
        <v>2</v>
      </c>
      <c r="R4457" s="35" t="s">
        <v>495</v>
      </c>
      <c r="S4457" s="35" t="str">
        <f>MID(Tabla1[[#This Row],[Aplicación]],6,2)</f>
        <v>10</v>
      </c>
      <c r="T4457" s="35" t="str">
        <f>VLOOKUP(Tabla1[[#This Row],[AREA]],Hoja1!A:B,2,FALSE)</f>
        <v>10. Servicios sociales y mediación comunitaria</v>
      </c>
      <c r="U4457" s="35" t="str">
        <f>MID(Tabla1[[#This Row],[Aplicación]],9,4)</f>
        <v>2311</v>
      </c>
      <c r="V4457" s="35" t="str">
        <f>VLOOKUP(Tabla1[[#This Row],[PROGRAMA]],Hoja1!A:B,2,FALSE)</f>
        <v>2311. Intervención social</v>
      </c>
      <c r="W4457" s="35" t="str">
        <f>MID(Tabla1[[#This Row],[Aplicación]],14,2)</f>
        <v>21</v>
      </c>
      <c r="X4457" s="35" t="str">
        <f>MID(Tabla1[[#This Row],[Aplicación]],14,6)</f>
        <v>212</v>
      </c>
    </row>
    <row r="4458" spans="1:24" x14ac:dyDescent="0.25">
      <c r="A4458" s="45">
        <v>220210040147</v>
      </c>
      <c r="B4458" s="46" t="s">
        <v>204</v>
      </c>
      <c r="C4458" s="47">
        <v>44396</v>
      </c>
      <c r="D4458" s="45">
        <v>22021002006</v>
      </c>
      <c r="E4458" s="46" t="s">
        <v>1310</v>
      </c>
      <c r="F4458" s="48">
        <v>127.41</v>
      </c>
      <c r="G4458" s="46" t="s">
        <v>236</v>
      </c>
      <c r="H4458" s="46" t="s">
        <v>6106</v>
      </c>
      <c r="I4458" s="45" t="s">
        <v>205</v>
      </c>
      <c r="J4458" s="46" t="s">
        <v>127</v>
      </c>
      <c r="K4458" s="46" t="s">
        <v>127</v>
      </c>
      <c r="L4458" s="46" t="s">
        <v>15</v>
      </c>
      <c r="M4458" s="46" t="s">
        <v>13</v>
      </c>
      <c r="N4458" s="46" t="s">
        <v>14</v>
      </c>
      <c r="O4458" s="49" t="s">
        <v>814</v>
      </c>
      <c r="P4458" s="49" t="s">
        <v>4910</v>
      </c>
      <c r="Q4458" s="35" t="str">
        <f>MID(Tabla1[[#This Row],[Aplicación]],14,1)</f>
        <v>2</v>
      </c>
      <c r="R4458" s="35" t="s">
        <v>495</v>
      </c>
      <c r="S4458" s="35" t="str">
        <f>MID(Tabla1[[#This Row],[Aplicación]],6,2)</f>
        <v>11</v>
      </c>
      <c r="T4458" s="35" t="str">
        <f>VLOOKUP(Tabla1[[#This Row],[AREA]],Hoja1!A:B,2,FALSE)</f>
        <v>11. Salud pública y seguridad ciudadana</v>
      </c>
      <c r="U4458" s="35" t="str">
        <f>MID(Tabla1[[#This Row],[Aplicación]],9,4)</f>
        <v>3111</v>
      </c>
      <c r="V4458" s="35" t="str">
        <f>VLOOKUP(Tabla1[[#This Row],[PROGRAMA]],Hoja1!A:B,2,FALSE)</f>
        <v>3111. Protección de la salubridad pública</v>
      </c>
      <c r="W4458" s="35" t="str">
        <f>MID(Tabla1[[#This Row],[Aplicación]],14,2)</f>
        <v>22</v>
      </c>
      <c r="X4458" s="35" t="str">
        <f>MID(Tabla1[[#This Row],[Aplicación]],14,6)</f>
        <v>22199</v>
      </c>
    </row>
    <row r="4459" spans="1:24" x14ac:dyDescent="0.25">
      <c r="A4459" s="45">
        <v>220210061330</v>
      </c>
      <c r="B4459" s="46" t="s">
        <v>204</v>
      </c>
      <c r="C4459" s="47">
        <v>44468</v>
      </c>
      <c r="D4459" s="45">
        <v>22021002048</v>
      </c>
      <c r="E4459" s="46" t="s">
        <v>890</v>
      </c>
      <c r="F4459" s="48">
        <v>769.98</v>
      </c>
      <c r="G4459" s="46" t="s">
        <v>272</v>
      </c>
      <c r="H4459" s="46" t="s">
        <v>6107</v>
      </c>
      <c r="I4459" s="45" t="s">
        <v>205</v>
      </c>
      <c r="J4459" s="46" t="s">
        <v>127</v>
      </c>
      <c r="K4459" s="46" t="s">
        <v>127</v>
      </c>
      <c r="L4459" s="46" t="s">
        <v>15</v>
      </c>
      <c r="M4459" s="46" t="s">
        <v>13</v>
      </c>
      <c r="N4459" s="46" t="s">
        <v>14</v>
      </c>
      <c r="O4459" s="49" t="s">
        <v>814</v>
      </c>
      <c r="P4459" s="49" t="s">
        <v>4910</v>
      </c>
      <c r="Q4459" s="35" t="str">
        <f>MID(Tabla1[[#This Row],[Aplicación]],14,1)</f>
        <v>2</v>
      </c>
      <c r="R4459" s="35" t="s">
        <v>495</v>
      </c>
      <c r="S4459" s="35" t="str">
        <f>MID(Tabla1[[#This Row],[Aplicación]],6,2)</f>
        <v>11</v>
      </c>
      <c r="T4459" s="35" t="str">
        <f>VLOOKUP(Tabla1[[#This Row],[AREA]],Hoja1!A:B,2,FALSE)</f>
        <v>11. Salud pública y seguridad ciudadana</v>
      </c>
      <c r="U4459" s="35" t="str">
        <f>MID(Tabla1[[#This Row],[Aplicación]],9,4)</f>
        <v>1621</v>
      </c>
      <c r="V4459" s="35" t="str">
        <f>VLOOKUP(Tabla1[[#This Row],[PROGRAMA]],Hoja1!A:B,2,FALSE)</f>
        <v>1621. Servicio de limpieza</v>
      </c>
      <c r="W4459" s="35" t="str">
        <f>MID(Tabla1[[#This Row],[Aplicación]],14,2)</f>
        <v>21</v>
      </c>
      <c r="X4459" s="35" t="str">
        <f>MID(Tabla1[[#This Row],[Aplicación]],14,6)</f>
        <v>214</v>
      </c>
    </row>
    <row r="4460" spans="1:24" x14ac:dyDescent="0.25">
      <c r="A4460" s="45">
        <v>220210063194</v>
      </c>
      <c r="B4460" s="46" t="s">
        <v>204</v>
      </c>
      <c r="C4460" s="47">
        <v>44469</v>
      </c>
      <c r="D4460" s="45">
        <v>22021001276</v>
      </c>
      <c r="E4460" s="46" t="s">
        <v>2510</v>
      </c>
      <c r="F4460" s="48">
        <v>346.37</v>
      </c>
      <c r="G4460" s="46" t="s">
        <v>3097</v>
      </c>
      <c r="H4460" s="46" t="s">
        <v>3098</v>
      </c>
      <c r="I4460" s="45" t="s">
        <v>205</v>
      </c>
      <c r="J4460" s="46" t="s">
        <v>749</v>
      </c>
      <c r="K4460" s="46" t="s">
        <v>127</v>
      </c>
      <c r="L4460" s="46" t="s">
        <v>15</v>
      </c>
      <c r="M4460" s="46" t="s">
        <v>13</v>
      </c>
      <c r="N4460" s="46" t="s">
        <v>14</v>
      </c>
      <c r="O4460" s="49" t="s">
        <v>814</v>
      </c>
      <c r="P4460" s="49" t="s">
        <v>4910</v>
      </c>
      <c r="Q4460" s="35" t="str">
        <f>MID(Tabla1[[#This Row],[Aplicación]],14,1)</f>
        <v>2</v>
      </c>
      <c r="R4460" s="35" t="s">
        <v>495</v>
      </c>
      <c r="S4460" s="35" t="str">
        <f>MID(Tabla1[[#This Row],[Aplicación]],6,2)</f>
        <v>07</v>
      </c>
      <c r="T4460" s="35" t="str">
        <f>VLOOKUP(Tabla1[[#This Row],[AREA]],Hoja1!A:B,2,FALSE)</f>
        <v>07. Medio ambiente y desarrollo sostenible</v>
      </c>
      <c r="U4460" s="35" t="str">
        <f>MID(Tabla1[[#This Row],[Aplicación]],9,4)</f>
        <v>1711</v>
      </c>
      <c r="V4460" s="35" t="str">
        <f>VLOOKUP(Tabla1[[#This Row],[PROGRAMA]],Hoja1!A:B,2,FALSE)</f>
        <v>1711. Parques y jardines</v>
      </c>
      <c r="W4460" s="35" t="str">
        <f>MID(Tabla1[[#This Row],[Aplicación]],14,2)</f>
        <v>22</v>
      </c>
      <c r="X4460" s="35" t="str">
        <f>MID(Tabla1[[#This Row],[Aplicación]],14,6)</f>
        <v>22106</v>
      </c>
    </row>
    <row r="4461" spans="1:24" x14ac:dyDescent="0.25">
      <c r="A4461" s="45">
        <v>220210045453</v>
      </c>
      <c r="B4461" s="46" t="s">
        <v>204</v>
      </c>
      <c r="C4461" s="47">
        <v>44413</v>
      </c>
      <c r="D4461" s="45">
        <v>22021002225</v>
      </c>
      <c r="E4461" s="46" t="s">
        <v>1574</v>
      </c>
      <c r="F4461" s="48">
        <v>47.35</v>
      </c>
      <c r="G4461" s="46" t="s">
        <v>236</v>
      </c>
      <c r="H4461" s="46" t="s">
        <v>6108</v>
      </c>
      <c r="I4461" s="45" t="s">
        <v>205</v>
      </c>
      <c r="J4461" s="46" t="s">
        <v>127</v>
      </c>
      <c r="K4461" s="46" t="s">
        <v>127</v>
      </c>
      <c r="L4461" s="46" t="s">
        <v>15</v>
      </c>
      <c r="M4461" s="46" t="s">
        <v>13</v>
      </c>
      <c r="N4461" s="46" t="s">
        <v>16</v>
      </c>
      <c r="O4461" s="49" t="s">
        <v>814</v>
      </c>
      <c r="P4461" s="49" t="s">
        <v>4910</v>
      </c>
      <c r="Q4461" s="35" t="str">
        <f>MID(Tabla1[[#This Row],[Aplicación]],14,1)</f>
        <v>2</v>
      </c>
      <c r="R4461" s="35" t="s">
        <v>495</v>
      </c>
      <c r="S4461" s="35" t="str">
        <f>MID(Tabla1[[#This Row],[Aplicación]],6,2)</f>
        <v>06</v>
      </c>
      <c r="T4461" s="35" t="str">
        <f>VLOOKUP(Tabla1[[#This Row],[AREA]],Hoja1!A:B,2,FALSE)</f>
        <v>06. Educación, infancia, juventud e igualdad</v>
      </c>
      <c r="U4461" s="35" t="str">
        <f>MID(Tabla1[[#This Row],[Aplicación]],9,4)</f>
        <v>3231</v>
      </c>
      <c r="V4461" s="35" t="str">
        <f>VLOOKUP(Tabla1[[#This Row],[PROGRAMA]],Hoja1!A:B,2,FALSE)</f>
        <v>3231. Escuelas infantiles</v>
      </c>
      <c r="W4461" s="35" t="str">
        <f>MID(Tabla1[[#This Row],[Aplicación]],14,2)</f>
        <v>21</v>
      </c>
      <c r="X4461" s="35" t="str">
        <f>MID(Tabla1[[#This Row],[Aplicación]],14,6)</f>
        <v>212</v>
      </c>
    </row>
    <row r="4462" spans="1:24" x14ac:dyDescent="0.25">
      <c r="A4462" s="45">
        <v>220210059330</v>
      </c>
      <c r="B4462" s="46" t="s">
        <v>204</v>
      </c>
      <c r="C4462" s="47">
        <v>44466</v>
      </c>
      <c r="D4462" s="45">
        <v>22021003187</v>
      </c>
      <c r="E4462" s="46" t="s">
        <v>1884</v>
      </c>
      <c r="F4462" s="48">
        <v>738.45</v>
      </c>
      <c r="G4462" s="46" t="s">
        <v>235</v>
      </c>
      <c r="H4462" s="46" t="s">
        <v>6109</v>
      </c>
      <c r="I4462" s="45" t="s">
        <v>205</v>
      </c>
      <c r="J4462" s="46" t="s">
        <v>742</v>
      </c>
      <c r="K4462" s="46" t="s">
        <v>165</v>
      </c>
      <c r="L4462" s="46" t="s">
        <v>15</v>
      </c>
      <c r="M4462" s="46" t="s">
        <v>13</v>
      </c>
      <c r="N4462" s="46" t="s">
        <v>14</v>
      </c>
      <c r="O4462" s="49" t="s">
        <v>814</v>
      </c>
      <c r="P4462" s="49" t="s">
        <v>4910</v>
      </c>
      <c r="Q4462" s="35" t="str">
        <f>MID(Tabla1[[#This Row],[Aplicación]],14,1)</f>
        <v>2</v>
      </c>
      <c r="R4462" s="35" t="s">
        <v>495</v>
      </c>
      <c r="S4462" s="35" t="str">
        <f>MID(Tabla1[[#This Row],[Aplicación]],6,2)</f>
        <v>06</v>
      </c>
      <c r="T4462" s="35" t="str">
        <f>VLOOKUP(Tabla1[[#This Row],[AREA]],Hoja1!A:B,2,FALSE)</f>
        <v>06. Educación, infancia, juventud e igualdad</v>
      </c>
      <c r="U4462" s="35" t="str">
        <f>MID(Tabla1[[#This Row],[Aplicación]],9,4)</f>
        <v>2314</v>
      </c>
      <c r="V4462" s="35" t="str">
        <f>VLOOKUP(Tabla1[[#This Row],[PROGRAMA]],Hoja1!A:B,2,FALSE)</f>
        <v>2314. Centro de programas juveniles</v>
      </c>
      <c r="W4462" s="35" t="str">
        <f>MID(Tabla1[[#This Row],[Aplicación]],14,2)</f>
        <v>21</v>
      </c>
      <c r="X4462" s="35" t="str">
        <f>MID(Tabla1[[#This Row],[Aplicación]],14,6)</f>
        <v>212</v>
      </c>
    </row>
    <row r="4463" spans="1:24" x14ac:dyDescent="0.25">
      <c r="A4463" s="45">
        <v>220210058248</v>
      </c>
      <c r="B4463" s="46" t="s">
        <v>9</v>
      </c>
      <c r="C4463" s="47">
        <v>44459</v>
      </c>
      <c r="D4463" s="45">
        <v>22021006521</v>
      </c>
      <c r="E4463" s="46" t="s">
        <v>1167</v>
      </c>
      <c r="F4463" s="48">
        <v>2893.98</v>
      </c>
      <c r="G4463" s="46" t="s">
        <v>3876</v>
      </c>
      <c r="H4463" s="46" t="s">
        <v>6110</v>
      </c>
      <c r="I4463" s="45" t="s">
        <v>125</v>
      </c>
      <c r="J4463" s="46" t="s">
        <v>127</v>
      </c>
      <c r="K4463" s="46" t="s">
        <v>127</v>
      </c>
      <c r="L4463" s="46" t="s">
        <v>12</v>
      </c>
      <c r="M4463" s="46" t="s">
        <v>10</v>
      </c>
      <c r="N4463" s="46" t="s">
        <v>11</v>
      </c>
      <c r="O4463" s="49" t="s">
        <v>815</v>
      </c>
      <c r="P4463" s="49" t="s">
        <v>4910</v>
      </c>
      <c r="Q4463" s="35" t="str">
        <f>MID(Tabla1[[#This Row],[Aplicación]],14,1)</f>
        <v>2</v>
      </c>
      <c r="R4463" s="35" t="s">
        <v>495</v>
      </c>
      <c r="S4463" s="35" t="str">
        <f>MID(Tabla1[[#This Row],[Aplicación]],6,2)</f>
        <v>11</v>
      </c>
      <c r="T4463" s="35" t="str">
        <f>VLOOKUP(Tabla1[[#This Row],[AREA]],Hoja1!A:B,2,FALSE)</f>
        <v>11. Salud pública y seguridad ciudadana</v>
      </c>
      <c r="U4463" s="35" t="str">
        <f>MID(Tabla1[[#This Row],[Aplicación]],9,4)</f>
        <v>1321</v>
      </c>
      <c r="V4463" s="35" t="str">
        <f>VLOOKUP(Tabla1[[#This Row],[PROGRAMA]],Hoja1!A:B,2,FALSE)</f>
        <v>1321. Policía municipal</v>
      </c>
      <c r="W4463" s="35" t="str">
        <f>MID(Tabla1[[#This Row],[Aplicación]],14,2)</f>
        <v>21</v>
      </c>
      <c r="X4463" s="35" t="str">
        <f>MID(Tabla1[[#This Row],[Aplicación]],14,6)</f>
        <v>214</v>
      </c>
    </row>
    <row r="4464" spans="1:24" x14ac:dyDescent="0.25">
      <c r="A4464" s="45">
        <v>220210046005</v>
      </c>
      <c r="B4464" s="46" t="s">
        <v>204</v>
      </c>
      <c r="C4464" s="47">
        <v>44418</v>
      </c>
      <c r="D4464" s="45">
        <v>22021002228</v>
      </c>
      <c r="E4464" s="46" t="s">
        <v>1471</v>
      </c>
      <c r="F4464" s="48">
        <v>1775.22</v>
      </c>
      <c r="G4464" s="46" t="s">
        <v>236</v>
      </c>
      <c r="H4464" s="46" t="s">
        <v>6111</v>
      </c>
      <c r="I4464" s="45" t="s">
        <v>205</v>
      </c>
      <c r="J4464" s="46" t="s">
        <v>127</v>
      </c>
      <c r="K4464" s="46" t="s">
        <v>127</v>
      </c>
      <c r="L4464" s="46" t="s">
        <v>15</v>
      </c>
      <c r="M4464" s="46" t="s">
        <v>13</v>
      </c>
      <c r="N4464" s="46" t="s">
        <v>16</v>
      </c>
      <c r="O4464" s="49" t="s">
        <v>814</v>
      </c>
      <c r="P4464" s="49" t="s">
        <v>4910</v>
      </c>
      <c r="Q4464" s="35" t="str">
        <f>MID(Tabla1[[#This Row],[Aplicación]],14,1)</f>
        <v>2</v>
      </c>
      <c r="R4464" s="35" t="s">
        <v>495</v>
      </c>
      <c r="S4464" s="35" t="str">
        <f>MID(Tabla1[[#This Row],[Aplicación]],6,2)</f>
        <v>06</v>
      </c>
      <c r="T4464" s="35" t="str">
        <f>VLOOKUP(Tabla1[[#This Row],[AREA]],Hoja1!A:B,2,FALSE)</f>
        <v>06. Educación, infancia, juventud e igualdad</v>
      </c>
      <c r="U4464" s="35" t="str">
        <f>MID(Tabla1[[#This Row],[Aplicación]],9,4)</f>
        <v>3232</v>
      </c>
      <c r="V4464" s="35" t="str">
        <f>VLOOKUP(Tabla1[[#This Row],[PROGRAMA]],Hoja1!A:B,2,FALSE)</f>
        <v>3232. Conservación y mantenimiento centros educación infantil y primaria</v>
      </c>
      <c r="W4464" s="35" t="str">
        <f>MID(Tabla1[[#This Row],[Aplicación]],14,2)</f>
        <v>21</v>
      </c>
      <c r="X4464" s="35" t="str">
        <f>MID(Tabla1[[#This Row],[Aplicación]],14,6)</f>
        <v>212</v>
      </c>
    </row>
    <row r="4465" spans="1:24" x14ac:dyDescent="0.25">
      <c r="A4465" s="45">
        <v>220210046046</v>
      </c>
      <c r="B4465" s="46" t="s">
        <v>204</v>
      </c>
      <c r="C4465" s="47">
        <v>44418</v>
      </c>
      <c r="D4465" s="45">
        <v>22021002228</v>
      </c>
      <c r="E4465" s="46" t="s">
        <v>1471</v>
      </c>
      <c r="F4465" s="48">
        <v>279.55</v>
      </c>
      <c r="G4465" s="46" t="s">
        <v>236</v>
      </c>
      <c r="H4465" s="46" t="s">
        <v>6112</v>
      </c>
      <c r="I4465" s="45" t="s">
        <v>205</v>
      </c>
      <c r="J4465" s="46" t="s">
        <v>127</v>
      </c>
      <c r="K4465" s="46" t="s">
        <v>127</v>
      </c>
      <c r="L4465" s="46" t="s">
        <v>15</v>
      </c>
      <c r="M4465" s="46" t="s">
        <v>13</v>
      </c>
      <c r="N4465" s="46" t="s">
        <v>16</v>
      </c>
      <c r="O4465" s="49" t="s">
        <v>814</v>
      </c>
      <c r="P4465" s="49" t="s">
        <v>4910</v>
      </c>
      <c r="Q4465" s="35" t="str">
        <f>MID(Tabla1[[#This Row],[Aplicación]],14,1)</f>
        <v>2</v>
      </c>
      <c r="R4465" s="35" t="s">
        <v>495</v>
      </c>
      <c r="S4465" s="35" t="str">
        <f>MID(Tabla1[[#This Row],[Aplicación]],6,2)</f>
        <v>06</v>
      </c>
      <c r="T4465" s="35" t="str">
        <f>VLOOKUP(Tabla1[[#This Row],[AREA]],Hoja1!A:B,2,FALSE)</f>
        <v>06. Educación, infancia, juventud e igualdad</v>
      </c>
      <c r="U4465" s="35" t="str">
        <f>MID(Tabla1[[#This Row],[Aplicación]],9,4)</f>
        <v>3232</v>
      </c>
      <c r="V4465" s="35" t="str">
        <f>VLOOKUP(Tabla1[[#This Row],[PROGRAMA]],Hoja1!A:B,2,FALSE)</f>
        <v>3232. Conservación y mantenimiento centros educación infantil y primaria</v>
      </c>
      <c r="W4465" s="35" t="str">
        <f>MID(Tabla1[[#This Row],[Aplicación]],14,2)</f>
        <v>21</v>
      </c>
      <c r="X4465" s="35" t="str">
        <f>MID(Tabla1[[#This Row],[Aplicación]],14,6)</f>
        <v>212</v>
      </c>
    </row>
    <row r="4466" spans="1:24" x14ac:dyDescent="0.25">
      <c r="A4466" s="45">
        <v>220210051169</v>
      </c>
      <c r="B4466" s="46" t="s">
        <v>204</v>
      </c>
      <c r="C4466" s="47">
        <v>44448</v>
      </c>
      <c r="D4466" s="45">
        <v>22021002132</v>
      </c>
      <c r="E4466" s="46" t="s">
        <v>1180</v>
      </c>
      <c r="F4466" s="48">
        <v>2544.81</v>
      </c>
      <c r="G4466" s="46" t="s">
        <v>236</v>
      </c>
      <c r="H4466" s="46" t="s">
        <v>6113</v>
      </c>
      <c r="I4466" s="45" t="s">
        <v>205</v>
      </c>
      <c r="J4466" s="46" t="s">
        <v>127</v>
      </c>
      <c r="K4466" s="46" t="s">
        <v>127</v>
      </c>
      <c r="L4466" s="46" t="s">
        <v>15</v>
      </c>
      <c r="M4466" s="46" t="s">
        <v>13</v>
      </c>
      <c r="N4466" s="46" t="s">
        <v>14</v>
      </c>
      <c r="O4466" s="49" t="s">
        <v>814</v>
      </c>
      <c r="P4466" s="49" t="s">
        <v>4910</v>
      </c>
      <c r="Q4466" s="35" t="str">
        <f>MID(Tabla1[[#This Row],[Aplicación]],14,1)</f>
        <v>2</v>
      </c>
      <c r="R4466" s="35" t="s">
        <v>495</v>
      </c>
      <c r="S4466" s="35" t="str">
        <f>MID(Tabla1[[#This Row],[Aplicación]],6,2)</f>
        <v>08</v>
      </c>
      <c r="T4466" s="35" t="str">
        <f>VLOOKUP(Tabla1[[#This Row],[AREA]],Hoja1!A:B,2,FALSE)</f>
        <v>08. Movilidad y espacio urbano</v>
      </c>
      <c r="U4466" s="35" t="str">
        <f>MID(Tabla1[[#This Row],[Aplicación]],9,4)</f>
        <v>1532</v>
      </c>
      <c r="V4466" s="35" t="str">
        <f>VLOOKUP(Tabla1[[#This Row],[PROGRAMA]],Hoja1!A:B,2,FALSE)</f>
        <v>1532. Pavimentación vias públicas y otros servicios urbanísticos</v>
      </c>
      <c r="W4466" s="35" t="str">
        <f>MID(Tabla1[[#This Row],[Aplicación]],14,2)</f>
        <v>21</v>
      </c>
      <c r="X4466" s="35" t="str">
        <f>MID(Tabla1[[#This Row],[Aplicación]],14,6)</f>
        <v>210</v>
      </c>
    </row>
    <row r="4467" spans="1:24" x14ac:dyDescent="0.25">
      <c r="A4467" s="45">
        <v>220210048718</v>
      </c>
      <c r="B4467" s="46" t="s">
        <v>204</v>
      </c>
      <c r="C4467" s="47">
        <v>44428</v>
      </c>
      <c r="D4467" s="45">
        <v>22021002374</v>
      </c>
      <c r="E4467" s="46" t="s">
        <v>1336</v>
      </c>
      <c r="F4467" s="48">
        <v>162.41</v>
      </c>
      <c r="G4467" s="46" t="s">
        <v>236</v>
      </c>
      <c r="H4467" s="46" t="s">
        <v>6114</v>
      </c>
      <c r="I4467" s="45" t="s">
        <v>205</v>
      </c>
      <c r="J4467" s="46" t="s">
        <v>127</v>
      </c>
      <c r="K4467" s="46" t="s">
        <v>127</v>
      </c>
      <c r="L4467" s="46" t="s">
        <v>15</v>
      </c>
      <c r="M4467" s="46" t="s">
        <v>13</v>
      </c>
      <c r="N4467" s="46" t="s">
        <v>14</v>
      </c>
      <c r="O4467" s="49" t="s">
        <v>814</v>
      </c>
      <c r="P4467" s="49" t="s">
        <v>4910</v>
      </c>
      <c r="Q4467" s="35" t="str">
        <f>MID(Tabla1[[#This Row],[Aplicación]],14,1)</f>
        <v>2</v>
      </c>
      <c r="R4467" s="35" t="s">
        <v>495</v>
      </c>
      <c r="S4467" s="35" t="str">
        <f>MID(Tabla1[[#This Row],[Aplicación]],6,2)</f>
        <v>02</v>
      </c>
      <c r="T4467" s="35" t="str">
        <f>VLOOKUP(Tabla1[[#This Row],[AREA]],Hoja1!A:B,2,FALSE)</f>
        <v>02. Planeamiento urbanístico y vivienda</v>
      </c>
      <c r="U4467" s="35" t="str">
        <f>MID(Tabla1[[#This Row],[Aplicación]],9,4)</f>
        <v>9332</v>
      </c>
      <c r="V4467" s="35" t="str">
        <f>VLOOKUP(Tabla1[[#This Row],[PROGRAMA]],Hoja1!A:B,2,FALSE)</f>
        <v>9332. Mantenimiento de edificios e instalaciones municipales</v>
      </c>
      <c r="W4467" s="35" t="str">
        <f>MID(Tabla1[[#This Row],[Aplicación]],14,2)</f>
        <v>21</v>
      </c>
      <c r="X4467" s="35" t="str">
        <f>MID(Tabla1[[#This Row],[Aplicación]],14,6)</f>
        <v>212</v>
      </c>
    </row>
    <row r="4468" spans="1:24" x14ac:dyDescent="0.25">
      <c r="A4468" s="45">
        <v>220210059402</v>
      </c>
      <c r="B4468" s="46" t="s">
        <v>204</v>
      </c>
      <c r="C4468" s="47">
        <v>44466</v>
      </c>
      <c r="D4468" s="45">
        <v>22021002228</v>
      </c>
      <c r="E4468" s="46" t="s">
        <v>1471</v>
      </c>
      <c r="F4468" s="48">
        <v>655.29</v>
      </c>
      <c r="G4468" s="46" t="s">
        <v>235</v>
      </c>
      <c r="H4468" s="46" t="s">
        <v>6115</v>
      </c>
      <c r="I4468" s="45" t="s">
        <v>205</v>
      </c>
      <c r="J4468" s="46" t="s">
        <v>742</v>
      </c>
      <c r="K4468" s="46" t="s">
        <v>165</v>
      </c>
      <c r="L4468" s="46" t="s">
        <v>15</v>
      </c>
      <c r="M4468" s="46" t="s">
        <v>13</v>
      </c>
      <c r="N4468" s="46" t="s">
        <v>16</v>
      </c>
      <c r="O4468" s="49" t="s">
        <v>814</v>
      </c>
      <c r="P4468" s="49" t="s">
        <v>4910</v>
      </c>
      <c r="Q4468" s="35" t="str">
        <f>MID(Tabla1[[#This Row],[Aplicación]],14,1)</f>
        <v>2</v>
      </c>
      <c r="R4468" s="35" t="s">
        <v>495</v>
      </c>
      <c r="S4468" s="35" t="str">
        <f>MID(Tabla1[[#This Row],[Aplicación]],6,2)</f>
        <v>06</v>
      </c>
      <c r="T4468" s="35" t="str">
        <f>VLOOKUP(Tabla1[[#This Row],[AREA]],Hoja1!A:B,2,FALSE)</f>
        <v>06. Educación, infancia, juventud e igualdad</v>
      </c>
      <c r="U4468" s="35" t="str">
        <f>MID(Tabla1[[#This Row],[Aplicación]],9,4)</f>
        <v>3232</v>
      </c>
      <c r="V4468" s="35" t="str">
        <f>VLOOKUP(Tabla1[[#This Row],[PROGRAMA]],Hoja1!A:B,2,FALSE)</f>
        <v>3232. Conservación y mantenimiento centros educación infantil y primaria</v>
      </c>
      <c r="W4468" s="35" t="str">
        <f>MID(Tabla1[[#This Row],[Aplicación]],14,2)</f>
        <v>21</v>
      </c>
      <c r="X4468" s="35" t="str">
        <f>MID(Tabla1[[#This Row],[Aplicación]],14,6)</f>
        <v>212</v>
      </c>
    </row>
    <row r="4469" spans="1:24" x14ac:dyDescent="0.25">
      <c r="A4469" s="45">
        <v>220210058593</v>
      </c>
      <c r="B4469" s="46" t="s">
        <v>204</v>
      </c>
      <c r="C4469" s="47">
        <v>44461</v>
      </c>
      <c r="D4469" s="45">
        <v>22021003381</v>
      </c>
      <c r="E4469" s="46" t="s">
        <v>1183</v>
      </c>
      <c r="F4469" s="48">
        <v>640.41999999999996</v>
      </c>
      <c r="G4469" s="46" t="s">
        <v>236</v>
      </c>
      <c r="H4469" s="46" t="s">
        <v>6116</v>
      </c>
      <c r="I4469" s="45" t="s">
        <v>205</v>
      </c>
      <c r="J4469" s="46" t="s">
        <v>127</v>
      </c>
      <c r="K4469" s="46" t="s">
        <v>127</v>
      </c>
      <c r="L4469" s="46" t="s">
        <v>15</v>
      </c>
      <c r="M4469" s="46" t="s">
        <v>13</v>
      </c>
      <c r="N4469" s="46" t="s">
        <v>14</v>
      </c>
      <c r="O4469" s="49" t="s">
        <v>814</v>
      </c>
      <c r="P4469" s="49" t="s">
        <v>4910</v>
      </c>
      <c r="Q4469" s="35" t="str">
        <f>MID(Tabla1[[#This Row],[Aplicación]],14,1)</f>
        <v>2</v>
      </c>
      <c r="R4469" s="35" t="s">
        <v>495</v>
      </c>
      <c r="S4469" s="35" t="str">
        <f>MID(Tabla1[[#This Row],[Aplicación]],6,2)</f>
        <v>11</v>
      </c>
      <c r="T4469" s="35" t="str">
        <f>VLOOKUP(Tabla1[[#This Row],[AREA]],Hoja1!A:B,2,FALSE)</f>
        <v>11. Salud pública y seguridad ciudadana</v>
      </c>
      <c r="U4469" s="35" t="str">
        <f>MID(Tabla1[[#This Row],[Aplicación]],9,4)</f>
        <v>1361</v>
      </c>
      <c r="V4469" s="35" t="str">
        <f>VLOOKUP(Tabla1[[#This Row],[PROGRAMA]],Hoja1!A:B,2,FALSE)</f>
        <v>1361. Prevención y extinción de incencios</v>
      </c>
      <c r="W4469" s="35" t="str">
        <f>MID(Tabla1[[#This Row],[Aplicación]],14,2)</f>
        <v>22</v>
      </c>
      <c r="X4469" s="35" t="str">
        <f>MID(Tabla1[[#This Row],[Aplicación]],14,6)</f>
        <v>22199</v>
      </c>
    </row>
    <row r="4470" spans="1:24" x14ac:dyDescent="0.25">
      <c r="A4470" s="45">
        <v>220210056531</v>
      </c>
      <c r="B4470" s="46" t="s">
        <v>204</v>
      </c>
      <c r="C4470" s="47">
        <v>44455</v>
      </c>
      <c r="D4470" s="45">
        <v>22021003381</v>
      </c>
      <c r="E4470" s="46" t="s">
        <v>1183</v>
      </c>
      <c r="F4470" s="48">
        <v>308.95999999999998</v>
      </c>
      <c r="G4470" s="46" t="s">
        <v>236</v>
      </c>
      <c r="H4470" s="46" t="s">
        <v>6117</v>
      </c>
      <c r="I4470" s="45" t="s">
        <v>205</v>
      </c>
      <c r="J4470" s="46" t="s">
        <v>127</v>
      </c>
      <c r="K4470" s="46" t="s">
        <v>127</v>
      </c>
      <c r="L4470" s="46" t="s">
        <v>15</v>
      </c>
      <c r="M4470" s="46" t="s">
        <v>13</v>
      </c>
      <c r="N4470" s="46" t="s">
        <v>14</v>
      </c>
      <c r="O4470" s="49" t="s">
        <v>814</v>
      </c>
      <c r="P4470" s="49" t="s">
        <v>4910</v>
      </c>
      <c r="Q4470" s="35" t="str">
        <f>MID(Tabla1[[#This Row],[Aplicación]],14,1)</f>
        <v>2</v>
      </c>
      <c r="R4470" s="35" t="s">
        <v>495</v>
      </c>
      <c r="S4470" s="35" t="str">
        <f>MID(Tabla1[[#This Row],[Aplicación]],6,2)</f>
        <v>11</v>
      </c>
      <c r="T4470" s="35" t="str">
        <f>VLOOKUP(Tabla1[[#This Row],[AREA]],Hoja1!A:B,2,FALSE)</f>
        <v>11. Salud pública y seguridad ciudadana</v>
      </c>
      <c r="U4470" s="35" t="str">
        <f>MID(Tabla1[[#This Row],[Aplicación]],9,4)</f>
        <v>1361</v>
      </c>
      <c r="V4470" s="35" t="str">
        <f>VLOOKUP(Tabla1[[#This Row],[PROGRAMA]],Hoja1!A:B,2,FALSE)</f>
        <v>1361. Prevención y extinción de incencios</v>
      </c>
      <c r="W4470" s="35" t="str">
        <f>MID(Tabla1[[#This Row],[Aplicación]],14,2)</f>
        <v>22</v>
      </c>
      <c r="X4470" s="35" t="str">
        <f>MID(Tabla1[[#This Row],[Aplicación]],14,6)</f>
        <v>22199</v>
      </c>
    </row>
    <row r="4471" spans="1:24" x14ac:dyDescent="0.25">
      <c r="A4471" s="45">
        <v>220210061340</v>
      </c>
      <c r="B4471" s="46" t="s">
        <v>9</v>
      </c>
      <c r="C4471" s="47">
        <v>44468</v>
      </c>
      <c r="D4471" s="45">
        <v>22021006679</v>
      </c>
      <c r="E4471" s="46" t="s">
        <v>886</v>
      </c>
      <c r="F4471" s="48">
        <v>223.85</v>
      </c>
      <c r="G4471" s="46" t="s">
        <v>4533</v>
      </c>
      <c r="H4471" s="46" t="s">
        <v>6118</v>
      </c>
      <c r="I4471" s="45" t="s">
        <v>125</v>
      </c>
      <c r="J4471" s="46" t="s">
        <v>127</v>
      </c>
      <c r="K4471" s="46" t="s">
        <v>127</v>
      </c>
      <c r="L4471" s="46" t="s">
        <v>17</v>
      </c>
      <c r="M4471" s="46" t="s">
        <v>10</v>
      </c>
      <c r="N4471" s="46" t="s">
        <v>11</v>
      </c>
      <c r="O4471" s="49" t="s">
        <v>815</v>
      </c>
      <c r="P4471" s="49" t="s">
        <v>4910</v>
      </c>
      <c r="Q4471" s="35" t="str">
        <f>MID(Tabla1[[#This Row],[Aplicación]],14,1)</f>
        <v>2</v>
      </c>
      <c r="R4471" s="35" t="s">
        <v>495</v>
      </c>
      <c r="S4471" s="35" t="str">
        <f>MID(Tabla1[[#This Row],[Aplicación]],6,2)</f>
        <v>10</v>
      </c>
      <c r="T4471" s="35" t="str">
        <f>VLOOKUP(Tabla1[[#This Row],[AREA]],Hoja1!A:B,2,FALSE)</f>
        <v>10. Servicios sociales y mediación comunitaria</v>
      </c>
      <c r="U4471" s="35" t="str">
        <f>MID(Tabla1[[#This Row],[Aplicación]],9,4)</f>
        <v>2311</v>
      </c>
      <c r="V4471" s="35" t="str">
        <f>VLOOKUP(Tabla1[[#This Row],[PROGRAMA]],Hoja1!A:B,2,FALSE)</f>
        <v>2311. Intervención social</v>
      </c>
      <c r="W4471" s="35" t="str">
        <f>MID(Tabla1[[#This Row],[Aplicación]],14,2)</f>
        <v>21</v>
      </c>
      <c r="X4471" s="35" t="str">
        <f>MID(Tabla1[[#This Row],[Aplicación]],14,6)</f>
        <v>213</v>
      </c>
    </row>
    <row r="4472" spans="1:24" x14ac:dyDescent="0.25">
      <c r="A4472" s="45">
        <v>220210059030</v>
      </c>
      <c r="B4472" s="46" t="s">
        <v>9</v>
      </c>
      <c r="C4472" s="47">
        <v>44463</v>
      </c>
      <c r="D4472" s="45">
        <v>22021006590</v>
      </c>
      <c r="E4472" s="46" t="s">
        <v>842</v>
      </c>
      <c r="F4472" s="48">
        <v>3000</v>
      </c>
      <c r="G4472" s="46" t="s">
        <v>6119</v>
      </c>
      <c r="H4472" s="46" t="s">
        <v>6120</v>
      </c>
      <c r="I4472" s="45" t="s">
        <v>125</v>
      </c>
      <c r="J4472" s="46" t="s">
        <v>127</v>
      </c>
      <c r="K4472" s="46" t="s">
        <v>127</v>
      </c>
      <c r="L4472" s="46" t="s">
        <v>12</v>
      </c>
      <c r="M4472" s="46" t="s">
        <v>10</v>
      </c>
      <c r="N4472" s="46" t="s">
        <v>11</v>
      </c>
      <c r="O4472" s="49" t="s">
        <v>815</v>
      </c>
      <c r="P4472" s="49" t="s">
        <v>4910</v>
      </c>
      <c r="Q4472" s="35" t="str">
        <f>MID(Tabla1[[#This Row],[Aplicación]],14,1)</f>
        <v>2</v>
      </c>
      <c r="R4472" s="35" t="s">
        <v>495</v>
      </c>
      <c r="S4472" s="35" t="str">
        <f>MID(Tabla1[[#This Row],[Aplicación]],6,2)</f>
        <v>06</v>
      </c>
      <c r="T4472" s="35" t="str">
        <f>VLOOKUP(Tabla1[[#This Row],[AREA]],Hoja1!A:B,2,FALSE)</f>
        <v>06. Educación, infancia, juventud e igualdad</v>
      </c>
      <c r="U4472" s="35" t="str">
        <f>MID(Tabla1[[#This Row],[Aplicación]],9,4)</f>
        <v>3261</v>
      </c>
      <c r="V4472" s="35" t="str">
        <f>VLOOKUP(Tabla1[[#This Row],[PROGRAMA]],Hoja1!A:B,2,FALSE)</f>
        <v>3261. Servicios complementarios de educación</v>
      </c>
      <c r="W4472" s="35" t="str">
        <f>MID(Tabla1[[#This Row],[Aplicación]],14,2)</f>
        <v>22</v>
      </c>
      <c r="X4472" s="35" t="str">
        <f>MID(Tabla1[[#This Row],[Aplicación]],14,6)</f>
        <v>22799</v>
      </c>
    </row>
    <row r="4473" spans="1:24" x14ac:dyDescent="0.25">
      <c r="A4473" s="45">
        <v>220210059407</v>
      </c>
      <c r="B4473" s="46" t="s">
        <v>9</v>
      </c>
      <c r="C4473" s="47">
        <v>44467</v>
      </c>
      <c r="D4473" s="45">
        <v>22021006694</v>
      </c>
      <c r="E4473" s="46" t="s">
        <v>944</v>
      </c>
      <c r="F4473" s="48">
        <v>816.69</v>
      </c>
      <c r="G4473" s="46" t="s">
        <v>105</v>
      </c>
      <c r="H4473" s="46" t="s">
        <v>6121</v>
      </c>
      <c r="I4473" s="45" t="s">
        <v>125</v>
      </c>
      <c r="J4473" s="46" t="s">
        <v>127</v>
      </c>
      <c r="K4473" s="46" t="s">
        <v>127</v>
      </c>
      <c r="L4473" s="46" t="s">
        <v>15</v>
      </c>
      <c r="M4473" s="46" t="s">
        <v>10</v>
      </c>
      <c r="N4473" s="46" t="s">
        <v>11</v>
      </c>
      <c r="O4473" s="49" t="s">
        <v>815</v>
      </c>
      <c r="P4473" s="49" t="s">
        <v>4910</v>
      </c>
      <c r="Q4473" s="35" t="str">
        <f>MID(Tabla1[[#This Row],[Aplicación]],14,1)</f>
        <v>2</v>
      </c>
      <c r="R4473" s="35" t="s">
        <v>495</v>
      </c>
      <c r="S4473" s="35" t="str">
        <f>MID(Tabla1[[#This Row],[Aplicación]],6,2)</f>
        <v>11</v>
      </c>
      <c r="T4473" s="35" t="str">
        <f>VLOOKUP(Tabla1[[#This Row],[AREA]],Hoja1!A:B,2,FALSE)</f>
        <v>11. Salud pública y seguridad ciudadana</v>
      </c>
      <c r="U4473" s="35" t="str">
        <f>MID(Tabla1[[#This Row],[Aplicación]],9,4)</f>
        <v>1621</v>
      </c>
      <c r="V4473" s="35" t="str">
        <f>VLOOKUP(Tabla1[[#This Row],[PROGRAMA]],Hoja1!A:B,2,FALSE)</f>
        <v>1621. Servicio de limpieza</v>
      </c>
      <c r="W4473" s="35" t="str">
        <f>MID(Tabla1[[#This Row],[Aplicación]],14,2)</f>
        <v>21</v>
      </c>
      <c r="X4473" s="35" t="str">
        <f>MID(Tabla1[[#This Row],[Aplicación]],14,6)</f>
        <v>213</v>
      </c>
    </row>
    <row r="4474" spans="1:24" x14ac:dyDescent="0.25">
      <c r="A4474" s="45">
        <v>220210058843</v>
      </c>
      <c r="B4474" s="46" t="s">
        <v>204</v>
      </c>
      <c r="C4474" s="47">
        <v>44462</v>
      </c>
      <c r="D4474" s="45">
        <v>22021002369</v>
      </c>
      <c r="E4474" s="46" t="s">
        <v>1336</v>
      </c>
      <c r="F4474" s="48">
        <v>594.05999999999995</v>
      </c>
      <c r="G4474" s="46" t="s">
        <v>235</v>
      </c>
      <c r="H4474" s="46" t="s">
        <v>6122</v>
      </c>
      <c r="I4474" s="45" t="s">
        <v>205</v>
      </c>
      <c r="J4474" s="46" t="s">
        <v>742</v>
      </c>
      <c r="K4474" s="46" t="s">
        <v>165</v>
      </c>
      <c r="L4474" s="46" t="s">
        <v>15</v>
      </c>
      <c r="M4474" s="46" t="s">
        <v>13</v>
      </c>
      <c r="N4474" s="46" t="s">
        <v>14</v>
      </c>
      <c r="O4474" s="49" t="s">
        <v>814</v>
      </c>
      <c r="P4474" s="49" t="s">
        <v>4910</v>
      </c>
      <c r="Q4474" s="35" t="str">
        <f>MID(Tabla1[[#This Row],[Aplicación]],14,1)</f>
        <v>2</v>
      </c>
      <c r="R4474" s="35" t="s">
        <v>495</v>
      </c>
      <c r="S4474" s="35" t="str">
        <f>MID(Tabla1[[#This Row],[Aplicación]],6,2)</f>
        <v>02</v>
      </c>
      <c r="T4474" s="35" t="str">
        <f>VLOOKUP(Tabla1[[#This Row],[AREA]],Hoja1!A:B,2,FALSE)</f>
        <v>02. Planeamiento urbanístico y vivienda</v>
      </c>
      <c r="U4474" s="35" t="str">
        <f>MID(Tabla1[[#This Row],[Aplicación]],9,4)</f>
        <v>9332</v>
      </c>
      <c r="V4474" s="35" t="str">
        <f>VLOOKUP(Tabla1[[#This Row],[PROGRAMA]],Hoja1!A:B,2,FALSE)</f>
        <v>9332. Mantenimiento de edificios e instalaciones municipales</v>
      </c>
      <c r="W4474" s="35" t="str">
        <f>MID(Tabla1[[#This Row],[Aplicación]],14,2)</f>
        <v>21</v>
      </c>
      <c r="X4474" s="35" t="str">
        <f>MID(Tabla1[[#This Row],[Aplicación]],14,6)</f>
        <v>212</v>
      </c>
    </row>
    <row r="4475" spans="1:24" x14ac:dyDescent="0.25">
      <c r="A4475" s="45">
        <v>220210057791</v>
      </c>
      <c r="B4475" s="46" t="s">
        <v>204</v>
      </c>
      <c r="C4475" s="47">
        <v>44459</v>
      </c>
      <c r="D4475" s="45">
        <v>22021002449</v>
      </c>
      <c r="E4475" s="46" t="s">
        <v>1724</v>
      </c>
      <c r="F4475" s="48">
        <v>5391.29</v>
      </c>
      <c r="G4475" s="46" t="s">
        <v>263</v>
      </c>
      <c r="H4475" s="46" t="s">
        <v>1725</v>
      </c>
      <c r="I4475" s="45" t="s">
        <v>205</v>
      </c>
      <c r="J4475" s="46" t="s">
        <v>127</v>
      </c>
      <c r="K4475" s="46" t="s">
        <v>127</v>
      </c>
      <c r="L4475" s="46" t="s">
        <v>15</v>
      </c>
      <c r="M4475" s="46" t="s">
        <v>13</v>
      </c>
      <c r="N4475" s="46" t="s">
        <v>14</v>
      </c>
      <c r="O4475" s="49" t="s">
        <v>814</v>
      </c>
      <c r="P4475" s="49" t="s">
        <v>4910</v>
      </c>
      <c r="Q4475" s="35" t="str">
        <f>MID(Tabla1[[#This Row],[Aplicación]],14,1)</f>
        <v>6</v>
      </c>
      <c r="R4475" s="35" t="s">
        <v>496</v>
      </c>
      <c r="S4475" s="35" t="str">
        <f>MID(Tabla1[[#This Row],[Aplicación]],6,2)</f>
        <v>07</v>
      </c>
      <c r="T4475" s="35" t="str">
        <f>VLOOKUP(Tabla1[[#This Row],[AREA]],Hoja1!A:B,2,FALSE)</f>
        <v>07. Medio ambiente y desarrollo sostenible</v>
      </c>
      <c r="U4475" s="35" t="str">
        <f>MID(Tabla1[[#This Row],[Aplicación]],9,4)</f>
        <v>1711</v>
      </c>
      <c r="V4475" s="35" t="str">
        <f>VLOOKUP(Tabla1[[#This Row],[PROGRAMA]],Hoja1!A:B,2,FALSE)</f>
        <v>1711. Parques y jardines</v>
      </c>
      <c r="W4475" s="35" t="str">
        <f>MID(Tabla1[[#This Row],[Aplicación]],14,2)</f>
        <v>61</v>
      </c>
      <c r="X4475" s="35" t="str">
        <f>MID(Tabla1[[#This Row],[Aplicación]],14,6)</f>
        <v>619</v>
      </c>
    </row>
    <row r="4476" spans="1:24" x14ac:dyDescent="0.25">
      <c r="A4476" s="45">
        <v>220210056700</v>
      </c>
      <c r="B4476" s="46" t="s">
        <v>204</v>
      </c>
      <c r="C4476" s="47">
        <v>44455</v>
      </c>
      <c r="D4476" s="45">
        <v>22021001275</v>
      </c>
      <c r="E4476" s="46" t="s">
        <v>1334</v>
      </c>
      <c r="F4476" s="48">
        <v>8.1300000000000008</v>
      </c>
      <c r="G4476" s="46" t="s">
        <v>274</v>
      </c>
      <c r="H4476" s="46" t="s">
        <v>6123</v>
      </c>
      <c r="I4476" s="45" t="s">
        <v>205</v>
      </c>
      <c r="J4476" s="46" t="s">
        <v>127</v>
      </c>
      <c r="K4476" s="46" t="s">
        <v>127</v>
      </c>
      <c r="L4476" s="46" t="s">
        <v>15</v>
      </c>
      <c r="M4476" s="46" t="s">
        <v>13</v>
      </c>
      <c r="N4476" s="46" t="s">
        <v>14</v>
      </c>
      <c r="O4476" s="49" t="s">
        <v>814</v>
      </c>
      <c r="P4476" s="49" t="s">
        <v>4910</v>
      </c>
      <c r="Q4476" s="35" t="str">
        <f>MID(Tabla1[[#This Row],[Aplicación]],14,1)</f>
        <v>2</v>
      </c>
      <c r="R4476" s="35" t="s">
        <v>495</v>
      </c>
      <c r="S4476" s="35" t="str">
        <f>MID(Tabla1[[#This Row],[Aplicación]],6,2)</f>
        <v>07</v>
      </c>
      <c r="T4476" s="35" t="str">
        <f>VLOOKUP(Tabla1[[#This Row],[AREA]],Hoja1!A:B,2,FALSE)</f>
        <v>07. Medio ambiente y desarrollo sostenible</v>
      </c>
      <c r="U4476" s="35" t="str">
        <f>MID(Tabla1[[#This Row],[Aplicación]],9,4)</f>
        <v>1711</v>
      </c>
      <c r="V4476" s="35" t="str">
        <f>VLOOKUP(Tabla1[[#This Row],[PROGRAMA]],Hoja1!A:B,2,FALSE)</f>
        <v>1711. Parques y jardines</v>
      </c>
      <c r="W4476" s="35" t="str">
        <f>MID(Tabla1[[#This Row],[Aplicación]],14,2)</f>
        <v>22</v>
      </c>
      <c r="X4476" s="35" t="str">
        <f>MID(Tabla1[[#This Row],[Aplicación]],14,6)</f>
        <v>22199</v>
      </c>
    </row>
    <row r="4477" spans="1:24" x14ac:dyDescent="0.25">
      <c r="A4477" s="45">
        <v>220210056802</v>
      </c>
      <c r="B4477" s="46" t="s">
        <v>204</v>
      </c>
      <c r="C4477" s="47">
        <v>44455</v>
      </c>
      <c r="D4477" s="45">
        <v>22021005946</v>
      </c>
      <c r="E4477" s="46" t="s">
        <v>1167</v>
      </c>
      <c r="F4477" s="48">
        <v>1131.96</v>
      </c>
      <c r="G4477" s="46" t="s">
        <v>563</v>
      </c>
      <c r="H4477" s="46" t="s">
        <v>6124</v>
      </c>
      <c r="I4477" s="45" t="s">
        <v>205</v>
      </c>
      <c r="J4477" s="46" t="s">
        <v>127</v>
      </c>
      <c r="K4477" s="46" t="s">
        <v>127</v>
      </c>
      <c r="L4477" s="46" t="s">
        <v>12</v>
      </c>
      <c r="M4477" s="46" t="s">
        <v>13</v>
      </c>
      <c r="N4477" s="46" t="s">
        <v>14</v>
      </c>
      <c r="O4477" s="49" t="s">
        <v>814</v>
      </c>
      <c r="P4477" s="49" t="s">
        <v>4910</v>
      </c>
      <c r="Q4477" s="35" t="str">
        <f>MID(Tabla1[[#This Row],[Aplicación]],14,1)</f>
        <v>2</v>
      </c>
      <c r="R4477" s="35" t="s">
        <v>495</v>
      </c>
      <c r="S4477" s="35" t="str">
        <f>MID(Tabla1[[#This Row],[Aplicación]],6,2)</f>
        <v>11</v>
      </c>
      <c r="T4477" s="35" t="str">
        <f>VLOOKUP(Tabla1[[#This Row],[AREA]],Hoja1!A:B,2,FALSE)</f>
        <v>11. Salud pública y seguridad ciudadana</v>
      </c>
      <c r="U4477" s="35" t="str">
        <f>MID(Tabla1[[#This Row],[Aplicación]],9,4)</f>
        <v>1321</v>
      </c>
      <c r="V4477" s="35" t="str">
        <f>VLOOKUP(Tabla1[[#This Row],[PROGRAMA]],Hoja1!A:B,2,FALSE)</f>
        <v>1321. Policía municipal</v>
      </c>
      <c r="W4477" s="35" t="str">
        <f>MID(Tabla1[[#This Row],[Aplicación]],14,2)</f>
        <v>21</v>
      </c>
      <c r="X4477" s="35" t="str">
        <f>MID(Tabla1[[#This Row],[Aplicación]],14,6)</f>
        <v>214</v>
      </c>
    </row>
    <row r="4478" spans="1:24" x14ac:dyDescent="0.25">
      <c r="A4478" s="45">
        <v>220210056757</v>
      </c>
      <c r="B4478" s="46" t="s">
        <v>204</v>
      </c>
      <c r="C4478" s="47">
        <v>44455</v>
      </c>
      <c r="D4478" s="45">
        <v>22021001967</v>
      </c>
      <c r="E4478" s="46" t="s">
        <v>1167</v>
      </c>
      <c r="F4478" s="48">
        <v>179.27</v>
      </c>
      <c r="G4478" s="46" t="s">
        <v>246</v>
      </c>
      <c r="H4478" s="46" t="s">
        <v>5788</v>
      </c>
      <c r="I4478" s="45" t="s">
        <v>205</v>
      </c>
      <c r="J4478" s="46" t="s">
        <v>127</v>
      </c>
      <c r="K4478" s="46" t="s">
        <v>127</v>
      </c>
      <c r="L4478" s="46" t="s">
        <v>15</v>
      </c>
      <c r="M4478" s="46" t="s">
        <v>13</v>
      </c>
      <c r="N4478" s="46" t="s">
        <v>14</v>
      </c>
      <c r="O4478" s="49" t="s">
        <v>814</v>
      </c>
      <c r="P4478" s="49" t="s">
        <v>4910</v>
      </c>
      <c r="Q4478" s="35" t="str">
        <f>MID(Tabla1[[#This Row],[Aplicación]],14,1)</f>
        <v>2</v>
      </c>
      <c r="R4478" s="35" t="s">
        <v>495</v>
      </c>
      <c r="S4478" s="35" t="str">
        <f>MID(Tabla1[[#This Row],[Aplicación]],6,2)</f>
        <v>11</v>
      </c>
      <c r="T4478" s="35" t="str">
        <f>VLOOKUP(Tabla1[[#This Row],[AREA]],Hoja1!A:B,2,FALSE)</f>
        <v>11. Salud pública y seguridad ciudadana</v>
      </c>
      <c r="U4478" s="35" t="str">
        <f>MID(Tabla1[[#This Row],[Aplicación]],9,4)</f>
        <v>1321</v>
      </c>
      <c r="V4478" s="35" t="str">
        <f>VLOOKUP(Tabla1[[#This Row],[PROGRAMA]],Hoja1!A:B,2,FALSE)</f>
        <v>1321. Policía municipal</v>
      </c>
      <c r="W4478" s="35" t="str">
        <f>MID(Tabla1[[#This Row],[Aplicación]],14,2)</f>
        <v>21</v>
      </c>
      <c r="X4478" s="35" t="str">
        <f>MID(Tabla1[[#This Row],[Aplicación]],14,6)</f>
        <v>214</v>
      </c>
    </row>
    <row r="4479" spans="1:24" x14ac:dyDescent="0.25">
      <c r="A4479" s="45">
        <v>220210056674</v>
      </c>
      <c r="B4479" s="46" t="s">
        <v>204</v>
      </c>
      <c r="C4479" s="47">
        <v>44455</v>
      </c>
      <c r="D4479" s="45">
        <v>22021001967</v>
      </c>
      <c r="E4479" s="46" t="s">
        <v>1167</v>
      </c>
      <c r="F4479" s="48">
        <v>261.36</v>
      </c>
      <c r="G4479" s="46" t="s">
        <v>265</v>
      </c>
      <c r="H4479" s="46" t="s">
        <v>6125</v>
      </c>
      <c r="I4479" s="45" t="s">
        <v>205</v>
      </c>
      <c r="J4479" s="46" t="s">
        <v>157</v>
      </c>
      <c r="K4479" s="46" t="s">
        <v>157</v>
      </c>
      <c r="L4479" s="46" t="s">
        <v>15</v>
      </c>
      <c r="M4479" s="46" t="s">
        <v>13</v>
      </c>
      <c r="N4479" s="46" t="s">
        <v>14</v>
      </c>
      <c r="O4479" s="49" t="s">
        <v>814</v>
      </c>
      <c r="P4479" s="49" t="s">
        <v>4910</v>
      </c>
      <c r="Q4479" s="35" t="str">
        <f>MID(Tabla1[[#This Row],[Aplicación]],14,1)</f>
        <v>2</v>
      </c>
      <c r="R4479" s="35" t="s">
        <v>495</v>
      </c>
      <c r="S4479" s="35" t="str">
        <f>MID(Tabla1[[#This Row],[Aplicación]],6,2)</f>
        <v>11</v>
      </c>
      <c r="T4479" s="35" t="str">
        <f>VLOOKUP(Tabla1[[#This Row],[AREA]],Hoja1!A:B,2,FALSE)</f>
        <v>11. Salud pública y seguridad ciudadana</v>
      </c>
      <c r="U4479" s="35" t="str">
        <f>MID(Tabla1[[#This Row],[Aplicación]],9,4)</f>
        <v>1321</v>
      </c>
      <c r="V4479" s="35" t="str">
        <f>VLOOKUP(Tabla1[[#This Row],[PROGRAMA]],Hoja1!A:B,2,FALSE)</f>
        <v>1321. Policía municipal</v>
      </c>
      <c r="W4479" s="35" t="str">
        <f>MID(Tabla1[[#This Row],[Aplicación]],14,2)</f>
        <v>21</v>
      </c>
      <c r="X4479" s="35" t="str">
        <f>MID(Tabla1[[#This Row],[Aplicación]],14,6)</f>
        <v>214</v>
      </c>
    </row>
    <row r="4480" spans="1:24" x14ac:dyDescent="0.25">
      <c r="A4480" s="45">
        <v>220210058938</v>
      </c>
      <c r="B4480" s="46" t="s">
        <v>9</v>
      </c>
      <c r="C4480" s="47">
        <v>44462</v>
      </c>
      <c r="D4480" s="45">
        <v>22021006593</v>
      </c>
      <c r="E4480" s="46" t="s">
        <v>1263</v>
      </c>
      <c r="F4480" s="48">
        <v>550</v>
      </c>
      <c r="G4480" s="46" t="s">
        <v>105</v>
      </c>
      <c r="H4480" s="46" t="s">
        <v>6126</v>
      </c>
      <c r="I4480" s="45" t="s">
        <v>125</v>
      </c>
      <c r="J4480" s="46" t="s">
        <v>127</v>
      </c>
      <c r="K4480" s="46" t="s">
        <v>127</v>
      </c>
      <c r="L4480" s="46" t="s">
        <v>15</v>
      </c>
      <c r="M4480" s="46" t="s">
        <v>10</v>
      </c>
      <c r="N4480" s="46" t="s">
        <v>14</v>
      </c>
      <c r="O4480" s="49" t="s">
        <v>815</v>
      </c>
      <c r="P4480" s="49" t="s">
        <v>4910</v>
      </c>
      <c r="Q4480" s="35" t="str">
        <f>MID(Tabla1[[#This Row],[Aplicación]],14,1)</f>
        <v>2</v>
      </c>
      <c r="R4480" s="35" t="s">
        <v>495</v>
      </c>
      <c r="S4480" s="35" t="str">
        <f>MID(Tabla1[[#This Row],[Aplicación]],6,2)</f>
        <v>02</v>
      </c>
      <c r="T4480" s="35" t="str">
        <f>VLOOKUP(Tabla1[[#This Row],[AREA]],Hoja1!A:B,2,FALSE)</f>
        <v>02. Planeamiento urbanístico y vivienda</v>
      </c>
      <c r="U4480" s="35" t="str">
        <f>MID(Tabla1[[#This Row],[Aplicación]],9,4)</f>
        <v>9332</v>
      </c>
      <c r="V4480" s="35" t="str">
        <f>VLOOKUP(Tabla1[[#This Row],[PROGRAMA]],Hoja1!A:B,2,FALSE)</f>
        <v>9332. Mantenimiento de edificios e instalaciones municipales</v>
      </c>
      <c r="W4480" s="35" t="str">
        <f>MID(Tabla1[[#This Row],[Aplicación]],14,2)</f>
        <v>21</v>
      </c>
      <c r="X4480" s="35" t="str">
        <f>MID(Tabla1[[#This Row],[Aplicación]],14,6)</f>
        <v>213</v>
      </c>
    </row>
    <row r="4481" spans="1:24" x14ac:dyDescent="0.25">
      <c r="A4481" s="45">
        <v>220210058651</v>
      </c>
      <c r="B4481" s="46" t="s">
        <v>204</v>
      </c>
      <c r="C4481" s="47">
        <v>44461</v>
      </c>
      <c r="D4481" s="45">
        <v>22021002371</v>
      </c>
      <c r="E4481" s="46" t="s">
        <v>1336</v>
      </c>
      <c r="F4481" s="48">
        <v>211.15</v>
      </c>
      <c r="G4481" s="46" t="s">
        <v>150</v>
      </c>
      <c r="H4481" s="46" t="s">
        <v>6127</v>
      </c>
      <c r="I4481" s="45" t="s">
        <v>205</v>
      </c>
      <c r="J4481" s="46" t="s">
        <v>146</v>
      </c>
      <c r="K4481" s="46" t="s">
        <v>146</v>
      </c>
      <c r="L4481" s="46" t="s">
        <v>15</v>
      </c>
      <c r="M4481" s="46" t="s">
        <v>13</v>
      </c>
      <c r="N4481" s="46" t="s">
        <v>14</v>
      </c>
      <c r="O4481" s="49" t="s">
        <v>814</v>
      </c>
      <c r="P4481" s="49" t="s">
        <v>4910</v>
      </c>
      <c r="Q4481" s="35" t="str">
        <f>MID(Tabla1[[#This Row],[Aplicación]],14,1)</f>
        <v>2</v>
      </c>
      <c r="R4481" s="35" t="s">
        <v>495</v>
      </c>
      <c r="S4481" s="35" t="str">
        <f>MID(Tabla1[[#This Row],[Aplicación]],6,2)</f>
        <v>02</v>
      </c>
      <c r="T4481" s="35" t="str">
        <f>VLOOKUP(Tabla1[[#This Row],[AREA]],Hoja1!A:B,2,FALSE)</f>
        <v>02. Planeamiento urbanístico y vivienda</v>
      </c>
      <c r="U4481" s="35" t="str">
        <f>MID(Tabla1[[#This Row],[Aplicación]],9,4)</f>
        <v>9332</v>
      </c>
      <c r="V4481" s="35" t="str">
        <f>VLOOKUP(Tabla1[[#This Row],[PROGRAMA]],Hoja1!A:B,2,FALSE)</f>
        <v>9332. Mantenimiento de edificios e instalaciones municipales</v>
      </c>
      <c r="W4481" s="35" t="str">
        <f>MID(Tabla1[[#This Row],[Aplicación]],14,2)</f>
        <v>21</v>
      </c>
      <c r="X4481" s="35" t="str">
        <f>MID(Tabla1[[#This Row],[Aplicación]],14,6)</f>
        <v>212</v>
      </c>
    </row>
    <row r="4482" spans="1:24" x14ac:dyDescent="0.25">
      <c r="A4482" s="45">
        <v>220210058925</v>
      </c>
      <c r="B4482" s="46" t="s">
        <v>9</v>
      </c>
      <c r="C4482" s="47">
        <v>44462</v>
      </c>
      <c r="D4482" s="45">
        <v>22021006597</v>
      </c>
      <c r="E4482" s="46" t="s">
        <v>881</v>
      </c>
      <c r="F4482" s="48">
        <v>608.39</v>
      </c>
      <c r="G4482" s="46" t="s">
        <v>6128</v>
      </c>
      <c r="H4482" s="46" t="s">
        <v>6129</v>
      </c>
      <c r="I4482" s="45" t="s">
        <v>125</v>
      </c>
      <c r="J4482" s="46" t="s">
        <v>6130</v>
      </c>
      <c r="K4482" s="46" t="s">
        <v>6131</v>
      </c>
      <c r="L4482" s="46" t="s">
        <v>12</v>
      </c>
      <c r="M4482" s="46" t="s">
        <v>10</v>
      </c>
      <c r="N4482" s="46" t="s">
        <v>11</v>
      </c>
      <c r="O4482" s="49" t="s">
        <v>815</v>
      </c>
      <c r="P4482" s="49" t="s">
        <v>4910</v>
      </c>
      <c r="Q4482" s="35" t="str">
        <f>MID(Tabla1[[#This Row],[Aplicación]],14,1)</f>
        <v>2</v>
      </c>
      <c r="R4482" s="35" t="s">
        <v>495</v>
      </c>
      <c r="S4482" s="35" t="str">
        <f>MID(Tabla1[[#This Row],[Aplicación]],6,2)</f>
        <v>05</v>
      </c>
      <c r="T4482" s="35" t="str">
        <f>VLOOKUP(Tabla1[[#This Row],[AREA]],Hoja1!A:B,2,FALSE)</f>
        <v>05. Innovación, desarrollo económico, empleo y comercio</v>
      </c>
      <c r="U4482" s="35" t="str">
        <f>MID(Tabla1[[#This Row],[Aplicación]],9,4)</f>
        <v>4331</v>
      </c>
      <c r="V4482" s="35" t="str">
        <f>VLOOKUP(Tabla1[[#This Row],[PROGRAMA]],Hoja1!A:B,2,FALSE)</f>
        <v>4331. Desarrollo empresarial</v>
      </c>
      <c r="W4482" s="35" t="str">
        <f>MID(Tabla1[[#This Row],[Aplicación]],14,2)</f>
        <v>22</v>
      </c>
      <c r="X4482" s="35" t="str">
        <f>MID(Tabla1[[#This Row],[Aplicación]],14,6)</f>
        <v>22799</v>
      </c>
    </row>
    <row r="4483" spans="1:24" x14ac:dyDescent="0.25">
      <c r="A4483" s="45">
        <v>220210059028</v>
      </c>
      <c r="B4483" s="46" t="s">
        <v>9</v>
      </c>
      <c r="C4483" s="47">
        <v>44463</v>
      </c>
      <c r="D4483" s="45">
        <v>22021006564</v>
      </c>
      <c r="E4483" s="46" t="s">
        <v>3347</v>
      </c>
      <c r="F4483" s="48">
        <v>544.5</v>
      </c>
      <c r="G4483" s="46" t="s">
        <v>164</v>
      </c>
      <c r="H4483" s="46" t="s">
        <v>6132</v>
      </c>
      <c r="I4483" s="45" t="s">
        <v>125</v>
      </c>
      <c r="J4483" s="46" t="s">
        <v>127</v>
      </c>
      <c r="K4483" s="46" t="s">
        <v>127</v>
      </c>
      <c r="L4483" s="46" t="s">
        <v>12</v>
      </c>
      <c r="M4483" s="46" t="s">
        <v>10</v>
      </c>
      <c r="N4483" s="46" t="s">
        <v>11</v>
      </c>
      <c r="O4483" s="49" t="s">
        <v>815</v>
      </c>
      <c r="P4483" s="49" t="s">
        <v>4910</v>
      </c>
      <c r="Q4483" s="35" t="str">
        <f>MID(Tabla1[[#This Row],[Aplicación]],14,1)</f>
        <v>2</v>
      </c>
      <c r="R4483" s="35" t="s">
        <v>495</v>
      </c>
      <c r="S4483" s="35" t="str">
        <f>MID(Tabla1[[#This Row],[Aplicación]],6,2)</f>
        <v>06</v>
      </c>
      <c r="T4483" s="35" t="str">
        <f>VLOOKUP(Tabla1[[#This Row],[AREA]],Hoja1!A:B,2,FALSE)</f>
        <v>06. Educación, infancia, juventud e igualdad</v>
      </c>
      <c r="U4483" s="35" t="str">
        <f>MID(Tabla1[[#This Row],[Aplicación]],9,4)</f>
        <v>2315</v>
      </c>
      <c r="V4483" s="35" t="str">
        <f>VLOOKUP(Tabla1[[#This Row],[PROGRAMA]],Hoja1!A:B,2,FALSE)</f>
        <v>2315. Políticas de Igualdad e infancia</v>
      </c>
      <c r="W4483" s="35" t="str">
        <f>MID(Tabla1[[#This Row],[Aplicación]],14,2)</f>
        <v>22</v>
      </c>
      <c r="X4483" s="35" t="str">
        <f>MID(Tabla1[[#This Row],[Aplicación]],14,6)</f>
        <v>22614</v>
      </c>
    </row>
    <row r="4484" spans="1:24" x14ac:dyDescent="0.25">
      <c r="A4484" s="45">
        <v>220210062267</v>
      </c>
      <c r="B4484" s="46" t="s">
        <v>9</v>
      </c>
      <c r="C4484" s="47">
        <v>44469</v>
      </c>
      <c r="D4484" s="45">
        <v>22021006663</v>
      </c>
      <c r="E4484" s="46" t="s">
        <v>1499</v>
      </c>
      <c r="F4484" s="48">
        <v>998.25</v>
      </c>
      <c r="G4484" s="46" t="s">
        <v>6133</v>
      </c>
      <c r="H4484" s="46" t="s">
        <v>6134</v>
      </c>
      <c r="I4484" s="45" t="s">
        <v>125</v>
      </c>
      <c r="J4484" s="46" t="s">
        <v>650</v>
      </c>
      <c r="K4484" s="46" t="s">
        <v>127</v>
      </c>
      <c r="L4484" s="46" t="s">
        <v>17</v>
      </c>
      <c r="M4484" s="46" t="s">
        <v>10</v>
      </c>
      <c r="N4484" s="46" t="s">
        <v>11</v>
      </c>
      <c r="O4484" s="49" t="s">
        <v>815</v>
      </c>
      <c r="P4484" s="49" t="s">
        <v>4910</v>
      </c>
      <c r="Q4484" s="35" t="str">
        <f>MID(Tabla1[[#This Row],[Aplicación]],14,1)</f>
        <v>2</v>
      </c>
      <c r="R4484" s="35" t="s">
        <v>495</v>
      </c>
      <c r="S4484" s="35" t="str">
        <f>MID(Tabla1[[#This Row],[Aplicación]],6,2)</f>
        <v>09</v>
      </c>
      <c r="T4484" s="35" t="str">
        <f>VLOOKUP(Tabla1[[#This Row],[AREA]],Hoja1!A:B,2,FALSE)</f>
        <v>09. Cultura y turismo</v>
      </c>
      <c r="U4484" s="35" t="str">
        <f>MID(Tabla1[[#This Row],[Aplicación]],9,4)</f>
        <v>4321</v>
      </c>
      <c r="V4484" s="35" t="str">
        <f>VLOOKUP(Tabla1[[#This Row],[PROGRAMA]],Hoja1!A:B,2,FALSE)</f>
        <v>4321. Turismo</v>
      </c>
      <c r="W4484" s="35" t="str">
        <f>MID(Tabla1[[#This Row],[Aplicación]],14,2)</f>
        <v>22</v>
      </c>
      <c r="X4484" s="35" t="str">
        <f>MID(Tabla1[[#This Row],[Aplicación]],14,6)</f>
        <v>22799</v>
      </c>
    </row>
    <row r="4485" spans="1:24" x14ac:dyDescent="0.25">
      <c r="A4485" s="45">
        <v>220210058989</v>
      </c>
      <c r="B4485" s="46" t="s">
        <v>204</v>
      </c>
      <c r="C4485" s="47">
        <v>44463</v>
      </c>
      <c r="D4485" s="45">
        <v>22021001967</v>
      </c>
      <c r="E4485" s="46" t="s">
        <v>1167</v>
      </c>
      <c r="F4485" s="48">
        <v>224.91</v>
      </c>
      <c r="G4485" s="46" t="s">
        <v>265</v>
      </c>
      <c r="H4485" s="46" t="s">
        <v>6135</v>
      </c>
      <c r="I4485" s="45" t="s">
        <v>205</v>
      </c>
      <c r="J4485" s="46" t="s">
        <v>157</v>
      </c>
      <c r="K4485" s="46" t="s">
        <v>157</v>
      </c>
      <c r="L4485" s="46" t="s">
        <v>15</v>
      </c>
      <c r="M4485" s="46" t="s">
        <v>13</v>
      </c>
      <c r="N4485" s="46" t="s">
        <v>14</v>
      </c>
      <c r="O4485" s="49" t="s">
        <v>814</v>
      </c>
      <c r="P4485" s="49" t="s">
        <v>4910</v>
      </c>
      <c r="Q4485" s="35" t="str">
        <f>MID(Tabla1[[#This Row],[Aplicación]],14,1)</f>
        <v>2</v>
      </c>
      <c r="R4485" s="35" t="s">
        <v>495</v>
      </c>
      <c r="S4485" s="35" t="str">
        <f>MID(Tabla1[[#This Row],[Aplicación]],6,2)</f>
        <v>11</v>
      </c>
      <c r="T4485" s="35" t="str">
        <f>VLOOKUP(Tabla1[[#This Row],[AREA]],Hoja1!A:B,2,FALSE)</f>
        <v>11. Salud pública y seguridad ciudadana</v>
      </c>
      <c r="U4485" s="35" t="str">
        <f>MID(Tabla1[[#This Row],[Aplicación]],9,4)</f>
        <v>1321</v>
      </c>
      <c r="V4485" s="35" t="str">
        <f>VLOOKUP(Tabla1[[#This Row],[PROGRAMA]],Hoja1!A:B,2,FALSE)</f>
        <v>1321. Policía municipal</v>
      </c>
      <c r="W4485" s="35" t="str">
        <f>MID(Tabla1[[#This Row],[Aplicación]],14,2)</f>
        <v>21</v>
      </c>
      <c r="X4485" s="35" t="str">
        <f>MID(Tabla1[[#This Row],[Aplicación]],14,6)</f>
        <v>214</v>
      </c>
    </row>
    <row r="4486" spans="1:24" x14ac:dyDescent="0.25">
      <c r="A4486" s="45">
        <v>220210063161</v>
      </c>
      <c r="B4486" s="46" t="s">
        <v>204</v>
      </c>
      <c r="C4486" s="47">
        <v>44469</v>
      </c>
      <c r="D4486" s="45">
        <v>22021002371</v>
      </c>
      <c r="E4486" s="46" t="s">
        <v>1336</v>
      </c>
      <c r="F4486" s="48">
        <v>512.36</v>
      </c>
      <c r="G4486" s="46" t="s">
        <v>102</v>
      </c>
      <c r="H4486" s="46" t="s">
        <v>6136</v>
      </c>
      <c r="I4486" s="45" t="s">
        <v>205</v>
      </c>
      <c r="J4486" s="46" t="s">
        <v>127</v>
      </c>
      <c r="K4486" s="46" t="s">
        <v>127</v>
      </c>
      <c r="L4486" s="46" t="s">
        <v>15</v>
      </c>
      <c r="M4486" s="46" t="s">
        <v>13</v>
      </c>
      <c r="N4486" s="46" t="s">
        <v>14</v>
      </c>
      <c r="O4486" s="49" t="s">
        <v>814</v>
      </c>
      <c r="P4486" s="49" t="s">
        <v>4910</v>
      </c>
      <c r="Q4486" s="35" t="str">
        <f>MID(Tabla1[[#This Row],[Aplicación]],14,1)</f>
        <v>2</v>
      </c>
      <c r="R4486" s="35" t="s">
        <v>495</v>
      </c>
      <c r="S4486" s="35" t="str">
        <f>MID(Tabla1[[#This Row],[Aplicación]],6,2)</f>
        <v>02</v>
      </c>
      <c r="T4486" s="35" t="str">
        <f>VLOOKUP(Tabla1[[#This Row],[AREA]],Hoja1!A:B,2,FALSE)</f>
        <v>02. Planeamiento urbanístico y vivienda</v>
      </c>
      <c r="U4486" s="35" t="str">
        <f>MID(Tabla1[[#This Row],[Aplicación]],9,4)</f>
        <v>9332</v>
      </c>
      <c r="V4486" s="35" t="str">
        <f>VLOOKUP(Tabla1[[#This Row],[PROGRAMA]],Hoja1!A:B,2,FALSE)</f>
        <v>9332. Mantenimiento de edificios e instalaciones municipales</v>
      </c>
      <c r="W4486" s="35" t="str">
        <f>MID(Tabla1[[#This Row],[Aplicación]],14,2)</f>
        <v>21</v>
      </c>
      <c r="X4486" s="35" t="str">
        <f>MID(Tabla1[[#This Row],[Aplicación]],14,6)</f>
        <v>212</v>
      </c>
    </row>
    <row r="4487" spans="1:24" x14ac:dyDescent="0.25">
      <c r="A4487" s="45">
        <v>220210063183</v>
      </c>
      <c r="B4487" s="46" t="s">
        <v>204</v>
      </c>
      <c r="C4487" s="47">
        <v>44469</v>
      </c>
      <c r="D4487" s="45">
        <v>22021002132</v>
      </c>
      <c r="E4487" s="46" t="s">
        <v>1180</v>
      </c>
      <c r="F4487" s="48">
        <v>489.2</v>
      </c>
      <c r="G4487" s="46" t="s">
        <v>257</v>
      </c>
      <c r="H4487" s="46" t="s">
        <v>6137</v>
      </c>
      <c r="I4487" s="45" t="s">
        <v>205</v>
      </c>
      <c r="J4487" s="46" t="s">
        <v>127</v>
      </c>
      <c r="K4487" s="46" t="s">
        <v>127</v>
      </c>
      <c r="L4487" s="46" t="s">
        <v>15</v>
      </c>
      <c r="M4487" s="46" t="s">
        <v>13</v>
      </c>
      <c r="N4487" s="46" t="s">
        <v>14</v>
      </c>
      <c r="O4487" s="49" t="s">
        <v>814</v>
      </c>
      <c r="P4487" s="49" t="s">
        <v>4910</v>
      </c>
      <c r="Q4487" s="35" t="str">
        <f>MID(Tabla1[[#This Row],[Aplicación]],14,1)</f>
        <v>2</v>
      </c>
      <c r="R4487" s="35" t="s">
        <v>495</v>
      </c>
      <c r="S4487" s="35" t="str">
        <f>MID(Tabla1[[#This Row],[Aplicación]],6,2)</f>
        <v>08</v>
      </c>
      <c r="T4487" s="35" t="str">
        <f>VLOOKUP(Tabla1[[#This Row],[AREA]],Hoja1!A:B,2,FALSE)</f>
        <v>08. Movilidad y espacio urbano</v>
      </c>
      <c r="U4487" s="35" t="str">
        <f>MID(Tabla1[[#This Row],[Aplicación]],9,4)</f>
        <v>1532</v>
      </c>
      <c r="V4487" s="35" t="str">
        <f>VLOOKUP(Tabla1[[#This Row],[PROGRAMA]],Hoja1!A:B,2,FALSE)</f>
        <v>1532. Pavimentación vias públicas y otros servicios urbanísticos</v>
      </c>
      <c r="W4487" s="35" t="str">
        <f>MID(Tabla1[[#This Row],[Aplicación]],14,2)</f>
        <v>21</v>
      </c>
      <c r="X4487" s="35" t="str">
        <f>MID(Tabla1[[#This Row],[Aplicación]],14,6)</f>
        <v>210</v>
      </c>
    </row>
    <row r="4488" spans="1:24" x14ac:dyDescent="0.25">
      <c r="A4488" s="45">
        <v>220210056537</v>
      </c>
      <c r="B4488" s="46" t="s">
        <v>204</v>
      </c>
      <c r="C4488" s="47">
        <v>44455</v>
      </c>
      <c r="D4488" s="45">
        <v>22021003381</v>
      </c>
      <c r="E4488" s="46" t="s">
        <v>1183</v>
      </c>
      <c r="F4488" s="48">
        <v>475.41</v>
      </c>
      <c r="G4488" s="46" t="s">
        <v>263</v>
      </c>
      <c r="H4488" s="46" t="s">
        <v>6138</v>
      </c>
      <c r="I4488" s="45" t="s">
        <v>205</v>
      </c>
      <c r="J4488" s="46" t="s">
        <v>127</v>
      </c>
      <c r="K4488" s="46" t="s">
        <v>127</v>
      </c>
      <c r="L4488" s="46" t="s">
        <v>15</v>
      </c>
      <c r="M4488" s="46" t="s">
        <v>13</v>
      </c>
      <c r="N4488" s="46" t="s">
        <v>14</v>
      </c>
      <c r="O4488" s="49" t="s">
        <v>814</v>
      </c>
      <c r="P4488" s="49" t="s">
        <v>4910</v>
      </c>
      <c r="Q4488" s="35" t="str">
        <f>MID(Tabla1[[#This Row],[Aplicación]],14,1)</f>
        <v>2</v>
      </c>
      <c r="R4488" s="35" t="s">
        <v>495</v>
      </c>
      <c r="S4488" s="35" t="str">
        <f>MID(Tabla1[[#This Row],[Aplicación]],6,2)</f>
        <v>11</v>
      </c>
      <c r="T4488" s="35" t="str">
        <f>VLOOKUP(Tabla1[[#This Row],[AREA]],Hoja1!A:B,2,FALSE)</f>
        <v>11. Salud pública y seguridad ciudadana</v>
      </c>
      <c r="U4488" s="35" t="str">
        <f>MID(Tabla1[[#This Row],[Aplicación]],9,4)</f>
        <v>1361</v>
      </c>
      <c r="V4488" s="35" t="str">
        <f>VLOOKUP(Tabla1[[#This Row],[PROGRAMA]],Hoja1!A:B,2,FALSE)</f>
        <v>1361. Prevención y extinción de incencios</v>
      </c>
      <c r="W4488" s="35" t="str">
        <f>MID(Tabla1[[#This Row],[Aplicación]],14,2)</f>
        <v>22</v>
      </c>
      <c r="X4488" s="35" t="str">
        <f>MID(Tabla1[[#This Row],[Aplicación]],14,6)</f>
        <v>22199</v>
      </c>
    </row>
    <row r="4489" spans="1:24" x14ac:dyDescent="0.25">
      <c r="A4489" s="45">
        <v>220210058247</v>
      </c>
      <c r="B4489" s="46" t="s">
        <v>9</v>
      </c>
      <c r="C4489" s="47">
        <v>44459</v>
      </c>
      <c r="D4489" s="45">
        <v>22021006501</v>
      </c>
      <c r="E4489" s="46" t="s">
        <v>844</v>
      </c>
      <c r="F4489" s="48">
        <v>89.54</v>
      </c>
      <c r="G4489" s="46" t="s">
        <v>6139</v>
      </c>
      <c r="H4489" s="46" t="s">
        <v>6140</v>
      </c>
      <c r="I4489" s="45" t="s">
        <v>125</v>
      </c>
      <c r="J4489" s="46" t="s">
        <v>674</v>
      </c>
      <c r="K4489" s="46" t="s">
        <v>127</v>
      </c>
      <c r="L4489" s="46" t="s">
        <v>15</v>
      </c>
      <c r="M4489" s="46" t="s">
        <v>10</v>
      </c>
      <c r="N4489" s="46" t="s">
        <v>11</v>
      </c>
      <c r="O4489" s="49" t="s">
        <v>815</v>
      </c>
      <c r="P4489" s="49" t="s">
        <v>4910</v>
      </c>
      <c r="Q4489" s="35" t="str">
        <f>MID(Tabla1[[#This Row],[Aplicación]],14,1)</f>
        <v>2</v>
      </c>
      <c r="R4489" s="35" t="s">
        <v>495</v>
      </c>
      <c r="S4489" s="35" t="str">
        <f>MID(Tabla1[[#This Row],[Aplicación]],6,2)</f>
        <v>10</v>
      </c>
      <c r="T4489" s="35" t="str">
        <f>VLOOKUP(Tabla1[[#This Row],[AREA]],Hoja1!A:B,2,FALSE)</f>
        <v>10. Servicios sociales y mediación comunitaria</v>
      </c>
      <c r="U4489" s="35" t="str">
        <f>MID(Tabla1[[#This Row],[Aplicación]],9,4)</f>
        <v>2312</v>
      </c>
      <c r="V4489" s="35" t="str">
        <f>VLOOKUP(Tabla1[[#This Row],[PROGRAMA]],Hoja1!A:B,2,FALSE)</f>
        <v>2312. Iniciativas sociales</v>
      </c>
      <c r="W4489" s="35" t="str">
        <f>MID(Tabla1[[#This Row],[Aplicación]],14,2)</f>
        <v>21</v>
      </c>
      <c r="X4489" s="35" t="str">
        <f>MID(Tabla1[[#This Row],[Aplicación]],14,6)</f>
        <v>212</v>
      </c>
    </row>
    <row r="4490" spans="1:24" x14ac:dyDescent="0.25">
      <c r="A4490" s="45">
        <v>220210059130</v>
      </c>
      <c r="B4490" s="46" t="s">
        <v>32</v>
      </c>
      <c r="C4490" s="47">
        <v>44466</v>
      </c>
      <c r="D4490" s="45">
        <v>22021006632</v>
      </c>
      <c r="E4490" s="46" t="s">
        <v>3311</v>
      </c>
      <c r="F4490" s="48">
        <v>8135.12</v>
      </c>
      <c r="G4490" s="46" t="s">
        <v>4930</v>
      </c>
      <c r="H4490" s="46" t="s">
        <v>6141</v>
      </c>
      <c r="I4490" s="45" t="s">
        <v>234</v>
      </c>
      <c r="J4490" s="46" t="s">
        <v>126</v>
      </c>
      <c r="K4490" s="46" t="s">
        <v>126</v>
      </c>
      <c r="L4490" s="46" t="s">
        <v>31</v>
      </c>
      <c r="M4490" s="46" t="s">
        <v>13</v>
      </c>
      <c r="N4490" s="46" t="s">
        <v>14</v>
      </c>
      <c r="O4490" s="49" t="s">
        <v>803</v>
      </c>
      <c r="P4490" s="49" t="s">
        <v>4910</v>
      </c>
      <c r="Q4490" s="35" t="str">
        <f>MID(Tabla1[[#This Row],[Aplicación]],14,1)</f>
        <v>8</v>
      </c>
      <c r="R4490" s="35" t="s">
        <v>497</v>
      </c>
      <c r="S4490" s="35" t="str">
        <f>MID(Tabla1[[#This Row],[Aplicación]],6,2)</f>
        <v>08</v>
      </c>
      <c r="T4490" s="35" t="str">
        <f>VLOOKUP(Tabla1[[#This Row],[AREA]],Hoja1!A:B,2,FALSE)</f>
        <v>08. Movilidad y espacio urbano</v>
      </c>
      <c r="U4490" s="35" t="str">
        <f>MID(Tabla1[[#This Row],[Aplicación]],9,4)</f>
        <v>1513</v>
      </c>
      <c r="V4490" s="35" t="str">
        <f>VLOOKUP(Tabla1[[#This Row],[PROGRAMA]],Hoja1!A:B,2,FALSE)</f>
        <v>1513. Licencias urbanísticas</v>
      </c>
      <c r="W4490" s="35" t="str">
        <f>MID(Tabla1[[#This Row],[Aplicación]],14,2)</f>
        <v>83</v>
      </c>
      <c r="X4490" s="35" t="str">
        <f>MID(Tabla1[[#This Row],[Aplicación]],14,6)</f>
        <v>83100</v>
      </c>
    </row>
    <row r="4491" spans="1:24" x14ac:dyDescent="0.25">
      <c r="A4491" s="45">
        <v>220210056575</v>
      </c>
      <c r="B4491" s="46" t="s">
        <v>204</v>
      </c>
      <c r="C4491" s="47">
        <v>44455</v>
      </c>
      <c r="D4491" s="45">
        <v>22021001183</v>
      </c>
      <c r="E4491" s="46" t="s">
        <v>873</v>
      </c>
      <c r="F4491" s="48">
        <v>442.3</v>
      </c>
      <c r="G4491" s="46" t="s">
        <v>257</v>
      </c>
      <c r="H4491" s="46" t="s">
        <v>6142</v>
      </c>
      <c r="I4491" s="45" t="s">
        <v>205</v>
      </c>
      <c r="J4491" s="46" t="s">
        <v>127</v>
      </c>
      <c r="K4491" s="46" t="s">
        <v>127</v>
      </c>
      <c r="L4491" s="46" t="s">
        <v>15</v>
      </c>
      <c r="M4491" s="46" t="s">
        <v>13</v>
      </c>
      <c r="N4491" s="46" t="s">
        <v>14</v>
      </c>
      <c r="O4491" s="49" t="s">
        <v>814</v>
      </c>
      <c r="P4491" s="49" t="s">
        <v>4910</v>
      </c>
      <c r="Q4491" s="35" t="str">
        <f>MID(Tabla1[[#This Row],[Aplicación]],14,1)</f>
        <v>2</v>
      </c>
      <c r="R4491" s="35" t="s">
        <v>495</v>
      </c>
      <c r="S4491" s="35" t="str">
        <f>MID(Tabla1[[#This Row],[Aplicación]],6,2)</f>
        <v>10</v>
      </c>
      <c r="T4491" s="35" t="str">
        <f>VLOOKUP(Tabla1[[#This Row],[AREA]],Hoja1!A:B,2,FALSE)</f>
        <v>10. Servicios sociales y mediación comunitaria</v>
      </c>
      <c r="U4491" s="35" t="str">
        <f>MID(Tabla1[[#This Row],[Aplicación]],9,4)</f>
        <v>2412</v>
      </c>
      <c r="V4491" s="35" t="str">
        <f>VLOOKUP(Tabla1[[#This Row],[PROGRAMA]],Hoja1!A:B,2,FALSE)</f>
        <v>2412. Formación para el empleo</v>
      </c>
      <c r="W4491" s="35" t="str">
        <f>MID(Tabla1[[#This Row],[Aplicación]],14,2)</f>
        <v>22</v>
      </c>
      <c r="X4491" s="35" t="str">
        <f>MID(Tabla1[[#This Row],[Aplicación]],14,6)</f>
        <v>22199</v>
      </c>
    </row>
    <row r="4492" spans="1:24" x14ac:dyDescent="0.25">
      <c r="A4492" s="45">
        <v>220210059131</v>
      </c>
      <c r="B4492" s="46" t="s">
        <v>32</v>
      </c>
      <c r="C4492" s="47">
        <v>44466</v>
      </c>
      <c r="D4492" s="45">
        <v>22021006633</v>
      </c>
      <c r="E4492" s="46" t="s">
        <v>3311</v>
      </c>
      <c r="F4492" s="48">
        <v>37.659999999999997</v>
      </c>
      <c r="G4492" s="46" t="s">
        <v>4930</v>
      </c>
      <c r="H4492" s="46" t="s">
        <v>6143</v>
      </c>
      <c r="I4492" s="45" t="s">
        <v>234</v>
      </c>
      <c r="J4492" s="46" t="s">
        <v>126</v>
      </c>
      <c r="K4492" s="46" t="s">
        <v>126</v>
      </c>
      <c r="L4492" s="46" t="s">
        <v>17</v>
      </c>
      <c r="M4492" s="46" t="s">
        <v>13</v>
      </c>
      <c r="N4492" s="46" t="s">
        <v>14</v>
      </c>
      <c r="O4492" s="49" t="s">
        <v>803</v>
      </c>
      <c r="P4492" s="49" t="s">
        <v>4910</v>
      </c>
      <c r="Q4492" s="35" t="str">
        <f>MID(Tabla1[[#This Row],[Aplicación]],14,1)</f>
        <v>8</v>
      </c>
      <c r="R4492" s="35" t="s">
        <v>497</v>
      </c>
      <c r="S4492" s="35" t="str">
        <f>MID(Tabla1[[#This Row],[Aplicación]],6,2)</f>
        <v>08</v>
      </c>
      <c r="T4492" s="35" t="str">
        <f>VLOOKUP(Tabla1[[#This Row],[AREA]],Hoja1!A:B,2,FALSE)</f>
        <v>08. Movilidad y espacio urbano</v>
      </c>
      <c r="U4492" s="35" t="str">
        <f>MID(Tabla1[[#This Row],[Aplicación]],9,4)</f>
        <v>1513</v>
      </c>
      <c r="V4492" s="35" t="str">
        <f>VLOOKUP(Tabla1[[#This Row],[PROGRAMA]],Hoja1!A:B,2,FALSE)</f>
        <v>1513. Licencias urbanísticas</v>
      </c>
      <c r="W4492" s="35" t="str">
        <f>MID(Tabla1[[#This Row],[Aplicación]],14,2)</f>
        <v>83</v>
      </c>
      <c r="X4492" s="35" t="str">
        <f>MID(Tabla1[[#This Row],[Aplicación]],14,6)</f>
        <v>83100</v>
      </c>
    </row>
    <row r="4493" spans="1:24" x14ac:dyDescent="0.25">
      <c r="A4493" s="45">
        <v>220210058666</v>
      </c>
      <c r="B4493" s="46" t="s">
        <v>204</v>
      </c>
      <c r="C4493" s="47">
        <v>44461</v>
      </c>
      <c r="D4493" s="45">
        <v>22021002371</v>
      </c>
      <c r="E4493" s="46" t="s">
        <v>1336</v>
      </c>
      <c r="F4493" s="48">
        <v>435.6</v>
      </c>
      <c r="G4493" s="46" t="s">
        <v>102</v>
      </c>
      <c r="H4493" s="46" t="s">
        <v>6144</v>
      </c>
      <c r="I4493" s="45" t="s">
        <v>205</v>
      </c>
      <c r="J4493" s="46" t="s">
        <v>127</v>
      </c>
      <c r="K4493" s="46" t="s">
        <v>127</v>
      </c>
      <c r="L4493" s="46" t="s">
        <v>15</v>
      </c>
      <c r="M4493" s="46" t="s">
        <v>13</v>
      </c>
      <c r="N4493" s="46" t="s">
        <v>14</v>
      </c>
      <c r="O4493" s="49" t="s">
        <v>814</v>
      </c>
      <c r="P4493" s="49" t="s">
        <v>4910</v>
      </c>
      <c r="Q4493" s="35" t="str">
        <f>MID(Tabla1[[#This Row],[Aplicación]],14,1)</f>
        <v>2</v>
      </c>
      <c r="R4493" s="35" t="s">
        <v>495</v>
      </c>
      <c r="S4493" s="35" t="str">
        <f>MID(Tabla1[[#This Row],[Aplicación]],6,2)</f>
        <v>02</v>
      </c>
      <c r="T4493" s="35" t="str">
        <f>VLOOKUP(Tabla1[[#This Row],[AREA]],Hoja1!A:B,2,FALSE)</f>
        <v>02. Planeamiento urbanístico y vivienda</v>
      </c>
      <c r="U4493" s="35" t="str">
        <f>MID(Tabla1[[#This Row],[Aplicación]],9,4)</f>
        <v>9332</v>
      </c>
      <c r="V4493" s="35" t="str">
        <f>VLOOKUP(Tabla1[[#This Row],[PROGRAMA]],Hoja1!A:B,2,FALSE)</f>
        <v>9332. Mantenimiento de edificios e instalaciones municipales</v>
      </c>
      <c r="W4493" s="35" t="str">
        <f>MID(Tabla1[[#This Row],[Aplicación]],14,2)</f>
        <v>21</v>
      </c>
      <c r="X4493" s="35" t="str">
        <f>MID(Tabla1[[#This Row],[Aplicación]],14,6)</f>
        <v>212</v>
      </c>
    </row>
    <row r="4494" spans="1:24" x14ac:dyDescent="0.25">
      <c r="A4494" s="45">
        <v>220210062266</v>
      </c>
      <c r="B4494" s="46" t="s">
        <v>9</v>
      </c>
      <c r="C4494" s="47">
        <v>44469</v>
      </c>
      <c r="D4494" s="45">
        <v>22021006627</v>
      </c>
      <c r="E4494" s="46" t="s">
        <v>1990</v>
      </c>
      <c r="F4494" s="48">
        <v>1113.2</v>
      </c>
      <c r="G4494" s="46" t="s">
        <v>161</v>
      </c>
      <c r="H4494" s="46" t="s">
        <v>6145</v>
      </c>
      <c r="I4494" s="45" t="s">
        <v>125</v>
      </c>
      <c r="J4494" s="46" t="s">
        <v>127</v>
      </c>
      <c r="K4494" s="46" t="s">
        <v>127</v>
      </c>
      <c r="L4494" s="46" t="s">
        <v>12</v>
      </c>
      <c r="M4494" s="46" t="s">
        <v>10</v>
      </c>
      <c r="N4494" s="46" t="s">
        <v>16</v>
      </c>
      <c r="O4494" s="49" t="s">
        <v>815</v>
      </c>
      <c r="P4494" s="49" t="s">
        <v>4910</v>
      </c>
      <c r="Q4494" s="35" t="str">
        <f>MID(Tabla1[[#This Row],[Aplicación]],14,1)</f>
        <v>2</v>
      </c>
      <c r="R4494" s="35" t="s">
        <v>495</v>
      </c>
      <c r="S4494" s="35" t="str">
        <f>MID(Tabla1[[#This Row],[Aplicación]],6,2)</f>
        <v>06</v>
      </c>
      <c r="T4494" s="35" t="str">
        <f>VLOOKUP(Tabla1[[#This Row],[AREA]],Hoja1!A:B,2,FALSE)</f>
        <v>06. Educación, infancia, juventud e igualdad</v>
      </c>
      <c r="U4494" s="35" t="str">
        <f>MID(Tabla1[[#This Row],[Aplicación]],9,4)</f>
        <v>3321</v>
      </c>
      <c r="V4494" s="35" t="str">
        <f>VLOOKUP(Tabla1[[#This Row],[PROGRAMA]],Hoja1!A:B,2,FALSE)</f>
        <v>3321. Bibliotecas públicas</v>
      </c>
      <c r="W4494" s="35" t="str">
        <f>MID(Tabla1[[#This Row],[Aplicación]],14,2)</f>
        <v>22</v>
      </c>
      <c r="X4494" s="35" t="str">
        <f>MID(Tabla1[[#This Row],[Aplicación]],14,6)</f>
        <v>22799</v>
      </c>
    </row>
    <row r="4495" spans="1:24" x14ac:dyDescent="0.25">
      <c r="A4495" s="45">
        <v>220210059029</v>
      </c>
      <c r="B4495" s="46" t="s">
        <v>9</v>
      </c>
      <c r="C4495" s="47">
        <v>44463</v>
      </c>
      <c r="D4495" s="45">
        <v>22021006565</v>
      </c>
      <c r="E4495" s="46" t="s">
        <v>3314</v>
      </c>
      <c r="F4495" s="48">
        <v>139.54</v>
      </c>
      <c r="G4495" s="46" t="s">
        <v>120</v>
      </c>
      <c r="H4495" s="46" t="s">
        <v>6146</v>
      </c>
      <c r="I4495" s="45" t="s">
        <v>125</v>
      </c>
      <c r="J4495" s="46" t="s">
        <v>126</v>
      </c>
      <c r="K4495" s="46" t="s">
        <v>126</v>
      </c>
      <c r="L4495" s="46" t="s">
        <v>12</v>
      </c>
      <c r="M4495" s="46" t="s">
        <v>10</v>
      </c>
      <c r="N4495" s="46" t="s">
        <v>11</v>
      </c>
      <c r="O4495" s="49" t="s">
        <v>815</v>
      </c>
      <c r="P4495" s="49" t="s">
        <v>4910</v>
      </c>
      <c r="Q4495" s="35" t="str">
        <f>MID(Tabla1[[#This Row],[Aplicación]],14,1)</f>
        <v>6</v>
      </c>
      <c r="R4495" s="35" t="s">
        <v>496</v>
      </c>
      <c r="S4495" s="35" t="str">
        <f>MID(Tabla1[[#This Row],[Aplicación]],6,2)</f>
        <v>07</v>
      </c>
      <c r="T4495" s="35" t="str">
        <f>VLOOKUP(Tabla1[[#This Row],[AREA]],Hoja1!A:B,2,FALSE)</f>
        <v>07. Medio ambiente y desarrollo sostenible</v>
      </c>
      <c r="U4495" s="35" t="str">
        <f>MID(Tabla1[[#This Row],[Aplicación]],9,4)</f>
        <v>1701</v>
      </c>
      <c r="V4495" s="35" t="str">
        <f>VLOOKUP(Tabla1[[#This Row],[PROGRAMA]],Hoja1!A:B,2,FALSE)</f>
        <v>1701. Dirección del área de medio ambiente</v>
      </c>
      <c r="W4495" s="35" t="str">
        <f>MID(Tabla1[[#This Row],[Aplicación]],14,2)</f>
        <v>62</v>
      </c>
      <c r="X4495" s="35" t="str">
        <f>MID(Tabla1[[#This Row],[Aplicación]],14,6)</f>
        <v>623</v>
      </c>
    </row>
    <row r="4496" spans="1:24" x14ac:dyDescent="0.25">
      <c r="A4496" s="45">
        <v>220210056594</v>
      </c>
      <c r="B4496" s="46" t="s">
        <v>204</v>
      </c>
      <c r="C4496" s="47">
        <v>44455</v>
      </c>
      <c r="D4496" s="45">
        <v>22021002088</v>
      </c>
      <c r="E4496" s="46" t="s">
        <v>1478</v>
      </c>
      <c r="F4496" s="48">
        <v>407.69</v>
      </c>
      <c r="G4496" s="46" t="s">
        <v>256</v>
      </c>
      <c r="H4496" s="46" t="s">
        <v>6147</v>
      </c>
      <c r="I4496" s="45" t="s">
        <v>205</v>
      </c>
      <c r="J4496" s="46" t="s">
        <v>127</v>
      </c>
      <c r="K4496" s="46" t="s">
        <v>127</v>
      </c>
      <c r="L4496" s="46" t="s">
        <v>15</v>
      </c>
      <c r="M4496" s="46" t="s">
        <v>13</v>
      </c>
      <c r="N4496" s="46" t="s">
        <v>16</v>
      </c>
      <c r="O4496" s="49" t="s">
        <v>814</v>
      </c>
      <c r="P4496" s="49" t="s">
        <v>4910</v>
      </c>
      <c r="Q4496" s="35" t="str">
        <f>MID(Tabla1[[#This Row],[Aplicación]],14,1)</f>
        <v>2</v>
      </c>
      <c r="R4496" s="35" t="s">
        <v>495</v>
      </c>
      <c r="S4496" s="35" t="str">
        <f>MID(Tabla1[[#This Row],[Aplicación]],6,2)</f>
        <v>03</v>
      </c>
      <c r="T4496" s="35" t="str">
        <f>VLOOKUP(Tabla1[[#This Row],[AREA]],Hoja1!A:B,2,FALSE)</f>
        <v>03. Participación ciudadana y deportes</v>
      </c>
      <c r="U4496" s="35" t="str">
        <f>MID(Tabla1[[#This Row],[Aplicación]],9,4)</f>
        <v>9241</v>
      </c>
      <c r="V4496" s="35" t="str">
        <f>VLOOKUP(Tabla1[[#This Row],[PROGRAMA]],Hoja1!A:B,2,FALSE)</f>
        <v>9241. Participación ciudadana</v>
      </c>
      <c r="W4496" s="35" t="str">
        <f>MID(Tabla1[[#This Row],[Aplicación]],14,2)</f>
        <v>21</v>
      </c>
      <c r="X4496" s="35" t="str">
        <f>MID(Tabla1[[#This Row],[Aplicación]],14,6)</f>
        <v>212</v>
      </c>
    </row>
    <row r="4497" spans="1:24" x14ac:dyDescent="0.25">
      <c r="A4497" s="45">
        <v>220210063165</v>
      </c>
      <c r="B4497" s="46" t="s">
        <v>204</v>
      </c>
      <c r="C4497" s="47">
        <v>44469</v>
      </c>
      <c r="D4497" s="45">
        <v>22021002088</v>
      </c>
      <c r="E4497" s="46" t="s">
        <v>1478</v>
      </c>
      <c r="F4497" s="48">
        <v>389.37</v>
      </c>
      <c r="G4497" s="46" t="s">
        <v>256</v>
      </c>
      <c r="H4497" s="46" t="s">
        <v>6148</v>
      </c>
      <c r="I4497" s="45" t="s">
        <v>205</v>
      </c>
      <c r="J4497" s="46" t="s">
        <v>127</v>
      </c>
      <c r="K4497" s="46" t="s">
        <v>127</v>
      </c>
      <c r="L4497" s="46" t="s">
        <v>15</v>
      </c>
      <c r="M4497" s="46" t="s">
        <v>13</v>
      </c>
      <c r="N4497" s="46" t="s">
        <v>16</v>
      </c>
      <c r="O4497" s="49" t="s">
        <v>814</v>
      </c>
      <c r="P4497" s="49" t="s">
        <v>4910</v>
      </c>
      <c r="Q4497" s="35" t="str">
        <f>MID(Tabla1[[#This Row],[Aplicación]],14,1)</f>
        <v>2</v>
      </c>
      <c r="R4497" s="35" t="s">
        <v>495</v>
      </c>
      <c r="S4497" s="35" t="str">
        <f>MID(Tabla1[[#This Row],[Aplicación]],6,2)</f>
        <v>03</v>
      </c>
      <c r="T4497" s="35" t="str">
        <f>VLOOKUP(Tabla1[[#This Row],[AREA]],Hoja1!A:B,2,FALSE)</f>
        <v>03. Participación ciudadana y deportes</v>
      </c>
      <c r="U4497" s="35" t="str">
        <f>MID(Tabla1[[#This Row],[Aplicación]],9,4)</f>
        <v>9241</v>
      </c>
      <c r="V4497" s="35" t="str">
        <f>VLOOKUP(Tabla1[[#This Row],[PROGRAMA]],Hoja1!A:B,2,FALSE)</f>
        <v>9241. Participación ciudadana</v>
      </c>
      <c r="W4497" s="35" t="str">
        <f>MID(Tabla1[[#This Row],[Aplicación]],14,2)</f>
        <v>21</v>
      </c>
      <c r="X4497" s="35" t="str">
        <f>MID(Tabla1[[#This Row],[Aplicación]],14,6)</f>
        <v>212</v>
      </c>
    </row>
    <row r="4498" spans="1:24" x14ac:dyDescent="0.25">
      <c r="A4498" s="45">
        <v>220210057793</v>
      </c>
      <c r="B4498" s="46" t="s">
        <v>204</v>
      </c>
      <c r="C4498" s="47">
        <v>44459</v>
      </c>
      <c r="D4498" s="45">
        <v>22021001275</v>
      </c>
      <c r="E4498" s="46" t="s">
        <v>1334</v>
      </c>
      <c r="F4498" s="48">
        <v>106.02</v>
      </c>
      <c r="G4498" s="46" t="s">
        <v>256</v>
      </c>
      <c r="H4498" s="46" t="s">
        <v>6149</v>
      </c>
      <c r="I4498" s="45" t="s">
        <v>205</v>
      </c>
      <c r="J4498" s="46" t="s">
        <v>127</v>
      </c>
      <c r="K4498" s="46" t="s">
        <v>127</v>
      </c>
      <c r="L4498" s="46" t="s">
        <v>15</v>
      </c>
      <c r="M4498" s="46" t="s">
        <v>13</v>
      </c>
      <c r="N4498" s="46" t="s">
        <v>14</v>
      </c>
      <c r="O4498" s="49" t="s">
        <v>814</v>
      </c>
      <c r="P4498" s="49" t="s">
        <v>4910</v>
      </c>
      <c r="Q4498" s="35" t="str">
        <f>MID(Tabla1[[#This Row],[Aplicación]],14,1)</f>
        <v>2</v>
      </c>
      <c r="R4498" s="35" t="s">
        <v>495</v>
      </c>
      <c r="S4498" s="35" t="str">
        <f>MID(Tabla1[[#This Row],[Aplicación]],6,2)</f>
        <v>07</v>
      </c>
      <c r="T4498" s="35" t="str">
        <f>VLOOKUP(Tabla1[[#This Row],[AREA]],Hoja1!A:B,2,FALSE)</f>
        <v>07. Medio ambiente y desarrollo sostenible</v>
      </c>
      <c r="U4498" s="35" t="str">
        <f>MID(Tabla1[[#This Row],[Aplicación]],9,4)</f>
        <v>1711</v>
      </c>
      <c r="V4498" s="35" t="str">
        <f>VLOOKUP(Tabla1[[#This Row],[PROGRAMA]],Hoja1!A:B,2,FALSE)</f>
        <v>1711. Parques y jardines</v>
      </c>
      <c r="W4498" s="35" t="str">
        <f>MID(Tabla1[[#This Row],[Aplicación]],14,2)</f>
        <v>22</v>
      </c>
      <c r="X4498" s="35" t="str">
        <f>MID(Tabla1[[#This Row],[Aplicación]],14,6)</f>
        <v>22199</v>
      </c>
    </row>
    <row r="4499" spans="1:24" x14ac:dyDescent="0.25">
      <c r="A4499" s="45">
        <v>220210059032</v>
      </c>
      <c r="B4499" s="46" t="s">
        <v>9</v>
      </c>
      <c r="C4499" s="47">
        <v>44463</v>
      </c>
      <c r="D4499" s="45">
        <v>22021006511</v>
      </c>
      <c r="E4499" s="46" t="s">
        <v>816</v>
      </c>
      <c r="F4499" s="48">
        <v>119.61</v>
      </c>
      <c r="G4499" s="46" t="s">
        <v>120</v>
      </c>
      <c r="H4499" s="46" t="s">
        <v>6150</v>
      </c>
      <c r="I4499" s="45" t="s">
        <v>125</v>
      </c>
      <c r="J4499" s="46" t="s">
        <v>126</v>
      </c>
      <c r="K4499" s="46" t="s">
        <v>126</v>
      </c>
      <c r="L4499" s="46" t="s">
        <v>12</v>
      </c>
      <c r="M4499" s="46" t="s">
        <v>10</v>
      </c>
      <c r="N4499" s="46" t="s">
        <v>14</v>
      </c>
      <c r="O4499" s="49" t="s">
        <v>815</v>
      </c>
      <c r="P4499" s="49" t="s">
        <v>4910</v>
      </c>
      <c r="Q4499" s="35" t="str">
        <f>MID(Tabla1[[#This Row],[Aplicación]],14,1)</f>
        <v>2</v>
      </c>
      <c r="R4499" s="35" t="s">
        <v>495</v>
      </c>
      <c r="S4499" s="35" t="str">
        <f>MID(Tabla1[[#This Row],[Aplicación]],6,2)</f>
        <v>06</v>
      </c>
      <c r="T4499" s="35" t="str">
        <f>VLOOKUP(Tabla1[[#This Row],[AREA]],Hoja1!A:B,2,FALSE)</f>
        <v>06. Educación, infancia, juventud e igualdad</v>
      </c>
      <c r="U4499" s="35" t="str">
        <f>MID(Tabla1[[#This Row],[Aplicación]],9,4)</f>
        <v>3232</v>
      </c>
      <c r="V4499" s="35" t="str">
        <f>VLOOKUP(Tabla1[[#This Row],[PROGRAMA]],Hoja1!A:B,2,FALSE)</f>
        <v>3232. Conservación y mantenimiento centros educación infantil y primaria</v>
      </c>
      <c r="W4499" s="35" t="str">
        <f>MID(Tabla1[[#This Row],[Aplicación]],14,2)</f>
        <v>22</v>
      </c>
      <c r="X4499" s="35" t="str">
        <f>MID(Tabla1[[#This Row],[Aplicación]],14,6)</f>
        <v>22706</v>
      </c>
    </row>
    <row r="4500" spans="1:24" x14ac:dyDescent="0.25">
      <c r="A4500" s="45">
        <v>220210053439</v>
      </c>
      <c r="B4500" s="46" t="s">
        <v>501</v>
      </c>
      <c r="C4500" s="47">
        <v>44452</v>
      </c>
      <c r="D4500" s="45">
        <v>22021000412</v>
      </c>
      <c r="E4500" s="46" t="s">
        <v>883</v>
      </c>
      <c r="F4500" s="48">
        <v>-24898.25</v>
      </c>
      <c r="G4500" s="46" t="s">
        <v>179</v>
      </c>
      <c r="H4500" s="46" t="s">
        <v>5969</v>
      </c>
      <c r="I4500" s="45" t="s">
        <v>125</v>
      </c>
      <c r="J4500" s="46" t="s">
        <v>180</v>
      </c>
      <c r="K4500" s="46" t="s">
        <v>180</v>
      </c>
      <c r="L4500" s="46" t="s">
        <v>12</v>
      </c>
      <c r="M4500" s="46" t="s">
        <v>13</v>
      </c>
      <c r="N4500" s="46" t="s">
        <v>14</v>
      </c>
      <c r="O4500" s="49" t="s">
        <v>803</v>
      </c>
      <c r="P4500" s="49" t="s">
        <v>4910</v>
      </c>
      <c r="Q4500" s="35" t="str">
        <f>MID(Tabla1[[#This Row],[Aplicación]],14,1)</f>
        <v>2</v>
      </c>
      <c r="R4500" s="35" t="s">
        <v>495</v>
      </c>
      <c r="S4500" s="35" t="str">
        <f>MID(Tabla1[[#This Row],[Aplicación]],6,2)</f>
        <v>11</v>
      </c>
      <c r="T4500" s="35" t="str">
        <f>VLOOKUP(Tabla1[[#This Row],[AREA]],Hoja1!A:B,2,FALSE)</f>
        <v>11. Salud pública y seguridad ciudadana</v>
      </c>
      <c r="U4500" s="35" t="str">
        <f>MID(Tabla1[[#This Row],[Aplicación]],9,4)</f>
        <v>1621</v>
      </c>
      <c r="V4500" s="35" t="str">
        <f>VLOOKUP(Tabla1[[#This Row],[PROGRAMA]],Hoja1!A:B,2,FALSE)</f>
        <v>1621. Servicio de limpieza</v>
      </c>
      <c r="W4500" s="35" t="str">
        <f>MID(Tabla1[[#This Row],[Aplicación]],14,2)</f>
        <v>22</v>
      </c>
      <c r="X4500" s="35" t="str">
        <f>MID(Tabla1[[#This Row],[Aplicación]],14,6)</f>
        <v>22700</v>
      </c>
    </row>
    <row r="4501" spans="1:24" x14ac:dyDescent="0.25">
      <c r="A4501" s="45">
        <v>220210053440</v>
      </c>
      <c r="B4501" s="46" t="s">
        <v>501</v>
      </c>
      <c r="C4501" s="47">
        <v>44452</v>
      </c>
      <c r="D4501" s="45">
        <v>22021000413</v>
      </c>
      <c r="E4501" s="46" t="s">
        <v>1511</v>
      </c>
      <c r="F4501" s="48">
        <v>-54961.75</v>
      </c>
      <c r="G4501" s="46" t="s">
        <v>179</v>
      </c>
      <c r="H4501" s="46" t="s">
        <v>5969</v>
      </c>
      <c r="I4501" s="45" t="s">
        <v>125</v>
      </c>
      <c r="J4501" s="46" t="s">
        <v>180</v>
      </c>
      <c r="K4501" s="46" t="s">
        <v>180</v>
      </c>
      <c r="L4501" s="46" t="s">
        <v>12</v>
      </c>
      <c r="M4501" s="46" t="s">
        <v>13</v>
      </c>
      <c r="N4501" s="46" t="s">
        <v>14</v>
      </c>
      <c r="O4501" s="49" t="s">
        <v>803</v>
      </c>
      <c r="P4501" s="49" t="s">
        <v>4910</v>
      </c>
      <c r="Q4501" s="35" t="str">
        <f>MID(Tabla1[[#This Row],[Aplicación]],14,1)</f>
        <v>2</v>
      </c>
      <c r="R4501" s="35" t="s">
        <v>495</v>
      </c>
      <c r="S4501" s="35" t="str">
        <f>MID(Tabla1[[#This Row],[Aplicación]],6,2)</f>
        <v>11</v>
      </c>
      <c r="T4501" s="35" t="str">
        <f>VLOOKUP(Tabla1[[#This Row],[AREA]],Hoja1!A:B,2,FALSE)</f>
        <v>11. Salud pública y seguridad ciudadana</v>
      </c>
      <c r="U4501" s="35" t="str">
        <f>MID(Tabla1[[#This Row],[Aplicación]],9,4)</f>
        <v>1631</v>
      </c>
      <c r="V4501" s="35" t="str">
        <f>VLOOKUP(Tabla1[[#This Row],[PROGRAMA]],Hoja1!A:B,2,FALSE)</f>
        <v>1631. Limpieza viaria</v>
      </c>
      <c r="W4501" s="35" t="str">
        <f>MID(Tabla1[[#This Row],[Aplicación]],14,2)</f>
        <v>22</v>
      </c>
      <c r="X4501" s="35" t="str">
        <f>MID(Tabla1[[#This Row],[Aplicación]],14,6)</f>
        <v>22700</v>
      </c>
    </row>
    <row r="4502" spans="1:24" x14ac:dyDescent="0.25">
      <c r="A4502" s="45">
        <v>220210058316</v>
      </c>
      <c r="B4502" s="46" t="s">
        <v>9</v>
      </c>
      <c r="C4502" s="47">
        <v>44460</v>
      </c>
      <c r="D4502" s="45">
        <v>22021006523</v>
      </c>
      <c r="E4502" s="46" t="s">
        <v>2748</v>
      </c>
      <c r="F4502" s="48">
        <v>2898.5</v>
      </c>
      <c r="G4502" s="46" t="s">
        <v>6151</v>
      </c>
      <c r="H4502" s="46" t="s">
        <v>6152</v>
      </c>
      <c r="I4502" s="45" t="s">
        <v>125</v>
      </c>
      <c r="J4502" s="46" t="s">
        <v>127</v>
      </c>
      <c r="K4502" s="46" t="s">
        <v>127</v>
      </c>
      <c r="L4502" s="46" t="s">
        <v>12</v>
      </c>
      <c r="M4502" s="46" t="s">
        <v>10</v>
      </c>
      <c r="N4502" s="46" t="s">
        <v>11</v>
      </c>
      <c r="O4502" s="49" t="s">
        <v>815</v>
      </c>
      <c r="P4502" s="49" t="s">
        <v>4910</v>
      </c>
      <c r="Q4502" s="35" t="str">
        <f>MID(Tabla1[[#This Row],[Aplicación]],14,1)</f>
        <v>2</v>
      </c>
      <c r="R4502" s="35" t="s">
        <v>495</v>
      </c>
      <c r="S4502" s="35" t="str">
        <f>MID(Tabla1[[#This Row],[Aplicación]],6,2)</f>
        <v>05</v>
      </c>
      <c r="T4502" s="35" t="str">
        <f>VLOOKUP(Tabla1[[#This Row],[AREA]],Hoja1!A:B,2,FALSE)</f>
        <v>05. Innovación, desarrollo económico, empleo y comercio</v>
      </c>
      <c r="U4502" s="35" t="str">
        <f>MID(Tabla1[[#This Row],[Aplicación]],9,4)</f>
        <v>4331</v>
      </c>
      <c r="V4502" s="35" t="str">
        <f>VLOOKUP(Tabla1[[#This Row],[PROGRAMA]],Hoja1!A:B,2,FALSE)</f>
        <v>4331. Desarrollo empresarial</v>
      </c>
      <c r="W4502" s="35" t="str">
        <f>MID(Tabla1[[#This Row],[Aplicación]],14,2)</f>
        <v>22</v>
      </c>
      <c r="X4502" s="35" t="str">
        <f>MID(Tabla1[[#This Row],[Aplicación]],14,6)</f>
        <v>22606</v>
      </c>
    </row>
    <row r="4503" spans="1:24" x14ac:dyDescent="0.25">
      <c r="A4503" s="45">
        <v>220210058317</v>
      </c>
      <c r="B4503" s="46" t="s">
        <v>501</v>
      </c>
      <c r="C4503" s="47">
        <v>44460</v>
      </c>
      <c r="D4503" s="45">
        <v>22021005894</v>
      </c>
      <c r="E4503" s="46" t="s">
        <v>3321</v>
      </c>
      <c r="F4503" s="48">
        <v>-18089.5</v>
      </c>
      <c r="G4503" s="46" t="s">
        <v>4966</v>
      </c>
      <c r="H4503" s="46" t="s">
        <v>4967</v>
      </c>
      <c r="I4503" s="45" t="s">
        <v>125</v>
      </c>
      <c r="J4503" s="46" t="s">
        <v>180</v>
      </c>
      <c r="K4503" s="46" t="s">
        <v>180</v>
      </c>
      <c r="L4503" s="46" t="s">
        <v>12</v>
      </c>
      <c r="M4503" s="46" t="s">
        <v>10</v>
      </c>
      <c r="N4503" s="46" t="s">
        <v>11</v>
      </c>
      <c r="O4503" s="49" t="s">
        <v>815</v>
      </c>
      <c r="P4503" s="49" t="s">
        <v>4910</v>
      </c>
      <c r="Q4503" s="35" t="str">
        <f>MID(Tabla1[[#This Row],[Aplicación]],14,1)</f>
        <v>2</v>
      </c>
      <c r="R4503" s="35" t="s">
        <v>495</v>
      </c>
      <c r="S4503" s="35" t="str">
        <f>MID(Tabla1[[#This Row],[Aplicación]],6,2)</f>
        <v>02</v>
      </c>
      <c r="T4503" s="35" t="str">
        <f>VLOOKUP(Tabla1[[#This Row],[AREA]],Hoja1!A:B,2,FALSE)</f>
        <v>02. Planeamiento urbanístico y vivienda</v>
      </c>
      <c r="U4503" s="35" t="str">
        <f>MID(Tabla1[[#This Row],[Aplicación]],9,4)</f>
        <v>9332</v>
      </c>
      <c r="V4503" s="35" t="str">
        <f>VLOOKUP(Tabla1[[#This Row],[PROGRAMA]],Hoja1!A:B,2,FALSE)</f>
        <v>9332. Mantenimiento de edificios e instalaciones municipales</v>
      </c>
      <c r="W4503" s="35" t="str">
        <f>MID(Tabla1[[#This Row],[Aplicación]],14,2)</f>
        <v>22</v>
      </c>
      <c r="X4503" s="35" t="str">
        <f>MID(Tabla1[[#This Row],[Aplicación]],14,6)</f>
        <v>22799</v>
      </c>
    </row>
    <row r="4504" spans="1:24" x14ac:dyDescent="0.25">
      <c r="A4504" s="45">
        <v>220210057028</v>
      </c>
      <c r="B4504" s="46" t="s">
        <v>9</v>
      </c>
      <c r="C4504" s="47">
        <v>44456</v>
      </c>
      <c r="D4504" s="45">
        <v>22021006469</v>
      </c>
      <c r="E4504" s="46" t="s">
        <v>6153</v>
      </c>
      <c r="F4504" s="48">
        <v>1564.36</v>
      </c>
      <c r="G4504" s="46" t="s">
        <v>53</v>
      </c>
      <c r="H4504" s="46" t="s">
        <v>6154</v>
      </c>
      <c r="I4504" s="45" t="s">
        <v>125</v>
      </c>
      <c r="J4504" s="46" t="s">
        <v>127</v>
      </c>
      <c r="K4504" s="46" t="s">
        <v>127</v>
      </c>
      <c r="L4504" s="46" t="s">
        <v>12</v>
      </c>
      <c r="M4504" s="46" t="s">
        <v>10</v>
      </c>
      <c r="N4504" s="46" t="s">
        <v>11</v>
      </c>
      <c r="O4504" s="49" t="s">
        <v>815</v>
      </c>
      <c r="P4504" s="49" t="s">
        <v>4910</v>
      </c>
      <c r="Q4504" s="35" t="str">
        <f>MID(Tabla1[[#This Row],[Aplicación]],14,1)</f>
        <v>2</v>
      </c>
      <c r="R4504" s="35" t="s">
        <v>495</v>
      </c>
      <c r="S4504" s="35" t="str">
        <f>MID(Tabla1[[#This Row],[Aplicación]],6,2)</f>
        <v>05</v>
      </c>
      <c r="T4504" s="35" t="str">
        <f>VLOOKUP(Tabla1[[#This Row],[AREA]],Hoja1!A:B,2,FALSE)</f>
        <v>05. Innovación, desarrollo económico, empleo y comercio</v>
      </c>
      <c r="U4504" s="35" t="str">
        <f>MID(Tabla1[[#This Row],[Aplicación]],9,4)</f>
        <v>4331</v>
      </c>
      <c r="V4504" s="35" t="str">
        <f>VLOOKUP(Tabla1[[#This Row],[PROGRAMA]],Hoja1!A:B,2,FALSE)</f>
        <v>4331. Desarrollo empresarial</v>
      </c>
      <c r="W4504" s="35" t="str">
        <f>MID(Tabla1[[#This Row],[Aplicación]],14,2)</f>
        <v>22</v>
      </c>
      <c r="X4504" s="35" t="str">
        <f>MID(Tabla1[[#This Row],[Aplicación]],14,6)</f>
        <v>22701</v>
      </c>
    </row>
    <row r="4505" spans="1:24" x14ac:dyDescent="0.25">
      <c r="A4505" s="45">
        <v>220210062271</v>
      </c>
      <c r="B4505" s="46" t="s">
        <v>9</v>
      </c>
      <c r="C4505" s="47">
        <v>44469</v>
      </c>
      <c r="D4505" s="45">
        <v>22021006696</v>
      </c>
      <c r="E4505" s="46" t="s">
        <v>1213</v>
      </c>
      <c r="F4505" s="48">
        <v>467.69</v>
      </c>
      <c r="G4505" s="46" t="s">
        <v>53</v>
      </c>
      <c r="H4505" s="46" t="s">
        <v>6155</v>
      </c>
      <c r="I4505" s="45" t="s">
        <v>125</v>
      </c>
      <c r="J4505" s="46" t="s">
        <v>127</v>
      </c>
      <c r="K4505" s="46" t="s">
        <v>127</v>
      </c>
      <c r="L4505" s="46" t="s">
        <v>12</v>
      </c>
      <c r="M4505" s="46" t="s">
        <v>10</v>
      </c>
      <c r="N4505" s="46" t="s">
        <v>11</v>
      </c>
      <c r="O4505" s="49" t="s">
        <v>815</v>
      </c>
      <c r="P4505" s="49" t="s">
        <v>4910</v>
      </c>
      <c r="Q4505" s="35" t="str">
        <f>MID(Tabla1[[#This Row],[Aplicación]],14,1)</f>
        <v>2</v>
      </c>
      <c r="R4505" s="35" t="s">
        <v>495</v>
      </c>
      <c r="S4505" s="35" t="str">
        <f>MID(Tabla1[[#This Row],[Aplicación]],6,2)</f>
        <v>06</v>
      </c>
      <c r="T4505" s="35" t="str">
        <f>VLOOKUP(Tabla1[[#This Row],[AREA]],Hoja1!A:B,2,FALSE)</f>
        <v>06. Educación, infancia, juventud e igualdad</v>
      </c>
      <c r="U4505" s="35" t="str">
        <f>MID(Tabla1[[#This Row],[Aplicación]],9,4)</f>
        <v>3261</v>
      </c>
      <c r="V4505" s="35" t="str">
        <f>VLOOKUP(Tabla1[[#This Row],[PROGRAMA]],Hoja1!A:B,2,FALSE)</f>
        <v>3261. Servicios complementarios de educación</v>
      </c>
      <c r="W4505" s="35" t="str">
        <f>MID(Tabla1[[#This Row],[Aplicación]],14,2)</f>
        <v>21</v>
      </c>
      <c r="X4505" s="35" t="str">
        <f>MID(Tabla1[[#This Row],[Aplicación]],14,6)</f>
        <v>213</v>
      </c>
    </row>
    <row r="4506" spans="1:24" x14ac:dyDescent="0.25">
      <c r="A4506" s="45">
        <v>220210058669</v>
      </c>
      <c r="B4506" s="46" t="s">
        <v>204</v>
      </c>
      <c r="C4506" s="47">
        <v>44461</v>
      </c>
      <c r="D4506" s="45">
        <v>22021002228</v>
      </c>
      <c r="E4506" s="46" t="s">
        <v>1471</v>
      </c>
      <c r="F4506" s="48">
        <v>314.72000000000003</v>
      </c>
      <c r="G4506" s="46" t="s">
        <v>263</v>
      </c>
      <c r="H4506" s="46" t="s">
        <v>6156</v>
      </c>
      <c r="I4506" s="45" t="s">
        <v>205</v>
      </c>
      <c r="J4506" s="46" t="s">
        <v>127</v>
      </c>
      <c r="K4506" s="46" t="s">
        <v>127</v>
      </c>
      <c r="L4506" s="46" t="s">
        <v>15</v>
      </c>
      <c r="M4506" s="46" t="s">
        <v>13</v>
      </c>
      <c r="N4506" s="46" t="s">
        <v>16</v>
      </c>
      <c r="O4506" s="49" t="s">
        <v>814</v>
      </c>
      <c r="P4506" s="49" t="s">
        <v>4910</v>
      </c>
      <c r="Q4506" s="35" t="str">
        <f>MID(Tabla1[[#This Row],[Aplicación]],14,1)</f>
        <v>2</v>
      </c>
      <c r="R4506" s="35" t="s">
        <v>495</v>
      </c>
      <c r="S4506" s="35" t="str">
        <f>MID(Tabla1[[#This Row],[Aplicación]],6,2)</f>
        <v>06</v>
      </c>
      <c r="T4506" s="35" t="str">
        <f>VLOOKUP(Tabla1[[#This Row],[AREA]],Hoja1!A:B,2,FALSE)</f>
        <v>06. Educación, infancia, juventud e igualdad</v>
      </c>
      <c r="U4506" s="35" t="str">
        <f>MID(Tabla1[[#This Row],[Aplicación]],9,4)</f>
        <v>3232</v>
      </c>
      <c r="V4506" s="35" t="str">
        <f>VLOOKUP(Tabla1[[#This Row],[PROGRAMA]],Hoja1!A:B,2,FALSE)</f>
        <v>3232. Conservación y mantenimiento centros educación infantil y primaria</v>
      </c>
      <c r="W4506" s="35" t="str">
        <f>MID(Tabla1[[#This Row],[Aplicación]],14,2)</f>
        <v>21</v>
      </c>
      <c r="X4506" s="35" t="str">
        <f>MID(Tabla1[[#This Row],[Aplicación]],14,6)</f>
        <v>212</v>
      </c>
    </row>
    <row r="4507" spans="1:24" x14ac:dyDescent="0.25">
      <c r="A4507" s="45">
        <v>220210058924</v>
      </c>
      <c r="B4507" s="46" t="s">
        <v>9</v>
      </c>
      <c r="C4507" s="47">
        <v>44462</v>
      </c>
      <c r="D4507" s="45">
        <v>22021006623</v>
      </c>
      <c r="E4507" s="46" t="s">
        <v>1596</v>
      </c>
      <c r="F4507" s="48">
        <v>1754.5</v>
      </c>
      <c r="G4507" s="46" t="s">
        <v>6157</v>
      </c>
      <c r="H4507" s="46" t="s">
        <v>6158</v>
      </c>
      <c r="I4507" s="45" t="s">
        <v>125</v>
      </c>
      <c r="J4507" s="46" t="s">
        <v>127</v>
      </c>
      <c r="K4507" s="46" t="s">
        <v>127</v>
      </c>
      <c r="L4507" s="46" t="s">
        <v>15</v>
      </c>
      <c r="M4507" s="46" t="s">
        <v>10</v>
      </c>
      <c r="N4507" s="46" t="s">
        <v>11</v>
      </c>
      <c r="O4507" s="49" t="s">
        <v>815</v>
      </c>
      <c r="P4507" s="49" t="s">
        <v>4910</v>
      </c>
      <c r="Q4507" s="35" t="str">
        <f>MID(Tabla1[[#This Row],[Aplicación]],14,1)</f>
        <v>2</v>
      </c>
      <c r="R4507" s="35" t="s">
        <v>495</v>
      </c>
      <c r="S4507" s="35" t="str">
        <f>MID(Tabla1[[#This Row],[Aplicación]],6,2)</f>
        <v>11</v>
      </c>
      <c r="T4507" s="35" t="str">
        <f>VLOOKUP(Tabla1[[#This Row],[AREA]],Hoja1!A:B,2,FALSE)</f>
        <v>11. Salud pública y seguridad ciudadana</v>
      </c>
      <c r="U4507" s="35" t="str">
        <f>MID(Tabla1[[#This Row],[Aplicación]],9,4)</f>
        <v>1321</v>
      </c>
      <c r="V4507" s="35" t="str">
        <f>VLOOKUP(Tabla1[[#This Row],[PROGRAMA]],Hoja1!A:B,2,FALSE)</f>
        <v>1321. Policía municipal</v>
      </c>
      <c r="W4507" s="35" t="str">
        <f>MID(Tabla1[[#This Row],[Aplicación]],14,2)</f>
        <v>22</v>
      </c>
      <c r="X4507" s="35" t="str">
        <f>MID(Tabla1[[#This Row],[Aplicación]],14,6)</f>
        <v>22699</v>
      </c>
    </row>
    <row r="4508" spans="1:24" x14ac:dyDescent="0.25">
      <c r="A4508" s="45">
        <v>220210057022</v>
      </c>
      <c r="B4508" s="46" t="s">
        <v>9</v>
      </c>
      <c r="C4508" s="47">
        <v>44456</v>
      </c>
      <c r="D4508" s="45">
        <v>22021006516</v>
      </c>
      <c r="E4508" s="46" t="s">
        <v>842</v>
      </c>
      <c r="F4508" s="48">
        <v>7139</v>
      </c>
      <c r="G4508" s="46" t="s">
        <v>6159</v>
      </c>
      <c r="H4508" s="46" t="s">
        <v>6160</v>
      </c>
      <c r="I4508" s="45" t="s">
        <v>125</v>
      </c>
      <c r="J4508" s="46" t="s">
        <v>127</v>
      </c>
      <c r="K4508" s="46" t="s">
        <v>127</v>
      </c>
      <c r="L4508" s="46" t="s">
        <v>12</v>
      </c>
      <c r="M4508" s="46" t="s">
        <v>10</v>
      </c>
      <c r="N4508" s="46" t="s">
        <v>11</v>
      </c>
      <c r="O4508" s="49" t="s">
        <v>815</v>
      </c>
      <c r="P4508" s="49" t="s">
        <v>4910</v>
      </c>
      <c r="Q4508" s="35" t="str">
        <f>MID(Tabla1[[#This Row],[Aplicación]],14,1)</f>
        <v>2</v>
      </c>
      <c r="R4508" s="35" t="s">
        <v>495</v>
      </c>
      <c r="S4508" s="35" t="str">
        <f>MID(Tabla1[[#This Row],[Aplicación]],6,2)</f>
        <v>06</v>
      </c>
      <c r="T4508" s="35" t="str">
        <f>VLOOKUP(Tabla1[[#This Row],[AREA]],Hoja1!A:B,2,FALSE)</f>
        <v>06. Educación, infancia, juventud e igualdad</v>
      </c>
      <c r="U4508" s="35" t="str">
        <f>MID(Tabla1[[#This Row],[Aplicación]],9,4)</f>
        <v>3261</v>
      </c>
      <c r="V4508" s="35" t="str">
        <f>VLOOKUP(Tabla1[[#This Row],[PROGRAMA]],Hoja1!A:B,2,FALSE)</f>
        <v>3261. Servicios complementarios de educación</v>
      </c>
      <c r="W4508" s="35" t="str">
        <f>MID(Tabla1[[#This Row],[Aplicación]],14,2)</f>
        <v>22</v>
      </c>
      <c r="X4508" s="35" t="str">
        <f>MID(Tabla1[[#This Row],[Aplicación]],14,6)</f>
        <v>22799</v>
      </c>
    </row>
    <row r="4509" spans="1:24" x14ac:dyDescent="0.25">
      <c r="A4509" s="45">
        <v>220210059395</v>
      </c>
      <c r="B4509" s="46" t="s">
        <v>204</v>
      </c>
      <c r="C4509" s="47">
        <v>44466</v>
      </c>
      <c r="D4509" s="45">
        <v>22021001275</v>
      </c>
      <c r="E4509" s="46" t="s">
        <v>1334</v>
      </c>
      <c r="F4509" s="48">
        <v>74.62</v>
      </c>
      <c r="G4509" s="46" t="s">
        <v>256</v>
      </c>
      <c r="H4509" s="46" t="s">
        <v>6161</v>
      </c>
      <c r="I4509" s="45" t="s">
        <v>205</v>
      </c>
      <c r="J4509" s="46" t="s">
        <v>127</v>
      </c>
      <c r="K4509" s="46" t="s">
        <v>127</v>
      </c>
      <c r="L4509" s="46" t="s">
        <v>15</v>
      </c>
      <c r="M4509" s="46" t="s">
        <v>13</v>
      </c>
      <c r="N4509" s="46" t="s">
        <v>14</v>
      </c>
      <c r="O4509" s="49" t="s">
        <v>814</v>
      </c>
      <c r="P4509" s="49" t="s">
        <v>4910</v>
      </c>
      <c r="Q4509" s="35" t="str">
        <f>MID(Tabla1[[#This Row],[Aplicación]],14,1)</f>
        <v>2</v>
      </c>
      <c r="R4509" s="35" t="s">
        <v>495</v>
      </c>
      <c r="S4509" s="35" t="str">
        <f>MID(Tabla1[[#This Row],[Aplicación]],6,2)</f>
        <v>07</v>
      </c>
      <c r="T4509" s="35" t="str">
        <f>VLOOKUP(Tabla1[[#This Row],[AREA]],Hoja1!A:B,2,FALSE)</f>
        <v>07. Medio ambiente y desarrollo sostenible</v>
      </c>
      <c r="U4509" s="35" t="str">
        <f>MID(Tabla1[[#This Row],[Aplicación]],9,4)</f>
        <v>1711</v>
      </c>
      <c r="V4509" s="35" t="str">
        <f>VLOOKUP(Tabla1[[#This Row],[PROGRAMA]],Hoja1!A:B,2,FALSE)</f>
        <v>1711. Parques y jardines</v>
      </c>
      <c r="W4509" s="35" t="str">
        <f>MID(Tabla1[[#This Row],[Aplicación]],14,2)</f>
        <v>22</v>
      </c>
      <c r="X4509" s="35" t="str">
        <f>MID(Tabla1[[#This Row],[Aplicación]],14,6)</f>
        <v>22199</v>
      </c>
    </row>
    <row r="4510" spans="1:24" x14ac:dyDescent="0.25">
      <c r="A4510" s="45">
        <v>220210063204</v>
      </c>
      <c r="B4510" s="46" t="s">
        <v>204</v>
      </c>
      <c r="C4510" s="47">
        <v>44469</v>
      </c>
      <c r="D4510" s="45">
        <v>22021001276</v>
      </c>
      <c r="E4510" s="46" t="s">
        <v>2510</v>
      </c>
      <c r="F4510" s="48">
        <v>566.5</v>
      </c>
      <c r="G4510" s="46" t="s">
        <v>4472</v>
      </c>
      <c r="H4510" s="46" t="s">
        <v>3098</v>
      </c>
      <c r="I4510" s="45" t="s">
        <v>205</v>
      </c>
      <c r="J4510" s="46" t="s">
        <v>3835</v>
      </c>
      <c r="K4510" s="46" t="s">
        <v>127</v>
      </c>
      <c r="L4510" s="46" t="s">
        <v>15</v>
      </c>
      <c r="M4510" s="46" t="s">
        <v>13</v>
      </c>
      <c r="N4510" s="46" t="s">
        <v>14</v>
      </c>
      <c r="O4510" s="49" t="s">
        <v>814</v>
      </c>
      <c r="P4510" s="49" t="s">
        <v>4910</v>
      </c>
      <c r="Q4510" s="35" t="str">
        <f>MID(Tabla1[[#This Row],[Aplicación]],14,1)</f>
        <v>2</v>
      </c>
      <c r="R4510" s="35" t="s">
        <v>495</v>
      </c>
      <c r="S4510" s="35" t="str">
        <f>MID(Tabla1[[#This Row],[Aplicación]],6,2)</f>
        <v>07</v>
      </c>
      <c r="T4510" s="35" t="str">
        <f>VLOOKUP(Tabla1[[#This Row],[AREA]],Hoja1!A:B,2,FALSE)</f>
        <v>07. Medio ambiente y desarrollo sostenible</v>
      </c>
      <c r="U4510" s="35" t="str">
        <f>MID(Tabla1[[#This Row],[Aplicación]],9,4)</f>
        <v>1711</v>
      </c>
      <c r="V4510" s="35" t="str">
        <f>VLOOKUP(Tabla1[[#This Row],[PROGRAMA]],Hoja1!A:B,2,FALSE)</f>
        <v>1711. Parques y jardines</v>
      </c>
      <c r="W4510" s="35" t="str">
        <f>MID(Tabla1[[#This Row],[Aplicación]],14,2)</f>
        <v>22</v>
      </c>
      <c r="X4510" s="35" t="str">
        <f>MID(Tabla1[[#This Row],[Aplicación]],14,6)</f>
        <v>22106</v>
      </c>
    </row>
    <row r="4511" spans="1:24" x14ac:dyDescent="0.25">
      <c r="A4511" s="45">
        <v>220210058321</v>
      </c>
      <c r="B4511" s="46" t="s">
        <v>9</v>
      </c>
      <c r="C4511" s="47">
        <v>44460</v>
      </c>
      <c r="D4511" s="45">
        <v>22021006559</v>
      </c>
      <c r="E4511" s="46" t="s">
        <v>1263</v>
      </c>
      <c r="F4511" s="48">
        <v>209.04</v>
      </c>
      <c r="G4511" s="46" t="s">
        <v>4361</v>
      </c>
      <c r="H4511" s="46" t="s">
        <v>6162</v>
      </c>
      <c r="I4511" s="45" t="s">
        <v>125</v>
      </c>
      <c r="J4511" s="46" t="s">
        <v>126</v>
      </c>
      <c r="K4511" s="46" t="s">
        <v>126</v>
      </c>
      <c r="L4511" s="46" t="s">
        <v>12</v>
      </c>
      <c r="M4511" s="46" t="s">
        <v>10</v>
      </c>
      <c r="N4511" s="46" t="s">
        <v>11</v>
      </c>
      <c r="O4511" s="49" t="s">
        <v>815</v>
      </c>
      <c r="P4511" s="49" t="s">
        <v>4910</v>
      </c>
      <c r="Q4511" s="35" t="str">
        <f>MID(Tabla1[[#This Row],[Aplicación]],14,1)</f>
        <v>2</v>
      </c>
      <c r="R4511" s="35" t="s">
        <v>495</v>
      </c>
      <c r="S4511" s="35" t="str">
        <f>MID(Tabla1[[#This Row],[Aplicación]],6,2)</f>
        <v>02</v>
      </c>
      <c r="T4511" s="35" t="str">
        <f>VLOOKUP(Tabla1[[#This Row],[AREA]],Hoja1!A:B,2,FALSE)</f>
        <v>02. Planeamiento urbanístico y vivienda</v>
      </c>
      <c r="U4511" s="35" t="str">
        <f>MID(Tabla1[[#This Row],[Aplicación]],9,4)</f>
        <v>9332</v>
      </c>
      <c r="V4511" s="35" t="str">
        <f>VLOOKUP(Tabla1[[#This Row],[PROGRAMA]],Hoja1!A:B,2,FALSE)</f>
        <v>9332. Mantenimiento de edificios e instalaciones municipales</v>
      </c>
      <c r="W4511" s="35" t="str">
        <f>MID(Tabla1[[#This Row],[Aplicación]],14,2)</f>
        <v>21</v>
      </c>
      <c r="X4511" s="35" t="str">
        <f>MID(Tabla1[[#This Row],[Aplicación]],14,6)</f>
        <v>213</v>
      </c>
    </row>
    <row r="4512" spans="1:24" x14ac:dyDescent="0.25">
      <c r="A4512" s="45">
        <v>220210056784</v>
      </c>
      <c r="B4512" s="46" t="s">
        <v>204</v>
      </c>
      <c r="C4512" s="47">
        <v>44455</v>
      </c>
      <c r="D4512" s="45">
        <v>22021001967</v>
      </c>
      <c r="E4512" s="46" t="s">
        <v>1167</v>
      </c>
      <c r="F4512" s="48">
        <v>550.61</v>
      </c>
      <c r="G4512" s="46" t="s">
        <v>264</v>
      </c>
      <c r="H4512" s="46" t="s">
        <v>2043</v>
      </c>
      <c r="I4512" s="45" t="s">
        <v>205</v>
      </c>
      <c r="J4512" s="46" t="s">
        <v>127</v>
      </c>
      <c r="K4512" s="46" t="s">
        <v>127</v>
      </c>
      <c r="L4512" s="46" t="s">
        <v>15</v>
      </c>
      <c r="M4512" s="46" t="s">
        <v>13</v>
      </c>
      <c r="N4512" s="46" t="s">
        <v>14</v>
      </c>
      <c r="O4512" s="49" t="s">
        <v>814</v>
      </c>
      <c r="P4512" s="49" t="s">
        <v>4910</v>
      </c>
      <c r="Q4512" s="35" t="str">
        <f>MID(Tabla1[[#This Row],[Aplicación]],14,1)</f>
        <v>2</v>
      </c>
      <c r="R4512" s="35" t="s">
        <v>495</v>
      </c>
      <c r="S4512" s="35" t="str">
        <f>MID(Tabla1[[#This Row],[Aplicación]],6,2)</f>
        <v>11</v>
      </c>
      <c r="T4512" s="35" t="str">
        <f>VLOOKUP(Tabla1[[#This Row],[AREA]],Hoja1!A:B,2,FALSE)</f>
        <v>11. Salud pública y seguridad ciudadana</v>
      </c>
      <c r="U4512" s="35" t="str">
        <f>MID(Tabla1[[#This Row],[Aplicación]],9,4)</f>
        <v>1321</v>
      </c>
      <c r="V4512" s="35" t="str">
        <f>VLOOKUP(Tabla1[[#This Row],[PROGRAMA]],Hoja1!A:B,2,FALSE)</f>
        <v>1321. Policía municipal</v>
      </c>
      <c r="W4512" s="35" t="str">
        <f>MID(Tabla1[[#This Row],[Aplicación]],14,2)</f>
        <v>21</v>
      </c>
      <c r="X4512" s="35" t="str">
        <f>MID(Tabla1[[#This Row],[Aplicación]],14,6)</f>
        <v>214</v>
      </c>
    </row>
    <row r="4513" spans="1:24" x14ac:dyDescent="0.25">
      <c r="A4513" s="45">
        <v>220210056770</v>
      </c>
      <c r="B4513" s="46" t="s">
        <v>204</v>
      </c>
      <c r="C4513" s="47">
        <v>44455</v>
      </c>
      <c r="D4513" s="45">
        <v>22021002006</v>
      </c>
      <c r="E4513" s="46" t="s">
        <v>1310</v>
      </c>
      <c r="F4513" s="48">
        <v>248.97</v>
      </c>
      <c r="G4513" s="46" t="s">
        <v>235</v>
      </c>
      <c r="H4513" s="46" t="s">
        <v>6163</v>
      </c>
      <c r="I4513" s="45" t="s">
        <v>205</v>
      </c>
      <c r="J4513" s="46" t="s">
        <v>742</v>
      </c>
      <c r="K4513" s="46" t="s">
        <v>165</v>
      </c>
      <c r="L4513" s="46" t="s">
        <v>15</v>
      </c>
      <c r="M4513" s="46" t="s">
        <v>13</v>
      </c>
      <c r="N4513" s="46" t="s">
        <v>14</v>
      </c>
      <c r="O4513" s="49" t="s">
        <v>814</v>
      </c>
      <c r="P4513" s="49" t="s">
        <v>4910</v>
      </c>
      <c r="Q4513" s="35" t="str">
        <f>MID(Tabla1[[#This Row],[Aplicación]],14,1)</f>
        <v>2</v>
      </c>
      <c r="R4513" s="35" t="s">
        <v>495</v>
      </c>
      <c r="S4513" s="35" t="str">
        <f>MID(Tabla1[[#This Row],[Aplicación]],6,2)</f>
        <v>11</v>
      </c>
      <c r="T4513" s="35" t="str">
        <f>VLOOKUP(Tabla1[[#This Row],[AREA]],Hoja1!A:B,2,FALSE)</f>
        <v>11. Salud pública y seguridad ciudadana</v>
      </c>
      <c r="U4513" s="35" t="str">
        <f>MID(Tabla1[[#This Row],[Aplicación]],9,4)</f>
        <v>3111</v>
      </c>
      <c r="V4513" s="35" t="str">
        <f>VLOOKUP(Tabla1[[#This Row],[PROGRAMA]],Hoja1!A:B,2,FALSE)</f>
        <v>3111. Protección de la salubridad pública</v>
      </c>
      <c r="W4513" s="35" t="str">
        <f>MID(Tabla1[[#This Row],[Aplicación]],14,2)</f>
        <v>22</v>
      </c>
      <c r="X4513" s="35" t="str">
        <f>MID(Tabla1[[#This Row],[Aplicación]],14,6)</f>
        <v>22199</v>
      </c>
    </row>
    <row r="4514" spans="1:24" x14ac:dyDescent="0.25">
      <c r="A4514" s="45">
        <v>220210057797</v>
      </c>
      <c r="B4514" s="46" t="s">
        <v>204</v>
      </c>
      <c r="C4514" s="47">
        <v>44459</v>
      </c>
      <c r="D4514" s="45">
        <v>22021002146</v>
      </c>
      <c r="E4514" s="46" t="s">
        <v>1410</v>
      </c>
      <c r="F4514" s="48">
        <v>411.25</v>
      </c>
      <c r="G4514" s="46" t="s">
        <v>264</v>
      </c>
      <c r="H4514" s="46" t="s">
        <v>6164</v>
      </c>
      <c r="I4514" s="45" t="s">
        <v>205</v>
      </c>
      <c r="J4514" s="46" t="s">
        <v>127</v>
      </c>
      <c r="K4514" s="46" t="s">
        <v>127</v>
      </c>
      <c r="L4514" s="46" t="s">
        <v>15</v>
      </c>
      <c r="M4514" s="46" t="s">
        <v>13</v>
      </c>
      <c r="N4514" s="46" t="s">
        <v>14</v>
      </c>
      <c r="O4514" s="49" t="s">
        <v>814</v>
      </c>
      <c r="P4514" s="49" t="s">
        <v>4910</v>
      </c>
      <c r="Q4514" s="35" t="str">
        <f>MID(Tabla1[[#This Row],[Aplicación]],14,1)</f>
        <v>2</v>
      </c>
      <c r="R4514" s="35" t="s">
        <v>495</v>
      </c>
      <c r="S4514" s="35" t="str">
        <f>MID(Tabla1[[#This Row],[Aplicación]],6,2)</f>
        <v>07</v>
      </c>
      <c r="T4514" s="35" t="str">
        <f>VLOOKUP(Tabla1[[#This Row],[AREA]],Hoja1!A:B,2,FALSE)</f>
        <v>07. Medio ambiente y desarrollo sostenible</v>
      </c>
      <c r="U4514" s="35" t="str">
        <f>MID(Tabla1[[#This Row],[Aplicación]],9,4)</f>
        <v>1711</v>
      </c>
      <c r="V4514" s="35" t="str">
        <f>VLOOKUP(Tabla1[[#This Row],[PROGRAMA]],Hoja1!A:B,2,FALSE)</f>
        <v>1711. Parques y jardines</v>
      </c>
      <c r="W4514" s="35" t="str">
        <f>MID(Tabla1[[#This Row],[Aplicación]],14,2)</f>
        <v>21</v>
      </c>
      <c r="X4514" s="35" t="str">
        <f>MID(Tabla1[[#This Row],[Aplicación]],14,6)</f>
        <v>214</v>
      </c>
    </row>
    <row r="4515" spans="1:24" x14ac:dyDescent="0.25">
      <c r="A4515" s="45">
        <v>220210056599</v>
      </c>
      <c r="B4515" s="46" t="s">
        <v>204</v>
      </c>
      <c r="C4515" s="47">
        <v>44455</v>
      </c>
      <c r="D4515" s="45">
        <v>22021002089</v>
      </c>
      <c r="E4515" s="46" t="s">
        <v>1220</v>
      </c>
      <c r="F4515" s="48">
        <v>247.65</v>
      </c>
      <c r="G4515" s="46" t="s">
        <v>102</v>
      </c>
      <c r="H4515" s="46" t="s">
        <v>6165</v>
      </c>
      <c r="I4515" s="45" t="s">
        <v>205</v>
      </c>
      <c r="J4515" s="46" t="s">
        <v>127</v>
      </c>
      <c r="K4515" s="46" t="s">
        <v>127</v>
      </c>
      <c r="L4515" s="46" t="s">
        <v>15</v>
      </c>
      <c r="M4515" s="46" t="s">
        <v>13</v>
      </c>
      <c r="N4515" s="46" t="s">
        <v>16</v>
      </c>
      <c r="O4515" s="49" t="s">
        <v>814</v>
      </c>
      <c r="P4515" s="49" t="s">
        <v>4910</v>
      </c>
      <c r="Q4515" s="35" t="str">
        <f>MID(Tabla1[[#This Row],[Aplicación]],14,1)</f>
        <v>2</v>
      </c>
      <c r="R4515" s="35" t="s">
        <v>495</v>
      </c>
      <c r="S4515" s="35" t="str">
        <f>MID(Tabla1[[#This Row],[Aplicación]],6,2)</f>
        <v>03</v>
      </c>
      <c r="T4515" s="35" t="str">
        <f>VLOOKUP(Tabla1[[#This Row],[AREA]],Hoja1!A:B,2,FALSE)</f>
        <v>03. Participación ciudadana y deportes</v>
      </c>
      <c r="U4515" s="35" t="str">
        <f>MID(Tabla1[[#This Row],[Aplicación]],9,4)</f>
        <v>9241</v>
      </c>
      <c r="V4515" s="35" t="str">
        <f>VLOOKUP(Tabla1[[#This Row],[PROGRAMA]],Hoja1!A:B,2,FALSE)</f>
        <v>9241. Participación ciudadana</v>
      </c>
      <c r="W4515" s="35" t="str">
        <f>MID(Tabla1[[#This Row],[Aplicación]],14,2)</f>
        <v>21</v>
      </c>
      <c r="X4515" s="35" t="str">
        <f>MID(Tabla1[[#This Row],[Aplicación]],14,6)</f>
        <v>213</v>
      </c>
    </row>
    <row r="4516" spans="1:24" x14ac:dyDescent="0.25">
      <c r="A4516" s="45">
        <v>220210056525</v>
      </c>
      <c r="B4516" s="46" t="s">
        <v>204</v>
      </c>
      <c r="C4516" s="47">
        <v>44455</v>
      </c>
      <c r="D4516" s="45">
        <v>22021005928</v>
      </c>
      <c r="E4516" s="46" t="s">
        <v>1397</v>
      </c>
      <c r="F4516" s="48">
        <v>2500.4699999999998</v>
      </c>
      <c r="G4516" s="46" t="s">
        <v>563</v>
      </c>
      <c r="H4516" s="46" t="s">
        <v>6166</v>
      </c>
      <c r="I4516" s="45" t="s">
        <v>205</v>
      </c>
      <c r="J4516" s="46" t="s">
        <v>127</v>
      </c>
      <c r="K4516" s="46" t="s">
        <v>127</v>
      </c>
      <c r="L4516" s="46" t="s">
        <v>12</v>
      </c>
      <c r="M4516" s="46" t="s">
        <v>13</v>
      </c>
      <c r="N4516" s="46" t="s">
        <v>14</v>
      </c>
      <c r="O4516" s="49" t="s">
        <v>814</v>
      </c>
      <c r="P4516" s="49" t="s">
        <v>4910</v>
      </c>
      <c r="Q4516" s="35" t="str">
        <f>MID(Tabla1[[#This Row],[Aplicación]],14,1)</f>
        <v>2</v>
      </c>
      <c r="R4516" s="35" t="s">
        <v>495</v>
      </c>
      <c r="S4516" s="35" t="str">
        <f>MID(Tabla1[[#This Row],[Aplicación]],6,2)</f>
        <v>11</v>
      </c>
      <c r="T4516" s="35" t="str">
        <f>VLOOKUP(Tabla1[[#This Row],[AREA]],Hoja1!A:B,2,FALSE)</f>
        <v>11. Salud pública y seguridad ciudadana</v>
      </c>
      <c r="U4516" s="35" t="str">
        <f>MID(Tabla1[[#This Row],[Aplicación]],9,4)</f>
        <v>1361</v>
      </c>
      <c r="V4516" s="35" t="str">
        <f>VLOOKUP(Tabla1[[#This Row],[PROGRAMA]],Hoja1!A:B,2,FALSE)</f>
        <v>1361. Prevención y extinción de incencios</v>
      </c>
      <c r="W4516" s="35" t="str">
        <f>MID(Tabla1[[#This Row],[Aplicación]],14,2)</f>
        <v>21</v>
      </c>
      <c r="X4516" s="35" t="str">
        <f>MID(Tabla1[[#This Row],[Aplicación]],14,6)</f>
        <v>214</v>
      </c>
    </row>
    <row r="4517" spans="1:24" x14ac:dyDescent="0.25">
      <c r="A4517" s="45">
        <v>220210063155</v>
      </c>
      <c r="B4517" s="46" t="s">
        <v>204</v>
      </c>
      <c r="C4517" s="47">
        <v>44469</v>
      </c>
      <c r="D4517" s="45">
        <v>22021002369</v>
      </c>
      <c r="E4517" s="46" t="s">
        <v>1336</v>
      </c>
      <c r="F4517" s="48">
        <v>229.02</v>
      </c>
      <c r="G4517" s="46" t="s">
        <v>235</v>
      </c>
      <c r="H4517" s="46" t="s">
        <v>6167</v>
      </c>
      <c r="I4517" s="45" t="s">
        <v>205</v>
      </c>
      <c r="J4517" s="46" t="s">
        <v>742</v>
      </c>
      <c r="K4517" s="46" t="s">
        <v>165</v>
      </c>
      <c r="L4517" s="46" t="s">
        <v>15</v>
      </c>
      <c r="M4517" s="46" t="s">
        <v>13</v>
      </c>
      <c r="N4517" s="46" t="s">
        <v>14</v>
      </c>
      <c r="O4517" s="49" t="s">
        <v>814</v>
      </c>
      <c r="P4517" s="49" t="s">
        <v>4910</v>
      </c>
      <c r="Q4517" s="35" t="str">
        <f>MID(Tabla1[[#This Row],[Aplicación]],14,1)</f>
        <v>2</v>
      </c>
      <c r="R4517" s="35" t="s">
        <v>495</v>
      </c>
      <c r="S4517" s="35" t="str">
        <f>MID(Tabla1[[#This Row],[Aplicación]],6,2)</f>
        <v>02</v>
      </c>
      <c r="T4517" s="35" t="str">
        <f>VLOOKUP(Tabla1[[#This Row],[AREA]],Hoja1!A:B,2,FALSE)</f>
        <v>02. Planeamiento urbanístico y vivienda</v>
      </c>
      <c r="U4517" s="35" t="str">
        <f>MID(Tabla1[[#This Row],[Aplicación]],9,4)</f>
        <v>9332</v>
      </c>
      <c r="V4517" s="35" t="str">
        <f>VLOOKUP(Tabla1[[#This Row],[PROGRAMA]],Hoja1!A:B,2,FALSE)</f>
        <v>9332. Mantenimiento de edificios e instalaciones municipales</v>
      </c>
      <c r="W4517" s="35" t="str">
        <f>MID(Tabla1[[#This Row],[Aplicación]],14,2)</f>
        <v>21</v>
      </c>
      <c r="X4517" s="35" t="str">
        <f>MID(Tabla1[[#This Row],[Aplicación]],14,6)</f>
        <v>212</v>
      </c>
    </row>
    <row r="4518" spans="1:24" x14ac:dyDescent="0.25">
      <c r="A4518" s="45">
        <v>220210062280</v>
      </c>
      <c r="B4518" s="46" t="s">
        <v>9</v>
      </c>
      <c r="C4518" s="47">
        <v>44469</v>
      </c>
      <c r="D4518" s="45">
        <v>22021006746</v>
      </c>
      <c r="E4518" s="46" t="s">
        <v>1187</v>
      </c>
      <c r="F4518" s="48">
        <v>6000</v>
      </c>
      <c r="G4518" s="46" t="s">
        <v>6168</v>
      </c>
      <c r="H4518" s="46" t="s">
        <v>6169</v>
      </c>
      <c r="I4518" s="45" t="s">
        <v>125</v>
      </c>
      <c r="J4518" s="46" t="s">
        <v>127</v>
      </c>
      <c r="K4518" s="46" t="s">
        <v>127</v>
      </c>
      <c r="L4518" s="46" t="s">
        <v>12</v>
      </c>
      <c r="M4518" s="46" t="s">
        <v>10</v>
      </c>
      <c r="N4518" s="46" t="s">
        <v>11</v>
      </c>
      <c r="O4518" s="49" t="s">
        <v>815</v>
      </c>
      <c r="P4518" s="49" t="s">
        <v>4910</v>
      </c>
      <c r="Q4518" s="35" t="str">
        <f>MID(Tabla1[[#This Row],[Aplicación]],14,1)</f>
        <v>2</v>
      </c>
      <c r="R4518" s="35" t="s">
        <v>495</v>
      </c>
      <c r="S4518" s="35" t="str">
        <f>MID(Tabla1[[#This Row],[Aplicación]],6,2)</f>
        <v>06</v>
      </c>
      <c r="T4518" s="35" t="str">
        <f>VLOOKUP(Tabla1[[#This Row],[AREA]],Hoja1!A:B,2,FALSE)</f>
        <v>06. Educación, infancia, juventud e igualdad</v>
      </c>
      <c r="U4518" s="35" t="str">
        <f>MID(Tabla1[[#This Row],[Aplicación]],9,4)</f>
        <v>2315</v>
      </c>
      <c r="V4518" s="35" t="str">
        <f>VLOOKUP(Tabla1[[#This Row],[PROGRAMA]],Hoja1!A:B,2,FALSE)</f>
        <v>2315. Políticas de Igualdad e infancia</v>
      </c>
      <c r="W4518" s="35" t="str">
        <f>MID(Tabla1[[#This Row],[Aplicación]],14,2)</f>
        <v>22</v>
      </c>
      <c r="X4518" s="35" t="str">
        <f>MID(Tabla1[[#This Row],[Aplicación]],14,6)</f>
        <v>22611</v>
      </c>
    </row>
    <row r="4519" spans="1:24" x14ac:dyDescent="0.25">
      <c r="A4519" s="45">
        <v>220210059332</v>
      </c>
      <c r="B4519" s="46" t="s">
        <v>204</v>
      </c>
      <c r="C4519" s="47">
        <v>44466</v>
      </c>
      <c r="D4519" s="45">
        <v>22021002049</v>
      </c>
      <c r="E4519" s="46" t="s">
        <v>1671</v>
      </c>
      <c r="F4519" s="48">
        <v>1844.44</v>
      </c>
      <c r="G4519" s="46" t="s">
        <v>265</v>
      </c>
      <c r="H4519" s="46" t="s">
        <v>6170</v>
      </c>
      <c r="I4519" s="45" t="s">
        <v>205</v>
      </c>
      <c r="J4519" s="46" t="s">
        <v>157</v>
      </c>
      <c r="K4519" s="46" t="s">
        <v>157</v>
      </c>
      <c r="L4519" s="46" t="s">
        <v>15</v>
      </c>
      <c r="M4519" s="46" t="s">
        <v>13</v>
      </c>
      <c r="N4519" s="46" t="s">
        <v>14</v>
      </c>
      <c r="O4519" s="49" t="s">
        <v>814</v>
      </c>
      <c r="P4519" s="49" t="s">
        <v>4910</v>
      </c>
      <c r="Q4519" s="35" t="str">
        <f>MID(Tabla1[[#This Row],[Aplicación]],14,1)</f>
        <v>2</v>
      </c>
      <c r="R4519" s="35" t="s">
        <v>495</v>
      </c>
      <c r="S4519" s="35" t="str">
        <f>MID(Tabla1[[#This Row],[Aplicación]],6,2)</f>
        <v>11</v>
      </c>
      <c r="T4519" s="35" t="str">
        <f>VLOOKUP(Tabla1[[#This Row],[AREA]],Hoja1!A:B,2,FALSE)</f>
        <v>11. Salud pública y seguridad ciudadana</v>
      </c>
      <c r="U4519" s="35" t="str">
        <f>MID(Tabla1[[#This Row],[Aplicación]],9,4)</f>
        <v>1621</v>
      </c>
      <c r="V4519" s="35" t="str">
        <f>VLOOKUP(Tabla1[[#This Row],[PROGRAMA]],Hoja1!A:B,2,FALSE)</f>
        <v>1621. Servicio de limpieza</v>
      </c>
      <c r="W4519" s="35" t="str">
        <f>MID(Tabla1[[#This Row],[Aplicación]],14,2)</f>
        <v>22</v>
      </c>
      <c r="X4519" s="35" t="str">
        <f>MID(Tabla1[[#This Row],[Aplicación]],14,6)</f>
        <v>22103</v>
      </c>
    </row>
    <row r="4520" spans="1:24" x14ac:dyDescent="0.25">
      <c r="A4520" s="45">
        <v>220210059336</v>
      </c>
      <c r="B4520" s="46" t="s">
        <v>204</v>
      </c>
      <c r="C4520" s="47">
        <v>44466</v>
      </c>
      <c r="D4520" s="45">
        <v>22021002049</v>
      </c>
      <c r="E4520" s="46" t="s">
        <v>1671</v>
      </c>
      <c r="F4520" s="48">
        <v>859.1</v>
      </c>
      <c r="G4520" s="46" t="s">
        <v>265</v>
      </c>
      <c r="H4520" s="46" t="s">
        <v>6171</v>
      </c>
      <c r="I4520" s="45" t="s">
        <v>205</v>
      </c>
      <c r="J4520" s="46" t="s">
        <v>157</v>
      </c>
      <c r="K4520" s="46" t="s">
        <v>157</v>
      </c>
      <c r="L4520" s="46" t="s">
        <v>15</v>
      </c>
      <c r="M4520" s="46" t="s">
        <v>13</v>
      </c>
      <c r="N4520" s="46" t="s">
        <v>14</v>
      </c>
      <c r="O4520" s="49" t="s">
        <v>814</v>
      </c>
      <c r="P4520" s="49" t="s">
        <v>4910</v>
      </c>
      <c r="Q4520" s="35" t="str">
        <f>MID(Tabla1[[#This Row],[Aplicación]],14,1)</f>
        <v>2</v>
      </c>
      <c r="R4520" s="35" t="s">
        <v>495</v>
      </c>
      <c r="S4520" s="35" t="str">
        <f>MID(Tabla1[[#This Row],[Aplicación]],6,2)</f>
        <v>11</v>
      </c>
      <c r="T4520" s="35" t="str">
        <f>VLOOKUP(Tabla1[[#This Row],[AREA]],Hoja1!A:B,2,FALSE)</f>
        <v>11. Salud pública y seguridad ciudadana</v>
      </c>
      <c r="U4520" s="35" t="str">
        <f>MID(Tabla1[[#This Row],[Aplicación]],9,4)</f>
        <v>1621</v>
      </c>
      <c r="V4520" s="35" t="str">
        <f>VLOOKUP(Tabla1[[#This Row],[PROGRAMA]],Hoja1!A:B,2,FALSE)</f>
        <v>1621. Servicio de limpieza</v>
      </c>
      <c r="W4520" s="35" t="str">
        <f>MID(Tabla1[[#This Row],[Aplicación]],14,2)</f>
        <v>22</v>
      </c>
      <c r="X4520" s="35" t="str">
        <f>MID(Tabla1[[#This Row],[Aplicación]],14,6)</f>
        <v>22103</v>
      </c>
    </row>
    <row r="4521" spans="1:24" x14ac:dyDescent="0.25">
      <c r="A4521" s="45">
        <v>220210059334</v>
      </c>
      <c r="B4521" s="46" t="s">
        <v>204</v>
      </c>
      <c r="C4521" s="47">
        <v>44466</v>
      </c>
      <c r="D4521" s="45">
        <v>22021002048</v>
      </c>
      <c r="E4521" s="46" t="s">
        <v>890</v>
      </c>
      <c r="F4521" s="48">
        <v>556.6</v>
      </c>
      <c r="G4521" s="46" t="s">
        <v>265</v>
      </c>
      <c r="H4521" s="46" t="s">
        <v>6172</v>
      </c>
      <c r="I4521" s="45" t="s">
        <v>205</v>
      </c>
      <c r="J4521" s="46" t="s">
        <v>157</v>
      </c>
      <c r="K4521" s="46" t="s">
        <v>157</v>
      </c>
      <c r="L4521" s="46" t="s">
        <v>15</v>
      </c>
      <c r="M4521" s="46" t="s">
        <v>13</v>
      </c>
      <c r="N4521" s="46" t="s">
        <v>14</v>
      </c>
      <c r="O4521" s="49" t="s">
        <v>814</v>
      </c>
      <c r="P4521" s="49" t="s">
        <v>4910</v>
      </c>
      <c r="Q4521" s="35" t="str">
        <f>MID(Tabla1[[#This Row],[Aplicación]],14,1)</f>
        <v>2</v>
      </c>
      <c r="R4521" s="35" t="s">
        <v>495</v>
      </c>
      <c r="S4521" s="35" t="str">
        <f>MID(Tabla1[[#This Row],[Aplicación]],6,2)</f>
        <v>11</v>
      </c>
      <c r="T4521" s="35" t="str">
        <f>VLOOKUP(Tabla1[[#This Row],[AREA]],Hoja1!A:B,2,FALSE)</f>
        <v>11. Salud pública y seguridad ciudadana</v>
      </c>
      <c r="U4521" s="35" t="str">
        <f>MID(Tabla1[[#This Row],[Aplicación]],9,4)</f>
        <v>1621</v>
      </c>
      <c r="V4521" s="35" t="str">
        <f>VLOOKUP(Tabla1[[#This Row],[PROGRAMA]],Hoja1!A:B,2,FALSE)</f>
        <v>1621. Servicio de limpieza</v>
      </c>
      <c r="W4521" s="35" t="str">
        <f>MID(Tabla1[[#This Row],[Aplicación]],14,2)</f>
        <v>21</v>
      </c>
      <c r="X4521" s="35" t="str">
        <f>MID(Tabla1[[#This Row],[Aplicación]],14,6)</f>
        <v>214</v>
      </c>
    </row>
    <row r="4522" spans="1:24" x14ac:dyDescent="0.25">
      <c r="A4522" s="45">
        <v>220210058768</v>
      </c>
      <c r="B4522" s="46" t="s">
        <v>204</v>
      </c>
      <c r="C4522" s="47">
        <v>44462</v>
      </c>
      <c r="D4522" s="45">
        <v>22021002144</v>
      </c>
      <c r="E4522" s="46" t="s">
        <v>1328</v>
      </c>
      <c r="F4522" s="48">
        <v>210.93</v>
      </c>
      <c r="G4522" s="46" t="s">
        <v>256</v>
      </c>
      <c r="H4522" s="46" t="s">
        <v>6173</v>
      </c>
      <c r="I4522" s="45" t="s">
        <v>205</v>
      </c>
      <c r="J4522" s="46" t="s">
        <v>127</v>
      </c>
      <c r="K4522" s="46" t="s">
        <v>127</v>
      </c>
      <c r="L4522" s="46" t="s">
        <v>15</v>
      </c>
      <c r="M4522" s="46" t="s">
        <v>13</v>
      </c>
      <c r="N4522" s="46" t="s">
        <v>14</v>
      </c>
      <c r="O4522" s="49" t="s">
        <v>814</v>
      </c>
      <c r="P4522" s="49" t="s">
        <v>4910</v>
      </c>
      <c r="Q4522" s="35" t="str">
        <f>MID(Tabla1[[#This Row],[Aplicación]],14,1)</f>
        <v>2</v>
      </c>
      <c r="R4522" s="35" t="s">
        <v>495</v>
      </c>
      <c r="S4522" s="35" t="str">
        <f>MID(Tabla1[[#This Row],[Aplicación]],6,2)</f>
        <v>10</v>
      </c>
      <c r="T4522" s="35" t="str">
        <f>VLOOKUP(Tabla1[[#This Row],[AREA]],Hoja1!A:B,2,FALSE)</f>
        <v>10. Servicios sociales y mediación comunitaria</v>
      </c>
      <c r="U4522" s="35" t="str">
        <f>MID(Tabla1[[#This Row],[Aplicación]],9,4)</f>
        <v>2311</v>
      </c>
      <c r="V4522" s="35" t="str">
        <f>VLOOKUP(Tabla1[[#This Row],[PROGRAMA]],Hoja1!A:B,2,FALSE)</f>
        <v>2311. Intervención social</v>
      </c>
      <c r="W4522" s="35" t="str">
        <f>MID(Tabla1[[#This Row],[Aplicación]],14,2)</f>
        <v>21</v>
      </c>
      <c r="X4522" s="35" t="str">
        <f>MID(Tabla1[[#This Row],[Aplicación]],14,6)</f>
        <v>212</v>
      </c>
    </row>
    <row r="4523" spans="1:24" x14ac:dyDescent="0.25">
      <c r="A4523" s="45">
        <v>220210059338</v>
      </c>
      <c r="B4523" s="46" t="s">
        <v>204</v>
      </c>
      <c r="C4523" s="47">
        <v>44466</v>
      </c>
      <c r="D4523" s="45">
        <v>22021002048</v>
      </c>
      <c r="E4523" s="46" t="s">
        <v>890</v>
      </c>
      <c r="F4523" s="48">
        <v>250.13</v>
      </c>
      <c r="G4523" s="46" t="s">
        <v>265</v>
      </c>
      <c r="H4523" s="46" t="s">
        <v>6174</v>
      </c>
      <c r="I4523" s="45" t="s">
        <v>205</v>
      </c>
      <c r="J4523" s="46" t="s">
        <v>157</v>
      </c>
      <c r="K4523" s="46" t="s">
        <v>157</v>
      </c>
      <c r="L4523" s="46" t="s">
        <v>15</v>
      </c>
      <c r="M4523" s="46" t="s">
        <v>13</v>
      </c>
      <c r="N4523" s="46" t="s">
        <v>14</v>
      </c>
      <c r="O4523" s="49" t="s">
        <v>814</v>
      </c>
      <c r="P4523" s="49" t="s">
        <v>4910</v>
      </c>
      <c r="Q4523" s="35" t="str">
        <f>MID(Tabla1[[#This Row],[Aplicación]],14,1)</f>
        <v>2</v>
      </c>
      <c r="R4523" s="35" t="s">
        <v>495</v>
      </c>
      <c r="S4523" s="35" t="str">
        <f>MID(Tabla1[[#This Row],[Aplicación]],6,2)</f>
        <v>11</v>
      </c>
      <c r="T4523" s="35" t="str">
        <f>VLOOKUP(Tabla1[[#This Row],[AREA]],Hoja1!A:B,2,FALSE)</f>
        <v>11. Salud pública y seguridad ciudadana</v>
      </c>
      <c r="U4523" s="35" t="str">
        <f>MID(Tabla1[[#This Row],[Aplicación]],9,4)</f>
        <v>1621</v>
      </c>
      <c r="V4523" s="35" t="str">
        <f>VLOOKUP(Tabla1[[#This Row],[PROGRAMA]],Hoja1!A:B,2,FALSE)</f>
        <v>1621. Servicio de limpieza</v>
      </c>
      <c r="W4523" s="35" t="str">
        <f>MID(Tabla1[[#This Row],[Aplicación]],14,2)</f>
        <v>21</v>
      </c>
      <c r="X4523" s="35" t="str">
        <f>MID(Tabla1[[#This Row],[Aplicación]],14,6)</f>
        <v>214</v>
      </c>
    </row>
    <row r="4524" spans="1:24" x14ac:dyDescent="0.25">
      <c r="A4524" s="45">
        <v>220210058608</v>
      </c>
      <c r="B4524" s="46" t="s">
        <v>204</v>
      </c>
      <c r="C4524" s="47">
        <v>44461</v>
      </c>
      <c r="D4524" s="45">
        <v>22021003381</v>
      </c>
      <c r="E4524" s="46" t="s">
        <v>1183</v>
      </c>
      <c r="F4524" s="48">
        <v>206.14</v>
      </c>
      <c r="G4524" s="46" t="s">
        <v>274</v>
      </c>
      <c r="H4524" s="46" t="s">
        <v>6175</v>
      </c>
      <c r="I4524" s="45" t="s">
        <v>205</v>
      </c>
      <c r="J4524" s="46" t="s">
        <v>127</v>
      </c>
      <c r="K4524" s="46" t="s">
        <v>127</v>
      </c>
      <c r="L4524" s="46" t="s">
        <v>15</v>
      </c>
      <c r="M4524" s="46" t="s">
        <v>13</v>
      </c>
      <c r="N4524" s="46" t="s">
        <v>14</v>
      </c>
      <c r="O4524" s="49" t="s">
        <v>814</v>
      </c>
      <c r="P4524" s="49" t="s">
        <v>4910</v>
      </c>
      <c r="Q4524" s="35" t="str">
        <f>MID(Tabla1[[#This Row],[Aplicación]],14,1)</f>
        <v>2</v>
      </c>
      <c r="R4524" s="35" t="s">
        <v>495</v>
      </c>
      <c r="S4524" s="35" t="str">
        <f>MID(Tabla1[[#This Row],[Aplicación]],6,2)</f>
        <v>11</v>
      </c>
      <c r="T4524" s="35" t="str">
        <f>VLOOKUP(Tabla1[[#This Row],[AREA]],Hoja1!A:B,2,FALSE)</f>
        <v>11. Salud pública y seguridad ciudadana</v>
      </c>
      <c r="U4524" s="35" t="str">
        <f>MID(Tabla1[[#This Row],[Aplicación]],9,4)</f>
        <v>1361</v>
      </c>
      <c r="V4524" s="35" t="str">
        <f>VLOOKUP(Tabla1[[#This Row],[PROGRAMA]],Hoja1!A:B,2,FALSE)</f>
        <v>1361. Prevención y extinción de incencios</v>
      </c>
      <c r="W4524" s="35" t="str">
        <f>MID(Tabla1[[#This Row],[Aplicación]],14,2)</f>
        <v>22</v>
      </c>
      <c r="X4524" s="35" t="str">
        <f>MID(Tabla1[[#This Row],[Aplicación]],14,6)</f>
        <v>22199</v>
      </c>
    </row>
    <row r="4525" spans="1:24" x14ac:dyDescent="0.25">
      <c r="A4525" s="45">
        <v>220210058588</v>
      </c>
      <c r="B4525" s="46" t="s">
        <v>204</v>
      </c>
      <c r="C4525" s="47">
        <v>44461</v>
      </c>
      <c r="D4525" s="45">
        <v>22021003381</v>
      </c>
      <c r="E4525" s="46" t="s">
        <v>1183</v>
      </c>
      <c r="F4525" s="48">
        <v>43.27</v>
      </c>
      <c r="G4525" s="46" t="s">
        <v>300</v>
      </c>
      <c r="H4525" s="46" t="s">
        <v>6176</v>
      </c>
      <c r="I4525" s="45" t="s">
        <v>205</v>
      </c>
      <c r="J4525" s="46" t="s">
        <v>613</v>
      </c>
      <c r="K4525" s="46" t="s">
        <v>127</v>
      </c>
      <c r="L4525" s="46" t="s">
        <v>15</v>
      </c>
      <c r="M4525" s="46" t="s">
        <v>10</v>
      </c>
      <c r="N4525" s="46" t="s">
        <v>11</v>
      </c>
      <c r="O4525" s="49" t="s">
        <v>815</v>
      </c>
      <c r="P4525" s="49" t="s">
        <v>4910</v>
      </c>
      <c r="Q4525" s="35" t="str">
        <f>MID(Tabla1[[#This Row],[Aplicación]],14,1)</f>
        <v>2</v>
      </c>
      <c r="R4525" s="35" t="s">
        <v>495</v>
      </c>
      <c r="S4525" s="35" t="str">
        <f>MID(Tabla1[[#This Row],[Aplicación]],6,2)</f>
        <v>11</v>
      </c>
      <c r="T4525" s="35" t="str">
        <f>VLOOKUP(Tabla1[[#This Row],[AREA]],Hoja1!A:B,2,FALSE)</f>
        <v>11. Salud pública y seguridad ciudadana</v>
      </c>
      <c r="U4525" s="35" t="str">
        <f>MID(Tabla1[[#This Row],[Aplicación]],9,4)</f>
        <v>1361</v>
      </c>
      <c r="V4525" s="35" t="str">
        <f>VLOOKUP(Tabla1[[#This Row],[PROGRAMA]],Hoja1!A:B,2,FALSE)</f>
        <v>1361. Prevención y extinción de incencios</v>
      </c>
      <c r="W4525" s="35" t="str">
        <f>MID(Tabla1[[#This Row],[Aplicación]],14,2)</f>
        <v>22</v>
      </c>
      <c r="X4525" s="35" t="str">
        <f>MID(Tabla1[[#This Row],[Aplicación]],14,6)</f>
        <v>22199</v>
      </c>
    </row>
    <row r="4526" spans="1:24" x14ac:dyDescent="0.25">
      <c r="A4526" s="45">
        <v>220210058584</v>
      </c>
      <c r="B4526" s="46" t="s">
        <v>204</v>
      </c>
      <c r="C4526" s="47">
        <v>44461</v>
      </c>
      <c r="D4526" s="45">
        <v>22021003381</v>
      </c>
      <c r="E4526" s="46" t="s">
        <v>1183</v>
      </c>
      <c r="F4526" s="48">
        <v>20.79</v>
      </c>
      <c r="G4526" s="46" t="s">
        <v>300</v>
      </c>
      <c r="H4526" s="46" t="s">
        <v>6177</v>
      </c>
      <c r="I4526" s="45" t="s">
        <v>205</v>
      </c>
      <c r="J4526" s="46" t="s">
        <v>613</v>
      </c>
      <c r="K4526" s="46" t="s">
        <v>127</v>
      </c>
      <c r="L4526" s="46" t="s">
        <v>15</v>
      </c>
      <c r="M4526" s="46" t="s">
        <v>10</v>
      </c>
      <c r="N4526" s="46" t="s">
        <v>11</v>
      </c>
      <c r="O4526" s="49" t="s">
        <v>815</v>
      </c>
      <c r="P4526" s="49" t="s">
        <v>4910</v>
      </c>
      <c r="Q4526" s="35" t="str">
        <f>MID(Tabla1[[#This Row],[Aplicación]],14,1)</f>
        <v>2</v>
      </c>
      <c r="R4526" s="35" t="s">
        <v>495</v>
      </c>
      <c r="S4526" s="35" t="str">
        <f>MID(Tabla1[[#This Row],[Aplicación]],6,2)</f>
        <v>11</v>
      </c>
      <c r="T4526" s="35" t="str">
        <f>VLOOKUP(Tabla1[[#This Row],[AREA]],Hoja1!A:B,2,FALSE)</f>
        <v>11. Salud pública y seguridad ciudadana</v>
      </c>
      <c r="U4526" s="35" t="str">
        <f>MID(Tabla1[[#This Row],[Aplicación]],9,4)</f>
        <v>1361</v>
      </c>
      <c r="V4526" s="35" t="str">
        <f>VLOOKUP(Tabla1[[#This Row],[PROGRAMA]],Hoja1!A:B,2,FALSE)</f>
        <v>1361. Prevención y extinción de incencios</v>
      </c>
      <c r="W4526" s="35" t="str">
        <f>MID(Tabla1[[#This Row],[Aplicación]],14,2)</f>
        <v>22</v>
      </c>
      <c r="X4526" s="35" t="str">
        <f>MID(Tabla1[[#This Row],[Aplicación]],14,6)</f>
        <v>22199</v>
      </c>
    </row>
    <row r="4527" spans="1:24" x14ac:dyDescent="0.25">
      <c r="A4527" s="45">
        <v>220210058612</v>
      </c>
      <c r="B4527" s="46" t="s">
        <v>204</v>
      </c>
      <c r="C4527" s="47">
        <v>44461</v>
      </c>
      <c r="D4527" s="45">
        <v>22021003381</v>
      </c>
      <c r="E4527" s="46" t="s">
        <v>1183</v>
      </c>
      <c r="F4527" s="48">
        <v>16.87</v>
      </c>
      <c r="G4527" s="46" t="s">
        <v>300</v>
      </c>
      <c r="H4527" s="46" t="s">
        <v>6178</v>
      </c>
      <c r="I4527" s="45" t="s">
        <v>205</v>
      </c>
      <c r="J4527" s="46" t="s">
        <v>613</v>
      </c>
      <c r="K4527" s="46" t="s">
        <v>127</v>
      </c>
      <c r="L4527" s="46" t="s">
        <v>15</v>
      </c>
      <c r="M4527" s="46" t="s">
        <v>10</v>
      </c>
      <c r="N4527" s="46" t="s">
        <v>11</v>
      </c>
      <c r="O4527" s="49" t="s">
        <v>815</v>
      </c>
      <c r="P4527" s="49" t="s">
        <v>4910</v>
      </c>
      <c r="Q4527" s="35" t="str">
        <f>MID(Tabla1[[#This Row],[Aplicación]],14,1)</f>
        <v>2</v>
      </c>
      <c r="R4527" s="35" t="s">
        <v>495</v>
      </c>
      <c r="S4527" s="35" t="str">
        <f>MID(Tabla1[[#This Row],[Aplicación]],6,2)</f>
        <v>11</v>
      </c>
      <c r="T4527" s="35" t="str">
        <f>VLOOKUP(Tabla1[[#This Row],[AREA]],Hoja1!A:B,2,FALSE)</f>
        <v>11. Salud pública y seguridad ciudadana</v>
      </c>
      <c r="U4527" s="35" t="str">
        <f>MID(Tabla1[[#This Row],[Aplicación]],9,4)</f>
        <v>1361</v>
      </c>
      <c r="V4527" s="35" t="str">
        <f>VLOOKUP(Tabla1[[#This Row],[PROGRAMA]],Hoja1!A:B,2,FALSE)</f>
        <v>1361. Prevención y extinción de incencios</v>
      </c>
      <c r="W4527" s="35" t="str">
        <f>MID(Tabla1[[#This Row],[Aplicación]],14,2)</f>
        <v>22</v>
      </c>
      <c r="X4527" s="35" t="str">
        <f>MID(Tabla1[[#This Row],[Aplicación]],14,6)</f>
        <v>22199</v>
      </c>
    </row>
    <row r="4528" spans="1:24" x14ac:dyDescent="0.25">
      <c r="A4528" s="45">
        <v>220210057771</v>
      </c>
      <c r="B4528" s="46" t="s">
        <v>204</v>
      </c>
      <c r="C4528" s="47">
        <v>44459</v>
      </c>
      <c r="D4528" s="45">
        <v>22021002088</v>
      </c>
      <c r="E4528" s="46" t="s">
        <v>1478</v>
      </c>
      <c r="F4528" s="48">
        <v>165.9</v>
      </c>
      <c r="G4528" s="46" t="s">
        <v>235</v>
      </c>
      <c r="H4528" s="46" t="s">
        <v>6179</v>
      </c>
      <c r="I4528" s="45" t="s">
        <v>205</v>
      </c>
      <c r="J4528" s="46" t="s">
        <v>742</v>
      </c>
      <c r="K4528" s="46" t="s">
        <v>165</v>
      </c>
      <c r="L4528" s="46" t="s">
        <v>15</v>
      </c>
      <c r="M4528" s="46" t="s">
        <v>13</v>
      </c>
      <c r="N4528" s="46" t="s">
        <v>16</v>
      </c>
      <c r="O4528" s="49" t="s">
        <v>814</v>
      </c>
      <c r="P4528" s="49" t="s">
        <v>4910</v>
      </c>
      <c r="Q4528" s="35" t="str">
        <f>MID(Tabla1[[#This Row],[Aplicación]],14,1)</f>
        <v>2</v>
      </c>
      <c r="R4528" s="35" t="s">
        <v>495</v>
      </c>
      <c r="S4528" s="35" t="str">
        <f>MID(Tabla1[[#This Row],[Aplicación]],6,2)</f>
        <v>03</v>
      </c>
      <c r="T4528" s="35" t="str">
        <f>VLOOKUP(Tabla1[[#This Row],[AREA]],Hoja1!A:B,2,FALSE)</f>
        <v>03. Participación ciudadana y deportes</v>
      </c>
      <c r="U4528" s="35" t="str">
        <f>MID(Tabla1[[#This Row],[Aplicación]],9,4)</f>
        <v>9241</v>
      </c>
      <c r="V4528" s="35" t="str">
        <f>VLOOKUP(Tabla1[[#This Row],[PROGRAMA]],Hoja1!A:B,2,FALSE)</f>
        <v>9241. Participación ciudadana</v>
      </c>
      <c r="W4528" s="35" t="str">
        <f>MID(Tabla1[[#This Row],[Aplicación]],14,2)</f>
        <v>21</v>
      </c>
      <c r="X4528" s="35" t="str">
        <f>MID(Tabla1[[#This Row],[Aplicación]],14,6)</f>
        <v>212</v>
      </c>
    </row>
    <row r="4529" spans="1:24" x14ac:dyDescent="0.25">
      <c r="A4529" s="45">
        <v>220210058586</v>
      </c>
      <c r="B4529" s="46" t="s">
        <v>204</v>
      </c>
      <c r="C4529" s="47">
        <v>44461</v>
      </c>
      <c r="D4529" s="45">
        <v>22021003381</v>
      </c>
      <c r="E4529" s="46" t="s">
        <v>1183</v>
      </c>
      <c r="F4529" s="48">
        <v>14.47</v>
      </c>
      <c r="G4529" s="46" t="s">
        <v>300</v>
      </c>
      <c r="H4529" s="46" t="s">
        <v>6180</v>
      </c>
      <c r="I4529" s="45" t="s">
        <v>205</v>
      </c>
      <c r="J4529" s="46" t="s">
        <v>613</v>
      </c>
      <c r="K4529" s="46" t="s">
        <v>127</v>
      </c>
      <c r="L4529" s="46" t="s">
        <v>15</v>
      </c>
      <c r="M4529" s="46" t="s">
        <v>10</v>
      </c>
      <c r="N4529" s="46" t="s">
        <v>11</v>
      </c>
      <c r="O4529" s="49" t="s">
        <v>815</v>
      </c>
      <c r="P4529" s="49" t="s">
        <v>4910</v>
      </c>
      <c r="Q4529" s="35" t="str">
        <f>MID(Tabla1[[#This Row],[Aplicación]],14,1)</f>
        <v>2</v>
      </c>
      <c r="R4529" s="35" t="s">
        <v>495</v>
      </c>
      <c r="S4529" s="35" t="str">
        <f>MID(Tabla1[[#This Row],[Aplicación]],6,2)</f>
        <v>11</v>
      </c>
      <c r="T4529" s="35" t="str">
        <f>VLOOKUP(Tabla1[[#This Row],[AREA]],Hoja1!A:B,2,FALSE)</f>
        <v>11. Salud pública y seguridad ciudadana</v>
      </c>
      <c r="U4529" s="35" t="str">
        <f>MID(Tabla1[[#This Row],[Aplicación]],9,4)</f>
        <v>1361</v>
      </c>
      <c r="V4529" s="35" t="str">
        <f>VLOOKUP(Tabla1[[#This Row],[PROGRAMA]],Hoja1!A:B,2,FALSE)</f>
        <v>1361. Prevención y extinción de incencios</v>
      </c>
      <c r="W4529" s="35" t="str">
        <f>MID(Tabla1[[#This Row],[Aplicación]],14,2)</f>
        <v>22</v>
      </c>
      <c r="X4529" s="35" t="str">
        <f>MID(Tabla1[[#This Row],[Aplicación]],14,6)</f>
        <v>22199</v>
      </c>
    </row>
    <row r="4530" spans="1:24" x14ac:dyDescent="0.25">
      <c r="A4530" s="45">
        <v>220210056688</v>
      </c>
      <c r="B4530" s="46" t="s">
        <v>204</v>
      </c>
      <c r="C4530" s="47">
        <v>44455</v>
      </c>
      <c r="D4530" s="45">
        <v>22021002228</v>
      </c>
      <c r="E4530" s="46" t="s">
        <v>1471</v>
      </c>
      <c r="F4530" s="48">
        <v>157.6</v>
      </c>
      <c r="G4530" s="46" t="s">
        <v>263</v>
      </c>
      <c r="H4530" s="46" t="s">
        <v>6181</v>
      </c>
      <c r="I4530" s="45" t="s">
        <v>205</v>
      </c>
      <c r="J4530" s="46" t="s">
        <v>127</v>
      </c>
      <c r="K4530" s="46" t="s">
        <v>127</v>
      </c>
      <c r="L4530" s="46" t="s">
        <v>15</v>
      </c>
      <c r="M4530" s="46" t="s">
        <v>13</v>
      </c>
      <c r="N4530" s="46" t="s">
        <v>16</v>
      </c>
      <c r="O4530" s="49" t="s">
        <v>814</v>
      </c>
      <c r="P4530" s="49" t="s">
        <v>4910</v>
      </c>
      <c r="Q4530" s="35" t="str">
        <f>MID(Tabla1[[#This Row],[Aplicación]],14,1)</f>
        <v>2</v>
      </c>
      <c r="R4530" s="35" t="s">
        <v>495</v>
      </c>
      <c r="S4530" s="35" t="str">
        <f>MID(Tabla1[[#This Row],[Aplicación]],6,2)</f>
        <v>06</v>
      </c>
      <c r="T4530" s="35" t="str">
        <f>VLOOKUP(Tabla1[[#This Row],[AREA]],Hoja1!A:B,2,FALSE)</f>
        <v>06. Educación, infancia, juventud e igualdad</v>
      </c>
      <c r="U4530" s="35" t="str">
        <f>MID(Tabla1[[#This Row],[Aplicación]],9,4)</f>
        <v>3232</v>
      </c>
      <c r="V4530" s="35" t="str">
        <f>VLOOKUP(Tabla1[[#This Row],[PROGRAMA]],Hoja1!A:B,2,FALSE)</f>
        <v>3232. Conservación y mantenimiento centros educación infantil y primaria</v>
      </c>
      <c r="W4530" s="35" t="str">
        <f>MID(Tabla1[[#This Row],[Aplicación]],14,2)</f>
        <v>21</v>
      </c>
      <c r="X4530" s="35" t="str">
        <f>MID(Tabla1[[#This Row],[Aplicación]],14,6)</f>
        <v>212</v>
      </c>
    </row>
    <row r="4531" spans="1:24" x14ac:dyDescent="0.25">
      <c r="A4531" s="45">
        <v>220210058940</v>
      </c>
      <c r="B4531" s="46" t="s">
        <v>9</v>
      </c>
      <c r="C4531" s="47">
        <v>44462</v>
      </c>
      <c r="D4531" s="45">
        <v>22021006599</v>
      </c>
      <c r="E4531" s="46" t="s">
        <v>6182</v>
      </c>
      <c r="F4531" s="48">
        <v>99.34</v>
      </c>
      <c r="G4531" s="46" t="s">
        <v>253</v>
      </c>
      <c r="H4531" s="46" t="s">
        <v>6183</v>
      </c>
      <c r="I4531" s="45" t="s">
        <v>125</v>
      </c>
      <c r="J4531" s="46" t="s">
        <v>127</v>
      </c>
      <c r="K4531" s="46" t="s">
        <v>127</v>
      </c>
      <c r="L4531" s="46" t="s">
        <v>15</v>
      </c>
      <c r="M4531" s="46" t="s">
        <v>10</v>
      </c>
      <c r="N4531" s="46" t="s">
        <v>14</v>
      </c>
      <c r="O4531" s="49" t="s">
        <v>815</v>
      </c>
      <c r="P4531" s="49" t="s">
        <v>4910</v>
      </c>
      <c r="Q4531" s="35" t="str">
        <f>MID(Tabla1[[#This Row],[Aplicación]],14,1)</f>
        <v>2</v>
      </c>
      <c r="R4531" s="35" t="s">
        <v>495</v>
      </c>
      <c r="S4531" s="35" t="str">
        <f>MID(Tabla1[[#This Row],[Aplicación]],6,2)</f>
        <v>02</v>
      </c>
      <c r="T4531" s="35" t="str">
        <f>VLOOKUP(Tabla1[[#This Row],[AREA]],Hoja1!A:B,2,FALSE)</f>
        <v>02. Planeamiento urbanístico y vivienda</v>
      </c>
      <c r="U4531" s="35" t="str">
        <f>MID(Tabla1[[#This Row],[Aplicación]],9,4)</f>
        <v>9332</v>
      </c>
      <c r="V4531" s="35" t="str">
        <f>VLOOKUP(Tabla1[[#This Row],[PROGRAMA]],Hoja1!A:B,2,FALSE)</f>
        <v>9332. Mantenimiento de edificios e instalaciones municipales</v>
      </c>
      <c r="W4531" s="35" t="str">
        <f>MID(Tabla1[[#This Row],[Aplicación]],14,2)</f>
        <v>22</v>
      </c>
      <c r="X4531" s="35" t="str">
        <f>MID(Tabla1[[#This Row],[Aplicación]],14,6)</f>
        <v>22699</v>
      </c>
    </row>
    <row r="4532" spans="1:24" x14ac:dyDescent="0.25">
      <c r="A4532" s="45">
        <v>220210058604</v>
      </c>
      <c r="B4532" s="46" t="s">
        <v>204</v>
      </c>
      <c r="C4532" s="47">
        <v>44461</v>
      </c>
      <c r="D4532" s="45">
        <v>22021002601</v>
      </c>
      <c r="E4532" s="46" t="s">
        <v>3362</v>
      </c>
      <c r="F4532" s="48">
        <v>3549.18</v>
      </c>
      <c r="G4532" s="46" t="s">
        <v>3927</v>
      </c>
      <c r="H4532" s="46" t="s">
        <v>6184</v>
      </c>
      <c r="I4532" s="45" t="s">
        <v>205</v>
      </c>
      <c r="J4532" s="46" t="s">
        <v>127</v>
      </c>
      <c r="K4532" s="46" t="s">
        <v>127</v>
      </c>
      <c r="L4532" s="46" t="s">
        <v>15</v>
      </c>
      <c r="M4532" s="46" t="s">
        <v>13</v>
      </c>
      <c r="N4532" s="46" t="s">
        <v>16</v>
      </c>
      <c r="O4532" s="49" t="s">
        <v>814</v>
      </c>
      <c r="P4532" s="49" t="s">
        <v>4910</v>
      </c>
      <c r="Q4532" s="35" t="str">
        <f>MID(Tabla1[[#This Row],[Aplicación]],14,1)</f>
        <v>6</v>
      </c>
      <c r="R4532" s="35" t="s">
        <v>496</v>
      </c>
      <c r="S4532" s="35" t="str">
        <f>MID(Tabla1[[#This Row],[Aplicación]],6,2)</f>
        <v>06</v>
      </c>
      <c r="T4532" s="35" t="str">
        <f>VLOOKUP(Tabla1[[#This Row],[AREA]],Hoja1!A:B,2,FALSE)</f>
        <v>06. Educación, infancia, juventud e igualdad</v>
      </c>
      <c r="U4532" s="35" t="str">
        <f>MID(Tabla1[[#This Row],[Aplicación]],9,4)</f>
        <v>3321</v>
      </c>
      <c r="V4532" s="35" t="str">
        <f>VLOOKUP(Tabla1[[#This Row],[PROGRAMA]],Hoja1!A:B,2,FALSE)</f>
        <v>3321. Bibliotecas públicas</v>
      </c>
      <c r="W4532" s="35" t="str">
        <f>MID(Tabla1[[#This Row],[Aplicación]],14,2)</f>
        <v>62</v>
      </c>
      <c r="X4532" s="35" t="str">
        <f>MID(Tabla1[[#This Row],[Aplicación]],14,6)</f>
        <v>629</v>
      </c>
    </row>
    <row r="4533" spans="1:24" x14ac:dyDescent="0.25">
      <c r="A4533" s="45">
        <v>220210061339</v>
      </c>
      <c r="B4533" s="46" t="s">
        <v>9</v>
      </c>
      <c r="C4533" s="47">
        <v>44468</v>
      </c>
      <c r="D4533" s="45">
        <v>22021006502</v>
      </c>
      <c r="E4533" s="46" t="s">
        <v>1401</v>
      </c>
      <c r="F4533" s="48">
        <v>146.11000000000001</v>
      </c>
      <c r="G4533" s="46" t="s">
        <v>6185</v>
      </c>
      <c r="H4533" s="46" t="s">
        <v>6186</v>
      </c>
      <c r="I4533" s="45" t="s">
        <v>125</v>
      </c>
      <c r="J4533" s="46" t="s">
        <v>127</v>
      </c>
      <c r="K4533" s="46" t="s">
        <v>127</v>
      </c>
      <c r="L4533" s="46" t="s">
        <v>15</v>
      </c>
      <c r="M4533" s="46" t="s">
        <v>10</v>
      </c>
      <c r="N4533" s="46" t="s">
        <v>11</v>
      </c>
      <c r="O4533" s="49" t="s">
        <v>815</v>
      </c>
      <c r="P4533" s="49" t="s">
        <v>4910</v>
      </c>
      <c r="Q4533" s="35" t="str">
        <f>MID(Tabla1[[#This Row],[Aplicación]],14,1)</f>
        <v>2</v>
      </c>
      <c r="R4533" s="35" t="s">
        <v>495</v>
      </c>
      <c r="S4533" s="35" t="str">
        <f>MID(Tabla1[[#This Row],[Aplicación]],6,2)</f>
        <v>10</v>
      </c>
      <c r="T4533" s="35" t="str">
        <f>VLOOKUP(Tabla1[[#This Row],[AREA]],Hoja1!A:B,2,FALSE)</f>
        <v>10. Servicios sociales y mediación comunitaria</v>
      </c>
      <c r="U4533" s="35" t="str">
        <f>MID(Tabla1[[#This Row],[Aplicación]],9,4)</f>
        <v>2312</v>
      </c>
      <c r="V4533" s="35" t="str">
        <f>VLOOKUP(Tabla1[[#This Row],[PROGRAMA]],Hoja1!A:B,2,FALSE)</f>
        <v>2312. Iniciativas sociales</v>
      </c>
      <c r="W4533" s="35" t="str">
        <f>MID(Tabla1[[#This Row],[Aplicación]],14,2)</f>
        <v>22</v>
      </c>
      <c r="X4533" s="35" t="str">
        <f>MID(Tabla1[[#This Row],[Aplicación]],14,6)</f>
        <v>22699</v>
      </c>
    </row>
    <row r="4534" spans="1:24" x14ac:dyDescent="0.25">
      <c r="A4534" s="45">
        <v>220210061339</v>
      </c>
      <c r="B4534" s="46" t="s">
        <v>9</v>
      </c>
      <c r="C4534" s="47">
        <v>44468</v>
      </c>
      <c r="D4534" s="45">
        <v>22021006503</v>
      </c>
      <c r="E4534" s="46" t="s">
        <v>1401</v>
      </c>
      <c r="F4534" s="48">
        <v>146.11000000000001</v>
      </c>
      <c r="G4534" s="46" t="s">
        <v>6185</v>
      </c>
      <c r="H4534" s="46" t="s">
        <v>6186</v>
      </c>
      <c r="I4534" s="45" t="s">
        <v>125</v>
      </c>
      <c r="J4534" s="46" t="s">
        <v>127</v>
      </c>
      <c r="K4534" s="46" t="s">
        <v>127</v>
      </c>
      <c r="L4534" s="46" t="s">
        <v>15</v>
      </c>
      <c r="M4534" s="46" t="s">
        <v>10</v>
      </c>
      <c r="N4534" s="46" t="s">
        <v>11</v>
      </c>
      <c r="O4534" s="49" t="s">
        <v>815</v>
      </c>
      <c r="P4534" s="49" t="s">
        <v>4910</v>
      </c>
      <c r="Q4534" s="35" t="str">
        <f>MID(Tabla1[[#This Row],[Aplicación]],14,1)</f>
        <v>2</v>
      </c>
      <c r="R4534" s="35" t="s">
        <v>495</v>
      </c>
      <c r="S4534" s="35" t="str">
        <f>MID(Tabla1[[#This Row],[Aplicación]],6,2)</f>
        <v>10</v>
      </c>
      <c r="T4534" s="35" t="str">
        <f>VLOOKUP(Tabla1[[#This Row],[AREA]],Hoja1!A:B,2,FALSE)</f>
        <v>10. Servicios sociales y mediación comunitaria</v>
      </c>
      <c r="U4534" s="35" t="str">
        <f>MID(Tabla1[[#This Row],[Aplicación]],9,4)</f>
        <v>2312</v>
      </c>
      <c r="V4534" s="35" t="str">
        <f>VLOOKUP(Tabla1[[#This Row],[PROGRAMA]],Hoja1!A:B,2,FALSE)</f>
        <v>2312. Iniciativas sociales</v>
      </c>
      <c r="W4534" s="35" t="str">
        <f>MID(Tabla1[[#This Row],[Aplicación]],14,2)</f>
        <v>22</v>
      </c>
      <c r="X4534" s="35" t="str">
        <f>MID(Tabla1[[#This Row],[Aplicación]],14,6)</f>
        <v>22699</v>
      </c>
    </row>
    <row r="4535" spans="1:24" x14ac:dyDescent="0.25">
      <c r="A4535" s="45">
        <v>220210059400</v>
      </c>
      <c r="B4535" s="46" t="s">
        <v>204</v>
      </c>
      <c r="C4535" s="47">
        <v>44466</v>
      </c>
      <c r="D4535" s="45">
        <v>22021002228</v>
      </c>
      <c r="E4535" s="46" t="s">
        <v>1471</v>
      </c>
      <c r="F4535" s="48">
        <v>140.93</v>
      </c>
      <c r="G4535" s="46" t="s">
        <v>277</v>
      </c>
      <c r="H4535" s="46" t="s">
        <v>6187</v>
      </c>
      <c r="I4535" s="45" t="s">
        <v>205</v>
      </c>
      <c r="J4535" s="46" t="s">
        <v>127</v>
      </c>
      <c r="K4535" s="46" t="s">
        <v>127</v>
      </c>
      <c r="L4535" s="46" t="s">
        <v>15</v>
      </c>
      <c r="M4535" s="46" t="s">
        <v>13</v>
      </c>
      <c r="N4535" s="46" t="s">
        <v>14</v>
      </c>
      <c r="O4535" s="49" t="s">
        <v>814</v>
      </c>
      <c r="P4535" s="49" t="s">
        <v>4910</v>
      </c>
      <c r="Q4535" s="35" t="str">
        <f>MID(Tabla1[[#This Row],[Aplicación]],14,1)</f>
        <v>2</v>
      </c>
      <c r="R4535" s="35" t="s">
        <v>495</v>
      </c>
      <c r="S4535" s="35" t="str">
        <f>MID(Tabla1[[#This Row],[Aplicación]],6,2)</f>
        <v>06</v>
      </c>
      <c r="T4535" s="35" t="str">
        <f>VLOOKUP(Tabla1[[#This Row],[AREA]],Hoja1!A:B,2,FALSE)</f>
        <v>06. Educación, infancia, juventud e igualdad</v>
      </c>
      <c r="U4535" s="35" t="str">
        <f>MID(Tabla1[[#This Row],[Aplicación]],9,4)</f>
        <v>3232</v>
      </c>
      <c r="V4535" s="35" t="str">
        <f>VLOOKUP(Tabla1[[#This Row],[PROGRAMA]],Hoja1!A:B,2,FALSE)</f>
        <v>3232. Conservación y mantenimiento centros educación infantil y primaria</v>
      </c>
      <c r="W4535" s="35" t="str">
        <f>MID(Tabla1[[#This Row],[Aplicación]],14,2)</f>
        <v>21</v>
      </c>
      <c r="X4535" s="35" t="str">
        <f>MID(Tabla1[[#This Row],[Aplicación]],14,6)</f>
        <v>212</v>
      </c>
    </row>
    <row r="4536" spans="1:24" x14ac:dyDescent="0.25">
      <c r="A4536" s="45">
        <v>220210057030</v>
      </c>
      <c r="B4536" s="46" t="s">
        <v>9</v>
      </c>
      <c r="C4536" s="47">
        <v>44456</v>
      </c>
      <c r="D4536" s="45">
        <v>22021006474</v>
      </c>
      <c r="E4536" s="46" t="s">
        <v>6070</v>
      </c>
      <c r="F4536" s="48">
        <v>139.33000000000001</v>
      </c>
      <c r="G4536" s="46" t="s">
        <v>3902</v>
      </c>
      <c r="H4536" s="46" t="s">
        <v>6188</v>
      </c>
      <c r="I4536" s="45" t="s">
        <v>125</v>
      </c>
      <c r="J4536" s="46" t="s">
        <v>127</v>
      </c>
      <c r="K4536" s="46" t="s">
        <v>127</v>
      </c>
      <c r="L4536" s="46" t="s">
        <v>15</v>
      </c>
      <c r="M4536" s="46" t="s">
        <v>13</v>
      </c>
      <c r="N4536" s="46" t="s">
        <v>14</v>
      </c>
      <c r="O4536" s="49" t="s">
        <v>814</v>
      </c>
      <c r="P4536" s="49" t="s">
        <v>4910</v>
      </c>
      <c r="Q4536" s="35" t="str">
        <f>MID(Tabla1[[#This Row],[Aplicación]],14,1)</f>
        <v>2</v>
      </c>
      <c r="R4536" s="35" t="s">
        <v>495</v>
      </c>
      <c r="S4536" s="35" t="str">
        <f>MID(Tabla1[[#This Row],[Aplicación]],6,2)</f>
        <v>05</v>
      </c>
      <c r="T4536" s="35" t="str">
        <f>VLOOKUP(Tabla1[[#This Row],[AREA]],Hoja1!A:B,2,FALSE)</f>
        <v>05. Innovación, desarrollo económico, empleo y comercio</v>
      </c>
      <c r="U4536" s="35" t="str">
        <f>MID(Tabla1[[#This Row],[Aplicación]],9,4)</f>
        <v>4331</v>
      </c>
      <c r="V4536" s="35" t="str">
        <f>VLOOKUP(Tabla1[[#This Row],[PROGRAMA]],Hoja1!A:B,2,FALSE)</f>
        <v>4331. Desarrollo empresarial</v>
      </c>
      <c r="W4536" s="35" t="str">
        <f>MID(Tabla1[[#This Row],[Aplicación]],14,2)</f>
        <v>21</v>
      </c>
      <c r="X4536" s="35" t="str">
        <f>MID(Tabla1[[#This Row],[Aplicación]],14,6)</f>
        <v>212</v>
      </c>
    </row>
    <row r="4537" spans="1:24" x14ac:dyDescent="0.25">
      <c r="A4537" s="45">
        <v>220210058606</v>
      </c>
      <c r="B4537" s="46" t="s">
        <v>204</v>
      </c>
      <c r="C4537" s="47">
        <v>44461</v>
      </c>
      <c r="D4537" s="45">
        <v>22021005928</v>
      </c>
      <c r="E4537" s="46" t="s">
        <v>1397</v>
      </c>
      <c r="F4537" s="48">
        <v>139.27000000000001</v>
      </c>
      <c r="G4537" s="46" t="s">
        <v>263</v>
      </c>
      <c r="H4537" s="46" t="s">
        <v>6189</v>
      </c>
      <c r="I4537" s="45" t="s">
        <v>205</v>
      </c>
      <c r="J4537" s="46" t="s">
        <v>127</v>
      </c>
      <c r="K4537" s="46" t="s">
        <v>127</v>
      </c>
      <c r="L4537" s="46" t="s">
        <v>12</v>
      </c>
      <c r="M4537" s="46" t="s">
        <v>13</v>
      </c>
      <c r="N4537" s="46" t="s">
        <v>14</v>
      </c>
      <c r="O4537" s="49" t="s">
        <v>814</v>
      </c>
      <c r="P4537" s="49" t="s">
        <v>4910</v>
      </c>
      <c r="Q4537" s="35" t="str">
        <f>MID(Tabla1[[#This Row],[Aplicación]],14,1)</f>
        <v>2</v>
      </c>
      <c r="R4537" s="35" t="s">
        <v>495</v>
      </c>
      <c r="S4537" s="35" t="str">
        <f>MID(Tabla1[[#This Row],[Aplicación]],6,2)</f>
        <v>11</v>
      </c>
      <c r="T4537" s="35" t="str">
        <f>VLOOKUP(Tabla1[[#This Row],[AREA]],Hoja1!A:B,2,FALSE)</f>
        <v>11. Salud pública y seguridad ciudadana</v>
      </c>
      <c r="U4537" s="35" t="str">
        <f>MID(Tabla1[[#This Row],[Aplicación]],9,4)</f>
        <v>1361</v>
      </c>
      <c r="V4537" s="35" t="str">
        <f>VLOOKUP(Tabla1[[#This Row],[PROGRAMA]],Hoja1!A:B,2,FALSE)</f>
        <v>1361. Prevención y extinción de incencios</v>
      </c>
      <c r="W4537" s="35" t="str">
        <f>MID(Tabla1[[#This Row],[Aplicación]],14,2)</f>
        <v>21</v>
      </c>
      <c r="X4537" s="35" t="str">
        <f>MID(Tabla1[[#This Row],[Aplicación]],14,6)</f>
        <v>214</v>
      </c>
    </row>
    <row r="4538" spans="1:24" x14ac:dyDescent="0.25">
      <c r="A4538" s="45">
        <v>220210058661</v>
      </c>
      <c r="B4538" s="46" t="s">
        <v>204</v>
      </c>
      <c r="C4538" s="47">
        <v>44461</v>
      </c>
      <c r="D4538" s="45">
        <v>22021002369</v>
      </c>
      <c r="E4538" s="46" t="s">
        <v>1336</v>
      </c>
      <c r="F4538" s="48">
        <v>127.96</v>
      </c>
      <c r="G4538" s="46" t="s">
        <v>256</v>
      </c>
      <c r="H4538" s="46" t="s">
        <v>6190</v>
      </c>
      <c r="I4538" s="45" t="s">
        <v>205</v>
      </c>
      <c r="J4538" s="46" t="s">
        <v>127</v>
      </c>
      <c r="K4538" s="46" t="s">
        <v>127</v>
      </c>
      <c r="L4538" s="46" t="s">
        <v>15</v>
      </c>
      <c r="M4538" s="46" t="s">
        <v>13</v>
      </c>
      <c r="N4538" s="46" t="s">
        <v>14</v>
      </c>
      <c r="O4538" s="49" t="s">
        <v>814</v>
      </c>
      <c r="P4538" s="49" t="s">
        <v>4910</v>
      </c>
      <c r="Q4538" s="35" t="str">
        <f>MID(Tabla1[[#This Row],[Aplicación]],14,1)</f>
        <v>2</v>
      </c>
      <c r="R4538" s="35" t="s">
        <v>495</v>
      </c>
      <c r="S4538" s="35" t="str">
        <f>MID(Tabla1[[#This Row],[Aplicación]],6,2)</f>
        <v>02</v>
      </c>
      <c r="T4538" s="35" t="str">
        <f>VLOOKUP(Tabla1[[#This Row],[AREA]],Hoja1!A:B,2,FALSE)</f>
        <v>02. Planeamiento urbanístico y vivienda</v>
      </c>
      <c r="U4538" s="35" t="str">
        <f>MID(Tabla1[[#This Row],[Aplicación]],9,4)</f>
        <v>9332</v>
      </c>
      <c r="V4538" s="35" t="str">
        <f>VLOOKUP(Tabla1[[#This Row],[PROGRAMA]],Hoja1!A:B,2,FALSE)</f>
        <v>9332. Mantenimiento de edificios e instalaciones municipales</v>
      </c>
      <c r="W4538" s="35" t="str">
        <f>MID(Tabla1[[#This Row],[Aplicación]],14,2)</f>
        <v>21</v>
      </c>
      <c r="X4538" s="35" t="str">
        <f>MID(Tabla1[[#This Row],[Aplicación]],14,6)</f>
        <v>212</v>
      </c>
    </row>
    <row r="4539" spans="1:24" x14ac:dyDescent="0.25">
      <c r="A4539" s="45">
        <v>220210059348</v>
      </c>
      <c r="B4539" s="46" t="s">
        <v>204</v>
      </c>
      <c r="C4539" s="47">
        <v>44466</v>
      </c>
      <c r="D4539" s="45">
        <v>22021002089</v>
      </c>
      <c r="E4539" s="46" t="s">
        <v>1220</v>
      </c>
      <c r="F4539" s="48">
        <v>127.53</v>
      </c>
      <c r="G4539" s="46" t="s">
        <v>102</v>
      </c>
      <c r="H4539" s="46" t="s">
        <v>6191</v>
      </c>
      <c r="I4539" s="45" t="s">
        <v>205</v>
      </c>
      <c r="J4539" s="46" t="s">
        <v>127</v>
      </c>
      <c r="K4539" s="46" t="s">
        <v>127</v>
      </c>
      <c r="L4539" s="46" t="s">
        <v>15</v>
      </c>
      <c r="M4539" s="46" t="s">
        <v>13</v>
      </c>
      <c r="N4539" s="46" t="s">
        <v>16</v>
      </c>
      <c r="O4539" s="49" t="s">
        <v>814</v>
      </c>
      <c r="P4539" s="49" t="s">
        <v>4910</v>
      </c>
      <c r="Q4539" s="35" t="str">
        <f>MID(Tabla1[[#This Row],[Aplicación]],14,1)</f>
        <v>2</v>
      </c>
      <c r="R4539" s="35" t="s">
        <v>495</v>
      </c>
      <c r="S4539" s="35" t="str">
        <f>MID(Tabla1[[#This Row],[Aplicación]],6,2)</f>
        <v>03</v>
      </c>
      <c r="T4539" s="35" t="str">
        <f>VLOOKUP(Tabla1[[#This Row],[AREA]],Hoja1!A:B,2,FALSE)</f>
        <v>03. Participación ciudadana y deportes</v>
      </c>
      <c r="U4539" s="35" t="str">
        <f>MID(Tabla1[[#This Row],[Aplicación]],9,4)</f>
        <v>9241</v>
      </c>
      <c r="V4539" s="35" t="str">
        <f>VLOOKUP(Tabla1[[#This Row],[PROGRAMA]],Hoja1!A:B,2,FALSE)</f>
        <v>9241. Participación ciudadana</v>
      </c>
      <c r="W4539" s="35" t="str">
        <f>MID(Tabla1[[#This Row],[Aplicación]],14,2)</f>
        <v>21</v>
      </c>
      <c r="X4539" s="35" t="str">
        <f>MID(Tabla1[[#This Row],[Aplicación]],14,6)</f>
        <v>213</v>
      </c>
    </row>
    <row r="4540" spans="1:24" x14ac:dyDescent="0.25">
      <c r="A4540" s="45">
        <v>220210056738</v>
      </c>
      <c r="B4540" s="46" t="s">
        <v>204</v>
      </c>
      <c r="C4540" s="47">
        <v>44455</v>
      </c>
      <c r="D4540" s="45">
        <v>22021002048</v>
      </c>
      <c r="E4540" s="46" t="s">
        <v>890</v>
      </c>
      <c r="F4540" s="48">
        <v>202.01</v>
      </c>
      <c r="G4540" s="46" t="s">
        <v>273</v>
      </c>
      <c r="H4540" s="46" t="s">
        <v>6192</v>
      </c>
      <c r="I4540" s="45" t="s">
        <v>205</v>
      </c>
      <c r="J4540" s="46" t="s">
        <v>127</v>
      </c>
      <c r="K4540" s="46" t="s">
        <v>127</v>
      </c>
      <c r="L4540" s="46" t="s">
        <v>15</v>
      </c>
      <c r="M4540" s="46" t="s">
        <v>13</v>
      </c>
      <c r="N4540" s="46" t="s">
        <v>14</v>
      </c>
      <c r="O4540" s="49" t="s">
        <v>814</v>
      </c>
      <c r="P4540" s="49" t="s">
        <v>4910</v>
      </c>
      <c r="Q4540" s="35" t="str">
        <f>MID(Tabla1[[#This Row],[Aplicación]],14,1)</f>
        <v>2</v>
      </c>
      <c r="R4540" s="35" t="s">
        <v>495</v>
      </c>
      <c r="S4540" s="35" t="str">
        <f>MID(Tabla1[[#This Row],[Aplicación]],6,2)</f>
        <v>11</v>
      </c>
      <c r="T4540" s="35" t="str">
        <f>VLOOKUP(Tabla1[[#This Row],[AREA]],Hoja1!A:B,2,FALSE)</f>
        <v>11. Salud pública y seguridad ciudadana</v>
      </c>
      <c r="U4540" s="35" t="str">
        <f>MID(Tabla1[[#This Row],[Aplicación]],9,4)</f>
        <v>1621</v>
      </c>
      <c r="V4540" s="35" t="str">
        <f>VLOOKUP(Tabla1[[#This Row],[PROGRAMA]],Hoja1!A:B,2,FALSE)</f>
        <v>1621. Servicio de limpieza</v>
      </c>
      <c r="W4540" s="35" t="str">
        <f>MID(Tabla1[[#This Row],[Aplicación]],14,2)</f>
        <v>21</v>
      </c>
      <c r="X4540" s="35" t="str">
        <f>MID(Tabla1[[#This Row],[Aplicación]],14,6)</f>
        <v>214</v>
      </c>
    </row>
    <row r="4541" spans="1:24" x14ac:dyDescent="0.25">
      <c r="A4541" s="45">
        <v>220210056710</v>
      </c>
      <c r="B4541" s="46" t="s">
        <v>204</v>
      </c>
      <c r="C4541" s="47">
        <v>44455</v>
      </c>
      <c r="D4541" s="45">
        <v>22021002052</v>
      </c>
      <c r="E4541" s="46" t="s">
        <v>1340</v>
      </c>
      <c r="F4541" s="48">
        <v>74.02</v>
      </c>
      <c r="G4541" s="46" t="s">
        <v>235</v>
      </c>
      <c r="H4541" s="46" t="s">
        <v>6193</v>
      </c>
      <c r="I4541" s="45" t="s">
        <v>205</v>
      </c>
      <c r="J4541" s="46" t="s">
        <v>742</v>
      </c>
      <c r="K4541" s="46" t="s">
        <v>165</v>
      </c>
      <c r="L4541" s="46" t="s">
        <v>15</v>
      </c>
      <c r="M4541" s="46" t="s">
        <v>13</v>
      </c>
      <c r="N4541" s="46" t="s">
        <v>14</v>
      </c>
      <c r="O4541" s="49" t="s">
        <v>814</v>
      </c>
      <c r="P4541" s="49" t="s">
        <v>4910</v>
      </c>
      <c r="Q4541" s="35" t="str">
        <f>MID(Tabla1[[#This Row],[Aplicación]],14,1)</f>
        <v>2</v>
      </c>
      <c r="R4541" s="35" t="s">
        <v>495</v>
      </c>
      <c r="S4541" s="35" t="str">
        <f>MID(Tabla1[[#This Row],[Aplicación]],6,2)</f>
        <v>11</v>
      </c>
      <c r="T4541" s="35" t="str">
        <f>VLOOKUP(Tabla1[[#This Row],[AREA]],Hoja1!A:B,2,FALSE)</f>
        <v>11. Salud pública y seguridad ciudadana</v>
      </c>
      <c r="U4541" s="35" t="str">
        <f>MID(Tabla1[[#This Row],[Aplicación]],9,4)</f>
        <v>1621</v>
      </c>
      <c r="V4541" s="35" t="str">
        <f>VLOOKUP(Tabla1[[#This Row],[PROGRAMA]],Hoja1!A:B,2,FALSE)</f>
        <v>1621. Servicio de limpieza</v>
      </c>
      <c r="W4541" s="35" t="str">
        <f>MID(Tabla1[[#This Row],[Aplicación]],14,2)</f>
        <v>22</v>
      </c>
      <c r="X4541" s="35" t="str">
        <f>MID(Tabla1[[#This Row],[Aplicación]],14,6)</f>
        <v>22199</v>
      </c>
    </row>
    <row r="4542" spans="1:24" x14ac:dyDescent="0.25">
      <c r="A4542" s="45">
        <v>220210059010</v>
      </c>
      <c r="B4542" s="46" t="s">
        <v>204</v>
      </c>
      <c r="C4542" s="47">
        <v>44463</v>
      </c>
      <c r="D4542" s="45">
        <v>22021002146</v>
      </c>
      <c r="E4542" s="46" t="s">
        <v>1410</v>
      </c>
      <c r="F4542" s="48">
        <v>74.16</v>
      </c>
      <c r="G4542" s="46" t="s">
        <v>264</v>
      </c>
      <c r="H4542" s="46" t="s">
        <v>3269</v>
      </c>
      <c r="I4542" s="45" t="s">
        <v>205</v>
      </c>
      <c r="J4542" s="46" t="s">
        <v>127</v>
      </c>
      <c r="K4542" s="46" t="s">
        <v>127</v>
      </c>
      <c r="L4542" s="46" t="s">
        <v>15</v>
      </c>
      <c r="M4542" s="46" t="s">
        <v>13</v>
      </c>
      <c r="N4542" s="46" t="s">
        <v>14</v>
      </c>
      <c r="O4542" s="49" t="s">
        <v>814</v>
      </c>
      <c r="P4542" s="49" t="s">
        <v>4910</v>
      </c>
      <c r="Q4542" s="35" t="str">
        <f>MID(Tabla1[[#This Row],[Aplicación]],14,1)</f>
        <v>2</v>
      </c>
      <c r="R4542" s="35" t="s">
        <v>495</v>
      </c>
      <c r="S4542" s="35" t="str">
        <f>MID(Tabla1[[#This Row],[Aplicación]],6,2)</f>
        <v>07</v>
      </c>
      <c r="T4542" s="35" t="str">
        <f>VLOOKUP(Tabla1[[#This Row],[AREA]],Hoja1!A:B,2,FALSE)</f>
        <v>07. Medio ambiente y desarrollo sostenible</v>
      </c>
      <c r="U4542" s="35" t="str">
        <f>MID(Tabla1[[#This Row],[Aplicación]],9,4)</f>
        <v>1711</v>
      </c>
      <c r="V4542" s="35" t="str">
        <f>VLOOKUP(Tabla1[[#This Row],[PROGRAMA]],Hoja1!A:B,2,FALSE)</f>
        <v>1711. Parques y jardines</v>
      </c>
      <c r="W4542" s="35" t="str">
        <f>MID(Tabla1[[#This Row],[Aplicación]],14,2)</f>
        <v>21</v>
      </c>
      <c r="X4542" s="35" t="str">
        <f>MID(Tabla1[[#This Row],[Aplicación]],14,6)</f>
        <v>214</v>
      </c>
    </row>
    <row r="4543" spans="1:24" x14ac:dyDescent="0.25">
      <c r="A4543" s="45">
        <v>220210063145</v>
      </c>
      <c r="B4543" s="46" t="s">
        <v>204</v>
      </c>
      <c r="C4543" s="47">
        <v>44469</v>
      </c>
      <c r="D4543" s="45">
        <v>22021001275</v>
      </c>
      <c r="E4543" s="46" t="s">
        <v>1334</v>
      </c>
      <c r="F4543" s="48">
        <v>40.39</v>
      </c>
      <c r="G4543" s="46" t="s">
        <v>270</v>
      </c>
      <c r="H4543" s="46" t="s">
        <v>1461</v>
      </c>
      <c r="I4543" s="45" t="s">
        <v>205</v>
      </c>
      <c r="J4543" s="46" t="s">
        <v>127</v>
      </c>
      <c r="K4543" s="46" t="s">
        <v>127</v>
      </c>
      <c r="L4543" s="46" t="s">
        <v>15</v>
      </c>
      <c r="M4543" s="46" t="s">
        <v>13</v>
      </c>
      <c r="N4543" s="46" t="s">
        <v>14</v>
      </c>
      <c r="O4543" s="49" t="s">
        <v>814</v>
      </c>
      <c r="P4543" s="49" t="s">
        <v>4910</v>
      </c>
      <c r="Q4543" s="35" t="str">
        <f>MID(Tabla1[[#This Row],[Aplicación]],14,1)</f>
        <v>2</v>
      </c>
      <c r="R4543" s="35" t="s">
        <v>495</v>
      </c>
      <c r="S4543" s="35" t="str">
        <f>MID(Tabla1[[#This Row],[Aplicación]],6,2)</f>
        <v>07</v>
      </c>
      <c r="T4543" s="35" t="str">
        <f>VLOOKUP(Tabla1[[#This Row],[AREA]],Hoja1!A:B,2,FALSE)</f>
        <v>07. Medio ambiente y desarrollo sostenible</v>
      </c>
      <c r="U4543" s="35" t="str">
        <f>MID(Tabla1[[#This Row],[Aplicación]],9,4)</f>
        <v>1711</v>
      </c>
      <c r="V4543" s="35" t="str">
        <f>VLOOKUP(Tabla1[[#This Row],[PROGRAMA]],Hoja1!A:B,2,FALSE)</f>
        <v>1711. Parques y jardines</v>
      </c>
      <c r="W4543" s="35" t="str">
        <f>MID(Tabla1[[#This Row],[Aplicación]],14,2)</f>
        <v>22</v>
      </c>
      <c r="X4543" s="35" t="str">
        <f>MID(Tabla1[[#This Row],[Aplicación]],14,6)</f>
        <v>22199</v>
      </c>
    </row>
    <row r="4544" spans="1:24" x14ac:dyDescent="0.25">
      <c r="A4544" s="45">
        <v>220210062278</v>
      </c>
      <c r="B4544" s="46" t="s">
        <v>9</v>
      </c>
      <c r="C4544" s="47">
        <v>44469</v>
      </c>
      <c r="D4544" s="45">
        <v>22021006739</v>
      </c>
      <c r="E4544" s="46" t="s">
        <v>1990</v>
      </c>
      <c r="F4544" s="48">
        <v>420</v>
      </c>
      <c r="G4544" s="46" t="s">
        <v>3074</v>
      </c>
      <c r="H4544" s="46" t="s">
        <v>6194</v>
      </c>
      <c r="I4544" s="45" t="s">
        <v>125</v>
      </c>
      <c r="J4544" s="46" t="s">
        <v>127</v>
      </c>
      <c r="K4544" s="46" t="s">
        <v>127</v>
      </c>
      <c r="L4544" s="46" t="s">
        <v>12</v>
      </c>
      <c r="M4544" s="46" t="s">
        <v>10</v>
      </c>
      <c r="N4544" s="46" t="s">
        <v>11</v>
      </c>
      <c r="O4544" s="49" t="s">
        <v>815</v>
      </c>
      <c r="P4544" s="49" t="s">
        <v>4910</v>
      </c>
      <c r="Q4544" s="35" t="str">
        <f>MID(Tabla1[[#This Row],[Aplicación]],14,1)</f>
        <v>2</v>
      </c>
      <c r="R4544" s="35" t="s">
        <v>495</v>
      </c>
      <c r="S4544" s="35" t="str">
        <f>MID(Tabla1[[#This Row],[Aplicación]],6,2)</f>
        <v>06</v>
      </c>
      <c r="T4544" s="35" t="str">
        <f>VLOOKUP(Tabla1[[#This Row],[AREA]],Hoja1!A:B,2,FALSE)</f>
        <v>06. Educación, infancia, juventud e igualdad</v>
      </c>
      <c r="U4544" s="35" t="str">
        <f>MID(Tabla1[[#This Row],[Aplicación]],9,4)</f>
        <v>3321</v>
      </c>
      <c r="V4544" s="35" t="str">
        <f>VLOOKUP(Tabla1[[#This Row],[PROGRAMA]],Hoja1!A:B,2,FALSE)</f>
        <v>3321. Bibliotecas públicas</v>
      </c>
      <c r="W4544" s="35" t="str">
        <f>MID(Tabla1[[#This Row],[Aplicación]],14,2)</f>
        <v>22</v>
      </c>
      <c r="X4544" s="35" t="str">
        <f>MID(Tabla1[[#This Row],[Aplicación]],14,6)</f>
        <v>22799</v>
      </c>
    </row>
    <row r="4545" spans="1:24" x14ac:dyDescent="0.25">
      <c r="A4545" s="45">
        <v>220210061265</v>
      </c>
      <c r="B4545" s="46" t="s">
        <v>204</v>
      </c>
      <c r="C4545" s="47">
        <v>44468</v>
      </c>
      <c r="D4545" s="45">
        <v>22021003381</v>
      </c>
      <c r="E4545" s="46" t="s">
        <v>1183</v>
      </c>
      <c r="F4545" s="48">
        <v>116.01</v>
      </c>
      <c r="G4545" s="46" t="s">
        <v>135</v>
      </c>
      <c r="H4545" s="46" t="s">
        <v>6195</v>
      </c>
      <c r="I4545" s="45" t="s">
        <v>205</v>
      </c>
      <c r="J4545" s="46" t="s">
        <v>127</v>
      </c>
      <c r="K4545" s="46" t="s">
        <v>127</v>
      </c>
      <c r="L4545" s="46" t="s">
        <v>15</v>
      </c>
      <c r="M4545" s="46" t="s">
        <v>13</v>
      </c>
      <c r="N4545" s="46" t="s">
        <v>14</v>
      </c>
      <c r="O4545" s="49" t="s">
        <v>814</v>
      </c>
      <c r="P4545" s="49" t="s">
        <v>4910</v>
      </c>
      <c r="Q4545" s="35" t="str">
        <f>MID(Tabla1[[#This Row],[Aplicación]],14,1)</f>
        <v>2</v>
      </c>
      <c r="R4545" s="35" t="s">
        <v>495</v>
      </c>
      <c r="S4545" s="35" t="str">
        <f>MID(Tabla1[[#This Row],[Aplicación]],6,2)</f>
        <v>11</v>
      </c>
      <c r="T4545" s="35" t="str">
        <f>VLOOKUP(Tabla1[[#This Row],[AREA]],Hoja1!A:B,2,FALSE)</f>
        <v>11. Salud pública y seguridad ciudadana</v>
      </c>
      <c r="U4545" s="35" t="str">
        <f>MID(Tabla1[[#This Row],[Aplicación]],9,4)</f>
        <v>1361</v>
      </c>
      <c r="V4545" s="35" t="str">
        <f>VLOOKUP(Tabla1[[#This Row],[PROGRAMA]],Hoja1!A:B,2,FALSE)</f>
        <v>1361. Prevención y extinción de incencios</v>
      </c>
      <c r="W4545" s="35" t="str">
        <f>MID(Tabla1[[#This Row],[Aplicación]],14,2)</f>
        <v>22</v>
      </c>
      <c r="X4545" s="35" t="str">
        <f>MID(Tabla1[[#This Row],[Aplicación]],14,6)</f>
        <v>22199</v>
      </c>
    </row>
    <row r="4546" spans="1:24" x14ac:dyDescent="0.25">
      <c r="A4546" s="45">
        <v>220210057031</v>
      </c>
      <c r="B4546" s="46" t="s">
        <v>9</v>
      </c>
      <c r="C4546" s="47">
        <v>44456</v>
      </c>
      <c r="D4546" s="45">
        <v>22021006477</v>
      </c>
      <c r="E4546" s="46" t="s">
        <v>6070</v>
      </c>
      <c r="F4546" s="48">
        <v>108.39</v>
      </c>
      <c r="G4546" s="46" t="s">
        <v>263</v>
      </c>
      <c r="H4546" s="46" t="s">
        <v>6196</v>
      </c>
      <c r="I4546" s="45" t="s">
        <v>125</v>
      </c>
      <c r="J4546" s="46" t="s">
        <v>127</v>
      </c>
      <c r="K4546" s="46" t="s">
        <v>127</v>
      </c>
      <c r="L4546" s="46" t="s">
        <v>15</v>
      </c>
      <c r="M4546" s="46" t="s">
        <v>13</v>
      </c>
      <c r="N4546" s="46" t="s">
        <v>14</v>
      </c>
      <c r="O4546" s="49" t="s">
        <v>814</v>
      </c>
      <c r="P4546" s="49" t="s">
        <v>4910</v>
      </c>
      <c r="Q4546" s="35" t="str">
        <f>MID(Tabla1[[#This Row],[Aplicación]],14,1)</f>
        <v>2</v>
      </c>
      <c r="R4546" s="35" t="s">
        <v>495</v>
      </c>
      <c r="S4546" s="35" t="str">
        <f>MID(Tabla1[[#This Row],[Aplicación]],6,2)</f>
        <v>05</v>
      </c>
      <c r="T4546" s="35" t="str">
        <f>VLOOKUP(Tabla1[[#This Row],[AREA]],Hoja1!A:B,2,FALSE)</f>
        <v>05. Innovación, desarrollo económico, empleo y comercio</v>
      </c>
      <c r="U4546" s="35" t="str">
        <f>MID(Tabla1[[#This Row],[Aplicación]],9,4)</f>
        <v>4331</v>
      </c>
      <c r="V4546" s="35" t="str">
        <f>VLOOKUP(Tabla1[[#This Row],[PROGRAMA]],Hoja1!A:B,2,FALSE)</f>
        <v>4331. Desarrollo empresarial</v>
      </c>
      <c r="W4546" s="35" t="str">
        <f>MID(Tabla1[[#This Row],[Aplicación]],14,2)</f>
        <v>21</v>
      </c>
      <c r="X4546" s="35" t="str">
        <f>MID(Tabla1[[#This Row],[Aplicación]],14,6)</f>
        <v>212</v>
      </c>
    </row>
    <row r="4547" spans="1:24" x14ac:dyDescent="0.25">
      <c r="A4547" s="45">
        <v>220210058657</v>
      </c>
      <c r="B4547" s="46" t="s">
        <v>204</v>
      </c>
      <c r="C4547" s="47">
        <v>44461</v>
      </c>
      <c r="D4547" s="45">
        <v>22021002369</v>
      </c>
      <c r="E4547" s="46" t="s">
        <v>1336</v>
      </c>
      <c r="F4547" s="48">
        <v>104.74</v>
      </c>
      <c r="G4547" s="46" t="s">
        <v>257</v>
      </c>
      <c r="H4547" s="46" t="s">
        <v>6197</v>
      </c>
      <c r="I4547" s="45" t="s">
        <v>205</v>
      </c>
      <c r="J4547" s="46" t="s">
        <v>127</v>
      </c>
      <c r="K4547" s="46" t="s">
        <v>127</v>
      </c>
      <c r="L4547" s="46" t="s">
        <v>15</v>
      </c>
      <c r="M4547" s="46" t="s">
        <v>13</v>
      </c>
      <c r="N4547" s="46" t="s">
        <v>14</v>
      </c>
      <c r="O4547" s="49" t="s">
        <v>814</v>
      </c>
      <c r="P4547" s="49" t="s">
        <v>4910</v>
      </c>
      <c r="Q4547" s="35" t="str">
        <f>MID(Tabla1[[#This Row],[Aplicación]],14,1)</f>
        <v>2</v>
      </c>
      <c r="R4547" s="35" t="s">
        <v>495</v>
      </c>
      <c r="S4547" s="35" t="str">
        <f>MID(Tabla1[[#This Row],[Aplicación]],6,2)</f>
        <v>02</v>
      </c>
      <c r="T4547" s="35" t="str">
        <f>VLOOKUP(Tabla1[[#This Row],[AREA]],Hoja1!A:B,2,FALSE)</f>
        <v>02. Planeamiento urbanístico y vivienda</v>
      </c>
      <c r="U4547" s="35" t="str">
        <f>MID(Tabla1[[#This Row],[Aplicación]],9,4)</f>
        <v>9332</v>
      </c>
      <c r="V4547" s="35" t="str">
        <f>VLOOKUP(Tabla1[[#This Row],[PROGRAMA]],Hoja1!A:B,2,FALSE)</f>
        <v>9332. Mantenimiento de edificios e instalaciones municipales</v>
      </c>
      <c r="W4547" s="35" t="str">
        <f>MID(Tabla1[[#This Row],[Aplicación]],14,2)</f>
        <v>21</v>
      </c>
      <c r="X4547" s="35" t="str">
        <f>MID(Tabla1[[#This Row],[Aplicación]],14,6)</f>
        <v>212</v>
      </c>
    </row>
    <row r="4548" spans="1:24" x14ac:dyDescent="0.25">
      <c r="A4548" s="45">
        <v>220210058645</v>
      </c>
      <c r="B4548" s="46" t="s">
        <v>204</v>
      </c>
      <c r="C4548" s="47">
        <v>44461</v>
      </c>
      <c r="D4548" s="45">
        <v>22021002371</v>
      </c>
      <c r="E4548" s="46" t="s">
        <v>1336</v>
      </c>
      <c r="F4548" s="48">
        <v>103.48</v>
      </c>
      <c r="G4548" s="46" t="s">
        <v>102</v>
      </c>
      <c r="H4548" s="46" t="s">
        <v>6198</v>
      </c>
      <c r="I4548" s="45" t="s">
        <v>205</v>
      </c>
      <c r="J4548" s="46" t="s">
        <v>127</v>
      </c>
      <c r="K4548" s="46" t="s">
        <v>127</v>
      </c>
      <c r="L4548" s="46" t="s">
        <v>15</v>
      </c>
      <c r="M4548" s="46" t="s">
        <v>13</v>
      </c>
      <c r="N4548" s="46" t="s">
        <v>14</v>
      </c>
      <c r="O4548" s="49" t="s">
        <v>814</v>
      </c>
      <c r="P4548" s="49" t="s">
        <v>4910</v>
      </c>
      <c r="Q4548" s="35" t="str">
        <f>MID(Tabla1[[#This Row],[Aplicación]],14,1)</f>
        <v>2</v>
      </c>
      <c r="R4548" s="35" t="s">
        <v>495</v>
      </c>
      <c r="S4548" s="35" t="str">
        <f>MID(Tabla1[[#This Row],[Aplicación]],6,2)</f>
        <v>02</v>
      </c>
      <c r="T4548" s="35" t="str">
        <f>VLOOKUP(Tabla1[[#This Row],[AREA]],Hoja1!A:B,2,FALSE)</f>
        <v>02. Planeamiento urbanístico y vivienda</v>
      </c>
      <c r="U4548" s="35" t="str">
        <f>MID(Tabla1[[#This Row],[Aplicación]],9,4)</f>
        <v>9332</v>
      </c>
      <c r="V4548" s="35" t="str">
        <f>VLOOKUP(Tabla1[[#This Row],[PROGRAMA]],Hoja1!A:B,2,FALSE)</f>
        <v>9332. Mantenimiento de edificios e instalaciones municipales</v>
      </c>
      <c r="W4548" s="35" t="str">
        <f>MID(Tabla1[[#This Row],[Aplicación]],14,2)</f>
        <v>21</v>
      </c>
      <c r="X4548" s="35" t="str">
        <f>MID(Tabla1[[#This Row],[Aplicación]],14,6)</f>
        <v>212</v>
      </c>
    </row>
    <row r="4549" spans="1:24" x14ac:dyDescent="0.25">
      <c r="A4549" s="45">
        <v>220210061344</v>
      </c>
      <c r="B4549" s="46" t="s">
        <v>9</v>
      </c>
      <c r="C4549" s="47">
        <v>44468</v>
      </c>
      <c r="D4549" s="45">
        <v>22021006685</v>
      </c>
      <c r="E4549" s="46" t="s">
        <v>3333</v>
      </c>
      <c r="F4549" s="48">
        <v>2000</v>
      </c>
      <c r="G4549" s="46" t="s">
        <v>40</v>
      </c>
      <c r="H4549" s="46" t="s">
        <v>6199</v>
      </c>
      <c r="I4549" s="45" t="s">
        <v>125</v>
      </c>
      <c r="J4549" s="46" t="s">
        <v>127</v>
      </c>
      <c r="K4549" s="46" t="s">
        <v>127</v>
      </c>
      <c r="L4549" s="46" t="s">
        <v>12</v>
      </c>
      <c r="M4549" s="46" t="s">
        <v>10</v>
      </c>
      <c r="N4549" s="46" t="s">
        <v>11</v>
      </c>
      <c r="O4549" s="49" t="s">
        <v>815</v>
      </c>
      <c r="P4549" s="49" t="s">
        <v>4910</v>
      </c>
      <c r="Q4549" s="35" t="str">
        <f>MID(Tabla1[[#This Row],[Aplicación]],14,1)</f>
        <v>2</v>
      </c>
      <c r="R4549" s="35" t="s">
        <v>495</v>
      </c>
      <c r="S4549" s="35" t="str">
        <f>MID(Tabla1[[#This Row],[Aplicación]],6,2)</f>
        <v>10</v>
      </c>
      <c r="T4549" s="35" t="str">
        <f>VLOOKUP(Tabla1[[#This Row],[AREA]],Hoja1!A:B,2,FALSE)</f>
        <v>10. Servicios sociales y mediación comunitaria</v>
      </c>
      <c r="U4549" s="35" t="str">
        <f>MID(Tabla1[[#This Row],[Aplicación]],9,4)</f>
        <v>2316</v>
      </c>
      <c r="V4549" s="35" t="str">
        <f>VLOOKUP(Tabla1[[#This Row],[PROGRAMA]],Hoja1!A:B,2,FALSE)</f>
        <v>2316. Mediación comunitaria</v>
      </c>
      <c r="W4549" s="35" t="str">
        <f>MID(Tabla1[[#This Row],[Aplicación]],14,2)</f>
        <v>22</v>
      </c>
      <c r="X4549" s="35" t="str">
        <f>MID(Tabla1[[#This Row],[Aplicación]],14,6)</f>
        <v>22616</v>
      </c>
    </row>
    <row r="4550" spans="1:24" x14ac:dyDescent="0.25">
      <c r="A4550" s="45">
        <v>220210062281</v>
      </c>
      <c r="B4550" s="46" t="s">
        <v>9</v>
      </c>
      <c r="C4550" s="47">
        <v>44469</v>
      </c>
      <c r="D4550" s="45">
        <v>22021006747</v>
      </c>
      <c r="E4550" s="46" t="s">
        <v>3332</v>
      </c>
      <c r="F4550" s="48">
        <v>152.46</v>
      </c>
      <c r="G4550" s="46" t="s">
        <v>558</v>
      </c>
      <c r="H4550" s="46" t="s">
        <v>6200</v>
      </c>
      <c r="I4550" s="45" t="s">
        <v>125</v>
      </c>
      <c r="J4550" s="46" t="s">
        <v>127</v>
      </c>
      <c r="K4550" s="46" t="s">
        <v>127</v>
      </c>
      <c r="L4550" s="46" t="s">
        <v>15</v>
      </c>
      <c r="M4550" s="46" t="s">
        <v>10</v>
      </c>
      <c r="N4550" s="46" t="s">
        <v>11</v>
      </c>
      <c r="O4550" s="49" t="s">
        <v>815</v>
      </c>
      <c r="P4550" s="49" t="s">
        <v>4910</v>
      </c>
      <c r="Q4550" s="35" t="str">
        <f>MID(Tabla1[[#This Row],[Aplicación]],14,1)</f>
        <v>6</v>
      </c>
      <c r="R4550" s="35" t="s">
        <v>496</v>
      </c>
      <c r="S4550" s="35" t="str">
        <f>MID(Tabla1[[#This Row],[Aplicación]],6,2)</f>
        <v>03</v>
      </c>
      <c r="T4550" s="35" t="str">
        <f>VLOOKUP(Tabla1[[#This Row],[AREA]],Hoja1!A:B,2,FALSE)</f>
        <v>03. Participación ciudadana y deportes</v>
      </c>
      <c r="U4550" s="35" t="str">
        <f>MID(Tabla1[[#This Row],[Aplicación]],9,4)</f>
        <v>9241</v>
      </c>
      <c r="V4550" s="35" t="str">
        <f>VLOOKUP(Tabla1[[#This Row],[PROGRAMA]],Hoja1!A:B,2,FALSE)</f>
        <v>9241. Participación ciudadana</v>
      </c>
      <c r="W4550" s="35" t="str">
        <f>MID(Tabla1[[#This Row],[Aplicación]],14,2)</f>
        <v>63</v>
      </c>
      <c r="X4550" s="35" t="str">
        <f>MID(Tabla1[[#This Row],[Aplicación]],14,6)</f>
        <v>635</v>
      </c>
    </row>
    <row r="4551" spans="1:24" x14ac:dyDescent="0.25">
      <c r="A4551" s="45">
        <v>220210056781</v>
      </c>
      <c r="B4551" s="46" t="s">
        <v>204</v>
      </c>
      <c r="C4551" s="47">
        <v>44455</v>
      </c>
      <c r="D4551" s="45">
        <v>22021001968</v>
      </c>
      <c r="E4551" s="46" t="s">
        <v>1388</v>
      </c>
      <c r="F4551" s="48">
        <v>119.06</v>
      </c>
      <c r="G4551" s="46" t="s">
        <v>235</v>
      </c>
      <c r="H4551" s="46" t="s">
        <v>6201</v>
      </c>
      <c r="I4551" s="45" t="s">
        <v>205</v>
      </c>
      <c r="J4551" s="46" t="s">
        <v>742</v>
      </c>
      <c r="K4551" s="46" t="s">
        <v>165</v>
      </c>
      <c r="L4551" s="46" t="s">
        <v>15</v>
      </c>
      <c r="M4551" s="46" t="s">
        <v>13</v>
      </c>
      <c r="N4551" s="46" t="s">
        <v>14</v>
      </c>
      <c r="O4551" s="49" t="s">
        <v>814</v>
      </c>
      <c r="P4551" s="49" t="s">
        <v>4910</v>
      </c>
      <c r="Q4551" s="35" t="str">
        <f>MID(Tabla1[[#This Row],[Aplicación]],14,1)</f>
        <v>2</v>
      </c>
      <c r="R4551" s="35" t="s">
        <v>495</v>
      </c>
      <c r="S4551" s="35" t="str">
        <f>MID(Tabla1[[#This Row],[Aplicación]],6,2)</f>
        <v>11</v>
      </c>
      <c r="T4551" s="35" t="str">
        <f>VLOOKUP(Tabla1[[#This Row],[AREA]],Hoja1!A:B,2,FALSE)</f>
        <v>11. Salud pública y seguridad ciudadana</v>
      </c>
      <c r="U4551" s="35" t="str">
        <f>MID(Tabla1[[#This Row],[Aplicación]],9,4)</f>
        <v>1321</v>
      </c>
      <c r="V4551" s="35" t="str">
        <f>VLOOKUP(Tabla1[[#This Row],[PROGRAMA]],Hoja1!A:B,2,FALSE)</f>
        <v>1321. Policía municipal</v>
      </c>
      <c r="W4551" s="35" t="str">
        <f>MID(Tabla1[[#This Row],[Aplicación]],14,2)</f>
        <v>22</v>
      </c>
      <c r="X4551" s="35" t="str">
        <f>MID(Tabla1[[#This Row],[Aplicación]],14,6)</f>
        <v>22199</v>
      </c>
    </row>
    <row r="4552" spans="1:24" x14ac:dyDescent="0.25">
      <c r="A4552" s="45">
        <v>220210058770</v>
      </c>
      <c r="B4552" s="46" t="s">
        <v>204</v>
      </c>
      <c r="C4552" s="47">
        <v>44462</v>
      </c>
      <c r="D4552" s="45">
        <v>22021002144</v>
      </c>
      <c r="E4552" s="46" t="s">
        <v>1328</v>
      </c>
      <c r="F4552" s="48">
        <v>92.58</v>
      </c>
      <c r="G4552" s="46" t="s">
        <v>102</v>
      </c>
      <c r="H4552" s="46" t="s">
        <v>6202</v>
      </c>
      <c r="I4552" s="45" t="s">
        <v>205</v>
      </c>
      <c r="J4552" s="46" t="s">
        <v>127</v>
      </c>
      <c r="K4552" s="46" t="s">
        <v>127</v>
      </c>
      <c r="L4552" s="46" t="s">
        <v>15</v>
      </c>
      <c r="M4552" s="46" t="s">
        <v>13</v>
      </c>
      <c r="N4552" s="46" t="s">
        <v>14</v>
      </c>
      <c r="O4552" s="49" t="s">
        <v>814</v>
      </c>
      <c r="P4552" s="49" t="s">
        <v>4910</v>
      </c>
      <c r="Q4552" s="35" t="str">
        <f>MID(Tabla1[[#This Row],[Aplicación]],14,1)</f>
        <v>2</v>
      </c>
      <c r="R4552" s="35" t="s">
        <v>495</v>
      </c>
      <c r="S4552" s="35" t="str">
        <f>MID(Tabla1[[#This Row],[Aplicación]],6,2)</f>
        <v>10</v>
      </c>
      <c r="T4552" s="35" t="str">
        <f>VLOOKUP(Tabla1[[#This Row],[AREA]],Hoja1!A:B,2,FALSE)</f>
        <v>10. Servicios sociales y mediación comunitaria</v>
      </c>
      <c r="U4552" s="35" t="str">
        <f>MID(Tabla1[[#This Row],[Aplicación]],9,4)</f>
        <v>2311</v>
      </c>
      <c r="V4552" s="35" t="str">
        <f>VLOOKUP(Tabla1[[#This Row],[PROGRAMA]],Hoja1!A:B,2,FALSE)</f>
        <v>2311. Intervención social</v>
      </c>
      <c r="W4552" s="35" t="str">
        <f>MID(Tabla1[[#This Row],[Aplicación]],14,2)</f>
        <v>21</v>
      </c>
      <c r="X4552" s="35" t="str">
        <f>MID(Tabla1[[#This Row],[Aplicación]],14,6)</f>
        <v>212</v>
      </c>
    </row>
    <row r="4553" spans="1:24" x14ac:dyDescent="0.25">
      <c r="A4553" s="45">
        <v>220210056672</v>
      </c>
      <c r="B4553" s="46" t="s">
        <v>204</v>
      </c>
      <c r="C4553" s="47">
        <v>44455</v>
      </c>
      <c r="D4553" s="45">
        <v>22021003187</v>
      </c>
      <c r="E4553" s="46" t="s">
        <v>1884</v>
      </c>
      <c r="F4553" s="48">
        <v>91.94</v>
      </c>
      <c r="G4553" s="46" t="s">
        <v>256</v>
      </c>
      <c r="H4553" s="46" t="s">
        <v>6203</v>
      </c>
      <c r="I4553" s="45" t="s">
        <v>205</v>
      </c>
      <c r="J4553" s="46" t="s">
        <v>127</v>
      </c>
      <c r="K4553" s="46" t="s">
        <v>127</v>
      </c>
      <c r="L4553" s="46" t="s">
        <v>15</v>
      </c>
      <c r="M4553" s="46" t="s">
        <v>13</v>
      </c>
      <c r="N4553" s="46" t="s">
        <v>14</v>
      </c>
      <c r="O4553" s="49" t="s">
        <v>814</v>
      </c>
      <c r="P4553" s="49" t="s">
        <v>4910</v>
      </c>
      <c r="Q4553" s="35" t="str">
        <f>MID(Tabla1[[#This Row],[Aplicación]],14,1)</f>
        <v>2</v>
      </c>
      <c r="R4553" s="35" t="s">
        <v>495</v>
      </c>
      <c r="S4553" s="35" t="str">
        <f>MID(Tabla1[[#This Row],[Aplicación]],6,2)</f>
        <v>06</v>
      </c>
      <c r="T4553" s="35" t="str">
        <f>VLOOKUP(Tabla1[[#This Row],[AREA]],Hoja1!A:B,2,FALSE)</f>
        <v>06. Educación, infancia, juventud e igualdad</v>
      </c>
      <c r="U4553" s="35" t="str">
        <f>MID(Tabla1[[#This Row],[Aplicación]],9,4)</f>
        <v>2314</v>
      </c>
      <c r="V4553" s="35" t="str">
        <f>VLOOKUP(Tabla1[[#This Row],[PROGRAMA]],Hoja1!A:B,2,FALSE)</f>
        <v>2314. Centro de programas juveniles</v>
      </c>
      <c r="W4553" s="35" t="str">
        <f>MID(Tabla1[[#This Row],[Aplicación]],14,2)</f>
        <v>21</v>
      </c>
      <c r="X4553" s="35" t="str">
        <f>MID(Tabla1[[#This Row],[Aplicación]],14,6)</f>
        <v>212</v>
      </c>
    </row>
    <row r="4554" spans="1:24" x14ac:dyDescent="0.25">
      <c r="A4554" s="45">
        <v>220210061278</v>
      </c>
      <c r="B4554" s="46" t="s">
        <v>204</v>
      </c>
      <c r="C4554" s="47">
        <v>44468</v>
      </c>
      <c r="D4554" s="45">
        <v>22021001038</v>
      </c>
      <c r="E4554" s="46" t="s">
        <v>844</v>
      </c>
      <c r="F4554" s="48">
        <v>87.39</v>
      </c>
      <c r="G4554" s="46" t="s">
        <v>277</v>
      </c>
      <c r="H4554" s="46" t="s">
        <v>6204</v>
      </c>
      <c r="I4554" s="45" t="s">
        <v>205</v>
      </c>
      <c r="J4554" s="46" t="s">
        <v>127</v>
      </c>
      <c r="K4554" s="46" t="s">
        <v>127</v>
      </c>
      <c r="L4554" s="46" t="s">
        <v>15</v>
      </c>
      <c r="M4554" s="46" t="s">
        <v>13</v>
      </c>
      <c r="N4554" s="46" t="s">
        <v>14</v>
      </c>
      <c r="O4554" s="49" t="s">
        <v>814</v>
      </c>
      <c r="P4554" s="49" t="s">
        <v>4910</v>
      </c>
      <c r="Q4554" s="35" t="str">
        <f>MID(Tabla1[[#This Row],[Aplicación]],14,1)</f>
        <v>2</v>
      </c>
      <c r="R4554" s="35" t="s">
        <v>495</v>
      </c>
      <c r="S4554" s="35" t="str">
        <f>MID(Tabla1[[#This Row],[Aplicación]],6,2)</f>
        <v>10</v>
      </c>
      <c r="T4554" s="35" t="str">
        <f>VLOOKUP(Tabla1[[#This Row],[AREA]],Hoja1!A:B,2,FALSE)</f>
        <v>10. Servicios sociales y mediación comunitaria</v>
      </c>
      <c r="U4554" s="35" t="str">
        <f>MID(Tabla1[[#This Row],[Aplicación]],9,4)</f>
        <v>2312</v>
      </c>
      <c r="V4554" s="35" t="str">
        <f>VLOOKUP(Tabla1[[#This Row],[PROGRAMA]],Hoja1!A:B,2,FALSE)</f>
        <v>2312. Iniciativas sociales</v>
      </c>
      <c r="W4554" s="35" t="str">
        <f>MID(Tabla1[[#This Row],[Aplicación]],14,2)</f>
        <v>21</v>
      </c>
      <c r="X4554" s="35" t="str">
        <f>MID(Tabla1[[#This Row],[Aplicación]],14,6)</f>
        <v>212</v>
      </c>
    </row>
    <row r="4555" spans="1:24" x14ac:dyDescent="0.25">
      <c r="A4555" s="45">
        <v>220210056676</v>
      </c>
      <c r="B4555" s="46" t="s">
        <v>204</v>
      </c>
      <c r="C4555" s="47">
        <v>44455</v>
      </c>
      <c r="D4555" s="45">
        <v>22021005946</v>
      </c>
      <c r="E4555" s="46" t="s">
        <v>1167</v>
      </c>
      <c r="F4555" s="48">
        <v>54.45</v>
      </c>
      <c r="G4555" s="46" t="s">
        <v>262</v>
      </c>
      <c r="H4555" s="46" t="s">
        <v>6205</v>
      </c>
      <c r="I4555" s="45" t="s">
        <v>205</v>
      </c>
      <c r="J4555" s="46" t="s">
        <v>127</v>
      </c>
      <c r="K4555" s="46" t="s">
        <v>127</v>
      </c>
      <c r="L4555" s="46" t="s">
        <v>12</v>
      </c>
      <c r="M4555" s="46" t="s">
        <v>13</v>
      </c>
      <c r="N4555" s="46" t="s">
        <v>14</v>
      </c>
      <c r="O4555" s="49" t="s">
        <v>814</v>
      </c>
      <c r="P4555" s="49" t="s">
        <v>4910</v>
      </c>
      <c r="Q4555" s="35" t="str">
        <f>MID(Tabla1[[#This Row],[Aplicación]],14,1)</f>
        <v>2</v>
      </c>
      <c r="R4555" s="35" t="s">
        <v>495</v>
      </c>
      <c r="S4555" s="35" t="str">
        <f>MID(Tabla1[[#This Row],[Aplicación]],6,2)</f>
        <v>11</v>
      </c>
      <c r="T4555" s="35" t="str">
        <f>VLOOKUP(Tabla1[[#This Row],[AREA]],Hoja1!A:B,2,FALSE)</f>
        <v>11. Salud pública y seguridad ciudadana</v>
      </c>
      <c r="U4555" s="35" t="str">
        <f>MID(Tabla1[[#This Row],[Aplicación]],9,4)</f>
        <v>1321</v>
      </c>
      <c r="V4555" s="35" t="str">
        <f>VLOOKUP(Tabla1[[#This Row],[PROGRAMA]],Hoja1!A:B,2,FALSE)</f>
        <v>1321. Policía municipal</v>
      </c>
      <c r="W4555" s="35" t="str">
        <f>MID(Tabla1[[#This Row],[Aplicación]],14,2)</f>
        <v>21</v>
      </c>
      <c r="X4555" s="35" t="str">
        <f>MID(Tabla1[[#This Row],[Aplicación]],14,6)</f>
        <v>214</v>
      </c>
    </row>
    <row r="4556" spans="1:24" x14ac:dyDescent="0.25">
      <c r="A4556" s="45">
        <v>220210057821</v>
      </c>
      <c r="B4556" s="46" t="s">
        <v>204</v>
      </c>
      <c r="C4556" s="47">
        <v>44459</v>
      </c>
      <c r="D4556" s="45">
        <v>22019009556</v>
      </c>
      <c r="E4556" s="46" t="s">
        <v>3358</v>
      </c>
      <c r="F4556" s="48">
        <v>181.5</v>
      </c>
      <c r="G4556" s="46" t="s">
        <v>6206</v>
      </c>
      <c r="H4556" s="46" t="s">
        <v>6207</v>
      </c>
      <c r="I4556" s="45" t="s">
        <v>205</v>
      </c>
      <c r="J4556" s="46" t="s">
        <v>650</v>
      </c>
      <c r="K4556" s="46" t="s">
        <v>127</v>
      </c>
      <c r="L4556" s="46" t="s">
        <v>12</v>
      </c>
      <c r="M4556" s="46" t="s">
        <v>10</v>
      </c>
      <c r="N4556" s="46" t="s">
        <v>11</v>
      </c>
      <c r="O4556" s="49" t="s">
        <v>815</v>
      </c>
      <c r="P4556" s="49" t="s">
        <v>4910</v>
      </c>
      <c r="Q4556" s="35" t="str">
        <f>MID(Tabla1[[#This Row],[Aplicación]],14,1)</f>
        <v>6</v>
      </c>
      <c r="R4556" s="35" t="s">
        <v>496</v>
      </c>
      <c r="S4556" s="35" t="str">
        <f>MID(Tabla1[[#This Row],[Aplicación]],6,2)</f>
        <v>02</v>
      </c>
      <c r="T4556" s="35" t="str">
        <f>VLOOKUP(Tabla1[[#This Row],[AREA]],Hoja1!A:B,2,FALSE)</f>
        <v>02. Planeamiento urbanístico y vivienda</v>
      </c>
      <c r="U4556" s="35" t="str">
        <f>MID(Tabla1[[#This Row],[Aplicación]],9,4)</f>
        <v>9332</v>
      </c>
      <c r="V4556" s="35" t="str">
        <f>VLOOKUP(Tabla1[[#This Row],[PROGRAMA]],Hoja1!A:B,2,FALSE)</f>
        <v>9332. Mantenimiento de edificios e instalaciones municipales</v>
      </c>
      <c r="W4556" s="35" t="str">
        <f>MID(Tabla1[[#This Row],[Aplicación]],14,2)</f>
        <v>63</v>
      </c>
      <c r="X4556" s="35" t="str">
        <f>MID(Tabla1[[#This Row],[Aplicación]],14,6)</f>
        <v>633</v>
      </c>
    </row>
    <row r="4557" spans="1:24" x14ac:dyDescent="0.25">
      <c r="A4557" s="45">
        <v>220210058939</v>
      </c>
      <c r="B4557" s="46" t="s">
        <v>9</v>
      </c>
      <c r="C4557" s="47">
        <v>44462</v>
      </c>
      <c r="D4557" s="45">
        <v>22021006594</v>
      </c>
      <c r="E4557" s="46" t="s">
        <v>1263</v>
      </c>
      <c r="F4557" s="48">
        <v>525</v>
      </c>
      <c r="G4557" s="46" t="s">
        <v>6208</v>
      </c>
      <c r="H4557" s="46" t="s">
        <v>6209</v>
      </c>
      <c r="I4557" s="45" t="s">
        <v>125</v>
      </c>
      <c r="J4557" s="46" t="s">
        <v>127</v>
      </c>
      <c r="K4557" s="46" t="s">
        <v>127</v>
      </c>
      <c r="L4557" s="46" t="s">
        <v>15</v>
      </c>
      <c r="M4557" s="46" t="s">
        <v>10</v>
      </c>
      <c r="N4557" s="46" t="s">
        <v>11</v>
      </c>
      <c r="O4557" s="49" t="s">
        <v>815</v>
      </c>
      <c r="P4557" s="49" t="s">
        <v>4910</v>
      </c>
      <c r="Q4557" s="35" t="str">
        <f>MID(Tabla1[[#This Row],[Aplicación]],14,1)</f>
        <v>2</v>
      </c>
      <c r="R4557" s="35" t="s">
        <v>495</v>
      </c>
      <c r="S4557" s="35" t="str">
        <f>MID(Tabla1[[#This Row],[Aplicación]],6,2)</f>
        <v>02</v>
      </c>
      <c r="T4557" s="35" t="str">
        <f>VLOOKUP(Tabla1[[#This Row],[AREA]],Hoja1!A:B,2,FALSE)</f>
        <v>02. Planeamiento urbanístico y vivienda</v>
      </c>
      <c r="U4557" s="35" t="str">
        <f>MID(Tabla1[[#This Row],[Aplicación]],9,4)</f>
        <v>9332</v>
      </c>
      <c r="V4557" s="35" t="str">
        <f>VLOOKUP(Tabla1[[#This Row],[PROGRAMA]],Hoja1!A:B,2,FALSE)</f>
        <v>9332. Mantenimiento de edificios e instalaciones municipales</v>
      </c>
      <c r="W4557" s="35" t="str">
        <f>MID(Tabla1[[#This Row],[Aplicación]],14,2)</f>
        <v>21</v>
      </c>
      <c r="X4557" s="35" t="str">
        <f>MID(Tabla1[[#This Row],[Aplicación]],14,6)</f>
        <v>213</v>
      </c>
    </row>
    <row r="4558" spans="1:24" x14ac:dyDescent="0.25">
      <c r="A4558" s="45">
        <v>220210062274</v>
      </c>
      <c r="B4558" s="46" t="s">
        <v>9</v>
      </c>
      <c r="C4558" s="47">
        <v>44469</v>
      </c>
      <c r="D4558" s="45">
        <v>22021006702</v>
      </c>
      <c r="E4558" s="46" t="s">
        <v>2647</v>
      </c>
      <c r="F4558" s="48">
        <v>961.95</v>
      </c>
      <c r="G4558" s="46" t="s">
        <v>592</v>
      </c>
      <c r="H4558" s="46" t="s">
        <v>6210</v>
      </c>
      <c r="I4558" s="45" t="s">
        <v>125</v>
      </c>
      <c r="J4558" s="46" t="s">
        <v>127</v>
      </c>
      <c r="K4558" s="46" t="s">
        <v>127</v>
      </c>
      <c r="L4558" s="46" t="s">
        <v>12</v>
      </c>
      <c r="M4558" s="46" t="s">
        <v>10</v>
      </c>
      <c r="N4558" s="46" t="s">
        <v>11</v>
      </c>
      <c r="O4558" s="49" t="s">
        <v>815</v>
      </c>
      <c r="P4558" s="49" t="s">
        <v>4910</v>
      </c>
      <c r="Q4558" s="35" t="str">
        <f>MID(Tabla1[[#This Row],[Aplicación]],14,1)</f>
        <v>2</v>
      </c>
      <c r="R4558" s="35" t="s">
        <v>495</v>
      </c>
      <c r="S4558" s="35" t="str">
        <f>MID(Tabla1[[#This Row],[Aplicación]],6,2)</f>
        <v>06</v>
      </c>
      <c r="T4558" s="35" t="str">
        <f>VLOOKUP(Tabla1[[#This Row],[AREA]],Hoja1!A:B,2,FALSE)</f>
        <v>06. Educación, infancia, juventud e igualdad</v>
      </c>
      <c r="U4558" s="35" t="str">
        <f>MID(Tabla1[[#This Row],[Aplicación]],9,4)</f>
        <v>2314</v>
      </c>
      <c r="V4558" s="35" t="str">
        <f>VLOOKUP(Tabla1[[#This Row],[PROGRAMA]],Hoja1!A:B,2,FALSE)</f>
        <v>2314. Centro de programas juveniles</v>
      </c>
      <c r="W4558" s="35" t="str">
        <f>MID(Tabla1[[#This Row],[Aplicación]],14,2)</f>
        <v>22</v>
      </c>
      <c r="X4558" s="35" t="str">
        <f>MID(Tabla1[[#This Row],[Aplicación]],14,6)</f>
        <v>22613</v>
      </c>
    </row>
    <row r="4559" spans="1:24" x14ac:dyDescent="0.25">
      <c r="A4559" s="45">
        <v>220210056752</v>
      </c>
      <c r="B4559" s="46" t="s">
        <v>204</v>
      </c>
      <c r="C4559" s="47">
        <v>44455</v>
      </c>
      <c r="D4559" s="45">
        <v>22021001038</v>
      </c>
      <c r="E4559" s="46" t="s">
        <v>844</v>
      </c>
      <c r="F4559" s="48">
        <v>84.46</v>
      </c>
      <c r="G4559" s="46" t="s">
        <v>102</v>
      </c>
      <c r="H4559" s="46" t="s">
        <v>6211</v>
      </c>
      <c r="I4559" s="45" t="s">
        <v>205</v>
      </c>
      <c r="J4559" s="46" t="s">
        <v>127</v>
      </c>
      <c r="K4559" s="46" t="s">
        <v>127</v>
      </c>
      <c r="L4559" s="46" t="s">
        <v>15</v>
      </c>
      <c r="M4559" s="46" t="s">
        <v>13</v>
      </c>
      <c r="N4559" s="46" t="s">
        <v>14</v>
      </c>
      <c r="O4559" s="49" t="s">
        <v>814</v>
      </c>
      <c r="P4559" s="49" t="s">
        <v>4910</v>
      </c>
      <c r="Q4559" s="35" t="str">
        <f>MID(Tabla1[[#This Row],[Aplicación]],14,1)</f>
        <v>2</v>
      </c>
      <c r="R4559" s="35" t="s">
        <v>495</v>
      </c>
      <c r="S4559" s="35" t="str">
        <f>MID(Tabla1[[#This Row],[Aplicación]],6,2)</f>
        <v>10</v>
      </c>
      <c r="T4559" s="35" t="str">
        <f>VLOOKUP(Tabla1[[#This Row],[AREA]],Hoja1!A:B,2,FALSE)</f>
        <v>10. Servicios sociales y mediación comunitaria</v>
      </c>
      <c r="U4559" s="35" t="str">
        <f>MID(Tabla1[[#This Row],[Aplicación]],9,4)</f>
        <v>2312</v>
      </c>
      <c r="V4559" s="35" t="str">
        <f>VLOOKUP(Tabla1[[#This Row],[PROGRAMA]],Hoja1!A:B,2,FALSE)</f>
        <v>2312. Iniciativas sociales</v>
      </c>
      <c r="W4559" s="35" t="str">
        <f>MID(Tabla1[[#This Row],[Aplicación]],14,2)</f>
        <v>21</v>
      </c>
      <c r="X4559" s="35" t="str">
        <f>MID(Tabla1[[#This Row],[Aplicación]],14,6)</f>
        <v>212</v>
      </c>
    </row>
    <row r="4560" spans="1:24" x14ac:dyDescent="0.25">
      <c r="A4560" s="45">
        <v>220210061313</v>
      </c>
      <c r="B4560" s="46" t="s">
        <v>204</v>
      </c>
      <c r="C4560" s="47">
        <v>44468</v>
      </c>
      <c r="D4560" s="45">
        <v>22021002057</v>
      </c>
      <c r="E4560" s="46" t="s">
        <v>1715</v>
      </c>
      <c r="F4560" s="48">
        <v>302.08</v>
      </c>
      <c r="G4560" s="46" t="s">
        <v>272</v>
      </c>
      <c r="H4560" s="46" t="s">
        <v>6212</v>
      </c>
      <c r="I4560" s="45" t="s">
        <v>205</v>
      </c>
      <c r="J4560" s="46" t="s">
        <v>127</v>
      </c>
      <c r="K4560" s="46" t="s">
        <v>127</v>
      </c>
      <c r="L4560" s="46" t="s">
        <v>15</v>
      </c>
      <c r="M4560" s="46" t="s">
        <v>13</v>
      </c>
      <c r="N4560" s="46" t="s">
        <v>14</v>
      </c>
      <c r="O4560" s="49" t="s">
        <v>814</v>
      </c>
      <c r="P4560" s="49" t="s">
        <v>4910</v>
      </c>
      <c r="Q4560" s="35" t="str">
        <f>MID(Tabla1[[#This Row],[Aplicación]],14,1)</f>
        <v>2</v>
      </c>
      <c r="R4560" s="35" t="s">
        <v>495</v>
      </c>
      <c r="S4560" s="35" t="str">
        <f>MID(Tabla1[[#This Row],[Aplicación]],6,2)</f>
        <v>11</v>
      </c>
      <c r="T4560" s="35" t="str">
        <f>VLOOKUP(Tabla1[[#This Row],[AREA]],Hoja1!A:B,2,FALSE)</f>
        <v>11. Salud pública y seguridad ciudadana</v>
      </c>
      <c r="U4560" s="35" t="str">
        <f>MID(Tabla1[[#This Row],[Aplicación]],9,4)</f>
        <v>1631</v>
      </c>
      <c r="V4560" s="35" t="str">
        <f>VLOOKUP(Tabla1[[#This Row],[PROGRAMA]],Hoja1!A:B,2,FALSE)</f>
        <v>1631. Limpieza viaria</v>
      </c>
      <c r="W4560" s="35" t="str">
        <f>MID(Tabla1[[#This Row],[Aplicación]],14,2)</f>
        <v>22</v>
      </c>
      <c r="X4560" s="35" t="str">
        <f>MID(Tabla1[[#This Row],[Aplicación]],14,6)</f>
        <v>22199</v>
      </c>
    </row>
    <row r="4561" spans="1:24" x14ac:dyDescent="0.25">
      <c r="A4561" s="45">
        <v>220210061315</v>
      </c>
      <c r="B4561" s="46" t="s">
        <v>204</v>
      </c>
      <c r="C4561" s="47">
        <v>44468</v>
      </c>
      <c r="D4561" s="45">
        <v>22021002056</v>
      </c>
      <c r="E4561" s="46" t="s">
        <v>876</v>
      </c>
      <c r="F4561" s="48">
        <v>2664.35</v>
      </c>
      <c r="G4561" s="46" t="s">
        <v>272</v>
      </c>
      <c r="H4561" s="46" t="s">
        <v>6213</v>
      </c>
      <c r="I4561" s="45" t="s">
        <v>205</v>
      </c>
      <c r="J4561" s="46" t="s">
        <v>127</v>
      </c>
      <c r="K4561" s="46" t="s">
        <v>127</v>
      </c>
      <c r="L4561" s="46" t="s">
        <v>15</v>
      </c>
      <c r="M4561" s="46" t="s">
        <v>13</v>
      </c>
      <c r="N4561" s="46" t="s">
        <v>14</v>
      </c>
      <c r="O4561" s="49" t="s">
        <v>814</v>
      </c>
      <c r="P4561" s="49" t="s">
        <v>4910</v>
      </c>
      <c r="Q4561" s="35" t="str">
        <f>MID(Tabla1[[#This Row],[Aplicación]],14,1)</f>
        <v>2</v>
      </c>
      <c r="R4561" s="35" t="s">
        <v>495</v>
      </c>
      <c r="S4561" s="35" t="str">
        <f>MID(Tabla1[[#This Row],[Aplicación]],6,2)</f>
        <v>11</v>
      </c>
      <c r="T4561" s="35" t="str">
        <f>VLOOKUP(Tabla1[[#This Row],[AREA]],Hoja1!A:B,2,FALSE)</f>
        <v>11. Salud pública y seguridad ciudadana</v>
      </c>
      <c r="U4561" s="35" t="str">
        <f>MID(Tabla1[[#This Row],[Aplicación]],9,4)</f>
        <v>1631</v>
      </c>
      <c r="V4561" s="35" t="str">
        <f>VLOOKUP(Tabla1[[#This Row],[PROGRAMA]],Hoja1!A:B,2,FALSE)</f>
        <v>1631. Limpieza viaria</v>
      </c>
      <c r="W4561" s="35" t="str">
        <f>MID(Tabla1[[#This Row],[Aplicación]],14,2)</f>
        <v>22</v>
      </c>
      <c r="X4561" s="35" t="str">
        <f>MID(Tabla1[[#This Row],[Aplicación]],14,6)</f>
        <v>22110</v>
      </c>
    </row>
    <row r="4562" spans="1:24" x14ac:dyDescent="0.25">
      <c r="A4562" s="45">
        <v>220210058250</v>
      </c>
      <c r="B4562" s="46" t="s">
        <v>9</v>
      </c>
      <c r="C4562" s="47">
        <v>44459</v>
      </c>
      <c r="D4562" s="45">
        <v>22021006554</v>
      </c>
      <c r="E4562" s="46" t="s">
        <v>944</v>
      </c>
      <c r="F4562" s="48">
        <v>1355.2</v>
      </c>
      <c r="G4562" s="46" t="s">
        <v>2157</v>
      </c>
      <c r="H4562" s="46" t="s">
        <v>6214</v>
      </c>
      <c r="I4562" s="45" t="s">
        <v>125</v>
      </c>
      <c r="J4562" s="46" t="s">
        <v>127</v>
      </c>
      <c r="K4562" s="46" t="s">
        <v>127</v>
      </c>
      <c r="L4562" s="46" t="s">
        <v>12</v>
      </c>
      <c r="M4562" s="46" t="s">
        <v>10</v>
      </c>
      <c r="N4562" s="46" t="s">
        <v>11</v>
      </c>
      <c r="O4562" s="49" t="s">
        <v>815</v>
      </c>
      <c r="P4562" s="49" t="s">
        <v>4910</v>
      </c>
      <c r="Q4562" s="35" t="str">
        <f>MID(Tabla1[[#This Row],[Aplicación]],14,1)</f>
        <v>2</v>
      </c>
      <c r="R4562" s="35" t="s">
        <v>495</v>
      </c>
      <c r="S4562" s="35" t="str">
        <f>MID(Tabla1[[#This Row],[Aplicación]],6,2)</f>
        <v>11</v>
      </c>
      <c r="T4562" s="35" t="str">
        <f>VLOOKUP(Tabla1[[#This Row],[AREA]],Hoja1!A:B,2,FALSE)</f>
        <v>11. Salud pública y seguridad ciudadana</v>
      </c>
      <c r="U4562" s="35" t="str">
        <f>MID(Tabla1[[#This Row],[Aplicación]],9,4)</f>
        <v>1621</v>
      </c>
      <c r="V4562" s="35" t="str">
        <f>VLOOKUP(Tabla1[[#This Row],[PROGRAMA]],Hoja1!A:B,2,FALSE)</f>
        <v>1621. Servicio de limpieza</v>
      </c>
      <c r="W4562" s="35" t="str">
        <f>MID(Tabla1[[#This Row],[Aplicación]],14,2)</f>
        <v>21</v>
      </c>
      <c r="X4562" s="35" t="str">
        <f>MID(Tabla1[[#This Row],[Aplicación]],14,6)</f>
        <v>213</v>
      </c>
    </row>
    <row r="4563" spans="1:24" x14ac:dyDescent="0.25">
      <c r="A4563" s="45">
        <v>220210061308</v>
      </c>
      <c r="B4563" s="46" t="s">
        <v>204</v>
      </c>
      <c r="C4563" s="47">
        <v>44468</v>
      </c>
      <c r="D4563" s="45">
        <v>22021002228</v>
      </c>
      <c r="E4563" s="46" t="s">
        <v>1471</v>
      </c>
      <c r="F4563" s="48">
        <v>82.47</v>
      </c>
      <c r="G4563" s="46" t="s">
        <v>256</v>
      </c>
      <c r="H4563" s="46" t="s">
        <v>6215</v>
      </c>
      <c r="I4563" s="45" t="s">
        <v>205</v>
      </c>
      <c r="J4563" s="46" t="s">
        <v>127</v>
      </c>
      <c r="K4563" s="46" t="s">
        <v>127</v>
      </c>
      <c r="L4563" s="46" t="s">
        <v>15</v>
      </c>
      <c r="M4563" s="46" t="s">
        <v>13</v>
      </c>
      <c r="N4563" s="46" t="s">
        <v>16</v>
      </c>
      <c r="O4563" s="49" t="s">
        <v>814</v>
      </c>
      <c r="P4563" s="49" t="s">
        <v>4910</v>
      </c>
      <c r="Q4563" s="35" t="str">
        <f>MID(Tabla1[[#This Row],[Aplicación]],14,1)</f>
        <v>2</v>
      </c>
      <c r="R4563" s="35" t="s">
        <v>495</v>
      </c>
      <c r="S4563" s="35" t="str">
        <f>MID(Tabla1[[#This Row],[Aplicación]],6,2)</f>
        <v>06</v>
      </c>
      <c r="T4563" s="35" t="str">
        <f>VLOOKUP(Tabla1[[#This Row],[AREA]],Hoja1!A:B,2,FALSE)</f>
        <v>06. Educación, infancia, juventud e igualdad</v>
      </c>
      <c r="U4563" s="35" t="str">
        <f>MID(Tabla1[[#This Row],[Aplicación]],9,4)</f>
        <v>3232</v>
      </c>
      <c r="V4563" s="35" t="str">
        <f>VLOOKUP(Tabla1[[#This Row],[PROGRAMA]],Hoja1!A:B,2,FALSE)</f>
        <v>3232. Conservación y mantenimiento centros educación infantil y primaria</v>
      </c>
      <c r="W4563" s="35" t="str">
        <f>MID(Tabla1[[#This Row],[Aplicación]],14,2)</f>
        <v>21</v>
      </c>
      <c r="X4563" s="35" t="str">
        <f>MID(Tabla1[[#This Row],[Aplicación]],14,6)</f>
        <v>212</v>
      </c>
    </row>
    <row r="4564" spans="1:24" x14ac:dyDescent="0.25">
      <c r="A4564" s="45">
        <v>220210057025</v>
      </c>
      <c r="B4564" s="46" t="s">
        <v>9</v>
      </c>
      <c r="C4564" s="47">
        <v>44456</v>
      </c>
      <c r="D4564" s="45">
        <v>22021006517</v>
      </c>
      <c r="E4564" s="46" t="s">
        <v>2944</v>
      </c>
      <c r="F4564" s="48">
        <v>4235</v>
      </c>
      <c r="G4564" s="46" t="s">
        <v>2555</v>
      </c>
      <c r="H4564" s="46" t="s">
        <v>6216</v>
      </c>
      <c r="I4564" s="45" t="s">
        <v>125</v>
      </c>
      <c r="J4564" s="46" t="s">
        <v>127</v>
      </c>
      <c r="K4564" s="46" t="s">
        <v>127</v>
      </c>
      <c r="L4564" s="46" t="s">
        <v>15</v>
      </c>
      <c r="M4564" s="46" t="s">
        <v>10</v>
      </c>
      <c r="N4564" s="46" t="s">
        <v>11</v>
      </c>
      <c r="O4564" s="49" t="s">
        <v>815</v>
      </c>
      <c r="P4564" s="49" t="s">
        <v>4910</v>
      </c>
      <c r="Q4564" s="35" t="str">
        <f>MID(Tabla1[[#This Row],[Aplicación]],14,1)</f>
        <v>2</v>
      </c>
      <c r="R4564" s="35" t="s">
        <v>495</v>
      </c>
      <c r="S4564" s="35" t="str">
        <f>MID(Tabla1[[#This Row],[Aplicación]],6,2)</f>
        <v>02</v>
      </c>
      <c r="T4564" s="35" t="str">
        <f>VLOOKUP(Tabla1[[#This Row],[AREA]],Hoja1!A:B,2,FALSE)</f>
        <v>02. Planeamiento urbanístico y vivienda</v>
      </c>
      <c r="U4564" s="35" t="str">
        <f>MID(Tabla1[[#This Row],[Aplicación]],9,4)</f>
        <v>1511</v>
      </c>
      <c r="V4564" s="35" t="str">
        <f>VLOOKUP(Tabla1[[#This Row],[PROGRAMA]],Hoja1!A:B,2,FALSE)</f>
        <v>1511. Planficación y gestión del urbanismo</v>
      </c>
      <c r="W4564" s="35" t="str">
        <f>MID(Tabla1[[#This Row],[Aplicación]],14,2)</f>
        <v>22</v>
      </c>
      <c r="X4564" s="35" t="str">
        <f>MID(Tabla1[[#This Row],[Aplicación]],14,6)</f>
        <v>22799</v>
      </c>
    </row>
    <row r="4565" spans="1:24" x14ac:dyDescent="0.25">
      <c r="A4565" s="45">
        <v>220210061341</v>
      </c>
      <c r="B4565" s="46" t="s">
        <v>9</v>
      </c>
      <c r="C4565" s="47">
        <v>44468</v>
      </c>
      <c r="D4565" s="45">
        <v>22021006680</v>
      </c>
      <c r="E4565" s="46" t="s">
        <v>886</v>
      </c>
      <c r="F4565" s="48">
        <v>718.14</v>
      </c>
      <c r="G4565" s="46" t="s">
        <v>206</v>
      </c>
      <c r="H4565" s="46" t="s">
        <v>6217</v>
      </c>
      <c r="I4565" s="45" t="s">
        <v>125</v>
      </c>
      <c r="J4565" s="46" t="s">
        <v>664</v>
      </c>
      <c r="K4565" s="46" t="s">
        <v>127</v>
      </c>
      <c r="L4565" s="46" t="s">
        <v>17</v>
      </c>
      <c r="M4565" s="46" t="s">
        <v>10</v>
      </c>
      <c r="N4565" s="46" t="s">
        <v>11</v>
      </c>
      <c r="O4565" s="49" t="s">
        <v>815</v>
      </c>
      <c r="P4565" s="49" t="s">
        <v>4910</v>
      </c>
      <c r="Q4565" s="35" t="str">
        <f>MID(Tabla1[[#This Row],[Aplicación]],14,1)</f>
        <v>2</v>
      </c>
      <c r="R4565" s="35" t="s">
        <v>495</v>
      </c>
      <c r="S4565" s="35" t="str">
        <f>MID(Tabla1[[#This Row],[Aplicación]],6,2)</f>
        <v>10</v>
      </c>
      <c r="T4565" s="35" t="str">
        <f>VLOOKUP(Tabla1[[#This Row],[AREA]],Hoja1!A:B,2,FALSE)</f>
        <v>10. Servicios sociales y mediación comunitaria</v>
      </c>
      <c r="U4565" s="35" t="str">
        <f>MID(Tabla1[[#This Row],[Aplicación]],9,4)</f>
        <v>2311</v>
      </c>
      <c r="V4565" s="35" t="str">
        <f>VLOOKUP(Tabla1[[#This Row],[PROGRAMA]],Hoja1!A:B,2,FALSE)</f>
        <v>2311. Intervención social</v>
      </c>
      <c r="W4565" s="35" t="str">
        <f>MID(Tabla1[[#This Row],[Aplicación]],14,2)</f>
        <v>21</v>
      </c>
      <c r="X4565" s="35" t="str">
        <f>MID(Tabla1[[#This Row],[Aplicación]],14,6)</f>
        <v>213</v>
      </c>
    </row>
    <row r="4566" spans="1:24" x14ac:dyDescent="0.25">
      <c r="A4566" s="45">
        <v>220210061341</v>
      </c>
      <c r="B4566" s="46" t="s">
        <v>9</v>
      </c>
      <c r="C4566" s="47">
        <v>44468</v>
      </c>
      <c r="D4566" s="45">
        <v>22021006681</v>
      </c>
      <c r="E4566" s="46" t="s">
        <v>886</v>
      </c>
      <c r="F4566" s="48">
        <v>23.84</v>
      </c>
      <c r="G4566" s="46" t="s">
        <v>206</v>
      </c>
      <c r="H4566" s="46" t="s">
        <v>6217</v>
      </c>
      <c r="I4566" s="45" t="s">
        <v>125</v>
      </c>
      <c r="J4566" s="46" t="s">
        <v>664</v>
      </c>
      <c r="K4566" s="46" t="s">
        <v>127</v>
      </c>
      <c r="L4566" s="46" t="s">
        <v>17</v>
      </c>
      <c r="M4566" s="46" t="s">
        <v>10</v>
      </c>
      <c r="N4566" s="46" t="s">
        <v>11</v>
      </c>
      <c r="O4566" s="49" t="s">
        <v>815</v>
      </c>
      <c r="P4566" s="49" t="s">
        <v>4910</v>
      </c>
      <c r="Q4566" s="35" t="str">
        <f>MID(Tabla1[[#This Row],[Aplicación]],14,1)</f>
        <v>2</v>
      </c>
      <c r="R4566" s="35" t="s">
        <v>495</v>
      </c>
      <c r="S4566" s="35" t="str">
        <f>MID(Tabla1[[#This Row],[Aplicación]],6,2)</f>
        <v>10</v>
      </c>
      <c r="T4566" s="35" t="str">
        <f>VLOOKUP(Tabla1[[#This Row],[AREA]],Hoja1!A:B,2,FALSE)</f>
        <v>10. Servicios sociales y mediación comunitaria</v>
      </c>
      <c r="U4566" s="35" t="str">
        <f>MID(Tabla1[[#This Row],[Aplicación]],9,4)</f>
        <v>2311</v>
      </c>
      <c r="V4566" s="35" t="str">
        <f>VLOOKUP(Tabla1[[#This Row],[PROGRAMA]],Hoja1!A:B,2,FALSE)</f>
        <v>2311. Intervención social</v>
      </c>
      <c r="W4566" s="35" t="str">
        <f>MID(Tabla1[[#This Row],[Aplicación]],14,2)</f>
        <v>21</v>
      </c>
      <c r="X4566" s="35" t="str">
        <f>MID(Tabla1[[#This Row],[Aplicación]],14,6)</f>
        <v>213</v>
      </c>
    </row>
    <row r="4567" spans="1:24" x14ac:dyDescent="0.25">
      <c r="A4567" s="45">
        <v>220210056541</v>
      </c>
      <c r="B4567" s="46" t="s">
        <v>204</v>
      </c>
      <c r="C4567" s="47">
        <v>44455</v>
      </c>
      <c r="D4567" s="45">
        <v>22021003381</v>
      </c>
      <c r="E4567" s="46" t="s">
        <v>1183</v>
      </c>
      <c r="F4567" s="48">
        <v>674.49</v>
      </c>
      <c r="G4567" s="46" t="s">
        <v>264</v>
      </c>
      <c r="H4567" s="46" t="s">
        <v>6218</v>
      </c>
      <c r="I4567" s="45" t="s">
        <v>205</v>
      </c>
      <c r="J4567" s="46" t="s">
        <v>127</v>
      </c>
      <c r="K4567" s="46" t="s">
        <v>127</v>
      </c>
      <c r="L4567" s="46" t="s">
        <v>15</v>
      </c>
      <c r="M4567" s="46" t="s">
        <v>13</v>
      </c>
      <c r="N4567" s="46" t="s">
        <v>14</v>
      </c>
      <c r="O4567" s="49" t="s">
        <v>814</v>
      </c>
      <c r="P4567" s="49" t="s">
        <v>4910</v>
      </c>
      <c r="Q4567" s="35" t="str">
        <f>MID(Tabla1[[#This Row],[Aplicación]],14,1)</f>
        <v>2</v>
      </c>
      <c r="R4567" s="35" t="s">
        <v>495</v>
      </c>
      <c r="S4567" s="35" t="str">
        <f>MID(Tabla1[[#This Row],[Aplicación]],6,2)</f>
        <v>11</v>
      </c>
      <c r="T4567" s="35" t="str">
        <f>VLOOKUP(Tabla1[[#This Row],[AREA]],Hoja1!A:B,2,FALSE)</f>
        <v>11. Salud pública y seguridad ciudadana</v>
      </c>
      <c r="U4567" s="35" t="str">
        <f>MID(Tabla1[[#This Row],[Aplicación]],9,4)</f>
        <v>1361</v>
      </c>
      <c r="V4567" s="35" t="str">
        <f>VLOOKUP(Tabla1[[#This Row],[PROGRAMA]],Hoja1!A:B,2,FALSE)</f>
        <v>1361. Prevención y extinción de incencios</v>
      </c>
      <c r="W4567" s="35" t="str">
        <f>MID(Tabla1[[#This Row],[Aplicación]],14,2)</f>
        <v>22</v>
      </c>
      <c r="X4567" s="35" t="str">
        <f>MID(Tabla1[[#This Row],[Aplicación]],14,6)</f>
        <v>22199</v>
      </c>
    </row>
    <row r="4568" spans="1:24" x14ac:dyDescent="0.25">
      <c r="A4568" s="45">
        <v>220210058610</v>
      </c>
      <c r="B4568" s="46" t="s">
        <v>204</v>
      </c>
      <c r="C4568" s="47">
        <v>44461</v>
      </c>
      <c r="D4568" s="45">
        <v>22021003381</v>
      </c>
      <c r="E4568" s="46" t="s">
        <v>1183</v>
      </c>
      <c r="F4568" s="48">
        <v>63.65</v>
      </c>
      <c r="G4568" s="46" t="s">
        <v>102</v>
      </c>
      <c r="H4568" s="46" t="s">
        <v>6219</v>
      </c>
      <c r="I4568" s="45" t="s">
        <v>205</v>
      </c>
      <c r="J4568" s="46" t="s">
        <v>127</v>
      </c>
      <c r="K4568" s="46" t="s">
        <v>127</v>
      </c>
      <c r="L4568" s="46" t="s">
        <v>15</v>
      </c>
      <c r="M4568" s="46" t="s">
        <v>13</v>
      </c>
      <c r="N4568" s="46" t="s">
        <v>14</v>
      </c>
      <c r="O4568" s="49" t="s">
        <v>814</v>
      </c>
      <c r="P4568" s="49" t="s">
        <v>4910</v>
      </c>
      <c r="Q4568" s="35" t="str">
        <f>MID(Tabla1[[#This Row],[Aplicación]],14,1)</f>
        <v>2</v>
      </c>
      <c r="R4568" s="35" t="s">
        <v>495</v>
      </c>
      <c r="S4568" s="35" t="str">
        <f>MID(Tabla1[[#This Row],[Aplicación]],6,2)</f>
        <v>11</v>
      </c>
      <c r="T4568" s="35" t="str">
        <f>VLOOKUP(Tabla1[[#This Row],[AREA]],Hoja1!A:B,2,FALSE)</f>
        <v>11. Salud pública y seguridad ciudadana</v>
      </c>
      <c r="U4568" s="35" t="str">
        <f>MID(Tabla1[[#This Row],[Aplicación]],9,4)</f>
        <v>1361</v>
      </c>
      <c r="V4568" s="35" t="str">
        <f>VLOOKUP(Tabla1[[#This Row],[PROGRAMA]],Hoja1!A:B,2,FALSE)</f>
        <v>1361. Prevención y extinción de incencios</v>
      </c>
      <c r="W4568" s="35" t="str">
        <f>MID(Tabla1[[#This Row],[Aplicación]],14,2)</f>
        <v>22</v>
      </c>
      <c r="X4568" s="35" t="str">
        <f>MID(Tabla1[[#This Row],[Aplicación]],14,6)</f>
        <v>22199</v>
      </c>
    </row>
    <row r="4569" spans="1:24" x14ac:dyDescent="0.25">
      <c r="A4569" s="45">
        <v>220210063172</v>
      </c>
      <c r="B4569" s="46" t="s">
        <v>204</v>
      </c>
      <c r="C4569" s="47">
        <v>44469</v>
      </c>
      <c r="D4569" s="45">
        <v>22021001038</v>
      </c>
      <c r="E4569" s="46" t="s">
        <v>844</v>
      </c>
      <c r="F4569" s="48">
        <v>63.65</v>
      </c>
      <c r="G4569" s="46" t="s">
        <v>102</v>
      </c>
      <c r="H4569" s="46" t="s">
        <v>6220</v>
      </c>
      <c r="I4569" s="45" t="s">
        <v>205</v>
      </c>
      <c r="J4569" s="46" t="s">
        <v>127</v>
      </c>
      <c r="K4569" s="46" t="s">
        <v>127</v>
      </c>
      <c r="L4569" s="46" t="s">
        <v>15</v>
      </c>
      <c r="M4569" s="46" t="s">
        <v>13</v>
      </c>
      <c r="N4569" s="46" t="s">
        <v>14</v>
      </c>
      <c r="O4569" s="49" t="s">
        <v>814</v>
      </c>
      <c r="P4569" s="49" t="s">
        <v>4910</v>
      </c>
      <c r="Q4569" s="35" t="str">
        <f>MID(Tabla1[[#This Row],[Aplicación]],14,1)</f>
        <v>2</v>
      </c>
      <c r="R4569" s="35" t="s">
        <v>495</v>
      </c>
      <c r="S4569" s="35" t="str">
        <f>MID(Tabla1[[#This Row],[Aplicación]],6,2)</f>
        <v>10</v>
      </c>
      <c r="T4569" s="35" t="str">
        <f>VLOOKUP(Tabla1[[#This Row],[AREA]],Hoja1!A:B,2,FALSE)</f>
        <v>10. Servicios sociales y mediación comunitaria</v>
      </c>
      <c r="U4569" s="35" t="str">
        <f>MID(Tabla1[[#This Row],[Aplicación]],9,4)</f>
        <v>2312</v>
      </c>
      <c r="V4569" s="35" t="str">
        <f>VLOOKUP(Tabla1[[#This Row],[PROGRAMA]],Hoja1!A:B,2,FALSE)</f>
        <v>2312. Iniciativas sociales</v>
      </c>
      <c r="W4569" s="35" t="str">
        <f>MID(Tabla1[[#This Row],[Aplicación]],14,2)</f>
        <v>21</v>
      </c>
      <c r="X4569" s="35" t="str">
        <f>MID(Tabla1[[#This Row],[Aplicación]],14,6)</f>
        <v>212</v>
      </c>
    </row>
    <row r="4570" spans="1:24" x14ac:dyDescent="0.25">
      <c r="A4570" s="45">
        <v>220210056625</v>
      </c>
      <c r="B4570" s="46" t="s">
        <v>204</v>
      </c>
      <c r="C4570" s="47">
        <v>44455</v>
      </c>
      <c r="D4570" s="45">
        <v>22021002051</v>
      </c>
      <c r="E4570" s="46" t="s">
        <v>2049</v>
      </c>
      <c r="F4570" s="48">
        <v>242</v>
      </c>
      <c r="G4570" s="46" t="s">
        <v>264</v>
      </c>
      <c r="H4570" s="46" t="s">
        <v>6221</v>
      </c>
      <c r="I4570" s="45" t="s">
        <v>205</v>
      </c>
      <c r="J4570" s="46" t="s">
        <v>127</v>
      </c>
      <c r="K4570" s="46" t="s">
        <v>127</v>
      </c>
      <c r="L4570" s="46" t="s">
        <v>15</v>
      </c>
      <c r="M4570" s="46" t="s">
        <v>13</v>
      </c>
      <c r="N4570" s="46" t="s">
        <v>14</v>
      </c>
      <c r="O4570" s="49" t="s">
        <v>814</v>
      </c>
      <c r="P4570" s="49" t="s">
        <v>4910</v>
      </c>
      <c r="Q4570" s="35" t="str">
        <f>MID(Tabla1[[#This Row],[Aplicación]],14,1)</f>
        <v>2</v>
      </c>
      <c r="R4570" s="35" t="s">
        <v>495</v>
      </c>
      <c r="S4570" s="35" t="str">
        <f>MID(Tabla1[[#This Row],[Aplicación]],6,2)</f>
        <v>11</v>
      </c>
      <c r="T4570" s="35" t="str">
        <f>VLOOKUP(Tabla1[[#This Row],[AREA]],Hoja1!A:B,2,FALSE)</f>
        <v>11. Salud pública y seguridad ciudadana</v>
      </c>
      <c r="U4570" s="35" t="str">
        <f>MID(Tabla1[[#This Row],[Aplicación]],9,4)</f>
        <v>1621</v>
      </c>
      <c r="V4570" s="35" t="str">
        <f>VLOOKUP(Tabla1[[#This Row],[PROGRAMA]],Hoja1!A:B,2,FALSE)</f>
        <v>1621. Servicio de limpieza</v>
      </c>
      <c r="W4570" s="35" t="str">
        <f>MID(Tabla1[[#This Row],[Aplicación]],14,2)</f>
        <v>22</v>
      </c>
      <c r="X4570" s="35" t="str">
        <f>MID(Tabla1[[#This Row],[Aplicación]],14,6)</f>
        <v>22110</v>
      </c>
    </row>
    <row r="4571" spans="1:24" x14ac:dyDescent="0.25">
      <c r="A4571" s="45">
        <v>220210061284</v>
      </c>
      <c r="B4571" s="46" t="s">
        <v>204</v>
      </c>
      <c r="C4571" s="47">
        <v>44468</v>
      </c>
      <c r="D4571" s="45">
        <v>22021001039</v>
      </c>
      <c r="E4571" s="46" t="s">
        <v>844</v>
      </c>
      <c r="F4571" s="48">
        <v>62.81</v>
      </c>
      <c r="G4571" s="46" t="s">
        <v>235</v>
      </c>
      <c r="H4571" s="46" t="s">
        <v>6222</v>
      </c>
      <c r="I4571" s="45" t="s">
        <v>205</v>
      </c>
      <c r="J4571" s="46" t="s">
        <v>742</v>
      </c>
      <c r="K4571" s="46" t="s">
        <v>165</v>
      </c>
      <c r="L4571" s="46" t="s">
        <v>15</v>
      </c>
      <c r="M4571" s="46" t="s">
        <v>13</v>
      </c>
      <c r="N4571" s="46" t="s">
        <v>14</v>
      </c>
      <c r="O4571" s="49" t="s">
        <v>814</v>
      </c>
      <c r="P4571" s="49" t="s">
        <v>4910</v>
      </c>
      <c r="Q4571" s="35" t="str">
        <f>MID(Tabla1[[#This Row],[Aplicación]],14,1)</f>
        <v>2</v>
      </c>
      <c r="R4571" s="35" t="s">
        <v>495</v>
      </c>
      <c r="S4571" s="35" t="str">
        <f>MID(Tabla1[[#This Row],[Aplicación]],6,2)</f>
        <v>10</v>
      </c>
      <c r="T4571" s="35" t="str">
        <f>VLOOKUP(Tabla1[[#This Row],[AREA]],Hoja1!A:B,2,FALSE)</f>
        <v>10. Servicios sociales y mediación comunitaria</v>
      </c>
      <c r="U4571" s="35" t="str">
        <f>MID(Tabla1[[#This Row],[Aplicación]],9,4)</f>
        <v>2312</v>
      </c>
      <c r="V4571" s="35" t="str">
        <f>VLOOKUP(Tabla1[[#This Row],[PROGRAMA]],Hoja1!A:B,2,FALSE)</f>
        <v>2312. Iniciativas sociales</v>
      </c>
      <c r="W4571" s="35" t="str">
        <f>MID(Tabla1[[#This Row],[Aplicación]],14,2)</f>
        <v>21</v>
      </c>
      <c r="X4571" s="35" t="str">
        <f>MID(Tabla1[[#This Row],[Aplicación]],14,6)</f>
        <v>212</v>
      </c>
    </row>
    <row r="4572" spans="1:24" x14ac:dyDescent="0.25">
      <c r="A4572" s="45">
        <v>220210059398</v>
      </c>
      <c r="B4572" s="46" t="s">
        <v>204</v>
      </c>
      <c r="C4572" s="47">
        <v>44466</v>
      </c>
      <c r="D4572" s="45">
        <v>22021002228</v>
      </c>
      <c r="E4572" s="46" t="s">
        <v>1471</v>
      </c>
      <c r="F4572" s="48">
        <v>60.62</v>
      </c>
      <c r="G4572" s="46" t="s">
        <v>102</v>
      </c>
      <c r="H4572" s="46" t="s">
        <v>6223</v>
      </c>
      <c r="I4572" s="45" t="s">
        <v>205</v>
      </c>
      <c r="J4572" s="46" t="s">
        <v>127</v>
      </c>
      <c r="K4572" s="46" t="s">
        <v>127</v>
      </c>
      <c r="L4572" s="46" t="s">
        <v>15</v>
      </c>
      <c r="M4572" s="46" t="s">
        <v>13</v>
      </c>
      <c r="N4572" s="46" t="s">
        <v>14</v>
      </c>
      <c r="O4572" s="49" t="s">
        <v>814</v>
      </c>
      <c r="P4572" s="49" t="s">
        <v>4910</v>
      </c>
      <c r="Q4572" s="35" t="str">
        <f>MID(Tabla1[[#This Row],[Aplicación]],14,1)</f>
        <v>2</v>
      </c>
      <c r="R4572" s="35" t="s">
        <v>495</v>
      </c>
      <c r="S4572" s="35" t="str">
        <f>MID(Tabla1[[#This Row],[Aplicación]],6,2)</f>
        <v>06</v>
      </c>
      <c r="T4572" s="35" t="str">
        <f>VLOOKUP(Tabla1[[#This Row],[AREA]],Hoja1!A:B,2,FALSE)</f>
        <v>06. Educación, infancia, juventud e igualdad</v>
      </c>
      <c r="U4572" s="35" t="str">
        <f>MID(Tabla1[[#This Row],[Aplicación]],9,4)</f>
        <v>3232</v>
      </c>
      <c r="V4572" s="35" t="str">
        <f>VLOOKUP(Tabla1[[#This Row],[PROGRAMA]],Hoja1!A:B,2,FALSE)</f>
        <v>3232. Conservación y mantenimiento centros educación infantil y primaria</v>
      </c>
      <c r="W4572" s="35" t="str">
        <f>MID(Tabla1[[#This Row],[Aplicación]],14,2)</f>
        <v>21</v>
      </c>
      <c r="X4572" s="35" t="str">
        <f>MID(Tabla1[[#This Row],[Aplicación]],14,6)</f>
        <v>212</v>
      </c>
    </row>
    <row r="4573" spans="1:24" x14ac:dyDescent="0.25">
      <c r="A4573" s="45">
        <v>220210056636</v>
      </c>
      <c r="B4573" s="46" t="s">
        <v>204</v>
      </c>
      <c r="C4573" s="47">
        <v>44455</v>
      </c>
      <c r="D4573" s="45">
        <v>22021001038</v>
      </c>
      <c r="E4573" s="46" t="s">
        <v>844</v>
      </c>
      <c r="F4573" s="48">
        <v>51.01</v>
      </c>
      <c r="G4573" s="46" t="s">
        <v>256</v>
      </c>
      <c r="H4573" s="46" t="s">
        <v>6224</v>
      </c>
      <c r="I4573" s="45" t="s">
        <v>205</v>
      </c>
      <c r="J4573" s="46" t="s">
        <v>127</v>
      </c>
      <c r="K4573" s="46" t="s">
        <v>127</v>
      </c>
      <c r="L4573" s="46" t="s">
        <v>15</v>
      </c>
      <c r="M4573" s="46" t="s">
        <v>13</v>
      </c>
      <c r="N4573" s="46" t="s">
        <v>14</v>
      </c>
      <c r="O4573" s="49" t="s">
        <v>814</v>
      </c>
      <c r="P4573" s="49" t="s">
        <v>4910</v>
      </c>
      <c r="Q4573" s="35" t="str">
        <f>MID(Tabla1[[#This Row],[Aplicación]],14,1)</f>
        <v>2</v>
      </c>
      <c r="R4573" s="35" t="s">
        <v>495</v>
      </c>
      <c r="S4573" s="35" t="str">
        <f>MID(Tabla1[[#This Row],[Aplicación]],6,2)</f>
        <v>10</v>
      </c>
      <c r="T4573" s="35" t="str">
        <f>VLOOKUP(Tabla1[[#This Row],[AREA]],Hoja1!A:B,2,FALSE)</f>
        <v>10. Servicios sociales y mediación comunitaria</v>
      </c>
      <c r="U4573" s="35" t="str">
        <f>MID(Tabla1[[#This Row],[Aplicación]],9,4)</f>
        <v>2312</v>
      </c>
      <c r="V4573" s="35" t="str">
        <f>VLOOKUP(Tabla1[[#This Row],[PROGRAMA]],Hoja1!A:B,2,FALSE)</f>
        <v>2312. Iniciativas sociales</v>
      </c>
      <c r="W4573" s="35" t="str">
        <f>MID(Tabla1[[#This Row],[Aplicación]],14,2)</f>
        <v>21</v>
      </c>
      <c r="X4573" s="35" t="str">
        <f>MID(Tabla1[[#This Row],[Aplicación]],14,6)</f>
        <v>212</v>
      </c>
    </row>
    <row r="4574" spans="1:24" x14ac:dyDescent="0.25">
      <c r="A4574" s="45">
        <v>220210058941</v>
      </c>
      <c r="B4574" s="46" t="s">
        <v>9</v>
      </c>
      <c r="C4574" s="47">
        <v>44462</v>
      </c>
      <c r="D4574" s="45">
        <v>22021006600</v>
      </c>
      <c r="E4574" s="46" t="s">
        <v>1228</v>
      </c>
      <c r="F4574" s="48">
        <v>21.78</v>
      </c>
      <c r="G4574" s="46" t="s">
        <v>5790</v>
      </c>
      <c r="H4574" s="46" t="s">
        <v>6225</v>
      </c>
      <c r="I4574" s="45" t="s">
        <v>125</v>
      </c>
      <c r="J4574" s="46" t="s">
        <v>664</v>
      </c>
      <c r="K4574" s="46" t="s">
        <v>127</v>
      </c>
      <c r="L4574" s="46" t="s">
        <v>12</v>
      </c>
      <c r="M4574" s="46" t="s">
        <v>10</v>
      </c>
      <c r="N4574" s="46" t="s">
        <v>11</v>
      </c>
      <c r="O4574" s="49" t="s">
        <v>815</v>
      </c>
      <c r="P4574" s="49" t="s">
        <v>4910</v>
      </c>
      <c r="Q4574" s="35" t="str">
        <f>MID(Tabla1[[#This Row],[Aplicación]],14,1)</f>
        <v>2</v>
      </c>
      <c r="R4574" s="35" t="s">
        <v>495</v>
      </c>
      <c r="S4574" s="35" t="str">
        <f>MID(Tabla1[[#This Row],[Aplicación]],6,2)</f>
        <v>02</v>
      </c>
      <c r="T4574" s="35" t="str">
        <f>VLOOKUP(Tabla1[[#This Row],[AREA]],Hoja1!A:B,2,FALSE)</f>
        <v>02. Planeamiento urbanístico y vivienda</v>
      </c>
      <c r="U4574" s="35" t="str">
        <f>MID(Tabla1[[#This Row],[Aplicación]],9,4)</f>
        <v>9332</v>
      </c>
      <c r="V4574" s="35" t="str">
        <f>VLOOKUP(Tabla1[[#This Row],[PROGRAMA]],Hoja1!A:B,2,FALSE)</f>
        <v>9332. Mantenimiento de edificios e instalaciones municipales</v>
      </c>
      <c r="W4574" s="35" t="str">
        <f>MID(Tabla1[[#This Row],[Aplicación]],14,2)</f>
        <v>21</v>
      </c>
      <c r="X4574" s="35" t="str">
        <f>MID(Tabla1[[#This Row],[Aplicación]],14,6)</f>
        <v>214</v>
      </c>
    </row>
    <row r="4575" spans="1:24" x14ac:dyDescent="0.25">
      <c r="A4575" s="45">
        <v>220210058839</v>
      </c>
      <c r="B4575" s="46" t="s">
        <v>204</v>
      </c>
      <c r="C4575" s="47">
        <v>44462</v>
      </c>
      <c r="D4575" s="45">
        <v>22021002369</v>
      </c>
      <c r="E4575" s="46" t="s">
        <v>1336</v>
      </c>
      <c r="F4575" s="48">
        <v>43.55</v>
      </c>
      <c r="G4575" s="46" t="s">
        <v>263</v>
      </c>
      <c r="H4575" s="46" t="s">
        <v>6226</v>
      </c>
      <c r="I4575" s="45" t="s">
        <v>205</v>
      </c>
      <c r="J4575" s="46" t="s">
        <v>127</v>
      </c>
      <c r="K4575" s="46" t="s">
        <v>127</v>
      </c>
      <c r="L4575" s="46" t="s">
        <v>15</v>
      </c>
      <c r="M4575" s="46" t="s">
        <v>13</v>
      </c>
      <c r="N4575" s="46" t="s">
        <v>14</v>
      </c>
      <c r="O4575" s="49" t="s">
        <v>814</v>
      </c>
      <c r="P4575" s="49" t="s">
        <v>4910</v>
      </c>
      <c r="Q4575" s="35" t="str">
        <f>MID(Tabla1[[#This Row],[Aplicación]],14,1)</f>
        <v>2</v>
      </c>
      <c r="R4575" s="35" t="s">
        <v>495</v>
      </c>
      <c r="S4575" s="35" t="str">
        <f>MID(Tabla1[[#This Row],[Aplicación]],6,2)</f>
        <v>02</v>
      </c>
      <c r="T4575" s="35" t="str">
        <f>VLOOKUP(Tabla1[[#This Row],[AREA]],Hoja1!A:B,2,FALSE)</f>
        <v>02. Planeamiento urbanístico y vivienda</v>
      </c>
      <c r="U4575" s="35" t="str">
        <f>MID(Tabla1[[#This Row],[Aplicación]],9,4)</f>
        <v>9332</v>
      </c>
      <c r="V4575" s="35" t="str">
        <f>VLOOKUP(Tabla1[[#This Row],[PROGRAMA]],Hoja1!A:B,2,FALSE)</f>
        <v>9332. Mantenimiento de edificios e instalaciones municipales</v>
      </c>
      <c r="W4575" s="35" t="str">
        <f>MID(Tabla1[[#This Row],[Aplicación]],14,2)</f>
        <v>21</v>
      </c>
      <c r="X4575" s="35" t="str">
        <f>MID(Tabla1[[#This Row],[Aplicación]],14,6)</f>
        <v>212</v>
      </c>
    </row>
    <row r="4576" spans="1:24" x14ac:dyDescent="0.25">
      <c r="A4576" s="45">
        <v>220210057024</v>
      </c>
      <c r="B4576" s="46" t="s">
        <v>9</v>
      </c>
      <c r="C4576" s="47">
        <v>44456</v>
      </c>
      <c r="D4576" s="45">
        <v>22021006505</v>
      </c>
      <c r="E4576" s="46" t="s">
        <v>1172</v>
      </c>
      <c r="F4576" s="48">
        <v>4235</v>
      </c>
      <c r="G4576" s="46" t="s">
        <v>2664</v>
      </c>
      <c r="H4576" s="46" t="s">
        <v>6227</v>
      </c>
      <c r="I4576" s="45" t="s">
        <v>125</v>
      </c>
      <c r="J4576" s="46" t="s">
        <v>127</v>
      </c>
      <c r="K4576" s="46" t="s">
        <v>127</v>
      </c>
      <c r="L4576" s="46" t="s">
        <v>31</v>
      </c>
      <c r="M4576" s="46" t="s">
        <v>10</v>
      </c>
      <c r="N4576" s="46" t="s">
        <v>11</v>
      </c>
      <c r="O4576" s="49" t="s">
        <v>815</v>
      </c>
      <c r="P4576" s="49" t="s">
        <v>4910</v>
      </c>
      <c r="Q4576" s="35" t="str">
        <f>MID(Tabla1[[#This Row],[Aplicación]],14,1)</f>
        <v>6</v>
      </c>
      <c r="R4576" s="35" t="s">
        <v>496</v>
      </c>
      <c r="S4576" s="35" t="str">
        <f>MID(Tabla1[[#This Row],[Aplicación]],6,2)</f>
        <v>02</v>
      </c>
      <c r="T4576" s="35" t="str">
        <f>VLOOKUP(Tabla1[[#This Row],[AREA]],Hoja1!A:B,2,FALSE)</f>
        <v>02. Planeamiento urbanístico y vivienda</v>
      </c>
      <c r="U4576" s="35" t="str">
        <f>MID(Tabla1[[#This Row],[Aplicación]],9,4)</f>
        <v>9332</v>
      </c>
      <c r="V4576" s="35" t="str">
        <f>VLOOKUP(Tabla1[[#This Row],[PROGRAMA]],Hoja1!A:B,2,FALSE)</f>
        <v>9332. Mantenimiento de edificios e instalaciones municipales</v>
      </c>
      <c r="W4576" s="35" t="str">
        <f>MID(Tabla1[[#This Row],[Aplicación]],14,2)</f>
        <v>63</v>
      </c>
      <c r="X4576" s="35" t="str">
        <f>MID(Tabla1[[#This Row],[Aplicación]],14,6)</f>
        <v>632</v>
      </c>
    </row>
    <row r="4577" spans="1:24" x14ac:dyDescent="0.25">
      <c r="A4577" s="45">
        <v>220210058768</v>
      </c>
      <c r="B4577" s="46" t="s">
        <v>204</v>
      </c>
      <c r="C4577" s="47">
        <v>44462</v>
      </c>
      <c r="D4577" s="45">
        <v>22021002143</v>
      </c>
      <c r="E4577" s="46" t="s">
        <v>1328</v>
      </c>
      <c r="F4577" s="48">
        <v>40.119999999999997</v>
      </c>
      <c r="G4577" s="46" t="s">
        <v>256</v>
      </c>
      <c r="H4577" s="46" t="s">
        <v>6173</v>
      </c>
      <c r="I4577" s="45" t="s">
        <v>205</v>
      </c>
      <c r="J4577" s="46" t="s">
        <v>127</v>
      </c>
      <c r="K4577" s="46" t="s">
        <v>127</v>
      </c>
      <c r="L4577" s="46" t="s">
        <v>15</v>
      </c>
      <c r="M4577" s="46" t="s">
        <v>13</v>
      </c>
      <c r="N4577" s="46" t="s">
        <v>14</v>
      </c>
      <c r="O4577" s="49" t="s">
        <v>814</v>
      </c>
      <c r="P4577" s="49" t="s">
        <v>4910</v>
      </c>
      <c r="Q4577" s="35" t="str">
        <f>MID(Tabla1[[#This Row],[Aplicación]],14,1)</f>
        <v>2</v>
      </c>
      <c r="R4577" s="35" t="s">
        <v>495</v>
      </c>
      <c r="S4577" s="35" t="str">
        <f>MID(Tabla1[[#This Row],[Aplicación]],6,2)</f>
        <v>10</v>
      </c>
      <c r="T4577" s="35" t="str">
        <f>VLOOKUP(Tabla1[[#This Row],[AREA]],Hoja1!A:B,2,FALSE)</f>
        <v>10. Servicios sociales y mediación comunitaria</v>
      </c>
      <c r="U4577" s="35" t="str">
        <f>MID(Tabla1[[#This Row],[Aplicación]],9,4)</f>
        <v>2311</v>
      </c>
      <c r="V4577" s="35" t="str">
        <f>VLOOKUP(Tabla1[[#This Row],[PROGRAMA]],Hoja1!A:B,2,FALSE)</f>
        <v>2311. Intervención social</v>
      </c>
      <c r="W4577" s="35" t="str">
        <f>MID(Tabla1[[#This Row],[Aplicación]],14,2)</f>
        <v>21</v>
      </c>
      <c r="X4577" s="35" t="str">
        <f>MID(Tabla1[[#This Row],[Aplicación]],14,6)</f>
        <v>212</v>
      </c>
    </row>
    <row r="4578" spans="1:24" x14ac:dyDescent="0.25">
      <c r="A4578" s="45">
        <v>220210058649</v>
      </c>
      <c r="B4578" s="46" t="s">
        <v>204</v>
      </c>
      <c r="C4578" s="47">
        <v>44461</v>
      </c>
      <c r="D4578" s="45">
        <v>22021002380</v>
      </c>
      <c r="E4578" s="46" t="s">
        <v>1263</v>
      </c>
      <c r="F4578" s="48">
        <v>39.33</v>
      </c>
      <c r="G4578" s="46" t="s">
        <v>272</v>
      </c>
      <c r="H4578" s="46" t="s">
        <v>6228</v>
      </c>
      <c r="I4578" s="45" t="s">
        <v>205</v>
      </c>
      <c r="J4578" s="46" t="s">
        <v>127</v>
      </c>
      <c r="K4578" s="46" t="s">
        <v>127</v>
      </c>
      <c r="L4578" s="46" t="s">
        <v>15</v>
      </c>
      <c r="M4578" s="46" t="s">
        <v>13</v>
      </c>
      <c r="N4578" s="46" t="s">
        <v>14</v>
      </c>
      <c r="O4578" s="49" t="s">
        <v>814</v>
      </c>
      <c r="P4578" s="49" t="s">
        <v>4910</v>
      </c>
      <c r="Q4578" s="35" t="str">
        <f>MID(Tabla1[[#This Row],[Aplicación]],14,1)</f>
        <v>2</v>
      </c>
      <c r="R4578" s="35" t="s">
        <v>495</v>
      </c>
      <c r="S4578" s="35" t="str">
        <f>MID(Tabla1[[#This Row],[Aplicación]],6,2)</f>
        <v>02</v>
      </c>
      <c r="T4578" s="35" t="str">
        <f>VLOOKUP(Tabla1[[#This Row],[AREA]],Hoja1!A:B,2,FALSE)</f>
        <v>02. Planeamiento urbanístico y vivienda</v>
      </c>
      <c r="U4578" s="35" t="str">
        <f>MID(Tabla1[[#This Row],[Aplicación]],9,4)</f>
        <v>9332</v>
      </c>
      <c r="V4578" s="35" t="str">
        <f>VLOOKUP(Tabla1[[#This Row],[PROGRAMA]],Hoja1!A:B,2,FALSE)</f>
        <v>9332. Mantenimiento de edificios e instalaciones municipales</v>
      </c>
      <c r="W4578" s="35" t="str">
        <f>MID(Tabla1[[#This Row],[Aplicación]],14,2)</f>
        <v>21</v>
      </c>
      <c r="X4578" s="35" t="str">
        <f>MID(Tabla1[[#This Row],[Aplicación]],14,6)</f>
        <v>213</v>
      </c>
    </row>
    <row r="4579" spans="1:24" x14ac:dyDescent="0.25">
      <c r="A4579" s="45">
        <v>220210059000</v>
      </c>
      <c r="B4579" s="46" t="s">
        <v>204</v>
      </c>
      <c r="C4579" s="47">
        <v>44463</v>
      </c>
      <c r="D4579" s="45">
        <v>22021002132</v>
      </c>
      <c r="E4579" s="46" t="s">
        <v>1180</v>
      </c>
      <c r="F4579" s="48">
        <v>1035.97</v>
      </c>
      <c r="G4579" s="46" t="s">
        <v>1976</v>
      </c>
      <c r="H4579" s="46" t="s">
        <v>6229</v>
      </c>
      <c r="I4579" s="45" t="s">
        <v>205</v>
      </c>
      <c r="J4579" s="46" t="s">
        <v>127</v>
      </c>
      <c r="K4579" s="46" t="s">
        <v>127</v>
      </c>
      <c r="L4579" s="46" t="s">
        <v>15</v>
      </c>
      <c r="M4579" s="46" t="s">
        <v>13</v>
      </c>
      <c r="N4579" s="46" t="s">
        <v>14</v>
      </c>
      <c r="O4579" s="49" t="s">
        <v>814</v>
      </c>
      <c r="P4579" s="49" t="s">
        <v>4910</v>
      </c>
      <c r="Q4579" s="35" t="str">
        <f>MID(Tabla1[[#This Row],[Aplicación]],14,1)</f>
        <v>2</v>
      </c>
      <c r="R4579" s="35" t="s">
        <v>495</v>
      </c>
      <c r="S4579" s="35" t="str">
        <f>MID(Tabla1[[#This Row],[Aplicación]],6,2)</f>
        <v>08</v>
      </c>
      <c r="T4579" s="35" t="str">
        <f>VLOOKUP(Tabla1[[#This Row],[AREA]],Hoja1!A:B,2,FALSE)</f>
        <v>08. Movilidad y espacio urbano</v>
      </c>
      <c r="U4579" s="35" t="str">
        <f>MID(Tabla1[[#This Row],[Aplicación]],9,4)</f>
        <v>1532</v>
      </c>
      <c r="V4579" s="35" t="str">
        <f>VLOOKUP(Tabla1[[#This Row],[PROGRAMA]],Hoja1!A:B,2,FALSE)</f>
        <v>1532. Pavimentación vias públicas y otros servicios urbanísticos</v>
      </c>
      <c r="W4579" s="35" t="str">
        <f>MID(Tabla1[[#This Row],[Aplicación]],14,2)</f>
        <v>21</v>
      </c>
      <c r="X4579" s="35" t="str">
        <f>MID(Tabla1[[#This Row],[Aplicación]],14,6)</f>
        <v>210</v>
      </c>
    </row>
    <row r="4580" spans="1:24" x14ac:dyDescent="0.25">
      <c r="A4580" s="45">
        <v>220210056550</v>
      </c>
      <c r="B4580" s="46" t="s">
        <v>204</v>
      </c>
      <c r="C4580" s="47">
        <v>44455</v>
      </c>
      <c r="D4580" s="45">
        <v>22021003381</v>
      </c>
      <c r="E4580" s="46" t="s">
        <v>1183</v>
      </c>
      <c r="F4580" s="48">
        <v>36.42</v>
      </c>
      <c r="G4580" s="46" t="s">
        <v>235</v>
      </c>
      <c r="H4580" s="46" t="s">
        <v>6230</v>
      </c>
      <c r="I4580" s="45" t="s">
        <v>205</v>
      </c>
      <c r="J4580" s="46" t="s">
        <v>742</v>
      </c>
      <c r="K4580" s="46" t="s">
        <v>165</v>
      </c>
      <c r="L4580" s="46" t="s">
        <v>15</v>
      </c>
      <c r="M4580" s="46" t="s">
        <v>13</v>
      </c>
      <c r="N4580" s="46" t="s">
        <v>14</v>
      </c>
      <c r="O4580" s="49" t="s">
        <v>814</v>
      </c>
      <c r="P4580" s="49" t="s">
        <v>4910</v>
      </c>
      <c r="Q4580" s="35" t="str">
        <f>MID(Tabla1[[#This Row],[Aplicación]],14,1)</f>
        <v>2</v>
      </c>
      <c r="R4580" s="35" t="s">
        <v>495</v>
      </c>
      <c r="S4580" s="35" t="str">
        <f>MID(Tabla1[[#This Row],[Aplicación]],6,2)</f>
        <v>11</v>
      </c>
      <c r="T4580" s="35" t="str">
        <f>VLOOKUP(Tabla1[[#This Row],[AREA]],Hoja1!A:B,2,FALSE)</f>
        <v>11. Salud pública y seguridad ciudadana</v>
      </c>
      <c r="U4580" s="35" t="str">
        <f>MID(Tabla1[[#This Row],[Aplicación]],9,4)</f>
        <v>1361</v>
      </c>
      <c r="V4580" s="35" t="str">
        <f>VLOOKUP(Tabla1[[#This Row],[PROGRAMA]],Hoja1!A:B,2,FALSE)</f>
        <v>1361. Prevención y extinción de incencios</v>
      </c>
      <c r="W4580" s="35" t="str">
        <f>MID(Tabla1[[#This Row],[Aplicación]],14,2)</f>
        <v>22</v>
      </c>
      <c r="X4580" s="35" t="str">
        <f>MID(Tabla1[[#This Row],[Aplicación]],14,6)</f>
        <v>22199</v>
      </c>
    </row>
    <row r="4581" spans="1:24" x14ac:dyDescent="0.25">
      <c r="A4581" s="45">
        <v>220210061305</v>
      </c>
      <c r="B4581" s="46" t="s">
        <v>204</v>
      </c>
      <c r="C4581" s="47">
        <v>44468</v>
      </c>
      <c r="D4581" s="45">
        <v>22021000542</v>
      </c>
      <c r="E4581" s="46" t="s">
        <v>2913</v>
      </c>
      <c r="F4581" s="48">
        <v>35.700000000000003</v>
      </c>
      <c r="G4581" s="46" t="s">
        <v>135</v>
      </c>
      <c r="H4581" s="46" t="s">
        <v>6231</v>
      </c>
      <c r="I4581" s="45" t="s">
        <v>205</v>
      </c>
      <c r="J4581" s="46" t="s">
        <v>127</v>
      </c>
      <c r="K4581" s="46" t="s">
        <v>127</v>
      </c>
      <c r="L4581" s="46" t="s">
        <v>15</v>
      </c>
      <c r="M4581" s="46" t="s">
        <v>13</v>
      </c>
      <c r="N4581" s="46" t="s">
        <v>14</v>
      </c>
      <c r="O4581" s="49" t="s">
        <v>814</v>
      </c>
      <c r="P4581" s="49" t="s">
        <v>4910</v>
      </c>
      <c r="Q4581" s="35" t="str">
        <f>MID(Tabla1[[#This Row],[Aplicación]],14,1)</f>
        <v>2</v>
      </c>
      <c r="R4581" s="35" t="s">
        <v>495</v>
      </c>
      <c r="S4581" s="35" t="str">
        <f>MID(Tabla1[[#This Row],[Aplicación]],6,2)</f>
        <v>08</v>
      </c>
      <c r="T4581" s="35" t="str">
        <f>VLOOKUP(Tabla1[[#This Row],[AREA]],Hoja1!A:B,2,FALSE)</f>
        <v>08. Movilidad y espacio urbano</v>
      </c>
      <c r="U4581" s="35" t="str">
        <f>MID(Tabla1[[#This Row],[Aplicación]],9,4)</f>
        <v>1341</v>
      </c>
      <c r="V4581" s="35" t="str">
        <f>VLOOKUP(Tabla1[[#This Row],[PROGRAMA]],Hoja1!A:B,2,FALSE)</f>
        <v>1341. Movilidad</v>
      </c>
      <c r="W4581" s="35" t="str">
        <f>MID(Tabla1[[#This Row],[Aplicación]],14,2)</f>
        <v>22</v>
      </c>
      <c r="X4581" s="35" t="str">
        <f>MID(Tabla1[[#This Row],[Aplicación]],14,6)</f>
        <v>22699</v>
      </c>
    </row>
    <row r="4582" spans="1:24" x14ac:dyDescent="0.25">
      <c r="A4582" s="45">
        <v>220210058252</v>
      </c>
      <c r="B4582" s="46" t="s">
        <v>9</v>
      </c>
      <c r="C4582" s="47">
        <v>44459</v>
      </c>
      <c r="D4582" s="45">
        <v>22021000780</v>
      </c>
      <c r="E4582" s="46" t="s">
        <v>890</v>
      </c>
      <c r="F4582" s="48">
        <v>7000</v>
      </c>
      <c r="G4582" s="46" t="s">
        <v>114</v>
      </c>
      <c r="H4582" s="46" t="s">
        <v>6232</v>
      </c>
      <c r="I4582" s="45" t="s">
        <v>125</v>
      </c>
      <c r="J4582" s="46" t="s">
        <v>649</v>
      </c>
      <c r="K4582" s="46" t="s">
        <v>219</v>
      </c>
      <c r="L4582" s="46" t="s">
        <v>15</v>
      </c>
      <c r="M4582" s="46" t="s">
        <v>10</v>
      </c>
      <c r="N4582" s="46" t="s">
        <v>11</v>
      </c>
      <c r="O4582" s="49" t="s">
        <v>815</v>
      </c>
      <c r="P4582" s="49" t="s">
        <v>4910</v>
      </c>
      <c r="Q4582" s="35" t="str">
        <f>MID(Tabla1[[#This Row],[Aplicación]],14,1)</f>
        <v>2</v>
      </c>
      <c r="R4582" s="35" t="s">
        <v>495</v>
      </c>
      <c r="S4582" s="35" t="str">
        <f>MID(Tabla1[[#This Row],[Aplicación]],6,2)</f>
        <v>11</v>
      </c>
      <c r="T4582" s="35" t="str">
        <f>VLOOKUP(Tabla1[[#This Row],[AREA]],Hoja1!A:B,2,FALSE)</f>
        <v>11. Salud pública y seguridad ciudadana</v>
      </c>
      <c r="U4582" s="35" t="str">
        <f>MID(Tabla1[[#This Row],[Aplicación]],9,4)</f>
        <v>1621</v>
      </c>
      <c r="V4582" s="35" t="str">
        <f>VLOOKUP(Tabla1[[#This Row],[PROGRAMA]],Hoja1!A:B,2,FALSE)</f>
        <v>1621. Servicio de limpieza</v>
      </c>
      <c r="W4582" s="35" t="str">
        <f>MID(Tabla1[[#This Row],[Aplicación]],14,2)</f>
        <v>21</v>
      </c>
      <c r="X4582" s="35" t="str">
        <f>MID(Tabla1[[#This Row],[Aplicación]],14,6)</f>
        <v>214</v>
      </c>
    </row>
    <row r="4583" spans="1:24" x14ac:dyDescent="0.25">
      <c r="A4583" s="45">
        <v>220210061267</v>
      </c>
      <c r="B4583" s="46" t="s">
        <v>204</v>
      </c>
      <c r="C4583" s="47">
        <v>44468</v>
      </c>
      <c r="D4583" s="45">
        <v>22021003381</v>
      </c>
      <c r="E4583" s="46" t="s">
        <v>1183</v>
      </c>
      <c r="F4583" s="48">
        <v>27.06</v>
      </c>
      <c r="G4583" s="46" t="s">
        <v>235</v>
      </c>
      <c r="H4583" s="46" t="s">
        <v>6233</v>
      </c>
      <c r="I4583" s="45" t="s">
        <v>205</v>
      </c>
      <c r="J4583" s="46" t="s">
        <v>742</v>
      </c>
      <c r="K4583" s="46" t="s">
        <v>165</v>
      </c>
      <c r="L4583" s="46" t="s">
        <v>15</v>
      </c>
      <c r="M4583" s="46" t="s">
        <v>13</v>
      </c>
      <c r="N4583" s="46" t="s">
        <v>14</v>
      </c>
      <c r="O4583" s="49" t="s">
        <v>814</v>
      </c>
      <c r="P4583" s="49" t="s">
        <v>4910</v>
      </c>
      <c r="Q4583" s="35" t="str">
        <f>MID(Tabla1[[#This Row],[Aplicación]],14,1)</f>
        <v>2</v>
      </c>
      <c r="R4583" s="35" t="s">
        <v>495</v>
      </c>
      <c r="S4583" s="35" t="str">
        <f>MID(Tabla1[[#This Row],[Aplicación]],6,2)</f>
        <v>11</v>
      </c>
      <c r="T4583" s="35" t="str">
        <f>VLOOKUP(Tabla1[[#This Row],[AREA]],Hoja1!A:B,2,FALSE)</f>
        <v>11. Salud pública y seguridad ciudadana</v>
      </c>
      <c r="U4583" s="35" t="str">
        <f>MID(Tabla1[[#This Row],[Aplicación]],9,4)</f>
        <v>1361</v>
      </c>
      <c r="V4583" s="35" t="str">
        <f>VLOOKUP(Tabla1[[#This Row],[PROGRAMA]],Hoja1!A:B,2,FALSE)</f>
        <v>1361. Prevención y extinción de incencios</v>
      </c>
      <c r="W4583" s="35" t="str">
        <f>MID(Tabla1[[#This Row],[Aplicación]],14,2)</f>
        <v>22</v>
      </c>
      <c r="X4583" s="35" t="str">
        <f>MID(Tabla1[[#This Row],[Aplicación]],14,6)</f>
        <v>22199</v>
      </c>
    </row>
    <row r="4584" spans="1:24" x14ac:dyDescent="0.25">
      <c r="A4584" s="45">
        <v>220210058655</v>
      </c>
      <c r="B4584" s="46" t="s">
        <v>204</v>
      </c>
      <c r="C4584" s="47">
        <v>44461</v>
      </c>
      <c r="D4584" s="45">
        <v>22021002369</v>
      </c>
      <c r="E4584" s="46" t="s">
        <v>1336</v>
      </c>
      <c r="F4584" s="48">
        <v>25.48</v>
      </c>
      <c r="G4584" s="46" t="s">
        <v>257</v>
      </c>
      <c r="H4584" s="46" t="s">
        <v>6234</v>
      </c>
      <c r="I4584" s="45" t="s">
        <v>205</v>
      </c>
      <c r="J4584" s="46" t="s">
        <v>127</v>
      </c>
      <c r="K4584" s="46" t="s">
        <v>127</v>
      </c>
      <c r="L4584" s="46" t="s">
        <v>15</v>
      </c>
      <c r="M4584" s="46" t="s">
        <v>13</v>
      </c>
      <c r="N4584" s="46" t="s">
        <v>14</v>
      </c>
      <c r="O4584" s="49" t="s">
        <v>814</v>
      </c>
      <c r="P4584" s="49" t="s">
        <v>4910</v>
      </c>
      <c r="Q4584" s="35" t="str">
        <f>MID(Tabla1[[#This Row],[Aplicación]],14,1)</f>
        <v>2</v>
      </c>
      <c r="R4584" s="35" t="s">
        <v>495</v>
      </c>
      <c r="S4584" s="35" t="str">
        <f>MID(Tabla1[[#This Row],[Aplicación]],6,2)</f>
        <v>02</v>
      </c>
      <c r="T4584" s="35" t="str">
        <f>VLOOKUP(Tabla1[[#This Row],[AREA]],Hoja1!A:B,2,FALSE)</f>
        <v>02. Planeamiento urbanístico y vivienda</v>
      </c>
      <c r="U4584" s="35" t="str">
        <f>MID(Tabla1[[#This Row],[Aplicación]],9,4)</f>
        <v>9332</v>
      </c>
      <c r="V4584" s="35" t="str">
        <f>VLOOKUP(Tabla1[[#This Row],[PROGRAMA]],Hoja1!A:B,2,FALSE)</f>
        <v>9332. Mantenimiento de edificios e instalaciones municipales</v>
      </c>
      <c r="W4584" s="35" t="str">
        <f>MID(Tabla1[[#This Row],[Aplicación]],14,2)</f>
        <v>21</v>
      </c>
      <c r="X4584" s="35" t="str">
        <f>MID(Tabla1[[#This Row],[Aplicación]],14,6)</f>
        <v>212</v>
      </c>
    </row>
    <row r="4585" spans="1:24" x14ac:dyDescent="0.25">
      <c r="A4585" s="45">
        <v>220210056692</v>
      </c>
      <c r="B4585" s="46" t="s">
        <v>204</v>
      </c>
      <c r="C4585" s="47">
        <v>44455</v>
      </c>
      <c r="D4585" s="45">
        <v>22021002228</v>
      </c>
      <c r="E4585" s="46" t="s">
        <v>1471</v>
      </c>
      <c r="F4585" s="48">
        <v>23.82</v>
      </c>
      <c r="G4585" s="46" t="s">
        <v>263</v>
      </c>
      <c r="H4585" s="46" t="s">
        <v>6235</v>
      </c>
      <c r="I4585" s="45" t="s">
        <v>205</v>
      </c>
      <c r="J4585" s="46" t="s">
        <v>127</v>
      </c>
      <c r="K4585" s="46" t="s">
        <v>127</v>
      </c>
      <c r="L4585" s="46" t="s">
        <v>15</v>
      </c>
      <c r="M4585" s="46" t="s">
        <v>13</v>
      </c>
      <c r="N4585" s="46" t="s">
        <v>16</v>
      </c>
      <c r="O4585" s="49" t="s">
        <v>814</v>
      </c>
      <c r="P4585" s="49" t="s">
        <v>4910</v>
      </c>
      <c r="Q4585" s="35" t="str">
        <f>MID(Tabla1[[#This Row],[Aplicación]],14,1)</f>
        <v>2</v>
      </c>
      <c r="R4585" s="35" t="s">
        <v>495</v>
      </c>
      <c r="S4585" s="35" t="str">
        <f>MID(Tabla1[[#This Row],[Aplicación]],6,2)</f>
        <v>06</v>
      </c>
      <c r="T4585" s="35" t="str">
        <f>VLOOKUP(Tabla1[[#This Row],[AREA]],Hoja1!A:B,2,FALSE)</f>
        <v>06. Educación, infancia, juventud e igualdad</v>
      </c>
      <c r="U4585" s="35" t="str">
        <f>MID(Tabla1[[#This Row],[Aplicación]],9,4)</f>
        <v>3232</v>
      </c>
      <c r="V4585" s="35" t="str">
        <f>VLOOKUP(Tabla1[[#This Row],[PROGRAMA]],Hoja1!A:B,2,FALSE)</f>
        <v>3232. Conservación y mantenimiento centros educación infantil y primaria</v>
      </c>
      <c r="W4585" s="35" t="str">
        <f>MID(Tabla1[[#This Row],[Aplicación]],14,2)</f>
        <v>21</v>
      </c>
      <c r="X4585" s="35" t="str">
        <f>MID(Tabla1[[#This Row],[Aplicación]],14,6)</f>
        <v>212</v>
      </c>
    </row>
    <row r="4586" spans="1:24" x14ac:dyDescent="0.25">
      <c r="A4586" s="45">
        <v>220210061343</v>
      </c>
      <c r="B4586" s="46" t="s">
        <v>9</v>
      </c>
      <c r="C4586" s="47">
        <v>44468</v>
      </c>
      <c r="D4586" s="45">
        <v>22021005720</v>
      </c>
      <c r="E4586" s="46" t="s">
        <v>3333</v>
      </c>
      <c r="F4586" s="48">
        <v>363</v>
      </c>
      <c r="G4586" s="46" t="s">
        <v>5806</v>
      </c>
      <c r="H4586" s="46" t="s">
        <v>6236</v>
      </c>
      <c r="I4586" s="45" t="s">
        <v>125</v>
      </c>
      <c r="J4586" s="46" t="s">
        <v>127</v>
      </c>
      <c r="K4586" s="46" t="s">
        <v>127</v>
      </c>
      <c r="L4586" s="46" t="s">
        <v>12</v>
      </c>
      <c r="M4586" s="46" t="s">
        <v>10</v>
      </c>
      <c r="N4586" s="46" t="s">
        <v>11</v>
      </c>
      <c r="O4586" s="49" t="s">
        <v>815</v>
      </c>
      <c r="P4586" s="49" t="s">
        <v>4910</v>
      </c>
      <c r="Q4586" s="35" t="str">
        <f>MID(Tabla1[[#This Row],[Aplicación]],14,1)</f>
        <v>2</v>
      </c>
      <c r="R4586" s="35" t="s">
        <v>495</v>
      </c>
      <c r="S4586" s="35" t="str">
        <f>MID(Tabla1[[#This Row],[Aplicación]],6,2)</f>
        <v>10</v>
      </c>
      <c r="T4586" s="35" t="str">
        <f>VLOOKUP(Tabla1[[#This Row],[AREA]],Hoja1!A:B,2,FALSE)</f>
        <v>10. Servicios sociales y mediación comunitaria</v>
      </c>
      <c r="U4586" s="35" t="str">
        <f>MID(Tabla1[[#This Row],[Aplicación]],9,4)</f>
        <v>2316</v>
      </c>
      <c r="V4586" s="35" t="str">
        <f>VLOOKUP(Tabla1[[#This Row],[PROGRAMA]],Hoja1!A:B,2,FALSE)</f>
        <v>2316. Mediación comunitaria</v>
      </c>
      <c r="W4586" s="35" t="str">
        <f>MID(Tabla1[[#This Row],[Aplicación]],14,2)</f>
        <v>22</v>
      </c>
      <c r="X4586" s="35" t="str">
        <f>MID(Tabla1[[#This Row],[Aplicación]],14,6)</f>
        <v>22616</v>
      </c>
    </row>
    <row r="4587" spans="1:24" x14ac:dyDescent="0.25">
      <c r="A4587" s="45">
        <v>220210062269</v>
      </c>
      <c r="B4587" s="46" t="s">
        <v>9</v>
      </c>
      <c r="C4587" s="47">
        <v>44469</v>
      </c>
      <c r="D4587" s="45">
        <v>22021006692</v>
      </c>
      <c r="E4587" s="46" t="s">
        <v>1596</v>
      </c>
      <c r="F4587" s="48">
        <v>550.54999999999995</v>
      </c>
      <c r="G4587" s="46" t="s">
        <v>81</v>
      </c>
      <c r="H4587" s="46" t="s">
        <v>6237</v>
      </c>
      <c r="I4587" s="45" t="s">
        <v>125</v>
      </c>
      <c r="J4587" s="46" t="s">
        <v>127</v>
      </c>
      <c r="K4587" s="46" t="s">
        <v>127</v>
      </c>
      <c r="L4587" s="46" t="s">
        <v>12</v>
      </c>
      <c r="M4587" s="46" t="s">
        <v>10</v>
      </c>
      <c r="N4587" s="46" t="s">
        <v>11</v>
      </c>
      <c r="O4587" s="49" t="s">
        <v>815</v>
      </c>
      <c r="P4587" s="49" t="s">
        <v>4910</v>
      </c>
      <c r="Q4587" s="35" t="str">
        <f>MID(Tabla1[[#This Row],[Aplicación]],14,1)</f>
        <v>2</v>
      </c>
      <c r="R4587" s="35" t="s">
        <v>495</v>
      </c>
      <c r="S4587" s="35" t="str">
        <f>MID(Tabla1[[#This Row],[Aplicación]],6,2)</f>
        <v>11</v>
      </c>
      <c r="T4587" s="35" t="str">
        <f>VLOOKUP(Tabla1[[#This Row],[AREA]],Hoja1!A:B,2,FALSE)</f>
        <v>11. Salud pública y seguridad ciudadana</v>
      </c>
      <c r="U4587" s="35" t="str">
        <f>MID(Tabla1[[#This Row],[Aplicación]],9,4)</f>
        <v>1321</v>
      </c>
      <c r="V4587" s="35" t="str">
        <f>VLOOKUP(Tabla1[[#This Row],[PROGRAMA]],Hoja1!A:B,2,FALSE)</f>
        <v>1321. Policía municipal</v>
      </c>
      <c r="W4587" s="35" t="str">
        <f>MID(Tabla1[[#This Row],[Aplicación]],14,2)</f>
        <v>22</v>
      </c>
      <c r="X4587" s="35" t="str">
        <f>MID(Tabla1[[#This Row],[Aplicación]],14,6)</f>
        <v>22699</v>
      </c>
    </row>
    <row r="4588" spans="1:24" x14ac:dyDescent="0.25">
      <c r="A4588" s="45">
        <v>220210056645</v>
      </c>
      <c r="B4588" s="46" t="s">
        <v>204</v>
      </c>
      <c r="C4588" s="47">
        <v>44455</v>
      </c>
      <c r="D4588" s="45">
        <v>22021002055</v>
      </c>
      <c r="E4588" s="46" t="s">
        <v>1613</v>
      </c>
      <c r="F4588" s="48">
        <v>20.45</v>
      </c>
      <c r="G4588" s="46" t="s">
        <v>263</v>
      </c>
      <c r="H4588" s="46" t="s">
        <v>6238</v>
      </c>
      <c r="I4588" s="45" t="s">
        <v>205</v>
      </c>
      <c r="J4588" s="46" t="s">
        <v>127</v>
      </c>
      <c r="K4588" s="46" t="s">
        <v>127</v>
      </c>
      <c r="L4588" s="46" t="s">
        <v>15</v>
      </c>
      <c r="M4588" s="46" t="s">
        <v>13</v>
      </c>
      <c r="N4588" s="46" t="s">
        <v>14</v>
      </c>
      <c r="O4588" s="49" t="s">
        <v>814</v>
      </c>
      <c r="P4588" s="49" t="s">
        <v>4910</v>
      </c>
      <c r="Q4588" s="35" t="str">
        <f>MID(Tabla1[[#This Row],[Aplicación]],14,1)</f>
        <v>2</v>
      </c>
      <c r="R4588" s="35" t="s">
        <v>495</v>
      </c>
      <c r="S4588" s="35" t="str">
        <f>MID(Tabla1[[#This Row],[Aplicación]],6,2)</f>
        <v>11</v>
      </c>
      <c r="T4588" s="35" t="str">
        <f>VLOOKUP(Tabla1[[#This Row],[AREA]],Hoja1!A:B,2,FALSE)</f>
        <v>11. Salud pública y seguridad ciudadana</v>
      </c>
      <c r="U4588" s="35" t="str">
        <f>MID(Tabla1[[#This Row],[Aplicación]],9,4)</f>
        <v>1631</v>
      </c>
      <c r="V4588" s="35" t="str">
        <f>VLOOKUP(Tabla1[[#This Row],[PROGRAMA]],Hoja1!A:B,2,FALSE)</f>
        <v>1631. Limpieza viaria</v>
      </c>
      <c r="W4588" s="35" t="str">
        <f>MID(Tabla1[[#This Row],[Aplicación]],14,2)</f>
        <v>22</v>
      </c>
      <c r="X4588" s="35" t="str">
        <f>MID(Tabla1[[#This Row],[Aplicación]],14,6)</f>
        <v>22104</v>
      </c>
    </row>
    <row r="4589" spans="1:24" x14ac:dyDescent="0.25">
      <c r="A4589" s="45">
        <v>220210062265</v>
      </c>
      <c r="B4589" s="46" t="s">
        <v>9</v>
      </c>
      <c r="C4589" s="47">
        <v>44469</v>
      </c>
      <c r="D4589" s="45">
        <v>22021006624</v>
      </c>
      <c r="E4589" s="46" t="s">
        <v>1183</v>
      </c>
      <c r="F4589" s="48">
        <v>86.4</v>
      </c>
      <c r="G4589" s="46" t="s">
        <v>248</v>
      </c>
      <c r="H4589" s="46" t="s">
        <v>6239</v>
      </c>
      <c r="I4589" s="45" t="s">
        <v>125</v>
      </c>
      <c r="J4589" s="46" t="s">
        <v>146</v>
      </c>
      <c r="K4589" s="46" t="s">
        <v>146</v>
      </c>
      <c r="L4589" s="46" t="s">
        <v>15</v>
      </c>
      <c r="M4589" s="46" t="s">
        <v>10</v>
      </c>
      <c r="N4589" s="46" t="s">
        <v>11</v>
      </c>
      <c r="O4589" s="49" t="s">
        <v>815</v>
      </c>
      <c r="P4589" s="49" t="s">
        <v>4910</v>
      </c>
      <c r="Q4589" s="35" t="str">
        <f>MID(Tabla1[[#This Row],[Aplicación]],14,1)</f>
        <v>2</v>
      </c>
      <c r="R4589" s="35" t="s">
        <v>495</v>
      </c>
      <c r="S4589" s="35" t="str">
        <f>MID(Tabla1[[#This Row],[Aplicación]],6,2)</f>
        <v>11</v>
      </c>
      <c r="T4589" s="35" t="str">
        <f>VLOOKUP(Tabla1[[#This Row],[AREA]],Hoja1!A:B,2,FALSE)</f>
        <v>11. Salud pública y seguridad ciudadana</v>
      </c>
      <c r="U4589" s="35" t="str">
        <f>MID(Tabla1[[#This Row],[Aplicación]],9,4)</f>
        <v>1361</v>
      </c>
      <c r="V4589" s="35" t="str">
        <f>VLOOKUP(Tabla1[[#This Row],[PROGRAMA]],Hoja1!A:B,2,FALSE)</f>
        <v>1361. Prevención y extinción de incencios</v>
      </c>
      <c r="W4589" s="35" t="str">
        <f>MID(Tabla1[[#This Row],[Aplicación]],14,2)</f>
        <v>22</v>
      </c>
      <c r="X4589" s="35" t="str">
        <f>MID(Tabla1[[#This Row],[Aplicación]],14,6)</f>
        <v>22199</v>
      </c>
    </row>
    <row r="4590" spans="1:24" x14ac:dyDescent="0.25">
      <c r="A4590" s="45">
        <v>220210058246</v>
      </c>
      <c r="B4590" s="46" t="s">
        <v>9</v>
      </c>
      <c r="C4590" s="47">
        <v>44459</v>
      </c>
      <c r="D4590" s="45">
        <v>22021006456</v>
      </c>
      <c r="E4590" s="46" t="s">
        <v>1324</v>
      </c>
      <c r="F4590" s="48">
        <v>300</v>
      </c>
      <c r="G4590" s="46" t="s">
        <v>87</v>
      </c>
      <c r="H4590" s="46" t="s">
        <v>6240</v>
      </c>
      <c r="I4590" s="45" t="s">
        <v>125</v>
      </c>
      <c r="J4590" s="46" t="s">
        <v>127</v>
      </c>
      <c r="K4590" s="46" t="s">
        <v>127</v>
      </c>
      <c r="L4590" s="46" t="s">
        <v>15</v>
      </c>
      <c r="M4590" s="46" t="s">
        <v>10</v>
      </c>
      <c r="N4590" s="46" t="s">
        <v>11</v>
      </c>
      <c r="O4590" s="49" t="s">
        <v>815</v>
      </c>
      <c r="P4590" s="49" t="s">
        <v>4910</v>
      </c>
      <c r="Q4590" s="35" t="str">
        <f>MID(Tabla1[[#This Row],[Aplicación]],14,1)</f>
        <v>2</v>
      </c>
      <c r="R4590" s="35" t="s">
        <v>495</v>
      </c>
      <c r="S4590" s="35" t="str">
        <f>MID(Tabla1[[#This Row],[Aplicación]],6,2)</f>
        <v>06</v>
      </c>
      <c r="T4590" s="35" t="str">
        <f>VLOOKUP(Tabla1[[#This Row],[AREA]],Hoja1!A:B,2,FALSE)</f>
        <v>06. Educación, infancia, juventud e igualdad</v>
      </c>
      <c r="U4590" s="35" t="str">
        <f>MID(Tabla1[[#This Row],[Aplicación]],9,4)</f>
        <v>3321</v>
      </c>
      <c r="V4590" s="35" t="str">
        <f>VLOOKUP(Tabla1[[#This Row],[PROGRAMA]],Hoja1!A:B,2,FALSE)</f>
        <v>3321. Bibliotecas públicas</v>
      </c>
      <c r="W4590" s="35" t="str">
        <f>MID(Tabla1[[#This Row],[Aplicación]],14,2)</f>
        <v>21</v>
      </c>
      <c r="X4590" s="35" t="str">
        <f>MID(Tabla1[[#This Row],[Aplicación]],14,6)</f>
        <v>212</v>
      </c>
    </row>
    <row r="4591" spans="1:24" x14ac:dyDescent="0.25">
      <c r="A4591" s="45">
        <v>220210056720</v>
      </c>
      <c r="B4591" s="46" t="s">
        <v>204</v>
      </c>
      <c r="C4591" s="47">
        <v>44455</v>
      </c>
      <c r="D4591" s="45">
        <v>22021004982</v>
      </c>
      <c r="E4591" s="46" t="s">
        <v>5901</v>
      </c>
      <c r="F4591" s="48">
        <v>88.74</v>
      </c>
      <c r="G4591" s="46" t="s">
        <v>262</v>
      </c>
      <c r="H4591" s="46" t="s">
        <v>6241</v>
      </c>
      <c r="I4591" s="45" t="s">
        <v>205</v>
      </c>
      <c r="J4591" s="46" t="s">
        <v>127</v>
      </c>
      <c r="K4591" s="46" t="s">
        <v>127</v>
      </c>
      <c r="L4591" s="46" t="s">
        <v>12</v>
      </c>
      <c r="M4591" s="46" t="s">
        <v>13</v>
      </c>
      <c r="N4591" s="46" t="s">
        <v>14</v>
      </c>
      <c r="O4591" s="49" t="s">
        <v>814</v>
      </c>
      <c r="P4591" s="49" t="s">
        <v>4910</v>
      </c>
      <c r="Q4591" s="35" t="str">
        <f>MID(Tabla1[[#This Row],[Aplicación]],14,1)</f>
        <v>2</v>
      </c>
      <c r="R4591" s="35" t="s">
        <v>495</v>
      </c>
      <c r="S4591" s="35" t="str">
        <f>MID(Tabla1[[#This Row],[Aplicación]],6,2)</f>
        <v>06</v>
      </c>
      <c r="T4591" s="35" t="str">
        <f>VLOOKUP(Tabla1[[#This Row],[AREA]],Hoja1!A:B,2,FALSE)</f>
        <v>06. Educación, infancia, juventud e igualdad</v>
      </c>
      <c r="U4591" s="35" t="str">
        <f>MID(Tabla1[[#This Row],[Aplicación]],9,4)</f>
        <v>3261</v>
      </c>
      <c r="V4591" s="35" t="str">
        <f>VLOOKUP(Tabla1[[#This Row],[PROGRAMA]],Hoja1!A:B,2,FALSE)</f>
        <v>3261. Servicios complementarios de educación</v>
      </c>
      <c r="W4591" s="35" t="str">
        <f>MID(Tabla1[[#This Row],[Aplicación]],14,2)</f>
        <v>21</v>
      </c>
      <c r="X4591" s="35" t="str">
        <f>MID(Tabla1[[#This Row],[Aplicación]],14,6)</f>
        <v>214</v>
      </c>
    </row>
    <row r="4592" spans="1:24" x14ac:dyDescent="0.25">
      <c r="A4592" s="45">
        <v>220210056744</v>
      </c>
      <c r="B4592" s="46" t="s">
        <v>204</v>
      </c>
      <c r="C4592" s="47">
        <v>44455</v>
      </c>
      <c r="D4592" s="45">
        <v>22021005946</v>
      </c>
      <c r="E4592" s="46" t="s">
        <v>1167</v>
      </c>
      <c r="F4592" s="48">
        <v>543.4</v>
      </c>
      <c r="G4592" s="46" t="s">
        <v>262</v>
      </c>
      <c r="H4592" s="46" t="s">
        <v>6242</v>
      </c>
      <c r="I4592" s="45" t="s">
        <v>205</v>
      </c>
      <c r="J4592" s="46" t="s">
        <v>127</v>
      </c>
      <c r="K4592" s="46" t="s">
        <v>127</v>
      </c>
      <c r="L4592" s="46" t="s">
        <v>12</v>
      </c>
      <c r="M4592" s="46" t="s">
        <v>13</v>
      </c>
      <c r="N4592" s="46" t="s">
        <v>14</v>
      </c>
      <c r="O4592" s="49" t="s">
        <v>814</v>
      </c>
      <c r="P4592" s="49" t="s">
        <v>4910</v>
      </c>
      <c r="Q4592" s="35" t="str">
        <f>MID(Tabla1[[#This Row],[Aplicación]],14,1)</f>
        <v>2</v>
      </c>
      <c r="R4592" s="35" t="s">
        <v>495</v>
      </c>
      <c r="S4592" s="35" t="str">
        <f>MID(Tabla1[[#This Row],[Aplicación]],6,2)</f>
        <v>11</v>
      </c>
      <c r="T4592" s="35" t="str">
        <f>VLOOKUP(Tabla1[[#This Row],[AREA]],Hoja1!A:B,2,FALSE)</f>
        <v>11. Salud pública y seguridad ciudadana</v>
      </c>
      <c r="U4592" s="35" t="str">
        <f>MID(Tabla1[[#This Row],[Aplicación]],9,4)</f>
        <v>1321</v>
      </c>
      <c r="V4592" s="35" t="str">
        <f>VLOOKUP(Tabla1[[#This Row],[PROGRAMA]],Hoja1!A:B,2,FALSE)</f>
        <v>1321. Policía municipal</v>
      </c>
      <c r="W4592" s="35" t="str">
        <f>MID(Tabla1[[#This Row],[Aplicación]],14,2)</f>
        <v>21</v>
      </c>
      <c r="X4592" s="35" t="str">
        <f>MID(Tabla1[[#This Row],[Aplicación]],14,6)</f>
        <v>214</v>
      </c>
    </row>
    <row r="4593" spans="1:24" x14ac:dyDescent="0.25">
      <c r="A4593" s="45">
        <v>220210056746</v>
      </c>
      <c r="B4593" s="46" t="s">
        <v>204</v>
      </c>
      <c r="C4593" s="47">
        <v>44455</v>
      </c>
      <c r="D4593" s="45">
        <v>22021005946</v>
      </c>
      <c r="E4593" s="46" t="s">
        <v>1167</v>
      </c>
      <c r="F4593" s="48">
        <v>458.54</v>
      </c>
      <c r="G4593" s="46" t="s">
        <v>262</v>
      </c>
      <c r="H4593" s="46" t="s">
        <v>6243</v>
      </c>
      <c r="I4593" s="45" t="s">
        <v>205</v>
      </c>
      <c r="J4593" s="46" t="s">
        <v>127</v>
      </c>
      <c r="K4593" s="46" t="s">
        <v>127</v>
      </c>
      <c r="L4593" s="46" t="s">
        <v>12</v>
      </c>
      <c r="M4593" s="46" t="s">
        <v>13</v>
      </c>
      <c r="N4593" s="46" t="s">
        <v>14</v>
      </c>
      <c r="O4593" s="49" t="s">
        <v>814</v>
      </c>
      <c r="P4593" s="49" t="s">
        <v>4910</v>
      </c>
      <c r="Q4593" s="35" t="str">
        <f>MID(Tabla1[[#This Row],[Aplicación]],14,1)</f>
        <v>2</v>
      </c>
      <c r="R4593" s="35" t="s">
        <v>495</v>
      </c>
      <c r="S4593" s="35" t="str">
        <f>MID(Tabla1[[#This Row],[Aplicación]],6,2)</f>
        <v>11</v>
      </c>
      <c r="T4593" s="35" t="str">
        <f>VLOOKUP(Tabla1[[#This Row],[AREA]],Hoja1!A:B,2,FALSE)</f>
        <v>11. Salud pública y seguridad ciudadana</v>
      </c>
      <c r="U4593" s="35" t="str">
        <f>MID(Tabla1[[#This Row],[Aplicación]],9,4)</f>
        <v>1321</v>
      </c>
      <c r="V4593" s="35" t="str">
        <f>VLOOKUP(Tabla1[[#This Row],[PROGRAMA]],Hoja1!A:B,2,FALSE)</f>
        <v>1321. Policía municipal</v>
      </c>
      <c r="W4593" s="35" t="str">
        <f>MID(Tabla1[[#This Row],[Aplicación]],14,2)</f>
        <v>21</v>
      </c>
      <c r="X4593" s="35" t="str">
        <f>MID(Tabla1[[#This Row],[Aplicación]],14,6)</f>
        <v>214</v>
      </c>
    </row>
    <row r="4594" spans="1:24" x14ac:dyDescent="0.25">
      <c r="A4594" s="45">
        <v>220210059343</v>
      </c>
      <c r="B4594" s="46" t="s">
        <v>204</v>
      </c>
      <c r="C4594" s="47">
        <v>44466</v>
      </c>
      <c r="D4594" s="45">
        <v>22021001966</v>
      </c>
      <c r="E4594" s="46" t="s">
        <v>950</v>
      </c>
      <c r="F4594" s="48">
        <v>15.74</v>
      </c>
      <c r="G4594" s="46" t="s">
        <v>102</v>
      </c>
      <c r="H4594" s="46" t="s">
        <v>6244</v>
      </c>
      <c r="I4594" s="45" t="s">
        <v>205</v>
      </c>
      <c r="J4594" s="46" t="s">
        <v>127</v>
      </c>
      <c r="K4594" s="46" t="s">
        <v>127</v>
      </c>
      <c r="L4594" s="46" t="s">
        <v>15</v>
      </c>
      <c r="M4594" s="46" t="s">
        <v>13</v>
      </c>
      <c r="N4594" s="46" t="s">
        <v>14</v>
      </c>
      <c r="O4594" s="49" t="s">
        <v>814</v>
      </c>
      <c r="P4594" s="49" t="s">
        <v>4910</v>
      </c>
      <c r="Q4594" s="35" t="str">
        <f>MID(Tabla1[[#This Row],[Aplicación]],14,1)</f>
        <v>2</v>
      </c>
      <c r="R4594" s="35" t="s">
        <v>495</v>
      </c>
      <c r="S4594" s="35" t="str">
        <f>MID(Tabla1[[#This Row],[Aplicación]],6,2)</f>
        <v>11</v>
      </c>
      <c r="T4594" s="35" t="str">
        <f>VLOOKUP(Tabla1[[#This Row],[AREA]],Hoja1!A:B,2,FALSE)</f>
        <v>11. Salud pública y seguridad ciudadana</v>
      </c>
      <c r="U4594" s="35" t="str">
        <f>MID(Tabla1[[#This Row],[Aplicación]],9,4)</f>
        <v>1321</v>
      </c>
      <c r="V4594" s="35" t="str">
        <f>VLOOKUP(Tabla1[[#This Row],[PROGRAMA]],Hoja1!A:B,2,FALSE)</f>
        <v>1321. Policía municipal</v>
      </c>
      <c r="W4594" s="35" t="str">
        <f>MID(Tabla1[[#This Row],[Aplicación]],14,2)</f>
        <v>21</v>
      </c>
      <c r="X4594" s="35" t="str">
        <f>MID(Tabla1[[#This Row],[Aplicación]],14,6)</f>
        <v>213</v>
      </c>
    </row>
    <row r="4595" spans="1:24" x14ac:dyDescent="0.25">
      <c r="A4595" s="45">
        <v>220210058928</v>
      </c>
      <c r="B4595" s="46" t="s">
        <v>9</v>
      </c>
      <c r="C4595" s="47">
        <v>44462</v>
      </c>
      <c r="D4595" s="45">
        <v>22021006620</v>
      </c>
      <c r="E4595" s="46" t="s">
        <v>836</v>
      </c>
      <c r="F4595" s="48">
        <v>331.31</v>
      </c>
      <c r="G4595" s="46" t="s">
        <v>3979</v>
      </c>
      <c r="H4595" s="46" t="s">
        <v>6245</v>
      </c>
      <c r="I4595" s="45" t="s">
        <v>125</v>
      </c>
      <c r="J4595" s="46" t="s">
        <v>127</v>
      </c>
      <c r="K4595" s="46" t="s">
        <v>127</v>
      </c>
      <c r="L4595" s="46" t="s">
        <v>15</v>
      </c>
      <c r="M4595" s="46" t="s">
        <v>10</v>
      </c>
      <c r="N4595" s="46" t="s">
        <v>11</v>
      </c>
      <c r="O4595" s="49" t="s">
        <v>815</v>
      </c>
      <c r="P4595" s="49" t="s">
        <v>4910</v>
      </c>
      <c r="Q4595" s="35" t="str">
        <f>MID(Tabla1[[#This Row],[Aplicación]],14,1)</f>
        <v>2</v>
      </c>
      <c r="R4595" s="35" t="s">
        <v>495</v>
      </c>
      <c r="S4595" s="35" t="str">
        <f>MID(Tabla1[[#This Row],[Aplicación]],6,2)</f>
        <v>05</v>
      </c>
      <c r="T4595" s="35" t="str">
        <f>VLOOKUP(Tabla1[[#This Row],[AREA]],Hoja1!A:B,2,FALSE)</f>
        <v>05. Innovación, desarrollo económico, empleo y comercio</v>
      </c>
      <c r="U4595" s="35" t="str">
        <f>MID(Tabla1[[#This Row],[Aplicación]],9,4)</f>
        <v>4331</v>
      </c>
      <c r="V4595" s="35" t="str">
        <f>VLOOKUP(Tabla1[[#This Row],[PROGRAMA]],Hoja1!A:B,2,FALSE)</f>
        <v>4331. Desarrollo empresarial</v>
      </c>
      <c r="W4595" s="35" t="str">
        <f>MID(Tabla1[[#This Row],[Aplicación]],14,2)</f>
        <v>22</v>
      </c>
      <c r="X4595" s="35" t="str">
        <f>MID(Tabla1[[#This Row],[Aplicación]],14,6)</f>
        <v>22699</v>
      </c>
    </row>
    <row r="4596" spans="1:24" x14ac:dyDescent="0.25">
      <c r="A4596" s="45">
        <v>220210058847</v>
      </c>
      <c r="B4596" s="46" t="s">
        <v>204</v>
      </c>
      <c r="C4596" s="47">
        <v>44462</v>
      </c>
      <c r="D4596" s="45">
        <v>22021004276</v>
      </c>
      <c r="E4596" s="46" t="s">
        <v>1678</v>
      </c>
      <c r="F4596" s="48">
        <v>11.47</v>
      </c>
      <c r="G4596" s="46" t="s">
        <v>235</v>
      </c>
      <c r="H4596" s="46" t="s">
        <v>6246</v>
      </c>
      <c r="I4596" s="45" t="s">
        <v>205</v>
      </c>
      <c r="J4596" s="46" t="s">
        <v>742</v>
      </c>
      <c r="K4596" s="46" t="s">
        <v>165</v>
      </c>
      <c r="L4596" s="46" t="s">
        <v>15</v>
      </c>
      <c r="M4596" s="46" t="s">
        <v>13</v>
      </c>
      <c r="N4596" s="46" t="s">
        <v>14</v>
      </c>
      <c r="O4596" s="49" t="s">
        <v>814</v>
      </c>
      <c r="P4596" s="49" t="s">
        <v>4910</v>
      </c>
      <c r="Q4596" s="35" t="str">
        <f>MID(Tabla1[[#This Row],[Aplicación]],14,1)</f>
        <v>2</v>
      </c>
      <c r="R4596" s="35" t="s">
        <v>495</v>
      </c>
      <c r="S4596" s="35" t="str">
        <f>MID(Tabla1[[#This Row],[Aplicación]],6,2)</f>
        <v>09</v>
      </c>
      <c r="T4596" s="35" t="str">
        <f>VLOOKUP(Tabla1[[#This Row],[AREA]],Hoja1!A:B,2,FALSE)</f>
        <v>09. Cultura y turismo</v>
      </c>
      <c r="U4596" s="35" t="str">
        <f>MID(Tabla1[[#This Row],[Aplicación]],9,4)</f>
        <v>3341</v>
      </c>
      <c r="V4596" s="35" t="str">
        <f>VLOOKUP(Tabla1[[#This Row],[PROGRAMA]],Hoja1!A:B,2,FALSE)</f>
        <v>3341. Coordinación de políticas culturales</v>
      </c>
      <c r="W4596" s="35" t="str">
        <f>MID(Tabla1[[#This Row],[Aplicación]],14,2)</f>
        <v>21</v>
      </c>
      <c r="X4596" s="35" t="str">
        <f>MID(Tabla1[[#This Row],[Aplicación]],14,6)</f>
        <v>213</v>
      </c>
    </row>
    <row r="4597" spans="1:24" x14ac:dyDescent="0.25">
      <c r="A4597" s="45">
        <v>220210058322</v>
      </c>
      <c r="B4597" s="46" t="s">
        <v>9</v>
      </c>
      <c r="C4597" s="47">
        <v>44460</v>
      </c>
      <c r="D4597" s="45">
        <v>22021006586</v>
      </c>
      <c r="E4597" s="46" t="s">
        <v>1478</v>
      </c>
      <c r="F4597" s="48">
        <v>1766.6</v>
      </c>
      <c r="G4597" s="46" t="s">
        <v>3684</v>
      </c>
      <c r="H4597" s="46" t="s">
        <v>6247</v>
      </c>
      <c r="I4597" s="45" t="s">
        <v>125</v>
      </c>
      <c r="J4597" s="46" t="s">
        <v>127</v>
      </c>
      <c r="K4597" s="46" t="s">
        <v>127</v>
      </c>
      <c r="L4597" s="46" t="s">
        <v>15</v>
      </c>
      <c r="M4597" s="46" t="s">
        <v>10</v>
      </c>
      <c r="N4597" s="46" t="s">
        <v>11</v>
      </c>
      <c r="O4597" s="49" t="s">
        <v>815</v>
      </c>
      <c r="P4597" s="49" t="s">
        <v>4910</v>
      </c>
      <c r="Q4597" s="35" t="str">
        <f>MID(Tabla1[[#This Row],[Aplicación]],14,1)</f>
        <v>2</v>
      </c>
      <c r="R4597" s="35" t="s">
        <v>495</v>
      </c>
      <c r="S4597" s="35" t="str">
        <f>MID(Tabla1[[#This Row],[Aplicación]],6,2)</f>
        <v>03</v>
      </c>
      <c r="T4597" s="35" t="str">
        <f>VLOOKUP(Tabla1[[#This Row],[AREA]],Hoja1!A:B,2,FALSE)</f>
        <v>03. Participación ciudadana y deportes</v>
      </c>
      <c r="U4597" s="35" t="str">
        <f>MID(Tabla1[[#This Row],[Aplicación]],9,4)</f>
        <v>9241</v>
      </c>
      <c r="V4597" s="35" t="str">
        <f>VLOOKUP(Tabla1[[#This Row],[PROGRAMA]],Hoja1!A:B,2,FALSE)</f>
        <v>9241. Participación ciudadana</v>
      </c>
      <c r="W4597" s="35" t="str">
        <f>MID(Tabla1[[#This Row],[Aplicación]],14,2)</f>
        <v>21</v>
      </c>
      <c r="X4597" s="35" t="str">
        <f>MID(Tabla1[[#This Row],[Aplicación]],14,6)</f>
        <v>212</v>
      </c>
    </row>
    <row r="4598" spans="1:24" x14ac:dyDescent="0.25">
      <c r="A4598" s="45">
        <v>220210062276</v>
      </c>
      <c r="B4598" s="46" t="s">
        <v>9</v>
      </c>
      <c r="C4598" s="47">
        <v>44469</v>
      </c>
      <c r="D4598" s="45">
        <v>22021006721</v>
      </c>
      <c r="E4598" s="46" t="s">
        <v>1382</v>
      </c>
      <c r="F4598" s="48">
        <v>7000</v>
      </c>
      <c r="G4598" s="46" t="s">
        <v>279</v>
      </c>
      <c r="H4598" s="46" t="s">
        <v>6248</v>
      </c>
      <c r="I4598" s="45" t="s">
        <v>125</v>
      </c>
      <c r="J4598" s="46" t="s">
        <v>127</v>
      </c>
      <c r="K4598" s="46" t="s">
        <v>127</v>
      </c>
      <c r="L4598" s="46" t="s">
        <v>15</v>
      </c>
      <c r="M4598" s="46" t="s">
        <v>10</v>
      </c>
      <c r="N4598" s="46" t="s">
        <v>11</v>
      </c>
      <c r="O4598" s="49" t="s">
        <v>815</v>
      </c>
      <c r="P4598" s="49" t="s">
        <v>4910</v>
      </c>
      <c r="Q4598" s="35" t="str">
        <f>MID(Tabla1[[#This Row],[Aplicación]],14,1)</f>
        <v>2</v>
      </c>
      <c r="R4598" s="35" t="s">
        <v>495</v>
      </c>
      <c r="S4598" s="35" t="str">
        <f>MID(Tabla1[[#This Row],[Aplicación]],6,2)</f>
        <v>11</v>
      </c>
      <c r="T4598" s="35" t="str">
        <f>VLOOKUP(Tabla1[[#This Row],[AREA]],Hoja1!A:B,2,FALSE)</f>
        <v>11. Salud pública y seguridad ciudadana</v>
      </c>
      <c r="U4598" s="35" t="str">
        <f>MID(Tabla1[[#This Row],[Aplicación]],9,4)</f>
        <v>1631</v>
      </c>
      <c r="V4598" s="35" t="str">
        <f>VLOOKUP(Tabla1[[#This Row],[PROGRAMA]],Hoja1!A:B,2,FALSE)</f>
        <v>1631. Limpieza viaria</v>
      </c>
      <c r="W4598" s="35" t="str">
        <f>MID(Tabla1[[#This Row],[Aplicación]],14,2)</f>
        <v>21</v>
      </c>
      <c r="X4598" s="35" t="str">
        <f>MID(Tabla1[[#This Row],[Aplicación]],14,6)</f>
        <v>214</v>
      </c>
    </row>
    <row r="4599" spans="1:24" x14ac:dyDescent="0.25">
      <c r="A4599" s="45">
        <v>220210056533</v>
      </c>
      <c r="B4599" s="46" t="s">
        <v>204</v>
      </c>
      <c r="C4599" s="47">
        <v>44455</v>
      </c>
      <c r="D4599" s="45">
        <v>22021003381</v>
      </c>
      <c r="E4599" s="46" t="s">
        <v>1183</v>
      </c>
      <c r="F4599" s="48">
        <v>9.11</v>
      </c>
      <c r="G4599" s="46" t="s">
        <v>235</v>
      </c>
      <c r="H4599" s="46" t="s">
        <v>6249</v>
      </c>
      <c r="I4599" s="45" t="s">
        <v>205</v>
      </c>
      <c r="J4599" s="46" t="s">
        <v>742</v>
      </c>
      <c r="K4599" s="46" t="s">
        <v>165</v>
      </c>
      <c r="L4599" s="46" t="s">
        <v>15</v>
      </c>
      <c r="M4599" s="46" t="s">
        <v>13</v>
      </c>
      <c r="N4599" s="46" t="s">
        <v>14</v>
      </c>
      <c r="O4599" s="49" t="s">
        <v>814</v>
      </c>
      <c r="P4599" s="49" t="s">
        <v>4910</v>
      </c>
      <c r="Q4599" s="35" t="str">
        <f>MID(Tabla1[[#This Row],[Aplicación]],14,1)</f>
        <v>2</v>
      </c>
      <c r="R4599" s="35" t="s">
        <v>495</v>
      </c>
      <c r="S4599" s="35" t="str">
        <f>MID(Tabla1[[#This Row],[Aplicación]],6,2)</f>
        <v>11</v>
      </c>
      <c r="T4599" s="35" t="str">
        <f>VLOOKUP(Tabla1[[#This Row],[AREA]],Hoja1!A:B,2,FALSE)</f>
        <v>11. Salud pública y seguridad ciudadana</v>
      </c>
      <c r="U4599" s="35" t="str">
        <f>MID(Tabla1[[#This Row],[Aplicación]],9,4)</f>
        <v>1361</v>
      </c>
      <c r="V4599" s="35" t="str">
        <f>VLOOKUP(Tabla1[[#This Row],[PROGRAMA]],Hoja1!A:B,2,FALSE)</f>
        <v>1361. Prevención y extinción de incencios</v>
      </c>
      <c r="W4599" s="35" t="str">
        <f>MID(Tabla1[[#This Row],[Aplicación]],14,2)</f>
        <v>22</v>
      </c>
      <c r="X4599" s="35" t="str">
        <f>MID(Tabla1[[#This Row],[Aplicación]],14,6)</f>
        <v>22199</v>
      </c>
    </row>
    <row r="4600" spans="1:24" x14ac:dyDescent="0.25">
      <c r="A4600" s="45">
        <v>220210058249</v>
      </c>
      <c r="B4600" s="46" t="s">
        <v>9</v>
      </c>
      <c r="C4600" s="47">
        <v>44459</v>
      </c>
      <c r="D4600" s="45">
        <v>22021006528</v>
      </c>
      <c r="E4600" s="46" t="s">
        <v>1388</v>
      </c>
      <c r="F4600" s="48">
        <v>647.47</v>
      </c>
      <c r="G4600" s="46" t="s">
        <v>6250</v>
      </c>
      <c r="H4600" s="46" t="s">
        <v>6251</v>
      </c>
      <c r="I4600" s="45" t="s">
        <v>125</v>
      </c>
      <c r="J4600" s="46" t="s">
        <v>6252</v>
      </c>
      <c r="K4600" s="46" t="s">
        <v>201</v>
      </c>
      <c r="L4600" s="46" t="s">
        <v>15</v>
      </c>
      <c r="M4600" s="46" t="s">
        <v>10</v>
      </c>
      <c r="N4600" s="46" t="s">
        <v>11</v>
      </c>
      <c r="O4600" s="49" t="s">
        <v>815</v>
      </c>
      <c r="P4600" s="49" t="s">
        <v>4910</v>
      </c>
      <c r="Q4600" s="35" t="str">
        <f>MID(Tabla1[[#This Row],[Aplicación]],14,1)</f>
        <v>2</v>
      </c>
      <c r="R4600" s="35" t="s">
        <v>495</v>
      </c>
      <c r="S4600" s="35" t="str">
        <f>MID(Tabla1[[#This Row],[Aplicación]],6,2)</f>
        <v>11</v>
      </c>
      <c r="T4600" s="35" t="str">
        <f>VLOOKUP(Tabla1[[#This Row],[AREA]],Hoja1!A:B,2,FALSE)</f>
        <v>11. Salud pública y seguridad ciudadana</v>
      </c>
      <c r="U4600" s="35" t="str">
        <f>MID(Tabla1[[#This Row],[Aplicación]],9,4)</f>
        <v>1321</v>
      </c>
      <c r="V4600" s="35" t="str">
        <f>VLOOKUP(Tabla1[[#This Row],[PROGRAMA]],Hoja1!A:B,2,FALSE)</f>
        <v>1321. Policía municipal</v>
      </c>
      <c r="W4600" s="35" t="str">
        <f>MID(Tabla1[[#This Row],[Aplicación]],14,2)</f>
        <v>22</v>
      </c>
      <c r="X4600" s="35" t="str">
        <f>MID(Tabla1[[#This Row],[Aplicación]],14,6)</f>
        <v>22199</v>
      </c>
    </row>
    <row r="4601" spans="1:24" x14ac:dyDescent="0.25">
      <c r="A4601" s="45">
        <v>220210058689</v>
      </c>
      <c r="B4601" s="46" t="s">
        <v>204</v>
      </c>
      <c r="C4601" s="47">
        <v>44461</v>
      </c>
      <c r="D4601" s="45">
        <v>22021002089</v>
      </c>
      <c r="E4601" s="46" t="s">
        <v>1220</v>
      </c>
      <c r="F4601" s="48">
        <v>8.0500000000000007</v>
      </c>
      <c r="G4601" s="46" t="s">
        <v>277</v>
      </c>
      <c r="H4601" s="46" t="s">
        <v>6253</v>
      </c>
      <c r="I4601" s="45" t="s">
        <v>205</v>
      </c>
      <c r="J4601" s="46" t="s">
        <v>127</v>
      </c>
      <c r="K4601" s="46" t="s">
        <v>127</v>
      </c>
      <c r="L4601" s="46" t="s">
        <v>15</v>
      </c>
      <c r="M4601" s="46" t="s">
        <v>13</v>
      </c>
      <c r="N4601" s="46" t="s">
        <v>16</v>
      </c>
      <c r="O4601" s="49" t="s">
        <v>814</v>
      </c>
      <c r="P4601" s="49" t="s">
        <v>4910</v>
      </c>
      <c r="Q4601" s="35" t="str">
        <f>MID(Tabla1[[#This Row],[Aplicación]],14,1)</f>
        <v>2</v>
      </c>
      <c r="R4601" s="35" t="s">
        <v>495</v>
      </c>
      <c r="S4601" s="35" t="str">
        <f>MID(Tabla1[[#This Row],[Aplicación]],6,2)</f>
        <v>03</v>
      </c>
      <c r="T4601" s="35" t="str">
        <f>VLOOKUP(Tabla1[[#This Row],[AREA]],Hoja1!A:B,2,FALSE)</f>
        <v>03. Participación ciudadana y deportes</v>
      </c>
      <c r="U4601" s="35" t="str">
        <f>MID(Tabla1[[#This Row],[Aplicación]],9,4)</f>
        <v>9241</v>
      </c>
      <c r="V4601" s="35" t="str">
        <f>VLOOKUP(Tabla1[[#This Row],[PROGRAMA]],Hoja1!A:B,2,FALSE)</f>
        <v>9241. Participación ciudadana</v>
      </c>
      <c r="W4601" s="35" t="str">
        <f>MID(Tabla1[[#This Row],[Aplicación]],14,2)</f>
        <v>21</v>
      </c>
      <c r="X4601" s="35" t="str">
        <f>MID(Tabla1[[#This Row],[Aplicación]],14,6)</f>
        <v>213</v>
      </c>
    </row>
    <row r="4602" spans="1:24" x14ac:dyDescent="0.25">
      <c r="A4602" s="45">
        <v>220210057730</v>
      </c>
      <c r="B4602" s="46" t="s">
        <v>204</v>
      </c>
      <c r="C4602" s="47">
        <v>44459</v>
      </c>
      <c r="D4602" s="45">
        <v>22021004482</v>
      </c>
      <c r="E4602" s="46" t="s">
        <v>921</v>
      </c>
      <c r="F4602" s="48">
        <v>6.21</v>
      </c>
      <c r="G4602" s="46" t="s">
        <v>235</v>
      </c>
      <c r="H4602" s="46" t="s">
        <v>6254</v>
      </c>
      <c r="I4602" s="45" t="s">
        <v>205</v>
      </c>
      <c r="J4602" s="46" t="s">
        <v>742</v>
      </c>
      <c r="K4602" s="46" t="s">
        <v>165</v>
      </c>
      <c r="L4602" s="46" t="s">
        <v>15</v>
      </c>
      <c r="M4602" s="46" t="s">
        <v>13</v>
      </c>
      <c r="N4602" s="46" t="s">
        <v>14</v>
      </c>
      <c r="O4602" s="49" t="s">
        <v>814</v>
      </c>
      <c r="P4602" s="49" t="s">
        <v>4910</v>
      </c>
      <c r="Q4602" s="35" t="str">
        <f>MID(Tabla1[[#This Row],[Aplicación]],14,1)</f>
        <v>2</v>
      </c>
      <c r="R4602" s="35" t="s">
        <v>495</v>
      </c>
      <c r="S4602" s="35" t="str">
        <f>MID(Tabla1[[#This Row],[Aplicación]],6,2)</f>
        <v>04</v>
      </c>
      <c r="T4602" s="35" t="str">
        <f>VLOOKUP(Tabla1[[#This Row],[AREA]],Hoja1!A:B,2,FALSE)</f>
        <v>04. Planificación y recursos</v>
      </c>
      <c r="U4602" s="35" t="str">
        <f>MID(Tabla1[[#This Row],[Aplicación]],9,4)</f>
        <v>9204</v>
      </c>
      <c r="V4602" s="35" t="str">
        <f>VLOOKUP(Tabla1[[#This Row],[PROGRAMA]],Hoja1!A:B,2,FALSE)</f>
        <v>9204. Tecnologías de la información y comunicación</v>
      </c>
      <c r="W4602" s="35" t="str">
        <f>MID(Tabla1[[#This Row],[Aplicación]],14,2)</f>
        <v>21</v>
      </c>
      <c r="X4602" s="35" t="str">
        <f>MID(Tabla1[[#This Row],[Aplicación]],14,6)</f>
        <v>213</v>
      </c>
    </row>
    <row r="4603" spans="1:24" x14ac:dyDescent="0.25">
      <c r="A4603" s="45">
        <v>220210059127</v>
      </c>
      <c r="B4603" s="46" t="s">
        <v>9</v>
      </c>
      <c r="C4603" s="47">
        <v>44466</v>
      </c>
      <c r="D4603" s="45">
        <v>22021006640</v>
      </c>
      <c r="E4603" s="46" t="s">
        <v>1596</v>
      </c>
      <c r="F4603" s="48">
        <v>1000</v>
      </c>
      <c r="G4603" s="46" t="s">
        <v>261</v>
      </c>
      <c r="H4603" s="46" t="s">
        <v>6255</v>
      </c>
      <c r="I4603" s="45" t="s">
        <v>125</v>
      </c>
      <c r="J4603" s="46" t="s">
        <v>127</v>
      </c>
      <c r="K4603" s="46" t="s">
        <v>127</v>
      </c>
      <c r="L4603" s="46" t="s">
        <v>15</v>
      </c>
      <c r="M4603" s="46" t="s">
        <v>10</v>
      </c>
      <c r="N4603" s="46" t="s">
        <v>11</v>
      </c>
      <c r="O4603" s="49" t="s">
        <v>815</v>
      </c>
      <c r="P4603" s="49" t="s">
        <v>4910</v>
      </c>
      <c r="Q4603" s="35" t="str">
        <f>MID(Tabla1[[#This Row],[Aplicación]],14,1)</f>
        <v>2</v>
      </c>
      <c r="R4603" s="35" t="s">
        <v>495</v>
      </c>
      <c r="S4603" s="35" t="str">
        <f>MID(Tabla1[[#This Row],[Aplicación]],6,2)</f>
        <v>11</v>
      </c>
      <c r="T4603" s="35" t="str">
        <f>VLOOKUP(Tabla1[[#This Row],[AREA]],Hoja1!A:B,2,FALSE)</f>
        <v>11. Salud pública y seguridad ciudadana</v>
      </c>
      <c r="U4603" s="35" t="str">
        <f>MID(Tabla1[[#This Row],[Aplicación]],9,4)</f>
        <v>1321</v>
      </c>
      <c r="V4603" s="35" t="str">
        <f>VLOOKUP(Tabla1[[#This Row],[PROGRAMA]],Hoja1!A:B,2,FALSE)</f>
        <v>1321. Policía municipal</v>
      </c>
      <c r="W4603" s="35" t="str">
        <f>MID(Tabla1[[#This Row],[Aplicación]],14,2)</f>
        <v>22</v>
      </c>
      <c r="X4603" s="35" t="str">
        <f>MID(Tabla1[[#This Row],[Aplicación]],14,6)</f>
        <v>22699</v>
      </c>
    </row>
    <row r="4604" spans="1:24" x14ac:dyDescent="0.25">
      <c r="A4604" s="45">
        <v>220210057353</v>
      </c>
      <c r="B4604" s="46" t="s">
        <v>9</v>
      </c>
      <c r="C4604" s="47">
        <v>44456</v>
      </c>
      <c r="D4604" s="45">
        <v>22021006181</v>
      </c>
      <c r="E4604" s="46" t="s">
        <v>2748</v>
      </c>
      <c r="F4604" s="48">
        <v>7139</v>
      </c>
      <c r="G4604" s="46" t="s">
        <v>3988</v>
      </c>
      <c r="H4604" s="46" t="s">
        <v>6256</v>
      </c>
      <c r="I4604" s="45" t="s">
        <v>125</v>
      </c>
      <c r="J4604" s="46" t="s">
        <v>127</v>
      </c>
      <c r="K4604" s="46" t="s">
        <v>127</v>
      </c>
      <c r="L4604" s="46" t="s">
        <v>12</v>
      </c>
      <c r="M4604" s="46" t="s">
        <v>10</v>
      </c>
      <c r="N4604" s="46" t="s">
        <v>11</v>
      </c>
      <c r="O4604" s="49" t="s">
        <v>815</v>
      </c>
      <c r="P4604" s="49" t="s">
        <v>4910</v>
      </c>
      <c r="Q4604" s="35" t="str">
        <f>MID(Tabla1[[#This Row],[Aplicación]],14,1)</f>
        <v>2</v>
      </c>
      <c r="R4604" s="35" t="s">
        <v>495</v>
      </c>
      <c r="S4604" s="35" t="str">
        <f>MID(Tabla1[[#This Row],[Aplicación]],6,2)</f>
        <v>05</v>
      </c>
      <c r="T4604" s="35" t="str">
        <f>VLOOKUP(Tabla1[[#This Row],[AREA]],Hoja1!A:B,2,FALSE)</f>
        <v>05. Innovación, desarrollo económico, empleo y comercio</v>
      </c>
      <c r="U4604" s="35" t="str">
        <f>MID(Tabla1[[#This Row],[Aplicación]],9,4)</f>
        <v>4331</v>
      </c>
      <c r="V4604" s="35" t="str">
        <f>VLOOKUP(Tabla1[[#This Row],[PROGRAMA]],Hoja1!A:B,2,FALSE)</f>
        <v>4331. Desarrollo empresarial</v>
      </c>
      <c r="W4604" s="35" t="str">
        <f>MID(Tabla1[[#This Row],[Aplicación]],14,2)</f>
        <v>22</v>
      </c>
      <c r="X4604" s="35" t="str">
        <f>MID(Tabla1[[#This Row],[Aplicación]],14,6)</f>
        <v>22606</v>
      </c>
    </row>
    <row r="4605" spans="1:24" x14ac:dyDescent="0.25">
      <c r="A4605" s="45">
        <v>220210057032</v>
      </c>
      <c r="B4605" s="46" t="s">
        <v>9</v>
      </c>
      <c r="C4605" s="47">
        <v>44456</v>
      </c>
      <c r="D4605" s="45">
        <v>22021006481</v>
      </c>
      <c r="E4605" s="46" t="s">
        <v>6070</v>
      </c>
      <c r="F4605" s="48">
        <v>729.39</v>
      </c>
      <c r="G4605" s="46" t="s">
        <v>2252</v>
      </c>
      <c r="H4605" s="46" t="s">
        <v>6257</v>
      </c>
      <c r="I4605" s="45" t="s">
        <v>125</v>
      </c>
      <c r="J4605" s="46" t="s">
        <v>2254</v>
      </c>
      <c r="K4605" s="46" t="s">
        <v>146</v>
      </c>
      <c r="L4605" s="46" t="s">
        <v>15</v>
      </c>
      <c r="M4605" s="46" t="s">
        <v>10</v>
      </c>
      <c r="N4605" s="46" t="s">
        <v>11</v>
      </c>
      <c r="O4605" s="49" t="s">
        <v>815</v>
      </c>
      <c r="P4605" s="49" t="s">
        <v>4910</v>
      </c>
      <c r="Q4605" s="35" t="str">
        <f>MID(Tabla1[[#This Row],[Aplicación]],14,1)</f>
        <v>2</v>
      </c>
      <c r="R4605" s="35" t="s">
        <v>495</v>
      </c>
      <c r="S4605" s="35" t="str">
        <f>MID(Tabla1[[#This Row],[Aplicación]],6,2)</f>
        <v>05</v>
      </c>
      <c r="T4605" s="35" t="str">
        <f>VLOOKUP(Tabla1[[#This Row],[AREA]],Hoja1!A:B,2,FALSE)</f>
        <v>05. Innovación, desarrollo económico, empleo y comercio</v>
      </c>
      <c r="U4605" s="35" t="str">
        <f>MID(Tabla1[[#This Row],[Aplicación]],9,4)</f>
        <v>4331</v>
      </c>
      <c r="V4605" s="35" t="str">
        <f>VLOOKUP(Tabla1[[#This Row],[PROGRAMA]],Hoja1!A:B,2,FALSE)</f>
        <v>4331. Desarrollo empresarial</v>
      </c>
      <c r="W4605" s="35" t="str">
        <f>MID(Tabla1[[#This Row],[Aplicación]],14,2)</f>
        <v>21</v>
      </c>
      <c r="X4605" s="35" t="str">
        <f>MID(Tabla1[[#This Row],[Aplicación]],14,6)</f>
        <v>212</v>
      </c>
    </row>
    <row r="4606" spans="1:24" x14ac:dyDescent="0.25">
      <c r="A4606" s="45">
        <v>220210058674</v>
      </c>
      <c r="B4606" s="46" t="s">
        <v>204</v>
      </c>
      <c r="C4606" s="47">
        <v>44461</v>
      </c>
      <c r="D4606" s="45">
        <v>22021002378</v>
      </c>
      <c r="E4606" s="46" t="s">
        <v>1228</v>
      </c>
      <c r="F4606" s="48">
        <v>70.930000000000007</v>
      </c>
      <c r="G4606" s="46" t="s">
        <v>262</v>
      </c>
      <c r="H4606" s="46" t="s">
        <v>6258</v>
      </c>
      <c r="I4606" s="45" t="s">
        <v>205</v>
      </c>
      <c r="J4606" s="46" t="s">
        <v>127</v>
      </c>
      <c r="K4606" s="46" t="s">
        <v>127</v>
      </c>
      <c r="L4606" s="46" t="s">
        <v>15</v>
      </c>
      <c r="M4606" s="46" t="s">
        <v>13</v>
      </c>
      <c r="N4606" s="46" t="s">
        <v>14</v>
      </c>
      <c r="O4606" s="49" t="s">
        <v>814</v>
      </c>
      <c r="P4606" s="49" t="s">
        <v>4910</v>
      </c>
      <c r="Q4606" s="35" t="str">
        <f>MID(Tabla1[[#This Row],[Aplicación]],14,1)</f>
        <v>2</v>
      </c>
      <c r="R4606" s="35" t="s">
        <v>495</v>
      </c>
      <c r="S4606" s="35" t="str">
        <f>MID(Tabla1[[#This Row],[Aplicación]],6,2)</f>
        <v>02</v>
      </c>
      <c r="T4606" s="35" t="str">
        <f>VLOOKUP(Tabla1[[#This Row],[AREA]],Hoja1!A:B,2,FALSE)</f>
        <v>02. Planeamiento urbanístico y vivienda</v>
      </c>
      <c r="U4606" s="35" t="str">
        <f>MID(Tabla1[[#This Row],[Aplicación]],9,4)</f>
        <v>9332</v>
      </c>
      <c r="V4606" s="35" t="str">
        <f>VLOOKUP(Tabla1[[#This Row],[PROGRAMA]],Hoja1!A:B,2,FALSE)</f>
        <v>9332. Mantenimiento de edificios e instalaciones municipales</v>
      </c>
      <c r="W4606" s="35" t="str">
        <f>MID(Tabla1[[#This Row],[Aplicación]],14,2)</f>
        <v>21</v>
      </c>
      <c r="X4606" s="35" t="str">
        <f>MID(Tabla1[[#This Row],[Aplicación]],14,6)</f>
        <v>214</v>
      </c>
    </row>
    <row r="4607" spans="1:24" x14ac:dyDescent="0.25">
      <c r="A4607" s="45">
        <v>220210058682</v>
      </c>
      <c r="B4607" s="46" t="s">
        <v>204</v>
      </c>
      <c r="C4607" s="47">
        <v>44461</v>
      </c>
      <c r="D4607" s="45">
        <v>22021002378</v>
      </c>
      <c r="E4607" s="46" t="s">
        <v>1228</v>
      </c>
      <c r="F4607" s="48">
        <v>316.83999999999997</v>
      </c>
      <c r="G4607" s="46" t="s">
        <v>262</v>
      </c>
      <c r="H4607" s="46" t="s">
        <v>6259</v>
      </c>
      <c r="I4607" s="45" t="s">
        <v>205</v>
      </c>
      <c r="J4607" s="46" t="s">
        <v>127</v>
      </c>
      <c r="K4607" s="46" t="s">
        <v>127</v>
      </c>
      <c r="L4607" s="46" t="s">
        <v>15</v>
      </c>
      <c r="M4607" s="46" t="s">
        <v>13</v>
      </c>
      <c r="N4607" s="46" t="s">
        <v>14</v>
      </c>
      <c r="O4607" s="49" t="s">
        <v>814</v>
      </c>
      <c r="P4607" s="49" t="s">
        <v>4910</v>
      </c>
      <c r="Q4607" s="35" t="str">
        <f>MID(Tabla1[[#This Row],[Aplicación]],14,1)</f>
        <v>2</v>
      </c>
      <c r="R4607" s="35" t="s">
        <v>495</v>
      </c>
      <c r="S4607" s="35" t="str">
        <f>MID(Tabla1[[#This Row],[Aplicación]],6,2)</f>
        <v>02</v>
      </c>
      <c r="T4607" s="35" t="str">
        <f>VLOOKUP(Tabla1[[#This Row],[AREA]],Hoja1!A:B,2,FALSE)</f>
        <v>02. Planeamiento urbanístico y vivienda</v>
      </c>
      <c r="U4607" s="35" t="str">
        <f>MID(Tabla1[[#This Row],[Aplicación]],9,4)</f>
        <v>9332</v>
      </c>
      <c r="V4607" s="35" t="str">
        <f>VLOOKUP(Tabla1[[#This Row],[PROGRAMA]],Hoja1!A:B,2,FALSE)</f>
        <v>9332. Mantenimiento de edificios e instalaciones municipales</v>
      </c>
      <c r="W4607" s="35" t="str">
        <f>MID(Tabla1[[#This Row],[Aplicación]],14,2)</f>
        <v>21</v>
      </c>
      <c r="X4607" s="35" t="str">
        <f>MID(Tabla1[[#This Row],[Aplicación]],14,6)</f>
        <v>214</v>
      </c>
    </row>
    <row r="4608" spans="1:24" x14ac:dyDescent="0.25">
      <c r="A4608" s="45">
        <v>220210058835</v>
      </c>
      <c r="B4608" s="46" t="s">
        <v>204</v>
      </c>
      <c r="C4608" s="47">
        <v>44462</v>
      </c>
      <c r="D4608" s="45">
        <v>22021002378</v>
      </c>
      <c r="E4608" s="46" t="s">
        <v>1228</v>
      </c>
      <c r="F4608" s="48">
        <v>140.84</v>
      </c>
      <c r="G4608" s="46" t="s">
        <v>262</v>
      </c>
      <c r="H4608" s="46" t="s">
        <v>6260</v>
      </c>
      <c r="I4608" s="45" t="s">
        <v>205</v>
      </c>
      <c r="J4608" s="46" t="s">
        <v>127</v>
      </c>
      <c r="K4608" s="46" t="s">
        <v>127</v>
      </c>
      <c r="L4608" s="46" t="s">
        <v>15</v>
      </c>
      <c r="M4608" s="46" t="s">
        <v>13</v>
      </c>
      <c r="N4608" s="46" t="s">
        <v>14</v>
      </c>
      <c r="O4608" s="49" t="s">
        <v>814</v>
      </c>
      <c r="P4608" s="49" t="s">
        <v>4910</v>
      </c>
      <c r="Q4608" s="35" t="str">
        <f>MID(Tabla1[[#This Row],[Aplicación]],14,1)</f>
        <v>2</v>
      </c>
      <c r="R4608" s="35" t="s">
        <v>495</v>
      </c>
      <c r="S4608" s="35" t="str">
        <f>MID(Tabla1[[#This Row],[Aplicación]],6,2)</f>
        <v>02</v>
      </c>
      <c r="T4608" s="35" t="str">
        <f>VLOOKUP(Tabla1[[#This Row],[AREA]],Hoja1!A:B,2,FALSE)</f>
        <v>02. Planeamiento urbanístico y vivienda</v>
      </c>
      <c r="U4608" s="35" t="str">
        <f>MID(Tabla1[[#This Row],[Aplicación]],9,4)</f>
        <v>9332</v>
      </c>
      <c r="V4608" s="35" t="str">
        <f>VLOOKUP(Tabla1[[#This Row],[PROGRAMA]],Hoja1!A:B,2,FALSE)</f>
        <v>9332. Mantenimiento de edificios e instalaciones municipales</v>
      </c>
      <c r="W4608" s="35" t="str">
        <f>MID(Tabla1[[#This Row],[Aplicación]],14,2)</f>
        <v>21</v>
      </c>
      <c r="X4608" s="35" t="str">
        <f>MID(Tabla1[[#This Row],[Aplicación]],14,6)</f>
        <v>214</v>
      </c>
    </row>
    <row r="4609" spans="1:24" x14ac:dyDescent="0.25">
      <c r="A4609" s="45">
        <v>220210056800</v>
      </c>
      <c r="B4609" s="46" t="s">
        <v>204</v>
      </c>
      <c r="C4609" s="47">
        <v>44455</v>
      </c>
      <c r="D4609" s="45">
        <v>22021005946</v>
      </c>
      <c r="E4609" s="46" t="s">
        <v>1167</v>
      </c>
      <c r="F4609" s="48">
        <v>403.2</v>
      </c>
      <c r="G4609" s="46" t="s">
        <v>2852</v>
      </c>
      <c r="H4609" s="46" t="s">
        <v>6261</v>
      </c>
      <c r="I4609" s="45" t="s">
        <v>205</v>
      </c>
      <c r="J4609" s="46" t="s">
        <v>127</v>
      </c>
      <c r="K4609" s="46" t="s">
        <v>127</v>
      </c>
      <c r="L4609" s="46" t="s">
        <v>12</v>
      </c>
      <c r="M4609" s="46" t="s">
        <v>13</v>
      </c>
      <c r="N4609" s="46" t="s">
        <v>14</v>
      </c>
      <c r="O4609" s="49" t="s">
        <v>814</v>
      </c>
      <c r="P4609" s="49" t="s">
        <v>4910</v>
      </c>
      <c r="Q4609" s="35" t="str">
        <f>MID(Tabla1[[#This Row],[Aplicación]],14,1)</f>
        <v>2</v>
      </c>
      <c r="R4609" s="35" t="s">
        <v>495</v>
      </c>
      <c r="S4609" s="35" t="str">
        <f>MID(Tabla1[[#This Row],[Aplicación]],6,2)</f>
        <v>11</v>
      </c>
      <c r="T4609" s="35" t="str">
        <f>VLOOKUP(Tabla1[[#This Row],[AREA]],Hoja1!A:B,2,FALSE)</f>
        <v>11. Salud pública y seguridad ciudadana</v>
      </c>
      <c r="U4609" s="35" t="str">
        <f>MID(Tabla1[[#This Row],[Aplicación]],9,4)</f>
        <v>1321</v>
      </c>
      <c r="V4609" s="35" t="str">
        <f>VLOOKUP(Tabla1[[#This Row],[PROGRAMA]],Hoja1!A:B,2,FALSE)</f>
        <v>1321. Policía municipal</v>
      </c>
      <c r="W4609" s="35" t="str">
        <f>MID(Tabla1[[#This Row],[Aplicación]],14,2)</f>
        <v>21</v>
      </c>
      <c r="X4609" s="35" t="str">
        <f>MID(Tabla1[[#This Row],[Aplicación]],14,6)</f>
        <v>214</v>
      </c>
    </row>
    <row r="4610" spans="1:24" x14ac:dyDescent="0.25">
      <c r="A4610" s="45">
        <v>220210057864</v>
      </c>
      <c r="B4610" s="46" t="s">
        <v>204</v>
      </c>
      <c r="C4610" s="47">
        <v>44459</v>
      </c>
      <c r="D4610" s="45">
        <v>22021005946</v>
      </c>
      <c r="E4610" s="46" t="s">
        <v>1167</v>
      </c>
      <c r="F4610" s="48">
        <v>217.8</v>
      </c>
      <c r="G4610" s="46" t="s">
        <v>6262</v>
      </c>
      <c r="H4610" s="46" t="s">
        <v>6263</v>
      </c>
      <c r="I4610" s="45" t="s">
        <v>205</v>
      </c>
      <c r="J4610" s="46" t="s">
        <v>127</v>
      </c>
      <c r="K4610" s="46" t="s">
        <v>127</v>
      </c>
      <c r="L4610" s="46" t="s">
        <v>12</v>
      </c>
      <c r="M4610" s="46" t="s">
        <v>13</v>
      </c>
      <c r="N4610" s="46" t="s">
        <v>14</v>
      </c>
      <c r="O4610" s="49" t="s">
        <v>814</v>
      </c>
      <c r="P4610" s="49" t="s">
        <v>4910</v>
      </c>
      <c r="Q4610" s="35" t="str">
        <f>MID(Tabla1[[#This Row],[Aplicación]],14,1)</f>
        <v>2</v>
      </c>
      <c r="R4610" s="35" t="s">
        <v>495</v>
      </c>
      <c r="S4610" s="35" t="str">
        <f>MID(Tabla1[[#This Row],[Aplicación]],6,2)</f>
        <v>11</v>
      </c>
      <c r="T4610" s="35" t="str">
        <f>VLOOKUP(Tabla1[[#This Row],[AREA]],Hoja1!A:B,2,FALSE)</f>
        <v>11. Salud pública y seguridad ciudadana</v>
      </c>
      <c r="U4610" s="35" t="str">
        <f>MID(Tabla1[[#This Row],[Aplicación]],9,4)</f>
        <v>1321</v>
      </c>
      <c r="V4610" s="35" t="str">
        <f>VLOOKUP(Tabla1[[#This Row],[PROGRAMA]],Hoja1!A:B,2,FALSE)</f>
        <v>1321. Policía municipal</v>
      </c>
      <c r="W4610" s="35" t="str">
        <f>MID(Tabla1[[#This Row],[Aplicación]],14,2)</f>
        <v>21</v>
      </c>
      <c r="X4610" s="35" t="str">
        <f>MID(Tabla1[[#This Row],[Aplicación]],14,6)</f>
        <v>214</v>
      </c>
    </row>
    <row r="4611" spans="1:24" x14ac:dyDescent="0.25">
      <c r="A4611" s="45">
        <v>220210056680</v>
      </c>
      <c r="B4611" s="46" t="s">
        <v>204</v>
      </c>
      <c r="C4611" s="47">
        <v>44455</v>
      </c>
      <c r="D4611" s="45">
        <v>22021005946</v>
      </c>
      <c r="E4611" s="46" t="s">
        <v>1167</v>
      </c>
      <c r="F4611" s="48">
        <v>196.64</v>
      </c>
      <c r="G4611" s="46" t="s">
        <v>528</v>
      </c>
      <c r="H4611" s="46" t="s">
        <v>6264</v>
      </c>
      <c r="I4611" s="45" t="s">
        <v>205</v>
      </c>
      <c r="J4611" s="46" t="s">
        <v>127</v>
      </c>
      <c r="K4611" s="46" t="s">
        <v>127</v>
      </c>
      <c r="L4611" s="46" t="s">
        <v>12</v>
      </c>
      <c r="M4611" s="46" t="s">
        <v>13</v>
      </c>
      <c r="N4611" s="46" t="s">
        <v>14</v>
      </c>
      <c r="O4611" s="49" t="s">
        <v>814</v>
      </c>
      <c r="P4611" s="49" t="s">
        <v>4910</v>
      </c>
      <c r="Q4611" s="35" t="str">
        <f>MID(Tabla1[[#This Row],[Aplicación]],14,1)</f>
        <v>2</v>
      </c>
      <c r="R4611" s="35" t="s">
        <v>495</v>
      </c>
      <c r="S4611" s="35" t="str">
        <f>MID(Tabla1[[#This Row],[Aplicación]],6,2)</f>
        <v>11</v>
      </c>
      <c r="T4611" s="35" t="str">
        <f>VLOOKUP(Tabla1[[#This Row],[AREA]],Hoja1!A:B,2,FALSE)</f>
        <v>11. Salud pública y seguridad ciudadana</v>
      </c>
      <c r="U4611" s="35" t="str">
        <f>MID(Tabla1[[#This Row],[Aplicación]],9,4)</f>
        <v>1321</v>
      </c>
      <c r="V4611" s="35" t="str">
        <f>VLOOKUP(Tabla1[[#This Row],[PROGRAMA]],Hoja1!A:B,2,FALSE)</f>
        <v>1321. Policía municipal</v>
      </c>
      <c r="W4611" s="35" t="str">
        <f>MID(Tabla1[[#This Row],[Aplicación]],14,2)</f>
        <v>21</v>
      </c>
      <c r="X4611" s="35" t="str">
        <f>MID(Tabla1[[#This Row],[Aplicación]],14,6)</f>
        <v>214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60"/>
  <sheetViews>
    <sheetView tabSelected="1" view="pageLayout" zoomScaleNormal="100" workbookViewId="0"/>
  </sheetViews>
  <sheetFormatPr baseColWidth="10" defaultColWidth="27.08984375" defaultRowHeight="10" x14ac:dyDescent="0.35"/>
  <cols>
    <col min="1" max="1" width="26.54296875" style="7" customWidth="1"/>
    <col min="2" max="2" width="10.08984375" style="7" customWidth="1"/>
    <col min="3" max="3" width="10.26953125" style="7" customWidth="1"/>
    <col min="4" max="4" width="9.90625" style="7" customWidth="1"/>
    <col min="5" max="5" width="9.7265625" style="7" customWidth="1"/>
    <col min="6" max="6" width="10.26953125" style="7" customWidth="1"/>
    <col min="7" max="7" width="10.7265625" style="7" customWidth="1"/>
    <col min="8" max="9" width="10.08984375" style="7" customWidth="1"/>
    <col min="10" max="10" width="9.453125" style="7" customWidth="1"/>
    <col min="11" max="11" width="10.453125" style="7" customWidth="1"/>
    <col min="12" max="12" width="10.08984375" style="7" bestFit="1" customWidth="1"/>
    <col min="13" max="13" width="10.08984375" style="7" customWidth="1"/>
    <col min="14" max="16384" width="27.08984375" style="7"/>
  </cols>
  <sheetData>
    <row r="1" spans="1:13" x14ac:dyDescent="0.35">
      <c r="A1" s="6" t="s">
        <v>506</v>
      </c>
      <c r="B1" s="7" t="s">
        <v>507</v>
      </c>
    </row>
    <row r="3" spans="1:13" ht="20" x14ac:dyDescent="0.35">
      <c r="A3" s="6" t="s">
        <v>511</v>
      </c>
      <c r="B3" s="6" t="s">
        <v>510</v>
      </c>
    </row>
    <row r="4" spans="1:13" ht="50" x14ac:dyDescent="0.35">
      <c r="A4" s="8" t="s">
        <v>508</v>
      </c>
      <c r="B4" s="9" t="s">
        <v>321</v>
      </c>
      <c r="C4" s="9" t="s">
        <v>807</v>
      </c>
      <c r="D4" s="9" t="s">
        <v>808</v>
      </c>
      <c r="E4" s="9" t="s">
        <v>809</v>
      </c>
      <c r="F4" s="9" t="s">
        <v>787</v>
      </c>
      <c r="G4" s="9" t="s">
        <v>810</v>
      </c>
      <c r="H4" s="9" t="s">
        <v>811</v>
      </c>
      <c r="I4" s="9" t="s">
        <v>812</v>
      </c>
      <c r="J4" s="9" t="s">
        <v>329</v>
      </c>
      <c r="K4" s="9" t="s">
        <v>813</v>
      </c>
      <c r="L4" s="9" t="s">
        <v>785</v>
      </c>
      <c r="M4" s="9" t="s">
        <v>509</v>
      </c>
    </row>
    <row r="5" spans="1:13" x14ac:dyDescent="0.35">
      <c r="A5" s="10" t="s">
        <v>814</v>
      </c>
      <c r="B5" s="11">
        <v>4021.59</v>
      </c>
      <c r="C5" s="11">
        <v>6660.4</v>
      </c>
      <c r="D5" s="11">
        <v>21467.060000000005</v>
      </c>
      <c r="E5" s="11">
        <v>19649.62</v>
      </c>
      <c r="F5" s="11">
        <v>65608.489999999991</v>
      </c>
      <c r="G5" s="11">
        <v>8660.4599999999991</v>
      </c>
      <c r="H5" s="11">
        <v>510595.32000000007</v>
      </c>
      <c r="I5" s="11">
        <v>9830.5199999999986</v>
      </c>
      <c r="J5" s="11">
        <v>507.78</v>
      </c>
      <c r="K5" s="11">
        <v>5295.1600000000017</v>
      </c>
      <c r="L5" s="11">
        <v>80147.990000000005</v>
      </c>
      <c r="M5" s="11">
        <v>732444.39000000013</v>
      </c>
    </row>
    <row r="6" spans="1:13" x14ac:dyDescent="0.35">
      <c r="A6" s="10" t="s">
        <v>815</v>
      </c>
      <c r="B6" s="11">
        <v>196673.99</v>
      </c>
      <c r="C6" s="11">
        <v>142259.24</v>
      </c>
      <c r="D6" s="11">
        <v>170604.28000000003</v>
      </c>
      <c r="E6" s="11">
        <v>171462.66</v>
      </c>
      <c r="F6" s="11">
        <v>127662.46</v>
      </c>
      <c r="G6" s="11">
        <v>276169.33999999997</v>
      </c>
      <c r="H6" s="11">
        <v>200324.32000000004</v>
      </c>
      <c r="I6" s="11">
        <v>163122.22</v>
      </c>
      <c r="J6" s="11">
        <v>69634.86</v>
      </c>
      <c r="K6" s="11">
        <v>147918.52000000002</v>
      </c>
      <c r="L6" s="11">
        <v>441803.64000000007</v>
      </c>
      <c r="M6" s="11">
        <v>2107635.5300000003</v>
      </c>
    </row>
    <row r="7" spans="1:13" x14ac:dyDescent="0.35">
      <c r="A7" s="10" t="s">
        <v>803</v>
      </c>
      <c r="B7" s="11">
        <v>213907.17000000004</v>
      </c>
      <c r="C7" s="11">
        <v>2061895.7499999998</v>
      </c>
      <c r="D7" s="11">
        <v>2071038.51</v>
      </c>
      <c r="E7" s="11">
        <v>4130458.2500000014</v>
      </c>
      <c r="F7" s="11">
        <v>1196259.1100000001</v>
      </c>
      <c r="G7" s="11">
        <v>10037555.49</v>
      </c>
      <c r="H7" s="11">
        <v>5025568.95</v>
      </c>
      <c r="I7" s="11">
        <v>13344538.460000001</v>
      </c>
      <c r="J7" s="11">
        <v>355980.04</v>
      </c>
      <c r="K7" s="11">
        <v>20110502.319999997</v>
      </c>
      <c r="L7" s="11">
        <v>5937758.8900000015</v>
      </c>
      <c r="M7" s="11">
        <v>64485462.939999998</v>
      </c>
    </row>
    <row r="8" spans="1:13" x14ac:dyDescent="0.35">
      <c r="A8" s="10" t="s">
        <v>805</v>
      </c>
      <c r="B8" s="11"/>
      <c r="C8" s="11"/>
      <c r="D8" s="11"/>
      <c r="E8" s="11">
        <v>244822.89</v>
      </c>
      <c r="F8" s="11"/>
      <c r="G8" s="11"/>
      <c r="H8" s="11"/>
      <c r="I8" s="11"/>
      <c r="J8" s="11"/>
      <c r="K8" s="11">
        <v>6050</v>
      </c>
      <c r="L8" s="11"/>
      <c r="M8" s="11">
        <v>250872.89</v>
      </c>
    </row>
    <row r="9" spans="1:13" x14ac:dyDescent="0.35">
      <c r="A9" s="10" t="s">
        <v>3307</v>
      </c>
      <c r="B9" s="11"/>
      <c r="C9" s="11"/>
      <c r="D9" s="11"/>
      <c r="E9" s="11"/>
      <c r="F9" s="11"/>
      <c r="G9" s="11"/>
      <c r="H9" s="11"/>
      <c r="I9" s="11"/>
      <c r="J9" s="11"/>
      <c r="K9" s="11">
        <v>258126.93</v>
      </c>
      <c r="L9" s="11">
        <v>18100</v>
      </c>
      <c r="M9" s="11">
        <v>276226.93</v>
      </c>
    </row>
    <row r="10" spans="1:13" x14ac:dyDescent="0.35">
      <c r="A10" s="10" t="s">
        <v>509</v>
      </c>
      <c r="B10" s="11">
        <v>414602.75</v>
      </c>
      <c r="C10" s="11">
        <v>2210815.3899999997</v>
      </c>
      <c r="D10" s="11">
        <v>2263109.85</v>
      </c>
      <c r="E10" s="11">
        <v>4566393.4200000009</v>
      </c>
      <c r="F10" s="11">
        <v>1389530.06</v>
      </c>
      <c r="G10" s="11">
        <v>10322385.290000001</v>
      </c>
      <c r="H10" s="11">
        <v>5736488.5899999999</v>
      </c>
      <c r="I10" s="11">
        <v>13517491.200000001</v>
      </c>
      <c r="J10" s="11">
        <v>426122.68</v>
      </c>
      <c r="K10" s="11">
        <v>20527892.929999996</v>
      </c>
      <c r="L10" s="11">
        <v>6477810.5200000014</v>
      </c>
      <c r="M10" s="11">
        <v>67852642.680000007</v>
      </c>
    </row>
    <row r="11" spans="1:13" ht="14.5" x14ac:dyDescent="0.3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35">
      <c r="A12" s="6" t="s">
        <v>506</v>
      </c>
      <c r="B12" s="7" t="s">
        <v>3392</v>
      </c>
    </row>
    <row r="14" spans="1:13" ht="20" x14ac:dyDescent="0.35">
      <c r="A14" s="6" t="s">
        <v>511</v>
      </c>
      <c r="B14" s="6" t="s">
        <v>510</v>
      </c>
    </row>
    <row r="15" spans="1:13" ht="50" x14ac:dyDescent="0.35">
      <c r="A15" s="8" t="s">
        <v>508</v>
      </c>
      <c r="B15" s="9" t="s">
        <v>321</v>
      </c>
      <c r="C15" s="9" t="s">
        <v>807</v>
      </c>
      <c r="D15" s="9" t="s">
        <v>808</v>
      </c>
      <c r="E15" s="9" t="s">
        <v>809</v>
      </c>
      <c r="F15" s="9" t="s">
        <v>787</v>
      </c>
      <c r="G15" s="9" t="s">
        <v>810</v>
      </c>
      <c r="H15" s="9" t="s">
        <v>811</v>
      </c>
      <c r="I15" s="9" t="s">
        <v>812</v>
      </c>
      <c r="J15" s="9" t="s">
        <v>329</v>
      </c>
      <c r="K15" s="9" t="s">
        <v>813</v>
      </c>
      <c r="L15" s="9" t="s">
        <v>785</v>
      </c>
      <c r="M15" s="9" t="s">
        <v>509</v>
      </c>
    </row>
    <row r="16" spans="1:13" x14ac:dyDescent="0.35">
      <c r="A16" s="10" t="s">
        <v>814</v>
      </c>
      <c r="B16" s="11">
        <v>2074.0700000000002</v>
      </c>
      <c r="C16" s="11">
        <v>33815.53</v>
      </c>
      <c r="D16" s="11">
        <v>19739.399999999998</v>
      </c>
      <c r="E16" s="11">
        <v>360.64</v>
      </c>
      <c r="F16" s="11">
        <v>28464.83</v>
      </c>
      <c r="G16" s="11">
        <v>57687.19</v>
      </c>
      <c r="H16" s="11">
        <v>99215.409999999989</v>
      </c>
      <c r="I16" s="11">
        <v>11854.77</v>
      </c>
      <c r="J16" s="11">
        <v>147.37</v>
      </c>
      <c r="K16" s="11">
        <v>11433.869999999999</v>
      </c>
      <c r="L16" s="11">
        <v>126614.07000000005</v>
      </c>
      <c r="M16" s="11">
        <v>391407.15000000008</v>
      </c>
    </row>
    <row r="17" spans="1:13" x14ac:dyDescent="0.35">
      <c r="A17" s="10" t="s">
        <v>815</v>
      </c>
      <c r="B17" s="11">
        <v>43807.18</v>
      </c>
      <c r="C17" s="11">
        <v>219116.51</v>
      </c>
      <c r="D17" s="11">
        <v>151922.96999999997</v>
      </c>
      <c r="E17" s="11">
        <v>106976.44999999998</v>
      </c>
      <c r="F17" s="11">
        <v>154061.53</v>
      </c>
      <c r="G17" s="11">
        <v>475523.88</v>
      </c>
      <c r="H17" s="11">
        <v>177523.94</v>
      </c>
      <c r="I17" s="11">
        <v>98937.409999999974</v>
      </c>
      <c r="J17" s="11">
        <v>50081.39</v>
      </c>
      <c r="K17" s="11">
        <v>80886.789999999994</v>
      </c>
      <c r="L17" s="11">
        <v>223876.58000000002</v>
      </c>
      <c r="M17" s="11">
        <v>1782714.63</v>
      </c>
    </row>
    <row r="18" spans="1:13" x14ac:dyDescent="0.35">
      <c r="A18" s="10" t="s">
        <v>803</v>
      </c>
      <c r="B18" s="11">
        <v>1089</v>
      </c>
      <c r="C18" s="11">
        <v>616660.38</v>
      </c>
      <c r="D18" s="11">
        <v>235489.69</v>
      </c>
      <c r="E18" s="11">
        <v>888067.61</v>
      </c>
      <c r="F18" s="11">
        <v>27097.95</v>
      </c>
      <c r="G18" s="11">
        <v>441153.99999999994</v>
      </c>
      <c r="H18" s="11">
        <v>3951675.97</v>
      </c>
      <c r="I18" s="11">
        <v>2154837.67</v>
      </c>
      <c r="J18" s="11">
        <v>48860.569999999992</v>
      </c>
      <c r="K18" s="11">
        <v>165094.33000000013</v>
      </c>
      <c r="L18" s="11">
        <v>2437910.9900000002</v>
      </c>
      <c r="M18" s="11">
        <v>10967938.16</v>
      </c>
    </row>
    <row r="19" spans="1:13" x14ac:dyDescent="0.35">
      <c r="A19" s="10" t="s">
        <v>805</v>
      </c>
      <c r="B19" s="11"/>
      <c r="C19" s="11">
        <v>22500</v>
      </c>
      <c r="D19" s="11"/>
      <c r="E19" s="11">
        <v>47261.43</v>
      </c>
      <c r="F19" s="11"/>
      <c r="G19" s="11"/>
      <c r="H19" s="11"/>
      <c r="I19" s="11"/>
      <c r="J19" s="11"/>
      <c r="K19" s="11"/>
      <c r="L19" s="11"/>
      <c r="M19" s="11">
        <v>69761.429999999993</v>
      </c>
    </row>
    <row r="20" spans="1:13" x14ac:dyDescent="0.35">
      <c r="A20" s="10" t="s">
        <v>509</v>
      </c>
      <c r="B20" s="11">
        <v>46970.25</v>
      </c>
      <c r="C20" s="11">
        <v>892092.42</v>
      </c>
      <c r="D20" s="11">
        <v>407152.05999999994</v>
      </c>
      <c r="E20" s="11">
        <v>1042666.13</v>
      </c>
      <c r="F20" s="11">
        <v>209624.31</v>
      </c>
      <c r="G20" s="11">
        <v>974365.07000000007</v>
      </c>
      <c r="H20" s="11">
        <v>4228415.32</v>
      </c>
      <c r="I20" s="11">
        <v>2265629.85</v>
      </c>
      <c r="J20" s="11">
        <v>99089.329999999987</v>
      </c>
      <c r="K20" s="11">
        <v>257414.99000000011</v>
      </c>
      <c r="L20" s="11">
        <v>2788401.64</v>
      </c>
      <c r="M20" s="11">
        <v>13211821.369999999</v>
      </c>
    </row>
    <row r="21" spans="1:13" ht="14.5" x14ac:dyDescent="0.3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35">
      <c r="A22" s="6" t="s">
        <v>506</v>
      </c>
      <c r="B22" s="7" t="s">
        <v>4910</v>
      </c>
    </row>
    <row r="24" spans="1:13" ht="20" x14ac:dyDescent="0.35">
      <c r="A24" s="6" t="s">
        <v>511</v>
      </c>
      <c r="B24" s="6" t="s">
        <v>510</v>
      </c>
    </row>
    <row r="25" spans="1:13" ht="50" x14ac:dyDescent="0.35">
      <c r="A25" s="8" t="s">
        <v>508</v>
      </c>
      <c r="B25" s="9" t="s">
        <v>321</v>
      </c>
      <c r="C25" s="9" t="s">
        <v>807</v>
      </c>
      <c r="D25" s="9" t="s">
        <v>808</v>
      </c>
      <c r="E25" s="9" t="s">
        <v>809</v>
      </c>
      <c r="F25" s="9" t="s">
        <v>787</v>
      </c>
      <c r="G25" s="9" t="s">
        <v>810</v>
      </c>
      <c r="H25" s="9" t="s">
        <v>811</v>
      </c>
      <c r="I25" s="9" t="s">
        <v>812</v>
      </c>
      <c r="J25" s="9" t="s">
        <v>329</v>
      </c>
      <c r="K25" s="9" t="s">
        <v>813</v>
      </c>
      <c r="L25" s="9" t="s">
        <v>785</v>
      </c>
      <c r="M25" s="9" t="s">
        <v>509</v>
      </c>
    </row>
    <row r="26" spans="1:13" x14ac:dyDescent="0.35">
      <c r="A26" s="10" t="s">
        <v>814</v>
      </c>
      <c r="B26" s="11">
        <v>4817.4000000000005</v>
      </c>
      <c r="C26" s="11">
        <v>58022.779999999992</v>
      </c>
      <c r="D26" s="11">
        <v>30093.039999999997</v>
      </c>
      <c r="E26" s="11">
        <v>180774.11</v>
      </c>
      <c r="F26" s="11">
        <v>14219.149999999998</v>
      </c>
      <c r="G26" s="11">
        <v>68656.319999999992</v>
      </c>
      <c r="H26" s="11">
        <v>179453.83999999994</v>
      </c>
      <c r="I26" s="11">
        <v>239766.96000000002</v>
      </c>
      <c r="J26" s="11">
        <v>2318.6200000000003</v>
      </c>
      <c r="K26" s="11">
        <v>18014.740000000005</v>
      </c>
      <c r="L26" s="11">
        <v>158089.65999999989</v>
      </c>
      <c r="M26" s="11">
        <v>954226.61999999976</v>
      </c>
    </row>
    <row r="27" spans="1:13" x14ac:dyDescent="0.35">
      <c r="A27" s="10" t="s">
        <v>815</v>
      </c>
      <c r="B27" s="11">
        <v>20075.109999999997</v>
      </c>
      <c r="C27" s="11">
        <v>105233.76</v>
      </c>
      <c r="D27" s="11">
        <v>37592.880000000005</v>
      </c>
      <c r="E27" s="11">
        <v>44972.759999999995</v>
      </c>
      <c r="F27" s="11">
        <v>179649.59000000003</v>
      </c>
      <c r="G27" s="11">
        <v>290623.65999999997</v>
      </c>
      <c r="H27" s="11">
        <v>71012.959999999992</v>
      </c>
      <c r="I27" s="11">
        <v>89141.590000000011</v>
      </c>
      <c r="J27" s="11">
        <v>85720.6</v>
      </c>
      <c r="K27" s="11">
        <v>81209.169999999984</v>
      </c>
      <c r="L27" s="11">
        <v>191650.62000000002</v>
      </c>
      <c r="M27" s="11">
        <v>1196882.7</v>
      </c>
    </row>
    <row r="28" spans="1:13" x14ac:dyDescent="0.35">
      <c r="A28" s="10" t="s">
        <v>803</v>
      </c>
      <c r="B28" s="11">
        <v>63369.17</v>
      </c>
      <c r="C28" s="11">
        <v>18795.320000000003</v>
      </c>
      <c r="D28" s="11">
        <v>173998.9</v>
      </c>
      <c r="E28" s="11">
        <v>828963.76000000013</v>
      </c>
      <c r="F28" s="11">
        <v>178882.18000000002</v>
      </c>
      <c r="G28" s="11">
        <v>488922.2</v>
      </c>
      <c r="H28" s="11">
        <v>3113899.25</v>
      </c>
      <c r="I28" s="11">
        <v>3261953.53</v>
      </c>
      <c r="J28" s="11">
        <v>311377.59999999998</v>
      </c>
      <c r="K28" s="11">
        <v>1467720.46</v>
      </c>
      <c r="L28" s="11">
        <v>871330.96000000008</v>
      </c>
      <c r="M28" s="11">
        <v>10779213.330000002</v>
      </c>
    </row>
    <row r="29" spans="1:13" x14ac:dyDescent="0.35">
      <c r="A29" s="10" t="s">
        <v>805</v>
      </c>
      <c r="B29" s="11">
        <v>2722.5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2722.5</v>
      </c>
    </row>
    <row r="30" spans="1:13" x14ac:dyDescent="0.35">
      <c r="A30" s="10" t="s">
        <v>509</v>
      </c>
      <c r="B30" s="11">
        <v>90984.18</v>
      </c>
      <c r="C30" s="11">
        <v>182051.86</v>
      </c>
      <c r="D30" s="11">
        <v>241684.82</v>
      </c>
      <c r="E30" s="11">
        <v>1054710.6300000001</v>
      </c>
      <c r="F30" s="11">
        <v>372750.92000000004</v>
      </c>
      <c r="G30" s="11">
        <v>848202.17999999993</v>
      </c>
      <c r="H30" s="11">
        <v>3364366.05</v>
      </c>
      <c r="I30" s="11">
        <v>3590862.08</v>
      </c>
      <c r="J30" s="11">
        <v>399416.81999999995</v>
      </c>
      <c r="K30" s="11">
        <v>1566944.3699999999</v>
      </c>
      <c r="L30" s="11">
        <v>1221071.24</v>
      </c>
      <c r="M30" s="11">
        <v>12933045.150000002</v>
      </c>
    </row>
    <row r="31" spans="1:13" ht="14.5" x14ac:dyDescent="0.3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4.5" x14ac:dyDescent="0.3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4.5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4.5" x14ac:dyDescent="0.3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x14ac:dyDescent="0.35">
      <c r="A35" s="6" t="s">
        <v>506</v>
      </c>
      <c r="B35" s="7" t="s">
        <v>806</v>
      </c>
    </row>
    <row r="37" spans="1:13" ht="21" x14ac:dyDescent="0.35">
      <c r="A37" s="6" t="s">
        <v>511</v>
      </c>
      <c r="B37" s="6" t="s">
        <v>510</v>
      </c>
    </row>
    <row r="38" spans="1:13" ht="63" x14ac:dyDescent="0.35">
      <c r="A38" s="8" t="s">
        <v>508</v>
      </c>
      <c r="B38" s="9" t="s">
        <v>321</v>
      </c>
      <c r="C38" s="9" t="s">
        <v>807</v>
      </c>
      <c r="D38" s="9" t="s">
        <v>808</v>
      </c>
      <c r="E38" s="9" t="s">
        <v>809</v>
      </c>
      <c r="F38" s="9" t="s">
        <v>787</v>
      </c>
      <c r="G38" s="9" t="s">
        <v>810</v>
      </c>
      <c r="H38" s="9" t="s">
        <v>811</v>
      </c>
      <c r="I38" s="9" t="s">
        <v>812</v>
      </c>
      <c r="J38" s="9" t="s">
        <v>329</v>
      </c>
      <c r="K38" s="9" t="s">
        <v>813</v>
      </c>
      <c r="L38" s="9" t="s">
        <v>785</v>
      </c>
      <c r="M38" s="9" t="s">
        <v>509</v>
      </c>
    </row>
    <row r="39" spans="1:13" x14ac:dyDescent="0.35">
      <c r="A39" s="10" t="s">
        <v>814</v>
      </c>
      <c r="B39" s="11">
        <v>10913.06</v>
      </c>
      <c r="C39" s="11">
        <v>98498.71</v>
      </c>
      <c r="D39" s="11">
        <v>71299.499999999985</v>
      </c>
      <c r="E39" s="11">
        <v>200784.37</v>
      </c>
      <c r="F39" s="11">
        <v>108292.47</v>
      </c>
      <c r="G39" s="11">
        <v>135003.97000000003</v>
      </c>
      <c r="H39" s="11">
        <v>789264.5700000003</v>
      </c>
      <c r="I39" s="11">
        <v>261452.25000000003</v>
      </c>
      <c r="J39" s="11">
        <v>2973.77</v>
      </c>
      <c r="K39" s="11">
        <v>34743.769999999997</v>
      </c>
      <c r="L39" s="11">
        <v>364851.71999999968</v>
      </c>
      <c r="M39" s="11">
        <v>2078078.1600000001</v>
      </c>
    </row>
    <row r="40" spans="1:13" x14ac:dyDescent="0.35">
      <c r="A40" s="10" t="s">
        <v>815</v>
      </c>
      <c r="B40" s="11">
        <v>260556.28</v>
      </c>
      <c r="C40" s="11">
        <v>466609.51000000007</v>
      </c>
      <c r="D40" s="11">
        <v>360120.13</v>
      </c>
      <c r="E40" s="11">
        <v>323411.87000000005</v>
      </c>
      <c r="F40" s="11">
        <v>461373.58000000013</v>
      </c>
      <c r="G40" s="11">
        <v>1042316.8799999998</v>
      </c>
      <c r="H40" s="11">
        <v>448861.22000000009</v>
      </c>
      <c r="I40" s="11">
        <v>351201.22000000009</v>
      </c>
      <c r="J40" s="11">
        <v>205436.85</v>
      </c>
      <c r="K40" s="11">
        <v>310014.48</v>
      </c>
      <c r="L40" s="11">
        <v>857330.8400000002</v>
      </c>
      <c r="M40" s="11">
        <v>5087232.8600000003</v>
      </c>
    </row>
    <row r="41" spans="1:13" x14ac:dyDescent="0.35">
      <c r="A41" s="10" t="s">
        <v>803</v>
      </c>
      <c r="B41" s="11">
        <v>278365.34000000003</v>
      </c>
      <c r="C41" s="11">
        <v>2697351.45</v>
      </c>
      <c r="D41" s="11">
        <v>2480527.0999999996</v>
      </c>
      <c r="E41" s="11">
        <v>5847489.6200000029</v>
      </c>
      <c r="F41" s="11">
        <v>1402239.24</v>
      </c>
      <c r="G41" s="11">
        <v>10967631.690000001</v>
      </c>
      <c r="H41" s="11">
        <v>12091144.17</v>
      </c>
      <c r="I41" s="11">
        <v>18761329.659999993</v>
      </c>
      <c r="J41" s="11">
        <v>716218.21</v>
      </c>
      <c r="K41" s="11">
        <v>21743317.109999999</v>
      </c>
      <c r="L41" s="11">
        <v>9247000.8400000017</v>
      </c>
      <c r="M41" s="11">
        <v>86232614.430000007</v>
      </c>
    </row>
    <row r="42" spans="1:13" x14ac:dyDescent="0.35">
      <c r="A42" s="10" t="s">
        <v>805</v>
      </c>
      <c r="B42" s="11">
        <v>2722.5</v>
      </c>
      <c r="C42" s="11">
        <v>22500</v>
      </c>
      <c r="D42" s="11"/>
      <c r="E42" s="11">
        <v>292084.32</v>
      </c>
      <c r="F42" s="11"/>
      <c r="G42" s="11"/>
      <c r="H42" s="11"/>
      <c r="I42" s="11"/>
      <c r="J42" s="11"/>
      <c r="K42" s="11">
        <v>6050</v>
      </c>
      <c r="L42" s="11"/>
      <c r="M42" s="11">
        <v>323356.82</v>
      </c>
    </row>
    <row r="43" spans="1:13" x14ac:dyDescent="0.35">
      <c r="A43" s="10" t="s">
        <v>3307</v>
      </c>
      <c r="B43" s="11"/>
      <c r="C43" s="11"/>
      <c r="D43" s="11"/>
      <c r="E43" s="11"/>
      <c r="F43" s="11"/>
      <c r="G43" s="11"/>
      <c r="H43" s="11"/>
      <c r="I43" s="11"/>
      <c r="J43" s="11"/>
      <c r="K43" s="11">
        <v>258126.93</v>
      </c>
      <c r="L43" s="11">
        <v>18100</v>
      </c>
      <c r="M43" s="11">
        <v>276226.93</v>
      </c>
    </row>
    <row r="44" spans="1:13" ht="10.5" x14ac:dyDescent="0.35">
      <c r="A44" s="10" t="s">
        <v>509</v>
      </c>
      <c r="B44" s="11">
        <v>552557.18000000005</v>
      </c>
      <c r="C44" s="11">
        <v>3284959.6700000004</v>
      </c>
      <c r="D44" s="11">
        <v>2911946.7299999995</v>
      </c>
      <c r="E44" s="11">
        <v>6663770.1800000034</v>
      </c>
      <c r="F44" s="11">
        <v>1971905.29</v>
      </c>
      <c r="G44" s="11">
        <v>12144952.540000001</v>
      </c>
      <c r="H44" s="11">
        <v>13329269.960000001</v>
      </c>
      <c r="I44" s="11">
        <v>19373983.129999992</v>
      </c>
      <c r="J44" s="11">
        <v>924628.83</v>
      </c>
      <c r="K44" s="11">
        <v>22352252.289999999</v>
      </c>
      <c r="L44" s="11">
        <v>10487283.400000002</v>
      </c>
      <c r="M44" s="11">
        <v>93997509.200000003</v>
      </c>
    </row>
    <row r="45" spans="1:13" ht="14.5" x14ac:dyDescent="0.3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14.5" x14ac:dyDescent="0.3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4.5" x14ac:dyDescent="0.3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x14ac:dyDescent="0.35">
      <c r="A48" s="6" t="s">
        <v>506</v>
      </c>
      <c r="B48" s="7" t="s">
        <v>806</v>
      </c>
    </row>
    <row r="50" spans="1:11" ht="20" x14ac:dyDescent="0.35">
      <c r="A50" s="8" t="s">
        <v>508</v>
      </c>
      <c r="B50" s="9" t="s">
        <v>511</v>
      </c>
      <c r="C50" s="26" t="s">
        <v>594</v>
      </c>
      <c r="D50"/>
      <c r="E50"/>
      <c r="F50"/>
      <c r="G50"/>
      <c r="H50"/>
      <c r="I50"/>
      <c r="J50"/>
      <c r="K50"/>
    </row>
    <row r="51" spans="1:11" ht="14.5" x14ac:dyDescent="0.35">
      <c r="A51" s="10" t="s">
        <v>814</v>
      </c>
      <c r="B51" s="11">
        <v>2078078.1600000039</v>
      </c>
      <c r="C51" s="55">
        <f>GETPIVOTDATA("Importe",$A$50,"PROCEDIMIENTO","Acuerdo marco")/GETPIVOTDATA("Importe",$A$50)</f>
        <v>2.2107800277754622E-2</v>
      </c>
      <c r="D51"/>
      <c r="E51"/>
      <c r="F51" s="12"/>
      <c r="G51"/>
      <c r="H51"/>
      <c r="I51"/>
      <c r="J51"/>
      <c r="K51"/>
    </row>
    <row r="52" spans="1:11" ht="14.5" x14ac:dyDescent="0.35">
      <c r="A52" s="10" t="s">
        <v>815</v>
      </c>
      <c r="B52" s="11">
        <v>5087232.860000005</v>
      </c>
      <c r="C52" s="55">
        <f>GETPIVOTDATA("Importe",$A$50,"PROCEDIMIENTO","Contratación menor")/GETPIVOTDATA("Importe",$A$50)</f>
        <v>5.4120932600201302E-2</v>
      </c>
      <c r="D52"/>
      <c r="E52" s="66"/>
      <c r="F52" s="12"/>
      <c r="G52"/>
      <c r="H52"/>
      <c r="I52"/>
      <c r="J52"/>
      <c r="K52"/>
    </row>
    <row r="53" spans="1:11" ht="14.5" x14ac:dyDescent="0.35">
      <c r="A53" s="10" t="s">
        <v>803</v>
      </c>
      <c r="B53" s="11">
        <v>86232614.430000052</v>
      </c>
      <c r="C53" s="55">
        <f>GETPIVOTDATA("Importe",$A$50,"PROCEDIMIENTO","Procedimiento abierto")/GETPIVOTDATA("Importe",$A$50)</f>
        <v>0.91739254756763278</v>
      </c>
      <c r="D53"/>
      <c r="E53"/>
      <c r="F53" s="12"/>
      <c r="G53"/>
      <c r="H53"/>
      <c r="I53"/>
      <c r="J53"/>
      <c r="K53"/>
    </row>
    <row r="54" spans="1:11" ht="14.5" x14ac:dyDescent="0.35">
      <c r="A54" s="10" t="s">
        <v>805</v>
      </c>
      <c r="B54" s="11">
        <v>323356.82</v>
      </c>
      <c r="C54" s="55">
        <f>GETPIVOTDATA("Importe",$A$50,"PROCEDIMIENTO","Procedimiento negociado sin publicidad")/GETPIVOTDATA("Importe",$A$50)</f>
        <v>3.4400573244125899E-3</v>
      </c>
      <c r="D54"/>
      <c r="E54"/>
      <c r="F54" s="12"/>
      <c r="G54"/>
      <c r="H54"/>
      <c r="I54"/>
      <c r="J54"/>
      <c r="K54"/>
    </row>
    <row r="55" spans="1:11" ht="14.5" x14ac:dyDescent="0.35">
      <c r="A55" s="10" t="s">
        <v>3307</v>
      </c>
      <c r="B55" s="11">
        <v>276226.93</v>
      </c>
      <c r="C55" s="55">
        <f>GETPIVOTDATA("Importe",$A$50,"PROCEDIMIENTO","Adjudicación directa")/GETPIVOTDATA("Importe",$A$50)</f>
        <v>2.9386622299987478E-3</v>
      </c>
      <c r="D55"/>
      <c r="E55"/>
      <c r="F55" s="12"/>
      <c r="G55"/>
      <c r="H55"/>
      <c r="I55"/>
      <c r="J55"/>
      <c r="K55"/>
    </row>
    <row r="56" spans="1:11" ht="14.5" x14ac:dyDescent="0.35">
      <c r="A56" s="10" t="s">
        <v>509</v>
      </c>
      <c r="B56" s="11">
        <v>93997509.200000063</v>
      </c>
      <c r="C56" s="51"/>
      <c r="D56"/>
      <c r="E56"/>
      <c r="F56"/>
      <c r="G56"/>
      <c r="H56"/>
      <c r="I56"/>
      <c r="J56"/>
      <c r="K56"/>
    </row>
    <row r="57" spans="1:11" ht="14.5" x14ac:dyDescent="0.35">
      <c r="A57"/>
      <c r="B57"/>
      <c r="C57"/>
      <c r="D57"/>
      <c r="E57"/>
      <c r="F57"/>
      <c r="G57"/>
      <c r="H57"/>
      <c r="I57"/>
      <c r="J57"/>
      <c r="K57"/>
    </row>
    <row r="60" spans="1:11" x14ac:dyDescent="0.35">
      <c r="E60" s="65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95" fitToHeight="0" orientation="landscape" r:id="rId6"/>
  <headerFooter>
    <oddHeader>&amp;C&amp;"Arial Narrow,Negrita"&amp;14&amp;UCONTRATACION AYUNTAMIENTO DE VALLADOLID - PRIMER, SEGUNDO Y TERCER TRIMESTRE EJERCICIO 2021
&amp;"-,Normal"&amp;11&amp;U
&amp;G</oddHeader>
    <oddFooter>&amp;R&amp;P / &amp;N</oddFooter>
  </headerFooter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view="pageLayout" zoomScaleNormal="100" workbookViewId="0"/>
  </sheetViews>
  <sheetFormatPr baseColWidth="10" defaultColWidth="9" defaultRowHeight="10.5" x14ac:dyDescent="0.35"/>
  <cols>
    <col min="1" max="1" width="34.1796875" style="14" customWidth="1"/>
    <col min="2" max="13" width="9.36328125" style="14" customWidth="1"/>
    <col min="14" max="14" width="28.1796875" style="14" customWidth="1"/>
    <col min="15" max="16384" width="9" style="14"/>
  </cols>
  <sheetData>
    <row r="1" spans="1:13" x14ac:dyDescent="0.35">
      <c r="A1" s="13" t="s">
        <v>506</v>
      </c>
      <c r="B1" s="14" t="s">
        <v>806</v>
      </c>
    </row>
    <row r="2" spans="1:13" ht="21" x14ac:dyDescent="0.35">
      <c r="A2" s="13" t="s">
        <v>6</v>
      </c>
      <c r="B2" s="14" t="s">
        <v>12</v>
      </c>
    </row>
    <row r="3" spans="1:13" ht="21" x14ac:dyDescent="0.35">
      <c r="A3" s="13" t="s">
        <v>233</v>
      </c>
      <c r="B3" s="14" t="s">
        <v>815</v>
      </c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1" x14ac:dyDescent="0.35">
      <c r="A5" s="13" t="s">
        <v>511</v>
      </c>
      <c r="B5" s="13" t="s">
        <v>510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52.5" x14ac:dyDescent="0.35">
      <c r="A6" s="17" t="s">
        <v>508</v>
      </c>
      <c r="B6" s="18" t="s">
        <v>321</v>
      </c>
      <c r="C6" s="18" t="s">
        <v>807</v>
      </c>
      <c r="D6" s="18" t="s">
        <v>808</v>
      </c>
      <c r="E6" s="18" t="s">
        <v>809</v>
      </c>
      <c r="F6" s="18" t="s">
        <v>787</v>
      </c>
      <c r="G6" s="18" t="s">
        <v>810</v>
      </c>
      <c r="H6" s="18" t="s">
        <v>811</v>
      </c>
      <c r="I6" s="18" t="s">
        <v>812</v>
      </c>
      <c r="J6" s="18" t="s">
        <v>329</v>
      </c>
      <c r="K6" s="18" t="s">
        <v>813</v>
      </c>
      <c r="L6" s="18" t="s">
        <v>785</v>
      </c>
      <c r="M6" s="18" t="s">
        <v>509</v>
      </c>
    </row>
    <row r="7" spans="1:13" s="20" customFormat="1" x14ac:dyDescent="0.35">
      <c r="A7" s="57" t="s">
        <v>764</v>
      </c>
      <c r="B7" s="19"/>
      <c r="C7" s="19"/>
      <c r="D7" s="19"/>
      <c r="E7" s="19"/>
      <c r="F7" s="19"/>
      <c r="G7" s="19">
        <v>3000</v>
      </c>
      <c r="H7" s="19"/>
      <c r="I7" s="19">
        <v>29.78</v>
      </c>
      <c r="J7" s="19"/>
      <c r="K7" s="19"/>
      <c r="L7" s="19"/>
      <c r="M7" s="19">
        <v>3029.78</v>
      </c>
    </row>
    <row r="8" spans="1:13" s="20" customFormat="1" x14ac:dyDescent="0.35">
      <c r="A8" s="56" t="s">
        <v>3494</v>
      </c>
      <c r="B8" s="19"/>
      <c r="C8" s="19"/>
      <c r="D8" s="19"/>
      <c r="E8" s="19"/>
      <c r="F8" s="19">
        <v>18113.7</v>
      </c>
      <c r="G8" s="19"/>
      <c r="H8" s="19"/>
      <c r="I8" s="19"/>
      <c r="J8" s="19"/>
      <c r="K8" s="19"/>
      <c r="L8" s="19"/>
      <c r="M8" s="19">
        <v>18113.7</v>
      </c>
    </row>
    <row r="9" spans="1:13" s="20" customFormat="1" x14ac:dyDescent="0.35">
      <c r="A9" s="21" t="s">
        <v>824</v>
      </c>
      <c r="B9" s="19"/>
      <c r="C9" s="19"/>
      <c r="D9" s="19">
        <v>800</v>
      </c>
      <c r="E9" s="19"/>
      <c r="F9" s="19"/>
      <c r="G9" s="19"/>
      <c r="H9" s="19"/>
      <c r="I9" s="19"/>
      <c r="J9" s="19"/>
      <c r="K9" s="19"/>
      <c r="L9" s="19"/>
      <c r="M9" s="19">
        <v>800</v>
      </c>
    </row>
    <row r="10" spans="1:13" s="20" customFormat="1" x14ac:dyDescent="0.35">
      <c r="A10" s="56" t="s">
        <v>828</v>
      </c>
      <c r="B10" s="19"/>
      <c r="C10" s="19"/>
      <c r="D10" s="19"/>
      <c r="E10" s="19">
        <v>571.12</v>
      </c>
      <c r="F10" s="19"/>
      <c r="G10" s="19"/>
      <c r="H10" s="19"/>
      <c r="I10" s="19"/>
      <c r="J10" s="19"/>
      <c r="K10" s="19"/>
      <c r="L10" s="19"/>
      <c r="M10" s="19">
        <v>571.12</v>
      </c>
    </row>
    <row r="11" spans="1:13" s="20" customFormat="1" x14ac:dyDescent="0.35">
      <c r="A11" s="21" t="s">
        <v>280</v>
      </c>
      <c r="B11" s="19">
        <v>1999.63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>
        <v>1999.63</v>
      </c>
    </row>
    <row r="12" spans="1:13" s="20" customFormat="1" x14ac:dyDescent="0.35">
      <c r="A12" s="21" t="s">
        <v>309</v>
      </c>
      <c r="B12" s="19"/>
      <c r="C12" s="19"/>
      <c r="D12" s="19"/>
      <c r="E12" s="19"/>
      <c r="F12" s="19">
        <v>302.5</v>
      </c>
      <c r="G12" s="19"/>
      <c r="H12" s="19"/>
      <c r="I12" s="19"/>
      <c r="J12" s="19"/>
      <c r="K12" s="19"/>
      <c r="L12" s="19"/>
      <c r="M12" s="19">
        <v>302.5</v>
      </c>
    </row>
    <row r="13" spans="1:13" s="20" customFormat="1" x14ac:dyDescent="0.35">
      <c r="A13" s="56" t="s">
        <v>3524</v>
      </c>
      <c r="B13" s="19"/>
      <c r="C13" s="19"/>
      <c r="D13" s="19"/>
      <c r="E13" s="19"/>
      <c r="F13" s="19"/>
      <c r="G13" s="19">
        <v>1200</v>
      </c>
      <c r="H13" s="19"/>
      <c r="I13" s="19"/>
      <c r="J13" s="19"/>
      <c r="K13" s="19">
        <v>14400</v>
      </c>
      <c r="L13" s="19"/>
      <c r="M13" s="19">
        <v>15600</v>
      </c>
    </row>
    <row r="14" spans="1:13" s="20" customFormat="1" ht="21" x14ac:dyDescent="0.35">
      <c r="A14" s="56" t="s">
        <v>845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326.7</v>
      </c>
      <c r="L14" s="19">
        <v>321.86</v>
      </c>
      <c r="M14" s="19">
        <v>648.55999999999995</v>
      </c>
    </row>
    <row r="15" spans="1:13" s="20" customFormat="1" x14ac:dyDescent="0.35">
      <c r="A15" s="56" t="s">
        <v>860</v>
      </c>
      <c r="B15" s="19"/>
      <c r="C15" s="19"/>
      <c r="D15" s="19"/>
      <c r="E15" s="19"/>
      <c r="F15" s="19">
        <v>9015</v>
      </c>
      <c r="G15" s="19"/>
      <c r="H15" s="19"/>
      <c r="I15" s="19"/>
      <c r="J15" s="19"/>
      <c r="K15" s="19"/>
      <c r="L15" s="19"/>
      <c r="M15" s="19">
        <v>9015</v>
      </c>
    </row>
    <row r="16" spans="1:13" s="20" customFormat="1" x14ac:dyDescent="0.35">
      <c r="A16" s="56" t="s">
        <v>4937</v>
      </c>
      <c r="B16" s="19"/>
      <c r="C16" s="19"/>
      <c r="D16" s="19"/>
      <c r="E16" s="19"/>
      <c r="F16" s="19"/>
      <c r="G16" s="19"/>
      <c r="H16" s="19">
        <v>6715.5</v>
      </c>
      <c r="I16" s="19"/>
      <c r="J16" s="19"/>
      <c r="K16" s="19"/>
      <c r="L16" s="19"/>
      <c r="M16" s="19">
        <v>6715.5</v>
      </c>
    </row>
    <row r="17" spans="1:13" s="20" customFormat="1" x14ac:dyDescent="0.35">
      <c r="A17" s="56" t="s">
        <v>64</v>
      </c>
      <c r="B17" s="19">
        <v>9275.67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9275.67</v>
      </c>
    </row>
    <row r="18" spans="1:13" s="20" customFormat="1" x14ac:dyDescent="0.35">
      <c r="A18" s="21" t="s">
        <v>63</v>
      </c>
      <c r="B18" s="19">
        <v>10529.62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>
        <v>10529.62</v>
      </c>
    </row>
    <row r="19" spans="1:13" s="20" customFormat="1" x14ac:dyDescent="0.35">
      <c r="A19" s="56" t="s">
        <v>867</v>
      </c>
      <c r="B19" s="19"/>
      <c r="C19" s="19"/>
      <c r="D19" s="19"/>
      <c r="E19" s="19"/>
      <c r="F19" s="19"/>
      <c r="G19" s="19"/>
      <c r="H19" s="19">
        <v>7000</v>
      </c>
      <c r="I19" s="19"/>
      <c r="J19" s="19"/>
      <c r="K19" s="19"/>
      <c r="L19" s="19"/>
      <c r="M19" s="19">
        <v>7000</v>
      </c>
    </row>
    <row r="20" spans="1:13" s="20" customFormat="1" ht="21" x14ac:dyDescent="0.35">
      <c r="A20" s="56" t="s">
        <v>783</v>
      </c>
      <c r="B20" s="19"/>
      <c r="C20" s="19"/>
      <c r="D20" s="19"/>
      <c r="E20" s="19"/>
      <c r="F20" s="19">
        <v>11470.8</v>
      </c>
      <c r="G20" s="19"/>
      <c r="H20" s="19"/>
      <c r="I20" s="19"/>
      <c r="J20" s="19"/>
      <c r="K20" s="19"/>
      <c r="L20" s="19"/>
      <c r="M20" s="19">
        <v>11470.8</v>
      </c>
    </row>
    <row r="21" spans="1:13" s="20" customFormat="1" x14ac:dyDescent="0.35">
      <c r="A21" s="56" t="s">
        <v>98</v>
      </c>
      <c r="B21" s="19"/>
      <c r="C21" s="19"/>
      <c r="D21" s="19"/>
      <c r="E21" s="19"/>
      <c r="F21" s="19">
        <v>599.61999999999989</v>
      </c>
      <c r="G21" s="19"/>
      <c r="H21" s="19"/>
      <c r="I21" s="19"/>
      <c r="J21" s="19"/>
      <c r="K21" s="19"/>
      <c r="L21" s="19"/>
      <c r="M21" s="19">
        <v>599.61999999999989</v>
      </c>
    </row>
    <row r="22" spans="1:13" s="20" customFormat="1" x14ac:dyDescent="0.35">
      <c r="A22" s="56" t="s">
        <v>4252</v>
      </c>
      <c r="B22" s="19"/>
      <c r="C22" s="19"/>
      <c r="D22" s="19">
        <v>440</v>
      </c>
      <c r="E22" s="19"/>
      <c r="F22" s="19"/>
      <c r="G22" s="19"/>
      <c r="H22" s="19"/>
      <c r="I22" s="19"/>
      <c r="J22" s="19"/>
      <c r="K22" s="19"/>
      <c r="L22" s="19"/>
      <c r="M22" s="19">
        <v>440</v>
      </c>
    </row>
    <row r="23" spans="1:13" s="20" customFormat="1" x14ac:dyDescent="0.35">
      <c r="A23" s="21" t="s">
        <v>67</v>
      </c>
      <c r="B23" s="19"/>
      <c r="C23" s="19"/>
      <c r="D23" s="19">
        <v>544.5</v>
      </c>
      <c r="E23" s="19"/>
      <c r="F23" s="19"/>
      <c r="G23" s="19">
        <v>2310</v>
      </c>
      <c r="H23" s="19"/>
      <c r="I23" s="19"/>
      <c r="J23" s="19"/>
      <c r="K23" s="19"/>
      <c r="L23" s="19"/>
      <c r="M23" s="19">
        <v>2854.5</v>
      </c>
    </row>
    <row r="24" spans="1:13" s="20" customFormat="1" x14ac:dyDescent="0.35">
      <c r="A24" s="56" t="s">
        <v>4599</v>
      </c>
      <c r="B24" s="19"/>
      <c r="C24" s="19"/>
      <c r="D24" s="19"/>
      <c r="E24" s="19"/>
      <c r="F24" s="19"/>
      <c r="G24" s="19">
        <v>102.82</v>
      </c>
      <c r="H24" s="19"/>
      <c r="I24" s="19"/>
      <c r="J24" s="19"/>
      <c r="K24" s="19"/>
      <c r="L24" s="19"/>
      <c r="M24" s="19">
        <v>102.82</v>
      </c>
    </row>
    <row r="25" spans="1:13" s="20" customFormat="1" x14ac:dyDescent="0.35">
      <c r="A25" s="56" t="s">
        <v>4940</v>
      </c>
      <c r="B25" s="19"/>
      <c r="C25" s="19"/>
      <c r="D25" s="19"/>
      <c r="E25" s="19"/>
      <c r="F25" s="19"/>
      <c r="G25" s="19">
        <v>100</v>
      </c>
      <c r="H25" s="19"/>
      <c r="I25" s="19"/>
      <c r="J25" s="19"/>
      <c r="K25" s="19"/>
      <c r="L25" s="19"/>
      <c r="M25" s="19">
        <v>100</v>
      </c>
    </row>
    <row r="26" spans="1:13" s="20" customFormat="1" x14ac:dyDescent="0.35">
      <c r="A26" s="56" t="s">
        <v>84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7247.9</v>
      </c>
      <c r="M26" s="19">
        <v>7247.9</v>
      </c>
    </row>
    <row r="27" spans="1:13" s="20" customFormat="1" x14ac:dyDescent="0.35">
      <c r="A27" s="56" t="s">
        <v>4000</v>
      </c>
      <c r="B27" s="19"/>
      <c r="C27" s="19"/>
      <c r="D27" s="19"/>
      <c r="E27" s="19"/>
      <c r="F27" s="19"/>
      <c r="G27" s="19">
        <v>1064.8</v>
      </c>
      <c r="H27" s="19"/>
      <c r="I27" s="19"/>
      <c r="J27" s="19"/>
      <c r="K27" s="19"/>
      <c r="L27" s="19"/>
      <c r="M27" s="19">
        <v>1064.8</v>
      </c>
    </row>
    <row r="28" spans="1:13" s="20" customFormat="1" x14ac:dyDescent="0.35">
      <c r="A28" s="56" t="s">
        <v>1168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12492.61</v>
      </c>
      <c r="M28" s="19">
        <v>12492.61</v>
      </c>
    </row>
    <row r="29" spans="1:13" s="20" customFormat="1" x14ac:dyDescent="0.35">
      <c r="A29" s="56" t="s">
        <v>4955</v>
      </c>
      <c r="B29" s="19"/>
      <c r="C29" s="19"/>
      <c r="D29" s="19">
        <v>600</v>
      </c>
      <c r="E29" s="19"/>
      <c r="F29" s="19"/>
      <c r="G29" s="19"/>
      <c r="H29" s="19"/>
      <c r="I29" s="19"/>
      <c r="J29" s="19"/>
      <c r="K29" s="19"/>
      <c r="L29" s="19"/>
      <c r="M29" s="19">
        <v>600</v>
      </c>
    </row>
    <row r="30" spans="1:13" s="20" customFormat="1" x14ac:dyDescent="0.35">
      <c r="A30" s="56" t="s">
        <v>228</v>
      </c>
      <c r="B30" s="19"/>
      <c r="C30" s="19"/>
      <c r="D30" s="19"/>
      <c r="E30" s="19">
        <v>17505.93</v>
      </c>
      <c r="F30" s="19"/>
      <c r="G30" s="19">
        <v>13583.05</v>
      </c>
      <c r="H30" s="19"/>
      <c r="I30" s="19"/>
      <c r="J30" s="19"/>
      <c r="K30" s="19">
        <v>7252.59</v>
      </c>
      <c r="L30" s="19"/>
      <c r="M30" s="19">
        <v>38341.57</v>
      </c>
    </row>
    <row r="31" spans="1:13" s="20" customFormat="1" x14ac:dyDescent="0.35">
      <c r="A31" s="56" t="s">
        <v>4003</v>
      </c>
      <c r="B31" s="19"/>
      <c r="C31" s="19"/>
      <c r="D31" s="19"/>
      <c r="E31" s="19"/>
      <c r="F31" s="19"/>
      <c r="G31" s="19">
        <v>1064.8</v>
      </c>
      <c r="H31" s="19"/>
      <c r="I31" s="19"/>
      <c r="J31" s="19"/>
      <c r="K31" s="19"/>
      <c r="L31" s="19"/>
      <c r="M31" s="19">
        <v>1064.8</v>
      </c>
    </row>
    <row r="32" spans="1:13" s="20" customFormat="1" x14ac:dyDescent="0.35">
      <c r="A32" s="56" t="s">
        <v>3720</v>
      </c>
      <c r="B32" s="19"/>
      <c r="C32" s="19"/>
      <c r="D32" s="19"/>
      <c r="E32" s="19"/>
      <c r="F32" s="19"/>
      <c r="G32" s="19">
        <v>4000.01</v>
      </c>
      <c r="H32" s="19"/>
      <c r="I32" s="19"/>
      <c r="J32" s="19"/>
      <c r="K32" s="19"/>
      <c r="L32" s="19"/>
      <c r="M32" s="19">
        <v>4000.01</v>
      </c>
    </row>
    <row r="33" spans="1:13" s="20" customFormat="1" x14ac:dyDescent="0.35">
      <c r="A33" s="56" t="s">
        <v>1178</v>
      </c>
      <c r="B33" s="19"/>
      <c r="C33" s="19"/>
      <c r="D33" s="19"/>
      <c r="E33" s="19"/>
      <c r="F33" s="19"/>
      <c r="G33" s="19"/>
      <c r="H33" s="19"/>
      <c r="I33" s="19"/>
      <c r="J33" s="19">
        <v>3267</v>
      </c>
      <c r="K33" s="19"/>
      <c r="L33" s="19"/>
      <c r="M33" s="19">
        <v>3267</v>
      </c>
    </row>
    <row r="34" spans="1:13" s="20" customFormat="1" x14ac:dyDescent="0.35">
      <c r="A34" s="21" t="s">
        <v>1184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2000</v>
      </c>
      <c r="M34" s="19">
        <v>2000</v>
      </c>
    </row>
    <row r="35" spans="1:13" s="20" customFormat="1" x14ac:dyDescent="0.35">
      <c r="A35" s="21" t="s">
        <v>69</v>
      </c>
      <c r="B35" s="19"/>
      <c r="C35" s="19"/>
      <c r="D35" s="19">
        <v>544.5</v>
      </c>
      <c r="E35" s="19"/>
      <c r="F35" s="19"/>
      <c r="G35" s="19">
        <v>4000</v>
      </c>
      <c r="H35" s="19"/>
      <c r="I35" s="19"/>
      <c r="J35" s="19"/>
      <c r="K35" s="19"/>
      <c r="L35" s="19"/>
      <c r="M35" s="19">
        <v>4544.5</v>
      </c>
    </row>
    <row r="36" spans="1:13" s="20" customFormat="1" x14ac:dyDescent="0.35">
      <c r="A36" s="56" t="s">
        <v>222</v>
      </c>
      <c r="B36" s="19"/>
      <c r="C36" s="19"/>
      <c r="D36" s="19"/>
      <c r="E36" s="19"/>
      <c r="F36" s="19"/>
      <c r="G36" s="19"/>
      <c r="H36" s="19"/>
      <c r="I36" s="19">
        <v>1100.58</v>
      </c>
      <c r="J36" s="19"/>
      <c r="K36" s="19"/>
      <c r="L36" s="19"/>
      <c r="M36" s="19">
        <v>1100.58</v>
      </c>
    </row>
    <row r="37" spans="1:13" s="20" customFormat="1" x14ac:dyDescent="0.35">
      <c r="A37" s="56" t="s">
        <v>49</v>
      </c>
      <c r="B37" s="19">
        <v>1624.7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>
        <v>1624.7</v>
      </c>
    </row>
    <row r="38" spans="1:13" s="20" customFormat="1" x14ac:dyDescent="0.35">
      <c r="A38" s="56" t="s">
        <v>3644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>
        <v>6267.8</v>
      </c>
      <c r="M38" s="19">
        <v>6267.8</v>
      </c>
    </row>
    <row r="39" spans="1:13" s="20" customFormat="1" x14ac:dyDescent="0.35">
      <c r="A39" s="56" t="s">
        <v>5008</v>
      </c>
      <c r="B39" s="19"/>
      <c r="C39" s="19"/>
      <c r="D39" s="19"/>
      <c r="E39" s="19"/>
      <c r="F39" s="19">
        <v>10890</v>
      </c>
      <c r="G39" s="19"/>
      <c r="H39" s="19"/>
      <c r="I39" s="19"/>
      <c r="J39" s="19"/>
      <c r="K39" s="19"/>
      <c r="L39" s="19"/>
      <c r="M39" s="19">
        <v>10890</v>
      </c>
    </row>
    <row r="40" spans="1:13" s="20" customFormat="1" x14ac:dyDescent="0.35">
      <c r="A40" s="56" t="s">
        <v>3580</v>
      </c>
      <c r="B40" s="19"/>
      <c r="C40" s="19"/>
      <c r="D40" s="19">
        <v>7260</v>
      </c>
      <c r="E40" s="19"/>
      <c r="F40" s="19"/>
      <c r="G40" s="19"/>
      <c r="H40" s="19"/>
      <c r="I40" s="19"/>
      <c r="J40" s="19"/>
      <c r="K40" s="19"/>
      <c r="L40" s="19"/>
      <c r="M40" s="19">
        <v>7260</v>
      </c>
    </row>
    <row r="41" spans="1:13" s="20" customFormat="1" x14ac:dyDescent="0.35">
      <c r="A41" s="56" t="s">
        <v>243</v>
      </c>
      <c r="B41" s="19"/>
      <c r="C41" s="19"/>
      <c r="D41" s="19"/>
      <c r="E41" s="19"/>
      <c r="F41" s="19">
        <v>489.48</v>
      </c>
      <c r="G41" s="19"/>
      <c r="H41" s="19"/>
      <c r="I41" s="19"/>
      <c r="J41" s="19"/>
      <c r="K41" s="19"/>
      <c r="L41" s="19">
        <v>228.97</v>
      </c>
      <c r="M41" s="19">
        <v>718.45</v>
      </c>
    </row>
    <row r="42" spans="1:13" s="20" customFormat="1" x14ac:dyDescent="0.35">
      <c r="A42" s="56" t="s">
        <v>1209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290.39999999999998</v>
      </c>
      <c r="M42" s="19">
        <v>290.39999999999998</v>
      </c>
    </row>
    <row r="43" spans="1:13" s="20" customFormat="1" x14ac:dyDescent="0.35">
      <c r="A43" s="21" t="s">
        <v>78</v>
      </c>
      <c r="B43" s="19"/>
      <c r="C43" s="19"/>
      <c r="D43" s="19"/>
      <c r="E43" s="19"/>
      <c r="F43" s="19"/>
      <c r="G43" s="19">
        <v>97.13</v>
      </c>
      <c r="H43" s="19">
        <v>3078.36</v>
      </c>
      <c r="I43" s="19"/>
      <c r="J43" s="19"/>
      <c r="K43" s="19"/>
      <c r="L43" s="19">
        <v>4118.6399999999994</v>
      </c>
      <c r="M43" s="19">
        <v>7294.1299999999992</v>
      </c>
    </row>
    <row r="44" spans="1:13" s="20" customFormat="1" x14ac:dyDescent="0.35">
      <c r="A44" s="56" t="s">
        <v>1221</v>
      </c>
      <c r="B44" s="19"/>
      <c r="C44" s="19"/>
      <c r="D44" s="19">
        <v>462.64</v>
      </c>
      <c r="E44" s="19"/>
      <c r="F44" s="19"/>
      <c r="G44" s="19"/>
      <c r="H44" s="19"/>
      <c r="I44" s="19"/>
      <c r="J44" s="19"/>
      <c r="K44" s="19"/>
      <c r="L44" s="19"/>
      <c r="M44" s="19">
        <v>462.64</v>
      </c>
    </row>
    <row r="45" spans="1:13" s="20" customFormat="1" x14ac:dyDescent="0.35">
      <c r="A45" s="56" t="s">
        <v>43</v>
      </c>
      <c r="B45" s="19"/>
      <c r="C45" s="19">
        <v>523.92999999999995</v>
      </c>
      <c r="D45" s="19">
        <v>623.15</v>
      </c>
      <c r="E45" s="19">
        <v>2008.6</v>
      </c>
      <c r="F45" s="19"/>
      <c r="G45" s="19"/>
      <c r="H45" s="19"/>
      <c r="I45" s="19"/>
      <c r="J45" s="19"/>
      <c r="K45" s="19">
        <v>9555.3200000000015</v>
      </c>
      <c r="L45" s="19"/>
      <c r="M45" s="19">
        <v>12711.000000000002</v>
      </c>
    </row>
    <row r="46" spans="1:13" s="20" customFormat="1" x14ac:dyDescent="0.35">
      <c r="A46" s="56" t="s">
        <v>4097</v>
      </c>
      <c r="B46" s="19"/>
      <c r="C46" s="19">
        <v>809.49</v>
      </c>
      <c r="D46" s="19"/>
      <c r="E46" s="19"/>
      <c r="F46" s="19"/>
      <c r="G46" s="19"/>
      <c r="H46" s="19"/>
      <c r="I46" s="19"/>
      <c r="J46" s="19"/>
      <c r="K46" s="19"/>
      <c r="L46" s="19"/>
      <c r="M46" s="19">
        <v>809.49</v>
      </c>
    </row>
    <row r="47" spans="1:13" s="20" customFormat="1" x14ac:dyDescent="0.35">
      <c r="A47" s="56" t="s">
        <v>3287</v>
      </c>
      <c r="B47" s="19"/>
      <c r="C47" s="19"/>
      <c r="D47" s="19"/>
      <c r="E47" s="19"/>
      <c r="F47" s="19"/>
      <c r="G47" s="19"/>
      <c r="H47" s="19"/>
      <c r="I47" s="19"/>
      <c r="J47" s="19">
        <v>1500</v>
      </c>
      <c r="K47" s="19"/>
      <c r="L47" s="19"/>
      <c r="M47" s="19">
        <v>1500</v>
      </c>
    </row>
    <row r="48" spans="1:13" s="20" customFormat="1" x14ac:dyDescent="0.35">
      <c r="A48" s="56" t="s">
        <v>1248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798.5</v>
      </c>
      <c r="L48" s="19"/>
      <c r="M48" s="19">
        <v>798.5</v>
      </c>
    </row>
    <row r="49" spans="1:13" s="20" customFormat="1" x14ac:dyDescent="0.35">
      <c r="A49" s="56" t="s">
        <v>4970</v>
      </c>
      <c r="B49" s="19"/>
      <c r="C49" s="19"/>
      <c r="D49" s="19">
        <v>495</v>
      </c>
      <c r="E49" s="19"/>
      <c r="F49" s="19"/>
      <c r="G49" s="19"/>
      <c r="H49" s="19"/>
      <c r="I49" s="19"/>
      <c r="J49" s="19"/>
      <c r="K49" s="19"/>
      <c r="L49" s="19"/>
      <c r="M49" s="19">
        <v>495</v>
      </c>
    </row>
    <row r="50" spans="1:13" s="20" customFormat="1" x14ac:dyDescent="0.35">
      <c r="A50" s="56" t="s">
        <v>1252</v>
      </c>
      <c r="B50" s="19"/>
      <c r="C50" s="19"/>
      <c r="D50" s="19"/>
      <c r="E50" s="19"/>
      <c r="F50" s="19"/>
      <c r="G50" s="19"/>
      <c r="H50" s="19"/>
      <c r="I50" s="19"/>
      <c r="J50" s="19">
        <v>4000</v>
      </c>
      <c r="K50" s="19"/>
      <c r="L50" s="19"/>
      <c r="M50" s="19">
        <v>4000</v>
      </c>
    </row>
    <row r="51" spans="1:13" s="20" customFormat="1" ht="21" x14ac:dyDescent="0.35">
      <c r="A51" s="21" t="s">
        <v>4273</v>
      </c>
      <c r="B51" s="19"/>
      <c r="C51" s="19"/>
      <c r="D51" s="19">
        <v>400</v>
      </c>
      <c r="E51" s="19"/>
      <c r="F51" s="19"/>
      <c r="G51" s="19"/>
      <c r="H51" s="19"/>
      <c r="I51" s="19"/>
      <c r="J51" s="19"/>
      <c r="K51" s="19"/>
      <c r="L51" s="19"/>
      <c r="M51" s="19">
        <v>400</v>
      </c>
    </row>
    <row r="52" spans="1:13" s="20" customFormat="1" x14ac:dyDescent="0.35">
      <c r="A52" s="56" t="s">
        <v>5302</v>
      </c>
      <c r="B52" s="19"/>
      <c r="C52" s="19"/>
      <c r="D52" s="19"/>
      <c r="E52" s="19"/>
      <c r="F52" s="19"/>
      <c r="G52" s="19"/>
      <c r="H52" s="19"/>
      <c r="I52" s="19"/>
      <c r="J52" s="19">
        <v>2000</v>
      </c>
      <c r="K52" s="19"/>
      <c r="L52" s="19"/>
      <c r="M52" s="19">
        <v>2000</v>
      </c>
    </row>
    <row r="53" spans="1:13" s="20" customFormat="1" x14ac:dyDescent="0.35">
      <c r="A53" s="56" t="s">
        <v>3689</v>
      </c>
      <c r="B53" s="19"/>
      <c r="C53" s="19"/>
      <c r="D53" s="19">
        <v>10230</v>
      </c>
      <c r="E53" s="19"/>
      <c r="F53" s="19"/>
      <c r="G53" s="19"/>
      <c r="H53" s="19"/>
      <c r="I53" s="19"/>
      <c r="J53" s="19"/>
      <c r="K53" s="19"/>
      <c r="L53" s="19"/>
      <c r="M53" s="19">
        <v>10230</v>
      </c>
    </row>
    <row r="54" spans="1:13" s="20" customFormat="1" x14ac:dyDescent="0.35">
      <c r="A54" s="56" t="s">
        <v>5202</v>
      </c>
      <c r="B54" s="19"/>
      <c r="C54" s="19"/>
      <c r="D54" s="19"/>
      <c r="E54" s="19"/>
      <c r="F54" s="19"/>
      <c r="G54" s="19">
        <v>3580</v>
      </c>
      <c r="H54" s="19"/>
      <c r="I54" s="19"/>
      <c r="J54" s="19"/>
      <c r="K54" s="19"/>
      <c r="L54" s="19"/>
      <c r="M54" s="19">
        <v>3580</v>
      </c>
    </row>
    <row r="55" spans="1:13" s="20" customFormat="1" x14ac:dyDescent="0.35">
      <c r="A55" s="56" t="s">
        <v>4981</v>
      </c>
      <c r="B55" s="19"/>
      <c r="C55" s="19"/>
      <c r="D55" s="19">
        <v>990</v>
      </c>
      <c r="E55" s="19"/>
      <c r="F55" s="19"/>
      <c r="G55" s="19"/>
      <c r="H55" s="19"/>
      <c r="I55" s="19"/>
      <c r="J55" s="19"/>
      <c r="K55" s="19"/>
      <c r="L55" s="19"/>
      <c r="M55" s="19">
        <v>990</v>
      </c>
    </row>
    <row r="56" spans="1:13" s="20" customFormat="1" x14ac:dyDescent="0.35">
      <c r="A56" s="56" t="s">
        <v>1256</v>
      </c>
      <c r="B56" s="19"/>
      <c r="C56" s="19"/>
      <c r="D56" s="19">
        <v>350</v>
      </c>
      <c r="E56" s="19"/>
      <c r="F56" s="19"/>
      <c r="G56" s="19"/>
      <c r="H56" s="19"/>
      <c r="I56" s="19"/>
      <c r="J56" s="19"/>
      <c r="K56" s="19"/>
      <c r="L56" s="19"/>
      <c r="M56" s="19">
        <v>350</v>
      </c>
    </row>
    <row r="57" spans="1:13" s="20" customFormat="1" x14ac:dyDescent="0.35">
      <c r="A57" s="56" t="s">
        <v>4983</v>
      </c>
      <c r="B57" s="19"/>
      <c r="C57" s="19"/>
      <c r="D57" s="19">
        <v>300</v>
      </c>
      <c r="E57" s="19"/>
      <c r="F57" s="19"/>
      <c r="G57" s="19"/>
      <c r="H57" s="19"/>
      <c r="I57" s="19"/>
      <c r="J57" s="19"/>
      <c r="K57" s="19">
        <v>300</v>
      </c>
      <c r="L57" s="19"/>
      <c r="M57" s="19">
        <v>600</v>
      </c>
    </row>
    <row r="58" spans="1:13" s="20" customFormat="1" x14ac:dyDescent="0.35">
      <c r="A58" s="56" t="s">
        <v>3582</v>
      </c>
      <c r="B58" s="19"/>
      <c r="C58" s="19"/>
      <c r="D58" s="19"/>
      <c r="E58" s="19"/>
      <c r="F58" s="19"/>
      <c r="G58" s="19">
        <v>7260</v>
      </c>
      <c r="H58" s="19"/>
      <c r="I58" s="19"/>
      <c r="J58" s="19"/>
      <c r="K58" s="19"/>
      <c r="L58" s="19"/>
      <c r="M58" s="19">
        <v>7260</v>
      </c>
    </row>
    <row r="59" spans="1:13" s="20" customFormat="1" x14ac:dyDescent="0.35">
      <c r="A59" s="56" t="s">
        <v>3750</v>
      </c>
      <c r="B59" s="19"/>
      <c r="C59" s="19"/>
      <c r="D59" s="19"/>
      <c r="E59" s="19"/>
      <c r="F59" s="19">
        <v>3630</v>
      </c>
      <c r="G59" s="19"/>
      <c r="H59" s="19"/>
      <c r="I59" s="19"/>
      <c r="J59" s="19"/>
      <c r="K59" s="19"/>
      <c r="L59" s="19"/>
      <c r="M59" s="19">
        <v>3630</v>
      </c>
    </row>
    <row r="60" spans="1:13" s="20" customFormat="1" ht="21" x14ac:dyDescent="0.35">
      <c r="A60" s="56" t="s">
        <v>4986</v>
      </c>
      <c r="B60" s="19"/>
      <c r="C60" s="19"/>
      <c r="D60" s="19">
        <v>786.5</v>
      </c>
      <c r="E60" s="19"/>
      <c r="F60" s="19"/>
      <c r="G60" s="19">
        <v>1379.4</v>
      </c>
      <c r="H60" s="19"/>
      <c r="I60" s="19"/>
      <c r="J60" s="19"/>
      <c r="K60" s="19"/>
      <c r="L60" s="19"/>
      <c r="M60" s="19">
        <v>2165.9</v>
      </c>
    </row>
    <row r="61" spans="1:13" s="20" customFormat="1" x14ac:dyDescent="0.35">
      <c r="A61" s="56" t="s">
        <v>523</v>
      </c>
      <c r="B61" s="19"/>
      <c r="C61" s="19"/>
      <c r="D61" s="19">
        <v>400</v>
      </c>
      <c r="E61" s="19"/>
      <c r="F61" s="19"/>
      <c r="G61" s="19"/>
      <c r="H61" s="19"/>
      <c r="I61" s="19"/>
      <c r="J61" s="19"/>
      <c r="K61" s="19"/>
      <c r="L61" s="19"/>
      <c r="M61" s="19">
        <v>400</v>
      </c>
    </row>
    <row r="62" spans="1:13" s="20" customFormat="1" x14ac:dyDescent="0.35">
      <c r="A62" s="56" t="s">
        <v>4307</v>
      </c>
      <c r="B62" s="19"/>
      <c r="C62" s="19"/>
      <c r="D62" s="19"/>
      <c r="E62" s="19"/>
      <c r="F62" s="19"/>
      <c r="G62" s="19">
        <v>360</v>
      </c>
      <c r="H62" s="19"/>
      <c r="I62" s="19"/>
      <c r="J62" s="19"/>
      <c r="K62" s="19"/>
      <c r="L62" s="19"/>
      <c r="M62" s="19">
        <v>360</v>
      </c>
    </row>
    <row r="63" spans="1:13" s="20" customFormat="1" x14ac:dyDescent="0.35">
      <c r="A63" s="56" t="s">
        <v>522</v>
      </c>
      <c r="B63" s="19"/>
      <c r="C63" s="19"/>
      <c r="D63" s="19"/>
      <c r="E63" s="19"/>
      <c r="F63" s="19">
        <v>427.61</v>
      </c>
      <c r="G63" s="19"/>
      <c r="H63" s="19"/>
      <c r="I63" s="19"/>
      <c r="J63" s="19"/>
      <c r="K63" s="19"/>
      <c r="L63" s="19"/>
      <c r="M63" s="19">
        <v>427.61</v>
      </c>
    </row>
    <row r="64" spans="1:13" s="20" customFormat="1" x14ac:dyDescent="0.35">
      <c r="A64" s="56" t="s">
        <v>207</v>
      </c>
      <c r="B64" s="19"/>
      <c r="C64" s="19"/>
      <c r="D64" s="19"/>
      <c r="E64" s="19"/>
      <c r="F64" s="19"/>
      <c r="G64" s="19"/>
      <c r="H64" s="19"/>
      <c r="I64" s="19"/>
      <c r="J64" s="19">
        <v>3329.92</v>
      </c>
      <c r="K64" s="19"/>
      <c r="L64" s="19">
        <v>1000</v>
      </c>
      <c r="M64" s="19">
        <v>4329.92</v>
      </c>
    </row>
    <row r="65" spans="1:13" s="20" customFormat="1" x14ac:dyDescent="0.35">
      <c r="A65" s="21" t="s">
        <v>4991</v>
      </c>
      <c r="B65" s="19"/>
      <c r="C65" s="19"/>
      <c r="D65" s="19"/>
      <c r="E65" s="19"/>
      <c r="F65" s="19"/>
      <c r="G65" s="19">
        <v>2931.83</v>
      </c>
      <c r="H65" s="19"/>
      <c r="I65" s="19"/>
      <c r="J65" s="19"/>
      <c r="K65" s="19">
        <v>1818.51</v>
      </c>
      <c r="L65" s="19"/>
      <c r="M65" s="19">
        <v>4750.34</v>
      </c>
    </row>
    <row r="66" spans="1:13" s="20" customFormat="1" x14ac:dyDescent="0.35">
      <c r="A66" s="56" t="s">
        <v>315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10454.629999999999</v>
      </c>
      <c r="M66" s="19">
        <v>10454.629999999999</v>
      </c>
    </row>
    <row r="67" spans="1:13" s="20" customFormat="1" x14ac:dyDescent="0.35">
      <c r="A67" s="56" t="s">
        <v>4163</v>
      </c>
      <c r="B67" s="19"/>
      <c r="C67" s="19"/>
      <c r="D67" s="19"/>
      <c r="E67" s="19"/>
      <c r="F67" s="19"/>
      <c r="G67" s="19">
        <v>600</v>
      </c>
      <c r="H67" s="19"/>
      <c r="I67" s="19"/>
      <c r="J67" s="19"/>
      <c r="K67" s="19"/>
      <c r="L67" s="19"/>
      <c r="M67" s="19">
        <v>600</v>
      </c>
    </row>
    <row r="68" spans="1:13" s="20" customFormat="1" x14ac:dyDescent="0.35">
      <c r="A68" s="56" t="s">
        <v>3199</v>
      </c>
      <c r="B68" s="19"/>
      <c r="C68" s="19"/>
      <c r="D68" s="19"/>
      <c r="E68" s="19"/>
      <c r="F68" s="19"/>
      <c r="G68" s="19"/>
      <c r="H68" s="19"/>
      <c r="I68" s="19"/>
      <c r="J68" s="19">
        <v>7530.29</v>
      </c>
      <c r="K68" s="19"/>
      <c r="L68" s="19"/>
      <c r="M68" s="19">
        <v>7530.29</v>
      </c>
    </row>
    <row r="69" spans="1:13" s="20" customFormat="1" x14ac:dyDescent="0.35">
      <c r="A69" s="56" t="s">
        <v>310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3100</v>
      </c>
      <c r="M69" s="19">
        <v>3100</v>
      </c>
    </row>
    <row r="70" spans="1:13" s="20" customFormat="1" x14ac:dyDescent="0.35">
      <c r="A70" s="56" t="s">
        <v>193</v>
      </c>
      <c r="B70" s="19"/>
      <c r="C70" s="19"/>
      <c r="D70" s="19"/>
      <c r="E70" s="19"/>
      <c r="F70" s="19">
        <v>755.86</v>
      </c>
      <c r="G70" s="19"/>
      <c r="H70" s="19"/>
      <c r="I70" s="19"/>
      <c r="J70" s="19"/>
      <c r="K70" s="19"/>
      <c r="L70" s="19"/>
      <c r="M70" s="19">
        <v>755.86</v>
      </c>
    </row>
    <row r="71" spans="1:13" s="20" customFormat="1" x14ac:dyDescent="0.35">
      <c r="A71" s="56" t="s">
        <v>317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7260</v>
      </c>
      <c r="M71" s="19">
        <v>7260</v>
      </c>
    </row>
    <row r="72" spans="1:13" s="20" customFormat="1" x14ac:dyDescent="0.35">
      <c r="A72" s="56" t="s">
        <v>2922</v>
      </c>
      <c r="B72" s="19"/>
      <c r="C72" s="19"/>
      <c r="D72" s="19"/>
      <c r="E72" s="19"/>
      <c r="F72" s="19">
        <v>726</v>
      </c>
      <c r="G72" s="19"/>
      <c r="H72" s="19"/>
      <c r="I72" s="19"/>
      <c r="J72" s="19"/>
      <c r="K72" s="19"/>
      <c r="L72" s="19"/>
      <c r="M72" s="19">
        <v>726</v>
      </c>
    </row>
    <row r="73" spans="1:13" s="20" customFormat="1" x14ac:dyDescent="0.35">
      <c r="A73" s="58" t="s">
        <v>4209</v>
      </c>
      <c r="B73" s="19"/>
      <c r="C73" s="19"/>
      <c r="D73" s="19"/>
      <c r="E73" s="19"/>
      <c r="F73" s="19"/>
      <c r="G73" s="19">
        <v>500</v>
      </c>
      <c r="H73" s="19"/>
      <c r="I73" s="19"/>
      <c r="J73" s="19"/>
      <c r="K73" s="19"/>
      <c r="L73" s="19"/>
      <c r="M73" s="19">
        <v>500</v>
      </c>
    </row>
    <row r="74" spans="1:13" s="20" customFormat="1" x14ac:dyDescent="0.35">
      <c r="A74" s="57" t="s">
        <v>298</v>
      </c>
      <c r="B74" s="19"/>
      <c r="C74" s="19"/>
      <c r="D74" s="19"/>
      <c r="E74" s="19"/>
      <c r="F74" s="19"/>
      <c r="G74" s="19">
        <v>171.82</v>
      </c>
      <c r="H74" s="19"/>
      <c r="I74" s="19"/>
      <c r="J74" s="19"/>
      <c r="K74" s="19"/>
      <c r="L74" s="19"/>
      <c r="M74" s="19">
        <v>171.82</v>
      </c>
    </row>
    <row r="75" spans="1:13" s="20" customFormat="1" x14ac:dyDescent="0.35">
      <c r="A75" s="21" t="s">
        <v>312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>
        <v>6968.4</v>
      </c>
      <c r="M75" s="19">
        <v>6968.4</v>
      </c>
    </row>
    <row r="76" spans="1:13" s="20" customFormat="1" x14ac:dyDescent="0.35">
      <c r="A76" s="21" t="s">
        <v>307</v>
      </c>
      <c r="B76" s="19"/>
      <c r="C76" s="19"/>
      <c r="D76" s="19">
        <v>1210</v>
      </c>
      <c r="E76" s="19"/>
      <c r="F76" s="19"/>
      <c r="G76" s="19">
        <v>1500</v>
      </c>
      <c r="H76" s="19"/>
      <c r="I76" s="19"/>
      <c r="J76" s="19"/>
      <c r="K76" s="19"/>
      <c r="L76" s="19"/>
      <c r="M76" s="19">
        <v>2710</v>
      </c>
    </row>
    <row r="77" spans="1:13" s="20" customFormat="1" x14ac:dyDescent="0.35">
      <c r="A77" s="56" t="s">
        <v>576</v>
      </c>
      <c r="B77" s="19"/>
      <c r="C77" s="19"/>
      <c r="D77" s="19"/>
      <c r="E77" s="19"/>
      <c r="F77" s="19">
        <v>603.66</v>
      </c>
      <c r="G77" s="19"/>
      <c r="H77" s="19"/>
      <c r="I77" s="19"/>
      <c r="J77" s="19"/>
      <c r="K77" s="19"/>
      <c r="L77" s="19"/>
      <c r="M77" s="19">
        <v>603.66</v>
      </c>
    </row>
    <row r="78" spans="1:13" s="20" customFormat="1" x14ac:dyDescent="0.35">
      <c r="A78" s="56" t="s">
        <v>767</v>
      </c>
      <c r="B78" s="19"/>
      <c r="C78" s="19"/>
      <c r="D78" s="19"/>
      <c r="E78" s="19"/>
      <c r="F78" s="19"/>
      <c r="G78" s="19"/>
      <c r="H78" s="19">
        <v>2012.21</v>
      </c>
      <c r="I78" s="19"/>
      <c r="J78" s="19"/>
      <c r="K78" s="19"/>
      <c r="L78" s="19"/>
      <c r="M78" s="19">
        <v>2012.21</v>
      </c>
    </row>
    <row r="79" spans="1:13" s="20" customFormat="1" x14ac:dyDescent="0.35">
      <c r="A79" s="56" t="s">
        <v>1306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5445</v>
      </c>
      <c r="L79" s="19"/>
      <c r="M79" s="19">
        <v>5445</v>
      </c>
    </row>
    <row r="80" spans="1:13" s="20" customFormat="1" x14ac:dyDescent="0.35">
      <c r="A80" s="56" t="s">
        <v>3196</v>
      </c>
      <c r="B80" s="19"/>
      <c r="C80" s="19"/>
      <c r="D80" s="19"/>
      <c r="E80" s="19"/>
      <c r="F80" s="19"/>
      <c r="G80" s="19">
        <v>2500</v>
      </c>
      <c r="H80" s="19"/>
      <c r="I80" s="19"/>
      <c r="J80" s="19">
        <v>871.2</v>
      </c>
      <c r="K80" s="19"/>
      <c r="L80" s="19"/>
      <c r="M80" s="19">
        <v>3371.2</v>
      </c>
    </row>
    <row r="81" spans="1:13" s="20" customFormat="1" x14ac:dyDescent="0.35">
      <c r="A81" s="56" t="s">
        <v>5084</v>
      </c>
      <c r="B81" s="19"/>
      <c r="C81" s="19"/>
      <c r="D81" s="19"/>
      <c r="E81" s="19"/>
      <c r="F81" s="19">
        <v>6582.4</v>
      </c>
      <c r="G81" s="19"/>
      <c r="H81" s="19"/>
      <c r="I81" s="19"/>
      <c r="J81" s="19"/>
      <c r="K81" s="19"/>
      <c r="L81" s="19"/>
      <c r="M81" s="19">
        <v>6582.4</v>
      </c>
    </row>
    <row r="82" spans="1:13" s="20" customFormat="1" x14ac:dyDescent="0.35">
      <c r="A82" s="56" t="s">
        <v>2968</v>
      </c>
      <c r="B82" s="19"/>
      <c r="C82" s="19"/>
      <c r="D82" s="19"/>
      <c r="E82" s="19">
        <v>10350</v>
      </c>
      <c r="F82" s="19"/>
      <c r="G82" s="19"/>
      <c r="H82" s="19"/>
      <c r="I82" s="19"/>
      <c r="J82" s="19"/>
      <c r="K82" s="19"/>
      <c r="L82" s="19"/>
      <c r="M82" s="19">
        <v>10350</v>
      </c>
    </row>
    <row r="83" spans="1:13" s="20" customFormat="1" x14ac:dyDescent="0.35">
      <c r="A83" s="56" t="s">
        <v>102</v>
      </c>
      <c r="B83" s="19"/>
      <c r="C83" s="19"/>
      <c r="D83" s="19"/>
      <c r="E83" s="19"/>
      <c r="F83" s="19"/>
      <c r="G83" s="19">
        <v>15.97</v>
      </c>
      <c r="H83" s="19"/>
      <c r="I83" s="19"/>
      <c r="J83" s="19"/>
      <c r="K83" s="19"/>
      <c r="L83" s="19"/>
      <c r="M83" s="19">
        <v>15.97</v>
      </c>
    </row>
    <row r="84" spans="1:13" s="20" customFormat="1" x14ac:dyDescent="0.35">
      <c r="A84" s="56" t="s">
        <v>3431</v>
      </c>
      <c r="B84" s="19"/>
      <c r="C84" s="19"/>
      <c r="D84" s="19"/>
      <c r="E84" s="19"/>
      <c r="F84" s="19"/>
      <c r="G84" s="19"/>
      <c r="H84" s="19"/>
      <c r="I84" s="19">
        <v>4658.5</v>
      </c>
      <c r="J84" s="19"/>
      <c r="K84" s="19"/>
      <c r="L84" s="19"/>
      <c r="M84" s="19">
        <v>4658.5</v>
      </c>
    </row>
    <row r="85" spans="1:13" s="20" customFormat="1" x14ac:dyDescent="0.35">
      <c r="A85" s="56" t="s">
        <v>85</v>
      </c>
      <c r="B85" s="19"/>
      <c r="C85" s="19"/>
      <c r="D85" s="19"/>
      <c r="E85" s="19"/>
      <c r="F85" s="19"/>
      <c r="G85" s="19">
        <v>18143.95</v>
      </c>
      <c r="H85" s="19"/>
      <c r="I85" s="19"/>
      <c r="J85" s="19"/>
      <c r="K85" s="19">
        <v>1584.97</v>
      </c>
      <c r="L85" s="19"/>
      <c r="M85" s="19">
        <v>19728.920000000002</v>
      </c>
    </row>
    <row r="86" spans="1:13" s="20" customFormat="1" ht="21" x14ac:dyDescent="0.35">
      <c r="A86" s="56" t="s">
        <v>4323</v>
      </c>
      <c r="B86" s="19"/>
      <c r="C86" s="19"/>
      <c r="D86" s="19"/>
      <c r="E86" s="19"/>
      <c r="F86" s="19">
        <v>337.28</v>
      </c>
      <c r="G86" s="19"/>
      <c r="H86" s="19"/>
      <c r="I86" s="19"/>
      <c r="J86" s="19"/>
      <c r="K86" s="19"/>
      <c r="L86" s="19"/>
      <c r="M86" s="19">
        <v>337.28</v>
      </c>
    </row>
    <row r="87" spans="1:13" s="20" customFormat="1" x14ac:dyDescent="0.35">
      <c r="A87" s="56" t="s">
        <v>232</v>
      </c>
      <c r="B87" s="19"/>
      <c r="C87" s="19"/>
      <c r="D87" s="19"/>
      <c r="E87" s="19"/>
      <c r="F87" s="19"/>
      <c r="G87" s="19"/>
      <c r="H87" s="19">
        <v>1000</v>
      </c>
      <c r="I87" s="19"/>
      <c r="J87" s="19"/>
      <c r="K87" s="19"/>
      <c r="L87" s="19">
        <v>18150</v>
      </c>
      <c r="M87" s="19">
        <v>19150</v>
      </c>
    </row>
    <row r="88" spans="1:13" s="20" customFormat="1" x14ac:dyDescent="0.35">
      <c r="A88" s="56" t="s">
        <v>1419</v>
      </c>
      <c r="B88" s="19"/>
      <c r="C88" s="19"/>
      <c r="D88" s="19">
        <v>213.93</v>
      </c>
      <c r="E88" s="19"/>
      <c r="F88" s="19"/>
      <c r="G88" s="19"/>
      <c r="H88" s="19"/>
      <c r="I88" s="19"/>
      <c r="J88" s="19"/>
      <c r="K88" s="19"/>
      <c r="L88" s="19"/>
      <c r="M88" s="19">
        <v>213.93</v>
      </c>
    </row>
    <row r="89" spans="1:13" s="20" customFormat="1" x14ac:dyDescent="0.35">
      <c r="A89" s="56" t="s">
        <v>1357</v>
      </c>
      <c r="B89" s="19">
        <v>5179.2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>
        <v>5179.2</v>
      </c>
    </row>
    <row r="90" spans="1:13" s="20" customFormat="1" x14ac:dyDescent="0.35">
      <c r="A90" s="56" t="s">
        <v>5097</v>
      </c>
      <c r="B90" s="19"/>
      <c r="C90" s="19"/>
      <c r="D90" s="19"/>
      <c r="E90" s="19"/>
      <c r="F90" s="19"/>
      <c r="G90" s="19"/>
      <c r="H90" s="19"/>
      <c r="I90" s="19">
        <v>1656.2</v>
      </c>
      <c r="J90" s="19"/>
      <c r="K90" s="19"/>
      <c r="L90" s="19"/>
      <c r="M90" s="19">
        <v>1656.2</v>
      </c>
    </row>
    <row r="91" spans="1:13" s="20" customFormat="1" x14ac:dyDescent="0.35">
      <c r="A91" s="56" t="s">
        <v>3649</v>
      </c>
      <c r="B91" s="19"/>
      <c r="C91" s="19"/>
      <c r="D91" s="19"/>
      <c r="E91" s="19"/>
      <c r="F91" s="19"/>
      <c r="G91" s="19">
        <v>6171</v>
      </c>
      <c r="H91" s="19"/>
      <c r="I91" s="19"/>
      <c r="J91" s="19"/>
      <c r="K91" s="19"/>
      <c r="L91" s="19"/>
      <c r="M91" s="19">
        <v>6171</v>
      </c>
    </row>
    <row r="92" spans="1:13" s="20" customFormat="1" x14ac:dyDescent="0.35">
      <c r="A92" s="56" t="s">
        <v>5103</v>
      </c>
      <c r="B92" s="19"/>
      <c r="C92" s="19"/>
      <c r="D92" s="19"/>
      <c r="E92" s="19"/>
      <c r="F92" s="19">
        <v>1512.5</v>
      </c>
      <c r="G92" s="19"/>
      <c r="H92" s="19"/>
      <c r="I92" s="19"/>
      <c r="J92" s="19"/>
      <c r="K92" s="19"/>
      <c r="L92" s="19"/>
      <c r="M92" s="19">
        <v>1512.5</v>
      </c>
    </row>
    <row r="93" spans="1:13" s="20" customFormat="1" x14ac:dyDescent="0.35">
      <c r="A93" s="21" t="s">
        <v>267</v>
      </c>
      <c r="B93" s="19"/>
      <c r="C93" s="19"/>
      <c r="D93" s="19">
        <v>206.90999999999997</v>
      </c>
      <c r="E93" s="19"/>
      <c r="F93" s="19"/>
      <c r="G93" s="19"/>
      <c r="H93" s="19">
        <v>1000</v>
      </c>
      <c r="I93" s="19"/>
      <c r="J93" s="19"/>
      <c r="K93" s="19"/>
      <c r="L93" s="19"/>
      <c r="M93" s="19">
        <v>1206.9099999999999</v>
      </c>
    </row>
    <row r="94" spans="1:13" s="20" customFormat="1" x14ac:dyDescent="0.35">
      <c r="A94" s="56" t="s">
        <v>316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18150</v>
      </c>
      <c r="M94" s="19">
        <v>18150</v>
      </c>
    </row>
    <row r="95" spans="1:13" s="20" customFormat="1" x14ac:dyDescent="0.35">
      <c r="A95" s="56" t="s">
        <v>3176</v>
      </c>
      <c r="B95" s="19"/>
      <c r="C95" s="19">
        <v>500</v>
      </c>
      <c r="D95" s="19"/>
      <c r="E95" s="19"/>
      <c r="F95" s="19"/>
      <c r="G95" s="19"/>
      <c r="H95" s="19"/>
      <c r="I95" s="19"/>
      <c r="J95" s="19"/>
      <c r="K95" s="19"/>
      <c r="L95" s="19"/>
      <c r="M95" s="19">
        <v>500</v>
      </c>
    </row>
    <row r="96" spans="1:13" s="20" customFormat="1" x14ac:dyDescent="0.35">
      <c r="A96" s="56" t="s">
        <v>75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5886</v>
      </c>
      <c r="M96" s="19">
        <v>5886</v>
      </c>
    </row>
    <row r="97" spans="1:13" s="20" customFormat="1" x14ac:dyDescent="0.35">
      <c r="A97" s="56" t="s">
        <v>239</v>
      </c>
      <c r="B97" s="19"/>
      <c r="C97" s="19"/>
      <c r="D97" s="19"/>
      <c r="E97" s="19"/>
      <c r="F97" s="19"/>
      <c r="G97" s="19"/>
      <c r="H97" s="19">
        <v>4000</v>
      </c>
      <c r="I97" s="19">
        <v>684.75</v>
      </c>
      <c r="J97" s="19"/>
      <c r="K97" s="19"/>
      <c r="L97" s="19">
        <v>26997.670000000002</v>
      </c>
      <c r="M97" s="19">
        <v>31682.420000000002</v>
      </c>
    </row>
    <row r="98" spans="1:13" s="20" customFormat="1" x14ac:dyDescent="0.35">
      <c r="A98" s="56" t="s">
        <v>1436</v>
      </c>
      <c r="B98" s="19">
        <v>1210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>
        <v>1210</v>
      </c>
    </row>
    <row r="99" spans="1:13" s="20" customFormat="1" x14ac:dyDescent="0.35">
      <c r="A99" s="56" t="s">
        <v>2999</v>
      </c>
      <c r="B99" s="19"/>
      <c r="C99" s="19"/>
      <c r="D99" s="19"/>
      <c r="E99" s="19">
        <v>192</v>
      </c>
      <c r="F99" s="19"/>
      <c r="G99" s="19"/>
      <c r="H99" s="19"/>
      <c r="I99" s="19"/>
      <c r="J99" s="19"/>
      <c r="K99" s="19"/>
      <c r="L99" s="19"/>
      <c r="M99" s="19">
        <v>192</v>
      </c>
    </row>
    <row r="100" spans="1:13" s="20" customFormat="1" x14ac:dyDescent="0.35">
      <c r="A100" s="56" t="s">
        <v>171</v>
      </c>
      <c r="B100" s="19"/>
      <c r="C100" s="19"/>
      <c r="D100" s="19"/>
      <c r="E100" s="19">
        <v>8324.7999999999993</v>
      </c>
      <c r="F100" s="19"/>
      <c r="G100" s="19"/>
      <c r="H100" s="19"/>
      <c r="I100" s="19"/>
      <c r="J100" s="19"/>
      <c r="K100" s="19">
        <v>403.08</v>
      </c>
      <c r="L100" s="19"/>
      <c r="M100" s="19">
        <v>8727.8799999999992</v>
      </c>
    </row>
    <row r="101" spans="1:13" s="20" customFormat="1" x14ac:dyDescent="0.35">
      <c r="A101" s="56" t="s">
        <v>540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>
        <v>529.53</v>
      </c>
      <c r="M101" s="19">
        <v>529.53</v>
      </c>
    </row>
    <row r="102" spans="1:13" s="20" customFormat="1" ht="21" x14ac:dyDescent="0.35">
      <c r="A102" s="56" t="s">
        <v>3542</v>
      </c>
      <c r="B102" s="19"/>
      <c r="C102" s="19"/>
      <c r="D102" s="19"/>
      <c r="E102" s="19"/>
      <c r="F102" s="19"/>
      <c r="G102" s="19"/>
      <c r="H102" s="19">
        <v>11228.8</v>
      </c>
      <c r="I102" s="19"/>
      <c r="J102" s="19"/>
      <c r="K102" s="19"/>
      <c r="L102" s="19"/>
      <c r="M102" s="19">
        <v>11228.8</v>
      </c>
    </row>
    <row r="103" spans="1:13" s="20" customFormat="1" x14ac:dyDescent="0.35">
      <c r="A103" s="56" t="s">
        <v>5145</v>
      </c>
      <c r="B103" s="19"/>
      <c r="C103" s="19"/>
      <c r="D103" s="19"/>
      <c r="E103" s="19"/>
      <c r="F103" s="19"/>
      <c r="G103" s="19">
        <v>6594.5</v>
      </c>
      <c r="H103" s="19"/>
      <c r="I103" s="19"/>
      <c r="J103" s="19"/>
      <c r="K103" s="19"/>
      <c r="L103" s="19"/>
      <c r="M103" s="19">
        <v>6594.5</v>
      </c>
    </row>
    <row r="104" spans="1:13" s="20" customFormat="1" x14ac:dyDescent="0.35">
      <c r="A104" s="21" t="s">
        <v>305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3782.46</v>
      </c>
      <c r="M104" s="19">
        <v>3782.46</v>
      </c>
    </row>
    <row r="105" spans="1:13" s="20" customFormat="1" x14ac:dyDescent="0.35">
      <c r="A105" s="58" t="s">
        <v>536</v>
      </c>
      <c r="B105" s="19"/>
      <c r="C105" s="19"/>
      <c r="D105" s="19"/>
      <c r="E105" s="19"/>
      <c r="F105" s="19"/>
      <c r="G105" s="19"/>
      <c r="H105" s="19">
        <v>5000</v>
      </c>
      <c r="I105" s="19"/>
      <c r="J105" s="19"/>
      <c r="K105" s="19"/>
      <c r="L105" s="19"/>
      <c r="M105" s="19">
        <v>5000</v>
      </c>
    </row>
    <row r="106" spans="1:13" s="20" customFormat="1" x14ac:dyDescent="0.35">
      <c r="A106" s="57" t="s">
        <v>4633</v>
      </c>
      <c r="B106" s="19"/>
      <c r="C106" s="19"/>
      <c r="D106" s="19">
        <v>290.39999999999998</v>
      </c>
      <c r="E106" s="19"/>
      <c r="F106" s="19"/>
      <c r="G106" s="19"/>
      <c r="H106" s="19"/>
      <c r="I106" s="19"/>
      <c r="J106" s="19"/>
      <c r="K106" s="19"/>
      <c r="L106" s="19"/>
      <c r="M106" s="19">
        <v>290.39999999999998</v>
      </c>
    </row>
    <row r="107" spans="1:13" s="20" customFormat="1" x14ac:dyDescent="0.35">
      <c r="A107" s="56" t="s">
        <v>6055</v>
      </c>
      <c r="B107" s="19"/>
      <c r="C107" s="19"/>
      <c r="D107" s="19"/>
      <c r="E107" s="19"/>
      <c r="F107" s="19">
        <v>5929</v>
      </c>
      <c r="G107" s="19"/>
      <c r="H107" s="19"/>
      <c r="I107" s="19"/>
      <c r="J107" s="19"/>
      <c r="K107" s="19"/>
      <c r="L107" s="19"/>
      <c r="M107" s="19">
        <v>5929</v>
      </c>
    </row>
    <row r="108" spans="1:13" s="20" customFormat="1" x14ac:dyDescent="0.35">
      <c r="A108" s="56" t="s">
        <v>1424</v>
      </c>
      <c r="B108" s="19"/>
      <c r="C108" s="19"/>
      <c r="D108" s="19"/>
      <c r="E108" s="19">
        <v>10278.950000000001</v>
      </c>
      <c r="F108" s="19">
        <v>14423.2</v>
      </c>
      <c r="G108" s="19"/>
      <c r="H108" s="19"/>
      <c r="I108" s="19"/>
      <c r="J108" s="19"/>
      <c r="K108" s="19"/>
      <c r="L108" s="19"/>
      <c r="M108" s="19">
        <v>24702.15</v>
      </c>
    </row>
    <row r="109" spans="1:13" s="20" customFormat="1" x14ac:dyDescent="0.35">
      <c r="A109" s="56" t="s">
        <v>1427</v>
      </c>
      <c r="B109" s="19"/>
      <c r="C109" s="19"/>
      <c r="D109" s="19">
        <v>484</v>
      </c>
      <c r="E109" s="19"/>
      <c r="F109" s="19"/>
      <c r="G109" s="19"/>
      <c r="H109" s="19"/>
      <c r="I109" s="19"/>
      <c r="J109" s="19"/>
      <c r="K109" s="19"/>
      <c r="L109" s="19"/>
      <c r="M109" s="19">
        <v>484</v>
      </c>
    </row>
    <row r="110" spans="1:13" s="20" customFormat="1" x14ac:dyDescent="0.35">
      <c r="A110" s="56" t="s">
        <v>3539</v>
      </c>
      <c r="B110" s="19"/>
      <c r="C110" s="19"/>
      <c r="D110" s="19"/>
      <c r="E110" s="19"/>
      <c r="F110" s="19">
        <v>11712.8</v>
      </c>
      <c r="G110" s="19"/>
      <c r="H110" s="19"/>
      <c r="I110" s="19"/>
      <c r="J110" s="19"/>
      <c r="K110" s="19"/>
      <c r="L110" s="19"/>
      <c r="M110" s="19">
        <v>11712.8</v>
      </c>
    </row>
    <row r="111" spans="1:13" s="20" customFormat="1" x14ac:dyDescent="0.35">
      <c r="A111" s="56" t="s">
        <v>583</v>
      </c>
      <c r="B111" s="19"/>
      <c r="C111" s="19">
        <v>4712.8799999999992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>
        <v>4712.8799999999992</v>
      </c>
    </row>
    <row r="112" spans="1:13" s="20" customFormat="1" x14ac:dyDescent="0.35">
      <c r="A112" s="56" t="s">
        <v>3138</v>
      </c>
      <c r="B112" s="19"/>
      <c r="C112" s="19"/>
      <c r="D112" s="19"/>
      <c r="E112" s="19">
        <v>3967.24</v>
      </c>
      <c r="F112" s="19"/>
      <c r="G112" s="19"/>
      <c r="H112" s="19"/>
      <c r="I112" s="19"/>
      <c r="J112" s="19"/>
      <c r="K112" s="19"/>
      <c r="L112" s="19"/>
      <c r="M112" s="19">
        <v>3967.24</v>
      </c>
    </row>
    <row r="113" spans="1:13" s="20" customFormat="1" x14ac:dyDescent="0.35">
      <c r="A113" s="56" t="s">
        <v>4028</v>
      </c>
      <c r="B113" s="19"/>
      <c r="C113" s="19"/>
      <c r="D113" s="19"/>
      <c r="E113" s="19">
        <v>1000</v>
      </c>
      <c r="F113" s="19"/>
      <c r="G113" s="19"/>
      <c r="H113" s="19"/>
      <c r="I113" s="19"/>
      <c r="J113" s="19"/>
      <c r="K113" s="19"/>
      <c r="L113" s="19"/>
      <c r="M113" s="19">
        <v>1000</v>
      </c>
    </row>
    <row r="114" spans="1:13" s="20" customFormat="1" x14ac:dyDescent="0.35">
      <c r="A114" s="56" t="s">
        <v>4975</v>
      </c>
      <c r="B114" s="19"/>
      <c r="C114" s="19">
        <v>0</v>
      </c>
      <c r="D114" s="19"/>
      <c r="E114" s="19"/>
      <c r="F114" s="19"/>
      <c r="G114" s="19"/>
      <c r="H114" s="19"/>
      <c r="I114" s="19"/>
      <c r="J114" s="19"/>
      <c r="K114" s="19"/>
      <c r="L114" s="19"/>
      <c r="M114" s="19">
        <v>0</v>
      </c>
    </row>
    <row r="115" spans="1:13" s="20" customFormat="1" x14ac:dyDescent="0.35">
      <c r="A115" s="56" t="s">
        <v>5167</v>
      </c>
      <c r="B115" s="19"/>
      <c r="C115" s="19"/>
      <c r="D115" s="19"/>
      <c r="E115" s="19"/>
      <c r="F115" s="19"/>
      <c r="G115" s="19">
        <v>2445</v>
      </c>
      <c r="H115" s="19"/>
      <c r="I115" s="19">
        <v>907.5</v>
      </c>
      <c r="J115" s="19"/>
      <c r="K115" s="19"/>
      <c r="L115" s="19"/>
      <c r="M115" s="19">
        <v>3352.5</v>
      </c>
    </row>
    <row r="116" spans="1:13" s="20" customFormat="1" x14ac:dyDescent="0.35">
      <c r="A116" s="56" t="s">
        <v>290</v>
      </c>
      <c r="B116" s="19"/>
      <c r="C116" s="19"/>
      <c r="D116" s="19"/>
      <c r="E116" s="19"/>
      <c r="F116" s="19"/>
      <c r="G116" s="19"/>
      <c r="H116" s="19">
        <v>12100</v>
      </c>
      <c r="I116" s="19"/>
      <c r="J116" s="19"/>
      <c r="K116" s="19"/>
      <c r="L116" s="19"/>
      <c r="M116" s="19">
        <v>12100</v>
      </c>
    </row>
    <row r="117" spans="1:13" s="20" customFormat="1" x14ac:dyDescent="0.35">
      <c r="A117" s="56" t="s">
        <v>4275</v>
      </c>
      <c r="B117" s="19"/>
      <c r="C117" s="19"/>
      <c r="D117" s="19"/>
      <c r="E117" s="19"/>
      <c r="F117" s="19"/>
      <c r="G117" s="19"/>
      <c r="H117" s="19"/>
      <c r="I117" s="19"/>
      <c r="J117" s="19">
        <v>400</v>
      </c>
      <c r="K117" s="19"/>
      <c r="L117" s="19"/>
      <c r="M117" s="19">
        <v>400</v>
      </c>
    </row>
    <row r="118" spans="1:13" s="20" customFormat="1" x14ac:dyDescent="0.35">
      <c r="A118" s="56" t="s">
        <v>3702</v>
      </c>
      <c r="B118" s="19"/>
      <c r="C118" s="19"/>
      <c r="D118" s="19"/>
      <c r="E118" s="19"/>
      <c r="F118" s="19">
        <v>4579.8500000000004</v>
      </c>
      <c r="G118" s="19"/>
      <c r="H118" s="19"/>
      <c r="I118" s="19"/>
      <c r="J118" s="19"/>
      <c r="K118" s="19"/>
      <c r="L118" s="19"/>
      <c r="M118" s="19">
        <v>4579.8500000000004</v>
      </c>
    </row>
    <row r="119" spans="1:13" s="20" customFormat="1" x14ac:dyDescent="0.35">
      <c r="A119" s="56" t="s">
        <v>199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>
        <v>7080.92</v>
      </c>
      <c r="L119" s="19"/>
      <c r="M119" s="19">
        <v>7080.92</v>
      </c>
    </row>
    <row r="120" spans="1:13" s="20" customFormat="1" x14ac:dyDescent="0.35">
      <c r="A120" s="56" t="s">
        <v>1481</v>
      </c>
      <c r="B120" s="19"/>
      <c r="C120" s="19">
        <v>1013.98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19">
        <v>1013.98</v>
      </c>
    </row>
    <row r="121" spans="1:13" s="20" customFormat="1" x14ac:dyDescent="0.35">
      <c r="A121" s="56" t="s">
        <v>575</v>
      </c>
      <c r="B121" s="19"/>
      <c r="C121" s="19"/>
      <c r="D121" s="19">
        <v>2869.06</v>
      </c>
      <c r="E121" s="19"/>
      <c r="F121" s="19"/>
      <c r="G121" s="19"/>
      <c r="H121" s="19"/>
      <c r="I121" s="19"/>
      <c r="J121" s="19"/>
      <c r="K121" s="19"/>
      <c r="L121" s="19"/>
      <c r="M121" s="19">
        <v>2869.06</v>
      </c>
    </row>
    <row r="122" spans="1:13" s="20" customFormat="1" x14ac:dyDescent="0.35">
      <c r="A122" s="56" t="s">
        <v>1485</v>
      </c>
      <c r="B122" s="19"/>
      <c r="C122" s="19"/>
      <c r="D122" s="19"/>
      <c r="E122" s="19"/>
      <c r="F122" s="19"/>
      <c r="G122" s="19"/>
      <c r="H122" s="19">
        <v>18137.900000000001</v>
      </c>
      <c r="I122" s="19"/>
      <c r="J122" s="19"/>
      <c r="K122" s="19"/>
      <c r="L122" s="19"/>
      <c r="M122" s="19">
        <v>18137.900000000001</v>
      </c>
    </row>
    <row r="123" spans="1:13" s="20" customFormat="1" x14ac:dyDescent="0.35">
      <c r="A123" s="56" t="s">
        <v>4607</v>
      </c>
      <c r="B123" s="19"/>
      <c r="C123" s="19"/>
      <c r="D123" s="19"/>
      <c r="E123" s="19"/>
      <c r="F123" s="19"/>
      <c r="G123" s="19">
        <v>100</v>
      </c>
      <c r="H123" s="19"/>
      <c r="I123" s="19"/>
      <c r="J123" s="19"/>
      <c r="K123" s="19"/>
      <c r="L123" s="19"/>
      <c r="M123" s="19">
        <v>100</v>
      </c>
    </row>
    <row r="124" spans="1:13" s="20" customFormat="1" x14ac:dyDescent="0.35">
      <c r="A124" s="56" t="s">
        <v>586</v>
      </c>
      <c r="B124" s="19"/>
      <c r="C124" s="19"/>
      <c r="D124" s="19"/>
      <c r="E124" s="19"/>
      <c r="F124" s="19"/>
      <c r="G124" s="19"/>
      <c r="H124" s="19"/>
      <c r="I124" s="19">
        <v>7865</v>
      </c>
      <c r="J124" s="19"/>
      <c r="K124" s="19"/>
      <c r="L124" s="19"/>
      <c r="M124" s="19">
        <v>7865</v>
      </c>
    </row>
    <row r="125" spans="1:13" s="20" customFormat="1" x14ac:dyDescent="0.35">
      <c r="A125" s="21" t="s">
        <v>190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16500</v>
      </c>
      <c r="M125" s="19">
        <v>16500</v>
      </c>
    </row>
    <row r="126" spans="1:13" s="20" customFormat="1" x14ac:dyDescent="0.35">
      <c r="A126" s="56" t="s">
        <v>302</v>
      </c>
      <c r="B126" s="19"/>
      <c r="C126" s="19"/>
      <c r="D126" s="19"/>
      <c r="E126" s="19"/>
      <c r="F126" s="19">
        <v>133.1</v>
      </c>
      <c r="G126" s="19">
        <v>275.55</v>
      </c>
      <c r="H126" s="19"/>
      <c r="I126" s="19">
        <v>1815</v>
      </c>
      <c r="J126" s="19"/>
      <c r="K126" s="19"/>
      <c r="L126" s="19">
        <v>306.89999999999998</v>
      </c>
      <c r="M126" s="19">
        <v>2530.5500000000002</v>
      </c>
    </row>
    <row r="127" spans="1:13" s="20" customFormat="1" x14ac:dyDescent="0.35">
      <c r="A127" s="56" t="s">
        <v>3518</v>
      </c>
      <c r="B127" s="19"/>
      <c r="C127" s="19">
        <v>16940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19">
        <v>16940</v>
      </c>
    </row>
    <row r="128" spans="1:13" s="20" customFormat="1" x14ac:dyDescent="0.35">
      <c r="A128" s="56" t="s">
        <v>3723</v>
      </c>
      <c r="B128" s="19"/>
      <c r="C128" s="19"/>
      <c r="D128" s="19"/>
      <c r="E128" s="19"/>
      <c r="F128" s="19"/>
      <c r="G128" s="19">
        <v>4000</v>
      </c>
      <c r="H128" s="19"/>
      <c r="I128" s="19"/>
      <c r="J128" s="19"/>
      <c r="K128" s="19"/>
      <c r="L128" s="19"/>
      <c r="M128" s="19">
        <v>4000</v>
      </c>
    </row>
    <row r="129" spans="1:13" s="20" customFormat="1" x14ac:dyDescent="0.35">
      <c r="A129" s="56" t="s">
        <v>50</v>
      </c>
      <c r="B129" s="19"/>
      <c r="C129" s="19">
        <v>2556.13</v>
      </c>
      <c r="D129" s="19"/>
      <c r="E129" s="19">
        <v>4392.3</v>
      </c>
      <c r="F129" s="19">
        <v>175.15</v>
      </c>
      <c r="G129" s="19">
        <v>9596.52</v>
      </c>
      <c r="H129" s="19">
        <v>1070.72</v>
      </c>
      <c r="I129" s="19"/>
      <c r="J129" s="19">
        <v>2241.16</v>
      </c>
      <c r="K129" s="19"/>
      <c r="L129" s="19">
        <v>7671.52</v>
      </c>
      <c r="M129" s="19">
        <v>27703.5</v>
      </c>
    </row>
    <row r="130" spans="1:13" s="20" customFormat="1" x14ac:dyDescent="0.35">
      <c r="A130" s="56" t="s">
        <v>1519</v>
      </c>
      <c r="B130" s="19"/>
      <c r="C130" s="19"/>
      <c r="D130" s="19"/>
      <c r="E130" s="19">
        <v>2904</v>
      </c>
      <c r="F130" s="19"/>
      <c r="G130" s="19"/>
      <c r="H130" s="19"/>
      <c r="I130" s="19"/>
      <c r="J130" s="19"/>
      <c r="K130" s="19"/>
      <c r="L130" s="19"/>
      <c r="M130" s="19">
        <v>2904</v>
      </c>
    </row>
    <row r="131" spans="1:13" s="20" customFormat="1" x14ac:dyDescent="0.35">
      <c r="A131" s="56" t="s">
        <v>154</v>
      </c>
      <c r="B131" s="19"/>
      <c r="C131" s="19">
        <v>300.02</v>
      </c>
      <c r="D131" s="19"/>
      <c r="E131" s="19"/>
      <c r="F131" s="19"/>
      <c r="G131" s="19"/>
      <c r="H131" s="19"/>
      <c r="I131" s="19"/>
      <c r="J131" s="19"/>
      <c r="K131" s="19"/>
      <c r="L131" s="19"/>
      <c r="M131" s="19">
        <v>300.02</v>
      </c>
    </row>
    <row r="132" spans="1:13" s="20" customFormat="1" x14ac:dyDescent="0.35">
      <c r="A132" s="56" t="s">
        <v>1523</v>
      </c>
      <c r="B132" s="19"/>
      <c r="C132" s="19"/>
      <c r="D132" s="19"/>
      <c r="E132" s="19">
        <v>1796.69</v>
      </c>
      <c r="F132" s="19"/>
      <c r="G132" s="19"/>
      <c r="H132" s="19"/>
      <c r="I132" s="19"/>
      <c r="J132" s="19"/>
      <c r="K132" s="19"/>
      <c r="L132" s="19"/>
      <c r="M132" s="19">
        <v>1796.69</v>
      </c>
    </row>
    <row r="133" spans="1:13" s="20" customFormat="1" x14ac:dyDescent="0.35">
      <c r="A133" s="56" t="s">
        <v>1526</v>
      </c>
      <c r="B133" s="19"/>
      <c r="C133" s="19"/>
      <c r="D133" s="19"/>
      <c r="E133" s="19">
        <v>19794.82</v>
      </c>
      <c r="F133" s="19"/>
      <c r="G133" s="19"/>
      <c r="H133" s="19"/>
      <c r="I133" s="19"/>
      <c r="J133" s="19"/>
      <c r="K133" s="19"/>
      <c r="L133" s="19"/>
      <c r="M133" s="19">
        <v>19794.82</v>
      </c>
    </row>
    <row r="134" spans="1:13" s="20" customFormat="1" ht="21" x14ac:dyDescent="0.35">
      <c r="A134" s="56" t="s">
        <v>3514</v>
      </c>
      <c r="B134" s="19"/>
      <c r="C134" s="19"/>
      <c r="D134" s="19"/>
      <c r="E134" s="19"/>
      <c r="F134" s="19">
        <v>17242.5</v>
      </c>
      <c r="G134" s="19"/>
      <c r="H134" s="19"/>
      <c r="I134" s="19"/>
      <c r="J134" s="19"/>
      <c r="K134" s="19"/>
      <c r="L134" s="19"/>
      <c r="M134" s="19">
        <v>17242.5</v>
      </c>
    </row>
    <row r="135" spans="1:13" s="20" customFormat="1" x14ac:dyDescent="0.35">
      <c r="A135" s="56" t="s">
        <v>581</v>
      </c>
      <c r="B135" s="19"/>
      <c r="C135" s="19"/>
      <c r="D135" s="19"/>
      <c r="E135" s="19"/>
      <c r="F135" s="19"/>
      <c r="G135" s="19"/>
      <c r="H135" s="19">
        <v>300</v>
      </c>
      <c r="I135" s="19"/>
      <c r="J135" s="19"/>
      <c r="K135" s="19"/>
      <c r="L135" s="19"/>
      <c r="M135" s="19">
        <v>300</v>
      </c>
    </row>
    <row r="136" spans="1:13" s="20" customFormat="1" x14ac:dyDescent="0.35">
      <c r="A136" s="58" t="s">
        <v>3783</v>
      </c>
      <c r="B136" s="19"/>
      <c r="C136" s="19">
        <v>3054.15</v>
      </c>
      <c r="D136" s="19"/>
      <c r="E136" s="19"/>
      <c r="F136" s="19"/>
      <c r="G136" s="19"/>
      <c r="H136" s="19"/>
      <c r="I136" s="19">
        <v>1350.44</v>
      </c>
      <c r="J136" s="19"/>
      <c r="K136" s="19"/>
      <c r="L136" s="19"/>
      <c r="M136" s="19">
        <v>4404.59</v>
      </c>
    </row>
    <row r="137" spans="1:13" s="20" customFormat="1" x14ac:dyDescent="0.35">
      <c r="A137" s="57" t="s">
        <v>4341</v>
      </c>
      <c r="B137" s="19"/>
      <c r="C137" s="19">
        <v>310.37</v>
      </c>
      <c r="D137" s="19"/>
      <c r="E137" s="19"/>
      <c r="F137" s="19"/>
      <c r="G137" s="19"/>
      <c r="H137" s="19"/>
      <c r="I137" s="19"/>
      <c r="J137" s="19"/>
      <c r="K137" s="19"/>
      <c r="L137" s="19"/>
      <c r="M137" s="19">
        <v>310.37</v>
      </c>
    </row>
    <row r="138" spans="1:13" s="20" customFormat="1" x14ac:dyDescent="0.35">
      <c r="A138" s="56" t="s">
        <v>4088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>
        <v>9977.31</v>
      </c>
      <c r="M138" s="19">
        <v>9977.31</v>
      </c>
    </row>
    <row r="139" spans="1:13" s="20" customFormat="1" x14ac:dyDescent="0.35">
      <c r="A139" s="56" t="s">
        <v>1632</v>
      </c>
      <c r="B139" s="19"/>
      <c r="C139" s="19"/>
      <c r="D139" s="19"/>
      <c r="E139" s="19"/>
      <c r="F139" s="19"/>
      <c r="G139" s="19"/>
      <c r="H139" s="19">
        <v>3000</v>
      </c>
      <c r="I139" s="19"/>
      <c r="J139" s="19"/>
      <c r="K139" s="19"/>
      <c r="L139" s="19">
        <v>1976.83</v>
      </c>
      <c r="M139" s="19">
        <v>4976.83</v>
      </c>
    </row>
    <row r="140" spans="1:13" s="20" customFormat="1" x14ac:dyDescent="0.35">
      <c r="A140" s="56" t="s">
        <v>3886</v>
      </c>
      <c r="B140" s="19"/>
      <c r="C140" s="19"/>
      <c r="D140" s="19"/>
      <c r="E140" s="19"/>
      <c r="F140" s="19"/>
      <c r="G140" s="19"/>
      <c r="H140" s="19"/>
      <c r="I140" s="19">
        <v>3631.8</v>
      </c>
      <c r="J140" s="19"/>
      <c r="K140" s="19"/>
      <c r="L140" s="19"/>
      <c r="M140" s="19">
        <v>3631.8</v>
      </c>
    </row>
    <row r="141" spans="1:13" s="20" customFormat="1" x14ac:dyDescent="0.35">
      <c r="A141" s="56" t="s">
        <v>5239</v>
      </c>
      <c r="B141" s="19"/>
      <c r="C141" s="19"/>
      <c r="D141" s="19"/>
      <c r="E141" s="19"/>
      <c r="F141" s="19"/>
      <c r="G141" s="19"/>
      <c r="H141" s="19">
        <v>544.5</v>
      </c>
      <c r="I141" s="19"/>
      <c r="J141" s="19"/>
      <c r="K141" s="19"/>
      <c r="L141" s="19"/>
      <c r="M141" s="19">
        <v>544.5</v>
      </c>
    </row>
    <row r="142" spans="1:13" s="20" customFormat="1" x14ac:dyDescent="0.35">
      <c r="A142" s="56" t="s">
        <v>3059</v>
      </c>
      <c r="B142" s="19"/>
      <c r="C142" s="19"/>
      <c r="D142" s="19">
        <v>484</v>
      </c>
      <c r="E142" s="19"/>
      <c r="F142" s="19"/>
      <c r="G142" s="19"/>
      <c r="H142" s="19"/>
      <c r="I142" s="19"/>
      <c r="J142" s="19"/>
      <c r="K142" s="19"/>
      <c r="L142" s="19"/>
      <c r="M142" s="19">
        <v>484</v>
      </c>
    </row>
    <row r="143" spans="1:13" s="20" customFormat="1" x14ac:dyDescent="0.35">
      <c r="A143" s="56" t="s">
        <v>1534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>
        <v>1034.55</v>
      </c>
      <c r="L143" s="19"/>
      <c r="M143" s="19">
        <v>1034.55</v>
      </c>
    </row>
    <row r="144" spans="1:13" s="20" customFormat="1" x14ac:dyDescent="0.35">
      <c r="A144" s="56" t="s">
        <v>553</v>
      </c>
      <c r="B144" s="19">
        <v>1040.5999999999999</v>
      </c>
      <c r="C144" s="19"/>
      <c r="D144" s="19"/>
      <c r="E144" s="19">
        <v>7320.5</v>
      </c>
      <c r="F144" s="19"/>
      <c r="G144" s="19">
        <v>0</v>
      </c>
      <c r="H144" s="19"/>
      <c r="I144" s="19"/>
      <c r="J144" s="19"/>
      <c r="K144" s="19"/>
      <c r="L144" s="19"/>
      <c r="M144" s="19">
        <v>8361.1</v>
      </c>
    </row>
    <row r="145" spans="1:13" s="20" customFormat="1" x14ac:dyDescent="0.35">
      <c r="A145" s="56" t="s">
        <v>5246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508.2</v>
      </c>
      <c r="M145" s="19">
        <v>508.2</v>
      </c>
    </row>
    <row r="146" spans="1:13" s="20" customFormat="1" x14ac:dyDescent="0.35">
      <c r="A146" s="56" t="s">
        <v>541</v>
      </c>
      <c r="B146" s="19"/>
      <c r="C146" s="19"/>
      <c r="D146" s="19"/>
      <c r="E146" s="19"/>
      <c r="F146" s="19"/>
      <c r="G146" s="19"/>
      <c r="H146" s="19">
        <v>5000</v>
      </c>
      <c r="I146" s="19"/>
      <c r="J146" s="19"/>
      <c r="K146" s="19"/>
      <c r="L146" s="19"/>
      <c r="M146" s="19">
        <v>5000</v>
      </c>
    </row>
    <row r="147" spans="1:13" s="20" customFormat="1" x14ac:dyDescent="0.35">
      <c r="A147" s="21" t="s">
        <v>52</v>
      </c>
      <c r="B147" s="19"/>
      <c r="C147" s="19"/>
      <c r="D147" s="19"/>
      <c r="E147" s="19"/>
      <c r="F147" s="19">
        <v>15125</v>
      </c>
      <c r="G147" s="19"/>
      <c r="H147" s="19"/>
      <c r="I147" s="19"/>
      <c r="J147" s="19"/>
      <c r="K147" s="19"/>
      <c r="L147" s="19"/>
      <c r="M147" s="19">
        <v>15125</v>
      </c>
    </row>
    <row r="148" spans="1:13" s="20" customFormat="1" x14ac:dyDescent="0.35">
      <c r="A148" s="56" t="s">
        <v>1545</v>
      </c>
      <c r="B148" s="19"/>
      <c r="C148" s="19"/>
      <c r="D148" s="19"/>
      <c r="E148" s="19"/>
      <c r="F148" s="19"/>
      <c r="G148" s="19">
        <v>17720</v>
      </c>
      <c r="H148" s="19"/>
      <c r="I148" s="19"/>
      <c r="J148" s="19"/>
      <c r="K148" s="19"/>
      <c r="L148" s="19"/>
      <c r="M148" s="19">
        <v>17720</v>
      </c>
    </row>
    <row r="149" spans="1:13" s="20" customFormat="1" x14ac:dyDescent="0.35">
      <c r="A149" s="56" t="s">
        <v>1547</v>
      </c>
      <c r="B149" s="19"/>
      <c r="C149" s="19"/>
      <c r="D149" s="19"/>
      <c r="E149" s="19"/>
      <c r="F149" s="19"/>
      <c r="G149" s="19">
        <v>2500</v>
      </c>
      <c r="H149" s="19"/>
      <c r="I149" s="19"/>
      <c r="J149" s="19"/>
      <c r="K149" s="19"/>
      <c r="L149" s="19"/>
      <c r="M149" s="19">
        <v>2500</v>
      </c>
    </row>
    <row r="150" spans="1:13" s="20" customFormat="1" x14ac:dyDescent="0.35">
      <c r="A150" s="56" t="s">
        <v>5251</v>
      </c>
      <c r="B150" s="19"/>
      <c r="C150" s="19"/>
      <c r="D150" s="19"/>
      <c r="E150" s="19"/>
      <c r="F150" s="19">
        <v>3630</v>
      </c>
      <c r="G150" s="19"/>
      <c r="H150" s="19"/>
      <c r="I150" s="19"/>
      <c r="J150" s="19"/>
      <c r="K150" s="19"/>
      <c r="L150" s="19"/>
      <c r="M150" s="19">
        <v>3630</v>
      </c>
    </row>
    <row r="151" spans="1:13" s="20" customFormat="1" x14ac:dyDescent="0.35">
      <c r="A151" s="56" t="s">
        <v>5043</v>
      </c>
      <c r="B151" s="19"/>
      <c r="C151" s="19"/>
      <c r="D151" s="19"/>
      <c r="E151" s="19"/>
      <c r="F151" s="19"/>
      <c r="G151" s="19"/>
      <c r="H151" s="19"/>
      <c r="I151" s="19">
        <v>10254.75</v>
      </c>
      <c r="J151" s="19"/>
      <c r="K151" s="19"/>
      <c r="L151" s="19"/>
      <c r="M151" s="19">
        <v>10254.75</v>
      </c>
    </row>
    <row r="152" spans="1:13" s="20" customFormat="1" x14ac:dyDescent="0.35">
      <c r="A152" s="56" t="s">
        <v>60</v>
      </c>
      <c r="B152" s="19"/>
      <c r="C152" s="19"/>
      <c r="D152" s="19">
        <v>876.95</v>
      </c>
      <c r="E152" s="19"/>
      <c r="F152" s="19"/>
      <c r="G152" s="19"/>
      <c r="H152" s="19"/>
      <c r="I152" s="19"/>
      <c r="J152" s="19"/>
      <c r="K152" s="19"/>
      <c r="L152" s="19"/>
      <c r="M152" s="19">
        <v>876.95</v>
      </c>
    </row>
    <row r="153" spans="1:13" s="20" customFormat="1" x14ac:dyDescent="0.35">
      <c r="A153" s="56" t="s">
        <v>249</v>
      </c>
      <c r="B153" s="19"/>
      <c r="C153" s="19"/>
      <c r="D153" s="19">
        <v>240.19</v>
      </c>
      <c r="E153" s="19"/>
      <c r="F153" s="19">
        <v>54.45</v>
      </c>
      <c r="G153" s="19">
        <v>1320.5900000000001</v>
      </c>
      <c r="H153" s="19"/>
      <c r="I153" s="19"/>
      <c r="J153" s="19"/>
      <c r="K153" s="19"/>
      <c r="L153" s="19"/>
      <c r="M153" s="19">
        <v>1615.23</v>
      </c>
    </row>
    <row r="154" spans="1:13" s="20" customFormat="1" x14ac:dyDescent="0.35">
      <c r="A154" s="56" t="s">
        <v>1576</v>
      </c>
      <c r="B154" s="19"/>
      <c r="C154" s="19"/>
      <c r="D154" s="19"/>
      <c r="E154" s="19"/>
      <c r="F154" s="19"/>
      <c r="G154" s="19">
        <v>5000</v>
      </c>
      <c r="H154" s="19"/>
      <c r="I154" s="19"/>
      <c r="J154" s="19"/>
      <c r="K154" s="19"/>
      <c r="L154" s="19"/>
      <c r="M154" s="19">
        <v>5000</v>
      </c>
    </row>
    <row r="155" spans="1:13" s="20" customFormat="1" x14ac:dyDescent="0.35">
      <c r="A155" s="56" t="s">
        <v>109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7260</v>
      </c>
      <c r="M155" s="19">
        <v>7260</v>
      </c>
    </row>
    <row r="156" spans="1:13" s="20" customFormat="1" x14ac:dyDescent="0.35">
      <c r="A156" s="56" t="s">
        <v>3895</v>
      </c>
      <c r="B156" s="19"/>
      <c r="C156" s="19"/>
      <c r="D156" s="19"/>
      <c r="E156" s="19"/>
      <c r="F156" s="19"/>
      <c r="G156" s="19"/>
      <c r="H156" s="19">
        <v>1543.27</v>
      </c>
      <c r="I156" s="19"/>
      <c r="J156" s="19"/>
      <c r="K156" s="19"/>
      <c r="L156" s="19"/>
      <c r="M156" s="19">
        <v>1543.27</v>
      </c>
    </row>
    <row r="157" spans="1:13" s="20" customFormat="1" x14ac:dyDescent="0.35">
      <c r="A157" s="56" t="s">
        <v>225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4600.42</v>
      </c>
      <c r="M157" s="19">
        <v>4600.42</v>
      </c>
    </row>
    <row r="158" spans="1:13" s="20" customFormat="1" x14ac:dyDescent="0.35">
      <c r="A158" s="56" t="s">
        <v>1597</v>
      </c>
      <c r="B158" s="19"/>
      <c r="C158" s="19"/>
      <c r="D158" s="19"/>
      <c r="E158" s="19"/>
      <c r="F158" s="19"/>
      <c r="G158" s="19">
        <v>396.53999999999996</v>
      </c>
      <c r="H158" s="19"/>
      <c r="I158" s="19"/>
      <c r="J158" s="19"/>
      <c r="K158" s="19">
        <v>1787.1900000000003</v>
      </c>
      <c r="L158" s="19">
        <v>1670.92</v>
      </c>
      <c r="M158" s="19">
        <v>3854.6500000000005</v>
      </c>
    </row>
    <row r="159" spans="1:13" s="20" customFormat="1" ht="21" x14ac:dyDescent="0.35">
      <c r="A159" s="56" t="s">
        <v>3496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18089.5</v>
      </c>
      <c r="M159" s="19">
        <v>18089.5</v>
      </c>
    </row>
    <row r="160" spans="1:13" s="20" customFormat="1" x14ac:dyDescent="0.35">
      <c r="A160" s="21" t="s">
        <v>76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725</v>
      </c>
      <c r="M160" s="19">
        <v>725</v>
      </c>
    </row>
    <row r="161" spans="1:13" s="20" customFormat="1" x14ac:dyDescent="0.35">
      <c r="A161" s="56" t="s">
        <v>1651</v>
      </c>
      <c r="B161" s="19"/>
      <c r="C161" s="19"/>
      <c r="D161" s="19"/>
      <c r="E161" s="19"/>
      <c r="F161" s="19">
        <v>3294.8</v>
      </c>
      <c r="G161" s="19"/>
      <c r="H161" s="19"/>
      <c r="I161" s="19"/>
      <c r="J161" s="19"/>
      <c r="K161" s="19"/>
      <c r="L161" s="19"/>
      <c r="M161" s="19">
        <v>3294.8</v>
      </c>
    </row>
    <row r="162" spans="1:13" s="20" customFormat="1" x14ac:dyDescent="0.35">
      <c r="A162" s="56" t="s">
        <v>5275</v>
      </c>
      <c r="B162" s="19">
        <v>55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>
        <v>55</v>
      </c>
    </row>
    <row r="163" spans="1:13" s="20" customFormat="1" x14ac:dyDescent="0.35">
      <c r="A163" s="56" t="s">
        <v>3587</v>
      </c>
      <c r="B163" s="19"/>
      <c r="C163" s="19"/>
      <c r="D163" s="19"/>
      <c r="E163" s="19"/>
      <c r="F163" s="19"/>
      <c r="G163" s="19"/>
      <c r="H163" s="19"/>
      <c r="I163" s="19">
        <v>7260</v>
      </c>
      <c r="J163" s="19"/>
      <c r="K163" s="19"/>
      <c r="L163" s="19"/>
      <c r="M163" s="19">
        <v>7260</v>
      </c>
    </row>
    <row r="164" spans="1:13" s="20" customFormat="1" x14ac:dyDescent="0.35">
      <c r="A164" s="56" t="s">
        <v>1661</v>
      </c>
      <c r="B164" s="19"/>
      <c r="C164" s="19"/>
      <c r="D164" s="19"/>
      <c r="E164" s="19">
        <v>192</v>
      </c>
      <c r="F164" s="19"/>
      <c r="G164" s="19"/>
      <c r="H164" s="19"/>
      <c r="I164" s="19"/>
      <c r="J164" s="19"/>
      <c r="K164" s="19"/>
      <c r="L164" s="19"/>
      <c r="M164" s="19">
        <v>192</v>
      </c>
    </row>
    <row r="165" spans="1:13" s="20" customFormat="1" x14ac:dyDescent="0.35">
      <c r="A165" s="56" t="s">
        <v>1668</v>
      </c>
      <c r="B165" s="19"/>
      <c r="C165" s="19"/>
      <c r="D165" s="19"/>
      <c r="E165" s="19"/>
      <c r="F165" s="19"/>
      <c r="G165" s="19">
        <v>296.20999999999998</v>
      </c>
      <c r="H165" s="19"/>
      <c r="I165" s="19"/>
      <c r="J165" s="19"/>
      <c r="K165" s="19"/>
      <c r="L165" s="19"/>
      <c r="M165" s="19">
        <v>296.20999999999998</v>
      </c>
    </row>
    <row r="166" spans="1:13" s="20" customFormat="1" x14ac:dyDescent="0.35">
      <c r="A166" s="56" t="s">
        <v>182</v>
      </c>
      <c r="B166" s="19"/>
      <c r="C166" s="19">
        <v>11789.060000000001</v>
      </c>
      <c r="D166" s="19"/>
      <c r="E166" s="19"/>
      <c r="F166" s="19"/>
      <c r="G166" s="19"/>
      <c r="H166" s="19"/>
      <c r="I166" s="19"/>
      <c r="J166" s="19">
        <v>11269.15</v>
      </c>
      <c r="K166" s="19"/>
      <c r="L166" s="19"/>
      <c r="M166" s="19">
        <v>23058.21</v>
      </c>
    </row>
    <row r="167" spans="1:13" s="20" customFormat="1" x14ac:dyDescent="0.35">
      <c r="A167" s="56" t="s">
        <v>5211</v>
      </c>
      <c r="B167" s="19"/>
      <c r="C167" s="19"/>
      <c r="D167" s="19"/>
      <c r="E167" s="19"/>
      <c r="F167" s="19">
        <v>3351.7</v>
      </c>
      <c r="G167" s="19"/>
      <c r="H167" s="19"/>
      <c r="I167" s="19"/>
      <c r="J167" s="19"/>
      <c r="K167" s="19"/>
      <c r="L167" s="19"/>
      <c r="M167" s="19">
        <v>3351.7</v>
      </c>
    </row>
    <row r="168" spans="1:13" s="20" customFormat="1" x14ac:dyDescent="0.35">
      <c r="A168" s="56" t="s">
        <v>65</v>
      </c>
      <c r="B168" s="19"/>
      <c r="C168" s="19"/>
      <c r="D168" s="19"/>
      <c r="E168" s="19"/>
      <c r="F168" s="19">
        <v>3630</v>
      </c>
      <c r="G168" s="19">
        <v>4840</v>
      </c>
      <c r="H168" s="19"/>
      <c r="I168" s="19">
        <v>7139</v>
      </c>
      <c r="J168" s="19"/>
      <c r="K168" s="19"/>
      <c r="L168" s="19"/>
      <c r="M168" s="19">
        <v>15609</v>
      </c>
    </row>
    <row r="169" spans="1:13" s="20" customFormat="1" x14ac:dyDescent="0.35">
      <c r="A169" s="56" t="s">
        <v>46</v>
      </c>
      <c r="B169" s="19"/>
      <c r="C169" s="19"/>
      <c r="D169" s="19">
        <v>8203.9599999999991</v>
      </c>
      <c r="E169" s="19"/>
      <c r="F169" s="19"/>
      <c r="G169" s="19"/>
      <c r="H169" s="19"/>
      <c r="I169" s="19"/>
      <c r="J169" s="19"/>
      <c r="K169" s="19"/>
      <c r="L169" s="19"/>
      <c r="M169" s="19">
        <v>8203.9599999999991</v>
      </c>
    </row>
    <row r="170" spans="1:13" s="20" customFormat="1" x14ac:dyDescent="0.35">
      <c r="A170" s="21" t="s">
        <v>230</v>
      </c>
      <c r="B170" s="19"/>
      <c r="C170" s="19"/>
      <c r="D170" s="19"/>
      <c r="E170" s="19"/>
      <c r="F170" s="19"/>
      <c r="G170" s="19"/>
      <c r="H170" s="19">
        <v>3655.04</v>
      </c>
      <c r="I170" s="19"/>
      <c r="J170" s="19"/>
      <c r="K170" s="19"/>
      <c r="L170" s="19">
        <v>9391.61</v>
      </c>
      <c r="M170" s="19">
        <v>13046.650000000001</v>
      </c>
    </row>
    <row r="171" spans="1:13" s="20" customFormat="1" x14ac:dyDescent="0.35">
      <c r="A171" s="56" t="s">
        <v>3516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>
        <v>1025.17</v>
      </c>
      <c r="L171" s="19"/>
      <c r="M171" s="19">
        <v>1025.17</v>
      </c>
    </row>
    <row r="172" spans="1:13" s="20" customFormat="1" x14ac:dyDescent="0.35">
      <c r="A172" s="56" t="s">
        <v>535</v>
      </c>
      <c r="B172" s="19">
        <v>591.69000000000005</v>
      </c>
      <c r="C172" s="19"/>
      <c r="D172" s="19"/>
      <c r="E172" s="19"/>
      <c r="F172" s="19"/>
      <c r="G172" s="19"/>
      <c r="H172" s="19">
        <v>800</v>
      </c>
      <c r="I172" s="19"/>
      <c r="J172" s="19"/>
      <c r="K172" s="19"/>
      <c r="L172" s="19">
        <v>20073.900000000001</v>
      </c>
      <c r="M172" s="19">
        <v>21465.59</v>
      </c>
    </row>
    <row r="173" spans="1:13" s="20" customFormat="1" x14ac:dyDescent="0.35">
      <c r="A173" s="56" t="s">
        <v>765</v>
      </c>
      <c r="B173" s="19"/>
      <c r="C173" s="19"/>
      <c r="D173" s="19"/>
      <c r="E173" s="19"/>
      <c r="F173" s="19"/>
      <c r="G173" s="19"/>
      <c r="H173" s="19">
        <v>4032.81</v>
      </c>
      <c r="I173" s="19"/>
      <c r="J173" s="19"/>
      <c r="K173" s="19"/>
      <c r="L173" s="19"/>
      <c r="M173" s="19">
        <v>4032.81</v>
      </c>
    </row>
    <row r="174" spans="1:13" s="20" customFormat="1" x14ac:dyDescent="0.35">
      <c r="A174" s="56" t="s">
        <v>748</v>
      </c>
      <c r="B174" s="19"/>
      <c r="C174" s="19"/>
      <c r="D174" s="19"/>
      <c r="E174" s="19"/>
      <c r="F174" s="19"/>
      <c r="G174" s="19">
        <v>4000</v>
      </c>
      <c r="H174" s="19"/>
      <c r="I174" s="19"/>
      <c r="J174" s="19"/>
      <c r="K174" s="19"/>
      <c r="L174" s="19"/>
      <c r="M174" s="19">
        <v>4000</v>
      </c>
    </row>
    <row r="175" spans="1:13" s="20" customFormat="1" x14ac:dyDescent="0.35">
      <c r="A175" s="56" t="s">
        <v>170</v>
      </c>
      <c r="B175" s="19">
        <v>267.29000000000002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>
        <v>267.29000000000002</v>
      </c>
    </row>
    <row r="176" spans="1:13" s="20" customFormat="1" x14ac:dyDescent="0.35">
      <c r="A176" s="56" t="s">
        <v>3909</v>
      </c>
      <c r="B176" s="19"/>
      <c r="C176" s="19"/>
      <c r="D176" s="19"/>
      <c r="E176" s="19"/>
      <c r="F176" s="19"/>
      <c r="G176" s="19">
        <v>1500</v>
      </c>
      <c r="H176" s="19"/>
      <c r="I176" s="19"/>
      <c r="J176" s="19"/>
      <c r="K176" s="19"/>
      <c r="L176" s="19"/>
      <c r="M176" s="19">
        <v>1500</v>
      </c>
    </row>
    <row r="177" spans="1:13" s="20" customFormat="1" x14ac:dyDescent="0.35">
      <c r="A177" s="56" t="s">
        <v>223</v>
      </c>
      <c r="B177" s="19"/>
      <c r="C177" s="19"/>
      <c r="D177" s="19"/>
      <c r="E177" s="19">
        <v>3122.26</v>
      </c>
      <c r="F177" s="19"/>
      <c r="G177" s="19"/>
      <c r="H177" s="19"/>
      <c r="I177" s="19"/>
      <c r="J177" s="19"/>
      <c r="K177" s="19"/>
      <c r="L177" s="19"/>
      <c r="M177" s="19">
        <v>3122.26</v>
      </c>
    </row>
    <row r="178" spans="1:13" s="20" customFormat="1" x14ac:dyDescent="0.35">
      <c r="A178" s="21" t="s">
        <v>5532</v>
      </c>
      <c r="B178" s="19"/>
      <c r="C178" s="19"/>
      <c r="D178" s="19"/>
      <c r="E178" s="19"/>
      <c r="F178" s="19"/>
      <c r="G178" s="19">
        <v>690</v>
      </c>
      <c r="H178" s="19"/>
      <c r="I178" s="19"/>
      <c r="J178" s="19"/>
      <c r="K178" s="19"/>
      <c r="L178" s="19"/>
      <c r="M178" s="19">
        <v>690</v>
      </c>
    </row>
    <row r="179" spans="1:13" s="20" customFormat="1" x14ac:dyDescent="0.35">
      <c r="A179" s="21" t="s">
        <v>306</v>
      </c>
      <c r="B179" s="19"/>
      <c r="C179" s="19"/>
      <c r="D179" s="19"/>
      <c r="E179" s="19"/>
      <c r="F179" s="19"/>
      <c r="G179" s="19"/>
      <c r="H179" s="19">
        <v>7000</v>
      </c>
      <c r="I179" s="19"/>
      <c r="J179" s="19"/>
      <c r="K179" s="19"/>
      <c r="L179" s="19"/>
      <c r="M179" s="19">
        <v>7000</v>
      </c>
    </row>
    <row r="180" spans="1:13" s="20" customFormat="1" x14ac:dyDescent="0.35">
      <c r="A180" s="56" t="s">
        <v>588</v>
      </c>
      <c r="B180" s="19"/>
      <c r="C180" s="19"/>
      <c r="D180" s="19"/>
      <c r="E180" s="19"/>
      <c r="F180" s="19"/>
      <c r="G180" s="19">
        <v>4126</v>
      </c>
      <c r="H180" s="19"/>
      <c r="I180" s="19"/>
      <c r="J180" s="19"/>
      <c r="K180" s="19"/>
      <c r="L180" s="19"/>
      <c r="M180" s="19">
        <v>4126</v>
      </c>
    </row>
    <row r="181" spans="1:13" s="20" customFormat="1" x14ac:dyDescent="0.35">
      <c r="A181" s="56" t="s">
        <v>229</v>
      </c>
      <c r="B181" s="19"/>
      <c r="C181" s="19"/>
      <c r="D181" s="19"/>
      <c r="E181" s="19"/>
      <c r="F181" s="19"/>
      <c r="G181" s="19"/>
      <c r="H181" s="19">
        <v>3790.7</v>
      </c>
      <c r="I181" s="19"/>
      <c r="J181" s="19"/>
      <c r="K181" s="19"/>
      <c r="L181" s="19"/>
      <c r="M181" s="19">
        <v>3790.7</v>
      </c>
    </row>
    <row r="182" spans="1:13" s="20" customFormat="1" x14ac:dyDescent="0.35">
      <c r="A182" s="21" t="s">
        <v>1753</v>
      </c>
      <c r="B182" s="19"/>
      <c r="C182" s="19"/>
      <c r="D182" s="19"/>
      <c r="E182" s="19">
        <v>4831.53</v>
      </c>
      <c r="F182" s="19"/>
      <c r="G182" s="19"/>
      <c r="H182" s="19"/>
      <c r="I182" s="19"/>
      <c r="J182" s="19"/>
      <c r="K182" s="19"/>
      <c r="L182" s="19"/>
      <c r="M182" s="19">
        <v>4831.53</v>
      </c>
    </row>
    <row r="183" spans="1:13" s="20" customFormat="1" x14ac:dyDescent="0.35">
      <c r="A183" s="56" t="s">
        <v>5341</v>
      </c>
      <c r="B183" s="19"/>
      <c r="C183" s="19"/>
      <c r="D183" s="19">
        <v>853.05</v>
      </c>
      <c r="E183" s="19"/>
      <c r="F183" s="19"/>
      <c r="G183" s="19"/>
      <c r="H183" s="19"/>
      <c r="I183" s="19"/>
      <c r="J183" s="19"/>
      <c r="K183" s="19"/>
      <c r="L183" s="19"/>
      <c r="M183" s="19">
        <v>853.05</v>
      </c>
    </row>
    <row r="184" spans="1:13" s="20" customFormat="1" x14ac:dyDescent="0.35">
      <c r="A184" s="56" t="s">
        <v>3903</v>
      </c>
      <c r="B184" s="19"/>
      <c r="C184" s="19"/>
      <c r="D184" s="19"/>
      <c r="E184" s="19">
        <v>1512.5</v>
      </c>
      <c r="F184" s="19"/>
      <c r="G184" s="19"/>
      <c r="H184" s="19"/>
      <c r="I184" s="19"/>
      <c r="J184" s="19"/>
      <c r="K184" s="19"/>
      <c r="L184" s="19"/>
      <c r="M184" s="19">
        <v>1512.5</v>
      </c>
    </row>
    <row r="185" spans="1:13" s="20" customFormat="1" x14ac:dyDescent="0.35">
      <c r="A185" s="56" t="s">
        <v>1781</v>
      </c>
      <c r="B185" s="19"/>
      <c r="C185" s="19"/>
      <c r="D185" s="19"/>
      <c r="E185" s="19">
        <v>0</v>
      </c>
      <c r="F185" s="19"/>
      <c r="G185" s="19"/>
      <c r="H185" s="19"/>
      <c r="I185" s="19"/>
      <c r="J185" s="19"/>
      <c r="K185" s="19"/>
      <c r="L185" s="19"/>
      <c r="M185" s="19">
        <v>0</v>
      </c>
    </row>
    <row r="186" spans="1:13" s="20" customFormat="1" ht="21" x14ac:dyDescent="0.35">
      <c r="A186" s="56" t="s">
        <v>597</v>
      </c>
      <c r="B186" s="19"/>
      <c r="C186" s="19"/>
      <c r="D186" s="19"/>
      <c r="E186" s="19"/>
      <c r="F186" s="19"/>
      <c r="G186" s="19"/>
      <c r="H186" s="19"/>
      <c r="I186" s="19">
        <v>3267</v>
      </c>
      <c r="J186" s="19"/>
      <c r="K186" s="19"/>
      <c r="L186" s="19"/>
      <c r="M186" s="19">
        <v>3267</v>
      </c>
    </row>
    <row r="187" spans="1:13" s="20" customFormat="1" x14ac:dyDescent="0.35">
      <c r="A187" s="56" t="s">
        <v>4292</v>
      </c>
      <c r="B187" s="19">
        <v>387.2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>
        <v>387.2</v>
      </c>
    </row>
    <row r="188" spans="1:13" s="20" customFormat="1" x14ac:dyDescent="0.35">
      <c r="A188" s="21" t="s">
        <v>119</v>
      </c>
      <c r="B188" s="19"/>
      <c r="C188" s="19"/>
      <c r="D188" s="19"/>
      <c r="E188" s="19"/>
      <c r="F188" s="19">
        <v>2394.25</v>
      </c>
      <c r="G188" s="19"/>
      <c r="H188" s="19"/>
      <c r="I188" s="19"/>
      <c r="J188" s="19">
        <v>4217.7</v>
      </c>
      <c r="K188" s="19"/>
      <c r="L188" s="19"/>
      <c r="M188" s="19">
        <v>6611.95</v>
      </c>
    </row>
    <row r="189" spans="1:13" s="20" customFormat="1" x14ac:dyDescent="0.35">
      <c r="A189" s="56" t="s">
        <v>3537</v>
      </c>
      <c r="B189" s="19"/>
      <c r="C189" s="19"/>
      <c r="D189" s="19"/>
      <c r="E189" s="19"/>
      <c r="F189" s="19"/>
      <c r="G189" s="19"/>
      <c r="H189" s="19"/>
      <c r="I189" s="19"/>
      <c r="J189" s="19">
        <v>11993.52</v>
      </c>
      <c r="K189" s="19"/>
      <c r="L189" s="19"/>
      <c r="M189" s="19">
        <v>11993.52</v>
      </c>
    </row>
    <row r="190" spans="1:13" s="20" customFormat="1" x14ac:dyDescent="0.35">
      <c r="A190" s="56" t="s">
        <v>1794</v>
      </c>
      <c r="B190" s="19"/>
      <c r="C190" s="19"/>
      <c r="D190" s="19"/>
      <c r="E190" s="19">
        <v>1408</v>
      </c>
      <c r="F190" s="19"/>
      <c r="G190" s="19"/>
      <c r="H190" s="19"/>
      <c r="I190" s="19"/>
      <c r="J190" s="19"/>
      <c r="K190" s="19"/>
      <c r="L190" s="19"/>
      <c r="M190" s="19">
        <v>1408</v>
      </c>
    </row>
    <row r="191" spans="1:13" s="20" customFormat="1" x14ac:dyDescent="0.35">
      <c r="A191" s="21" t="s">
        <v>62</v>
      </c>
      <c r="B191" s="19">
        <v>17903.73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>
        <v>17903.73</v>
      </c>
    </row>
    <row r="192" spans="1:13" s="20" customFormat="1" x14ac:dyDescent="0.35">
      <c r="A192" s="56" t="s">
        <v>5350</v>
      </c>
      <c r="B192" s="19"/>
      <c r="C192" s="19"/>
      <c r="D192" s="19"/>
      <c r="E192" s="19"/>
      <c r="F192" s="19"/>
      <c r="G192" s="19"/>
      <c r="H192" s="19">
        <v>2147.75</v>
      </c>
      <c r="I192" s="19"/>
      <c r="J192" s="19"/>
      <c r="K192" s="19"/>
      <c r="L192" s="19"/>
      <c r="M192" s="19">
        <v>2147.75</v>
      </c>
    </row>
    <row r="193" spans="1:13" s="20" customFormat="1" x14ac:dyDescent="0.35">
      <c r="A193" s="56" t="s">
        <v>82</v>
      </c>
      <c r="B193" s="19"/>
      <c r="C193" s="19"/>
      <c r="D193" s="19">
        <v>1424.5</v>
      </c>
      <c r="E193" s="19"/>
      <c r="F193" s="19"/>
      <c r="G193" s="19"/>
      <c r="H193" s="19"/>
      <c r="I193" s="19"/>
      <c r="J193" s="19"/>
      <c r="K193" s="19"/>
      <c r="L193" s="19"/>
      <c r="M193" s="19">
        <v>1424.5</v>
      </c>
    </row>
    <row r="194" spans="1:13" s="20" customFormat="1" x14ac:dyDescent="0.35">
      <c r="A194" s="56" t="s">
        <v>238</v>
      </c>
      <c r="B194" s="19"/>
      <c r="C194" s="19"/>
      <c r="D194" s="19"/>
      <c r="E194" s="19"/>
      <c r="F194" s="19"/>
      <c r="G194" s="19"/>
      <c r="H194" s="19">
        <v>36300</v>
      </c>
      <c r="I194" s="19"/>
      <c r="J194" s="19"/>
      <c r="K194" s="19"/>
      <c r="L194" s="19"/>
      <c r="M194" s="19">
        <v>36300</v>
      </c>
    </row>
    <row r="195" spans="1:13" s="20" customFormat="1" x14ac:dyDescent="0.35">
      <c r="A195" s="56" t="s">
        <v>3876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4681.8500000000004</v>
      </c>
      <c r="M195" s="19">
        <v>4681.8500000000004</v>
      </c>
    </row>
    <row r="196" spans="1:13" s="20" customFormat="1" x14ac:dyDescent="0.35">
      <c r="A196" s="56" t="s">
        <v>258</v>
      </c>
      <c r="B196" s="19"/>
      <c r="C196" s="19"/>
      <c r="D196" s="19"/>
      <c r="E196" s="19"/>
      <c r="F196" s="19"/>
      <c r="G196" s="19"/>
      <c r="H196" s="19">
        <v>1000</v>
      </c>
      <c r="I196" s="19"/>
      <c r="J196" s="19"/>
      <c r="K196" s="19"/>
      <c r="L196" s="19">
        <v>78.569999999999993</v>
      </c>
      <c r="M196" s="19">
        <v>1078.57</v>
      </c>
    </row>
    <row r="197" spans="1:13" s="20" customFormat="1" x14ac:dyDescent="0.35">
      <c r="A197" s="58" t="s">
        <v>3562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9680</v>
      </c>
      <c r="M197" s="19">
        <v>9680</v>
      </c>
    </row>
    <row r="198" spans="1:13" s="20" customFormat="1" x14ac:dyDescent="0.35">
      <c r="A198" s="57" t="s">
        <v>1823</v>
      </c>
      <c r="B198" s="19"/>
      <c r="C198" s="19"/>
      <c r="D198" s="19"/>
      <c r="E198" s="19"/>
      <c r="F198" s="19"/>
      <c r="G198" s="19"/>
      <c r="H198" s="19"/>
      <c r="I198" s="19"/>
      <c r="J198" s="19">
        <v>4658.5</v>
      </c>
      <c r="K198" s="19"/>
      <c r="L198" s="19"/>
      <c r="M198" s="19">
        <v>4658.5</v>
      </c>
    </row>
    <row r="199" spans="1:13" s="20" customFormat="1" x14ac:dyDescent="0.35">
      <c r="A199" s="56" t="s">
        <v>5381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1357.62</v>
      </c>
      <c r="L199" s="19"/>
      <c r="M199" s="19">
        <v>1357.62</v>
      </c>
    </row>
    <row r="200" spans="1:13" s="20" customFormat="1" x14ac:dyDescent="0.35">
      <c r="A200" s="56" t="s">
        <v>5383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>
        <v>4022</v>
      </c>
      <c r="L200" s="19"/>
      <c r="M200" s="19">
        <v>4022</v>
      </c>
    </row>
    <row r="201" spans="1:13" s="20" customFormat="1" x14ac:dyDescent="0.35">
      <c r="A201" s="56" t="s">
        <v>531</v>
      </c>
      <c r="B201" s="19">
        <v>1754.5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>
        <v>1754.5</v>
      </c>
    </row>
    <row r="202" spans="1:13" s="20" customFormat="1" x14ac:dyDescent="0.35">
      <c r="A202" s="56" t="s">
        <v>5422</v>
      </c>
      <c r="B202" s="19"/>
      <c r="C202" s="19"/>
      <c r="D202" s="19">
        <v>2288.6999999999998</v>
      </c>
      <c r="E202" s="19"/>
      <c r="F202" s="19"/>
      <c r="G202" s="19"/>
      <c r="H202" s="19"/>
      <c r="I202" s="19"/>
      <c r="J202" s="19"/>
      <c r="K202" s="19"/>
      <c r="L202" s="19"/>
      <c r="M202" s="19">
        <v>2288.6999999999998</v>
      </c>
    </row>
    <row r="203" spans="1:13" s="20" customFormat="1" x14ac:dyDescent="0.35">
      <c r="A203" s="56" t="s">
        <v>4231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>
        <v>925.58999999999992</v>
      </c>
      <c r="L203" s="19"/>
      <c r="M203" s="19">
        <v>925.58999999999992</v>
      </c>
    </row>
    <row r="204" spans="1:13" s="20" customFormat="1" x14ac:dyDescent="0.35">
      <c r="A204" s="21" t="s">
        <v>252</v>
      </c>
      <c r="B204" s="19">
        <v>417.2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>
        <v>417.2</v>
      </c>
    </row>
    <row r="205" spans="1:13" s="20" customFormat="1" x14ac:dyDescent="0.35">
      <c r="A205" s="56" t="s">
        <v>4184</v>
      </c>
      <c r="B205" s="19"/>
      <c r="C205" s="19"/>
      <c r="D205" s="19"/>
      <c r="E205" s="19"/>
      <c r="F205" s="19">
        <v>544.5</v>
      </c>
      <c r="G205" s="19"/>
      <c r="H205" s="19"/>
      <c r="I205" s="19"/>
      <c r="J205" s="19"/>
      <c r="K205" s="19"/>
      <c r="L205" s="19"/>
      <c r="M205" s="19">
        <v>544.5</v>
      </c>
    </row>
    <row r="206" spans="1:13" s="20" customFormat="1" x14ac:dyDescent="0.35">
      <c r="A206" s="56" t="s">
        <v>263</v>
      </c>
      <c r="B206" s="19"/>
      <c r="C206" s="19"/>
      <c r="D206" s="19"/>
      <c r="E206" s="19"/>
      <c r="F206" s="19"/>
      <c r="G206" s="19"/>
      <c r="H206" s="19"/>
      <c r="I206" s="19">
        <v>1210</v>
      </c>
      <c r="J206" s="19"/>
      <c r="K206" s="19">
        <v>85.18</v>
      </c>
      <c r="L206" s="19"/>
      <c r="M206" s="19">
        <v>1295.18</v>
      </c>
    </row>
    <row r="207" spans="1:13" s="20" customFormat="1" x14ac:dyDescent="0.35">
      <c r="A207" s="56" t="s">
        <v>4005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1060.44</v>
      </c>
      <c r="M207" s="19">
        <v>1060.44</v>
      </c>
    </row>
    <row r="208" spans="1:13" s="20" customFormat="1" x14ac:dyDescent="0.35">
      <c r="A208" s="56" t="s">
        <v>1842</v>
      </c>
      <c r="B208" s="19"/>
      <c r="C208" s="19">
        <v>2807.2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>
        <v>2807.2</v>
      </c>
    </row>
    <row r="209" spans="1:13" s="20" customFormat="1" x14ac:dyDescent="0.35">
      <c r="A209" s="56" t="s">
        <v>96</v>
      </c>
      <c r="B209" s="19"/>
      <c r="C209" s="19"/>
      <c r="D209" s="19"/>
      <c r="E209" s="19"/>
      <c r="F209" s="19"/>
      <c r="G209" s="19">
        <v>13500</v>
      </c>
      <c r="H209" s="19"/>
      <c r="I209" s="19"/>
      <c r="J209" s="19"/>
      <c r="K209" s="19"/>
      <c r="L209" s="19"/>
      <c r="M209" s="19">
        <v>13500</v>
      </c>
    </row>
    <row r="210" spans="1:13" s="20" customFormat="1" x14ac:dyDescent="0.35">
      <c r="A210" s="56" t="s">
        <v>518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701.8</v>
      </c>
      <c r="L210" s="19"/>
      <c r="M210" s="19">
        <v>701.8</v>
      </c>
    </row>
    <row r="211" spans="1:13" s="20" customFormat="1" x14ac:dyDescent="0.35">
      <c r="A211" s="56" t="s">
        <v>3499</v>
      </c>
      <c r="B211" s="19"/>
      <c r="C211" s="19"/>
      <c r="D211" s="19"/>
      <c r="E211" s="19"/>
      <c r="F211" s="19">
        <v>18089.5</v>
      </c>
      <c r="G211" s="19"/>
      <c r="H211" s="19"/>
      <c r="I211" s="19"/>
      <c r="J211" s="19"/>
      <c r="K211" s="19"/>
      <c r="L211" s="19"/>
      <c r="M211" s="19">
        <v>18089.5</v>
      </c>
    </row>
    <row r="212" spans="1:13" s="20" customFormat="1" x14ac:dyDescent="0.35">
      <c r="A212" s="56" t="s">
        <v>4533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>
        <v>502.15</v>
      </c>
      <c r="L212" s="19"/>
      <c r="M212" s="19">
        <v>502.15</v>
      </c>
    </row>
    <row r="213" spans="1:13" s="20" customFormat="1" x14ac:dyDescent="0.35">
      <c r="A213" s="56" t="s">
        <v>1858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302.5</v>
      </c>
      <c r="L213" s="19"/>
      <c r="M213" s="19">
        <v>302.5</v>
      </c>
    </row>
    <row r="214" spans="1:13" s="20" customFormat="1" x14ac:dyDescent="0.35">
      <c r="A214" s="56" t="s">
        <v>5452</v>
      </c>
      <c r="B214" s="19"/>
      <c r="C214" s="19"/>
      <c r="D214" s="19">
        <v>300</v>
      </c>
      <c r="E214" s="19"/>
      <c r="F214" s="19"/>
      <c r="G214" s="19"/>
      <c r="H214" s="19"/>
      <c r="I214" s="19"/>
      <c r="J214" s="19"/>
      <c r="K214" s="19"/>
      <c r="L214" s="19"/>
      <c r="M214" s="19">
        <v>300</v>
      </c>
    </row>
    <row r="215" spans="1:13" s="20" customFormat="1" x14ac:dyDescent="0.35">
      <c r="A215" s="56" t="s">
        <v>99</v>
      </c>
      <c r="B215" s="19"/>
      <c r="C215" s="19"/>
      <c r="D215" s="19"/>
      <c r="E215" s="19"/>
      <c r="F215" s="19"/>
      <c r="G215" s="19"/>
      <c r="H215" s="19">
        <v>2112.0500000000002</v>
      </c>
      <c r="I215" s="19"/>
      <c r="J215" s="19"/>
      <c r="K215" s="19"/>
      <c r="L215" s="19">
        <v>2000</v>
      </c>
      <c r="M215" s="19">
        <v>4112.05</v>
      </c>
    </row>
    <row r="216" spans="1:13" s="20" customFormat="1" x14ac:dyDescent="0.35">
      <c r="A216" s="56" t="s">
        <v>529</v>
      </c>
      <c r="B216" s="19"/>
      <c r="C216" s="19"/>
      <c r="D216" s="19">
        <v>2073.5300000000002</v>
      </c>
      <c r="E216" s="19"/>
      <c r="F216" s="19"/>
      <c r="G216" s="19"/>
      <c r="H216" s="19"/>
      <c r="I216" s="19"/>
      <c r="J216" s="19"/>
      <c r="K216" s="19"/>
      <c r="L216" s="19"/>
      <c r="M216" s="19">
        <v>2073.5300000000002</v>
      </c>
    </row>
    <row r="217" spans="1:13" s="20" customFormat="1" x14ac:dyDescent="0.35">
      <c r="A217" s="56" t="s">
        <v>3833</v>
      </c>
      <c r="B217" s="19"/>
      <c r="C217" s="19"/>
      <c r="D217" s="19"/>
      <c r="E217" s="19"/>
      <c r="F217" s="19"/>
      <c r="G217" s="19"/>
      <c r="H217" s="19"/>
      <c r="I217" s="19"/>
      <c r="J217" s="19">
        <v>2383.6999999999998</v>
      </c>
      <c r="K217" s="19"/>
      <c r="L217" s="19"/>
      <c r="M217" s="19">
        <v>2383.6999999999998</v>
      </c>
    </row>
    <row r="218" spans="1:13" s="20" customFormat="1" x14ac:dyDescent="0.35">
      <c r="A218" s="56" t="s">
        <v>3557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>
        <v>10200</v>
      </c>
      <c r="L218" s="19"/>
      <c r="M218" s="19">
        <v>10200</v>
      </c>
    </row>
    <row r="219" spans="1:13" s="20" customFormat="1" x14ac:dyDescent="0.35">
      <c r="A219" s="56" t="s">
        <v>38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1781.5</v>
      </c>
      <c r="L219" s="19"/>
      <c r="M219" s="19">
        <v>1781.5</v>
      </c>
    </row>
    <row r="220" spans="1:13" s="20" customFormat="1" x14ac:dyDescent="0.35">
      <c r="A220" s="56" t="s">
        <v>1893</v>
      </c>
      <c r="B220" s="19"/>
      <c r="C220" s="19"/>
      <c r="D220" s="19">
        <v>2420</v>
      </c>
      <c r="E220" s="19"/>
      <c r="F220" s="19"/>
      <c r="G220" s="19"/>
      <c r="H220" s="19"/>
      <c r="I220" s="19"/>
      <c r="J220" s="19"/>
      <c r="K220" s="19"/>
      <c r="L220" s="19"/>
      <c r="M220" s="19">
        <v>2420</v>
      </c>
    </row>
    <row r="221" spans="1:13" s="20" customFormat="1" x14ac:dyDescent="0.35">
      <c r="A221" s="56" t="s">
        <v>1895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3775.2</v>
      </c>
      <c r="M221" s="19">
        <v>3775.2</v>
      </c>
    </row>
    <row r="222" spans="1:13" s="20" customFormat="1" x14ac:dyDescent="0.35">
      <c r="A222" s="56" t="s">
        <v>1903</v>
      </c>
      <c r="B222" s="19"/>
      <c r="C222" s="19"/>
      <c r="D222" s="19"/>
      <c r="E222" s="19"/>
      <c r="F222" s="19"/>
      <c r="G222" s="19">
        <v>15000</v>
      </c>
      <c r="H222" s="19"/>
      <c r="I222" s="19"/>
      <c r="J222" s="19"/>
      <c r="K222" s="19">
        <v>9000</v>
      </c>
      <c r="L222" s="19"/>
      <c r="M222" s="19">
        <v>24000</v>
      </c>
    </row>
    <row r="223" spans="1:13" s="20" customFormat="1" x14ac:dyDescent="0.35">
      <c r="A223" s="56" t="s">
        <v>3602</v>
      </c>
      <c r="B223" s="19"/>
      <c r="C223" s="19"/>
      <c r="D223" s="19"/>
      <c r="E223" s="19"/>
      <c r="F223" s="19"/>
      <c r="G223" s="19"/>
      <c r="H223" s="19"/>
      <c r="I223" s="19"/>
      <c r="J223" s="19">
        <v>7209.58</v>
      </c>
      <c r="K223" s="19"/>
      <c r="L223" s="19"/>
      <c r="M223" s="19">
        <v>7209.58</v>
      </c>
    </row>
    <row r="224" spans="1:13" s="20" customFormat="1" x14ac:dyDescent="0.35">
      <c r="A224" s="56" t="s">
        <v>517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8000</v>
      </c>
      <c r="L224" s="19"/>
      <c r="M224" s="19">
        <v>8000</v>
      </c>
    </row>
    <row r="225" spans="1:13" s="20" customFormat="1" x14ac:dyDescent="0.35">
      <c r="A225" s="56" t="s">
        <v>4473</v>
      </c>
      <c r="B225" s="19"/>
      <c r="C225" s="19"/>
      <c r="D225" s="19"/>
      <c r="E225" s="19"/>
      <c r="F225" s="19"/>
      <c r="G225" s="19">
        <v>198</v>
      </c>
      <c r="H225" s="19"/>
      <c r="I225" s="19"/>
      <c r="J225" s="19"/>
      <c r="K225" s="19"/>
      <c r="L225" s="19"/>
      <c r="M225" s="19">
        <v>198</v>
      </c>
    </row>
    <row r="226" spans="1:13" s="20" customFormat="1" x14ac:dyDescent="0.35">
      <c r="A226" s="56" t="s">
        <v>318</v>
      </c>
      <c r="B226" s="19"/>
      <c r="C226" s="19"/>
      <c r="D226" s="19"/>
      <c r="E226" s="19">
        <v>3725.1499999999996</v>
      </c>
      <c r="F226" s="19"/>
      <c r="G226" s="19"/>
      <c r="H226" s="19"/>
      <c r="I226" s="19"/>
      <c r="J226" s="19"/>
      <c r="K226" s="19"/>
      <c r="L226" s="19"/>
      <c r="M226" s="19">
        <v>3725.1499999999996</v>
      </c>
    </row>
    <row r="227" spans="1:13" s="20" customFormat="1" ht="21" x14ac:dyDescent="0.35">
      <c r="A227" s="56" t="s">
        <v>514</v>
      </c>
      <c r="B227" s="19"/>
      <c r="C227" s="19"/>
      <c r="D227" s="19"/>
      <c r="E227" s="19">
        <v>17082.25</v>
      </c>
      <c r="F227" s="19"/>
      <c r="G227" s="19"/>
      <c r="H227" s="19"/>
      <c r="I227" s="19"/>
      <c r="J227" s="19">
        <v>1936</v>
      </c>
      <c r="K227" s="19"/>
      <c r="L227" s="19"/>
      <c r="M227" s="19">
        <v>19018.25</v>
      </c>
    </row>
    <row r="228" spans="1:13" s="20" customFormat="1" x14ac:dyDescent="0.35">
      <c r="A228" s="56" t="s">
        <v>5462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150</v>
      </c>
      <c r="L228" s="19"/>
      <c r="M228" s="19">
        <v>150</v>
      </c>
    </row>
    <row r="229" spans="1:13" s="20" customFormat="1" x14ac:dyDescent="0.35">
      <c r="A229" s="56" t="s">
        <v>6119</v>
      </c>
      <c r="B229" s="19"/>
      <c r="C229" s="19"/>
      <c r="D229" s="19"/>
      <c r="E229" s="19"/>
      <c r="F229" s="19"/>
      <c r="G229" s="19">
        <v>3000</v>
      </c>
      <c r="H229" s="19"/>
      <c r="I229" s="19"/>
      <c r="J229" s="19"/>
      <c r="K229" s="19"/>
      <c r="L229" s="19"/>
      <c r="M229" s="19">
        <v>3000</v>
      </c>
    </row>
    <row r="230" spans="1:13" s="20" customFormat="1" x14ac:dyDescent="0.35">
      <c r="A230" s="58" t="s">
        <v>2362</v>
      </c>
      <c r="B230" s="19"/>
      <c r="C230" s="19"/>
      <c r="D230" s="19">
        <v>968</v>
      </c>
      <c r="E230" s="19"/>
      <c r="F230" s="19"/>
      <c r="G230" s="19"/>
      <c r="H230" s="19"/>
      <c r="I230" s="19"/>
      <c r="J230" s="19"/>
      <c r="K230" s="19"/>
      <c r="L230" s="19"/>
      <c r="M230" s="19">
        <v>968</v>
      </c>
    </row>
    <row r="231" spans="1:13" s="20" customFormat="1" x14ac:dyDescent="0.35">
      <c r="A231" s="57" t="s">
        <v>44</v>
      </c>
      <c r="B231" s="19"/>
      <c r="C231" s="19"/>
      <c r="D231" s="19"/>
      <c r="E231" s="19"/>
      <c r="F231" s="19"/>
      <c r="G231" s="19">
        <v>750</v>
      </c>
      <c r="H231" s="19"/>
      <c r="I231" s="19"/>
      <c r="J231" s="19"/>
      <c r="K231" s="19"/>
      <c r="L231" s="19"/>
      <c r="M231" s="19">
        <v>750</v>
      </c>
    </row>
    <row r="232" spans="1:13" s="20" customFormat="1" x14ac:dyDescent="0.35">
      <c r="A232" s="56" t="s">
        <v>5465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>
        <v>247.5</v>
      </c>
      <c r="L232" s="19"/>
      <c r="M232" s="19">
        <v>247.5</v>
      </c>
    </row>
    <row r="233" spans="1:13" s="20" customFormat="1" x14ac:dyDescent="0.35">
      <c r="A233" s="56" t="s">
        <v>3838</v>
      </c>
      <c r="B233" s="19"/>
      <c r="C233" s="19"/>
      <c r="D233" s="19"/>
      <c r="E233" s="19"/>
      <c r="F233" s="19"/>
      <c r="G233" s="19"/>
      <c r="H233" s="19"/>
      <c r="I233" s="19"/>
      <c r="J233" s="19">
        <v>2259.6799999999998</v>
      </c>
      <c r="K233" s="19"/>
      <c r="L233" s="19"/>
      <c r="M233" s="19">
        <v>2259.6799999999998</v>
      </c>
    </row>
    <row r="234" spans="1:13" s="20" customFormat="1" x14ac:dyDescent="0.35">
      <c r="A234" s="56" t="s">
        <v>42</v>
      </c>
      <c r="B234" s="19"/>
      <c r="C234" s="19"/>
      <c r="D234" s="19"/>
      <c r="E234" s="19"/>
      <c r="F234" s="19"/>
      <c r="G234" s="19"/>
      <c r="H234" s="19">
        <v>6413</v>
      </c>
      <c r="I234" s="19"/>
      <c r="J234" s="19"/>
      <c r="K234" s="19"/>
      <c r="L234" s="19"/>
      <c r="M234" s="19">
        <v>6413</v>
      </c>
    </row>
    <row r="235" spans="1:13" s="20" customFormat="1" x14ac:dyDescent="0.35">
      <c r="A235" s="56" t="s">
        <v>2124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>
        <v>137.5</v>
      </c>
      <c r="M235" s="19">
        <v>137.5</v>
      </c>
    </row>
    <row r="236" spans="1:13" s="20" customFormat="1" x14ac:dyDescent="0.35">
      <c r="A236" s="56" t="s">
        <v>754</v>
      </c>
      <c r="B236" s="19"/>
      <c r="C236" s="19"/>
      <c r="D236" s="19"/>
      <c r="E236" s="19"/>
      <c r="F236" s="19"/>
      <c r="G236" s="19"/>
      <c r="H236" s="19">
        <v>7260</v>
      </c>
      <c r="I236" s="19"/>
      <c r="J236" s="19"/>
      <c r="K236" s="19"/>
      <c r="L236" s="19"/>
      <c r="M236" s="19">
        <v>7260</v>
      </c>
    </row>
    <row r="237" spans="1:13" s="20" customFormat="1" x14ac:dyDescent="0.35">
      <c r="A237" s="56" t="s">
        <v>2632</v>
      </c>
      <c r="B237" s="19"/>
      <c r="C237" s="19"/>
      <c r="D237" s="19"/>
      <c r="E237" s="19"/>
      <c r="F237" s="19">
        <v>2000</v>
      </c>
      <c r="G237" s="19"/>
      <c r="H237" s="19"/>
      <c r="I237" s="19"/>
      <c r="J237" s="19"/>
      <c r="K237" s="19"/>
      <c r="L237" s="19">
        <v>1512.5</v>
      </c>
      <c r="M237" s="19">
        <v>3512.5</v>
      </c>
    </row>
    <row r="238" spans="1:13" s="20" customFormat="1" x14ac:dyDescent="0.35">
      <c r="A238" s="56" t="s">
        <v>601</v>
      </c>
      <c r="B238" s="19"/>
      <c r="C238" s="19"/>
      <c r="D238" s="19"/>
      <c r="E238" s="19"/>
      <c r="F238" s="19"/>
      <c r="G238" s="19">
        <v>18150</v>
      </c>
      <c r="H238" s="19"/>
      <c r="I238" s="19"/>
      <c r="J238" s="19"/>
      <c r="K238" s="19"/>
      <c r="L238" s="19"/>
      <c r="M238" s="19">
        <v>18150</v>
      </c>
    </row>
    <row r="239" spans="1:13" s="20" customFormat="1" x14ac:dyDescent="0.35">
      <c r="A239" s="56" t="s">
        <v>3201</v>
      </c>
      <c r="B239" s="19"/>
      <c r="C239" s="19"/>
      <c r="D239" s="19"/>
      <c r="E239" s="19"/>
      <c r="F239" s="19">
        <v>12450.9</v>
      </c>
      <c r="G239" s="19"/>
      <c r="H239" s="19"/>
      <c r="I239" s="19"/>
      <c r="J239" s="19"/>
      <c r="K239" s="19"/>
      <c r="L239" s="19"/>
      <c r="M239" s="19">
        <v>12450.9</v>
      </c>
    </row>
    <row r="240" spans="1:13" s="20" customFormat="1" x14ac:dyDescent="0.35">
      <c r="A240" s="56" t="s">
        <v>4033</v>
      </c>
      <c r="B240" s="19"/>
      <c r="C240" s="19"/>
      <c r="D240" s="19"/>
      <c r="E240" s="19"/>
      <c r="F240" s="19"/>
      <c r="G240" s="19">
        <v>239.58</v>
      </c>
      <c r="H240" s="19"/>
      <c r="I240" s="19"/>
      <c r="J240" s="19"/>
      <c r="K240" s="19"/>
      <c r="L240" s="19"/>
      <c r="M240" s="19">
        <v>239.58</v>
      </c>
    </row>
    <row r="241" spans="1:13" s="20" customFormat="1" x14ac:dyDescent="0.35">
      <c r="A241" s="56" t="s">
        <v>4335</v>
      </c>
      <c r="B241" s="19"/>
      <c r="C241" s="19"/>
      <c r="D241" s="19"/>
      <c r="E241" s="19"/>
      <c r="F241" s="19"/>
      <c r="G241" s="19">
        <v>855.47</v>
      </c>
      <c r="H241" s="19"/>
      <c r="I241" s="19"/>
      <c r="J241" s="19"/>
      <c r="K241" s="19"/>
      <c r="L241" s="19"/>
      <c r="M241" s="19">
        <v>855.47</v>
      </c>
    </row>
    <row r="242" spans="1:13" s="20" customFormat="1" x14ac:dyDescent="0.35">
      <c r="A242" s="56" t="s">
        <v>3804</v>
      </c>
      <c r="B242" s="19"/>
      <c r="C242" s="19"/>
      <c r="D242" s="19"/>
      <c r="E242" s="19"/>
      <c r="F242" s="19"/>
      <c r="G242" s="19">
        <v>2864.12</v>
      </c>
      <c r="H242" s="19"/>
      <c r="I242" s="19"/>
      <c r="J242" s="19"/>
      <c r="K242" s="19"/>
      <c r="L242" s="19"/>
      <c r="M242" s="19">
        <v>2864.12</v>
      </c>
    </row>
    <row r="243" spans="1:13" s="20" customFormat="1" x14ac:dyDescent="0.35">
      <c r="A243" s="21" t="s">
        <v>4278</v>
      </c>
      <c r="B243" s="19"/>
      <c r="C243" s="19"/>
      <c r="D243" s="19">
        <v>400</v>
      </c>
      <c r="E243" s="19"/>
      <c r="F243" s="19"/>
      <c r="G243" s="19"/>
      <c r="H243" s="19"/>
      <c r="I243" s="19"/>
      <c r="J243" s="19"/>
      <c r="K243" s="19"/>
      <c r="L243" s="19"/>
      <c r="M243" s="19">
        <v>400</v>
      </c>
    </row>
    <row r="244" spans="1:13" s="20" customFormat="1" x14ac:dyDescent="0.35">
      <c r="A244" s="56" t="s">
        <v>5585</v>
      </c>
      <c r="B244" s="19"/>
      <c r="C244" s="19"/>
      <c r="D244" s="19"/>
      <c r="E244" s="19"/>
      <c r="F244" s="19"/>
      <c r="G244" s="19">
        <v>459.8</v>
      </c>
      <c r="H244" s="19"/>
      <c r="I244" s="19"/>
      <c r="J244" s="19"/>
      <c r="K244" s="19"/>
      <c r="L244" s="19"/>
      <c r="M244" s="19">
        <v>459.8</v>
      </c>
    </row>
    <row r="245" spans="1:13" s="20" customFormat="1" x14ac:dyDescent="0.35">
      <c r="A245" s="56" t="s">
        <v>101</v>
      </c>
      <c r="B245" s="19">
        <v>1584</v>
      </c>
      <c r="C245" s="19"/>
      <c r="D245" s="19">
        <v>3804.5</v>
      </c>
      <c r="E245" s="19">
        <v>334.4</v>
      </c>
      <c r="F245" s="19"/>
      <c r="G245" s="19">
        <v>8260</v>
      </c>
      <c r="H245" s="19">
        <v>484</v>
      </c>
      <c r="I245" s="19"/>
      <c r="J245" s="19"/>
      <c r="K245" s="19">
        <v>907.5</v>
      </c>
      <c r="L245" s="19"/>
      <c r="M245" s="19">
        <v>15374.4</v>
      </c>
    </row>
    <row r="246" spans="1:13" s="20" customFormat="1" x14ac:dyDescent="0.35">
      <c r="A246" s="56" t="s">
        <v>2818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7001.75</v>
      </c>
      <c r="M246" s="19">
        <v>7001.75</v>
      </c>
    </row>
    <row r="247" spans="1:13" s="20" customFormat="1" x14ac:dyDescent="0.35">
      <c r="A247" s="56" t="s">
        <v>2310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7974.1</v>
      </c>
      <c r="L247" s="19"/>
      <c r="M247" s="19">
        <v>7974.1</v>
      </c>
    </row>
    <row r="248" spans="1:13" s="20" customFormat="1" x14ac:dyDescent="0.35">
      <c r="A248" s="21" t="s">
        <v>61</v>
      </c>
      <c r="B248" s="19"/>
      <c r="C248" s="19"/>
      <c r="D248" s="19"/>
      <c r="E248" s="19"/>
      <c r="F248" s="19"/>
      <c r="G248" s="19">
        <v>17711.93</v>
      </c>
      <c r="H248" s="19"/>
      <c r="I248" s="19"/>
      <c r="J248" s="19"/>
      <c r="K248" s="19"/>
      <c r="L248" s="19"/>
      <c r="M248" s="19">
        <v>17711.93</v>
      </c>
    </row>
    <row r="249" spans="1:13" s="20" customFormat="1" x14ac:dyDescent="0.35">
      <c r="A249" s="56" t="s">
        <v>2498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>
        <v>7591</v>
      </c>
      <c r="M249" s="19">
        <v>7591</v>
      </c>
    </row>
    <row r="250" spans="1:13" s="20" customFormat="1" x14ac:dyDescent="0.35">
      <c r="A250" s="56" t="s">
        <v>3061</v>
      </c>
      <c r="B250" s="19"/>
      <c r="C250" s="19"/>
      <c r="D250" s="19"/>
      <c r="E250" s="19">
        <v>7247.9</v>
      </c>
      <c r="F250" s="19"/>
      <c r="G250" s="19"/>
      <c r="H250" s="19"/>
      <c r="I250" s="19"/>
      <c r="J250" s="19"/>
      <c r="K250" s="19"/>
      <c r="L250" s="19"/>
      <c r="M250" s="19">
        <v>7247.9</v>
      </c>
    </row>
    <row r="251" spans="1:13" s="20" customFormat="1" x14ac:dyDescent="0.35">
      <c r="A251" s="56" t="s">
        <v>5493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>
        <v>242</v>
      </c>
      <c r="L251" s="19"/>
      <c r="M251" s="19">
        <v>242</v>
      </c>
    </row>
    <row r="252" spans="1:13" s="20" customFormat="1" x14ac:dyDescent="0.35">
      <c r="A252" s="21" t="s">
        <v>95</v>
      </c>
      <c r="B252" s="19"/>
      <c r="C252" s="19">
        <v>1950.91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>
        <v>1950.91</v>
      </c>
    </row>
    <row r="253" spans="1:13" s="20" customFormat="1" x14ac:dyDescent="0.35">
      <c r="A253" s="56" t="s">
        <v>2634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1512.5</v>
      </c>
      <c r="M253" s="19">
        <v>1512.5</v>
      </c>
    </row>
    <row r="254" spans="1:13" s="20" customFormat="1" x14ac:dyDescent="0.35">
      <c r="A254" s="56" t="s">
        <v>1992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9571.57</v>
      </c>
      <c r="M254" s="19">
        <v>9571.57</v>
      </c>
    </row>
    <row r="255" spans="1:13" s="20" customFormat="1" x14ac:dyDescent="0.35">
      <c r="A255" s="56" t="s">
        <v>2791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6678</v>
      </c>
      <c r="M255" s="19">
        <v>6678</v>
      </c>
    </row>
    <row r="256" spans="1:13" s="20" customFormat="1" x14ac:dyDescent="0.35">
      <c r="A256" s="56" t="s">
        <v>635</v>
      </c>
      <c r="B256" s="19"/>
      <c r="C256" s="19"/>
      <c r="D256" s="19"/>
      <c r="E256" s="19"/>
      <c r="F256" s="19"/>
      <c r="G256" s="19"/>
      <c r="H256" s="19">
        <v>1000</v>
      </c>
      <c r="I256" s="19"/>
      <c r="J256" s="19"/>
      <c r="K256" s="19"/>
      <c r="L256" s="19"/>
      <c r="M256" s="19">
        <v>1000</v>
      </c>
    </row>
    <row r="257" spans="1:13" s="20" customFormat="1" x14ac:dyDescent="0.35">
      <c r="A257" s="56" t="s">
        <v>244</v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>
        <v>30158.11</v>
      </c>
      <c r="M257" s="19">
        <v>30158.11</v>
      </c>
    </row>
    <row r="258" spans="1:13" s="20" customFormat="1" x14ac:dyDescent="0.35">
      <c r="A258" s="56" t="s">
        <v>2722</v>
      </c>
      <c r="B258" s="19"/>
      <c r="C258" s="19">
        <v>2211.84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2211.84</v>
      </c>
    </row>
    <row r="259" spans="1:13" s="20" customFormat="1" x14ac:dyDescent="0.35">
      <c r="A259" s="56" t="s">
        <v>3265</v>
      </c>
      <c r="B259" s="19"/>
      <c r="C259" s="19"/>
      <c r="D259" s="19"/>
      <c r="E259" s="19"/>
      <c r="F259" s="19"/>
      <c r="G259" s="19"/>
      <c r="H259" s="19">
        <v>78</v>
      </c>
      <c r="I259" s="19"/>
      <c r="J259" s="19"/>
      <c r="K259" s="19"/>
      <c r="L259" s="19"/>
      <c r="M259" s="19">
        <v>78</v>
      </c>
    </row>
    <row r="260" spans="1:13" s="20" customFormat="1" x14ac:dyDescent="0.35">
      <c r="A260" s="56" t="s">
        <v>2716</v>
      </c>
      <c r="B260" s="19"/>
      <c r="C260" s="19"/>
      <c r="D260" s="19">
        <v>2198.17</v>
      </c>
      <c r="E260" s="19"/>
      <c r="F260" s="19"/>
      <c r="G260" s="19"/>
      <c r="H260" s="19"/>
      <c r="I260" s="19"/>
      <c r="J260" s="19"/>
      <c r="K260" s="19"/>
      <c r="L260" s="19"/>
      <c r="M260" s="19">
        <v>2198.17</v>
      </c>
    </row>
    <row r="261" spans="1:13" s="20" customFormat="1" x14ac:dyDescent="0.35">
      <c r="A261" s="56" t="s">
        <v>2267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275</v>
      </c>
      <c r="M261" s="19">
        <v>275</v>
      </c>
    </row>
    <row r="262" spans="1:13" s="20" customFormat="1" x14ac:dyDescent="0.35">
      <c r="A262" s="21" t="s">
        <v>1945</v>
      </c>
      <c r="B262" s="19"/>
      <c r="C262" s="19"/>
      <c r="D262" s="19"/>
      <c r="E262" s="19"/>
      <c r="F262" s="19"/>
      <c r="G262" s="19"/>
      <c r="H262" s="19">
        <v>700</v>
      </c>
      <c r="I262" s="19"/>
      <c r="J262" s="19"/>
      <c r="K262" s="19"/>
      <c r="L262" s="19">
        <v>162.78</v>
      </c>
      <c r="M262" s="19">
        <v>862.78</v>
      </c>
    </row>
    <row r="263" spans="1:13" s="20" customFormat="1" x14ac:dyDescent="0.35">
      <c r="A263" s="56" t="s">
        <v>47</v>
      </c>
      <c r="B263" s="19"/>
      <c r="C263" s="19"/>
      <c r="D263" s="19"/>
      <c r="E263" s="19"/>
      <c r="F263" s="19"/>
      <c r="G263" s="19"/>
      <c r="H263" s="19"/>
      <c r="I263" s="19"/>
      <c r="J263" s="19">
        <v>245.08</v>
      </c>
      <c r="K263" s="19"/>
      <c r="L263" s="19"/>
      <c r="M263" s="19">
        <v>245.08</v>
      </c>
    </row>
    <row r="264" spans="1:13" s="20" customFormat="1" x14ac:dyDescent="0.35">
      <c r="A264" s="56" t="s">
        <v>6128</v>
      </c>
      <c r="B264" s="19"/>
      <c r="C264" s="19"/>
      <c r="D264" s="19"/>
      <c r="E264" s="19"/>
      <c r="F264" s="19">
        <v>608.39</v>
      </c>
      <c r="G264" s="19"/>
      <c r="H264" s="19"/>
      <c r="I264" s="19"/>
      <c r="J264" s="19"/>
      <c r="K264" s="19"/>
      <c r="L264" s="19"/>
      <c r="M264" s="19">
        <v>608.39</v>
      </c>
    </row>
    <row r="265" spans="1:13" s="20" customFormat="1" x14ac:dyDescent="0.35">
      <c r="A265" s="21" t="s">
        <v>2989</v>
      </c>
      <c r="B265" s="19"/>
      <c r="C265" s="19"/>
      <c r="D265" s="19"/>
      <c r="E265" s="19"/>
      <c r="F265" s="19">
        <v>6050</v>
      </c>
      <c r="G265" s="19"/>
      <c r="H265" s="19"/>
      <c r="I265" s="19"/>
      <c r="J265" s="19"/>
      <c r="K265" s="19"/>
      <c r="L265" s="19"/>
      <c r="M265" s="19">
        <v>6050</v>
      </c>
    </row>
    <row r="266" spans="1:13" s="20" customFormat="1" x14ac:dyDescent="0.35">
      <c r="A266" s="56" t="s">
        <v>4810</v>
      </c>
      <c r="B266" s="19"/>
      <c r="C266" s="19"/>
      <c r="D266" s="19">
        <v>10.94</v>
      </c>
      <c r="E266" s="19"/>
      <c r="F266" s="19"/>
      <c r="G266" s="19">
        <v>379.18</v>
      </c>
      <c r="H266" s="19"/>
      <c r="I266" s="19"/>
      <c r="J266" s="19"/>
      <c r="K266" s="19">
        <v>946.05</v>
      </c>
      <c r="L266" s="19"/>
      <c r="M266" s="19">
        <v>1336.17</v>
      </c>
    </row>
    <row r="267" spans="1:13" s="20" customFormat="1" x14ac:dyDescent="0.35">
      <c r="A267" s="56" t="s">
        <v>164</v>
      </c>
      <c r="B267" s="19"/>
      <c r="C267" s="19"/>
      <c r="D267" s="19"/>
      <c r="E267" s="19"/>
      <c r="F267" s="19"/>
      <c r="G267" s="19">
        <v>3504.16</v>
      </c>
      <c r="H267" s="19"/>
      <c r="I267" s="19"/>
      <c r="J267" s="19"/>
      <c r="K267" s="19"/>
      <c r="L267" s="19"/>
      <c r="M267" s="19">
        <v>3504.16</v>
      </c>
    </row>
    <row r="268" spans="1:13" s="20" customFormat="1" x14ac:dyDescent="0.35">
      <c r="A268" s="56" t="s">
        <v>3612</v>
      </c>
      <c r="B268" s="19">
        <v>7019.94</v>
      </c>
      <c r="C268" s="19"/>
      <c r="D268" s="19"/>
      <c r="E268" s="19"/>
      <c r="F268" s="19"/>
      <c r="G268" s="19"/>
      <c r="H268" s="19"/>
      <c r="I268" s="19"/>
      <c r="J268" s="19">
        <v>5515.66</v>
      </c>
      <c r="K268" s="19"/>
      <c r="L268" s="19"/>
      <c r="M268" s="19">
        <v>12535.599999999999</v>
      </c>
    </row>
    <row r="269" spans="1:13" s="20" customFormat="1" x14ac:dyDescent="0.35">
      <c r="A269" s="56" t="s">
        <v>1908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>
        <v>1568.16</v>
      </c>
      <c r="L269" s="19"/>
      <c r="M269" s="19">
        <v>1568.16</v>
      </c>
    </row>
    <row r="270" spans="1:13" s="20" customFormat="1" x14ac:dyDescent="0.35">
      <c r="A270" s="56" t="s">
        <v>4173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586.85</v>
      </c>
      <c r="L270" s="19"/>
      <c r="M270" s="19">
        <v>586.85</v>
      </c>
    </row>
    <row r="271" spans="1:13" s="20" customFormat="1" x14ac:dyDescent="0.35">
      <c r="A271" s="56" t="s">
        <v>5534</v>
      </c>
      <c r="B271" s="19"/>
      <c r="C271" s="19"/>
      <c r="D271" s="19"/>
      <c r="E271" s="19"/>
      <c r="F271" s="19"/>
      <c r="G271" s="19">
        <v>922.02</v>
      </c>
      <c r="H271" s="19"/>
      <c r="I271" s="19"/>
      <c r="J271" s="19"/>
      <c r="K271" s="19"/>
      <c r="L271" s="19"/>
      <c r="M271" s="19">
        <v>922.02</v>
      </c>
    </row>
    <row r="272" spans="1:13" s="20" customFormat="1" x14ac:dyDescent="0.35">
      <c r="A272" s="56" t="s">
        <v>552</v>
      </c>
      <c r="B272" s="19"/>
      <c r="C272" s="19"/>
      <c r="D272" s="19"/>
      <c r="E272" s="19"/>
      <c r="F272" s="19"/>
      <c r="G272" s="19"/>
      <c r="H272" s="19">
        <v>8336.9</v>
      </c>
      <c r="I272" s="19"/>
      <c r="J272" s="19"/>
      <c r="K272" s="19"/>
      <c r="L272" s="19"/>
      <c r="M272" s="19">
        <v>8336.9</v>
      </c>
    </row>
    <row r="273" spans="1:13" s="20" customFormat="1" x14ac:dyDescent="0.35">
      <c r="A273" s="56" t="s">
        <v>161</v>
      </c>
      <c r="B273" s="19"/>
      <c r="C273" s="19"/>
      <c r="D273" s="19"/>
      <c r="E273" s="19"/>
      <c r="F273" s="19"/>
      <c r="G273" s="19">
        <v>1113.2</v>
      </c>
      <c r="H273" s="19"/>
      <c r="I273" s="19"/>
      <c r="J273" s="19"/>
      <c r="K273" s="19"/>
      <c r="L273" s="19"/>
      <c r="M273" s="19">
        <v>1113.2</v>
      </c>
    </row>
    <row r="274" spans="1:13" s="20" customFormat="1" x14ac:dyDescent="0.35">
      <c r="A274" s="21" t="s">
        <v>121</v>
      </c>
      <c r="B274" s="19"/>
      <c r="C274" s="19">
        <v>19243.989999999998</v>
      </c>
      <c r="D274" s="19">
        <v>24420.720000000001</v>
      </c>
      <c r="E274" s="19"/>
      <c r="F274" s="19">
        <v>17997.379999999997</v>
      </c>
      <c r="G274" s="19">
        <v>22382.23</v>
      </c>
      <c r="H274" s="19">
        <v>3485.77</v>
      </c>
      <c r="I274" s="19">
        <v>44810.98</v>
      </c>
      <c r="J274" s="19"/>
      <c r="K274" s="19"/>
      <c r="L274" s="19">
        <v>7018</v>
      </c>
      <c r="M274" s="19">
        <v>139359.07</v>
      </c>
    </row>
    <row r="275" spans="1:13" s="20" customFormat="1" x14ac:dyDescent="0.35">
      <c r="A275" s="56" t="s">
        <v>5548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8788.99</v>
      </c>
      <c r="M275" s="19">
        <v>8788.99</v>
      </c>
    </row>
    <row r="276" spans="1:13" s="20" customFormat="1" x14ac:dyDescent="0.35">
      <c r="A276" s="56" t="s">
        <v>120</v>
      </c>
      <c r="B276" s="19"/>
      <c r="C276" s="19"/>
      <c r="D276" s="19">
        <v>101.62</v>
      </c>
      <c r="E276" s="19"/>
      <c r="F276" s="19">
        <v>1204.73</v>
      </c>
      <c r="G276" s="19">
        <v>4799.62</v>
      </c>
      <c r="H276" s="19">
        <v>639.51</v>
      </c>
      <c r="I276" s="19">
        <v>6605.8600000000006</v>
      </c>
      <c r="J276" s="19"/>
      <c r="K276" s="19">
        <v>6126.55</v>
      </c>
      <c r="L276" s="19">
        <v>246.84</v>
      </c>
      <c r="M276" s="19">
        <v>19724.73</v>
      </c>
    </row>
    <row r="277" spans="1:13" s="20" customFormat="1" x14ac:dyDescent="0.35">
      <c r="A277" s="21" t="s">
        <v>3057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>
        <v>7226.12</v>
      </c>
      <c r="M277" s="19">
        <v>7226.12</v>
      </c>
    </row>
    <row r="278" spans="1:13" s="20" customFormat="1" x14ac:dyDescent="0.35">
      <c r="A278" s="56" t="s">
        <v>5557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>
        <v>857.29</v>
      </c>
      <c r="M278" s="19">
        <v>857.29</v>
      </c>
    </row>
    <row r="279" spans="1:13" s="20" customFormat="1" x14ac:dyDescent="0.35">
      <c r="A279" s="21" t="s">
        <v>286</v>
      </c>
      <c r="B279" s="19"/>
      <c r="C279" s="19"/>
      <c r="D279" s="19">
        <v>532.4</v>
      </c>
      <c r="E279" s="19"/>
      <c r="F279" s="19"/>
      <c r="G279" s="19"/>
      <c r="H279" s="19"/>
      <c r="I279" s="19"/>
      <c r="J279" s="19"/>
      <c r="K279" s="19"/>
      <c r="L279" s="19"/>
      <c r="M279" s="19">
        <v>532.4</v>
      </c>
    </row>
    <row r="280" spans="1:13" s="20" customFormat="1" x14ac:dyDescent="0.35">
      <c r="A280" s="56" t="s">
        <v>3773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3327.5</v>
      </c>
      <c r="M280" s="19">
        <v>3327.5</v>
      </c>
    </row>
    <row r="281" spans="1:13" s="20" customFormat="1" x14ac:dyDescent="0.35">
      <c r="A281" s="56" t="s">
        <v>2138</v>
      </c>
      <c r="B281" s="19"/>
      <c r="C281" s="19">
        <v>145.19999999999999</v>
      </c>
      <c r="D281" s="19"/>
      <c r="E281" s="19"/>
      <c r="F281" s="19"/>
      <c r="G281" s="19"/>
      <c r="H281" s="19"/>
      <c r="I281" s="19"/>
      <c r="J281" s="19"/>
      <c r="K281" s="19"/>
      <c r="L281" s="19"/>
      <c r="M281" s="19">
        <v>145.19999999999999</v>
      </c>
    </row>
    <row r="282" spans="1:13" s="20" customFormat="1" x14ac:dyDescent="0.35">
      <c r="A282" s="56" t="s">
        <v>3725</v>
      </c>
      <c r="B282" s="19"/>
      <c r="C282" s="19"/>
      <c r="D282" s="19"/>
      <c r="E282" s="19"/>
      <c r="F282" s="19"/>
      <c r="G282" s="19"/>
      <c r="H282" s="19"/>
      <c r="I282" s="19"/>
      <c r="J282" s="19">
        <v>3985</v>
      </c>
      <c r="K282" s="19"/>
      <c r="L282" s="19"/>
      <c r="M282" s="19">
        <v>3985</v>
      </c>
    </row>
    <row r="283" spans="1:13" s="20" customFormat="1" x14ac:dyDescent="0.35">
      <c r="A283" s="56" t="s">
        <v>3607</v>
      </c>
      <c r="B283" s="19"/>
      <c r="C283" s="19"/>
      <c r="D283" s="19"/>
      <c r="E283" s="19"/>
      <c r="F283" s="19"/>
      <c r="G283" s="19"/>
      <c r="H283" s="19">
        <v>7139</v>
      </c>
      <c r="I283" s="19"/>
      <c r="J283" s="19"/>
      <c r="K283" s="19"/>
      <c r="L283" s="19"/>
      <c r="M283" s="19">
        <v>7139</v>
      </c>
    </row>
    <row r="284" spans="1:13" s="20" customFormat="1" ht="21" x14ac:dyDescent="0.35">
      <c r="A284" s="56" t="s">
        <v>2638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1512.5</v>
      </c>
      <c r="M284" s="19">
        <v>1512.5</v>
      </c>
    </row>
    <row r="285" spans="1:13" s="20" customFormat="1" x14ac:dyDescent="0.35">
      <c r="A285" s="56" t="s">
        <v>3641</v>
      </c>
      <c r="B285" s="19"/>
      <c r="C285" s="19"/>
      <c r="D285" s="19"/>
      <c r="E285" s="19"/>
      <c r="F285" s="19"/>
      <c r="G285" s="19"/>
      <c r="H285" s="19"/>
      <c r="I285" s="19">
        <v>6352.2</v>
      </c>
      <c r="J285" s="19"/>
      <c r="K285" s="19"/>
      <c r="L285" s="19"/>
      <c r="M285" s="19">
        <v>6352.2</v>
      </c>
    </row>
    <row r="286" spans="1:13" s="20" customFormat="1" x14ac:dyDescent="0.35">
      <c r="A286" s="56" t="s">
        <v>3829</v>
      </c>
      <c r="B286" s="19"/>
      <c r="C286" s="19"/>
      <c r="D286" s="19"/>
      <c r="E286" s="19"/>
      <c r="F286" s="19"/>
      <c r="G286" s="19"/>
      <c r="H286" s="19"/>
      <c r="I286" s="19"/>
      <c r="J286" s="19">
        <v>2420</v>
      </c>
      <c r="K286" s="19"/>
      <c r="L286" s="19"/>
      <c r="M286" s="19">
        <v>2420</v>
      </c>
    </row>
    <row r="287" spans="1:13" s="20" customFormat="1" x14ac:dyDescent="0.35">
      <c r="A287" s="56" t="s">
        <v>4166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>
        <v>600</v>
      </c>
      <c r="M287" s="19">
        <v>600</v>
      </c>
    </row>
    <row r="288" spans="1:13" s="20" customFormat="1" x14ac:dyDescent="0.35">
      <c r="A288" s="56" t="s">
        <v>5569</v>
      </c>
      <c r="B288" s="19"/>
      <c r="C288" s="19"/>
      <c r="D288" s="19">
        <v>605</v>
      </c>
      <c r="E288" s="19"/>
      <c r="F288" s="19"/>
      <c r="G288" s="19"/>
      <c r="H288" s="19"/>
      <c r="I288" s="19"/>
      <c r="J288" s="19"/>
      <c r="K288" s="19"/>
      <c r="L288" s="19"/>
      <c r="M288" s="19">
        <v>605</v>
      </c>
    </row>
    <row r="289" spans="1:13" s="20" customFormat="1" x14ac:dyDescent="0.35">
      <c r="A289" s="56" t="s">
        <v>566</v>
      </c>
      <c r="B289" s="19"/>
      <c r="C289" s="19"/>
      <c r="D289" s="19"/>
      <c r="E289" s="19"/>
      <c r="F289" s="19"/>
      <c r="G289" s="19"/>
      <c r="H289" s="19">
        <v>1512.5</v>
      </c>
      <c r="I289" s="19"/>
      <c r="J289" s="19"/>
      <c r="K289" s="19"/>
      <c r="L289" s="19"/>
      <c r="M289" s="19">
        <v>1512.5</v>
      </c>
    </row>
    <row r="290" spans="1:13" s="20" customFormat="1" x14ac:dyDescent="0.35">
      <c r="A290" s="56" t="s">
        <v>179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>
        <v>18150</v>
      </c>
      <c r="M290" s="19">
        <v>18150</v>
      </c>
    </row>
    <row r="291" spans="1:13" s="20" customFormat="1" x14ac:dyDescent="0.35">
      <c r="A291" s="56" t="s">
        <v>3567</v>
      </c>
      <c r="B291" s="19"/>
      <c r="C291" s="19"/>
      <c r="D291" s="19">
        <v>1985.26</v>
      </c>
      <c r="E291" s="19"/>
      <c r="F291" s="19"/>
      <c r="G291" s="19"/>
      <c r="H291" s="19"/>
      <c r="I291" s="19"/>
      <c r="J291" s="19"/>
      <c r="K291" s="19"/>
      <c r="L291" s="19"/>
      <c r="M291" s="19">
        <v>1985.26</v>
      </c>
    </row>
    <row r="292" spans="1:13" s="20" customFormat="1" x14ac:dyDescent="0.35">
      <c r="A292" s="56" t="s">
        <v>66</v>
      </c>
      <c r="B292" s="19"/>
      <c r="C292" s="19"/>
      <c r="D292" s="19">
        <v>7260</v>
      </c>
      <c r="E292" s="19"/>
      <c r="F292" s="19"/>
      <c r="G292" s="19"/>
      <c r="H292" s="19">
        <v>1650</v>
      </c>
      <c r="I292" s="19"/>
      <c r="J292" s="19">
        <v>1978.35</v>
      </c>
      <c r="K292" s="19">
        <v>338.8</v>
      </c>
      <c r="L292" s="19">
        <v>96.8</v>
      </c>
      <c r="M292" s="19">
        <v>11323.949999999999</v>
      </c>
    </row>
    <row r="293" spans="1:13" s="20" customFormat="1" x14ac:dyDescent="0.35">
      <c r="A293" s="56" t="s">
        <v>6151</v>
      </c>
      <c r="B293" s="19"/>
      <c r="C293" s="19"/>
      <c r="D293" s="19"/>
      <c r="E293" s="19"/>
      <c r="F293" s="19">
        <v>2898.5</v>
      </c>
      <c r="G293" s="19"/>
      <c r="H293" s="19"/>
      <c r="I293" s="19"/>
      <c r="J293" s="19"/>
      <c r="K293" s="19"/>
      <c r="L293" s="19"/>
      <c r="M293" s="19">
        <v>2898.5</v>
      </c>
    </row>
    <row r="294" spans="1:13" s="20" customFormat="1" x14ac:dyDescent="0.35">
      <c r="A294" s="56" t="s">
        <v>4966</v>
      </c>
      <c r="B294" s="19"/>
      <c r="C294" s="19">
        <v>0</v>
      </c>
      <c r="D294" s="19"/>
      <c r="E294" s="19"/>
      <c r="F294" s="19"/>
      <c r="G294" s="19"/>
      <c r="H294" s="19"/>
      <c r="I294" s="19"/>
      <c r="J294" s="19"/>
      <c r="K294" s="19"/>
      <c r="L294" s="19"/>
      <c r="M294" s="19">
        <v>0</v>
      </c>
    </row>
    <row r="295" spans="1:13" s="20" customFormat="1" x14ac:dyDescent="0.35">
      <c r="A295" s="56" t="s">
        <v>2607</v>
      </c>
      <c r="B295" s="19"/>
      <c r="C295" s="19"/>
      <c r="D295" s="19"/>
      <c r="E295" s="19"/>
      <c r="F295" s="19"/>
      <c r="G295" s="19"/>
      <c r="H295" s="19">
        <v>1470.49</v>
      </c>
      <c r="I295" s="19"/>
      <c r="J295" s="19"/>
      <c r="K295" s="19"/>
      <c r="L295" s="19"/>
      <c r="M295" s="19">
        <v>1470.49</v>
      </c>
    </row>
    <row r="296" spans="1:13" s="20" customFormat="1" x14ac:dyDescent="0.35">
      <c r="A296" s="21" t="s">
        <v>3836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>
        <v>666.25</v>
      </c>
      <c r="M296" s="19">
        <v>666.25</v>
      </c>
    </row>
    <row r="297" spans="1:13" s="20" customFormat="1" x14ac:dyDescent="0.35">
      <c r="A297" s="56" t="s">
        <v>53</v>
      </c>
      <c r="B297" s="19"/>
      <c r="C297" s="19">
        <v>14925.140000000001</v>
      </c>
      <c r="D297" s="19">
        <v>114.71</v>
      </c>
      <c r="E297" s="19"/>
      <c r="F297" s="19">
        <v>1919.8799999999999</v>
      </c>
      <c r="G297" s="19">
        <v>9622.3700000000008</v>
      </c>
      <c r="H297" s="19">
        <v>5285.8099999999995</v>
      </c>
      <c r="I297" s="19">
        <v>4165.4100000000008</v>
      </c>
      <c r="J297" s="19">
        <v>14926.650000000001</v>
      </c>
      <c r="K297" s="19">
        <v>12974.579999999998</v>
      </c>
      <c r="L297" s="19">
        <v>7779.4100000000008</v>
      </c>
      <c r="M297" s="19">
        <v>71713.960000000006</v>
      </c>
    </row>
    <row r="298" spans="1:13" s="20" customFormat="1" x14ac:dyDescent="0.35">
      <c r="A298" s="56" t="s">
        <v>1939</v>
      </c>
      <c r="B298" s="19"/>
      <c r="C298" s="19"/>
      <c r="D298" s="19"/>
      <c r="E298" s="19">
        <v>0</v>
      </c>
      <c r="F298" s="19"/>
      <c r="G298" s="19"/>
      <c r="H298" s="19"/>
      <c r="I298" s="19"/>
      <c r="J298" s="19"/>
      <c r="K298" s="19"/>
      <c r="L298" s="19"/>
      <c r="M298" s="19">
        <v>0</v>
      </c>
    </row>
    <row r="299" spans="1:13" s="20" customFormat="1" x14ac:dyDescent="0.35">
      <c r="A299" s="56" t="s">
        <v>213</v>
      </c>
      <c r="B299" s="19"/>
      <c r="C299" s="19">
        <v>14482.49</v>
      </c>
      <c r="D299" s="19"/>
      <c r="E299" s="19"/>
      <c r="F299" s="19"/>
      <c r="G299" s="19"/>
      <c r="H299" s="19"/>
      <c r="I299" s="19"/>
      <c r="J299" s="19"/>
      <c r="K299" s="19"/>
      <c r="L299" s="19"/>
      <c r="M299" s="19">
        <v>14482.49</v>
      </c>
    </row>
    <row r="300" spans="1:13" s="20" customFormat="1" x14ac:dyDescent="0.35">
      <c r="A300" s="56" t="s">
        <v>2262</v>
      </c>
      <c r="B300" s="19"/>
      <c r="C300" s="19">
        <v>342.94</v>
      </c>
      <c r="D300" s="19"/>
      <c r="E300" s="19"/>
      <c r="F300" s="19"/>
      <c r="G300" s="19"/>
      <c r="H300" s="19"/>
      <c r="I300" s="19">
        <v>530.84</v>
      </c>
      <c r="J300" s="19"/>
      <c r="K300" s="19">
        <v>6050</v>
      </c>
      <c r="L300" s="19"/>
      <c r="M300" s="19">
        <v>6923.78</v>
      </c>
    </row>
    <row r="301" spans="1:13" s="20" customFormat="1" x14ac:dyDescent="0.35">
      <c r="A301" s="58" t="s">
        <v>104</v>
      </c>
      <c r="B301" s="19"/>
      <c r="C301" s="19"/>
      <c r="D301" s="19"/>
      <c r="E301" s="19"/>
      <c r="F301" s="19"/>
      <c r="G301" s="19">
        <v>17060</v>
      </c>
      <c r="H301" s="19"/>
      <c r="I301" s="19"/>
      <c r="J301" s="19"/>
      <c r="K301" s="19"/>
      <c r="L301" s="19"/>
      <c r="M301" s="19">
        <v>17060</v>
      </c>
    </row>
    <row r="302" spans="1:13" s="20" customFormat="1" x14ac:dyDescent="0.35">
      <c r="A302" s="57" t="s">
        <v>4179</v>
      </c>
      <c r="B302" s="19"/>
      <c r="C302" s="19"/>
      <c r="D302" s="19"/>
      <c r="E302" s="19"/>
      <c r="F302" s="19"/>
      <c r="G302" s="19">
        <v>550</v>
      </c>
      <c r="H302" s="19"/>
      <c r="I302" s="19"/>
      <c r="J302" s="19"/>
      <c r="K302" s="19"/>
      <c r="L302" s="19"/>
      <c r="M302" s="19">
        <v>550</v>
      </c>
    </row>
    <row r="303" spans="1:13" s="20" customFormat="1" x14ac:dyDescent="0.35">
      <c r="A303" s="56" t="s">
        <v>217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435.6</v>
      </c>
      <c r="L303" s="19"/>
      <c r="M303" s="19">
        <v>435.6</v>
      </c>
    </row>
    <row r="304" spans="1:13" s="20" customFormat="1" x14ac:dyDescent="0.35">
      <c r="A304" s="56" t="s">
        <v>3605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7169.25</v>
      </c>
      <c r="M304" s="19">
        <v>7169.25</v>
      </c>
    </row>
    <row r="305" spans="1:13" s="20" customFormat="1" x14ac:dyDescent="0.35">
      <c r="A305" s="56" t="s">
        <v>4123</v>
      </c>
      <c r="B305" s="19"/>
      <c r="C305" s="19"/>
      <c r="D305" s="19"/>
      <c r="E305" s="19"/>
      <c r="F305" s="19"/>
      <c r="G305" s="19">
        <v>720</v>
      </c>
      <c r="H305" s="19"/>
      <c r="I305" s="19"/>
      <c r="J305" s="19"/>
      <c r="K305" s="19"/>
      <c r="L305" s="19"/>
      <c r="M305" s="19">
        <v>720</v>
      </c>
    </row>
    <row r="306" spans="1:13" s="20" customFormat="1" x14ac:dyDescent="0.35">
      <c r="A306" s="56" t="s">
        <v>4043</v>
      </c>
      <c r="B306" s="19"/>
      <c r="C306" s="19"/>
      <c r="D306" s="19"/>
      <c r="E306" s="19"/>
      <c r="F306" s="19"/>
      <c r="G306" s="19"/>
      <c r="H306" s="19"/>
      <c r="I306" s="19"/>
      <c r="J306" s="19">
        <v>968</v>
      </c>
      <c r="K306" s="19"/>
      <c r="L306" s="19"/>
      <c r="M306" s="19">
        <v>968</v>
      </c>
    </row>
    <row r="307" spans="1:13" s="20" customFormat="1" x14ac:dyDescent="0.35">
      <c r="A307" s="56" t="s">
        <v>254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>
        <v>175.45</v>
      </c>
      <c r="M307" s="19">
        <v>175.45</v>
      </c>
    </row>
    <row r="308" spans="1:13" s="20" customFormat="1" x14ac:dyDescent="0.35">
      <c r="A308" s="56" t="s">
        <v>5614</v>
      </c>
      <c r="B308" s="19"/>
      <c r="C308" s="19"/>
      <c r="D308" s="19">
        <v>598.95000000000005</v>
      </c>
      <c r="E308" s="19"/>
      <c r="F308" s="19"/>
      <c r="G308" s="19"/>
      <c r="H308" s="19"/>
      <c r="I308" s="19"/>
      <c r="J308" s="19"/>
      <c r="K308" s="19"/>
      <c r="L308" s="19"/>
      <c r="M308" s="19">
        <v>598.95000000000005</v>
      </c>
    </row>
    <row r="309" spans="1:13" s="20" customFormat="1" x14ac:dyDescent="0.35">
      <c r="A309" s="56" t="s">
        <v>6159</v>
      </c>
      <c r="B309" s="19"/>
      <c r="C309" s="19"/>
      <c r="D309" s="19"/>
      <c r="E309" s="19"/>
      <c r="F309" s="19"/>
      <c r="G309" s="19">
        <v>7139</v>
      </c>
      <c r="H309" s="19"/>
      <c r="I309" s="19"/>
      <c r="J309" s="19"/>
      <c r="K309" s="19"/>
      <c r="L309" s="19"/>
      <c r="M309" s="19">
        <v>7139</v>
      </c>
    </row>
    <row r="310" spans="1:13" s="20" customFormat="1" x14ac:dyDescent="0.35">
      <c r="A310" s="56" t="s">
        <v>3855</v>
      </c>
      <c r="B310" s="19"/>
      <c r="C310" s="19"/>
      <c r="D310" s="19"/>
      <c r="E310" s="19"/>
      <c r="F310" s="19"/>
      <c r="G310" s="19">
        <v>2018.89</v>
      </c>
      <c r="H310" s="19"/>
      <c r="I310" s="19"/>
      <c r="J310" s="19"/>
      <c r="K310" s="19"/>
      <c r="L310" s="19"/>
      <c r="M310" s="19">
        <v>2018.89</v>
      </c>
    </row>
    <row r="311" spans="1:13" s="20" customFormat="1" x14ac:dyDescent="0.35">
      <c r="A311" s="56" t="s">
        <v>4063</v>
      </c>
      <c r="B311" s="19"/>
      <c r="C311" s="19"/>
      <c r="D311" s="19">
        <v>1320</v>
      </c>
      <c r="E311" s="19"/>
      <c r="F311" s="19"/>
      <c r="G311" s="19"/>
      <c r="H311" s="19"/>
      <c r="I311" s="19"/>
      <c r="J311" s="19">
        <v>440</v>
      </c>
      <c r="K311" s="19"/>
      <c r="L311" s="19"/>
      <c r="M311" s="19">
        <v>1760</v>
      </c>
    </row>
    <row r="312" spans="1:13" s="20" customFormat="1" x14ac:dyDescent="0.35">
      <c r="A312" s="56" t="s">
        <v>4361</v>
      </c>
      <c r="B312" s="19"/>
      <c r="C312" s="19">
        <v>501.86</v>
      </c>
      <c r="D312" s="19"/>
      <c r="E312" s="19"/>
      <c r="F312" s="19"/>
      <c r="G312" s="19"/>
      <c r="H312" s="19"/>
      <c r="I312" s="19"/>
      <c r="J312" s="19"/>
      <c r="K312" s="19"/>
      <c r="L312" s="19"/>
      <c r="M312" s="19">
        <v>501.86</v>
      </c>
    </row>
    <row r="313" spans="1:13" s="20" customFormat="1" x14ac:dyDescent="0.35">
      <c r="A313" s="56" t="s">
        <v>2092</v>
      </c>
      <c r="B313" s="19"/>
      <c r="C313" s="19"/>
      <c r="D313" s="19"/>
      <c r="E313" s="19"/>
      <c r="F313" s="19"/>
      <c r="G313" s="19"/>
      <c r="H313" s="19"/>
      <c r="I313" s="19">
        <v>109.17</v>
      </c>
      <c r="J313" s="19"/>
      <c r="K313" s="19"/>
      <c r="L313" s="19"/>
      <c r="M313" s="19">
        <v>109.17</v>
      </c>
    </row>
    <row r="314" spans="1:13" s="20" customFormat="1" x14ac:dyDescent="0.35">
      <c r="A314" s="56" t="s">
        <v>2364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>
        <v>484</v>
      </c>
      <c r="M314" s="19">
        <v>484</v>
      </c>
    </row>
    <row r="315" spans="1:13" s="20" customFormat="1" x14ac:dyDescent="0.35">
      <c r="A315" s="21" t="s">
        <v>5630</v>
      </c>
      <c r="B315" s="19"/>
      <c r="C315" s="19"/>
      <c r="D315" s="19"/>
      <c r="E315" s="19">
        <v>54.99</v>
      </c>
      <c r="F315" s="19"/>
      <c r="G315" s="19"/>
      <c r="H315" s="19"/>
      <c r="I315" s="19"/>
      <c r="J315" s="19"/>
      <c r="K315" s="19"/>
      <c r="L315" s="19"/>
      <c r="M315" s="19">
        <v>54.99</v>
      </c>
    </row>
    <row r="316" spans="1:13" s="20" customFormat="1" x14ac:dyDescent="0.35">
      <c r="A316" s="56" t="s">
        <v>2491</v>
      </c>
      <c r="B316" s="19"/>
      <c r="C316" s="19"/>
      <c r="D316" s="19">
        <v>907.5</v>
      </c>
      <c r="E316" s="19"/>
      <c r="F316" s="19"/>
      <c r="G316" s="19"/>
      <c r="H316" s="19"/>
      <c r="I316" s="19"/>
      <c r="J316" s="19"/>
      <c r="K316" s="19"/>
      <c r="L316" s="19"/>
      <c r="M316" s="19">
        <v>907.5</v>
      </c>
    </row>
    <row r="317" spans="1:13" s="20" customFormat="1" x14ac:dyDescent="0.35">
      <c r="A317" s="56" t="s">
        <v>563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48.4</v>
      </c>
      <c r="M317" s="19">
        <v>48.4</v>
      </c>
    </row>
    <row r="318" spans="1:13" s="20" customFormat="1" x14ac:dyDescent="0.35">
      <c r="A318" s="21" t="s">
        <v>97</v>
      </c>
      <c r="B318" s="19">
        <v>3960</v>
      </c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>
        <v>3960</v>
      </c>
    </row>
    <row r="319" spans="1:13" s="20" customFormat="1" x14ac:dyDescent="0.35">
      <c r="A319" s="56" t="s">
        <v>5634</v>
      </c>
      <c r="B319" s="19"/>
      <c r="C319" s="19"/>
      <c r="D319" s="19"/>
      <c r="E319" s="19"/>
      <c r="F319" s="19"/>
      <c r="G319" s="19"/>
      <c r="H319" s="19"/>
      <c r="I319" s="19"/>
      <c r="J319" s="19">
        <v>6023.27</v>
      </c>
      <c r="K319" s="19"/>
      <c r="L319" s="19"/>
      <c r="M319" s="19">
        <v>6023.27</v>
      </c>
    </row>
    <row r="320" spans="1:13" s="20" customFormat="1" x14ac:dyDescent="0.35">
      <c r="A320" s="56" t="s">
        <v>584</v>
      </c>
      <c r="B320" s="19"/>
      <c r="C320" s="19"/>
      <c r="D320" s="19">
        <v>5039.7700000000004</v>
      </c>
      <c r="E320" s="19"/>
      <c r="F320" s="19"/>
      <c r="G320" s="19"/>
      <c r="H320" s="19"/>
      <c r="I320" s="19"/>
      <c r="J320" s="19"/>
      <c r="K320" s="19"/>
      <c r="L320" s="19"/>
      <c r="M320" s="19">
        <v>5039.7700000000004</v>
      </c>
    </row>
    <row r="321" spans="1:13" s="20" customFormat="1" x14ac:dyDescent="0.35">
      <c r="A321" s="56" t="s">
        <v>5637</v>
      </c>
      <c r="B321" s="19"/>
      <c r="C321" s="19"/>
      <c r="D321" s="19">
        <v>499.4</v>
      </c>
      <c r="E321" s="19"/>
      <c r="F321" s="19"/>
      <c r="G321" s="19"/>
      <c r="H321" s="19"/>
      <c r="I321" s="19"/>
      <c r="J321" s="19"/>
      <c r="K321" s="19"/>
      <c r="L321" s="19"/>
      <c r="M321" s="19">
        <v>499.4</v>
      </c>
    </row>
    <row r="322" spans="1:13" s="20" customFormat="1" x14ac:dyDescent="0.35">
      <c r="A322" s="56" t="s">
        <v>3491</v>
      </c>
      <c r="B322" s="19"/>
      <c r="C322" s="19"/>
      <c r="D322" s="19">
        <v>18150</v>
      </c>
      <c r="E322" s="19"/>
      <c r="F322" s="19">
        <v>6655</v>
      </c>
      <c r="G322" s="19"/>
      <c r="H322" s="19"/>
      <c r="I322" s="19"/>
      <c r="J322" s="19"/>
      <c r="K322" s="19"/>
      <c r="L322" s="19"/>
      <c r="M322" s="19">
        <v>24805</v>
      </c>
    </row>
    <row r="323" spans="1:13" s="20" customFormat="1" x14ac:dyDescent="0.35">
      <c r="A323" s="56" t="s">
        <v>5553</v>
      </c>
      <c r="B323" s="19"/>
      <c r="C323" s="19"/>
      <c r="D323" s="19"/>
      <c r="E323" s="19"/>
      <c r="F323" s="19"/>
      <c r="G323" s="19"/>
      <c r="H323" s="19"/>
      <c r="I323" s="19">
        <v>597.84</v>
      </c>
      <c r="J323" s="19"/>
      <c r="K323" s="19"/>
      <c r="L323" s="19"/>
      <c r="M323" s="19">
        <v>597.84</v>
      </c>
    </row>
    <row r="324" spans="1:13" s="20" customFormat="1" x14ac:dyDescent="0.35">
      <c r="A324" s="56" t="s">
        <v>80</v>
      </c>
      <c r="B324" s="19"/>
      <c r="C324" s="19"/>
      <c r="D324" s="19"/>
      <c r="E324" s="19"/>
      <c r="F324" s="19"/>
      <c r="G324" s="19"/>
      <c r="H324" s="19">
        <v>500</v>
      </c>
      <c r="I324" s="19"/>
      <c r="J324" s="19"/>
      <c r="K324" s="19"/>
      <c r="L324" s="19">
        <v>300</v>
      </c>
      <c r="M324" s="19">
        <v>800</v>
      </c>
    </row>
    <row r="325" spans="1:13" s="20" customFormat="1" x14ac:dyDescent="0.35">
      <c r="A325" s="56" t="s">
        <v>3860</v>
      </c>
      <c r="B325" s="19"/>
      <c r="C325" s="19"/>
      <c r="D325" s="19"/>
      <c r="E325" s="19"/>
      <c r="F325" s="19"/>
      <c r="G325" s="19">
        <v>2000</v>
      </c>
      <c r="H325" s="19"/>
      <c r="I325" s="19"/>
      <c r="J325" s="19"/>
      <c r="K325" s="19"/>
      <c r="L325" s="19"/>
      <c r="M325" s="19">
        <v>2000</v>
      </c>
    </row>
    <row r="326" spans="1:13" s="20" customFormat="1" x14ac:dyDescent="0.35">
      <c r="A326" s="21" t="s">
        <v>4186</v>
      </c>
      <c r="B326" s="19"/>
      <c r="C326" s="19"/>
      <c r="D326" s="19">
        <v>544.5</v>
      </c>
      <c r="E326" s="19"/>
      <c r="F326" s="19"/>
      <c r="G326" s="19"/>
      <c r="H326" s="19"/>
      <c r="I326" s="19"/>
      <c r="J326" s="19"/>
      <c r="K326" s="19"/>
      <c r="L326" s="19"/>
      <c r="M326" s="19">
        <v>544.5</v>
      </c>
    </row>
    <row r="327" spans="1:13" s="20" customFormat="1" x14ac:dyDescent="0.35">
      <c r="A327" s="56" t="s">
        <v>2297</v>
      </c>
      <c r="B327" s="19"/>
      <c r="C327" s="19"/>
      <c r="D327" s="19"/>
      <c r="E327" s="19"/>
      <c r="F327" s="19"/>
      <c r="G327" s="19"/>
      <c r="H327" s="19">
        <v>300</v>
      </c>
      <c r="I327" s="19"/>
      <c r="J327" s="19"/>
      <c r="K327" s="19"/>
      <c r="L327" s="19"/>
      <c r="M327" s="19">
        <v>300</v>
      </c>
    </row>
    <row r="328" spans="1:13" s="20" customFormat="1" x14ac:dyDescent="0.35">
      <c r="A328" s="56" t="s">
        <v>5646</v>
      </c>
      <c r="B328" s="19"/>
      <c r="C328" s="19"/>
      <c r="D328" s="19"/>
      <c r="E328" s="19"/>
      <c r="F328" s="19"/>
      <c r="G328" s="19">
        <v>7260</v>
      </c>
      <c r="H328" s="19"/>
      <c r="I328" s="19"/>
      <c r="J328" s="19"/>
      <c r="K328" s="19"/>
      <c r="L328" s="19"/>
      <c r="M328" s="19">
        <v>7260</v>
      </c>
    </row>
    <row r="329" spans="1:13" s="20" customFormat="1" x14ac:dyDescent="0.35">
      <c r="A329" s="56" t="s">
        <v>2321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>
        <v>356.95</v>
      </c>
      <c r="L329" s="19"/>
      <c r="M329" s="19">
        <v>356.95</v>
      </c>
    </row>
    <row r="330" spans="1:13" s="20" customFormat="1" x14ac:dyDescent="0.35">
      <c r="A330" s="56" t="s">
        <v>6168</v>
      </c>
      <c r="B330" s="19"/>
      <c r="C330" s="19"/>
      <c r="D330" s="19"/>
      <c r="E330" s="19"/>
      <c r="F330" s="19"/>
      <c r="G330" s="19">
        <v>6000</v>
      </c>
      <c r="H330" s="19"/>
      <c r="I330" s="19"/>
      <c r="J330" s="19"/>
      <c r="K330" s="19"/>
      <c r="L330" s="19"/>
      <c r="M330" s="19">
        <v>6000</v>
      </c>
    </row>
    <row r="331" spans="1:13" s="20" customFormat="1" x14ac:dyDescent="0.35">
      <c r="A331" s="56" t="s">
        <v>149</v>
      </c>
      <c r="B331" s="19">
        <v>7251.76</v>
      </c>
      <c r="C331" s="19"/>
      <c r="D331" s="19"/>
      <c r="E331" s="19"/>
      <c r="F331" s="19"/>
      <c r="G331" s="19"/>
      <c r="H331" s="19"/>
      <c r="I331" s="19"/>
      <c r="J331" s="19"/>
      <c r="K331" s="19">
        <v>11495</v>
      </c>
      <c r="L331" s="19"/>
      <c r="M331" s="19">
        <v>18746.760000000002</v>
      </c>
    </row>
    <row r="332" spans="1:13" s="20" customFormat="1" x14ac:dyDescent="0.35">
      <c r="A332" s="56" t="s">
        <v>4226</v>
      </c>
      <c r="B332" s="19"/>
      <c r="C332" s="19"/>
      <c r="D332" s="19">
        <v>484</v>
      </c>
      <c r="E332" s="19"/>
      <c r="F332" s="19"/>
      <c r="G332" s="19"/>
      <c r="H332" s="19"/>
      <c r="I332" s="19"/>
      <c r="J332" s="19"/>
      <c r="K332" s="19"/>
      <c r="L332" s="19"/>
      <c r="M332" s="19">
        <v>484</v>
      </c>
    </row>
    <row r="333" spans="1:13" s="20" customFormat="1" x14ac:dyDescent="0.35">
      <c r="A333" s="56" t="s">
        <v>3678</v>
      </c>
      <c r="B333" s="19"/>
      <c r="C333" s="19"/>
      <c r="D333" s="19"/>
      <c r="E333" s="19"/>
      <c r="F333" s="19">
        <v>5438.95</v>
      </c>
      <c r="G333" s="19"/>
      <c r="H333" s="19"/>
      <c r="I333" s="19"/>
      <c r="J333" s="19"/>
      <c r="K333" s="19"/>
      <c r="L333" s="19"/>
      <c r="M333" s="19">
        <v>5438.95</v>
      </c>
    </row>
    <row r="334" spans="1:13" s="20" customFormat="1" x14ac:dyDescent="0.35">
      <c r="A334" s="56" t="s">
        <v>653</v>
      </c>
      <c r="B334" s="19"/>
      <c r="C334" s="19"/>
      <c r="D334" s="19"/>
      <c r="E334" s="19"/>
      <c r="F334" s="19"/>
      <c r="G334" s="19"/>
      <c r="H334" s="19"/>
      <c r="I334" s="19"/>
      <c r="J334" s="19">
        <v>4504</v>
      </c>
      <c r="K334" s="19"/>
      <c r="L334" s="19"/>
      <c r="M334" s="19">
        <v>4504</v>
      </c>
    </row>
    <row r="335" spans="1:13" s="20" customFormat="1" x14ac:dyDescent="0.35">
      <c r="A335" s="56" t="s">
        <v>2349</v>
      </c>
      <c r="B335" s="19"/>
      <c r="C335" s="19"/>
      <c r="D335" s="19">
        <v>440</v>
      </c>
      <c r="E335" s="19"/>
      <c r="F335" s="19"/>
      <c r="G335" s="19">
        <v>1760</v>
      </c>
      <c r="H335" s="19"/>
      <c r="I335" s="19"/>
      <c r="J335" s="19"/>
      <c r="K335" s="19"/>
      <c r="L335" s="19"/>
      <c r="M335" s="19">
        <v>2200</v>
      </c>
    </row>
    <row r="336" spans="1:13" s="20" customFormat="1" x14ac:dyDescent="0.35">
      <c r="A336" s="58" t="s">
        <v>5527</v>
      </c>
      <c r="B336" s="19">
        <v>726</v>
      </c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>
        <v>726</v>
      </c>
    </row>
    <row r="337" spans="1:13" s="20" customFormat="1" x14ac:dyDescent="0.35">
      <c r="A337" s="57" t="s">
        <v>2300</v>
      </c>
      <c r="B337" s="19"/>
      <c r="C337" s="19"/>
      <c r="D337" s="19"/>
      <c r="E337" s="19"/>
      <c r="F337" s="19"/>
      <c r="G337" s="19">
        <v>300</v>
      </c>
      <c r="H337" s="19"/>
      <c r="I337" s="19"/>
      <c r="J337" s="19"/>
      <c r="K337" s="19"/>
      <c r="L337" s="19"/>
      <c r="M337" s="19">
        <v>300</v>
      </c>
    </row>
    <row r="338" spans="1:13" s="20" customFormat="1" x14ac:dyDescent="0.35">
      <c r="A338" s="56" t="s">
        <v>211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>
        <v>3440.94</v>
      </c>
      <c r="M338" s="19">
        <v>3440.94</v>
      </c>
    </row>
    <row r="339" spans="1:13" s="20" customFormat="1" x14ac:dyDescent="0.35">
      <c r="A339" s="56" t="s">
        <v>4428</v>
      </c>
      <c r="B339" s="19"/>
      <c r="C339" s="19">
        <v>2236.08</v>
      </c>
      <c r="D339" s="19"/>
      <c r="E339" s="19"/>
      <c r="F339" s="19"/>
      <c r="G339" s="19"/>
      <c r="H339" s="19"/>
      <c r="I339" s="19"/>
      <c r="J339" s="19"/>
      <c r="K339" s="19"/>
      <c r="L339" s="19"/>
      <c r="M339" s="19">
        <v>2236.08</v>
      </c>
    </row>
    <row r="340" spans="1:13" s="20" customFormat="1" x14ac:dyDescent="0.35">
      <c r="A340" s="56" t="s">
        <v>2051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387.2</v>
      </c>
      <c r="M340" s="19">
        <v>387.2</v>
      </c>
    </row>
    <row r="341" spans="1:13" s="20" customFormat="1" x14ac:dyDescent="0.35">
      <c r="A341" s="21" t="s">
        <v>3472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3031.59</v>
      </c>
      <c r="M341" s="19">
        <v>3031.59</v>
      </c>
    </row>
    <row r="342" spans="1:13" s="20" customFormat="1" x14ac:dyDescent="0.35">
      <c r="A342" s="56" t="s">
        <v>2056</v>
      </c>
      <c r="B342" s="19"/>
      <c r="C342" s="19"/>
      <c r="D342" s="19"/>
      <c r="E342" s="19"/>
      <c r="F342" s="19"/>
      <c r="G342" s="19"/>
      <c r="H342" s="19">
        <v>2000</v>
      </c>
      <c r="I342" s="19"/>
      <c r="J342" s="19"/>
      <c r="K342" s="19"/>
      <c r="L342" s="19"/>
      <c r="M342" s="19">
        <v>2000</v>
      </c>
    </row>
    <row r="343" spans="1:13" s="20" customFormat="1" x14ac:dyDescent="0.35">
      <c r="A343" s="56" t="s">
        <v>2239</v>
      </c>
      <c r="B343" s="19"/>
      <c r="C343" s="19"/>
      <c r="D343" s="19"/>
      <c r="E343" s="19">
        <v>224</v>
      </c>
      <c r="F343" s="19"/>
      <c r="G343" s="19"/>
      <c r="H343" s="19"/>
      <c r="I343" s="19"/>
      <c r="J343" s="19"/>
      <c r="K343" s="19"/>
      <c r="L343" s="19"/>
      <c r="M343" s="19">
        <v>224</v>
      </c>
    </row>
    <row r="344" spans="1:13" s="20" customFormat="1" x14ac:dyDescent="0.35">
      <c r="A344" s="56" t="s">
        <v>2257</v>
      </c>
      <c r="B344" s="19"/>
      <c r="C344" s="19"/>
      <c r="D344" s="19"/>
      <c r="E344" s="19">
        <v>2000</v>
      </c>
      <c r="F344" s="19"/>
      <c r="G344" s="19"/>
      <c r="H344" s="19"/>
      <c r="I344" s="19"/>
      <c r="J344" s="19"/>
      <c r="K344" s="19"/>
      <c r="L344" s="19"/>
      <c r="M344" s="19">
        <v>2000</v>
      </c>
    </row>
    <row r="345" spans="1:13" s="20" customFormat="1" x14ac:dyDescent="0.35">
      <c r="A345" s="56" t="s">
        <v>2960</v>
      </c>
      <c r="B345" s="19"/>
      <c r="C345" s="19"/>
      <c r="D345" s="19"/>
      <c r="E345" s="19"/>
      <c r="F345" s="19"/>
      <c r="G345" s="19"/>
      <c r="H345" s="19"/>
      <c r="I345" s="19">
        <v>5808</v>
      </c>
      <c r="J345" s="19"/>
      <c r="K345" s="19"/>
      <c r="L345" s="19"/>
      <c r="M345" s="19">
        <v>5808</v>
      </c>
    </row>
    <row r="346" spans="1:13" s="20" customFormat="1" ht="21" x14ac:dyDescent="0.35">
      <c r="A346" s="56" t="s">
        <v>524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280.24</v>
      </c>
      <c r="M346" s="19">
        <v>280.24</v>
      </c>
    </row>
    <row r="347" spans="1:13" s="20" customFormat="1" ht="21" x14ac:dyDescent="0.35">
      <c r="A347" s="56" t="s">
        <v>4705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55.23</v>
      </c>
      <c r="M347" s="19">
        <v>55.23</v>
      </c>
    </row>
    <row r="348" spans="1:13" s="20" customFormat="1" ht="21" x14ac:dyDescent="0.35">
      <c r="A348" s="56" t="s">
        <v>2243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>
        <v>233</v>
      </c>
      <c r="M348" s="19">
        <v>233</v>
      </c>
    </row>
    <row r="349" spans="1:13" s="20" customFormat="1" x14ac:dyDescent="0.35">
      <c r="A349" s="21" t="s">
        <v>276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580.79999999999995</v>
      </c>
      <c r="M349" s="19">
        <v>580.79999999999995</v>
      </c>
    </row>
    <row r="350" spans="1:13" s="20" customFormat="1" x14ac:dyDescent="0.35">
      <c r="A350" s="56" t="s">
        <v>4609</v>
      </c>
      <c r="B350" s="19"/>
      <c r="C350" s="19"/>
      <c r="D350" s="19"/>
      <c r="E350" s="19"/>
      <c r="F350" s="19"/>
      <c r="G350" s="19">
        <v>100</v>
      </c>
      <c r="H350" s="19"/>
      <c r="I350" s="19"/>
      <c r="J350" s="19"/>
      <c r="K350" s="19"/>
      <c r="L350" s="19"/>
      <c r="M350" s="19">
        <v>100</v>
      </c>
    </row>
    <row r="351" spans="1:13" s="20" customFormat="1" x14ac:dyDescent="0.35">
      <c r="A351" s="56" t="s">
        <v>4205</v>
      </c>
      <c r="B351" s="19"/>
      <c r="C351" s="19"/>
      <c r="D351" s="19"/>
      <c r="E351" s="19">
        <v>3436.3999999999996</v>
      </c>
      <c r="F351" s="19"/>
      <c r="G351" s="19"/>
      <c r="H351" s="19"/>
      <c r="I351" s="19"/>
      <c r="J351" s="19"/>
      <c r="K351" s="19"/>
      <c r="L351" s="19"/>
      <c r="M351" s="19">
        <v>3436.3999999999996</v>
      </c>
    </row>
    <row r="352" spans="1:13" s="20" customFormat="1" x14ac:dyDescent="0.35">
      <c r="A352" s="56" t="s">
        <v>3044</v>
      </c>
      <c r="B352" s="19">
        <v>7139</v>
      </c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>
        <v>7139</v>
      </c>
    </row>
    <row r="353" spans="1:13" s="20" customFormat="1" x14ac:dyDescent="0.35">
      <c r="A353" s="56" t="s">
        <v>2523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>
        <v>1059</v>
      </c>
      <c r="M353" s="19">
        <v>1059</v>
      </c>
    </row>
    <row r="354" spans="1:13" s="20" customFormat="1" x14ac:dyDescent="0.35">
      <c r="A354" s="21" t="s">
        <v>71</v>
      </c>
      <c r="B354" s="19"/>
      <c r="C354" s="19"/>
      <c r="D354" s="19">
        <v>984.5</v>
      </c>
      <c r="E354" s="19"/>
      <c r="F354" s="19"/>
      <c r="G354" s="19"/>
      <c r="H354" s="19"/>
      <c r="I354" s="19"/>
      <c r="J354" s="19"/>
      <c r="K354" s="19"/>
      <c r="L354" s="19"/>
      <c r="M354" s="19">
        <v>984.5</v>
      </c>
    </row>
    <row r="355" spans="1:13" s="20" customFormat="1" x14ac:dyDescent="0.35">
      <c r="A355" s="56" t="s">
        <v>3945</v>
      </c>
      <c r="B355" s="19"/>
      <c r="C355" s="19"/>
      <c r="D355" s="19"/>
      <c r="E355" s="19"/>
      <c r="F355" s="19"/>
      <c r="G355" s="19">
        <v>1300</v>
      </c>
      <c r="H355" s="19"/>
      <c r="I355" s="19"/>
      <c r="J355" s="19"/>
      <c r="K355" s="19"/>
      <c r="L355" s="19"/>
      <c r="M355" s="19">
        <v>1300</v>
      </c>
    </row>
    <row r="356" spans="1:13" s="20" customFormat="1" x14ac:dyDescent="0.35">
      <c r="A356" s="56" t="s">
        <v>3880</v>
      </c>
      <c r="B356" s="19"/>
      <c r="C356" s="19"/>
      <c r="D356" s="19"/>
      <c r="E356" s="19"/>
      <c r="F356" s="19"/>
      <c r="G356" s="19">
        <v>1760</v>
      </c>
      <c r="H356" s="19"/>
      <c r="I356" s="19"/>
      <c r="J356" s="19"/>
      <c r="K356" s="19"/>
      <c r="L356" s="19"/>
      <c r="M356" s="19">
        <v>1760</v>
      </c>
    </row>
    <row r="357" spans="1:13" s="20" customFormat="1" x14ac:dyDescent="0.35">
      <c r="A357" s="21" t="s">
        <v>79</v>
      </c>
      <c r="B357" s="19"/>
      <c r="C357" s="19"/>
      <c r="D357" s="19"/>
      <c r="E357" s="19"/>
      <c r="F357" s="19"/>
      <c r="G357" s="19">
        <v>12523.5</v>
      </c>
      <c r="H357" s="19"/>
      <c r="I357" s="19"/>
      <c r="J357" s="19"/>
      <c r="K357" s="19"/>
      <c r="L357" s="19"/>
      <c r="M357" s="19">
        <v>12523.5</v>
      </c>
    </row>
    <row r="358" spans="1:13" s="20" customFormat="1" x14ac:dyDescent="0.35">
      <c r="A358" s="56" t="s">
        <v>4611</v>
      </c>
      <c r="B358" s="19"/>
      <c r="C358" s="19"/>
      <c r="D358" s="19"/>
      <c r="E358" s="19"/>
      <c r="F358" s="19"/>
      <c r="G358" s="19">
        <v>100</v>
      </c>
      <c r="H358" s="19"/>
      <c r="I358" s="19"/>
      <c r="J358" s="19"/>
      <c r="K358" s="19"/>
      <c r="L358" s="19"/>
      <c r="M358" s="19">
        <v>100</v>
      </c>
    </row>
    <row r="359" spans="1:13" s="20" customFormat="1" x14ac:dyDescent="0.35">
      <c r="A359" s="56" t="s">
        <v>2481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847</v>
      </c>
      <c r="M359" s="19">
        <v>847</v>
      </c>
    </row>
    <row r="360" spans="1:13" s="20" customFormat="1" x14ac:dyDescent="0.35">
      <c r="A360" s="56" t="s">
        <v>2352</v>
      </c>
      <c r="B360" s="19"/>
      <c r="C360" s="19"/>
      <c r="D360" s="19">
        <v>984.5</v>
      </c>
      <c r="E360" s="19"/>
      <c r="F360" s="19"/>
      <c r="G360" s="19"/>
      <c r="H360" s="19"/>
      <c r="I360" s="19"/>
      <c r="J360" s="19"/>
      <c r="K360" s="19"/>
      <c r="L360" s="19"/>
      <c r="M360" s="19">
        <v>984.5</v>
      </c>
    </row>
    <row r="361" spans="1:13" s="20" customFormat="1" x14ac:dyDescent="0.35">
      <c r="A361" s="56" t="s">
        <v>3074</v>
      </c>
      <c r="B361" s="19"/>
      <c r="C361" s="19"/>
      <c r="D361" s="19"/>
      <c r="E361" s="19"/>
      <c r="F361" s="19"/>
      <c r="G361" s="19">
        <v>7680</v>
      </c>
      <c r="H361" s="19"/>
      <c r="I361" s="19"/>
      <c r="J361" s="19"/>
      <c r="K361" s="19"/>
      <c r="L361" s="19"/>
      <c r="M361" s="19">
        <v>7680</v>
      </c>
    </row>
    <row r="362" spans="1:13" s="20" customFormat="1" x14ac:dyDescent="0.35">
      <c r="A362" s="56" t="s">
        <v>5707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>
        <v>1815</v>
      </c>
      <c r="M362" s="19">
        <v>1815</v>
      </c>
    </row>
    <row r="363" spans="1:13" s="20" customFormat="1" x14ac:dyDescent="0.35">
      <c r="A363" s="56" t="s">
        <v>2328</v>
      </c>
      <c r="B363" s="19"/>
      <c r="C363" s="19"/>
      <c r="D363" s="19"/>
      <c r="E363" s="19"/>
      <c r="F363" s="19"/>
      <c r="G363" s="19"/>
      <c r="H363" s="19">
        <v>381.49</v>
      </c>
      <c r="I363" s="19"/>
      <c r="J363" s="19"/>
      <c r="K363" s="19"/>
      <c r="L363" s="19"/>
      <c r="M363" s="19">
        <v>381.49</v>
      </c>
    </row>
    <row r="364" spans="1:13" s="20" customFormat="1" x14ac:dyDescent="0.35">
      <c r="A364" s="56" t="s">
        <v>4356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>
        <v>298.82</v>
      </c>
      <c r="M364" s="19">
        <v>298.82</v>
      </c>
    </row>
    <row r="365" spans="1:13" s="20" customFormat="1" x14ac:dyDescent="0.35">
      <c r="A365" s="56" t="s">
        <v>297</v>
      </c>
      <c r="B365" s="19"/>
      <c r="C365" s="19"/>
      <c r="D365" s="19">
        <v>99.99</v>
      </c>
      <c r="E365" s="19"/>
      <c r="F365" s="19">
        <v>394.46</v>
      </c>
      <c r="G365" s="19">
        <v>14520</v>
      </c>
      <c r="H365" s="19"/>
      <c r="I365" s="19"/>
      <c r="J365" s="19"/>
      <c r="K365" s="19"/>
      <c r="L365" s="19">
        <v>600</v>
      </c>
      <c r="M365" s="19">
        <v>15614.45</v>
      </c>
    </row>
    <row r="366" spans="1:13" s="20" customFormat="1" x14ac:dyDescent="0.35">
      <c r="A366" s="56" t="s">
        <v>2172</v>
      </c>
      <c r="B366" s="19"/>
      <c r="C366" s="19"/>
      <c r="D366" s="19"/>
      <c r="E366" s="19"/>
      <c r="F366" s="19"/>
      <c r="G366" s="19"/>
      <c r="H366" s="19"/>
      <c r="I366" s="19"/>
      <c r="J366" s="19">
        <v>185.13</v>
      </c>
      <c r="K366" s="19"/>
      <c r="L366" s="19"/>
      <c r="M366" s="19">
        <v>185.13</v>
      </c>
    </row>
    <row r="367" spans="1:13" s="20" customFormat="1" x14ac:dyDescent="0.35">
      <c r="A367" s="56" t="s">
        <v>3533</v>
      </c>
      <c r="B367" s="19"/>
      <c r="C367" s="19"/>
      <c r="D367" s="19"/>
      <c r="E367" s="19"/>
      <c r="F367" s="19">
        <v>12577.95</v>
      </c>
      <c r="G367" s="19"/>
      <c r="H367" s="19"/>
      <c r="I367" s="19"/>
      <c r="J367" s="19"/>
      <c r="K367" s="19"/>
      <c r="L367" s="19"/>
      <c r="M367" s="19">
        <v>12577.95</v>
      </c>
    </row>
    <row r="368" spans="1:13" s="20" customFormat="1" x14ac:dyDescent="0.35">
      <c r="A368" s="56" t="s">
        <v>2729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2420</v>
      </c>
      <c r="M368" s="19">
        <v>2420</v>
      </c>
    </row>
    <row r="369" spans="1:13" s="20" customFormat="1" x14ac:dyDescent="0.35">
      <c r="A369" s="56" t="s">
        <v>770</v>
      </c>
      <c r="B369" s="19"/>
      <c r="C369" s="19"/>
      <c r="D369" s="19"/>
      <c r="E369" s="19"/>
      <c r="F369" s="19"/>
      <c r="G369" s="19"/>
      <c r="H369" s="19">
        <v>2700</v>
      </c>
      <c r="I369" s="19"/>
      <c r="J369" s="19"/>
      <c r="K369" s="19"/>
      <c r="L369" s="19"/>
      <c r="M369" s="19">
        <v>2700</v>
      </c>
    </row>
    <row r="370" spans="1:13" s="20" customFormat="1" x14ac:dyDescent="0.35">
      <c r="A370" s="56" t="s">
        <v>4090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822.8</v>
      </c>
      <c r="L370" s="19"/>
      <c r="M370" s="19">
        <v>822.8</v>
      </c>
    </row>
    <row r="371" spans="1:13" s="20" customFormat="1" x14ac:dyDescent="0.35">
      <c r="A371" s="21" t="s">
        <v>296</v>
      </c>
      <c r="B371" s="19"/>
      <c r="C371" s="19"/>
      <c r="D371" s="19"/>
      <c r="E371" s="19">
        <v>9243.43</v>
      </c>
      <c r="F371" s="19"/>
      <c r="G371" s="19"/>
      <c r="H371" s="19"/>
      <c r="I371" s="19"/>
      <c r="J371" s="19"/>
      <c r="K371" s="19"/>
      <c r="L371" s="19"/>
      <c r="M371" s="19">
        <v>9243.43</v>
      </c>
    </row>
    <row r="372" spans="1:13" s="20" customFormat="1" x14ac:dyDescent="0.35">
      <c r="A372" s="56" t="s">
        <v>776</v>
      </c>
      <c r="B372" s="19"/>
      <c r="C372" s="19"/>
      <c r="D372" s="19"/>
      <c r="E372" s="19"/>
      <c r="F372" s="19"/>
      <c r="G372" s="19"/>
      <c r="H372" s="19"/>
      <c r="I372" s="19">
        <v>18484.45</v>
      </c>
      <c r="J372" s="19"/>
      <c r="K372" s="19"/>
      <c r="L372" s="19"/>
      <c r="M372" s="19">
        <v>18484.45</v>
      </c>
    </row>
    <row r="373" spans="1:13" s="20" customFormat="1" x14ac:dyDescent="0.35">
      <c r="A373" s="56" t="s">
        <v>2319</v>
      </c>
      <c r="B373" s="19"/>
      <c r="C373" s="19"/>
      <c r="D373" s="19"/>
      <c r="E373" s="19"/>
      <c r="F373" s="19"/>
      <c r="G373" s="19">
        <v>350.9</v>
      </c>
      <c r="H373" s="19"/>
      <c r="I373" s="19"/>
      <c r="J373" s="19"/>
      <c r="K373" s="19"/>
      <c r="L373" s="19"/>
      <c r="M373" s="19">
        <v>350.9</v>
      </c>
    </row>
    <row r="374" spans="1:13" s="20" customFormat="1" x14ac:dyDescent="0.35">
      <c r="A374" s="56" t="s">
        <v>5716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>
        <v>363</v>
      </c>
      <c r="L374" s="19"/>
      <c r="M374" s="19">
        <v>363</v>
      </c>
    </row>
    <row r="375" spans="1:13" s="20" customFormat="1" x14ac:dyDescent="0.35">
      <c r="A375" s="56" t="s">
        <v>163</v>
      </c>
      <c r="B375" s="19"/>
      <c r="C375" s="19">
        <v>2833.4800000000005</v>
      </c>
      <c r="D375" s="19"/>
      <c r="E375" s="19"/>
      <c r="F375" s="19"/>
      <c r="G375" s="19"/>
      <c r="H375" s="19"/>
      <c r="I375" s="19"/>
      <c r="J375" s="19"/>
      <c r="K375" s="19"/>
      <c r="L375" s="19"/>
      <c r="M375" s="19">
        <v>2833.4800000000005</v>
      </c>
    </row>
    <row r="376" spans="1:13" s="20" customFormat="1" x14ac:dyDescent="0.35">
      <c r="A376" s="56" t="s">
        <v>2162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165.2</v>
      </c>
      <c r="M376" s="19">
        <v>165.2</v>
      </c>
    </row>
    <row r="377" spans="1:13" s="20" customFormat="1" x14ac:dyDescent="0.35">
      <c r="A377" s="56" t="s">
        <v>166</v>
      </c>
      <c r="B377" s="19"/>
      <c r="C377" s="19"/>
      <c r="D377" s="19">
        <v>2182.5</v>
      </c>
      <c r="E377" s="19"/>
      <c r="F377" s="19"/>
      <c r="G377" s="19"/>
      <c r="H377" s="19"/>
      <c r="I377" s="19"/>
      <c r="J377" s="19"/>
      <c r="K377" s="19"/>
      <c r="L377" s="19"/>
      <c r="M377" s="19">
        <v>2182.5</v>
      </c>
    </row>
    <row r="378" spans="1:13" s="20" customFormat="1" x14ac:dyDescent="0.35">
      <c r="A378" s="56" t="s">
        <v>5204</v>
      </c>
      <c r="B378" s="19"/>
      <c r="C378" s="19">
        <v>3448.5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19">
        <v>3448.5</v>
      </c>
    </row>
    <row r="379" spans="1:13" s="20" customFormat="1" x14ac:dyDescent="0.35">
      <c r="A379" s="56" t="s">
        <v>5235</v>
      </c>
      <c r="B379" s="19"/>
      <c r="C379" s="19">
        <v>2831.4</v>
      </c>
      <c r="D379" s="19"/>
      <c r="E379" s="19"/>
      <c r="F379" s="19"/>
      <c r="G379" s="19"/>
      <c r="H379" s="19"/>
      <c r="I379" s="19"/>
      <c r="J379" s="19"/>
      <c r="K379" s="19"/>
      <c r="L379" s="19"/>
      <c r="M379" s="19">
        <v>2831.4</v>
      </c>
    </row>
    <row r="380" spans="1:13" s="20" customFormat="1" x14ac:dyDescent="0.35">
      <c r="A380" s="21" t="s">
        <v>40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5130</v>
      </c>
      <c r="L380" s="19"/>
      <c r="M380" s="19">
        <v>5130</v>
      </c>
    </row>
    <row r="381" spans="1:13" s="20" customFormat="1" ht="21" x14ac:dyDescent="0.35">
      <c r="A381" s="56" t="s">
        <v>5723</v>
      </c>
      <c r="B381" s="19"/>
      <c r="C381" s="19">
        <v>14692.16</v>
      </c>
      <c r="D381" s="19"/>
      <c r="E381" s="19"/>
      <c r="F381" s="19"/>
      <c r="G381" s="19"/>
      <c r="H381" s="19"/>
      <c r="I381" s="19"/>
      <c r="J381" s="19"/>
      <c r="K381" s="19"/>
      <c r="L381" s="19"/>
      <c r="M381" s="19">
        <v>14692.16</v>
      </c>
    </row>
    <row r="382" spans="1:13" s="20" customFormat="1" x14ac:dyDescent="0.35">
      <c r="A382" s="56" t="s">
        <v>2804</v>
      </c>
      <c r="B382" s="19"/>
      <c r="C382" s="19"/>
      <c r="D382" s="19"/>
      <c r="E382" s="19"/>
      <c r="F382" s="19"/>
      <c r="G382" s="19">
        <v>3746.16</v>
      </c>
      <c r="H382" s="19"/>
      <c r="I382" s="19"/>
      <c r="J382" s="19"/>
      <c r="K382" s="19"/>
      <c r="L382" s="19"/>
      <c r="M382" s="19">
        <v>3746.16</v>
      </c>
    </row>
    <row r="383" spans="1:13" s="20" customFormat="1" x14ac:dyDescent="0.35">
      <c r="A383" s="56" t="s">
        <v>2501</v>
      </c>
      <c r="B383" s="19"/>
      <c r="C383" s="19">
        <v>948.64</v>
      </c>
      <c r="D383" s="19"/>
      <c r="E383" s="19"/>
      <c r="F383" s="19"/>
      <c r="G383" s="19"/>
      <c r="H383" s="19"/>
      <c r="I383" s="19"/>
      <c r="J383" s="19"/>
      <c r="K383" s="19"/>
      <c r="L383" s="19"/>
      <c r="M383" s="19">
        <v>948.64</v>
      </c>
    </row>
    <row r="384" spans="1:13" s="20" customFormat="1" x14ac:dyDescent="0.35">
      <c r="A384" s="56" t="s">
        <v>3503</v>
      </c>
      <c r="B384" s="19"/>
      <c r="C384" s="19"/>
      <c r="D384" s="19"/>
      <c r="E384" s="19"/>
      <c r="F384" s="19">
        <v>18029</v>
      </c>
      <c r="G384" s="19"/>
      <c r="H384" s="19"/>
      <c r="I384" s="19"/>
      <c r="J384" s="19"/>
      <c r="K384" s="19"/>
      <c r="L384" s="19"/>
      <c r="M384" s="19">
        <v>18029</v>
      </c>
    </row>
    <row r="385" spans="1:13" s="20" customFormat="1" x14ac:dyDescent="0.35">
      <c r="A385" s="56" t="s">
        <v>134</v>
      </c>
      <c r="B385" s="19"/>
      <c r="C385" s="19"/>
      <c r="D385" s="19"/>
      <c r="E385" s="19"/>
      <c r="F385" s="19">
        <v>5418.38</v>
      </c>
      <c r="G385" s="19">
        <v>1200</v>
      </c>
      <c r="H385" s="19"/>
      <c r="I385" s="19">
        <v>1669.8</v>
      </c>
      <c r="J385" s="19"/>
      <c r="K385" s="19"/>
      <c r="L385" s="19"/>
      <c r="M385" s="19">
        <v>8288.18</v>
      </c>
    </row>
    <row r="386" spans="1:13" s="20" customFormat="1" x14ac:dyDescent="0.35">
      <c r="A386" s="56" t="s">
        <v>775</v>
      </c>
      <c r="B386" s="19"/>
      <c r="C386" s="19"/>
      <c r="D386" s="19"/>
      <c r="E386" s="19">
        <v>3630</v>
      </c>
      <c r="F386" s="19">
        <v>6050</v>
      </c>
      <c r="G386" s="19"/>
      <c r="H386" s="19"/>
      <c r="I386" s="19"/>
      <c r="J386" s="19"/>
      <c r="K386" s="19"/>
      <c r="L386" s="19"/>
      <c r="M386" s="19">
        <v>9680</v>
      </c>
    </row>
    <row r="387" spans="1:13" s="20" customFormat="1" x14ac:dyDescent="0.35">
      <c r="A387" s="56" t="s">
        <v>4188</v>
      </c>
      <c r="B387" s="19"/>
      <c r="C387" s="19"/>
      <c r="D387" s="19">
        <v>544.5</v>
      </c>
      <c r="E387" s="19"/>
      <c r="F387" s="19"/>
      <c r="G387" s="19"/>
      <c r="H387" s="19"/>
      <c r="I387" s="19"/>
      <c r="J387" s="19"/>
      <c r="K387" s="19"/>
      <c r="L387" s="19"/>
      <c r="M387" s="19">
        <v>544.5</v>
      </c>
    </row>
    <row r="388" spans="1:13" s="20" customFormat="1" x14ac:dyDescent="0.35">
      <c r="A388" s="56" t="s">
        <v>4432</v>
      </c>
      <c r="B388" s="19"/>
      <c r="C388" s="19"/>
      <c r="D388" s="19"/>
      <c r="E388" s="19"/>
      <c r="F388" s="19"/>
      <c r="G388" s="19">
        <v>225</v>
      </c>
      <c r="H388" s="19"/>
      <c r="I388" s="19"/>
      <c r="J388" s="19"/>
      <c r="K388" s="19"/>
      <c r="L388" s="19"/>
      <c r="M388" s="19">
        <v>225</v>
      </c>
    </row>
    <row r="389" spans="1:13" s="20" customFormat="1" x14ac:dyDescent="0.35">
      <c r="A389" s="56" t="s">
        <v>6206</v>
      </c>
      <c r="B389" s="19"/>
      <c r="C389" s="19">
        <v>181.5</v>
      </c>
      <c r="D389" s="19"/>
      <c r="E389" s="19"/>
      <c r="F389" s="19"/>
      <c r="G389" s="19"/>
      <c r="H389" s="19"/>
      <c r="I389" s="19"/>
      <c r="J389" s="19"/>
      <c r="K389" s="19"/>
      <c r="L389" s="19"/>
      <c r="M389" s="19">
        <v>181.5</v>
      </c>
    </row>
    <row r="390" spans="1:13" s="20" customFormat="1" x14ac:dyDescent="0.35">
      <c r="A390" s="56" t="s">
        <v>4255</v>
      </c>
      <c r="B390" s="19"/>
      <c r="C390" s="19"/>
      <c r="D390" s="19">
        <v>1038.95</v>
      </c>
      <c r="E390" s="19"/>
      <c r="F390" s="19"/>
      <c r="G390" s="19"/>
      <c r="H390" s="19"/>
      <c r="I390" s="19"/>
      <c r="J390" s="19"/>
      <c r="K390" s="19"/>
      <c r="L390" s="19"/>
      <c r="M390" s="19">
        <v>1038.95</v>
      </c>
    </row>
    <row r="391" spans="1:13" s="20" customFormat="1" x14ac:dyDescent="0.35">
      <c r="A391" s="56" t="s">
        <v>4313</v>
      </c>
      <c r="B391" s="19"/>
      <c r="C391" s="19"/>
      <c r="D391" s="19"/>
      <c r="E391" s="19"/>
      <c r="F391" s="19"/>
      <c r="G391" s="19">
        <v>350</v>
      </c>
      <c r="H391" s="19"/>
      <c r="I391" s="19"/>
      <c r="J391" s="19"/>
      <c r="K391" s="19"/>
      <c r="L391" s="19"/>
      <c r="M391" s="19">
        <v>350</v>
      </c>
    </row>
    <row r="392" spans="1:13" s="20" customFormat="1" x14ac:dyDescent="0.35">
      <c r="A392" s="56" t="s">
        <v>3171</v>
      </c>
      <c r="B392" s="19"/>
      <c r="C392" s="19"/>
      <c r="D392" s="19"/>
      <c r="E392" s="19"/>
      <c r="F392" s="19"/>
      <c r="G392" s="19"/>
      <c r="H392" s="19">
        <v>12000</v>
      </c>
      <c r="I392" s="19"/>
      <c r="J392" s="19"/>
      <c r="K392" s="19"/>
      <c r="L392" s="19"/>
      <c r="M392" s="19">
        <v>12000</v>
      </c>
    </row>
    <row r="393" spans="1:13" s="20" customFormat="1" x14ac:dyDescent="0.35">
      <c r="A393" s="56" t="s">
        <v>2546</v>
      </c>
      <c r="B393" s="19">
        <v>1170.3</v>
      </c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>
        <v>1170.3</v>
      </c>
    </row>
    <row r="394" spans="1:13" s="20" customFormat="1" x14ac:dyDescent="0.35">
      <c r="A394" s="56" t="s">
        <v>562</v>
      </c>
      <c r="B394" s="19"/>
      <c r="C394" s="19"/>
      <c r="D394" s="19"/>
      <c r="E394" s="19">
        <v>4779.5</v>
      </c>
      <c r="F394" s="19"/>
      <c r="G394" s="19"/>
      <c r="H394" s="19"/>
      <c r="I394" s="19"/>
      <c r="J394" s="19"/>
      <c r="K394" s="19"/>
      <c r="L394" s="19"/>
      <c r="M394" s="19">
        <v>4779.5</v>
      </c>
    </row>
    <row r="395" spans="1:13" s="20" customFormat="1" x14ac:dyDescent="0.35">
      <c r="A395" s="56" t="s">
        <v>70</v>
      </c>
      <c r="B395" s="19"/>
      <c r="C395" s="19">
        <v>4070.03</v>
      </c>
      <c r="D395" s="19"/>
      <c r="E395" s="19"/>
      <c r="F395" s="19"/>
      <c r="G395" s="19">
        <v>7502</v>
      </c>
      <c r="H395" s="19"/>
      <c r="I395" s="19"/>
      <c r="J395" s="19"/>
      <c r="K395" s="19">
        <v>1331</v>
      </c>
      <c r="L395" s="19">
        <v>5107.8099999999995</v>
      </c>
      <c r="M395" s="19">
        <v>18010.84</v>
      </c>
    </row>
    <row r="396" spans="1:13" s="20" customFormat="1" x14ac:dyDescent="0.35">
      <c r="A396" s="56" t="s">
        <v>592</v>
      </c>
      <c r="B396" s="19"/>
      <c r="C396" s="19"/>
      <c r="D396" s="19"/>
      <c r="E396" s="19">
        <v>199.65</v>
      </c>
      <c r="F396" s="19"/>
      <c r="G396" s="19">
        <v>2547.0500000000002</v>
      </c>
      <c r="H396" s="19"/>
      <c r="I396" s="19"/>
      <c r="J396" s="19"/>
      <c r="K396" s="19"/>
      <c r="L396" s="19"/>
      <c r="M396" s="19">
        <v>2746.7000000000003</v>
      </c>
    </row>
    <row r="397" spans="1:13" s="20" customFormat="1" x14ac:dyDescent="0.35">
      <c r="A397" s="56" t="s">
        <v>5086</v>
      </c>
      <c r="B397" s="19"/>
      <c r="C397" s="19"/>
      <c r="D397" s="19"/>
      <c r="E397" s="19"/>
      <c r="F397" s="19"/>
      <c r="G397" s="19">
        <v>6413</v>
      </c>
      <c r="H397" s="19"/>
      <c r="I397" s="19"/>
      <c r="J397" s="19"/>
      <c r="K397" s="19"/>
      <c r="L397" s="19"/>
      <c r="M397" s="19">
        <v>6413</v>
      </c>
    </row>
    <row r="398" spans="1:13" s="20" customFormat="1" x14ac:dyDescent="0.35">
      <c r="A398" s="56" t="s">
        <v>5746</v>
      </c>
      <c r="B398" s="19"/>
      <c r="C398" s="19">
        <v>1652.25</v>
      </c>
      <c r="D398" s="19"/>
      <c r="E398" s="19"/>
      <c r="F398" s="19"/>
      <c r="G398" s="19"/>
      <c r="H398" s="19"/>
      <c r="I398" s="19"/>
      <c r="J398" s="19"/>
      <c r="K398" s="19"/>
      <c r="L398" s="19"/>
      <c r="M398" s="19">
        <v>1652.25</v>
      </c>
    </row>
    <row r="399" spans="1:13" s="20" customFormat="1" x14ac:dyDescent="0.35">
      <c r="A399" s="21" t="s">
        <v>106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7500</v>
      </c>
      <c r="M399" s="19">
        <v>7500</v>
      </c>
    </row>
    <row r="400" spans="1:13" s="20" customFormat="1" x14ac:dyDescent="0.35">
      <c r="A400" s="56" t="s">
        <v>2549</v>
      </c>
      <c r="B400" s="19">
        <v>1185</v>
      </c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>
        <v>1185</v>
      </c>
    </row>
    <row r="401" spans="1:13" s="20" customFormat="1" x14ac:dyDescent="0.35">
      <c r="A401" s="56" t="s">
        <v>93</v>
      </c>
      <c r="B401" s="19"/>
      <c r="C401" s="19"/>
      <c r="D401" s="19"/>
      <c r="E401" s="19"/>
      <c r="F401" s="19"/>
      <c r="G401" s="19">
        <v>1809.2</v>
      </c>
      <c r="H401" s="19">
        <v>11071.5</v>
      </c>
      <c r="I401" s="19"/>
      <c r="J401" s="19"/>
      <c r="K401" s="19"/>
      <c r="L401" s="19"/>
      <c r="M401" s="19">
        <v>12880.7</v>
      </c>
    </row>
    <row r="402" spans="1:13" s="20" customFormat="1" x14ac:dyDescent="0.35">
      <c r="A402" s="56" t="s">
        <v>3029</v>
      </c>
      <c r="B402" s="19"/>
      <c r="C402" s="19">
        <v>6655</v>
      </c>
      <c r="D402" s="19"/>
      <c r="E402" s="19"/>
      <c r="F402" s="19"/>
      <c r="G402" s="19"/>
      <c r="H402" s="19"/>
      <c r="I402" s="19"/>
      <c r="J402" s="19"/>
      <c r="K402" s="19"/>
      <c r="L402" s="19"/>
      <c r="M402" s="19">
        <v>6655</v>
      </c>
    </row>
    <row r="403" spans="1:13" s="20" customFormat="1" ht="21" x14ac:dyDescent="0.35">
      <c r="A403" s="56" t="s">
        <v>3100</v>
      </c>
      <c r="B403" s="19"/>
      <c r="C403" s="19"/>
      <c r="D403" s="19"/>
      <c r="E403" s="19"/>
      <c r="F403" s="19"/>
      <c r="G403" s="19">
        <v>7260</v>
      </c>
      <c r="H403" s="19"/>
      <c r="I403" s="19"/>
      <c r="J403" s="19"/>
      <c r="K403" s="19"/>
      <c r="L403" s="19"/>
      <c r="M403" s="19">
        <v>7260</v>
      </c>
    </row>
    <row r="404" spans="1:13" s="20" customFormat="1" x14ac:dyDescent="0.35">
      <c r="A404" s="56" t="s">
        <v>4193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>
        <v>530</v>
      </c>
      <c r="L404" s="19"/>
      <c r="M404" s="19">
        <v>530</v>
      </c>
    </row>
    <row r="405" spans="1:13" s="20" customFormat="1" x14ac:dyDescent="0.35">
      <c r="A405" s="56" t="s">
        <v>2552</v>
      </c>
      <c r="B405" s="19"/>
      <c r="C405" s="19"/>
      <c r="D405" s="19"/>
      <c r="E405" s="19">
        <v>1187.6300000000001</v>
      </c>
      <c r="F405" s="19"/>
      <c r="G405" s="19">
        <v>180</v>
      </c>
      <c r="H405" s="19"/>
      <c r="I405" s="19"/>
      <c r="J405" s="19"/>
      <c r="K405" s="19"/>
      <c r="L405" s="19"/>
      <c r="M405" s="19">
        <v>1367.63</v>
      </c>
    </row>
    <row r="406" spans="1:13" s="20" customFormat="1" x14ac:dyDescent="0.35">
      <c r="A406" s="56" t="s">
        <v>2157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1355.2</v>
      </c>
      <c r="M406" s="19">
        <v>1355.2</v>
      </c>
    </row>
    <row r="407" spans="1:13" s="20" customFormat="1" x14ac:dyDescent="0.35">
      <c r="A407" s="56" t="s">
        <v>2555</v>
      </c>
      <c r="B407" s="19"/>
      <c r="C407" s="19">
        <v>2904</v>
      </c>
      <c r="D407" s="19"/>
      <c r="E407" s="19"/>
      <c r="F407" s="19"/>
      <c r="G407" s="19"/>
      <c r="H407" s="19"/>
      <c r="I407" s="19"/>
      <c r="J407" s="19"/>
      <c r="K407" s="19"/>
      <c r="L407" s="19"/>
      <c r="M407" s="19">
        <v>2904</v>
      </c>
    </row>
    <row r="408" spans="1:13" s="20" customFormat="1" x14ac:dyDescent="0.35">
      <c r="A408" s="56" t="s">
        <v>2540</v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>
        <v>1119.25</v>
      </c>
      <c r="L408" s="19"/>
      <c r="M408" s="19">
        <v>1119.25</v>
      </c>
    </row>
    <row r="409" spans="1:13" s="20" customFormat="1" x14ac:dyDescent="0.35">
      <c r="A409" s="56" t="s">
        <v>5564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>
        <v>534.82000000000005</v>
      </c>
      <c r="M409" s="19">
        <v>534.82000000000005</v>
      </c>
    </row>
    <row r="410" spans="1:13" s="20" customFormat="1" x14ac:dyDescent="0.35">
      <c r="A410" s="56" t="s">
        <v>3596</v>
      </c>
      <c r="B410" s="19"/>
      <c r="C410" s="19"/>
      <c r="D410" s="19"/>
      <c r="E410" s="19"/>
      <c r="F410" s="19">
        <v>28.2</v>
      </c>
      <c r="G410" s="19">
        <v>7260</v>
      </c>
      <c r="H410" s="19"/>
      <c r="I410" s="19"/>
      <c r="J410" s="19"/>
      <c r="K410" s="19">
        <v>55.66</v>
      </c>
      <c r="L410" s="19"/>
      <c r="M410" s="19">
        <v>7343.86</v>
      </c>
    </row>
    <row r="411" spans="1:13" s="20" customFormat="1" x14ac:dyDescent="0.35">
      <c r="A411" s="56" t="s">
        <v>3025</v>
      </c>
      <c r="B411" s="19"/>
      <c r="C411" s="19"/>
      <c r="D411" s="19">
        <v>6506.37</v>
      </c>
      <c r="E411" s="19"/>
      <c r="F411" s="19"/>
      <c r="G411" s="19"/>
      <c r="H411" s="19"/>
      <c r="I411" s="19"/>
      <c r="J411" s="19"/>
      <c r="K411" s="19"/>
      <c r="L411" s="19"/>
      <c r="M411" s="19">
        <v>6506.37</v>
      </c>
    </row>
    <row r="412" spans="1:13" s="20" customFormat="1" x14ac:dyDescent="0.35">
      <c r="A412" s="56" t="s">
        <v>3973</v>
      </c>
      <c r="B412" s="19">
        <v>762.3</v>
      </c>
      <c r="C412" s="19"/>
      <c r="D412" s="19"/>
      <c r="E412" s="19"/>
      <c r="F412" s="19">
        <v>14875.26</v>
      </c>
      <c r="G412" s="19"/>
      <c r="H412" s="19"/>
      <c r="I412" s="19"/>
      <c r="J412" s="19"/>
      <c r="K412" s="19"/>
      <c r="L412" s="19">
        <v>1433.04</v>
      </c>
      <c r="M412" s="19">
        <v>17070.599999999999</v>
      </c>
    </row>
    <row r="413" spans="1:13" s="20" customFormat="1" x14ac:dyDescent="0.35">
      <c r="A413" s="56" t="s">
        <v>5770</v>
      </c>
      <c r="B413" s="19"/>
      <c r="C413" s="19"/>
      <c r="D413" s="19"/>
      <c r="E413" s="19"/>
      <c r="F413" s="19"/>
      <c r="G413" s="19">
        <v>3388</v>
      </c>
      <c r="H413" s="19"/>
      <c r="I413" s="19"/>
      <c r="J413" s="19"/>
      <c r="K413" s="19"/>
      <c r="L413" s="19"/>
      <c r="M413" s="19">
        <v>3388</v>
      </c>
    </row>
    <row r="414" spans="1:13" s="20" customFormat="1" x14ac:dyDescent="0.35">
      <c r="A414" s="56" t="s">
        <v>5773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>
        <v>382.66</v>
      </c>
      <c r="L414" s="19"/>
      <c r="M414" s="19">
        <v>382.66</v>
      </c>
    </row>
    <row r="415" spans="1:13" s="20" customFormat="1" x14ac:dyDescent="0.35">
      <c r="A415" s="56" t="s">
        <v>3713</v>
      </c>
      <c r="B415" s="19"/>
      <c r="C415" s="19"/>
      <c r="D415" s="19"/>
      <c r="E415" s="19"/>
      <c r="F415" s="19"/>
      <c r="G415" s="19"/>
      <c r="H415" s="19"/>
      <c r="I415" s="19"/>
      <c r="J415" s="19">
        <v>4235</v>
      </c>
      <c r="K415" s="19"/>
      <c r="L415" s="19"/>
      <c r="M415" s="19">
        <v>4235</v>
      </c>
    </row>
    <row r="416" spans="1:13" s="20" customFormat="1" x14ac:dyDescent="0.35">
      <c r="A416" s="56" t="s">
        <v>4236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>
        <v>963.55</v>
      </c>
      <c r="L416" s="19"/>
      <c r="M416" s="19">
        <v>963.55</v>
      </c>
    </row>
    <row r="417" spans="1:13" s="20" customFormat="1" x14ac:dyDescent="0.35">
      <c r="A417" s="56" t="s">
        <v>3637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>
        <v>6402</v>
      </c>
      <c r="L417" s="19"/>
      <c r="M417" s="19">
        <v>6402</v>
      </c>
    </row>
    <row r="418" spans="1:13" s="20" customFormat="1" x14ac:dyDescent="0.35">
      <c r="A418" s="56" t="s">
        <v>206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>
        <v>6241.3600000000006</v>
      </c>
      <c r="M418" s="19">
        <v>6241.3600000000006</v>
      </c>
    </row>
    <row r="419" spans="1:13" s="20" customFormat="1" x14ac:dyDescent="0.35">
      <c r="A419" s="21" t="s">
        <v>304</v>
      </c>
      <c r="B419" s="19"/>
      <c r="C419" s="19"/>
      <c r="D419" s="19"/>
      <c r="E419" s="19"/>
      <c r="F419" s="19"/>
      <c r="G419" s="19">
        <v>277.89</v>
      </c>
      <c r="H419" s="19"/>
      <c r="I419" s="19"/>
      <c r="J419" s="19"/>
      <c r="K419" s="19"/>
      <c r="L419" s="19">
        <v>900</v>
      </c>
      <c r="M419" s="19">
        <v>1177.8899999999999</v>
      </c>
    </row>
    <row r="420" spans="1:13" s="20" customFormat="1" x14ac:dyDescent="0.35">
      <c r="A420" s="56" t="s">
        <v>4287</v>
      </c>
      <c r="B420" s="19"/>
      <c r="C420" s="19"/>
      <c r="D420" s="19"/>
      <c r="E420" s="19"/>
      <c r="F420" s="19"/>
      <c r="G420" s="19"/>
      <c r="H420" s="19"/>
      <c r="I420" s="19">
        <v>389.62</v>
      </c>
      <c r="J420" s="19"/>
      <c r="K420" s="19"/>
      <c r="L420" s="19"/>
      <c r="M420" s="19">
        <v>389.62</v>
      </c>
    </row>
    <row r="421" spans="1:13" s="20" customFormat="1" x14ac:dyDescent="0.35">
      <c r="A421" s="56" t="s">
        <v>4641</v>
      </c>
      <c r="B421" s="19"/>
      <c r="C421" s="19"/>
      <c r="D421" s="19"/>
      <c r="E421" s="19"/>
      <c r="F421" s="19"/>
      <c r="G421" s="19">
        <v>87.72</v>
      </c>
      <c r="H421" s="19"/>
      <c r="I421" s="19"/>
      <c r="J421" s="19"/>
      <c r="K421" s="19"/>
      <c r="L421" s="19"/>
      <c r="M421" s="19">
        <v>87.72</v>
      </c>
    </row>
    <row r="422" spans="1:13" s="20" customFormat="1" x14ac:dyDescent="0.35">
      <c r="A422" s="56" t="s">
        <v>3667</v>
      </c>
      <c r="B422" s="19"/>
      <c r="C422" s="19"/>
      <c r="D422" s="19"/>
      <c r="E422" s="19"/>
      <c r="F422" s="19">
        <v>5808</v>
      </c>
      <c r="G422" s="19"/>
      <c r="H422" s="19"/>
      <c r="I422" s="19"/>
      <c r="J422" s="19"/>
      <c r="K422" s="19"/>
      <c r="L422" s="19"/>
      <c r="M422" s="19">
        <v>5808</v>
      </c>
    </row>
    <row r="423" spans="1:13" s="20" customFormat="1" x14ac:dyDescent="0.35">
      <c r="A423" s="56" t="s">
        <v>4119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>
        <v>999.46</v>
      </c>
      <c r="L423" s="19"/>
      <c r="M423" s="19">
        <v>999.46</v>
      </c>
    </row>
    <row r="424" spans="1:13" s="20" customFormat="1" x14ac:dyDescent="0.35">
      <c r="A424" s="56" t="s">
        <v>5790</v>
      </c>
      <c r="B424" s="19"/>
      <c r="C424" s="19">
        <v>21.78</v>
      </c>
      <c r="D424" s="19"/>
      <c r="E424" s="19"/>
      <c r="F424" s="19"/>
      <c r="G424" s="19"/>
      <c r="H424" s="19"/>
      <c r="I424" s="19">
        <v>4537.5</v>
      </c>
      <c r="J424" s="19"/>
      <c r="K424" s="19"/>
      <c r="L424" s="19"/>
      <c r="M424" s="19">
        <v>4559.28</v>
      </c>
    </row>
    <row r="425" spans="1:13" s="20" customFormat="1" x14ac:dyDescent="0.35">
      <c r="A425" s="56" t="s">
        <v>289</v>
      </c>
      <c r="B425" s="19"/>
      <c r="C425" s="19"/>
      <c r="D425" s="19"/>
      <c r="E425" s="19"/>
      <c r="F425" s="19"/>
      <c r="G425" s="19"/>
      <c r="H425" s="19">
        <v>5000</v>
      </c>
      <c r="I425" s="19"/>
      <c r="J425" s="19"/>
      <c r="K425" s="19"/>
      <c r="L425" s="19"/>
      <c r="M425" s="19">
        <v>5000</v>
      </c>
    </row>
    <row r="426" spans="1:13" s="20" customFormat="1" ht="21" x14ac:dyDescent="0.35">
      <c r="A426" s="56" t="s">
        <v>5792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689.7</v>
      </c>
      <c r="L426" s="19"/>
      <c r="M426" s="19">
        <v>689.7</v>
      </c>
    </row>
    <row r="427" spans="1:13" s="20" customFormat="1" x14ac:dyDescent="0.35">
      <c r="A427" s="21" t="s">
        <v>100</v>
      </c>
      <c r="B427" s="19"/>
      <c r="C427" s="19"/>
      <c r="D427" s="19"/>
      <c r="E427" s="19"/>
      <c r="F427" s="19">
        <v>53.52</v>
      </c>
      <c r="G427" s="19"/>
      <c r="H427" s="19"/>
      <c r="I427" s="19"/>
      <c r="J427" s="19"/>
      <c r="K427" s="19"/>
      <c r="L427" s="19"/>
      <c r="M427" s="19">
        <v>53.52</v>
      </c>
    </row>
    <row r="428" spans="1:13" s="20" customFormat="1" x14ac:dyDescent="0.35">
      <c r="A428" s="56" t="s">
        <v>3760</v>
      </c>
      <c r="B428" s="19"/>
      <c r="C428" s="19"/>
      <c r="D428" s="19"/>
      <c r="E428" s="19"/>
      <c r="F428" s="19"/>
      <c r="G428" s="19">
        <v>3630</v>
      </c>
      <c r="H428" s="19"/>
      <c r="I428" s="19"/>
      <c r="J428" s="19"/>
      <c r="K428" s="19"/>
      <c r="L428" s="19"/>
      <c r="M428" s="19">
        <v>3630</v>
      </c>
    </row>
    <row r="429" spans="1:13" s="20" customFormat="1" x14ac:dyDescent="0.35">
      <c r="A429" s="58" t="s">
        <v>2664</v>
      </c>
      <c r="B429" s="19"/>
      <c r="C429" s="19">
        <v>7623</v>
      </c>
      <c r="D429" s="19">
        <v>9667.9</v>
      </c>
      <c r="E429" s="19"/>
      <c r="F429" s="19"/>
      <c r="G429" s="19"/>
      <c r="H429" s="19"/>
      <c r="I429" s="19"/>
      <c r="J429" s="19"/>
      <c r="K429" s="19"/>
      <c r="L429" s="19"/>
      <c r="M429" s="19">
        <v>17290.900000000001</v>
      </c>
    </row>
    <row r="430" spans="1:13" s="20" customFormat="1" x14ac:dyDescent="0.35">
      <c r="A430" s="57" t="s">
        <v>3857</v>
      </c>
      <c r="B430" s="19"/>
      <c r="C430" s="19"/>
      <c r="D430" s="19"/>
      <c r="E430" s="19"/>
      <c r="F430" s="19"/>
      <c r="G430" s="19">
        <v>2018.89</v>
      </c>
      <c r="H430" s="19"/>
      <c r="I430" s="19"/>
      <c r="J430" s="19"/>
      <c r="K430" s="19"/>
      <c r="L430" s="19"/>
      <c r="M430" s="19">
        <v>2018.89</v>
      </c>
    </row>
    <row r="431" spans="1:13" s="20" customFormat="1" x14ac:dyDescent="0.35">
      <c r="A431" s="56" t="s">
        <v>4381</v>
      </c>
      <c r="B431" s="19"/>
      <c r="C431" s="19"/>
      <c r="D431" s="19"/>
      <c r="E431" s="19"/>
      <c r="F431" s="19"/>
      <c r="G431" s="19"/>
      <c r="H431" s="19">
        <v>66.55</v>
      </c>
      <c r="I431" s="19"/>
      <c r="J431" s="19"/>
      <c r="K431" s="19"/>
      <c r="L431" s="19"/>
      <c r="M431" s="19">
        <v>66.55</v>
      </c>
    </row>
    <row r="432" spans="1:13" s="20" customFormat="1" x14ac:dyDescent="0.35">
      <c r="A432" s="56" t="s">
        <v>5576</v>
      </c>
      <c r="B432" s="19"/>
      <c r="C432" s="19"/>
      <c r="D432" s="19"/>
      <c r="E432" s="19"/>
      <c r="F432" s="19"/>
      <c r="G432" s="19">
        <v>484</v>
      </c>
      <c r="H432" s="19"/>
      <c r="I432" s="19"/>
      <c r="J432" s="19"/>
      <c r="K432" s="19"/>
      <c r="L432" s="19"/>
      <c r="M432" s="19">
        <v>484</v>
      </c>
    </row>
    <row r="433" spans="1:13" s="20" customFormat="1" x14ac:dyDescent="0.35">
      <c r="A433" s="56" t="s">
        <v>4409</v>
      </c>
      <c r="B433" s="19">
        <v>568.70000000000005</v>
      </c>
      <c r="C433" s="19"/>
      <c r="D433" s="19"/>
      <c r="E433" s="19"/>
      <c r="F433" s="19">
        <v>1706.1</v>
      </c>
      <c r="G433" s="19"/>
      <c r="H433" s="19"/>
      <c r="I433" s="19"/>
      <c r="J433" s="19"/>
      <c r="K433" s="19"/>
      <c r="L433" s="19"/>
      <c r="M433" s="19">
        <v>2274.8000000000002</v>
      </c>
    </row>
    <row r="434" spans="1:13" s="20" customFormat="1" x14ac:dyDescent="0.35">
      <c r="A434" s="56" t="s">
        <v>5806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>
        <v>1694</v>
      </c>
      <c r="L434" s="19"/>
      <c r="M434" s="19">
        <v>1694</v>
      </c>
    </row>
    <row r="435" spans="1:13" s="20" customFormat="1" x14ac:dyDescent="0.35">
      <c r="A435" s="56" t="s">
        <v>81</v>
      </c>
      <c r="B435" s="19"/>
      <c r="C435" s="19"/>
      <c r="D435" s="19">
        <v>1214.8399999999999</v>
      </c>
      <c r="E435" s="19"/>
      <c r="F435" s="19"/>
      <c r="G435" s="19">
        <v>2300</v>
      </c>
      <c r="H435" s="19"/>
      <c r="I435" s="19"/>
      <c r="J435" s="19">
        <v>471.9</v>
      </c>
      <c r="K435" s="19">
        <v>130.68</v>
      </c>
      <c r="L435" s="19">
        <v>550.54999999999995</v>
      </c>
      <c r="M435" s="19">
        <v>4667.97</v>
      </c>
    </row>
    <row r="436" spans="1:13" s="20" customFormat="1" x14ac:dyDescent="0.35">
      <c r="A436" s="56" t="s">
        <v>3508</v>
      </c>
      <c r="B436" s="19"/>
      <c r="C436" s="19">
        <v>17652.689999999999</v>
      </c>
      <c r="D436" s="19"/>
      <c r="E436" s="19"/>
      <c r="F436" s="19"/>
      <c r="G436" s="19"/>
      <c r="H436" s="19"/>
      <c r="I436" s="19"/>
      <c r="J436" s="19"/>
      <c r="K436" s="19"/>
      <c r="L436" s="19"/>
      <c r="M436" s="19">
        <v>17652.689999999999</v>
      </c>
    </row>
    <row r="437" spans="1:13" s="20" customFormat="1" x14ac:dyDescent="0.35">
      <c r="A437" s="56" t="s">
        <v>2373</v>
      </c>
      <c r="B437" s="19"/>
      <c r="C437" s="19"/>
      <c r="D437" s="19">
        <v>267.41000000000003</v>
      </c>
      <c r="E437" s="19"/>
      <c r="F437" s="19"/>
      <c r="G437" s="19">
        <v>497.27</v>
      </c>
      <c r="H437" s="19"/>
      <c r="I437" s="19"/>
      <c r="J437" s="19"/>
      <c r="K437" s="19"/>
      <c r="L437" s="19"/>
      <c r="M437" s="19">
        <v>764.68000000000006</v>
      </c>
    </row>
    <row r="438" spans="1:13" s="20" customFormat="1" x14ac:dyDescent="0.35">
      <c r="A438" s="21" t="s">
        <v>77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1410</v>
      </c>
      <c r="M438" s="19">
        <v>1410</v>
      </c>
    </row>
    <row r="439" spans="1:13" s="20" customFormat="1" ht="21" x14ac:dyDescent="0.35">
      <c r="A439" s="56" t="s">
        <v>2843</v>
      </c>
      <c r="B439" s="19"/>
      <c r="C439" s="19"/>
      <c r="D439" s="19"/>
      <c r="E439" s="19"/>
      <c r="F439" s="19"/>
      <c r="G439" s="19">
        <v>4369.3900000000003</v>
      </c>
      <c r="H439" s="19"/>
      <c r="I439" s="19"/>
      <c r="J439" s="19"/>
      <c r="K439" s="19"/>
      <c r="L439" s="19"/>
      <c r="M439" s="19">
        <v>4369.3900000000003</v>
      </c>
    </row>
    <row r="440" spans="1:13" s="20" customFormat="1" x14ac:dyDescent="0.35">
      <c r="A440" s="56" t="s">
        <v>4466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>
        <v>670</v>
      </c>
      <c r="L440" s="19"/>
      <c r="M440" s="19">
        <v>670</v>
      </c>
    </row>
    <row r="441" spans="1:13" s="20" customFormat="1" ht="21" x14ac:dyDescent="0.35">
      <c r="A441" s="56" t="s">
        <v>2859</v>
      </c>
      <c r="B441" s="19"/>
      <c r="C441" s="19"/>
      <c r="D441" s="19"/>
      <c r="E441" s="19"/>
      <c r="F441" s="19">
        <v>5000</v>
      </c>
      <c r="G441" s="19"/>
      <c r="H441" s="19"/>
      <c r="I441" s="19"/>
      <c r="J441" s="19"/>
      <c r="K441" s="19"/>
      <c r="L441" s="19"/>
      <c r="M441" s="19">
        <v>5000</v>
      </c>
    </row>
    <row r="442" spans="1:13" s="20" customFormat="1" x14ac:dyDescent="0.35">
      <c r="A442" s="56" t="s">
        <v>2757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2730</v>
      </c>
      <c r="M442" s="19">
        <v>2730</v>
      </c>
    </row>
    <row r="443" spans="1:13" s="20" customFormat="1" x14ac:dyDescent="0.35">
      <c r="A443" s="56" t="s">
        <v>3912</v>
      </c>
      <c r="B443" s="19"/>
      <c r="C443" s="19"/>
      <c r="D443" s="19"/>
      <c r="E443" s="19"/>
      <c r="F443" s="19"/>
      <c r="G443" s="19">
        <v>1500</v>
      </c>
      <c r="H443" s="19"/>
      <c r="I443" s="19"/>
      <c r="J443" s="19"/>
      <c r="K443" s="19"/>
      <c r="L443" s="19"/>
      <c r="M443" s="19">
        <v>1500</v>
      </c>
    </row>
    <row r="444" spans="1:13" s="20" customFormat="1" x14ac:dyDescent="0.35">
      <c r="A444" s="56" t="s">
        <v>651</v>
      </c>
      <c r="B444" s="19"/>
      <c r="C444" s="19"/>
      <c r="D444" s="19"/>
      <c r="E444" s="19"/>
      <c r="F444" s="19"/>
      <c r="G444" s="19">
        <v>13934.43</v>
      </c>
      <c r="H444" s="19"/>
      <c r="I444" s="19"/>
      <c r="J444" s="19"/>
      <c r="K444" s="19"/>
      <c r="L444" s="19"/>
      <c r="M444" s="19">
        <v>13934.43</v>
      </c>
    </row>
    <row r="445" spans="1:13" s="20" customFormat="1" x14ac:dyDescent="0.35">
      <c r="A445" s="56" t="s">
        <v>152</v>
      </c>
      <c r="B445" s="19"/>
      <c r="C445" s="19"/>
      <c r="D445" s="19">
        <v>19908.25</v>
      </c>
      <c r="E445" s="19"/>
      <c r="F445" s="19"/>
      <c r="G445" s="19"/>
      <c r="H445" s="19"/>
      <c r="I445" s="19"/>
      <c r="J445" s="19"/>
      <c r="K445" s="19"/>
      <c r="L445" s="19"/>
      <c r="M445" s="19">
        <v>19908.25</v>
      </c>
    </row>
    <row r="446" spans="1:13" s="20" customFormat="1" x14ac:dyDescent="0.35">
      <c r="A446" s="56" t="s">
        <v>2830</v>
      </c>
      <c r="B446" s="19"/>
      <c r="C446" s="19"/>
      <c r="D446" s="19"/>
      <c r="E446" s="19"/>
      <c r="F446" s="19">
        <v>4174.5</v>
      </c>
      <c r="G446" s="19"/>
      <c r="H446" s="19"/>
      <c r="I446" s="19"/>
      <c r="J446" s="19"/>
      <c r="K446" s="19"/>
      <c r="L446" s="19"/>
      <c r="M446" s="19">
        <v>4174.5</v>
      </c>
    </row>
    <row r="447" spans="1:13" s="20" customFormat="1" ht="21" x14ac:dyDescent="0.35">
      <c r="A447" s="21" t="s">
        <v>5827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76.599999999999994</v>
      </c>
      <c r="M447" s="19">
        <v>76.599999999999994</v>
      </c>
    </row>
    <row r="448" spans="1:13" s="20" customFormat="1" x14ac:dyDescent="0.35">
      <c r="A448" s="56" t="s">
        <v>2367</v>
      </c>
      <c r="B448" s="19"/>
      <c r="C448" s="19"/>
      <c r="D448" s="19"/>
      <c r="E448" s="19"/>
      <c r="F448" s="19"/>
      <c r="G448" s="19">
        <v>1495.56</v>
      </c>
      <c r="H448" s="19"/>
      <c r="I448" s="19"/>
      <c r="J448" s="19"/>
      <c r="K448" s="19"/>
      <c r="L448" s="19"/>
      <c r="M448" s="19">
        <v>1495.56</v>
      </c>
    </row>
    <row r="449" spans="1:13" s="20" customFormat="1" ht="21" x14ac:dyDescent="0.35">
      <c r="A449" s="56" t="s">
        <v>5829</v>
      </c>
      <c r="B449" s="19"/>
      <c r="C449" s="19"/>
      <c r="D449" s="19"/>
      <c r="E449" s="19"/>
      <c r="F449" s="19"/>
      <c r="G449" s="19"/>
      <c r="H449" s="19">
        <v>429.55</v>
      </c>
      <c r="I449" s="19"/>
      <c r="J449" s="19"/>
      <c r="K449" s="19"/>
      <c r="L449" s="19"/>
      <c r="M449" s="19">
        <v>429.55</v>
      </c>
    </row>
    <row r="450" spans="1:13" s="20" customFormat="1" x14ac:dyDescent="0.35">
      <c r="A450" s="56" t="s">
        <v>58</v>
      </c>
      <c r="B450" s="19"/>
      <c r="C450" s="19"/>
      <c r="D450" s="19">
        <v>89.54</v>
      </c>
      <c r="E450" s="19"/>
      <c r="F450" s="19"/>
      <c r="G450" s="19">
        <v>58.08</v>
      </c>
      <c r="H450" s="19">
        <v>1045.44</v>
      </c>
      <c r="I450" s="19"/>
      <c r="J450" s="19"/>
      <c r="K450" s="19"/>
      <c r="L450" s="19"/>
      <c r="M450" s="19">
        <v>1193.06</v>
      </c>
    </row>
    <row r="451" spans="1:13" s="20" customFormat="1" x14ac:dyDescent="0.35">
      <c r="A451" s="56" t="s">
        <v>1972</v>
      </c>
      <c r="B451" s="19"/>
      <c r="C451" s="19"/>
      <c r="D451" s="19">
        <v>673.97</v>
      </c>
      <c r="E451" s="19"/>
      <c r="F451" s="19"/>
      <c r="G451" s="19"/>
      <c r="H451" s="19"/>
      <c r="I451" s="19"/>
      <c r="J451" s="19"/>
      <c r="K451" s="19"/>
      <c r="L451" s="19"/>
      <c r="M451" s="19">
        <v>673.97</v>
      </c>
    </row>
    <row r="452" spans="1:13" s="20" customFormat="1" ht="21" x14ac:dyDescent="0.35">
      <c r="A452" s="21" t="s">
        <v>4081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>
        <v>1880.3400000000001</v>
      </c>
      <c r="L452" s="19"/>
      <c r="M452" s="19">
        <v>1880.3400000000001</v>
      </c>
    </row>
    <row r="453" spans="1:13" s="20" customFormat="1" x14ac:dyDescent="0.35">
      <c r="A453" s="56" t="s">
        <v>88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500</v>
      </c>
      <c r="M453" s="19">
        <v>500</v>
      </c>
    </row>
    <row r="454" spans="1:13" s="20" customFormat="1" x14ac:dyDescent="0.35">
      <c r="A454" s="56" t="s">
        <v>720</v>
      </c>
      <c r="B454" s="19"/>
      <c r="C454" s="19"/>
      <c r="D454" s="19"/>
      <c r="E454" s="19"/>
      <c r="F454" s="19"/>
      <c r="G454" s="19"/>
      <c r="H454" s="19">
        <v>3049.2</v>
      </c>
      <c r="I454" s="19"/>
      <c r="J454" s="19"/>
      <c r="K454" s="19"/>
      <c r="L454" s="19"/>
      <c r="M454" s="19">
        <v>3049.2</v>
      </c>
    </row>
    <row r="455" spans="1:13" s="20" customFormat="1" x14ac:dyDescent="0.35">
      <c r="A455" s="56" t="s">
        <v>4443</v>
      </c>
      <c r="B455" s="19"/>
      <c r="C455" s="19"/>
      <c r="D455" s="19"/>
      <c r="E455" s="19"/>
      <c r="F455" s="19">
        <v>217.8</v>
      </c>
      <c r="G455" s="19"/>
      <c r="H455" s="19"/>
      <c r="I455" s="19"/>
      <c r="J455" s="19"/>
      <c r="K455" s="19"/>
      <c r="L455" s="19"/>
      <c r="M455" s="19">
        <v>217.8</v>
      </c>
    </row>
    <row r="456" spans="1:13" s="20" customFormat="1" x14ac:dyDescent="0.35">
      <c r="A456" s="56" t="s">
        <v>181</v>
      </c>
      <c r="B456" s="19"/>
      <c r="C456" s="19"/>
      <c r="D456" s="19"/>
      <c r="E456" s="19"/>
      <c r="F456" s="19"/>
      <c r="G456" s="19">
        <v>3180.28</v>
      </c>
      <c r="H456" s="19"/>
      <c r="I456" s="19"/>
      <c r="J456" s="19"/>
      <c r="K456" s="19"/>
      <c r="L456" s="19"/>
      <c r="M456" s="19">
        <v>3180.28</v>
      </c>
    </row>
    <row r="457" spans="1:13" s="20" customFormat="1" x14ac:dyDescent="0.35">
      <c r="A457" s="56" t="s">
        <v>3707</v>
      </c>
      <c r="B457" s="19"/>
      <c r="C457" s="19">
        <v>4434.6499999999996</v>
      </c>
      <c r="D457" s="19"/>
      <c r="E457" s="19"/>
      <c r="F457" s="19"/>
      <c r="G457" s="19"/>
      <c r="H457" s="19"/>
      <c r="I457" s="19"/>
      <c r="J457" s="19"/>
      <c r="K457" s="19"/>
      <c r="L457" s="19"/>
      <c r="M457" s="19">
        <v>4434.6499999999996</v>
      </c>
    </row>
    <row r="458" spans="1:13" s="20" customFormat="1" x14ac:dyDescent="0.35">
      <c r="A458" s="21" t="s">
        <v>4717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>
        <v>50.82</v>
      </c>
      <c r="M458" s="19">
        <v>50.82</v>
      </c>
    </row>
    <row r="459" spans="1:13" s="20" customFormat="1" x14ac:dyDescent="0.35">
      <c r="A459" s="56" t="s">
        <v>5602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362.4</v>
      </c>
      <c r="L459" s="19"/>
      <c r="M459" s="19">
        <v>362.4</v>
      </c>
    </row>
    <row r="460" spans="1:13" s="20" customFormat="1" x14ac:dyDescent="0.35">
      <c r="A460" s="56" t="s">
        <v>5082</v>
      </c>
      <c r="B460" s="19"/>
      <c r="C460" s="19"/>
      <c r="D460" s="19"/>
      <c r="E460" s="19"/>
      <c r="F460" s="19"/>
      <c r="G460" s="19"/>
      <c r="H460" s="19"/>
      <c r="I460" s="19"/>
      <c r="J460" s="19">
        <v>7139</v>
      </c>
      <c r="K460" s="19"/>
      <c r="L460" s="19"/>
      <c r="M460" s="19">
        <v>7139</v>
      </c>
    </row>
    <row r="461" spans="1:13" s="20" customFormat="1" x14ac:dyDescent="0.35">
      <c r="A461" s="56" t="s">
        <v>168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>
        <v>260.2</v>
      </c>
      <c r="M461" s="19">
        <v>260.2</v>
      </c>
    </row>
    <row r="462" spans="1:13" s="20" customFormat="1" x14ac:dyDescent="0.35">
      <c r="A462" s="56" t="s">
        <v>2557</v>
      </c>
      <c r="B462" s="19"/>
      <c r="C462" s="19"/>
      <c r="D462" s="19"/>
      <c r="E462" s="19"/>
      <c r="F462" s="19">
        <v>1210</v>
      </c>
      <c r="G462" s="19"/>
      <c r="H462" s="19"/>
      <c r="I462" s="19"/>
      <c r="J462" s="19"/>
      <c r="K462" s="19"/>
      <c r="L462" s="19"/>
      <c r="M462" s="19">
        <v>1210</v>
      </c>
    </row>
    <row r="463" spans="1:13" s="20" customFormat="1" x14ac:dyDescent="0.35">
      <c r="A463" s="56" t="s">
        <v>4007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>
        <v>1056.33</v>
      </c>
      <c r="L463" s="19"/>
      <c r="M463" s="19">
        <v>1056.33</v>
      </c>
    </row>
    <row r="464" spans="1:13" s="20" customFormat="1" x14ac:dyDescent="0.35">
      <c r="A464" s="56" t="s">
        <v>773</v>
      </c>
      <c r="B464" s="19"/>
      <c r="C464" s="19"/>
      <c r="D464" s="19">
        <v>6050</v>
      </c>
      <c r="E464" s="19"/>
      <c r="F464" s="19"/>
      <c r="G464" s="19"/>
      <c r="H464" s="19"/>
      <c r="I464" s="19"/>
      <c r="J464" s="19"/>
      <c r="K464" s="19"/>
      <c r="L464" s="19"/>
      <c r="M464" s="19">
        <v>6050</v>
      </c>
    </row>
    <row r="465" spans="1:13" s="20" customFormat="1" x14ac:dyDescent="0.35">
      <c r="A465" s="58" t="s">
        <v>111</v>
      </c>
      <c r="B465" s="19"/>
      <c r="C465" s="19"/>
      <c r="D465" s="19"/>
      <c r="E465" s="19"/>
      <c r="F465" s="19">
        <v>5808</v>
      </c>
      <c r="G465" s="19"/>
      <c r="H465" s="19"/>
      <c r="I465" s="19"/>
      <c r="J465" s="19"/>
      <c r="K465" s="19"/>
      <c r="L465" s="19">
        <v>2000</v>
      </c>
      <c r="M465" s="19">
        <v>7808</v>
      </c>
    </row>
    <row r="466" spans="1:13" s="20" customFormat="1" x14ac:dyDescent="0.35">
      <c r="A466" s="57" t="s">
        <v>4541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140</v>
      </c>
      <c r="L466" s="19"/>
      <c r="M466" s="19">
        <v>140</v>
      </c>
    </row>
    <row r="467" spans="1:13" s="20" customFormat="1" x14ac:dyDescent="0.35">
      <c r="A467" s="56" t="s">
        <v>3919</v>
      </c>
      <c r="B467" s="19"/>
      <c r="C467" s="19">
        <v>1452</v>
      </c>
      <c r="D467" s="19"/>
      <c r="E467" s="19"/>
      <c r="F467" s="19"/>
      <c r="G467" s="19"/>
      <c r="H467" s="19"/>
      <c r="I467" s="19"/>
      <c r="J467" s="19"/>
      <c r="K467" s="19"/>
      <c r="L467" s="19"/>
      <c r="M467" s="19">
        <v>1452</v>
      </c>
    </row>
    <row r="468" spans="1:13" s="20" customFormat="1" x14ac:dyDescent="0.35">
      <c r="A468" s="56" t="s">
        <v>2356</v>
      </c>
      <c r="B468" s="19">
        <v>8336.9</v>
      </c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>
        <v>8336.9</v>
      </c>
    </row>
    <row r="469" spans="1:13" s="20" customFormat="1" x14ac:dyDescent="0.35">
      <c r="A469" s="56" t="s">
        <v>4025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1000</v>
      </c>
      <c r="M469" s="19">
        <v>1000</v>
      </c>
    </row>
    <row r="470" spans="1:13" s="20" customFormat="1" x14ac:dyDescent="0.35">
      <c r="A470" s="56" t="s">
        <v>3699</v>
      </c>
      <c r="B470" s="19">
        <v>158.63</v>
      </c>
      <c r="C470" s="19"/>
      <c r="D470" s="19"/>
      <c r="E470" s="19"/>
      <c r="F470" s="19">
        <v>4773.45</v>
      </c>
      <c r="G470" s="19"/>
      <c r="H470" s="19"/>
      <c r="I470" s="19"/>
      <c r="J470" s="19"/>
      <c r="K470" s="19"/>
      <c r="L470" s="19"/>
      <c r="M470" s="19">
        <v>4932.08</v>
      </c>
    </row>
    <row r="471" spans="1:13" s="20" customFormat="1" x14ac:dyDescent="0.35">
      <c r="A471" s="56" t="s">
        <v>4228</v>
      </c>
      <c r="B471" s="19"/>
      <c r="C471" s="19"/>
      <c r="D471" s="19">
        <v>484</v>
      </c>
      <c r="E471" s="19"/>
      <c r="F471" s="19"/>
      <c r="G471" s="19"/>
      <c r="H471" s="19"/>
      <c r="I471" s="19"/>
      <c r="J471" s="19"/>
      <c r="K471" s="19"/>
      <c r="L471" s="19"/>
      <c r="M471" s="19">
        <v>484</v>
      </c>
    </row>
    <row r="472" spans="1:13" s="20" customFormat="1" x14ac:dyDescent="0.35">
      <c r="A472" s="56" t="s">
        <v>2191</v>
      </c>
      <c r="B472" s="19"/>
      <c r="C472" s="19"/>
      <c r="D472" s="19"/>
      <c r="E472" s="19"/>
      <c r="F472" s="19">
        <v>2597.5</v>
      </c>
      <c r="G472" s="19"/>
      <c r="H472" s="19"/>
      <c r="I472" s="19"/>
      <c r="J472" s="19"/>
      <c r="K472" s="19"/>
      <c r="L472" s="19"/>
      <c r="M472" s="19">
        <v>2597.5</v>
      </c>
    </row>
    <row r="473" spans="1:13" s="20" customFormat="1" x14ac:dyDescent="0.35">
      <c r="A473" s="56" t="s">
        <v>2571</v>
      </c>
      <c r="B473" s="19"/>
      <c r="C473" s="19"/>
      <c r="D473" s="19"/>
      <c r="E473" s="19"/>
      <c r="F473" s="19">
        <v>1391.5</v>
      </c>
      <c r="G473" s="19"/>
      <c r="H473" s="19"/>
      <c r="I473" s="19"/>
      <c r="J473" s="19">
        <v>4598</v>
      </c>
      <c r="K473" s="19"/>
      <c r="L473" s="19"/>
      <c r="M473" s="19">
        <v>5989.5</v>
      </c>
    </row>
    <row r="474" spans="1:13" s="20" customFormat="1" x14ac:dyDescent="0.35">
      <c r="A474" s="21" t="s">
        <v>74</v>
      </c>
      <c r="B474" s="19"/>
      <c r="C474" s="19"/>
      <c r="D474" s="19"/>
      <c r="E474" s="19">
        <v>11674.08</v>
      </c>
      <c r="F474" s="19"/>
      <c r="G474" s="19"/>
      <c r="H474" s="19"/>
      <c r="I474" s="19"/>
      <c r="J474" s="19"/>
      <c r="K474" s="19"/>
      <c r="L474" s="19"/>
      <c r="M474" s="19">
        <v>11674.08</v>
      </c>
    </row>
    <row r="475" spans="1:13" s="20" customFormat="1" x14ac:dyDescent="0.35">
      <c r="A475" s="56" t="s">
        <v>262</v>
      </c>
      <c r="B475" s="19">
        <v>1000.14</v>
      </c>
      <c r="C475" s="19"/>
      <c r="D475" s="19"/>
      <c r="E475" s="19"/>
      <c r="F475" s="19"/>
      <c r="G475" s="19"/>
      <c r="H475" s="19"/>
      <c r="I475" s="19"/>
      <c r="J475" s="19"/>
      <c r="K475" s="19"/>
      <c r="L475" s="19">
        <v>9011.0399999999991</v>
      </c>
      <c r="M475" s="19">
        <v>10011.179999999998</v>
      </c>
    </row>
    <row r="476" spans="1:13" s="20" customFormat="1" x14ac:dyDescent="0.35">
      <c r="A476" s="56" t="s">
        <v>2852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>
        <v>5727</v>
      </c>
      <c r="M476" s="19">
        <v>5727</v>
      </c>
    </row>
    <row r="477" spans="1:13" s="20" customFormat="1" x14ac:dyDescent="0.35">
      <c r="A477" s="21" t="s">
        <v>108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>
        <v>7000</v>
      </c>
      <c r="M477" s="19">
        <v>7000</v>
      </c>
    </row>
    <row r="478" spans="1:13" s="20" customFormat="1" x14ac:dyDescent="0.35">
      <c r="A478" s="56" t="s">
        <v>3232</v>
      </c>
      <c r="B478" s="19"/>
      <c r="C478" s="19">
        <v>1113.2</v>
      </c>
      <c r="D478" s="19"/>
      <c r="E478" s="19"/>
      <c r="F478" s="19"/>
      <c r="G478" s="19"/>
      <c r="H478" s="19"/>
      <c r="I478" s="19"/>
      <c r="J478" s="19"/>
      <c r="K478" s="19"/>
      <c r="L478" s="19"/>
      <c r="M478" s="19">
        <v>1113.2</v>
      </c>
    </row>
    <row r="479" spans="1:13" s="20" customFormat="1" x14ac:dyDescent="0.35">
      <c r="A479" s="56" t="s">
        <v>4143</v>
      </c>
      <c r="B479" s="19">
        <v>487.63</v>
      </c>
      <c r="C479" s="19"/>
      <c r="D479" s="19"/>
      <c r="E479" s="19"/>
      <c r="F479" s="19"/>
      <c r="G479" s="19"/>
      <c r="H479" s="19"/>
      <c r="I479" s="19">
        <v>1480.53</v>
      </c>
      <c r="J479" s="19"/>
      <c r="K479" s="19"/>
      <c r="L479" s="19"/>
      <c r="M479" s="19">
        <v>1968.1599999999999</v>
      </c>
    </row>
    <row r="480" spans="1:13" s="20" customFormat="1" x14ac:dyDescent="0.35">
      <c r="A480" s="56" t="s">
        <v>591</v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>
        <v>3005.64</v>
      </c>
      <c r="M480" s="19">
        <v>3005.64</v>
      </c>
    </row>
    <row r="481" spans="1:13" s="20" customFormat="1" x14ac:dyDescent="0.35">
      <c r="A481" s="56" t="s">
        <v>2526</v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>
        <v>5180.6100000000006</v>
      </c>
      <c r="L481" s="19"/>
      <c r="M481" s="19">
        <v>5180.6100000000006</v>
      </c>
    </row>
    <row r="482" spans="1:13" s="20" customFormat="1" x14ac:dyDescent="0.35">
      <c r="A482" s="56" t="s">
        <v>3227</v>
      </c>
      <c r="B482" s="19"/>
      <c r="C482" s="19"/>
      <c r="D482" s="19"/>
      <c r="E482" s="19"/>
      <c r="F482" s="19">
        <v>17908</v>
      </c>
      <c r="G482" s="19"/>
      <c r="H482" s="19"/>
      <c r="I482" s="19"/>
      <c r="J482" s="19"/>
      <c r="K482" s="19"/>
      <c r="L482" s="19"/>
      <c r="M482" s="19">
        <v>17908</v>
      </c>
    </row>
    <row r="483" spans="1:13" s="20" customFormat="1" x14ac:dyDescent="0.35">
      <c r="A483" s="21" t="s">
        <v>51</v>
      </c>
      <c r="B483" s="19"/>
      <c r="C483" s="19">
        <v>17712.099999999999</v>
      </c>
      <c r="D483" s="19">
        <v>2599.08</v>
      </c>
      <c r="E483" s="19"/>
      <c r="F483" s="19"/>
      <c r="G483" s="19"/>
      <c r="H483" s="19">
        <v>5000</v>
      </c>
      <c r="I483" s="19"/>
      <c r="J483" s="19"/>
      <c r="K483" s="19"/>
      <c r="L483" s="19"/>
      <c r="M483" s="19">
        <v>25311.18</v>
      </c>
    </row>
    <row r="484" spans="1:13" s="20" customFormat="1" x14ac:dyDescent="0.35">
      <c r="A484" s="56" t="s">
        <v>59</v>
      </c>
      <c r="B484" s="19"/>
      <c r="C484" s="19"/>
      <c r="D484" s="19"/>
      <c r="E484" s="19">
        <v>895.4</v>
      </c>
      <c r="F484" s="19">
        <v>5098.9400000000005</v>
      </c>
      <c r="G484" s="19"/>
      <c r="H484" s="19"/>
      <c r="I484" s="19"/>
      <c r="J484" s="19"/>
      <c r="K484" s="19">
        <v>2160</v>
      </c>
      <c r="L484" s="19">
        <v>3507</v>
      </c>
      <c r="M484" s="19">
        <v>11661.34</v>
      </c>
    </row>
    <row r="485" spans="1:13" s="20" customFormat="1" ht="21" x14ac:dyDescent="0.35">
      <c r="A485" s="56" t="s">
        <v>3194</v>
      </c>
      <c r="B485" s="19"/>
      <c r="C485" s="19">
        <v>12305.7</v>
      </c>
      <c r="D485" s="19"/>
      <c r="E485" s="19"/>
      <c r="F485" s="19"/>
      <c r="G485" s="19"/>
      <c r="H485" s="19"/>
      <c r="I485" s="19"/>
      <c r="J485" s="19"/>
      <c r="K485" s="19"/>
      <c r="L485" s="19">
        <v>12100</v>
      </c>
      <c r="M485" s="19">
        <v>24405.7</v>
      </c>
    </row>
    <row r="486" spans="1:13" s="20" customFormat="1" x14ac:dyDescent="0.35">
      <c r="A486" s="56" t="s">
        <v>2567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>
        <v>1300.76</v>
      </c>
      <c r="M486" s="19">
        <v>1300.76</v>
      </c>
    </row>
    <row r="487" spans="1:13" s="20" customFormat="1" x14ac:dyDescent="0.35">
      <c r="A487" s="56" t="s">
        <v>5739</v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>
        <v>372.68</v>
      </c>
      <c r="L487" s="19"/>
      <c r="M487" s="19">
        <v>372.68</v>
      </c>
    </row>
    <row r="488" spans="1:13" s="20" customFormat="1" x14ac:dyDescent="0.35">
      <c r="A488" s="56" t="s">
        <v>3969</v>
      </c>
      <c r="B488" s="19"/>
      <c r="C488" s="19"/>
      <c r="D488" s="19"/>
      <c r="E488" s="19">
        <v>1195.08</v>
      </c>
      <c r="F488" s="19"/>
      <c r="G488" s="19"/>
      <c r="H488" s="19"/>
      <c r="I488" s="19"/>
      <c r="J488" s="19"/>
      <c r="K488" s="19"/>
      <c r="L488" s="19"/>
      <c r="M488" s="19">
        <v>1195.08</v>
      </c>
    </row>
    <row r="489" spans="1:13" s="20" customFormat="1" x14ac:dyDescent="0.35">
      <c r="A489" s="21" t="s">
        <v>159</v>
      </c>
      <c r="B489" s="19"/>
      <c r="C489" s="19"/>
      <c r="D489" s="19"/>
      <c r="E489" s="19"/>
      <c r="F489" s="19"/>
      <c r="G489" s="19"/>
      <c r="H489" s="19"/>
      <c r="I489" s="19"/>
      <c r="J489" s="19">
        <v>14677.3</v>
      </c>
      <c r="K489" s="19"/>
      <c r="L489" s="19"/>
      <c r="M489" s="19">
        <v>14677.3</v>
      </c>
    </row>
    <row r="490" spans="1:13" s="20" customFormat="1" x14ac:dyDescent="0.35">
      <c r="A490" s="56" t="s">
        <v>2793</v>
      </c>
      <c r="B490" s="19"/>
      <c r="C490" s="19"/>
      <c r="D490" s="19"/>
      <c r="E490" s="19"/>
      <c r="F490" s="19"/>
      <c r="G490" s="19"/>
      <c r="H490" s="19">
        <v>3025</v>
      </c>
      <c r="I490" s="19"/>
      <c r="J490" s="19"/>
      <c r="K490" s="19"/>
      <c r="L490" s="19"/>
      <c r="M490" s="19">
        <v>3025</v>
      </c>
    </row>
    <row r="491" spans="1:13" s="20" customFormat="1" x14ac:dyDescent="0.35">
      <c r="A491" s="21" t="s">
        <v>86</v>
      </c>
      <c r="B491" s="19"/>
      <c r="C491" s="19"/>
      <c r="D491" s="19"/>
      <c r="E491" s="19">
        <v>5478.24</v>
      </c>
      <c r="F491" s="19"/>
      <c r="G491" s="19"/>
      <c r="H491" s="19"/>
      <c r="I491" s="19"/>
      <c r="J491" s="19">
        <v>643.72</v>
      </c>
      <c r="K491" s="19"/>
      <c r="L491" s="19"/>
      <c r="M491" s="19">
        <v>6121.96</v>
      </c>
    </row>
    <row r="492" spans="1:13" s="20" customFormat="1" x14ac:dyDescent="0.35">
      <c r="A492" s="56" t="s">
        <v>771</v>
      </c>
      <c r="B492" s="19"/>
      <c r="C492" s="19"/>
      <c r="D492" s="19"/>
      <c r="E492" s="19">
        <v>5308.88</v>
      </c>
      <c r="F492" s="19"/>
      <c r="G492" s="19"/>
      <c r="H492" s="19"/>
      <c r="I492" s="19"/>
      <c r="J492" s="19"/>
      <c r="K492" s="19"/>
      <c r="L492" s="19"/>
      <c r="M492" s="19">
        <v>5308.88</v>
      </c>
    </row>
    <row r="493" spans="1:13" s="20" customFormat="1" x14ac:dyDescent="0.35">
      <c r="A493" s="56" t="s">
        <v>3042</v>
      </c>
      <c r="B493" s="19"/>
      <c r="C493" s="19"/>
      <c r="D493" s="19"/>
      <c r="E493" s="19"/>
      <c r="F493" s="19"/>
      <c r="G493" s="19"/>
      <c r="H493" s="19"/>
      <c r="I493" s="19">
        <v>7108.75</v>
      </c>
      <c r="J493" s="19"/>
      <c r="K493" s="19"/>
      <c r="L493" s="19"/>
      <c r="M493" s="19">
        <v>7108.75</v>
      </c>
    </row>
    <row r="494" spans="1:13" s="20" customFormat="1" x14ac:dyDescent="0.35">
      <c r="A494" s="21" t="s">
        <v>54</v>
      </c>
      <c r="B494" s="19"/>
      <c r="C494" s="19"/>
      <c r="D494" s="19"/>
      <c r="E494" s="19"/>
      <c r="F494" s="19">
        <v>914.76</v>
      </c>
      <c r="G494" s="19"/>
      <c r="H494" s="19"/>
      <c r="I494" s="19"/>
      <c r="J494" s="19"/>
      <c r="K494" s="19"/>
      <c r="L494" s="19"/>
      <c r="M494" s="19">
        <v>914.76</v>
      </c>
    </row>
    <row r="495" spans="1:13" s="20" customFormat="1" x14ac:dyDescent="0.35">
      <c r="A495" s="56" t="s">
        <v>3767</v>
      </c>
      <c r="B495" s="19"/>
      <c r="C495" s="19"/>
      <c r="D495" s="19"/>
      <c r="E495" s="19"/>
      <c r="F495" s="19"/>
      <c r="G495" s="19">
        <v>3816.34</v>
      </c>
      <c r="H495" s="19"/>
      <c r="I495" s="19"/>
      <c r="J495" s="19"/>
      <c r="K495" s="19"/>
      <c r="L495" s="19"/>
      <c r="M495" s="19">
        <v>3816.34</v>
      </c>
    </row>
    <row r="496" spans="1:13" s="20" customFormat="1" x14ac:dyDescent="0.35">
      <c r="A496" s="56" t="s">
        <v>525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>
        <v>1500</v>
      </c>
      <c r="M496" s="19">
        <v>1500</v>
      </c>
    </row>
    <row r="497" spans="1:13" s="20" customFormat="1" x14ac:dyDescent="0.35">
      <c r="A497" s="21" t="s">
        <v>117</v>
      </c>
      <c r="B497" s="19"/>
      <c r="C497" s="19"/>
      <c r="D497" s="19"/>
      <c r="E497" s="19">
        <v>3200</v>
      </c>
      <c r="F497" s="19"/>
      <c r="G497" s="19"/>
      <c r="H497" s="19"/>
      <c r="I497" s="19"/>
      <c r="J497" s="19"/>
      <c r="K497" s="19"/>
      <c r="L497" s="19"/>
      <c r="M497" s="19">
        <v>3200</v>
      </c>
    </row>
    <row r="498" spans="1:13" s="20" customFormat="1" x14ac:dyDescent="0.35">
      <c r="A498" s="56" t="s">
        <v>3800</v>
      </c>
      <c r="B498" s="19"/>
      <c r="C498" s="19"/>
      <c r="D498" s="19"/>
      <c r="E498" s="19"/>
      <c r="F498" s="19"/>
      <c r="G498" s="19">
        <v>3478.7599999999998</v>
      </c>
      <c r="H498" s="19"/>
      <c r="I498" s="19"/>
      <c r="J498" s="19"/>
      <c r="K498" s="19"/>
      <c r="L498" s="19"/>
      <c r="M498" s="19">
        <v>3478.7599999999998</v>
      </c>
    </row>
    <row r="499" spans="1:13" s="20" customFormat="1" x14ac:dyDescent="0.35">
      <c r="A499" s="56" t="s">
        <v>3526</v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>
        <v>14386.9</v>
      </c>
      <c r="M499" s="19">
        <v>14386.9</v>
      </c>
    </row>
    <row r="500" spans="1:13" s="20" customFormat="1" x14ac:dyDescent="0.35">
      <c r="A500" s="56" t="s">
        <v>3011</v>
      </c>
      <c r="B500" s="19"/>
      <c r="C500" s="19"/>
      <c r="D500" s="19"/>
      <c r="E500" s="19"/>
      <c r="F500" s="19"/>
      <c r="G500" s="19"/>
      <c r="H500" s="19">
        <v>2500</v>
      </c>
      <c r="I500" s="19"/>
      <c r="J500" s="19"/>
      <c r="K500" s="19"/>
      <c r="L500" s="19">
        <v>16445</v>
      </c>
      <c r="M500" s="19">
        <v>18945</v>
      </c>
    </row>
    <row r="501" spans="1:13" s="20" customFormat="1" x14ac:dyDescent="0.35">
      <c r="A501" s="56" t="s">
        <v>3775</v>
      </c>
      <c r="B501" s="19">
        <v>907.5</v>
      </c>
      <c r="C501" s="19"/>
      <c r="D501" s="19"/>
      <c r="E501" s="19"/>
      <c r="F501" s="19"/>
      <c r="G501" s="19"/>
      <c r="H501" s="19">
        <v>3309.35</v>
      </c>
      <c r="I501" s="19"/>
      <c r="J501" s="19"/>
      <c r="K501" s="19"/>
      <c r="L501" s="19"/>
      <c r="M501" s="19">
        <v>4216.8500000000004</v>
      </c>
    </row>
    <row r="502" spans="1:13" s="20" customFormat="1" x14ac:dyDescent="0.35">
      <c r="A502" s="56" t="s">
        <v>247</v>
      </c>
      <c r="B502" s="19"/>
      <c r="C502" s="19"/>
      <c r="D502" s="19"/>
      <c r="E502" s="19"/>
      <c r="F502" s="19"/>
      <c r="G502" s="19"/>
      <c r="H502" s="19">
        <v>1534.38</v>
      </c>
      <c r="I502" s="19"/>
      <c r="J502" s="19">
        <v>12.6</v>
      </c>
      <c r="K502" s="19"/>
      <c r="L502" s="19">
        <v>100</v>
      </c>
      <c r="M502" s="19">
        <v>1646.98</v>
      </c>
    </row>
    <row r="503" spans="1:13" s="20" customFormat="1" x14ac:dyDescent="0.35">
      <c r="A503" s="21" t="s">
        <v>4216</v>
      </c>
      <c r="B503" s="19"/>
      <c r="C503" s="19"/>
      <c r="D503" s="19">
        <v>500</v>
      </c>
      <c r="E503" s="19"/>
      <c r="F503" s="19"/>
      <c r="G503" s="19"/>
      <c r="H503" s="19"/>
      <c r="I503" s="19"/>
      <c r="J503" s="19"/>
      <c r="K503" s="19"/>
      <c r="L503" s="19"/>
      <c r="M503" s="19">
        <v>500</v>
      </c>
    </row>
    <row r="504" spans="1:13" s="20" customFormat="1" x14ac:dyDescent="0.35">
      <c r="A504" s="56" t="s">
        <v>774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>
        <v>871.2</v>
      </c>
      <c r="M504" s="19">
        <v>871.2</v>
      </c>
    </row>
    <row r="505" spans="1:13" s="20" customFormat="1" x14ac:dyDescent="0.35">
      <c r="A505" s="56" t="s">
        <v>577</v>
      </c>
      <c r="B505" s="19"/>
      <c r="C505" s="19"/>
      <c r="D505" s="19"/>
      <c r="E505" s="19">
        <v>1631.56</v>
      </c>
      <c r="F505" s="19">
        <v>18634</v>
      </c>
      <c r="G505" s="19"/>
      <c r="H505" s="19"/>
      <c r="I505" s="19"/>
      <c r="J505" s="19"/>
      <c r="K505" s="19"/>
      <c r="L505" s="19"/>
      <c r="M505" s="19">
        <v>20265.560000000001</v>
      </c>
    </row>
    <row r="506" spans="1:13" s="20" customFormat="1" x14ac:dyDescent="0.35">
      <c r="A506" s="56" t="s">
        <v>2465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>
        <v>1742.4</v>
      </c>
      <c r="M506" s="19">
        <v>1742.4</v>
      </c>
    </row>
    <row r="507" spans="1:13" s="20" customFormat="1" x14ac:dyDescent="0.35">
      <c r="A507" s="56" t="s">
        <v>3900</v>
      </c>
      <c r="B507" s="19"/>
      <c r="C507" s="19"/>
      <c r="D507" s="19"/>
      <c r="E507" s="19"/>
      <c r="F507" s="19">
        <v>1525.32</v>
      </c>
      <c r="G507" s="19"/>
      <c r="H507" s="19"/>
      <c r="I507" s="19"/>
      <c r="J507" s="19"/>
      <c r="K507" s="19"/>
      <c r="L507" s="19"/>
      <c r="M507" s="19">
        <v>1525.32</v>
      </c>
    </row>
    <row r="508" spans="1:13" s="20" customFormat="1" x14ac:dyDescent="0.35">
      <c r="A508" s="56" t="s">
        <v>202</v>
      </c>
      <c r="B508" s="19"/>
      <c r="C508" s="19"/>
      <c r="D508" s="19"/>
      <c r="E508" s="19">
        <v>7631.4</v>
      </c>
      <c r="F508" s="19"/>
      <c r="G508" s="19"/>
      <c r="H508" s="19"/>
      <c r="I508" s="19"/>
      <c r="J508" s="19"/>
      <c r="K508" s="19"/>
      <c r="L508" s="19"/>
      <c r="M508" s="19">
        <v>7631.4</v>
      </c>
    </row>
    <row r="509" spans="1:13" s="20" customFormat="1" x14ac:dyDescent="0.35">
      <c r="A509" s="56" t="s">
        <v>2330</v>
      </c>
      <c r="B509" s="19"/>
      <c r="C509" s="19"/>
      <c r="D509" s="19"/>
      <c r="E509" s="19">
        <v>8476.3000000000011</v>
      </c>
      <c r="F509" s="19"/>
      <c r="G509" s="19"/>
      <c r="H509" s="19">
        <v>532.4</v>
      </c>
      <c r="I509" s="19"/>
      <c r="J509" s="19"/>
      <c r="K509" s="19"/>
      <c r="L509" s="19"/>
      <c r="M509" s="19">
        <v>9008.7000000000007</v>
      </c>
    </row>
    <row r="510" spans="1:13" s="20" customFormat="1" x14ac:dyDescent="0.35">
      <c r="A510" s="56" t="s">
        <v>183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>
        <v>84.7</v>
      </c>
      <c r="L510" s="19"/>
      <c r="M510" s="19">
        <v>84.7</v>
      </c>
    </row>
    <row r="511" spans="1:13" s="20" customFormat="1" x14ac:dyDescent="0.35">
      <c r="A511" s="56" t="s">
        <v>528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>
        <v>1230.76</v>
      </c>
      <c r="M511" s="19">
        <v>1230.76</v>
      </c>
    </row>
    <row r="512" spans="1:13" s="20" customFormat="1" x14ac:dyDescent="0.35">
      <c r="A512" s="56" t="s">
        <v>3624</v>
      </c>
      <c r="B512" s="19"/>
      <c r="C512" s="19">
        <v>6897</v>
      </c>
      <c r="D512" s="19"/>
      <c r="E512" s="19"/>
      <c r="F512" s="19"/>
      <c r="G512" s="19"/>
      <c r="H512" s="19"/>
      <c r="I512" s="19"/>
      <c r="J512" s="19"/>
      <c r="K512" s="19"/>
      <c r="L512" s="19"/>
      <c r="M512" s="19">
        <v>6897</v>
      </c>
    </row>
    <row r="513" spans="1:13" s="20" customFormat="1" x14ac:dyDescent="0.35">
      <c r="A513" s="56" t="s">
        <v>2117</v>
      </c>
      <c r="B513" s="19"/>
      <c r="C513" s="19"/>
      <c r="D513" s="19"/>
      <c r="E513" s="19">
        <v>136.5</v>
      </c>
      <c r="F513" s="19"/>
      <c r="G513" s="19"/>
      <c r="H513" s="19"/>
      <c r="I513" s="19"/>
      <c r="J513" s="19"/>
      <c r="K513" s="19"/>
      <c r="L513" s="19"/>
      <c r="M513" s="19">
        <v>136.5</v>
      </c>
    </row>
    <row r="514" spans="1:13" s="20" customFormat="1" x14ac:dyDescent="0.35">
      <c r="A514" s="56" t="s">
        <v>3710</v>
      </c>
      <c r="B514" s="19">
        <v>4322.68</v>
      </c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>
        <v>4322.68</v>
      </c>
    </row>
    <row r="515" spans="1:13" s="20" customFormat="1" x14ac:dyDescent="0.35">
      <c r="A515" s="21" t="s">
        <v>2011</v>
      </c>
      <c r="B515" s="19"/>
      <c r="C515" s="19"/>
      <c r="D515" s="19"/>
      <c r="E515" s="19"/>
      <c r="F515" s="19"/>
      <c r="G515" s="19"/>
      <c r="H515" s="19"/>
      <c r="I515" s="19">
        <v>144.81</v>
      </c>
      <c r="J515" s="19"/>
      <c r="K515" s="19"/>
      <c r="L515" s="19">
        <v>5244.6600000000008</v>
      </c>
      <c r="M515" s="19">
        <v>5389.4700000000012</v>
      </c>
    </row>
    <row r="516" spans="1:13" s="20" customFormat="1" x14ac:dyDescent="0.35">
      <c r="A516" s="56" t="s">
        <v>3521</v>
      </c>
      <c r="B516" s="19"/>
      <c r="C516" s="19"/>
      <c r="D516" s="19"/>
      <c r="E516" s="19"/>
      <c r="F516" s="19"/>
      <c r="G516" s="19">
        <v>16125</v>
      </c>
      <c r="H516" s="19"/>
      <c r="I516" s="19"/>
      <c r="J516" s="19"/>
      <c r="K516" s="19"/>
      <c r="L516" s="19"/>
      <c r="M516" s="19">
        <v>16125</v>
      </c>
    </row>
    <row r="517" spans="1:13" s="20" customFormat="1" x14ac:dyDescent="0.35">
      <c r="A517" s="56" t="s">
        <v>2759</v>
      </c>
      <c r="B517" s="19"/>
      <c r="C517" s="19"/>
      <c r="D517" s="19"/>
      <c r="E517" s="19"/>
      <c r="F517" s="19"/>
      <c r="G517" s="19"/>
      <c r="H517" s="19"/>
      <c r="I517" s="19"/>
      <c r="J517" s="19">
        <v>2783</v>
      </c>
      <c r="K517" s="19"/>
      <c r="L517" s="19"/>
      <c r="M517" s="19">
        <v>2783</v>
      </c>
    </row>
    <row r="518" spans="1:13" s="20" customFormat="1" x14ac:dyDescent="0.35">
      <c r="A518" s="56" t="s">
        <v>2957</v>
      </c>
      <c r="B518" s="19">
        <v>5838.25</v>
      </c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>
        <v>5838.25</v>
      </c>
    </row>
    <row r="519" spans="1:13" s="20" customFormat="1" x14ac:dyDescent="0.35">
      <c r="A519" s="56" t="s">
        <v>772</v>
      </c>
      <c r="B519" s="19"/>
      <c r="C519" s="19"/>
      <c r="D519" s="19"/>
      <c r="E519" s="19"/>
      <c r="F519" s="19"/>
      <c r="G519" s="19">
        <v>278.61</v>
      </c>
      <c r="H519" s="19"/>
      <c r="I519" s="19"/>
      <c r="J519" s="19"/>
      <c r="K519" s="19"/>
      <c r="L519" s="19"/>
      <c r="M519" s="19">
        <v>278.61</v>
      </c>
    </row>
    <row r="520" spans="1:13" s="20" customFormat="1" x14ac:dyDescent="0.35">
      <c r="A520" s="56" t="s">
        <v>515</v>
      </c>
      <c r="B520" s="19"/>
      <c r="C520" s="19"/>
      <c r="D520" s="19"/>
      <c r="E520" s="19"/>
      <c r="F520" s="19"/>
      <c r="G520" s="19"/>
      <c r="H520" s="19">
        <v>20089.5</v>
      </c>
      <c r="I520" s="19">
        <v>473.22</v>
      </c>
      <c r="J520" s="19"/>
      <c r="K520" s="19"/>
      <c r="L520" s="19"/>
      <c r="M520" s="19">
        <v>20562.72</v>
      </c>
    </row>
    <row r="521" spans="1:13" s="20" customFormat="1" ht="21" x14ac:dyDescent="0.35">
      <c r="A521" s="56" t="s">
        <v>2584</v>
      </c>
      <c r="B521" s="19"/>
      <c r="C521" s="19"/>
      <c r="D521" s="19"/>
      <c r="E521" s="19"/>
      <c r="F521" s="19"/>
      <c r="G521" s="19"/>
      <c r="H521" s="19">
        <v>1475.78</v>
      </c>
      <c r="I521" s="19"/>
      <c r="J521" s="19"/>
      <c r="K521" s="19"/>
      <c r="L521" s="19">
        <v>1447.75</v>
      </c>
      <c r="M521" s="19">
        <v>2923.5299999999997</v>
      </c>
    </row>
    <row r="522" spans="1:13" s="20" customFormat="1" x14ac:dyDescent="0.35">
      <c r="A522" s="56" t="s">
        <v>1955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>
        <v>16.380000000000003</v>
      </c>
      <c r="L522" s="19"/>
      <c r="M522" s="19">
        <v>16.380000000000003</v>
      </c>
    </row>
    <row r="523" spans="1:13" s="20" customFormat="1" x14ac:dyDescent="0.35">
      <c r="A523" s="56" t="s">
        <v>3988</v>
      </c>
      <c r="B523" s="19"/>
      <c r="C523" s="19"/>
      <c r="D523" s="19"/>
      <c r="E523" s="19"/>
      <c r="F523" s="19">
        <v>7139</v>
      </c>
      <c r="G523" s="19"/>
      <c r="H523" s="19"/>
      <c r="I523" s="19"/>
      <c r="J523" s="19"/>
      <c r="K523" s="19">
        <v>1583.9</v>
      </c>
      <c r="L523" s="19"/>
      <c r="M523" s="19">
        <v>8722.9</v>
      </c>
    </row>
    <row r="524" spans="1:13" s="20" customFormat="1" x14ac:dyDescent="0.35">
      <c r="A524" s="56" t="s">
        <v>1937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>
        <v>2228.8200000000002</v>
      </c>
      <c r="M524" s="19">
        <v>2228.8200000000002</v>
      </c>
    </row>
    <row r="525" spans="1:13" s="20" customFormat="1" x14ac:dyDescent="0.35">
      <c r="A525" s="56" t="s">
        <v>2875</v>
      </c>
      <c r="B525" s="19"/>
      <c r="C525" s="19"/>
      <c r="D525" s="19"/>
      <c r="E525" s="19"/>
      <c r="F525" s="19">
        <v>5015.45</v>
      </c>
      <c r="G525" s="19"/>
      <c r="H525" s="19">
        <v>13068</v>
      </c>
      <c r="I525" s="19"/>
      <c r="J525" s="19"/>
      <c r="K525" s="19"/>
      <c r="L525" s="19">
        <v>3254.9</v>
      </c>
      <c r="M525" s="19">
        <v>21338.350000000002</v>
      </c>
    </row>
    <row r="526" spans="1:13" s="20" customFormat="1" x14ac:dyDescent="0.35">
      <c r="A526" s="58" t="s">
        <v>292</v>
      </c>
      <c r="B526" s="67"/>
      <c r="C526" s="67"/>
      <c r="D526" s="67"/>
      <c r="E526" s="67"/>
      <c r="F526" s="67"/>
      <c r="G526" s="67">
        <v>1676.13</v>
      </c>
      <c r="H526" s="67"/>
      <c r="I526" s="67"/>
      <c r="J526" s="67"/>
      <c r="K526" s="67">
        <v>7256.31</v>
      </c>
      <c r="L526" s="67"/>
      <c r="M526" s="67">
        <v>8932.44</v>
      </c>
    </row>
    <row r="527" spans="1:13" s="20" customFormat="1" x14ac:dyDescent="0.35">
      <c r="A527" s="21" t="s">
        <v>509</v>
      </c>
      <c r="B527" s="19">
        <v>104654.76000000001</v>
      </c>
      <c r="C527" s="19">
        <v>210786.74000000002</v>
      </c>
      <c r="D527" s="19">
        <v>173847.21</v>
      </c>
      <c r="E527" s="19">
        <v>200245.97999999992</v>
      </c>
      <c r="F527" s="19">
        <v>373339.03000000009</v>
      </c>
      <c r="G527" s="19">
        <v>448980.22000000009</v>
      </c>
      <c r="H527" s="19">
        <v>278102.73</v>
      </c>
      <c r="I527" s="19">
        <v>156099.27999999997</v>
      </c>
      <c r="J527" s="19">
        <v>146819.06000000003</v>
      </c>
      <c r="K527" s="19">
        <v>181467.88999999998</v>
      </c>
      <c r="L527" s="19">
        <v>521290.8000000001</v>
      </c>
      <c r="M527" s="19">
        <v>2795633.6999999988</v>
      </c>
    </row>
    <row r="528" spans="1:13" s="20" customFormat="1" ht="14.5" x14ac:dyDescent="0.35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 s="20" customFormat="1" ht="14.5" x14ac:dyDescent="0.35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 s="20" customFormat="1" ht="14.5" x14ac:dyDescent="0.35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 s="20" customFormat="1" ht="14.5" x14ac:dyDescent="0.35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 s="20" customFormat="1" ht="14.5" x14ac:dyDescent="0.35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 s="20" customFormat="1" ht="14.5" x14ac:dyDescent="0.35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 s="20" customFormat="1" ht="14.5" x14ac:dyDescent="0.35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s="20" customFormat="1" ht="14.5" x14ac:dyDescent="0.35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s="20" customFormat="1" ht="14.5" x14ac:dyDescent="0.35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s="20" customFormat="1" ht="14.5" x14ac:dyDescent="0.35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s="20" customFormat="1" ht="14.5" x14ac:dyDescent="0.35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s="20" customFormat="1" ht="14.5" x14ac:dyDescent="0.35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s="20" customFormat="1" ht="14.5" x14ac:dyDescent="0.35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s="20" customFormat="1" ht="14.5" x14ac:dyDescent="0.35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s="20" customFormat="1" ht="14.5" x14ac:dyDescent="0.35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s="20" customFormat="1" ht="14.5" x14ac:dyDescent="0.35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s="20" customFormat="1" ht="14.5" x14ac:dyDescent="0.35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s="20" customFormat="1" ht="14.5" x14ac:dyDescent="0.35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s="20" customFormat="1" ht="14.5" x14ac:dyDescent="0.35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s="20" customFormat="1" ht="14.5" x14ac:dyDescent="0.35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s="20" customFormat="1" ht="14.5" x14ac:dyDescent="0.35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s="20" customFormat="1" ht="14.5" x14ac:dyDescent="0.35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s="20" customFormat="1" ht="14.5" x14ac:dyDescent="0.35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s="20" customFormat="1" ht="14.5" x14ac:dyDescent="0.35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s="20" customFormat="1" ht="14.5" x14ac:dyDescent="0.35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s="20" customFormat="1" ht="14.5" x14ac:dyDescent="0.35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s="20" customFormat="1" ht="14.5" x14ac:dyDescent="0.35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s="20" customFormat="1" ht="14.5" x14ac:dyDescent="0.35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s="20" customFormat="1" ht="14.5" x14ac:dyDescent="0.35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s="20" customFormat="1" ht="14.5" x14ac:dyDescent="0.35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s="20" customFormat="1" ht="14.5" x14ac:dyDescent="0.35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s="20" customFormat="1" ht="14.5" x14ac:dyDescent="0.35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s="20" customFormat="1" ht="14.5" x14ac:dyDescent="0.35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s="20" customFormat="1" ht="14.5" x14ac:dyDescent="0.35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s="20" customFormat="1" ht="14.5" x14ac:dyDescent="0.35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s="20" customFormat="1" ht="14.5" x14ac:dyDescent="0.35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s="20" customFormat="1" ht="14.5" x14ac:dyDescent="0.35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s="20" customFormat="1" ht="14.5" x14ac:dyDescent="0.35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s="20" customFormat="1" ht="14.5" x14ac:dyDescent="0.35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s="20" customFormat="1" ht="14.5" x14ac:dyDescent="0.35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s="20" customFormat="1" ht="14.5" x14ac:dyDescent="0.35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s="20" customFormat="1" ht="14.5" x14ac:dyDescent="0.35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s="20" customFormat="1" ht="14.5" x14ac:dyDescent="0.35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s="20" customFormat="1" ht="14.5" x14ac:dyDescent="0.35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s="20" customFormat="1" ht="14.5" x14ac:dyDescent="0.35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s="20" customFormat="1" ht="14.5" x14ac:dyDescent="0.35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s="20" customFormat="1" ht="14.5" x14ac:dyDescent="0.35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s="20" customFormat="1" ht="14.5" x14ac:dyDescent="0.35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s="20" customFormat="1" ht="14.5" x14ac:dyDescent="0.35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s="20" customFormat="1" ht="14.5" x14ac:dyDescent="0.35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s="20" customFormat="1" ht="14.5" x14ac:dyDescent="0.35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s="20" customFormat="1" ht="14.5" x14ac:dyDescent="0.35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s="20" customFormat="1" ht="14.5" x14ac:dyDescent="0.35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s="20" customFormat="1" ht="14.5" x14ac:dyDescent="0.35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s="20" customFormat="1" ht="14.5" x14ac:dyDescent="0.35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s="20" customFormat="1" ht="14.5" x14ac:dyDescent="0.35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s="20" customFormat="1" ht="14.5" x14ac:dyDescent="0.35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s="20" customFormat="1" ht="14.5" x14ac:dyDescent="0.35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s="20" customFormat="1" ht="14.5" x14ac:dyDescent="0.35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s="20" customFormat="1" ht="14.5" x14ac:dyDescent="0.35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s="20" customFormat="1" ht="14.5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s="20" customFormat="1" ht="14.5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s="20" customFormat="1" ht="14.5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s="20" customFormat="1" ht="14.5" x14ac:dyDescent="0.35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s="20" customFormat="1" ht="14.5" x14ac:dyDescent="0.35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s="20" customFormat="1" ht="14.5" x14ac:dyDescent="0.35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s="20" customFormat="1" ht="14.5" x14ac:dyDescent="0.35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s="20" customFormat="1" ht="14.5" x14ac:dyDescent="0.35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s="20" customFormat="1" ht="14.5" x14ac:dyDescent="0.35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s="20" customFormat="1" ht="14.5" x14ac:dyDescent="0.35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s="20" customFormat="1" ht="14.5" x14ac:dyDescent="0.35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s="20" customFormat="1" ht="14.5" x14ac:dyDescent="0.35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s="20" customFormat="1" ht="14.5" x14ac:dyDescent="0.35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s="20" customFormat="1" ht="14.5" x14ac:dyDescent="0.35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s="20" customFormat="1" ht="14.5" x14ac:dyDescent="0.35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s="20" customFormat="1" ht="14.5" x14ac:dyDescent="0.35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s="20" customFormat="1" ht="14.5" x14ac:dyDescent="0.35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s="20" customFormat="1" ht="14.5" x14ac:dyDescent="0.35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s="20" customFormat="1" ht="14.5" x14ac:dyDescent="0.35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s="20" customFormat="1" ht="14.5" x14ac:dyDescent="0.35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s="20" customFormat="1" ht="14.5" x14ac:dyDescent="0.35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s="20" customFormat="1" ht="14.5" x14ac:dyDescent="0.35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s="20" customFormat="1" ht="14.5" x14ac:dyDescent="0.35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s="20" customFormat="1" ht="14.5" x14ac:dyDescent="0.35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s="20" customFormat="1" ht="14.5" x14ac:dyDescent="0.35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s="20" customFormat="1" ht="14.5" x14ac:dyDescent="0.35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s="20" customFormat="1" ht="14.5" x14ac:dyDescent="0.35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s="20" customFormat="1" ht="14.5" x14ac:dyDescent="0.35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s="20" customFormat="1" ht="14.5" x14ac:dyDescent="0.35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s="20" customFormat="1" ht="14.5" x14ac:dyDescent="0.35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s="20" customFormat="1" ht="14.5" x14ac:dyDescent="0.35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s="20" customFormat="1" ht="14.5" x14ac:dyDescent="0.35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s="20" customFormat="1" ht="14.5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s="20" customFormat="1" ht="14.5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s="20" customFormat="1" ht="14.5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s="20" customFormat="1" ht="14.5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s="20" customFormat="1" ht="14.5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s="20" customFormat="1" ht="14.5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s="20" customFormat="1" ht="14.5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s="20" customFormat="1" ht="14.5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s="20" customFormat="1" ht="14.5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s="20" customFormat="1" ht="14.5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s="20" customFormat="1" ht="14.5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s="20" customFormat="1" ht="14.5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s="20" customFormat="1" ht="14.5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s="20" customFormat="1" ht="14.5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s="20" customFormat="1" ht="14.5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s="20" customFormat="1" ht="14.5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s="20" customFormat="1" ht="14.5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s="20" customFormat="1" ht="14.5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s="20" customFormat="1" ht="14.5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s="20" customFormat="1" ht="14.5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s="20" customFormat="1" ht="14.5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s="20" customFormat="1" ht="14.5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s="20" customFormat="1" ht="14.5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s="20" customFormat="1" ht="14.5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s="20" customFormat="1" ht="14.5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s="20" customFormat="1" ht="14.5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s="20" customFormat="1" ht="14.5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s="20" customFormat="1" ht="14.5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s="20" customFormat="1" ht="14.5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s="20" customFormat="1" ht="14.5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s="20" customFormat="1" ht="14.5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s="20" customFormat="1" ht="14.5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s="20" customFormat="1" ht="14.5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s="20" customFormat="1" ht="14.5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s="20" customFormat="1" ht="14.5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s="20" customFormat="1" ht="14.5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s="20" customFormat="1" ht="14.5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s="20" customFormat="1" ht="14.5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s="20" customFormat="1" ht="14.5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s="20" customFormat="1" ht="14.5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s="20" customFormat="1" ht="14.5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s="20" customFormat="1" ht="14.5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s="20" customFormat="1" ht="14.5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s="20" customFormat="1" ht="14.5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s="20" customFormat="1" ht="14.5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s="20" customFormat="1" ht="14.5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s="20" customFormat="1" ht="14.5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s="20" customFormat="1" ht="14.5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s="20" customFormat="1" ht="14.5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s="20" customFormat="1" ht="14.5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s="20" customFormat="1" ht="14.5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s="20" customFormat="1" ht="14.5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s="20" customFormat="1" ht="14.5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s="20" customFormat="1" ht="14.5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s="20" customFormat="1" ht="14.5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s="20" customFormat="1" ht="14.5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s="20" customFormat="1" ht="14.5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s="20" customFormat="1" ht="14.5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s="20" customFormat="1" ht="14.5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s="20" customFormat="1" ht="14.5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s="20" customFormat="1" ht="14.5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s="20" customFormat="1" ht="14.5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s="20" customFormat="1" ht="14.5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s="20" customFormat="1" ht="14.5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s="20" customFormat="1" ht="14.5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s="20" customFormat="1" ht="14.5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s="20" customFormat="1" ht="14.5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4.5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4.5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4.5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4.5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4.5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4.5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4.5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4.5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4.5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4.5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4.5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4.5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4.5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4.5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4.5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4.5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4.5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4.5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4.5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4.5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4.5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4.5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4.5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4.5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4.5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4.5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4.5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4.5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4.5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4.5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4.5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4.5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4.5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4.5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4.5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4.5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4.5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4.5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4.5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4.5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4.5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4.5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4.5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4.5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4.5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4.5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4.5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4.5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4.5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4.5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4.5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4.5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4.5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4.5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4.5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4.5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4.5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4.5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4.5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4.5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4.5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4.5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4.5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4.5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4.5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4.5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4.5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4.5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4.5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4.5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4.5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4.5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4.5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4.5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4.5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4.5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4.5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4.5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4.5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4.5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4.5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4.5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4.5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4.5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4.5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4.5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4.5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4.5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4.5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4.5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4.5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4.5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4.5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4.5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4.5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4.5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4.5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4.5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4.5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4.5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4.5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4.5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4.5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4.5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4.5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4.5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4.5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4.5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4.5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4.5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4.5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4.5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4.5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4.5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4.5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4.5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4.5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4.5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4.5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4.5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4.5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4.5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4.5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4.5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4.5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4.5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4.5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4.5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4.5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4.5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4.5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4.5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4.5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4.5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4.5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4.5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4.5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4.5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4.5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4.5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4.5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4.5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4.5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4.5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4.5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4.5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4.5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4.5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4.5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4.5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4.5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4.5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4.5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4.5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4.5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4.5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4.5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4.5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4.5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4.5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4.5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4.5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4.5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4.5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4.5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4.5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4.5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4.5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4.5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4.5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4.5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4.5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4.5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4.5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4.5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4.5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4.5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4.5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4.5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4.5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4.5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4.5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4.5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4.5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4.5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4.5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4.5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4.5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4.5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4.5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4.5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4.5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4.5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4.5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4.5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4.5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4.5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4.5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4.5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4.5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4.5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4.5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4.5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4.5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4.5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4.5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4.5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4.5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4.5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4.5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4.5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4.5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4.5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4.5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4.5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4.5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4.5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4.5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4.5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4.5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4.5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4.5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4.5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4.5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4.5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4.5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4.5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4.5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4.5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4.5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4.5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4.5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4.5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4.5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4.5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4.5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4.5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4.5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4.5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4.5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4.5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4.5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4.5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4.5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4.5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4.5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4.5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4.5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4.5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4.5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4.5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4.5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4.5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4.5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4.5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4.5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4.5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4.5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4.5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4.5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4.5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4.5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4.5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4.5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4.5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4.5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4.5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4.5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4.5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4.5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4.5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4.5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4.5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4.5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4.5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4.5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4.5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4.5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4.5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4.5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4.5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4.5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4.5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4.5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4.5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4.5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4.5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4.5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4.5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4.5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4.5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4.5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4.5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4.5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4.5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4.5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4.5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4.5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4.5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4.5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4.5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4.5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4.5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4.5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4.5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4.5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4.5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4.5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4.5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4.5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4.5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4.5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4.5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4.5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4.5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4.5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4.5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4.5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4.5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4.5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4.5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4.5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4.5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4.5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4.5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4.5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4.5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4.5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4.5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4.5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4.5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4.5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4.5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4.5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4.5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4.5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4.5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4.5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4.5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4.5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4.5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4.5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4.5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4.5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4.5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4.5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4.5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4.5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4.5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4.5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4.5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4.5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4.5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4.5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4.5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4.5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4.5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4.5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4.5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4.5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4.5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4.5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4.5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4.5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4.5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4.5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4.5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4.5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4.5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4.5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4.5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4.5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4.5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4.5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4.5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4.5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4.5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4.5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4.5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4.5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4.5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4.5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4.5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4.5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4.5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4.5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4.5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4.5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4.5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4.5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4.5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4.5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4.5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4.5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4.5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4.5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4.5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s="20" customFormat="1" ht="14.5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s="20" customFormat="1" ht="14.5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4.5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4.5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4.5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4.5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4.5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4.5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4.5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4.5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4.5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4.5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4.5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4.5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4.5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4.5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4.5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4.5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4.5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4.5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4.5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4.5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4.5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4.5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4.5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4.5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4.5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4.5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4.5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4.5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4.5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4.5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4.5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4.5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4.5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4.5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4.5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4.5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4.5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4.5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4.5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4.5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4.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4.5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4.5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4.5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4.5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4.5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4.5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4.5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4.5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4.5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4.5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4.5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4.5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4.5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4.5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4.5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4.5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4.5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4.5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4.5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4.5" x14ac:dyDescent="0.3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4.5" x14ac:dyDescent="0.3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4.5" x14ac:dyDescent="0.3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4.5" x14ac:dyDescent="0.3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4.5" x14ac:dyDescent="0.3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4.5" x14ac:dyDescent="0.3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4.5" x14ac:dyDescent="0.3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4.5" x14ac:dyDescent="0.3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4.5" x14ac:dyDescent="0.3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4.5" x14ac:dyDescent="0.3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4.5" x14ac:dyDescent="0.3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4.5" x14ac:dyDescent="0.3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4.5" x14ac:dyDescent="0.3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4.5" x14ac:dyDescent="0.3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4.5" x14ac:dyDescent="0.3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4.5" x14ac:dyDescent="0.3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4.5" x14ac:dyDescent="0.3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4.5" x14ac:dyDescent="0.3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4.5" x14ac:dyDescent="0.3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4.5" x14ac:dyDescent="0.3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4.5" x14ac:dyDescent="0.3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4.5" x14ac:dyDescent="0.3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4.5" x14ac:dyDescent="0.3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4.5" x14ac:dyDescent="0.3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4.5" x14ac:dyDescent="0.3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4.5" x14ac:dyDescent="0.3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4.5" x14ac:dyDescent="0.3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4.5" x14ac:dyDescent="0.3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4.5" x14ac:dyDescent="0.3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4.5" x14ac:dyDescent="0.3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4.5" x14ac:dyDescent="0.3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4.5" x14ac:dyDescent="0.3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4.5" x14ac:dyDescent="0.3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4.5" x14ac:dyDescent="0.3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4.5" x14ac:dyDescent="0.3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4.5" x14ac:dyDescent="0.3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4.5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4.5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4.5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4.5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4.5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4.5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4.5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4.5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4.5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4.5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4.5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4.5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4.5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4.5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4.5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4.5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4.5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4.5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4.5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4.5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4.5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4.5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4.5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4.5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4.5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4.5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4.5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4.5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4.5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4.5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4.5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4.5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4.5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4.5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4.5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4.5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4.5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4.5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4.5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4.5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4.5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4.5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4.5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4.5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4.5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4.5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4.5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4.5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4.5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4.5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4.5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4.5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4.5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4.5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4.5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4.5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4.5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4.5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4.5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4.5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4.5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4.5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4.5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4.5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4.5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4.5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4.5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4.5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4.5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4.5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4.5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4.5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4.5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4.5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4.5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4.5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4.5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4.5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4.5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4.5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4.5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4.5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4.5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4.5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4.5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4.5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4.5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4.5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4.5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4.5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4.5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4.5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4.5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4.5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4.5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4.5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4.5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4.5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4.5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4.5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4.5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4.5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4.5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4.5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4.5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4.5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4.5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4.5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4.5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4.5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4.5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4.5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4.5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4.5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4.5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4.5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4.5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4.5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4.5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4.5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4.5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4.5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4.5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4.5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4.5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4.5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4.5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4.5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4.5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4.5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4.5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4.5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4.5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4.5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4.5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4.5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4.5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4.5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4.5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4.5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4.5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4.5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4.5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4.5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4.5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4.5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4.5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4.5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4.5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4.5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4.5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4.5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4.5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4.5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4.5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4.5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4.5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4.5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4.5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4.5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4.5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4.5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4.5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4.5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4.5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4.5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4.5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4.5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4.5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4.5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4.5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4.5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4.5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4.5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4.5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4.5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4.5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4.5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4.5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4.5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4.5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4.5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4.5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4.5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4.5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4.5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4.5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4.5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4.5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4.5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4.5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4.5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4.5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4.5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4.5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4.5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4.5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4.5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4.5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4.5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4.5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4.5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4.5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4.5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4.5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4.5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4.5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4.5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4.5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4.5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4.5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4.5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4.5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4.5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4.5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4.5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4.5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4.5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4.5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4.5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4.5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4.5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4.5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4.5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4.5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4.5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4.5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4.5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4.5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4.5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4.5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4.5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4.5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4.5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4.5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4.5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4.5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4.5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4.5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4.5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4.5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4.5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4.5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4.5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4.5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4.5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4.5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4.5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4.5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4.5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4.5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4.5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4.5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4.5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4.5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4.5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4.5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4.5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4.5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4.5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4.5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4.5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4.5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4.5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4.5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4.5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4.5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4.5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4.5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4.5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4.5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4.5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4.5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4.5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4.5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4.5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4.5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4.5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4.5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4.5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4.5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4.5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4.5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4.5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4.5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4.5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4.5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4.5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4.5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4.5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4.5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4.5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4.5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4.5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4.5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4.5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4.5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4.5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4.5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4.5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4.5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4.5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4.5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4.5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4.5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4.5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4.5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4.5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4.5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4.5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4.5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4.5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4.5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4.5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4.5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4.5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4.5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4.5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4.5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4.5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4.5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4.5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4.5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4.5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4.5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4.5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4.5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4.5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4.5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4.5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4.5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4.5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4.5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4.5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4.5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4.5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4.5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4.5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4.5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4.5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4.5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4.5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4.5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4.5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4.5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4.5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4.5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4.5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4.5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4.5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4.5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4.5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4.5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4.5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4.5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4.5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4.5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4.5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4.5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4.5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4.5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4.5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4.5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4.5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4.5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4.5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4.5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4.5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4.5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4.5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4.5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4.5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4.5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4.5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4.5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4.5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4.5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4.5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4.5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4.5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4.5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4.5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4.5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4.5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4.5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4.5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4.5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4.5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4.5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4.5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4.5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4.5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4.5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4.5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4.5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4.5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4.5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4.5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4.5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4.5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4.5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4.5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4.5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4.5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4.5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4.5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4.5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4.5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4.5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4.5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4.5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4.5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4.5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4.5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4.5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4.5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4.5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4.5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4.5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4.5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4.5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4.5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4.5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4.5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4.5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4.5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4.5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4.5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4.5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4.5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4.5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4.5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4.5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4.5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4.5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4.5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4.5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4.5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4.5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4.5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4.5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4.5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4.5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4.5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4.5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4.5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4.5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4.5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4.5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4.5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4.5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4.5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4.5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4.5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4.5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4.5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4.5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4.5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4.5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4.5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4.5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4.5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4.5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4.5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4.5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4.5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4.5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4.5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4.5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4.5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4.5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4.5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4.5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4.5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4.5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4.5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4.5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4.5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4.5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4.5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4.5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4.5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4.5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4.5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4.5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4.5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4.5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4.5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4.5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4.5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4.5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4.5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4.5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4.5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4.5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4.5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4.5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4.5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4.5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4.5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4.5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4.5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4.5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4.5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4.5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4.5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4.5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4.5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4.5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4.5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4.5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4.5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4.5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4.5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4.5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4.5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4.5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4.5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4.5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4.5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4.5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4.5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4.5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4.5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4.5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4.5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4.5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4.5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4.5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4.5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4.5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4.5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4.5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4.5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4.5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4.5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4.5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4.5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4.5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4.5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4.5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4.5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4.5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4.5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4.5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4.5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4.5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4.5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4.5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4.5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4.5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4.5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4.5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4.5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4.5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4.5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4.5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4.5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4.5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4.5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4.5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4.5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4.5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4.5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4.5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4.5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4.5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4.5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4.5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4.5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4.5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4.5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4.5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4.5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4.5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4.5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4.5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4.5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4.5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4.5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4.5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4.5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4.5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4.5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4.5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4.5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4.5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4.5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4.5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4.5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4.5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4.5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4.5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4.5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4.5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4.5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4.5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4.5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4.5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4.5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4.5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4.5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4.5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4.5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4.5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4.5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4.5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4.5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4.5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4.5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4.5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4.5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4.5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4.5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4.5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4.5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4.5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4.5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4.5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4.5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4.5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4.5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4.5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4.5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4.5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4.5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4.5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4.5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4.5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4.5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4.5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4.5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4.5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4.5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4.5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4.5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4.5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4.5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4.5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4.5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4.5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4.5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4.5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4.5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4.5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4.5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4.5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4.5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4.5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4.5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4.5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4.5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4.5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4.5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4.5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4.5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4.5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4.5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4.5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4.5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4.5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4.5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4.5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4.5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4.5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4.5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4.5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4.5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4.5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4.5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4.5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4.5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4.5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4.5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4.5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4.5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4.5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4.5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4.5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4.5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4.5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4.5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4.5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4.5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4.5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4.5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4.5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4.5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4.5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4.5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4.5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4.5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4.5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4.5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4.5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4.5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4.5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4.5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4.5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4.5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4.5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4.5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4.5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4.5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4.5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4.5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4.5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4.5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4.5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4.5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4.5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4.5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4.5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4.5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4.5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4.5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4.5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4.5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4.5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4.5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4.5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4.5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4.5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4.5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4.5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4.5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4.5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4.5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4.5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4.5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4.5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4.5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4.5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4.5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4.5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4.5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4.5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4.5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4.5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4.5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4.5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4.5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4.5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4.5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4.5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4.5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4.5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4.5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4.5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4.5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4.5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4.5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4.5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4.5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4.5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4.5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4.5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4.5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4.5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4.5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4.5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4.5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4.5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4.5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4.5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4.5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4.5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4.5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4.5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4.5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4.5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4.5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4.5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4.5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4.5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4.5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4.5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4.5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4.5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4.5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4.5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4.5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4.5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4.5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4.5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4.5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4.5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4.5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4.5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4.5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4.5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4.5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4.5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4.5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4.5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4.5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4.5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4.5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4.5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4.5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4.5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4.5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4.5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4.5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4.5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4.5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4.5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4.5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4.5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4.5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4.5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4.5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4.5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4.5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4.5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4.5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4.5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4.5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4.5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4.5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4.5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4.5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4.5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4.5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4.5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4.5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4.5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4.5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4.5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4.5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4.5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4.5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4.5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4.5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4.5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4.5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4.5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4.5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4.5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4.5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4.5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4.5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4.5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4.5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4.5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4.5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4.5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4.5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4.5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4.5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4.5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4.5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4.5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4.5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4.5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4.5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4.5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4.5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4.5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4.5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4.5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4.5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4.5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4.5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4.5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4.5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4.5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4.5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4.5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4.5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4.5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4.5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4.5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4.5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4.5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4.5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4.5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4.5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4.5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4.5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4.5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4.5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4.5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4.5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4.5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4.5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4.5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4.5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4.5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4.5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4.5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4.5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4.5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4.5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4.5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4.5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4.5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4.5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4.5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4.5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4.5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4.5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4.5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4.5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4.5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4.5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4.5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4.5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4.5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4.5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4.5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4.5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4.5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4.5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4.5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4.5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4.5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4.5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4.5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4.5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4.5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4.5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4.5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4.5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4.5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4.5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4.5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4.5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4.5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4.5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4.5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4.5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4.5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4.5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4.5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4.5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4.5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4.5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4.5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4.5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4.5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4.5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4.5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4.5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4.5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4.5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4.5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4.5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4.5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4.5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4.5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4.5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4.5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4.5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4.5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4.5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4.5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4.5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4.5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4.5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4.5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4.5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4.5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4.5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4.5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4.5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4.5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4.5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4.5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4.5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4.5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4.5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4.5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4.5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4.5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4.5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4.5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4.5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4.5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4.5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4.5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4.5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4.5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4.5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4.5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4.5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4.5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4.5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4.5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4.5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4.5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4.5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4.5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4.5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4.5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4.5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4.5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4.5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4.5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4.5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4.5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4.5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4.5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4.5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4.5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4.5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4.5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4.5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4.5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4.5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4.5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4.5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4.5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4.5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4.5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4.5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4.5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4.5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4.5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4.5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4.5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4.5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4.5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4.5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4.5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4.5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4.5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4.5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4.5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4.5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4.5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4.5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4.5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4.5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4.5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4.5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4.5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4.5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4.5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4.5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4.5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4.5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4.5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4.5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4.5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4.5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4.5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4.5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4.5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4.5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4.5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4.5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4.5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4.5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4.5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4.5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4.5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4.5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4.5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4.5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4.5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4.5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4.5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4.5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4.5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4.5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4.5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4.5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4.5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4.5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4.5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4.5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4.5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4.5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4.5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4.5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4.5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4.5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4.5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4.5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4.5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4.5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4.5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4.5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4.5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4.5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4.5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4.5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4.5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4.5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4.5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4.5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4.5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4.5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4.5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4.5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4.5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4.5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4.5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4.5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4.5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4.5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4.5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4.5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4.5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4.5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4.5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4.5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4.5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4.5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4.5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4.5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4.5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4.5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4.5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4.5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4.5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4.5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4.5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4.5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4.5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4.5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4.5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4.5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4.5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4.5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4.5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4.5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4.5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4.5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4.5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4.5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4.5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4.5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4.5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4.5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4.5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4.5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4.5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4.5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4.5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4.5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4.5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4.5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4.5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4.5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4.5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4.5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4.5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4.5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4.5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4.5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4.5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4.5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4.5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4.5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4.5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4.5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4.5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4.5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4.5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4.5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4.5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4.5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4.5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4.5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4.5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4.5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4.5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4.5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4.5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4.5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4.5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4.5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4.5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4.5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4.5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4.5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4.5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4.5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4.5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4.5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4.5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4.5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4.5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4.5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4.5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4.5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4.5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4.5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4.5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4.5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4.5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4.5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4.5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4.5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4.5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4.5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4.5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4.5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4.5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4.5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4.5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4.5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4.5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4.5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4.5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4.5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4.5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4.5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4.5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4.5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4.5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4.5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4.5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4.5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4.5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4.5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4.5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4.5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4.5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4.5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4.5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4.5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4.5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4.5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4.5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4.5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4.5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4.5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4.5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4.5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4.5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4.5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4.5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4.5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4.5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4.5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4.5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4.5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4.5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4.5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4.5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4.5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4.5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4.5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4.5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4.5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4.5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4.5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4.5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4.5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4.5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4.5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4.5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4.5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4.5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4.5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4.5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4.5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4.5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4.5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4.5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4.5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4.5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4.5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4.5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4.5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4.5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4.5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4.5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4.5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4.5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4.5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4.5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4.5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4.5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4.5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4.5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4.5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4.5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4.5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4.5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4.5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4.5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4.5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4.5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4.5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4.5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4.5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4.5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4.5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4.5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4.5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4.5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4.5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4.5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4.5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4.5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4.5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4.5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4.5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4.5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4.5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4.5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4.5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4.5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4.5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4.5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4.5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4.5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4.5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4.5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4.5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4.5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4.5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4.5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4.5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4.5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4.5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4.5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4.5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4.5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4.5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4.5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4.5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4.5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4.5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4.5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4.5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4.5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4.5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4.5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4.5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4.5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4.5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4.5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4.5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4.5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4.5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4.5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4.5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4.5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4.5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4.5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4.5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4.5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4.5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4.5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4.5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4.5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4.5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4.5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4.5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4.5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4.5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4.5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4.5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4.5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4.5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4.5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4.5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4.5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4.5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4.5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4.5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4.5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4.5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4.5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4.5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4.5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4.5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4.5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4.5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4.5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4.5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4.5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4.5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4.5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4.5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4.5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4.5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4.5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4.5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4.5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4.5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4.5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4.5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4.5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4.5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4.5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4.5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4.5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4.5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4.5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4.5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4.5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4.5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4.5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4.5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4.5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4.5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4.5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4.5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4.5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4.5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4.5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4.5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4.5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4.5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4.5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4.5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4.5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4.5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4.5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4.5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4.5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4.5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4.5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4.5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4.5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4.5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4.5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4.5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4.5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4.5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4.5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4.5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4.5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4.5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4.5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4.5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4.5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4.5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4.5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4.5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4.5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4.5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4.5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4.5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4.5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4.5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4.5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4.5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4.5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4.5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4.5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4.5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4.5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4.5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4.5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4.5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4.5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4.5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4.5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4.5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4.5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4.5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4.5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4.5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4.5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4.5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4.5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4.5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4.5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4.5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4.5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4.5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4.5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4.5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4.5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4.5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4.5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4.5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4.5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4.5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4.5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4.5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4.5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4.5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4.5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4.5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4.5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4.5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4.5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4.5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4.5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4.5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4.5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4.5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4.5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4.5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4.5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4.5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4.5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4.5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4.5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4.5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4.5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4.5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4.5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4.5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4.5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4.5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4.5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4.5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4.5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4.5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4.5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4.5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4.5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4.5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4.5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4.5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4.5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4.5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4.5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4.5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4.5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4.5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4.5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4.5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4.5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4.5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4.5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4.5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4.5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4.5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4.5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4.5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4.5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4.5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4.5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4.5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4.5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4.5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4.5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4.5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4.5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4.5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4.5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4.5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4.5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4.5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4.5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4.5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4.5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4.5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4.5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4.5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4.5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4.5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4.5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4.5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4.5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4.5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4.5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4.5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4.5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4.5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4.5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4.5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4.5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4.5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4.5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4.5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4.5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4.5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4.5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4.5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4.5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4.5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4.5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4.5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4.5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4.5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4.5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4.5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4.5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4.5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4.5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4.5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4.5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4.5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4.5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4.5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4.5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4.5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4.5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4.5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4.5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4.5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4.5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4.5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4.5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4.5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4.5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4.5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4.5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4.5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4.5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4.5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4.5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4.5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4.5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4.5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4.5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4.5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4.5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4.5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4.5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4.5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4.5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4.5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4.5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4.5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4.5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4.5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4.5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4.5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4.5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4.5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4.5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4.5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4.5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4.5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4.5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4.5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4.5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4.5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4.5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4.5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4.5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4.5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4.5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4.5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4.5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4.5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4.5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4.5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4.5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4.5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4.5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4.5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4.5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4.5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4.5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4.5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4.5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4.5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4.5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4.5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4.5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4.5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4.5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4.5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4.5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4.5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4.5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4.5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4.5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4.5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4.5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4.5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4.5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4.5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4.5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4.5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4.5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4.5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4.5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4.5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4.5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4.5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4.5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4.5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4.5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4.5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4.5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4.5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4.5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4.5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4.5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4.5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4.5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4.5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4.5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4.5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4.5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4.5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4.5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4.5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4.5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4.5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4.5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4.5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4.5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4.5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4.5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4.5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4.5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4.5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4.5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4.5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4.5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4.5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4.5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4.5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4.5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4.5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4.5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4.5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4.5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4.5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4.5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4.5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4.5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4.5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4.5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4.5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4.5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4.5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4.5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4.5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4.5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4.5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4.5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4.5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4.5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4.5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4.5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4.5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4.5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4.5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4.5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4.5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4.5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4.5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4.5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4.5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4.5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4.5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4.5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4.5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4.5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4.5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4.5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4.5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4.5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4.5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4.5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4.5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4.5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4.5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4.5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4.5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4.5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4.5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4.5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4.5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4.5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4.5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4.5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4.5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4.5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4.5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4.5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4.5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4.5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4.5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4.5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4.5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4.5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4.5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4.5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4.5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4.5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4.5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4.5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4.5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4.5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4.5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4.5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4.5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4.5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4.5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4.5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4.5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4.5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4.5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4.5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4.5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4.5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4.5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4.5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4.5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4.5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4.5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4.5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4.5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4.5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4.5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4.5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4.5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4.5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4.5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4.5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4.5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4.5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4.5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4.5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4.5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4.5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4.5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4.5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4.5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4.5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4.5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4.5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4.5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4.5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4.5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4.5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4.5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4.5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4.5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4.5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4.5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4.5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4.5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4.5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4.5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4.5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4.5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4.5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4.5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4.5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4.5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4.5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4.5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4.5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4.5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4.5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4.5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4.5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4.5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4.5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4.5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4.5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4.5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4.5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4.5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4.5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4.5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4.5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4.5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4.5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4.5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4.5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4.5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4.5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4.5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4.5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4.5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4.5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4.5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4.5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4.5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4.5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4.5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4.5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4.5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4.5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4.5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4.5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4.5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4.5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4.5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4.5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4.5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4.5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4.5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4.5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4.5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4.5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4.5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4.5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4.5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4.5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4.5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4.5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4.5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4.5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4.5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4.5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4.5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4.5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4.5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4.5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4.5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4.5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4.5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4.5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4.5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4.5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4.5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4.5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4.5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4.5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4.5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4.5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4.5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4.5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4.5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4.5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4.5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4.5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4.5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4.5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4.5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4.5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4.5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4.5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4.5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4.5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4.5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4.5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4.5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4.5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4.5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4.5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4.5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4.5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4.5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4.5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4.5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4.5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4.5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4.5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4.5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4.5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4.5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4.5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4.5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4.5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4.5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4.5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4.5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4.5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4.5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4.5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4.5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4.5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4.5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4.5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4.5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4.5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4.5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4.5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4.5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4.5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4.5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4.5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4.5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4.5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4.5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4.5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4.5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4.5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4.5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4.5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4.5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4.5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4.5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4.5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4.5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4.5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4.5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4.5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4.5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4.5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4.5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4.5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4.5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4.5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4.5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4.5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4.5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4.5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4.5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4.5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4.5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4.5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4.5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4.5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4.5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4.5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4.5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4.5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4.5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4.5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4.5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4.5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4.5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4.5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4.5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4.5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4.5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4.5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4.5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4.5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4.5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4.5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4.5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4.5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4.5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4.5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4.5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4.5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4.5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4.5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4.5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4.5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4.5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4.5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4.5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4.5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4.5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4.5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4.5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4.5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4.5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4.5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4.5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4.5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4.5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4.5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4.5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4.5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4.5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4.5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4.5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4.5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4.5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4.5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4.5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4.5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4.5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4.5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4.5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4.5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4.5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4.5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4.5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4.5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4.5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4.5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4.5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4.5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4.5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4.5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4.5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4.5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4.5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4.5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4.5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4.5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4.5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4.5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4.5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4.5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4.5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4.5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4.5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4.5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4.5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4.5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4.5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4.5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4.5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4.5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4.5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4.5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4.5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4.5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4.5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4.5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4.5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4.5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4.5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4.5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4.5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4.5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4.5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4.5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4.5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4.5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4.5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4.5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4.5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4.5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4.5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4.5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4.5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4.5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4.5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4.5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4.5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4.5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4.5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4.5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4.5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4.5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4.5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4.5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4.5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4.5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4.5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4.5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4.5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4.5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4.5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4.5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4.5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4.5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4.5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4.5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4.5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4.5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4.5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4.5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4.5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4.5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4.5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4.5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4.5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4.5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4.5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4.5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4.5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4.5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4.5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4.5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4.5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4.5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4.5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4.5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4.5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4.5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4.5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4.5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4.5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4.5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4.5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4.5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4.5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4.5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4.5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4.5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4.5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4.5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4.5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4.5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4.5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4.5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4.5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4.5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4.5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4.5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4.5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4.5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4.5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4.5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4.5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4.5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4.5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4.5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4.5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4.5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4.5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4.5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4.5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4.5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4.5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4.5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4.5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4.5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4.5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4.5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4.5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4.5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4.5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4.5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4.5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4.5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4.5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4.5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4.5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4.5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4.5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4.5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4.5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4.5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4.5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4.5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4.5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4.5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4.5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4.5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4.5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4.5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4.5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4.5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4.5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4.5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4.5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4.5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4.5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4.5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4.5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4.5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4.5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4.5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4.5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4.5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4.5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4.5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4.5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4.5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4.5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4.5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4.5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4.5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4.5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4.5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4.5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4.5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4.5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4.5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4.5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4.5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4.5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4.5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4.5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4.5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4.5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4.5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4.5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4.5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4.5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4.5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4.5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4.5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4.5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4.5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4.5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4.5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4.5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4.5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4.5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4.5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4.5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4.5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4.5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4.5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4.5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4.5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4.5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4.5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4.5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4.5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4.5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4.5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4.5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4.5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4.5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4.5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4.5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4.5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4.5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4.5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4.5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4.5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4.5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4.5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4.5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4.5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4.5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4.5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4.5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4.5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4.5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4.5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4.5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4.5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4.5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4.5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4.5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4.5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4.5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4.5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4.5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4.5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4.5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4.5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4.5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4.5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4.5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4.5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4.5" x14ac:dyDescent="0.3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96" fitToHeight="0" orientation="landscape" r:id="rId2"/>
  <headerFooter>
    <oddHeader>&amp;C&amp;"Arial Narrow,Negrita"&amp;14&amp;URELACION DE CONTRATOS MENORES AYUNTAMIENTO DE VALLADOLID POR AREAS - PRIMER, SEGUNDO Y TERCER TRIMESTRE EJERCICIO 2021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522"/>
  <sheetViews>
    <sheetView view="pageLayout" zoomScale="94" zoomScaleNormal="100" zoomScalePageLayoutView="94" workbookViewId="0"/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6265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ht="10.5" customHeight="1" x14ac:dyDescent="0.35">
      <c r="A2" s="21" t="s">
        <v>764</v>
      </c>
      <c r="B2" s="19"/>
      <c r="C2" s="19"/>
      <c r="D2" s="19"/>
      <c r="E2" s="19"/>
      <c r="F2" s="19"/>
      <c r="G2" s="19">
        <v>3000</v>
      </c>
      <c r="H2" s="19"/>
      <c r="I2" s="19">
        <v>29.78</v>
      </c>
      <c r="J2" s="19"/>
      <c r="K2" s="19"/>
      <c r="L2" s="19"/>
      <c r="M2" s="52">
        <f>SUM(Tabla2[[#This Row],[01. Alcaldía]:[11. Salud pública y seguridad ciudadana]])</f>
        <v>3029.78</v>
      </c>
    </row>
    <row r="3" spans="1:13" ht="10.5" customHeight="1" x14ac:dyDescent="0.35">
      <c r="A3" s="21" t="s">
        <v>3494</v>
      </c>
      <c r="B3" s="19"/>
      <c r="C3" s="19"/>
      <c r="D3" s="19"/>
      <c r="E3" s="19"/>
      <c r="F3" s="19">
        <v>18113.7</v>
      </c>
      <c r="G3" s="19"/>
      <c r="H3" s="19"/>
      <c r="I3" s="19"/>
      <c r="J3" s="19"/>
      <c r="K3" s="19"/>
      <c r="L3" s="19"/>
      <c r="M3" s="52">
        <f>SUM(Tabla2[[#This Row],[01. Alcaldía]:[11. Salud pública y seguridad ciudadana]])</f>
        <v>18113.7</v>
      </c>
    </row>
    <row r="4" spans="1:13" ht="10.5" customHeight="1" x14ac:dyDescent="0.35">
      <c r="A4" s="21" t="s">
        <v>824</v>
      </c>
      <c r="B4" s="19"/>
      <c r="C4" s="19"/>
      <c r="D4" s="19">
        <v>800</v>
      </c>
      <c r="E4" s="19"/>
      <c r="F4" s="19"/>
      <c r="G4" s="19"/>
      <c r="H4" s="19"/>
      <c r="I4" s="19"/>
      <c r="J4" s="19"/>
      <c r="K4" s="19"/>
      <c r="L4" s="19"/>
      <c r="M4" s="52">
        <f>SUM(Tabla2[[#This Row],[01. Alcaldía]:[11. Salud pública y seguridad ciudadana]])</f>
        <v>800</v>
      </c>
    </row>
    <row r="5" spans="1:13" ht="10.5" customHeight="1" x14ac:dyDescent="0.35">
      <c r="A5" s="21" t="s">
        <v>828</v>
      </c>
      <c r="B5" s="19"/>
      <c r="C5" s="19"/>
      <c r="D5" s="19"/>
      <c r="E5" s="19">
        <v>571.12</v>
      </c>
      <c r="F5" s="19"/>
      <c r="G5" s="19"/>
      <c r="H5" s="19"/>
      <c r="I5" s="19"/>
      <c r="J5" s="19"/>
      <c r="K5" s="19"/>
      <c r="L5" s="19"/>
      <c r="M5" s="52">
        <f>SUM(Tabla2[[#This Row],[01. Alcaldía]:[11. Salud pública y seguridad ciudadana]])</f>
        <v>571.12</v>
      </c>
    </row>
    <row r="6" spans="1:13" ht="10.5" customHeight="1" x14ac:dyDescent="0.35">
      <c r="A6" s="21" t="s">
        <v>280</v>
      </c>
      <c r="B6" s="19">
        <v>1999.63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52">
        <f>SUM(Tabla2[[#This Row],[01. Alcaldía]:[11. Salud pública y seguridad ciudadana]])</f>
        <v>1999.63</v>
      </c>
    </row>
    <row r="7" spans="1:13" ht="10.5" customHeight="1" x14ac:dyDescent="0.35">
      <c r="A7" s="21" t="s">
        <v>309</v>
      </c>
      <c r="B7" s="19"/>
      <c r="C7" s="19"/>
      <c r="D7" s="19"/>
      <c r="E7" s="19"/>
      <c r="F7" s="19">
        <v>302.5</v>
      </c>
      <c r="G7" s="19"/>
      <c r="H7" s="19"/>
      <c r="I7" s="19"/>
      <c r="J7" s="19"/>
      <c r="K7" s="19"/>
      <c r="L7" s="19"/>
      <c r="M7" s="52">
        <f>SUM(Tabla2[[#This Row],[01. Alcaldía]:[11. Salud pública y seguridad ciudadana]])</f>
        <v>302.5</v>
      </c>
    </row>
    <row r="8" spans="1:13" ht="10.5" customHeight="1" x14ac:dyDescent="0.35">
      <c r="A8" s="21" t="s">
        <v>3524</v>
      </c>
      <c r="B8" s="19"/>
      <c r="C8" s="19"/>
      <c r="D8" s="19"/>
      <c r="E8" s="19"/>
      <c r="F8" s="19"/>
      <c r="G8" s="19">
        <v>1200</v>
      </c>
      <c r="H8" s="19"/>
      <c r="I8" s="19"/>
      <c r="J8" s="19"/>
      <c r="K8" s="19">
        <v>14400</v>
      </c>
      <c r="L8" s="19"/>
      <c r="M8" s="52">
        <f>SUM(Tabla2[[#This Row],[01. Alcaldía]:[11. Salud pública y seguridad ciudadana]])</f>
        <v>15600</v>
      </c>
    </row>
    <row r="9" spans="1:13" ht="10.5" customHeight="1" x14ac:dyDescent="0.35">
      <c r="A9" s="21" t="s">
        <v>845</v>
      </c>
      <c r="B9" s="19"/>
      <c r="C9" s="19"/>
      <c r="D9" s="19"/>
      <c r="E9" s="19"/>
      <c r="F9" s="19"/>
      <c r="G9" s="19"/>
      <c r="H9" s="19"/>
      <c r="I9" s="19"/>
      <c r="J9" s="19"/>
      <c r="K9" s="19">
        <v>326.7</v>
      </c>
      <c r="L9" s="19">
        <v>321.86</v>
      </c>
      <c r="M9" s="52">
        <f>SUM(Tabla2[[#This Row],[01. Alcaldía]:[11. Salud pública y seguridad ciudadana]])</f>
        <v>648.55999999999995</v>
      </c>
    </row>
    <row r="10" spans="1:13" ht="10.5" customHeight="1" x14ac:dyDescent="0.35">
      <c r="A10" s="21" t="s">
        <v>860</v>
      </c>
      <c r="B10" s="19"/>
      <c r="C10" s="19"/>
      <c r="D10" s="19"/>
      <c r="E10" s="19"/>
      <c r="F10" s="19">
        <v>9015</v>
      </c>
      <c r="G10" s="19"/>
      <c r="H10" s="19"/>
      <c r="I10" s="19"/>
      <c r="J10" s="19"/>
      <c r="K10" s="19"/>
      <c r="L10" s="19"/>
      <c r="M10" s="52">
        <f>SUM(Tabla2[[#This Row],[01. Alcaldía]:[11. Salud pública y seguridad ciudadana]])</f>
        <v>9015</v>
      </c>
    </row>
    <row r="11" spans="1:13" ht="10.5" customHeight="1" x14ac:dyDescent="0.35">
      <c r="A11" s="21" t="s">
        <v>4937</v>
      </c>
      <c r="B11" s="19"/>
      <c r="C11" s="19"/>
      <c r="D11" s="19"/>
      <c r="E11" s="19"/>
      <c r="F11" s="19"/>
      <c r="G11" s="19"/>
      <c r="H11" s="19">
        <v>6715.5</v>
      </c>
      <c r="I11" s="19"/>
      <c r="J11" s="19"/>
      <c r="K11" s="19"/>
      <c r="L11" s="19"/>
      <c r="M11" s="52">
        <f>SUM(Tabla2[[#This Row],[01. Alcaldía]:[11. Salud pública y seguridad ciudadana]])</f>
        <v>6715.5</v>
      </c>
    </row>
    <row r="12" spans="1:13" ht="10.5" customHeight="1" x14ac:dyDescent="0.35">
      <c r="A12" s="21" t="s">
        <v>64</v>
      </c>
      <c r="B12" s="19">
        <v>9275.67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52">
        <f>SUM(Tabla2[[#This Row],[01. Alcaldía]:[11. Salud pública y seguridad ciudadana]])</f>
        <v>9275.67</v>
      </c>
    </row>
    <row r="13" spans="1:13" ht="10.5" customHeight="1" x14ac:dyDescent="0.35">
      <c r="A13" s="21" t="s">
        <v>63</v>
      </c>
      <c r="B13" s="19">
        <v>10529.62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52">
        <f>SUM(Tabla2[[#This Row],[01. Alcaldía]:[11. Salud pública y seguridad ciudadana]])</f>
        <v>10529.62</v>
      </c>
    </row>
    <row r="14" spans="1:13" x14ac:dyDescent="0.35">
      <c r="A14" s="21" t="s">
        <v>867</v>
      </c>
      <c r="B14" s="19"/>
      <c r="C14" s="19"/>
      <c r="D14" s="19"/>
      <c r="E14" s="19"/>
      <c r="F14" s="19"/>
      <c r="G14" s="19"/>
      <c r="H14" s="19">
        <v>7000</v>
      </c>
      <c r="I14" s="19"/>
      <c r="J14" s="19"/>
      <c r="K14" s="19"/>
      <c r="L14" s="19"/>
      <c r="M14" s="52">
        <f>SUM(Tabla2[[#This Row],[01. Alcaldía]:[11. Salud pública y seguridad ciudadana]])</f>
        <v>7000</v>
      </c>
    </row>
    <row r="15" spans="1:13" ht="10.5" customHeight="1" x14ac:dyDescent="0.35">
      <c r="A15" s="21" t="s">
        <v>783</v>
      </c>
      <c r="B15" s="19"/>
      <c r="C15" s="19"/>
      <c r="D15" s="19"/>
      <c r="E15" s="19"/>
      <c r="F15" s="19">
        <v>11470.8</v>
      </c>
      <c r="G15" s="19"/>
      <c r="H15" s="19"/>
      <c r="I15" s="19"/>
      <c r="J15" s="19"/>
      <c r="K15" s="19"/>
      <c r="L15" s="19"/>
      <c r="M15" s="52">
        <f>SUM(Tabla2[[#This Row],[01. Alcaldía]:[11. Salud pública y seguridad ciudadana]])</f>
        <v>11470.8</v>
      </c>
    </row>
    <row r="16" spans="1:13" ht="10.5" customHeight="1" x14ac:dyDescent="0.35">
      <c r="A16" s="21" t="s">
        <v>98</v>
      </c>
      <c r="B16" s="19"/>
      <c r="C16" s="19"/>
      <c r="D16" s="19"/>
      <c r="E16" s="19"/>
      <c r="F16" s="19">
        <v>599.61999999999989</v>
      </c>
      <c r="G16" s="19"/>
      <c r="H16" s="19"/>
      <c r="I16" s="19"/>
      <c r="J16" s="19"/>
      <c r="K16" s="19"/>
      <c r="L16" s="19"/>
      <c r="M16" s="52">
        <f>SUM(Tabla2[[#This Row],[01. Alcaldía]:[11. Salud pública y seguridad ciudadana]])</f>
        <v>599.61999999999989</v>
      </c>
    </row>
    <row r="17" spans="1:13" ht="10.5" customHeight="1" x14ac:dyDescent="0.35">
      <c r="A17" s="21" t="s">
        <v>4252</v>
      </c>
      <c r="B17" s="19"/>
      <c r="C17" s="19"/>
      <c r="D17" s="19">
        <v>440</v>
      </c>
      <c r="E17" s="19"/>
      <c r="F17" s="19"/>
      <c r="G17" s="19"/>
      <c r="H17" s="19"/>
      <c r="I17" s="19"/>
      <c r="J17" s="19"/>
      <c r="K17" s="19"/>
      <c r="L17" s="19"/>
      <c r="M17" s="52">
        <f>SUM(Tabla2[[#This Row],[01. Alcaldía]:[11. Salud pública y seguridad ciudadana]])</f>
        <v>440</v>
      </c>
    </row>
    <row r="18" spans="1:13" ht="10.5" customHeight="1" x14ac:dyDescent="0.35">
      <c r="A18" s="21" t="s">
        <v>67</v>
      </c>
      <c r="B18" s="19"/>
      <c r="C18" s="19"/>
      <c r="D18" s="19">
        <v>544.5</v>
      </c>
      <c r="E18" s="19"/>
      <c r="F18" s="19"/>
      <c r="G18" s="19">
        <v>2310</v>
      </c>
      <c r="H18" s="19"/>
      <c r="I18" s="19"/>
      <c r="J18" s="19"/>
      <c r="K18" s="19"/>
      <c r="L18" s="19"/>
      <c r="M18" s="52">
        <f>SUM(Tabla2[[#This Row],[01. Alcaldía]:[11. Salud pública y seguridad ciudadana]])</f>
        <v>2854.5</v>
      </c>
    </row>
    <row r="19" spans="1:13" ht="10.5" customHeight="1" x14ac:dyDescent="0.35">
      <c r="A19" s="21" t="s">
        <v>4599</v>
      </c>
      <c r="B19" s="19"/>
      <c r="C19" s="19"/>
      <c r="D19" s="19"/>
      <c r="E19" s="19"/>
      <c r="F19" s="19"/>
      <c r="G19" s="19">
        <v>102.82</v>
      </c>
      <c r="H19" s="19"/>
      <c r="I19" s="19"/>
      <c r="J19" s="19"/>
      <c r="K19" s="19"/>
      <c r="L19" s="19"/>
      <c r="M19" s="52">
        <f>SUM(Tabla2[[#This Row],[01. Alcaldía]:[11. Salud pública y seguridad ciudadana]])</f>
        <v>102.82</v>
      </c>
    </row>
    <row r="20" spans="1:13" ht="10.5" customHeight="1" x14ac:dyDescent="0.35">
      <c r="A20" s="21" t="s">
        <v>4940</v>
      </c>
      <c r="B20" s="19"/>
      <c r="C20" s="19"/>
      <c r="D20" s="19"/>
      <c r="E20" s="19"/>
      <c r="F20" s="19"/>
      <c r="G20" s="19">
        <v>100</v>
      </c>
      <c r="H20" s="19"/>
      <c r="I20" s="19"/>
      <c r="J20" s="19"/>
      <c r="K20" s="19"/>
      <c r="L20" s="19"/>
      <c r="M20" s="52">
        <f>SUM(Tabla2[[#This Row],[01. Alcaldía]:[11. Salud pública y seguridad ciudadana]])</f>
        <v>100</v>
      </c>
    </row>
    <row r="21" spans="1:13" ht="10.5" customHeight="1" x14ac:dyDescent="0.35">
      <c r="A21" s="21" t="s">
        <v>84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7247.9</v>
      </c>
      <c r="M21" s="52">
        <f>SUM(Tabla2[[#This Row],[01. Alcaldía]:[11. Salud pública y seguridad ciudadana]])</f>
        <v>7247.9</v>
      </c>
    </row>
    <row r="22" spans="1:13" ht="10.5" customHeight="1" x14ac:dyDescent="0.35">
      <c r="A22" s="21" t="s">
        <v>4000</v>
      </c>
      <c r="B22" s="19"/>
      <c r="C22" s="19"/>
      <c r="D22" s="19"/>
      <c r="E22" s="19"/>
      <c r="F22" s="19"/>
      <c r="G22" s="19">
        <v>1064.8</v>
      </c>
      <c r="H22" s="19"/>
      <c r="I22" s="19"/>
      <c r="J22" s="19"/>
      <c r="K22" s="19"/>
      <c r="L22" s="19"/>
      <c r="M22" s="52">
        <f>SUM(Tabla2[[#This Row],[01. Alcaldía]:[11. Salud pública y seguridad ciudadana]])</f>
        <v>1064.8</v>
      </c>
    </row>
    <row r="23" spans="1:13" ht="10.5" customHeight="1" x14ac:dyDescent="0.35">
      <c r="A23" s="21" t="s">
        <v>1168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12492.61</v>
      </c>
      <c r="M23" s="52">
        <f>SUM(Tabla2[[#This Row],[01. Alcaldía]:[11. Salud pública y seguridad ciudadana]])</f>
        <v>12492.61</v>
      </c>
    </row>
    <row r="24" spans="1:13" x14ac:dyDescent="0.35">
      <c r="A24" s="21" t="s">
        <v>4955</v>
      </c>
      <c r="B24" s="19"/>
      <c r="C24" s="19"/>
      <c r="D24" s="19">
        <v>600</v>
      </c>
      <c r="E24" s="19"/>
      <c r="F24" s="19"/>
      <c r="G24" s="19"/>
      <c r="H24" s="19"/>
      <c r="I24" s="19"/>
      <c r="J24" s="19"/>
      <c r="K24" s="19"/>
      <c r="L24" s="19"/>
      <c r="M24" s="52">
        <f>SUM(Tabla2[[#This Row],[01. Alcaldía]:[11. Salud pública y seguridad ciudadana]])</f>
        <v>600</v>
      </c>
    </row>
    <row r="25" spans="1:13" ht="10.5" customHeight="1" x14ac:dyDescent="0.35">
      <c r="A25" s="21" t="s">
        <v>228</v>
      </c>
      <c r="B25" s="19"/>
      <c r="C25" s="19"/>
      <c r="D25" s="19"/>
      <c r="E25" s="19">
        <v>17505.93</v>
      </c>
      <c r="F25" s="19"/>
      <c r="G25" s="19">
        <v>13583.05</v>
      </c>
      <c r="H25" s="19"/>
      <c r="I25" s="19"/>
      <c r="J25" s="19"/>
      <c r="K25" s="19">
        <v>7252.59</v>
      </c>
      <c r="L25" s="19"/>
      <c r="M25" s="52">
        <f>SUM(Tabla2[[#This Row],[01. Alcaldía]:[11. Salud pública y seguridad ciudadana]])</f>
        <v>38341.57</v>
      </c>
    </row>
    <row r="26" spans="1:13" ht="10.5" customHeight="1" x14ac:dyDescent="0.35">
      <c r="A26" s="21" t="s">
        <v>4003</v>
      </c>
      <c r="B26" s="19"/>
      <c r="C26" s="19"/>
      <c r="D26" s="19"/>
      <c r="E26" s="19"/>
      <c r="F26" s="19"/>
      <c r="G26" s="19">
        <v>1064.8</v>
      </c>
      <c r="H26" s="19"/>
      <c r="I26" s="19"/>
      <c r="J26" s="19"/>
      <c r="K26" s="19"/>
      <c r="L26" s="19"/>
      <c r="M26" s="52">
        <f>SUM(Tabla2[[#This Row],[01. Alcaldía]:[11. Salud pública y seguridad ciudadana]])</f>
        <v>1064.8</v>
      </c>
    </row>
    <row r="27" spans="1:13" ht="10.5" customHeight="1" x14ac:dyDescent="0.35">
      <c r="A27" s="21" t="s">
        <v>3720</v>
      </c>
      <c r="B27" s="19"/>
      <c r="C27" s="19"/>
      <c r="D27" s="19"/>
      <c r="E27" s="19"/>
      <c r="F27" s="19"/>
      <c r="G27" s="19">
        <v>4000.01</v>
      </c>
      <c r="H27" s="19"/>
      <c r="I27" s="19"/>
      <c r="J27" s="19"/>
      <c r="K27" s="19"/>
      <c r="L27" s="19"/>
      <c r="M27" s="52">
        <f>SUM(Tabla2[[#This Row],[01. Alcaldía]:[11. Salud pública y seguridad ciudadana]])</f>
        <v>4000.01</v>
      </c>
    </row>
    <row r="28" spans="1:13" ht="10.5" customHeight="1" x14ac:dyDescent="0.35">
      <c r="A28" s="21" t="s">
        <v>1178</v>
      </c>
      <c r="B28" s="19"/>
      <c r="C28" s="19"/>
      <c r="D28" s="19"/>
      <c r="E28" s="19"/>
      <c r="F28" s="19"/>
      <c r="G28" s="19"/>
      <c r="H28" s="19"/>
      <c r="I28" s="19"/>
      <c r="J28" s="19">
        <v>3267</v>
      </c>
      <c r="K28" s="19"/>
      <c r="L28" s="19"/>
      <c r="M28" s="52">
        <f>SUM(Tabla2[[#This Row],[01. Alcaldía]:[11. Salud pública y seguridad ciudadana]])</f>
        <v>3267</v>
      </c>
    </row>
    <row r="29" spans="1:13" ht="10.5" customHeight="1" x14ac:dyDescent="0.35">
      <c r="A29" s="21" t="s">
        <v>1184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2000</v>
      </c>
      <c r="M29" s="52">
        <f>SUM(Tabla2[[#This Row],[01. Alcaldía]:[11. Salud pública y seguridad ciudadana]])</f>
        <v>2000</v>
      </c>
    </row>
    <row r="30" spans="1:13" ht="10.5" customHeight="1" x14ac:dyDescent="0.35">
      <c r="A30" s="21" t="s">
        <v>69</v>
      </c>
      <c r="B30" s="19"/>
      <c r="C30" s="19"/>
      <c r="D30" s="19">
        <v>544.5</v>
      </c>
      <c r="E30" s="19"/>
      <c r="F30" s="19"/>
      <c r="G30" s="19">
        <v>4000</v>
      </c>
      <c r="H30" s="19"/>
      <c r="I30" s="19"/>
      <c r="J30" s="19"/>
      <c r="K30" s="19"/>
      <c r="L30" s="19"/>
      <c r="M30" s="52">
        <f>SUM(Tabla2[[#This Row],[01. Alcaldía]:[11. Salud pública y seguridad ciudadana]])</f>
        <v>4544.5</v>
      </c>
    </row>
    <row r="31" spans="1:13" ht="10.5" customHeight="1" x14ac:dyDescent="0.35">
      <c r="A31" s="21" t="s">
        <v>222</v>
      </c>
      <c r="B31" s="19"/>
      <c r="C31" s="19"/>
      <c r="D31" s="19"/>
      <c r="E31" s="19"/>
      <c r="F31" s="19"/>
      <c r="G31" s="19"/>
      <c r="H31" s="19"/>
      <c r="I31" s="19">
        <v>1100.58</v>
      </c>
      <c r="J31" s="19"/>
      <c r="K31" s="19"/>
      <c r="L31" s="19"/>
      <c r="M31" s="52">
        <f>SUM(Tabla2[[#This Row],[01. Alcaldía]:[11. Salud pública y seguridad ciudadana]])</f>
        <v>1100.58</v>
      </c>
    </row>
    <row r="32" spans="1:13" x14ac:dyDescent="0.35">
      <c r="A32" s="21" t="s">
        <v>49</v>
      </c>
      <c r="B32" s="19">
        <v>1624.7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52">
        <f>SUM(Tabla2[[#This Row],[01. Alcaldía]:[11. Salud pública y seguridad ciudadana]])</f>
        <v>1624.7</v>
      </c>
    </row>
    <row r="33" spans="1:13" ht="10.5" customHeight="1" x14ac:dyDescent="0.35">
      <c r="A33" s="21" t="s">
        <v>3644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6267.8</v>
      </c>
      <c r="M33" s="52">
        <f>SUM(Tabla2[[#This Row],[01. Alcaldía]:[11. Salud pública y seguridad ciudadana]])</f>
        <v>6267.8</v>
      </c>
    </row>
    <row r="34" spans="1:13" ht="10.5" customHeight="1" x14ac:dyDescent="0.35">
      <c r="A34" s="21" t="s">
        <v>5008</v>
      </c>
      <c r="B34" s="19"/>
      <c r="C34" s="19"/>
      <c r="D34" s="19"/>
      <c r="E34" s="19"/>
      <c r="F34" s="19">
        <v>10890</v>
      </c>
      <c r="G34" s="19"/>
      <c r="H34" s="19"/>
      <c r="I34" s="19"/>
      <c r="J34" s="19"/>
      <c r="K34" s="19"/>
      <c r="L34" s="19"/>
      <c r="M34" s="52">
        <f>SUM(Tabla2[[#This Row],[01. Alcaldía]:[11. Salud pública y seguridad ciudadana]])</f>
        <v>10890</v>
      </c>
    </row>
    <row r="35" spans="1:13" ht="10.5" customHeight="1" x14ac:dyDescent="0.35">
      <c r="A35" s="21" t="s">
        <v>3580</v>
      </c>
      <c r="B35" s="19"/>
      <c r="C35" s="19"/>
      <c r="D35" s="19">
        <v>7260</v>
      </c>
      <c r="E35" s="19"/>
      <c r="F35" s="19"/>
      <c r="G35" s="19"/>
      <c r="H35" s="19"/>
      <c r="I35" s="19"/>
      <c r="J35" s="19"/>
      <c r="K35" s="19"/>
      <c r="L35" s="19"/>
      <c r="M35" s="52">
        <f>SUM(Tabla2[[#This Row],[01. Alcaldía]:[11. Salud pública y seguridad ciudadana]])</f>
        <v>7260</v>
      </c>
    </row>
    <row r="36" spans="1:13" ht="10.5" customHeight="1" x14ac:dyDescent="0.35">
      <c r="A36" s="21" t="s">
        <v>243</v>
      </c>
      <c r="B36" s="19"/>
      <c r="C36" s="19"/>
      <c r="D36" s="19"/>
      <c r="E36" s="19"/>
      <c r="F36" s="19">
        <v>489.48</v>
      </c>
      <c r="G36" s="19"/>
      <c r="H36" s="19"/>
      <c r="I36" s="19"/>
      <c r="J36" s="19"/>
      <c r="K36" s="19"/>
      <c r="L36" s="19">
        <v>228.97</v>
      </c>
      <c r="M36" s="52">
        <f>SUM(Tabla2[[#This Row],[01. Alcaldía]:[11. Salud pública y seguridad ciudadana]])</f>
        <v>718.45</v>
      </c>
    </row>
    <row r="37" spans="1:13" ht="10.5" customHeight="1" x14ac:dyDescent="0.35">
      <c r="A37" s="21" t="s">
        <v>1209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290.39999999999998</v>
      </c>
      <c r="M37" s="52">
        <f>SUM(Tabla2[[#This Row],[01. Alcaldía]:[11. Salud pública y seguridad ciudadana]])</f>
        <v>290.39999999999998</v>
      </c>
    </row>
    <row r="38" spans="1:13" x14ac:dyDescent="0.35">
      <c r="A38" s="21" t="s">
        <v>78</v>
      </c>
      <c r="B38" s="19"/>
      <c r="C38" s="19"/>
      <c r="D38" s="19"/>
      <c r="E38" s="19"/>
      <c r="F38" s="19"/>
      <c r="G38" s="19">
        <v>97.13</v>
      </c>
      <c r="H38" s="19">
        <v>3078.36</v>
      </c>
      <c r="I38" s="19"/>
      <c r="J38" s="19"/>
      <c r="K38" s="19"/>
      <c r="L38" s="19">
        <v>4118.6399999999994</v>
      </c>
      <c r="M38" s="52">
        <f>SUM(Tabla2[[#This Row],[01. Alcaldía]:[11. Salud pública y seguridad ciudadana]])</f>
        <v>7294.1299999999992</v>
      </c>
    </row>
    <row r="39" spans="1:13" ht="10.5" customHeight="1" x14ac:dyDescent="0.35">
      <c r="A39" s="21" t="s">
        <v>1221</v>
      </c>
      <c r="B39" s="19"/>
      <c r="C39" s="19"/>
      <c r="D39" s="19">
        <v>462.64</v>
      </c>
      <c r="E39" s="19"/>
      <c r="F39" s="19"/>
      <c r="G39" s="19"/>
      <c r="H39" s="19"/>
      <c r="I39" s="19"/>
      <c r="J39" s="19"/>
      <c r="K39" s="19"/>
      <c r="L39" s="19"/>
      <c r="M39" s="52">
        <f>SUM(Tabla2[[#This Row],[01. Alcaldía]:[11. Salud pública y seguridad ciudadana]])</f>
        <v>462.64</v>
      </c>
    </row>
    <row r="40" spans="1:13" ht="10.5" customHeight="1" x14ac:dyDescent="0.35">
      <c r="A40" s="21" t="s">
        <v>43</v>
      </c>
      <c r="B40" s="19"/>
      <c r="C40" s="19">
        <v>523.92999999999995</v>
      </c>
      <c r="D40" s="19">
        <v>623.15</v>
      </c>
      <c r="E40" s="19">
        <v>2008.6</v>
      </c>
      <c r="F40" s="19"/>
      <c r="G40" s="19"/>
      <c r="H40" s="19"/>
      <c r="I40" s="19"/>
      <c r="J40" s="19"/>
      <c r="K40" s="19">
        <v>9555.3200000000015</v>
      </c>
      <c r="L40" s="19"/>
      <c r="M40" s="52">
        <f>SUM(Tabla2[[#This Row],[01. Alcaldía]:[11. Salud pública y seguridad ciudadana]])</f>
        <v>12711.000000000002</v>
      </c>
    </row>
    <row r="41" spans="1:13" ht="10.5" customHeight="1" x14ac:dyDescent="0.35">
      <c r="A41" s="21" t="s">
        <v>4097</v>
      </c>
      <c r="B41" s="19"/>
      <c r="C41" s="19">
        <v>809.49</v>
      </c>
      <c r="D41" s="19"/>
      <c r="E41" s="19"/>
      <c r="F41" s="19"/>
      <c r="G41" s="19"/>
      <c r="H41" s="19"/>
      <c r="I41" s="19"/>
      <c r="J41" s="19"/>
      <c r="K41" s="19"/>
      <c r="L41" s="19"/>
      <c r="M41" s="52">
        <f>SUM(Tabla2[[#This Row],[01. Alcaldía]:[11. Salud pública y seguridad ciudadana]])</f>
        <v>809.49</v>
      </c>
    </row>
    <row r="42" spans="1:13" ht="10.5" customHeight="1" x14ac:dyDescent="0.35">
      <c r="A42" s="21" t="s">
        <v>3287</v>
      </c>
      <c r="B42" s="19"/>
      <c r="C42" s="19"/>
      <c r="D42" s="19"/>
      <c r="E42" s="19"/>
      <c r="F42" s="19"/>
      <c r="G42" s="19"/>
      <c r="H42" s="19"/>
      <c r="I42" s="19"/>
      <c r="J42" s="19">
        <v>1500</v>
      </c>
      <c r="K42" s="19"/>
      <c r="L42" s="19"/>
      <c r="M42" s="52">
        <f>SUM(Tabla2[[#This Row],[01. Alcaldía]:[11. Salud pública y seguridad ciudadana]])</f>
        <v>1500</v>
      </c>
    </row>
    <row r="43" spans="1:13" ht="10.5" customHeight="1" x14ac:dyDescent="0.35">
      <c r="A43" s="21" t="s">
        <v>1248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798.5</v>
      </c>
      <c r="L43" s="19"/>
      <c r="M43" s="52">
        <f>SUM(Tabla2[[#This Row],[01. Alcaldía]:[11. Salud pública y seguridad ciudadana]])</f>
        <v>798.5</v>
      </c>
    </row>
    <row r="44" spans="1:13" ht="10.5" customHeight="1" x14ac:dyDescent="0.35">
      <c r="A44" s="21" t="s">
        <v>4970</v>
      </c>
      <c r="B44" s="19"/>
      <c r="C44" s="19"/>
      <c r="D44" s="19">
        <v>495</v>
      </c>
      <c r="E44" s="19"/>
      <c r="F44" s="19"/>
      <c r="G44" s="19"/>
      <c r="H44" s="19"/>
      <c r="I44" s="19"/>
      <c r="J44" s="19"/>
      <c r="K44" s="19"/>
      <c r="L44" s="19"/>
      <c r="M44" s="52">
        <f>SUM(Tabla2[[#This Row],[01. Alcaldía]:[11. Salud pública y seguridad ciudadana]])</f>
        <v>495</v>
      </c>
    </row>
    <row r="45" spans="1:13" ht="10.5" customHeight="1" x14ac:dyDescent="0.35">
      <c r="A45" s="21" t="s">
        <v>1252</v>
      </c>
      <c r="B45" s="19"/>
      <c r="C45" s="19"/>
      <c r="D45" s="19"/>
      <c r="E45" s="19"/>
      <c r="F45" s="19"/>
      <c r="G45" s="19"/>
      <c r="H45" s="19"/>
      <c r="I45" s="19"/>
      <c r="J45" s="19">
        <v>4000</v>
      </c>
      <c r="K45" s="19"/>
      <c r="L45" s="19"/>
      <c r="M45" s="52">
        <f>SUM(Tabla2[[#This Row],[01. Alcaldía]:[11. Salud pública y seguridad ciudadana]])</f>
        <v>4000</v>
      </c>
    </row>
    <row r="46" spans="1:13" ht="10.5" customHeight="1" x14ac:dyDescent="0.35">
      <c r="A46" s="21" t="s">
        <v>4273</v>
      </c>
      <c r="B46" s="19"/>
      <c r="C46" s="19"/>
      <c r="D46" s="19">
        <v>400</v>
      </c>
      <c r="E46" s="19"/>
      <c r="F46" s="19"/>
      <c r="G46" s="19"/>
      <c r="H46" s="19"/>
      <c r="I46" s="19"/>
      <c r="J46" s="19"/>
      <c r="K46" s="19"/>
      <c r="L46" s="19"/>
      <c r="M46" s="52">
        <f>SUM(Tabla2[[#This Row],[01. Alcaldía]:[11. Salud pública y seguridad ciudadana]])</f>
        <v>400</v>
      </c>
    </row>
    <row r="47" spans="1:13" ht="10.5" customHeight="1" x14ac:dyDescent="0.35">
      <c r="A47" s="21" t="s">
        <v>5302</v>
      </c>
      <c r="B47" s="19"/>
      <c r="C47" s="19"/>
      <c r="D47" s="19"/>
      <c r="E47" s="19"/>
      <c r="F47" s="19"/>
      <c r="G47" s="19"/>
      <c r="H47" s="19"/>
      <c r="I47" s="19"/>
      <c r="J47" s="19">
        <v>2000</v>
      </c>
      <c r="K47" s="19"/>
      <c r="L47" s="19"/>
      <c r="M47" s="52">
        <f>SUM(Tabla2[[#This Row],[01. Alcaldía]:[11. Salud pública y seguridad ciudadana]])</f>
        <v>2000</v>
      </c>
    </row>
    <row r="48" spans="1:13" ht="10.5" customHeight="1" x14ac:dyDescent="0.35">
      <c r="A48" s="21" t="s">
        <v>3689</v>
      </c>
      <c r="B48" s="19"/>
      <c r="C48" s="19"/>
      <c r="D48" s="19">
        <v>10230</v>
      </c>
      <c r="E48" s="19"/>
      <c r="F48" s="19"/>
      <c r="G48" s="19"/>
      <c r="H48" s="19"/>
      <c r="I48" s="19"/>
      <c r="J48" s="19"/>
      <c r="K48" s="19"/>
      <c r="L48" s="19"/>
      <c r="M48" s="52">
        <f>SUM(Tabla2[[#This Row],[01. Alcaldía]:[11. Salud pública y seguridad ciudadana]])</f>
        <v>10230</v>
      </c>
    </row>
    <row r="49" spans="1:13" ht="10.5" customHeight="1" x14ac:dyDescent="0.35">
      <c r="A49" s="21" t="s">
        <v>5202</v>
      </c>
      <c r="B49" s="19"/>
      <c r="C49" s="19"/>
      <c r="D49" s="19"/>
      <c r="E49" s="19"/>
      <c r="F49" s="19"/>
      <c r="G49" s="19">
        <v>3580</v>
      </c>
      <c r="H49" s="19"/>
      <c r="I49" s="19"/>
      <c r="J49" s="19"/>
      <c r="K49" s="19"/>
      <c r="L49" s="19"/>
      <c r="M49" s="52">
        <f>SUM(Tabla2[[#This Row],[01. Alcaldía]:[11. Salud pública y seguridad ciudadana]])</f>
        <v>3580</v>
      </c>
    </row>
    <row r="50" spans="1:13" ht="10.5" customHeight="1" x14ac:dyDescent="0.35">
      <c r="A50" s="21" t="s">
        <v>4981</v>
      </c>
      <c r="B50" s="19"/>
      <c r="C50" s="19"/>
      <c r="D50" s="19">
        <v>990</v>
      </c>
      <c r="E50" s="19"/>
      <c r="F50" s="19"/>
      <c r="G50" s="19"/>
      <c r="H50" s="19"/>
      <c r="I50" s="19"/>
      <c r="J50" s="19"/>
      <c r="K50" s="19"/>
      <c r="L50" s="19"/>
      <c r="M50" s="52">
        <f>SUM(Tabla2[[#This Row],[01. Alcaldía]:[11. Salud pública y seguridad ciudadana]])</f>
        <v>990</v>
      </c>
    </row>
    <row r="51" spans="1:13" ht="10.5" customHeight="1" x14ac:dyDescent="0.35">
      <c r="A51" s="21" t="s">
        <v>1256</v>
      </c>
      <c r="B51" s="19"/>
      <c r="C51" s="19"/>
      <c r="D51" s="19">
        <v>350</v>
      </c>
      <c r="E51" s="19"/>
      <c r="F51" s="19"/>
      <c r="G51" s="19"/>
      <c r="H51" s="19"/>
      <c r="I51" s="19"/>
      <c r="J51" s="19"/>
      <c r="K51" s="19"/>
      <c r="L51" s="19"/>
      <c r="M51" s="52">
        <f>SUM(Tabla2[[#This Row],[01. Alcaldía]:[11. Salud pública y seguridad ciudadana]])</f>
        <v>350</v>
      </c>
    </row>
    <row r="52" spans="1:13" ht="10.5" customHeight="1" x14ac:dyDescent="0.35">
      <c r="A52" s="21" t="s">
        <v>4983</v>
      </c>
      <c r="B52" s="19"/>
      <c r="C52" s="19"/>
      <c r="D52" s="19">
        <v>300</v>
      </c>
      <c r="E52" s="19"/>
      <c r="F52" s="19"/>
      <c r="G52" s="19"/>
      <c r="H52" s="19"/>
      <c r="I52" s="19"/>
      <c r="J52" s="19"/>
      <c r="K52" s="19">
        <v>300</v>
      </c>
      <c r="L52" s="19"/>
      <c r="M52" s="52">
        <f>SUM(Tabla2[[#This Row],[01. Alcaldía]:[11. Salud pública y seguridad ciudadana]])</f>
        <v>600</v>
      </c>
    </row>
    <row r="53" spans="1:13" ht="10.5" customHeight="1" x14ac:dyDescent="0.35">
      <c r="A53" s="21" t="s">
        <v>3582</v>
      </c>
      <c r="B53" s="19"/>
      <c r="C53" s="19"/>
      <c r="D53" s="19"/>
      <c r="E53" s="19"/>
      <c r="F53" s="19"/>
      <c r="G53" s="19">
        <v>7260</v>
      </c>
      <c r="H53" s="19"/>
      <c r="I53" s="19"/>
      <c r="J53" s="19"/>
      <c r="K53" s="19"/>
      <c r="L53" s="19"/>
      <c r="M53" s="52">
        <f>SUM(Tabla2[[#This Row],[01. Alcaldía]:[11. Salud pública y seguridad ciudadana]])</f>
        <v>7260</v>
      </c>
    </row>
    <row r="54" spans="1:13" ht="10.5" customHeight="1" x14ac:dyDescent="0.35">
      <c r="A54" s="21" t="s">
        <v>3750</v>
      </c>
      <c r="B54" s="19"/>
      <c r="C54" s="19"/>
      <c r="D54" s="19"/>
      <c r="E54" s="19"/>
      <c r="F54" s="19">
        <v>3630</v>
      </c>
      <c r="G54" s="19"/>
      <c r="H54" s="19"/>
      <c r="I54" s="19"/>
      <c r="J54" s="19"/>
      <c r="K54" s="19"/>
      <c r="L54" s="19"/>
      <c r="M54" s="52">
        <f>SUM(Tabla2[[#This Row],[01. Alcaldía]:[11. Salud pública y seguridad ciudadana]])</f>
        <v>3630</v>
      </c>
    </row>
    <row r="55" spans="1:13" ht="10.5" customHeight="1" x14ac:dyDescent="0.35">
      <c r="A55" s="21" t="s">
        <v>4986</v>
      </c>
      <c r="B55" s="19"/>
      <c r="C55" s="19"/>
      <c r="D55" s="19">
        <v>786.5</v>
      </c>
      <c r="E55" s="19"/>
      <c r="F55" s="19"/>
      <c r="G55" s="19">
        <v>1379.4</v>
      </c>
      <c r="H55" s="19"/>
      <c r="I55" s="19"/>
      <c r="J55" s="19"/>
      <c r="K55" s="19"/>
      <c r="L55" s="19"/>
      <c r="M55" s="52">
        <f>SUM(Tabla2[[#This Row],[01. Alcaldía]:[11. Salud pública y seguridad ciudadana]])</f>
        <v>2165.9</v>
      </c>
    </row>
    <row r="56" spans="1:13" ht="10.5" customHeight="1" x14ac:dyDescent="0.35">
      <c r="A56" s="21" t="s">
        <v>523</v>
      </c>
      <c r="B56" s="19"/>
      <c r="C56" s="19"/>
      <c r="D56" s="19">
        <v>400</v>
      </c>
      <c r="E56" s="19"/>
      <c r="F56" s="19"/>
      <c r="G56" s="19"/>
      <c r="H56" s="19"/>
      <c r="I56" s="19"/>
      <c r="J56" s="19"/>
      <c r="K56" s="19"/>
      <c r="L56" s="19"/>
      <c r="M56" s="52">
        <f>SUM(Tabla2[[#This Row],[01. Alcaldía]:[11. Salud pública y seguridad ciudadana]])</f>
        <v>400</v>
      </c>
    </row>
    <row r="57" spans="1:13" ht="10.5" customHeight="1" x14ac:dyDescent="0.35">
      <c r="A57" s="21" t="s">
        <v>4307</v>
      </c>
      <c r="B57" s="19"/>
      <c r="C57" s="19"/>
      <c r="D57" s="19"/>
      <c r="E57" s="19"/>
      <c r="F57" s="19"/>
      <c r="G57" s="19">
        <v>360</v>
      </c>
      <c r="H57" s="19"/>
      <c r="I57" s="19"/>
      <c r="J57" s="19"/>
      <c r="K57" s="19"/>
      <c r="L57" s="19"/>
      <c r="M57" s="52">
        <f>SUM(Tabla2[[#This Row],[01. Alcaldía]:[11. Salud pública y seguridad ciudadana]])</f>
        <v>360</v>
      </c>
    </row>
    <row r="58" spans="1:13" ht="10.5" customHeight="1" x14ac:dyDescent="0.35">
      <c r="A58" s="21" t="s">
        <v>522</v>
      </c>
      <c r="B58" s="19"/>
      <c r="C58" s="19"/>
      <c r="D58" s="19"/>
      <c r="E58" s="19"/>
      <c r="F58" s="19">
        <v>427.61</v>
      </c>
      <c r="G58" s="19"/>
      <c r="H58" s="19"/>
      <c r="I58" s="19"/>
      <c r="J58" s="19"/>
      <c r="K58" s="19"/>
      <c r="L58" s="19"/>
      <c r="M58" s="52">
        <f>SUM(Tabla2[[#This Row],[01. Alcaldía]:[11. Salud pública y seguridad ciudadana]])</f>
        <v>427.61</v>
      </c>
    </row>
    <row r="59" spans="1:13" ht="10.5" customHeight="1" x14ac:dyDescent="0.35">
      <c r="A59" s="21" t="s">
        <v>207</v>
      </c>
      <c r="B59" s="19"/>
      <c r="C59" s="19"/>
      <c r="D59" s="19"/>
      <c r="E59" s="19"/>
      <c r="F59" s="19"/>
      <c r="G59" s="19"/>
      <c r="H59" s="19"/>
      <c r="I59" s="19"/>
      <c r="J59" s="19">
        <v>3329.92</v>
      </c>
      <c r="K59" s="19"/>
      <c r="L59" s="19">
        <v>1000</v>
      </c>
      <c r="M59" s="52">
        <f>SUM(Tabla2[[#This Row],[01. Alcaldía]:[11. Salud pública y seguridad ciudadana]])</f>
        <v>4329.92</v>
      </c>
    </row>
    <row r="60" spans="1:13" ht="10.5" customHeight="1" x14ac:dyDescent="0.35">
      <c r="A60" s="21" t="s">
        <v>4991</v>
      </c>
      <c r="B60" s="19"/>
      <c r="C60" s="19"/>
      <c r="D60" s="19"/>
      <c r="E60" s="19"/>
      <c r="F60" s="19"/>
      <c r="G60" s="19">
        <v>2931.83</v>
      </c>
      <c r="H60" s="19"/>
      <c r="I60" s="19"/>
      <c r="J60" s="19"/>
      <c r="K60" s="19">
        <v>1818.51</v>
      </c>
      <c r="L60" s="19"/>
      <c r="M60" s="52">
        <f>SUM(Tabla2[[#This Row],[01. Alcaldía]:[11. Salud pública y seguridad ciudadana]])</f>
        <v>4750.34</v>
      </c>
    </row>
    <row r="61" spans="1:13" ht="10.5" customHeight="1" x14ac:dyDescent="0.35">
      <c r="A61" s="21" t="s">
        <v>315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10454.629999999999</v>
      </c>
      <c r="M61" s="52">
        <f>SUM(Tabla2[[#This Row],[01. Alcaldía]:[11. Salud pública y seguridad ciudadana]])</f>
        <v>10454.629999999999</v>
      </c>
    </row>
    <row r="62" spans="1:13" ht="10.5" customHeight="1" x14ac:dyDescent="0.35">
      <c r="A62" s="21" t="s">
        <v>4163</v>
      </c>
      <c r="B62" s="19"/>
      <c r="C62" s="19"/>
      <c r="D62" s="19"/>
      <c r="E62" s="19"/>
      <c r="F62" s="19"/>
      <c r="G62" s="19">
        <v>600</v>
      </c>
      <c r="H62" s="19"/>
      <c r="I62" s="19"/>
      <c r="J62" s="19"/>
      <c r="K62" s="19"/>
      <c r="L62" s="19"/>
      <c r="M62" s="52">
        <f>SUM(Tabla2[[#This Row],[01. Alcaldía]:[11. Salud pública y seguridad ciudadana]])</f>
        <v>600</v>
      </c>
    </row>
    <row r="63" spans="1:13" ht="10.5" customHeight="1" x14ac:dyDescent="0.35">
      <c r="A63" s="21" t="s">
        <v>3199</v>
      </c>
      <c r="B63" s="19"/>
      <c r="C63" s="19"/>
      <c r="D63" s="19"/>
      <c r="E63" s="19"/>
      <c r="F63" s="19"/>
      <c r="G63" s="19"/>
      <c r="H63" s="19"/>
      <c r="I63" s="19"/>
      <c r="J63" s="19">
        <v>7530.29</v>
      </c>
      <c r="K63" s="19"/>
      <c r="L63" s="19"/>
      <c r="M63" s="52">
        <f>SUM(Tabla2[[#This Row],[01. Alcaldía]:[11. Salud pública y seguridad ciudadana]])</f>
        <v>7530.29</v>
      </c>
    </row>
    <row r="64" spans="1:13" ht="10.5" customHeight="1" x14ac:dyDescent="0.35">
      <c r="A64" s="21" t="s">
        <v>310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3100</v>
      </c>
      <c r="M64" s="52">
        <f>SUM(Tabla2[[#This Row],[01. Alcaldía]:[11. Salud pública y seguridad ciudadana]])</f>
        <v>3100</v>
      </c>
    </row>
    <row r="65" spans="1:13" ht="10.5" customHeight="1" x14ac:dyDescent="0.35">
      <c r="A65" s="21" t="s">
        <v>193</v>
      </c>
      <c r="B65" s="19"/>
      <c r="C65" s="19"/>
      <c r="D65" s="19"/>
      <c r="E65" s="19"/>
      <c r="F65" s="19">
        <v>755.86</v>
      </c>
      <c r="G65" s="19"/>
      <c r="H65" s="19"/>
      <c r="I65" s="19"/>
      <c r="J65" s="19"/>
      <c r="K65" s="19"/>
      <c r="L65" s="19"/>
      <c r="M65" s="52">
        <f>SUM(Tabla2[[#This Row],[01. Alcaldía]:[11. Salud pública y seguridad ciudadana]])</f>
        <v>755.86</v>
      </c>
    </row>
    <row r="66" spans="1:13" ht="10.5" customHeight="1" x14ac:dyDescent="0.35">
      <c r="A66" s="21" t="s">
        <v>317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7260</v>
      </c>
      <c r="M66" s="52">
        <f>SUM(Tabla2[[#This Row],[01. Alcaldía]:[11. Salud pública y seguridad ciudadana]])</f>
        <v>7260</v>
      </c>
    </row>
    <row r="67" spans="1:13" ht="10.5" customHeight="1" x14ac:dyDescent="0.35">
      <c r="A67" s="21" t="s">
        <v>2922</v>
      </c>
      <c r="B67" s="19"/>
      <c r="C67" s="19"/>
      <c r="D67" s="19"/>
      <c r="E67" s="19"/>
      <c r="F67" s="19">
        <v>726</v>
      </c>
      <c r="G67" s="19"/>
      <c r="H67" s="19"/>
      <c r="I67" s="19"/>
      <c r="J67" s="19"/>
      <c r="K67" s="19"/>
      <c r="L67" s="19"/>
      <c r="M67" s="52">
        <f>SUM(Tabla2[[#This Row],[01. Alcaldía]:[11. Salud pública y seguridad ciudadana]])</f>
        <v>726</v>
      </c>
    </row>
    <row r="68" spans="1:13" ht="10.5" customHeight="1" x14ac:dyDescent="0.35">
      <c r="A68" s="21" t="s">
        <v>4209</v>
      </c>
      <c r="B68" s="19"/>
      <c r="C68" s="19"/>
      <c r="D68" s="19"/>
      <c r="E68" s="19"/>
      <c r="F68" s="19"/>
      <c r="G68" s="19">
        <v>500</v>
      </c>
      <c r="H68" s="19"/>
      <c r="I68" s="19"/>
      <c r="J68" s="19"/>
      <c r="K68" s="19"/>
      <c r="L68" s="19"/>
      <c r="M68" s="52">
        <f>SUM(Tabla2[[#This Row],[01. Alcaldía]:[11. Salud pública y seguridad ciudadana]])</f>
        <v>500</v>
      </c>
    </row>
    <row r="69" spans="1:13" ht="10.5" customHeight="1" x14ac:dyDescent="0.35">
      <c r="A69" s="21" t="s">
        <v>298</v>
      </c>
      <c r="B69" s="19"/>
      <c r="C69" s="19"/>
      <c r="D69" s="19"/>
      <c r="E69" s="19"/>
      <c r="F69" s="19"/>
      <c r="G69" s="19">
        <v>171.82</v>
      </c>
      <c r="H69" s="19"/>
      <c r="I69" s="19"/>
      <c r="J69" s="19"/>
      <c r="K69" s="19"/>
      <c r="L69" s="19"/>
      <c r="M69" s="52">
        <f>SUM(Tabla2[[#This Row],[01. Alcaldía]:[11. Salud pública y seguridad ciudadana]])</f>
        <v>171.82</v>
      </c>
    </row>
    <row r="70" spans="1:13" ht="10.5" customHeight="1" x14ac:dyDescent="0.35">
      <c r="A70" s="21" t="s">
        <v>312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6968.4</v>
      </c>
      <c r="M70" s="52">
        <f>SUM(Tabla2[[#This Row],[01. Alcaldía]:[11. Salud pública y seguridad ciudadana]])</f>
        <v>6968.4</v>
      </c>
    </row>
    <row r="71" spans="1:13" ht="10.5" customHeight="1" x14ac:dyDescent="0.35">
      <c r="A71" s="21" t="s">
        <v>307</v>
      </c>
      <c r="B71" s="19"/>
      <c r="C71" s="19"/>
      <c r="D71" s="19">
        <v>1210</v>
      </c>
      <c r="E71" s="19"/>
      <c r="F71" s="19"/>
      <c r="G71" s="19">
        <v>1500</v>
      </c>
      <c r="H71" s="19"/>
      <c r="I71" s="19"/>
      <c r="J71" s="19"/>
      <c r="K71" s="19"/>
      <c r="L71" s="19"/>
      <c r="M71" s="52">
        <f>SUM(Tabla2[[#This Row],[01. Alcaldía]:[11. Salud pública y seguridad ciudadana]])</f>
        <v>2710</v>
      </c>
    </row>
    <row r="72" spans="1:13" ht="10.5" customHeight="1" x14ac:dyDescent="0.35">
      <c r="A72" s="21" t="s">
        <v>576</v>
      </c>
      <c r="B72" s="19"/>
      <c r="C72" s="19"/>
      <c r="D72" s="19"/>
      <c r="E72" s="19"/>
      <c r="F72" s="19">
        <v>603.66</v>
      </c>
      <c r="G72" s="19"/>
      <c r="H72" s="19"/>
      <c r="I72" s="19"/>
      <c r="J72" s="19"/>
      <c r="K72" s="19"/>
      <c r="L72" s="19"/>
      <c r="M72" s="52">
        <f>SUM(Tabla2[[#This Row],[01. Alcaldía]:[11. Salud pública y seguridad ciudadana]])</f>
        <v>603.66</v>
      </c>
    </row>
    <row r="73" spans="1:13" ht="10.5" customHeight="1" x14ac:dyDescent="0.35">
      <c r="A73" s="21" t="s">
        <v>767</v>
      </c>
      <c r="B73" s="19"/>
      <c r="C73" s="19"/>
      <c r="D73" s="19"/>
      <c r="E73" s="19"/>
      <c r="F73" s="19"/>
      <c r="G73" s="19"/>
      <c r="H73" s="19">
        <v>2012.21</v>
      </c>
      <c r="I73" s="19"/>
      <c r="J73" s="19"/>
      <c r="K73" s="19"/>
      <c r="L73" s="19"/>
      <c r="M73" s="52">
        <f>SUM(Tabla2[[#This Row],[01. Alcaldía]:[11. Salud pública y seguridad ciudadana]])</f>
        <v>2012.21</v>
      </c>
    </row>
    <row r="74" spans="1:13" ht="10.5" customHeight="1" x14ac:dyDescent="0.35">
      <c r="A74" s="21" t="s">
        <v>1306</v>
      </c>
      <c r="B74" s="19"/>
      <c r="C74" s="19"/>
      <c r="D74" s="19"/>
      <c r="E74" s="19"/>
      <c r="F74" s="19"/>
      <c r="G74" s="19"/>
      <c r="H74" s="19"/>
      <c r="I74" s="19"/>
      <c r="J74" s="19"/>
      <c r="K74" s="19">
        <v>5445</v>
      </c>
      <c r="L74" s="19"/>
      <c r="M74" s="52">
        <f>SUM(Tabla2[[#This Row],[01. Alcaldía]:[11. Salud pública y seguridad ciudadana]])</f>
        <v>5445</v>
      </c>
    </row>
    <row r="75" spans="1:13" ht="10.5" customHeight="1" x14ac:dyDescent="0.35">
      <c r="A75" s="21" t="s">
        <v>3196</v>
      </c>
      <c r="B75" s="19"/>
      <c r="C75" s="19"/>
      <c r="D75" s="19"/>
      <c r="E75" s="19"/>
      <c r="F75" s="19"/>
      <c r="G75" s="19">
        <v>2500</v>
      </c>
      <c r="H75" s="19"/>
      <c r="I75" s="19"/>
      <c r="J75" s="19">
        <v>871.2</v>
      </c>
      <c r="K75" s="19"/>
      <c r="L75" s="19"/>
      <c r="M75" s="52">
        <f>SUM(Tabla2[[#This Row],[01. Alcaldía]:[11. Salud pública y seguridad ciudadana]])</f>
        <v>3371.2</v>
      </c>
    </row>
    <row r="76" spans="1:13" ht="10.5" customHeight="1" x14ac:dyDescent="0.35">
      <c r="A76" s="21" t="s">
        <v>5084</v>
      </c>
      <c r="B76" s="19"/>
      <c r="C76" s="19"/>
      <c r="D76" s="19"/>
      <c r="E76" s="19"/>
      <c r="F76" s="19">
        <v>6582.4</v>
      </c>
      <c r="G76" s="19"/>
      <c r="H76" s="19"/>
      <c r="I76" s="19"/>
      <c r="J76" s="19"/>
      <c r="K76" s="19"/>
      <c r="L76" s="19"/>
      <c r="M76" s="52">
        <f>SUM(Tabla2[[#This Row],[01. Alcaldía]:[11. Salud pública y seguridad ciudadana]])</f>
        <v>6582.4</v>
      </c>
    </row>
    <row r="77" spans="1:13" ht="10.5" customHeight="1" x14ac:dyDescent="0.35">
      <c r="A77" s="21" t="s">
        <v>2968</v>
      </c>
      <c r="B77" s="19"/>
      <c r="C77" s="19"/>
      <c r="D77" s="19"/>
      <c r="E77" s="19">
        <v>10350</v>
      </c>
      <c r="F77" s="19"/>
      <c r="G77" s="19"/>
      <c r="H77" s="19"/>
      <c r="I77" s="19"/>
      <c r="J77" s="19"/>
      <c r="K77" s="19"/>
      <c r="L77" s="19"/>
      <c r="M77" s="52">
        <f>SUM(Tabla2[[#This Row],[01. Alcaldía]:[11. Salud pública y seguridad ciudadana]])</f>
        <v>10350</v>
      </c>
    </row>
    <row r="78" spans="1:13" ht="10.5" customHeight="1" x14ac:dyDescent="0.35">
      <c r="A78" s="21" t="s">
        <v>102</v>
      </c>
      <c r="B78" s="19"/>
      <c r="C78" s="19"/>
      <c r="D78" s="19"/>
      <c r="E78" s="19"/>
      <c r="F78" s="19"/>
      <c r="G78" s="19">
        <v>15.97</v>
      </c>
      <c r="H78" s="19"/>
      <c r="I78" s="19"/>
      <c r="J78" s="19"/>
      <c r="K78" s="19"/>
      <c r="L78" s="19"/>
      <c r="M78" s="52">
        <f>SUM(Tabla2[[#This Row],[01. Alcaldía]:[11. Salud pública y seguridad ciudadana]])</f>
        <v>15.97</v>
      </c>
    </row>
    <row r="79" spans="1:13" ht="10.5" customHeight="1" x14ac:dyDescent="0.35">
      <c r="A79" s="21" t="s">
        <v>3431</v>
      </c>
      <c r="B79" s="19"/>
      <c r="C79" s="19"/>
      <c r="D79" s="19"/>
      <c r="E79" s="19"/>
      <c r="F79" s="19"/>
      <c r="G79" s="19"/>
      <c r="H79" s="19"/>
      <c r="I79" s="19">
        <v>4658.5</v>
      </c>
      <c r="J79" s="19"/>
      <c r="K79" s="19"/>
      <c r="L79" s="19"/>
      <c r="M79" s="52">
        <f>SUM(Tabla2[[#This Row],[01. Alcaldía]:[11. Salud pública y seguridad ciudadana]])</f>
        <v>4658.5</v>
      </c>
    </row>
    <row r="80" spans="1:13" ht="10.5" customHeight="1" x14ac:dyDescent="0.35">
      <c r="A80" s="21" t="s">
        <v>85</v>
      </c>
      <c r="B80" s="19"/>
      <c r="C80" s="19"/>
      <c r="D80" s="19"/>
      <c r="E80" s="19"/>
      <c r="F80" s="19"/>
      <c r="G80" s="19">
        <v>18143.95</v>
      </c>
      <c r="H80" s="19"/>
      <c r="I80" s="19"/>
      <c r="J80" s="19"/>
      <c r="K80" s="19">
        <v>1584.97</v>
      </c>
      <c r="L80" s="19"/>
      <c r="M80" s="52">
        <f>SUM(Tabla2[[#This Row],[01. Alcaldía]:[11. Salud pública y seguridad ciudadana]])</f>
        <v>19728.920000000002</v>
      </c>
    </row>
    <row r="81" spans="1:13" ht="10.5" customHeight="1" x14ac:dyDescent="0.35">
      <c r="A81" s="21" t="s">
        <v>4323</v>
      </c>
      <c r="B81" s="19"/>
      <c r="C81" s="19"/>
      <c r="D81" s="19"/>
      <c r="E81" s="19"/>
      <c r="F81" s="19">
        <v>337.28</v>
      </c>
      <c r="G81" s="19"/>
      <c r="H81" s="19"/>
      <c r="I81" s="19"/>
      <c r="J81" s="19"/>
      <c r="K81" s="19"/>
      <c r="L81" s="19"/>
      <c r="M81" s="52">
        <f>SUM(Tabla2[[#This Row],[01. Alcaldía]:[11. Salud pública y seguridad ciudadana]])</f>
        <v>337.28</v>
      </c>
    </row>
    <row r="82" spans="1:13" ht="10.5" customHeight="1" x14ac:dyDescent="0.35">
      <c r="A82" s="21" t="s">
        <v>232</v>
      </c>
      <c r="B82" s="19"/>
      <c r="C82" s="19"/>
      <c r="D82" s="19"/>
      <c r="E82" s="19"/>
      <c r="F82" s="19"/>
      <c r="G82" s="19"/>
      <c r="H82" s="19">
        <v>1000</v>
      </c>
      <c r="I82" s="19"/>
      <c r="J82" s="19"/>
      <c r="K82" s="19"/>
      <c r="L82" s="19">
        <v>18150</v>
      </c>
      <c r="M82" s="52">
        <f>SUM(Tabla2[[#This Row],[01. Alcaldía]:[11. Salud pública y seguridad ciudadana]])</f>
        <v>19150</v>
      </c>
    </row>
    <row r="83" spans="1:13" ht="10.5" customHeight="1" x14ac:dyDescent="0.35">
      <c r="A83" s="21" t="s">
        <v>1419</v>
      </c>
      <c r="B83" s="19"/>
      <c r="C83" s="19"/>
      <c r="D83" s="19">
        <v>213.93</v>
      </c>
      <c r="E83" s="19"/>
      <c r="F83" s="19"/>
      <c r="G83" s="19"/>
      <c r="H83" s="19"/>
      <c r="I83" s="19"/>
      <c r="J83" s="19"/>
      <c r="K83" s="19"/>
      <c r="L83" s="19"/>
      <c r="M83" s="52">
        <f>SUM(Tabla2[[#This Row],[01. Alcaldía]:[11. Salud pública y seguridad ciudadana]])</f>
        <v>213.93</v>
      </c>
    </row>
    <row r="84" spans="1:13" ht="10.5" customHeight="1" x14ac:dyDescent="0.35">
      <c r="A84" s="21" t="s">
        <v>1357</v>
      </c>
      <c r="B84" s="19">
        <v>5179.2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52">
        <f>SUM(Tabla2[[#This Row],[01. Alcaldía]:[11. Salud pública y seguridad ciudadana]])</f>
        <v>5179.2</v>
      </c>
    </row>
    <row r="85" spans="1:13" ht="10.5" customHeight="1" x14ac:dyDescent="0.35">
      <c r="A85" s="21" t="s">
        <v>5097</v>
      </c>
      <c r="B85" s="19"/>
      <c r="C85" s="19"/>
      <c r="D85" s="19"/>
      <c r="E85" s="19"/>
      <c r="F85" s="19"/>
      <c r="G85" s="19"/>
      <c r="H85" s="19"/>
      <c r="I85" s="19">
        <v>1656.2</v>
      </c>
      <c r="J85" s="19"/>
      <c r="K85" s="19"/>
      <c r="L85" s="19"/>
      <c r="M85" s="52">
        <f>SUM(Tabla2[[#This Row],[01. Alcaldía]:[11. Salud pública y seguridad ciudadana]])</f>
        <v>1656.2</v>
      </c>
    </row>
    <row r="86" spans="1:13" ht="10.5" customHeight="1" x14ac:dyDescent="0.35">
      <c r="A86" s="21" t="s">
        <v>3649</v>
      </c>
      <c r="B86" s="19"/>
      <c r="C86" s="19"/>
      <c r="D86" s="19"/>
      <c r="E86" s="19"/>
      <c r="F86" s="19"/>
      <c r="G86" s="19">
        <v>6171</v>
      </c>
      <c r="H86" s="19"/>
      <c r="I86" s="19"/>
      <c r="J86" s="19"/>
      <c r="K86" s="19"/>
      <c r="L86" s="19"/>
      <c r="M86" s="52">
        <f>SUM(Tabla2[[#This Row],[01. Alcaldía]:[11. Salud pública y seguridad ciudadana]])</f>
        <v>6171</v>
      </c>
    </row>
    <row r="87" spans="1:13" ht="10.5" customHeight="1" x14ac:dyDescent="0.35">
      <c r="A87" s="21" t="s">
        <v>5103</v>
      </c>
      <c r="B87" s="19"/>
      <c r="C87" s="19"/>
      <c r="D87" s="19"/>
      <c r="E87" s="19"/>
      <c r="F87" s="19">
        <v>1512.5</v>
      </c>
      <c r="G87" s="19"/>
      <c r="H87" s="19"/>
      <c r="I87" s="19"/>
      <c r="J87" s="19"/>
      <c r="K87" s="19"/>
      <c r="L87" s="19"/>
      <c r="M87" s="52">
        <f>SUM(Tabla2[[#This Row],[01. Alcaldía]:[11. Salud pública y seguridad ciudadana]])</f>
        <v>1512.5</v>
      </c>
    </row>
    <row r="88" spans="1:13" ht="10.5" customHeight="1" x14ac:dyDescent="0.35">
      <c r="A88" s="21" t="s">
        <v>267</v>
      </c>
      <c r="B88" s="19"/>
      <c r="C88" s="19"/>
      <c r="D88" s="19">
        <v>206.90999999999997</v>
      </c>
      <c r="E88" s="19"/>
      <c r="F88" s="19"/>
      <c r="G88" s="19"/>
      <c r="H88" s="19">
        <v>1000</v>
      </c>
      <c r="I88" s="19"/>
      <c r="J88" s="19"/>
      <c r="K88" s="19"/>
      <c r="L88" s="19"/>
      <c r="M88" s="52">
        <f>SUM(Tabla2[[#This Row],[01. Alcaldía]:[11. Salud pública y seguridad ciudadana]])</f>
        <v>1206.9099999999999</v>
      </c>
    </row>
    <row r="89" spans="1:13" x14ac:dyDescent="0.35">
      <c r="A89" s="21" t="s">
        <v>316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>
        <v>18150</v>
      </c>
      <c r="M89" s="52">
        <f>SUM(Tabla2[[#This Row],[01. Alcaldía]:[11. Salud pública y seguridad ciudadana]])</f>
        <v>18150</v>
      </c>
    </row>
    <row r="90" spans="1:13" ht="10.5" customHeight="1" x14ac:dyDescent="0.35">
      <c r="A90" s="21" t="s">
        <v>3176</v>
      </c>
      <c r="B90" s="19"/>
      <c r="C90" s="19">
        <v>500</v>
      </c>
      <c r="D90" s="19"/>
      <c r="E90" s="19"/>
      <c r="F90" s="19"/>
      <c r="G90" s="19"/>
      <c r="H90" s="19"/>
      <c r="I90" s="19"/>
      <c r="J90" s="19"/>
      <c r="K90" s="19"/>
      <c r="L90" s="19"/>
      <c r="M90" s="52">
        <f>SUM(Tabla2[[#This Row],[01. Alcaldía]:[11. Salud pública y seguridad ciudadana]])</f>
        <v>500</v>
      </c>
    </row>
    <row r="91" spans="1:13" ht="10.5" customHeight="1" x14ac:dyDescent="0.35">
      <c r="A91" s="21" t="s">
        <v>75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5886</v>
      </c>
      <c r="M91" s="52">
        <f>SUM(Tabla2[[#This Row],[01. Alcaldía]:[11. Salud pública y seguridad ciudadana]])</f>
        <v>5886</v>
      </c>
    </row>
    <row r="92" spans="1:13" ht="10.5" customHeight="1" x14ac:dyDescent="0.35">
      <c r="A92" s="21" t="s">
        <v>239</v>
      </c>
      <c r="B92" s="19"/>
      <c r="C92" s="19"/>
      <c r="D92" s="19"/>
      <c r="E92" s="19"/>
      <c r="F92" s="19"/>
      <c r="G92" s="19"/>
      <c r="H92" s="19">
        <v>4000</v>
      </c>
      <c r="I92" s="19">
        <v>684.75</v>
      </c>
      <c r="J92" s="19"/>
      <c r="K92" s="19"/>
      <c r="L92" s="19">
        <v>26997.670000000002</v>
      </c>
      <c r="M92" s="52">
        <f>SUM(Tabla2[[#This Row],[01. Alcaldía]:[11. Salud pública y seguridad ciudadana]])</f>
        <v>31682.420000000002</v>
      </c>
    </row>
    <row r="93" spans="1:13" x14ac:dyDescent="0.35">
      <c r="A93" s="21" t="s">
        <v>1436</v>
      </c>
      <c r="B93" s="19">
        <v>1210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52">
        <f>SUM(Tabla2[[#This Row],[01. Alcaldía]:[11. Salud pública y seguridad ciudadana]])</f>
        <v>1210</v>
      </c>
    </row>
    <row r="94" spans="1:13" ht="10.5" customHeight="1" x14ac:dyDescent="0.35">
      <c r="A94" s="21" t="s">
        <v>2999</v>
      </c>
      <c r="B94" s="19"/>
      <c r="C94" s="19"/>
      <c r="D94" s="19"/>
      <c r="E94" s="19">
        <v>192</v>
      </c>
      <c r="F94" s="19"/>
      <c r="G94" s="19"/>
      <c r="H94" s="19"/>
      <c r="I94" s="19"/>
      <c r="J94" s="19"/>
      <c r="K94" s="19"/>
      <c r="L94" s="19"/>
      <c r="M94" s="52">
        <f>SUM(Tabla2[[#This Row],[01. Alcaldía]:[11. Salud pública y seguridad ciudadana]])</f>
        <v>192</v>
      </c>
    </row>
    <row r="95" spans="1:13" ht="10.5" customHeight="1" x14ac:dyDescent="0.35">
      <c r="A95" s="21" t="s">
        <v>171</v>
      </c>
      <c r="B95" s="19"/>
      <c r="C95" s="19"/>
      <c r="D95" s="19"/>
      <c r="E95" s="19">
        <v>8324.7999999999993</v>
      </c>
      <c r="F95" s="19"/>
      <c r="G95" s="19"/>
      <c r="H95" s="19"/>
      <c r="I95" s="19"/>
      <c r="J95" s="19"/>
      <c r="K95" s="19">
        <v>403.08</v>
      </c>
      <c r="L95" s="19"/>
      <c r="M95" s="52">
        <f>SUM(Tabla2[[#This Row],[01. Alcaldía]:[11. Salud pública y seguridad ciudadana]])</f>
        <v>8727.8799999999992</v>
      </c>
    </row>
    <row r="96" spans="1:13" ht="10.5" customHeight="1" x14ac:dyDescent="0.35">
      <c r="A96" s="21" t="s">
        <v>540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529.53</v>
      </c>
      <c r="M96" s="52">
        <f>SUM(Tabla2[[#This Row],[01. Alcaldía]:[11. Salud pública y seguridad ciudadana]])</f>
        <v>529.53</v>
      </c>
    </row>
    <row r="97" spans="1:13" ht="10.5" customHeight="1" x14ac:dyDescent="0.35">
      <c r="A97" s="21" t="s">
        <v>3542</v>
      </c>
      <c r="B97" s="19"/>
      <c r="C97" s="19"/>
      <c r="D97" s="19"/>
      <c r="E97" s="19"/>
      <c r="F97" s="19"/>
      <c r="G97" s="19"/>
      <c r="H97" s="19">
        <v>11228.8</v>
      </c>
      <c r="I97" s="19"/>
      <c r="J97" s="19"/>
      <c r="K97" s="19"/>
      <c r="L97" s="19"/>
      <c r="M97" s="52">
        <f>SUM(Tabla2[[#This Row],[01. Alcaldía]:[11. Salud pública y seguridad ciudadana]])</f>
        <v>11228.8</v>
      </c>
    </row>
    <row r="98" spans="1:13" ht="10.5" customHeight="1" x14ac:dyDescent="0.35">
      <c r="A98" s="21" t="s">
        <v>5145</v>
      </c>
      <c r="B98" s="19"/>
      <c r="C98" s="19"/>
      <c r="D98" s="19"/>
      <c r="E98" s="19"/>
      <c r="F98" s="19"/>
      <c r="G98" s="19">
        <v>6594.5</v>
      </c>
      <c r="H98" s="19"/>
      <c r="I98" s="19"/>
      <c r="J98" s="19"/>
      <c r="K98" s="19"/>
      <c r="L98" s="19"/>
      <c r="M98" s="52">
        <f>SUM(Tabla2[[#This Row],[01. Alcaldía]:[11. Salud pública y seguridad ciudadana]])</f>
        <v>6594.5</v>
      </c>
    </row>
    <row r="99" spans="1:13" ht="10.5" customHeight="1" x14ac:dyDescent="0.35">
      <c r="A99" s="21" t="s">
        <v>305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3782.46</v>
      </c>
      <c r="M99" s="52">
        <f>SUM(Tabla2[[#This Row],[01. Alcaldía]:[11. Salud pública y seguridad ciudadana]])</f>
        <v>3782.46</v>
      </c>
    </row>
    <row r="100" spans="1:13" ht="10.5" customHeight="1" x14ac:dyDescent="0.35">
      <c r="A100" s="21" t="s">
        <v>536</v>
      </c>
      <c r="B100" s="19"/>
      <c r="C100" s="19"/>
      <c r="D100" s="19"/>
      <c r="E100" s="19"/>
      <c r="F100" s="19"/>
      <c r="G100" s="19"/>
      <c r="H100" s="19">
        <v>5000</v>
      </c>
      <c r="I100" s="19"/>
      <c r="J100" s="19"/>
      <c r="K100" s="19"/>
      <c r="L100" s="19"/>
      <c r="M100" s="52">
        <f>SUM(Tabla2[[#This Row],[01. Alcaldía]:[11. Salud pública y seguridad ciudadana]])</f>
        <v>5000</v>
      </c>
    </row>
    <row r="101" spans="1:13" ht="10.5" customHeight="1" x14ac:dyDescent="0.35">
      <c r="A101" s="21" t="s">
        <v>4633</v>
      </c>
      <c r="B101" s="19"/>
      <c r="C101" s="19"/>
      <c r="D101" s="19">
        <v>290.39999999999998</v>
      </c>
      <c r="E101" s="19"/>
      <c r="F101" s="19"/>
      <c r="G101" s="19"/>
      <c r="H101" s="19"/>
      <c r="I101" s="19"/>
      <c r="J101" s="19"/>
      <c r="K101" s="19"/>
      <c r="L101" s="19"/>
      <c r="M101" s="52">
        <f>SUM(Tabla2[[#This Row],[01. Alcaldía]:[11. Salud pública y seguridad ciudadana]])</f>
        <v>290.39999999999998</v>
      </c>
    </row>
    <row r="102" spans="1:13" ht="10.5" customHeight="1" x14ac:dyDescent="0.35">
      <c r="A102" s="21" t="s">
        <v>6055</v>
      </c>
      <c r="B102" s="19"/>
      <c r="C102" s="19"/>
      <c r="D102" s="19"/>
      <c r="E102" s="19"/>
      <c r="F102" s="19">
        <v>5929</v>
      </c>
      <c r="G102" s="19"/>
      <c r="H102" s="19"/>
      <c r="I102" s="19"/>
      <c r="J102" s="19"/>
      <c r="K102" s="19"/>
      <c r="L102" s="19"/>
      <c r="M102" s="52">
        <f>SUM(Tabla2[[#This Row],[01. Alcaldía]:[11. Salud pública y seguridad ciudadana]])</f>
        <v>5929</v>
      </c>
    </row>
    <row r="103" spans="1:13" ht="10.5" customHeight="1" x14ac:dyDescent="0.35">
      <c r="A103" s="21" t="s">
        <v>1424</v>
      </c>
      <c r="B103" s="19"/>
      <c r="C103" s="19"/>
      <c r="D103" s="19"/>
      <c r="E103" s="19">
        <v>10278.950000000001</v>
      </c>
      <c r="F103" s="19">
        <v>14423.2</v>
      </c>
      <c r="G103" s="19"/>
      <c r="H103" s="19"/>
      <c r="I103" s="19"/>
      <c r="J103" s="19"/>
      <c r="K103" s="19"/>
      <c r="L103" s="19"/>
      <c r="M103" s="52">
        <f>SUM(Tabla2[[#This Row],[01. Alcaldía]:[11. Salud pública y seguridad ciudadana]])</f>
        <v>24702.15</v>
      </c>
    </row>
    <row r="104" spans="1:13" ht="10.5" customHeight="1" x14ac:dyDescent="0.35">
      <c r="A104" s="21" t="s">
        <v>1427</v>
      </c>
      <c r="B104" s="19"/>
      <c r="C104" s="19"/>
      <c r="D104" s="19">
        <v>484</v>
      </c>
      <c r="E104" s="19"/>
      <c r="F104" s="19"/>
      <c r="G104" s="19"/>
      <c r="H104" s="19"/>
      <c r="I104" s="19"/>
      <c r="J104" s="19"/>
      <c r="K104" s="19"/>
      <c r="L104" s="19"/>
      <c r="M104" s="52">
        <f>SUM(Tabla2[[#This Row],[01. Alcaldía]:[11. Salud pública y seguridad ciudadana]])</f>
        <v>484</v>
      </c>
    </row>
    <row r="105" spans="1:13" ht="10.5" customHeight="1" x14ac:dyDescent="0.35">
      <c r="A105" s="21" t="s">
        <v>3539</v>
      </c>
      <c r="B105" s="19"/>
      <c r="C105" s="19"/>
      <c r="D105" s="19"/>
      <c r="E105" s="19"/>
      <c r="F105" s="19">
        <v>11712.8</v>
      </c>
      <c r="G105" s="19"/>
      <c r="H105" s="19"/>
      <c r="I105" s="19"/>
      <c r="J105" s="19"/>
      <c r="K105" s="19"/>
      <c r="L105" s="19"/>
      <c r="M105" s="52">
        <f>SUM(Tabla2[[#This Row],[01. Alcaldía]:[11. Salud pública y seguridad ciudadana]])</f>
        <v>11712.8</v>
      </c>
    </row>
    <row r="106" spans="1:13" ht="10.5" customHeight="1" x14ac:dyDescent="0.35">
      <c r="A106" s="21" t="s">
        <v>583</v>
      </c>
      <c r="B106" s="19"/>
      <c r="C106" s="19">
        <v>4712.8799999999992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52">
        <f>SUM(Tabla2[[#This Row],[01. Alcaldía]:[11. Salud pública y seguridad ciudadana]])</f>
        <v>4712.8799999999992</v>
      </c>
    </row>
    <row r="107" spans="1:13" ht="10.5" customHeight="1" x14ac:dyDescent="0.35">
      <c r="A107" s="21" t="s">
        <v>3138</v>
      </c>
      <c r="B107" s="19"/>
      <c r="C107" s="19"/>
      <c r="D107" s="19"/>
      <c r="E107" s="19">
        <v>3967.24</v>
      </c>
      <c r="F107" s="19"/>
      <c r="G107" s="19"/>
      <c r="H107" s="19"/>
      <c r="I107" s="19"/>
      <c r="J107" s="19"/>
      <c r="K107" s="19"/>
      <c r="L107" s="19"/>
      <c r="M107" s="52">
        <f>SUM(Tabla2[[#This Row],[01. Alcaldía]:[11. Salud pública y seguridad ciudadana]])</f>
        <v>3967.24</v>
      </c>
    </row>
    <row r="108" spans="1:13" ht="10.5" customHeight="1" x14ac:dyDescent="0.35">
      <c r="A108" s="21" t="s">
        <v>4028</v>
      </c>
      <c r="B108" s="19"/>
      <c r="C108" s="19"/>
      <c r="D108" s="19"/>
      <c r="E108" s="19">
        <v>1000</v>
      </c>
      <c r="F108" s="19"/>
      <c r="G108" s="19"/>
      <c r="H108" s="19"/>
      <c r="I108" s="19"/>
      <c r="J108" s="19"/>
      <c r="K108" s="19"/>
      <c r="L108" s="19"/>
      <c r="M108" s="52">
        <f>SUM(Tabla2[[#This Row],[01. Alcaldía]:[11. Salud pública y seguridad ciudadana]])</f>
        <v>1000</v>
      </c>
    </row>
    <row r="109" spans="1:13" ht="10.5" customHeight="1" x14ac:dyDescent="0.35">
      <c r="A109" s="21" t="s">
        <v>4975</v>
      </c>
      <c r="B109" s="19"/>
      <c r="C109" s="19">
        <v>0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52">
        <f>SUM(Tabla2[[#This Row],[01. Alcaldía]:[11. Salud pública y seguridad ciudadana]])</f>
        <v>0</v>
      </c>
    </row>
    <row r="110" spans="1:13" ht="10.5" customHeight="1" x14ac:dyDescent="0.35">
      <c r="A110" s="21" t="s">
        <v>5167</v>
      </c>
      <c r="B110" s="19"/>
      <c r="C110" s="19"/>
      <c r="D110" s="19"/>
      <c r="E110" s="19"/>
      <c r="F110" s="19"/>
      <c r="G110" s="19">
        <v>2445</v>
      </c>
      <c r="H110" s="19"/>
      <c r="I110" s="19">
        <v>907.5</v>
      </c>
      <c r="J110" s="19"/>
      <c r="K110" s="19"/>
      <c r="L110" s="19"/>
      <c r="M110" s="52">
        <f>SUM(Tabla2[[#This Row],[01. Alcaldía]:[11. Salud pública y seguridad ciudadana]])</f>
        <v>3352.5</v>
      </c>
    </row>
    <row r="111" spans="1:13" ht="10.5" customHeight="1" x14ac:dyDescent="0.35">
      <c r="A111" s="21" t="s">
        <v>290</v>
      </c>
      <c r="B111" s="19"/>
      <c r="C111" s="19"/>
      <c r="D111" s="19"/>
      <c r="E111" s="19"/>
      <c r="F111" s="19"/>
      <c r="G111" s="19"/>
      <c r="H111" s="19">
        <v>12100</v>
      </c>
      <c r="I111" s="19"/>
      <c r="J111" s="19"/>
      <c r="K111" s="19"/>
      <c r="L111" s="19"/>
      <c r="M111" s="52">
        <f>SUM(Tabla2[[#This Row],[01. Alcaldía]:[11. Salud pública y seguridad ciudadana]])</f>
        <v>12100</v>
      </c>
    </row>
    <row r="112" spans="1:13" ht="10.5" customHeight="1" x14ac:dyDescent="0.35">
      <c r="A112" s="21" t="s">
        <v>4275</v>
      </c>
      <c r="B112" s="19"/>
      <c r="C112" s="19"/>
      <c r="D112" s="19"/>
      <c r="E112" s="19"/>
      <c r="F112" s="19"/>
      <c r="G112" s="19"/>
      <c r="H112" s="19"/>
      <c r="I112" s="19"/>
      <c r="J112" s="19">
        <v>400</v>
      </c>
      <c r="K112" s="19"/>
      <c r="L112" s="19"/>
      <c r="M112" s="52">
        <f>SUM(Tabla2[[#This Row],[01. Alcaldía]:[11. Salud pública y seguridad ciudadana]])</f>
        <v>400</v>
      </c>
    </row>
    <row r="113" spans="1:13" ht="10.5" customHeight="1" x14ac:dyDescent="0.35">
      <c r="A113" s="21" t="s">
        <v>3702</v>
      </c>
      <c r="B113" s="19"/>
      <c r="C113" s="19"/>
      <c r="D113" s="19"/>
      <c r="E113" s="19"/>
      <c r="F113" s="19">
        <v>4579.8500000000004</v>
      </c>
      <c r="G113" s="19"/>
      <c r="H113" s="19"/>
      <c r="I113" s="19"/>
      <c r="J113" s="19"/>
      <c r="K113" s="19"/>
      <c r="L113" s="19"/>
      <c r="M113" s="52">
        <f>SUM(Tabla2[[#This Row],[01. Alcaldía]:[11. Salud pública y seguridad ciudadana]])</f>
        <v>4579.8500000000004</v>
      </c>
    </row>
    <row r="114" spans="1:13" ht="10.5" customHeight="1" x14ac:dyDescent="0.35">
      <c r="A114" s="21" t="s">
        <v>199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7080.92</v>
      </c>
      <c r="L114" s="19"/>
      <c r="M114" s="52">
        <f>SUM(Tabla2[[#This Row],[01. Alcaldía]:[11. Salud pública y seguridad ciudadana]])</f>
        <v>7080.92</v>
      </c>
    </row>
    <row r="115" spans="1:13" ht="10.5" customHeight="1" x14ac:dyDescent="0.35">
      <c r="A115" s="21" t="s">
        <v>1481</v>
      </c>
      <c r="B115" s="19"/>
      <c r="C115" s="19">
        <v>1013.98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52">
        <f>SUM(Tabla2[[#This Row],[01. Alcaldía]:[11. Salud pública y seguridad ciudadana]])</f>
        <v>1013.98</v>
      </c>
    </row>
    <row r="116" spans="1:13" ht="10.5" customHeight="1" x14ac:dyDescent="0.35">
      <c r="A116" s="21" t="s">
        <v>575</v>
      </c>
      <c r="B116" s="19"/>
      <c r="C116" s="19"/>
      <c r="D116" s="19">
        <v>2869.06</v>
      </c>
      <c r="E116" s="19"/>
      <c r="F116" s="19"/>
      <c r="G116" s="19"/>
      <c r="H116" s="19"/>
      <c r="I116" s="19"/>
      <c r="J116" s="19"/>
      <c r="K116" s="19"/>
      <c r="L116" s="19"/>
      <c r="M116" s="52">
        <f>SUM(Tabla2[[#This Row],[01. Alcaldía]:[11. Salud pública y seguridad ciudadana]])</f>
        <v>2869.06</v>
      </c>
    </row>
    <row r="117" spans="1:13" ht="10.5" customHeight="1" x14ac:dyDescent="0.35">
      <c r="A117" s="21" t="s">
        <v>1485</v>
      </c>
      <c r="B117" s="19"/>
      <c r="C117" s="19"/>
      <c r="D117" s="19"/>
      <c r="E117" s="19"/>
      <c r="F117" s="19"/>
      <c r="G117" s="19"/>
      <c r="H117" s="19">
        <v>18137.900000000001</v>
      </c>
      <c r="I117" s="19"/>
      <c r="J117" s="19"/>
      <c r="K117" s="19"/>
      <c r="L117" s="19"/>
      <c r="M117" s="52">
        <f>SUM(Tabla2[[#This Row],[01. Alcaldía]:[11. Salud pública y seguridad ciudadana]])</f>
        <v>18137.900000000001</v>
      </c>
    </row>
    <row r="118" spans="1:13" ht="10.5" customHeight="1" x14ac:dyDescent="0.35">
      <c r="A118" s="21" t="s">
        <v>4607</v>
      </c>
      <c r="B118" s="19"/>
      <c r="C118" s="19"/>
      <c r="D118" s="19"/>
      <c r="E118" s="19"/>
      <c r="F118" s="19"/>
      <c r="G118" s="19">
        <v>100</v>
      </c>
      <c r="H118" s="19"/>
      <c r="I118" s="19"/>
      <c r="J118" s="19"/>
      <c r="K118" s="19"/>
      <c r="L118" s="19"/>
      <c r="M118" s="52">
        <f>SUM(Tabla2[[#This Row],[01. Alcaldía]:[11. Salud pública y seguridad ciudadana]])</f>
        <v>100</v>
      </c>
    </row>
    <row r="119" spans="1:13" ht="10.5" customHeight="1" x14ac:dyDescent="0.35">
      <c r="A119" s="21" t="s">
        <v>586</v>
      </c>
      <c r="B119" s="19"/>
      <c r="C119" s="19"/>
      <c r="D119" s="19"/>
      <c r="E119" s="19"/>
      <c r="F119" s="19"/>
      <c r="G119" s="19"/>
      <c r="H119" s="19"/>
      <c r="I119" s="19">
        <v>7865</v>
      </c>
      <c r="J119" s="19"/>
      <c r="K119" s="19"/>
      <c r="L119" s="19"/>
      <c r="M119" s="52">
        <f>SUM(Tabla2[[#This Row],[01. Alcaldía]:[11. Salud pública y seguridad ciudadana]])</f>
        <v>7865</v>
      </c>
    </row>
    <row r="120" spans="1:13" x14ac:dyDescent="0.35">
      <c r="A120" s="21" t="s">
        <v>190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>
        <v>16500</v>
      </c>
      <c r="M120" s="52">
        <f>SUM(Tabla2[[#This Row],[01. Alcaldía]:[11. Salud pública y seguridad ciudadana]])</f>
        <v>16500</v>
      </c>
    </row>
    <row r="121" spans="1:13" ht="10.5" customHeight="1" x14ac:dyDescent="0.35">
      <c r="A121" s="21" t="s">
        <v>302</v>
      </c>
      <c r="B121" s="19"/>
      <c r="C121" s="19"/>
      <c r="D121" s="19"/>
      <c r="E121" s="19"/>
      <c r="F121" s="19">
        <v>133.1</v>
      </c>
      <c r="G121" s="19">
        <v>275.55</v>
      </c>
      <c r="H121" s="19"/>
      <c r="I121" s="19">
        <v>1815</v>
      </c>
      <c r="J121" s="19"/>
      <c r="K121" s="19"/>
      <c r="L121" s="19">
        <v>306.89999999999998</v>
      </c>
      <c r="M121" s="52">
        <f>SUM(Tabla2[[#This Row],[01. Alcaldía]:[11. Salud pública y seguridad ciudadana]])</f>
        <v>2530.5500000000002</v>
      </c>
    </row>
    <row r="122" spans="1:13" ht="10.5" customHeight="1" x14ac:dyDescent="0.35">
      <c r="A122" s="21" t="s">
        <v>3518</v>
      </c>
      <c r="B122" s="19"/>
      <c r="C122" s="19">
        <v>16940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52">
        <f>SUM(Tabla2[[#This Row],[01. Alcaldía]:[11. Salud pública y seguridad ciudadana]])</f>
        <v>16940</v>
      </c>
    </row>
    <row r="123" spans="1:13" ht="10.5" customHeight="1" x14ac:dyDescent="0.35">
      <c r="A123" s="21" t="s">
        <v>3723</v>
      </c>
      <c r="B123" s="19"/>
      <c r="C123" s="19"/>
      <c r="D123" s="19"/>
      <c r="E123" s="19"/>
      <c r="F123" s="19"/>
      <c r="G123" s="19">
        <v>4000</v>
      </c>
      <c r="H123" s="19"/>
      <c r="I123" s="19"/>
      <c r="J123" s="19"/>
      <c r="K123" s="19"/>
      <c r="L123" s="19"/>
      <c r="M123" s="52">
        <f>SUM(Tabla2[[#This Row],[01. Alcaldía]:[11. Salud pública y seguridad ciudadana]])</f>
        <v>4000</v>
      </c>
    </row>
    <row r="124" spans="1:13" ht="10.5" customHeight="1" x14ac:dyDescent="0.35">
      <c r="A124" s="21" t="s">
        <v>50</v>
      </c>
      <c r="B124" s="19"/>
      <c r="C124" s="19">
        <v>2556.13</v>
      </c>
      <c r="D124" s="19"/>
      <c r="E124" s="19">
        <v>4392.3</v>
      </c>
      <c r="F124" s="19">
        <v>175.15</v>
      </c>
      <c r="G124" s="19">
        <v>9596.52</v>
      </c>
      <c r="H124" s="19">
        <v>1070.72</v>
      </c>
      <c r="I124" s="19"/>
      <c r="J124" s="19">
        <v>2241.16</v>
      </c>
      <c r="K124" s="19"/>
      <c r="L124" s="19">
        <v>7671.52</v>
      </c>
      <c r="M124" s="52">
        <f>SUM(Tabla2[[#This Row],[01. Alcaldía]:[11. Salud pública y seguridad ciudadana]])</f>
        <v>27703.5</v>
      </c>
    </row>
    <row r="125" spans="1:13" ht="10.5" customHeight="1" x14ac:dyDescent="0.35">
      <c r="A125" s="21" t="s">
        <v>1519</v>
      </c>
      <c r="B125" s="19"/>
      <c r="C125" s="19"/>
      <c r="D125" s="19"/>
      <c r="E125" s="19">
        <v>2904</v>
      </c>
      <c r="F125" s="19"/>
      <c r="G125" s="19"/>
      <c r="H125" s="19"/>
      <c r="I125" s="19"/>
      <c r="J125" s="19"/>
      <c r="K125" s="19"/>
      <c r="L125" s="19"/>
      <c r="M125" s="52">
        <f>SUM(Tabla2[[#This Row],[01. Alcaldía]:[11. Salud pública y seguridad ciudadana]])</f>
        <v>2904</v>
      </c>
    </row>
    <row r="126" spans="1:13" ht="10.5" customHeight="1" x14ac:dyDescent="0.35">
      <c r="A126" s="21" t="s">
        <v>154</v>
      </c>
      <c r="B126" s="19"/>
      <c r="C126" s="19">
        <v>300.02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52">
        <f>SUM(Tabla2[[#This Row],[01. Alcaldía]:[11. Salud pública y seguridad ciudadana]])</f>
        <v>300.02</v>
      </c>
    </row>
    <row r="127" spans="1:13" ht="21" customHeight="1" x14ac:dyDescent="0.35">
      <c r="A127" s="21" t="s">
        <v>1523</v>
      </c>
      <c r="B127" s="19"/>
      <c r="C127" s="19"/>
      <c r="D127" s="19"/>
      <c r="E127" s="19">
        <v>1796.69</v>
      </c>
      <c r="F127" s="19"/>
      <c r="G127" s="19"/>
      <c r="H127" s="19"/>
      <c r="I127" s="19"/>
      <c r="J127" s="19"/>
      <c r="K127" s="19"/>
      <c r="L127" s="19"/>
      <c r="M127" s="52">
        <f>SUM(Tabla2[[#This Row],[01. Alcaldía]:[11. Salud pública y seguridad ciudadana]])</f>
        <v>1796.69</v>
      </c>
    </row>
    <row r="128" spans="1:13" ht="10.5" customHeight="1" x14ac:dyDescent="0.35">
      <c r="A128" s="21" t="s">
        <v>1526</v>
      </c>
      <c r="B128" s="19"/>
      <c r="C128" s="19"/>
      <c r="D128" s="19"/>
      <c r="E128" s="19">
        <v>19794.82</v>
      </c>
      <c r="F128" s="19"/>
      <c r="G128" s="19"/>
      <c r="H128" s="19"/>
      <c r="I128" s="19"/>
      <c r="J128" s="19"/>
      <c r="K128" s="19"/>
      <c r="L128" s="19"/>
      <c r="M128" s="52">
        <f>SUM(Tabla2[[#This Row],[01. Alcaldía]:[11. Salud pública y seguridad ciudadana]])</f>
        <v>19794.82</v>
      </c>
    </row>
    <row r="129" spans="1:13" ht="10.5" customHeight="1" x14ac:dyDescent="0.35">
      <c r="A129" s="21" t="s">
        <v>3514</v>
      </c>
      <c r="B129" s="19"/>
      <c r="C129" s="19"/>
      <c r="D129" s="19"/>
      <c r="E129" s="19"/>
      <c r="F129" s="19">
        <v>17242.5</v>
      </c>
      <c r="G129" s="19"/>
      <c r="H129" s="19"/>
      <c r="I129" s="19"/>
      <c r="J129" s="19"/>
      <c r="K129" s="19"/>
      <c r="L129" s="19"/>
      <c r="M129" s="52">
        <f>SUM(Tabla2[[#This Row],[01. Alcaldía]:[11. Salud pública y seguridad ciudadana]])</f>
        <v>17242.5</v>
      </c>
    </row>
    <row r="130" spans="1:13" ht="10.5" customHeight="1" x14ac:dyDescent="0.35">
      <c r="A130" s="21" t="s">
        <v>581</v>
      </c>
      <c r="B130" s="19"/>
      <c r="C130" s="19"/>
      <c r="D130" s="19"/>
      <c r="E130" s="19"/>
      <c r="F130" s="19"/>
      <c r="G130" s="19"/>
      <c r="H130" s="19">
        <v>300</v>
      </c>
      <c r="I130" s="19"/>
      <c r="J130" s="19"/>
      <c r="K130" s="19"/>
      <c r="L130" s="19"/>
      <c r="M130" s="52">
        <f>SUM(Tabla2[[#This Row],[01. Alcaldía]:[11. Salud pública y seguridad ciudadana]])</f>
        <v>300</v>
      </c>
    </row>
    <row r="131" spans="1:13" ht="10.5" customHeight="1" x14ac:dyDescent="0.35">
      <c r="A131" s="21" t="s">
        <v>3783</v>
      </c>
      <c r="B131" s="19"/>
      <c r="C131" s="19">
        <v>3054.15</v>
      </c>
      <c r="D131" s="19"/>
      <c r="E131" s="19"/>
      <c r="F131" s="19"/>
      <c r="G131" s="19"/>
      <c r="H131" s="19"/>
      <c r="I131" s="19">
        <v>1350.44</v>
      </c>
      <c r="J131" s="19"/>
      <c r="K131" s="19"/>
      <c r="L131" s="19"/>
      <c r="M131" s="52">
        <f>SUM(Tabla2[[#This Row],[01. Alcaldía]:[11. Salud pública y seguridad ciudadana]])</f>
        <v>4404.59</v>
      </c>
    </row>
    <row r="132" spans="1:13" ht="10.5" customHeight="1" x14ac:dyDescent="0.35">
      <c r="A132" s="21" t="s">
        <v>4341</v>
      </c>
      <c r="B132" s="19"/>
      <c r="C132" s="19">
        <v>310.37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52">
        <f>SUM(Tabla2[[#This Row],[01. Alcaldía]:[11. Salud pública y seguridad ciudadana]])</f>
        <v>310.37</v>
      </c>
    </row>
    <row r="133" spans="1:13" ht="10.5" customHeight="1" x14ac:dyDescent="0.35">
      <c r="A133" s="21" t="s">
        <v>4088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9977.31</v>
      </c>
      <c r="M133" s="52">
        <f>SUM(Tabla2[[#This Row],[01. Alcaldía]:[11. Salud pública y seguridad ciudadana]])</f>
        <v>9977.31</v>
      </c>
    </row>
    <row r="134" spans="1:13" ht="10.5" customHeight="1" x14ac:dyDescent="0.35">
      <c r="A134" s="21" t="s">
        <v>1632</v>
      </c>
      <c r="B134" s="19"/>
      <c r="C134" s="19"/>
      <c r="D134" s="19"/>
      <c r="E134" s="19"/>
      <c r="F134" s="19"/>
      <c r="G134" s="19"/>
      <c r="H134" s="19">
        <v>3000</v>
      </c>
      <c r="I134" s="19"/>
      <c r="J134" s="19"/>
      <c r="K134" s="19"/>
      <c r="L134" s="19">
        <v>1976.83</v>
      </c>
      <c r="M134" s="52">
        <f>SUM(Tabla2[[#This Row],[01. Alcaldía]:[11. Salud pública y seguridad ciudadana]])</f>
        <v>4976.83</v>
      </c>
    </row>
    <row r="135" spans="1:13" ht="10.5" customHeight="1" x14ac:dyDescent="0.35">
      <c r="A135" s="21" t="s">
        <v>3886</v>
      </c>
      <c r="B135" s="19"/>
      <c r="C135" s="19"/>
      <c r="D135" s="19"/>
      <c r="E135" s="19"/>
      <c r="F135" s="19"/>
      <c r="G135" s="19"/>
      <c r="H135" s="19"/>
      <c r="I135" s="19">
        <v>3631.8</v>
      </c>
      <c r="J135" s="19"/>
      <c r="K135" s="19"/>
      <c r="L135" s="19"/>
      <c r="M135" s="52">
        <f>SUM(Tabla2[[#This Row],[01. Alcaldía]:[11. Salud pública y seguridad ciudadana]])</f>
        <v>3631.8</v>
      </c>
    </row>
    <row r="136" spans="1:13" ht="10.5" customHeight="1" x14ac:dyDescent="0.35">
      <c r="A136" s="21" t="s">
        <v>5239</v>
      </c>
      <c r="B136" s="19"/>
      <c r="C136" s="19"/>
      <c r="D136" s="19"/>
      <c r="E136" s="19"/>
      <c r="F136" s="19"/>
      <c r="G136" s="19"/>
      <c r="H136" s="19">
        <v>544.5</v>
      </c>
      <c r="I136" s="19"/>
      <c r="J136" s="19"/>
      <c r="K136" s="19"/>
      <c r="L136" s="19"/>
      <c r="M136" s="52">
        <f>SUM(Tabla2[[#This Row],[01. Alcaldía]:[11. Salud pública y seguridad ciudadana]])</f>
        <v>544.5</v>
      </c>
    </row>
    <row r="137" spans="1:13" ht="10.5" customHeight="1" x14ac:dyDescent="0.35">
      <c r="A137" s="21" t="s">
        <v>3059</v>
      </c>
      <c r="B137" s="19"/>
      <c r="C137" s="19"/>
      <c r="D137" s="19">
        <v>484</v>
      </c>
      <c r="E137" s="19"/>
      <c r="F137" s="19"/>
      <c r="G137" s="19"/>
      <c r="H137" s="19"/>
      <c r="I137" s="19"/>
      <c r="J137" s="19"/>
      <c r="K137" s="19"/>
      <c r="L137" s="19"/>
      <c r="M137" s="52">
        <f>SUM(Tabla2[[#This Row],[01. Alcaldía]:[11. Salud pública y seguridad ciudadana]])</f>
        <v>484</v>
      </c>
    </row>
    <row r="138" spans="1:13" ht="10.5" customHeight="1" x14ac:dyDescent="0.35">
      <c r="A138" s="21" t="s">
        <v>1534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1034.55</v>
      </c>
      <c r="L138" s="19"/>
      <c r="M138" s="52">
        <f>SUM(Tabla2[[#This Row],[01. Alcaldía]:[11. Salud pública y seguridad ciudadana]])</f>
        <v>1034.55</v>
      </c>
    </row>
    <row r="139" spans="1:13" x14ac:dyDescent="0.35">
      <c r="A139" s="21" t="s">
        <v>553</v>
      </c>
      <c r="B139" s="19">
        <v>1040.5999999999999</v>
      </c>
      <c r="C139" s="19"/>
      <c r="D139" s="19"/>
      <c r="E139" s="19">
        <v>7320.5</v>
      </c>
      <c r="F139" s="19"/>
      <c r="G139" s="19">
        <v>0</v>
      </c>
      <c r="H139" s="19"/>
      <c r="I139" s="19"/>
      <c r="J139" s="19"/>
      <c r="K139" s="19"/>
      <c r="L139" s="19"/>
      <c r="M139" s="52">
        <f>SUM(Tabla2[[#This Row],[01. Alcaldía]:[11. Salud pública y seguridad ciudadana]])</f>
        <v>8361.1</v>
      </c>
    </row>
    <row r="140" spans="1:13" ht="10.5" customHeight="1" x14ac:dyDescent="0.35">
      <c r="A140" s="21" t="s">
        <v>5246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508.2</v>
      </c>
      <c r="M140" s="52">
        <f>SUM(Tabla2[[#This Row],[01. Alcaldía]:[11. Salud pública y seguridad ciudadana]])</f>
        <v>508.2</v>
      </c>
    </row>
    <row r="141" spans="1:13" ht="10.5" customHeight="1" x14ac:dyDescent="0.35">
      <c r="A141" s="21" t="s">
        <v>541</v>
      </c>
      <c r="B141" s="19"/>
      <c r="C141" s="19"/>
      <c r="D141" s="19"/>
      <c r="E141" s="19"/>
      <c r="F141" s="19"/>
      <c r="G141" s="19"/>
      <c r="H141" s="19">
        <v>5000</v>
      </c>
      <c r="I141" s="19"/>
      <c r="J141" s="19"/>
      <c r="K141" s="19"/>
      <c r="L141" s="19"/>
      <c r="M141" s="52">
        <f>SUM(Tabla2[[#This Row],[01. Alcaldía]:[11. Salud pública y seguridad ciudadana]])</f>
        <v>5000</v>
      </c>
    </row>
    <row r="142" spans="1:13" x14ac:dyDescent="0.35">
      <c r="A142" s="21" t="s">
        <v>52</v>
      </c>
      <c r="B142" s="19"/>
      <c r="C142" s="19"/>
      <c r="D142" s="19"/>
      <c r="E142" s="19"/>
      <c r="F142" s="19">
        <v>15125</v>
      </c>
      <c r="G142" s="19"/>
      <c r="H142" s="19"/>
      <c r="I142" s="19"/>
      <c r="J142" s="19"/>
      <c r="K142" s="19"/>
      <c r="L142" s="19"/>
      <c r="M142" s="52">
        <f>SUM(Tabla2[[#This Row],[01. Alcaldía]:[11. Salud pública y seguridad ciudadana]])</f>
        <v>15125</v>
      </c>
    </row>
    <row r="143" spans="1:13" ht="10.5" customHeight="1" x14ac:dyDescent="0.35">
      <c r="A143" s="21" t="s">
        <v>1545</v>
      </c>
      <c r="B143" s="19"/>
      <c r="C143" s="19"/>
      <c r="D143" s="19"/>
      <c r="E143" s="19"/>
      <c r="F143" s="19"/>
      <c r="G143" s="19">
        <v>17720</v>
      </c>
      <c r="H143" s="19"/>
      <c r="I143" s="19"/>
      <c r="J143" s="19"/>
      <c r="K143" s="19"/>
      <c r="L143" s="19"/>
      <c r="M143" s="52">
        <f>SUM(Tabla2[[#This Row],[01. Alcaldía]:[11. Salud pública y seguridad ciudadana]])</f>
        <v>17720</v>
      </c>
    </row>
    <row r="144" spans="1:13" ht="10.5" customHeight="1" x14ac:dyDescent="0.35">
      <c r="A144" s="21" t="s">
        <v>1547</v>
      </c>
      <c r="B144" s="19"/>
      <c r="C144" s="19"/>
      <c r="D144" s="19"/>
      <c r="E144" s="19"/>
      <c r="F144" s="19"/>
      <c r="G144" s="19">
        <v>2500</v>
      </c>
      <c r="H144" s="19"/>
      <c r="I144" s="19"/>
      <c r="J144" s="19"/>
      <c r="K144" s="19"/>
      <c r="L144" s="19"/>
      <c r="M144" s="52">
        <f>SUM(Tabla2[[#This Row],[01. Alcaldía]:[11. Salud pública y seguridad ciudadana]])</f>
        <v>2500</v>
      </c>
    </row>
    <row r="145" spans="1:13" ht="10.5" customHeight="1" x14ac:dyDescent="0.35">
      <c r="A145" s="21" t="s">
        <v>5251</v>
      </c>
      <c r="B145" s="19"/>
      <c r="C145" s="19"/>
      <c r="D145" s="19"/>
      <c r="E145" s="19"/>
      <c r="F145" s="19">
        <v>3630</v>
      </c>
      <c r="G145" s="19"/>
      <c r="H145" s="19"/>
      <c r="I145" s="19"/>
      <c r="J145" s="19"/>
      <c r="K145" s="19"/>
      <c r="L145" s="19"/>
      <c r="M145" s="52">
        <f>SUM(Tabla2[[#This Row],[01. Alcaldía]:[11. Salud pública y seguridad ciudadana]])</f>
        <v>3630</v>
      </c>
    </row>
    <row r="146" spans="1:13" ht="10.5" customHeight="1" x14ac:dyDescent="0.35">
      <c r="A146" s="21" t="s">
        <v>5043</v>
      </c>
      <c r="B146" s="19"/>
      <c r="C146" s="19"/>
      <c r="D146" s="19"/>
      <c r="E146" s="19"/>
      <c r="F146" s="19"/>
      <c r="G146" s="19"/>
      <c r="H146" s="19"/>
      <c r="I146" s="19">
        <v>10254.75</v>
      </c>
      <c r="J146" s="19"/>
      <c r="K146" s="19"/>
      <c r="L146" s="19"/>
      <c r="M146" s="52">
        <f>SUM(Tabla2[[#This Row],[01. Alcaldía]:[11. Salud pública y seguridad ciudadana]])</f>
        <v>10254.75</v>
      </c>
    </row>
    <row r="147" spans="1:13" ht="10.5" customHeight="1" x14ac:dyDescent="0.35">
      <c r="A147" s="21" t="s">
        <v>60</v>
      </c>
      <c r="B147" s="19"/>
      <c r="C147" s="19"/>
      <c r="D147" s="19">
        <v>876.95</v>
      </c>
      <c r="E147" s="19"/>
      <c r="F147" s="19"/>
      <c r="G147" s="19"/>
      <c r="H147" s="19"/>
      <c r="I147" s="19"/>
      <c r="J147" s="19"/>
      <c r="K147" s="19"/>
      <c r="L147" s="19"/>
      <c r="M147" s="52">
        <f>SUM(Tabla2[[#This Row],[01. Alcaldía]:[11. Salud pública y seguridad ciudadana]])</f>
        <v>876.95</v>
      </c>
    </row>
    <row r="148" spans="1:13" ht="10.5" customHeight="1" x14ac:dyDescent="0.35">
      <c r="A148" s="21" t="s">
        <v>249</v>
      </c>
      <c r="B148" s="19"/>
      <c r="C148" s="19"/>
      <c r="D148" s="19">
        <v>240.19</v>
      </c>
      <c r="E148" s="19"/>
      <c r="F148" s="19">
        <v>54.45</v>
      </c>
      <c r="G148" s="19">
        <v>1320.5900000000001</v>
      </c>
      <c r="H148" s="19"/>
      <c r="I148" s="19"/>
      <c r="J148" s="19"/>
      <c r="K148" s="19"/>
      <c r="L148" s="19"/>
      <c r="M148" s="52">
        <f>SUM(Tabla2[[#This Row],[01. Alcaldía]:[11. Salud pública y seguridad ciudadana]])</f>
        <v>1615.23</v>
      </c>
    </row>
    <row r="149" spans="1:13" ht="10.5" customHeight="1" x14ac:dyDescent="0.35">
      <c r="A149" s="21" t="s">
        <v>1576</v>
      </c>
      <c r="B149" s="19"/>
      <c r="C149" s="19"/>
      <c r="D149" s="19"/>
      <c r="E149" s="19"/>
      <c r="F149" s="19"/>
      <c r="G149" s="19">
        <v>5000</v>
      </c>
      <c r="H149" s="19"/>
      <c r="I149" s="19"/>
      <c r="J149" s="19"/>
      <c r="K149" s="19"/>
      <c r="L149" s="19"/>
      <c r="M149" s="52">
        <f>SUM(Tabla2[[#This Row],[01. Alcaldía]:[11. Salud pública y seguridad ciudadana]])</f>
        <v>5000</v>
      </c>
    </row>
    <row r="150" spans="1:13" ht="10.5" customHeight="1" x14ac:dyDescent="0.35">
      <c r="A150" s="21" t="s">
        <v>109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>
        <v>7260</v>
      </c>
      <c r="M150" s="52">
        <f>SUM(Tabla2[[#This Row],[01. Alcaldía]:[11. Salud pública y seguridad ciudadana]])</f>
        <v>7260</v>
      </c>
    </row>
    <row r="151" spans="1:13" ht="10.5" customHeight="1" x14ac:dyDescent="0.35">
      <c r="A151" s="21" t="s">
        <v>3895</v>
      </c>
      <c r="B151" s="19"/>
      <c r="C151" s="19"/>
      <c r="D151" s="19"/>
      <c r="E151" s="19"/>
      <c r="F151" s="19"/>
      <c r="G151" s="19"/>
      <c r="H151" s="19">
        <v>1543.27</v>
      </c>
      <c r="I151" s="19"/>
      <c r="J151" s="19"/>
      <c r="K151" s="19"/>
      <c r="L151" s="19"/>
      <c r="M151" s="52">
        <f>SUM(Tabla2[[#This Row],[01. Alcaldía]:[11. Salud pública y seguridad ciudadana]])</f>
        <v>1543.27</v>
      </c>
    </row>
    <row r="152" spans="1:13" ht="10.5" customHeight="1" x14ac:dyDescent="0.35">
      <c r="A152" s="21" t="s">
        <v>225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>
        <v>4600.42</v>
      </c>
      <c r="M152" s="52">
        <f>SUM(Tabla2[[#This Row],[01. Alcaldía]:[11. Salud pública y seguridad ciudadana]])</f>
        <v>4600.42</v>
      </c>
    </row>
    <row r="153" spans="1:13" ht="10.5" customHeight="1" x14ac:dyDescent="0.35">
      <c r="A153" s="21" t="s">
        <v>1597</v>
      </c>
      <c r="B153" s="19"/>
      <c r="C153" s="19"/>
      <c r="D153" s="19"/>
      <c r="E153" s="19"/>
      <c r="F153" s="19"/>
      <c r="G153" s="19">
        <v>396.53999999999996</v>
      </c>
      <c r="H153" s="19"/>
      <c r="I153" s="19"/>
      <c r="J153" s="19"/>
      <c r="K153" s="19">
        <v>1787.1900000000003</v>
      </c>
      <c r="L153" s="19">
        <v>1670.92</v>
      </c>
      <c r="M153" s="52">
        <f>SUM(Tabla2[[#This Row],[01. Alcaldía]:[11. Salud pública y seguridad ciudadana]])</f>
        <v>3854.6500000000005</v>
      </c>
    </row>
    <row r="154" spans="1:13" ht="10.5" customHeight="1" x14ac:dyDescent="0.35">
      <c r="A154" s="21" t="s">
        <v>3496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18089.5</v>
      </c>
      <c r="M154" s="52">
        <f>SUM(Tabla2[[#This Row],[01. Alcaldía]:[11. Salud pública y seguridad ciudadana]])</f>
        <v>18089.5</v>
      </c>
    </row>
    <row r="155" spans="1:13" ht="10.5" customHeight="1" x14ac:dyDescent="0.35">
      <c r="A155" s="21" t="s">
        <v>76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725</v>
      </c>
      <c r="M155" s="52">
        <f>SUM(Tabla2[[#This Row],[01. Alcaldía]:[11. Salud pública y seguridad ciudadana]])</f>
        <v>725</v>
      </c>
    </row>
    <row r="156" spans="1:13" ht="10.5" customHeight="1" x14ac:dyDescent="0.35">
      <c r="A156" s="21" t="s">
        <v>1651</v>
      </c>
      <c r="B156" s="19"/>
      <c r="C156" s="19"/>
      <c r="D156" s="19"/>
      <c r="E156" s="19"/>
      <c r="F156" s="19">
        <v>3294.8</v>
      </c>
      <c r="G156" s="19"/>
      <c r="H156" s="19"/>
      <c r="I156" s="19"/>
      <c r="J156" s="19"/>
      <c r="K156" s="19"/>
      <c r="L156" s="19"/>
      <c r="M156" s="52">
        <f>SUM(Tabla2[[#This Row],[01. Alcaldía]:[11. Salud pública y seguridad ciudadana]])</f>
        <v>3294.8</v>
      </c>
    </row>
    <row r="157" spans="1:13" ht="10.5" customHeight="1" x14ac:dyDescent="0.35">
      <c r="A157" s="21" t="s">
        <v>5275</v>
      </c>
      <c r="B157" s="19">
        <v>55</v>
      </c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52">
        <f>SUM(Tabla2[[#This Row],[01. Alcaldía]:[11. Salud pública y seguridad ciudadana]])</f>
        <v>55</v>
      </c>
    </row>
    <row r="158" spans="1:13" ht="10.5" customHeight="1" x14ac:dyDescent="0.35">
      <c r="A158" s="21" t="s">
        <v>3587</v>
      </c>
      <c r="B158" s="19"/>
      <c r="C158" s="19"/>
      <c r="D158" s="19"/>
      <c r="E158" s="19"/>
      <c r="F158" s="19"/>
      <c r="G158" s="19"/>
      <c r="H158" s="19"/>
      <c r="I158" s="19">
        <v>7260</v>
      </c>
      <c r="J158" s="19"/>
      <c r="K158" s="19"/>
      <c r="L158" s="19"/>
      <c r="M158" s="52">
        <f>SUM(Tabla2[[#This Row],[01. Alcaldía]:[11. Salud pública y seguridad ciudadana]])</f>
        <v>7260</v>
      </c>
    </row>
    <row r="159" spans="1:13" ht="10.5" customHeight="1" x14ac:dyDescent="0.35">
      <c r="A159" s="21" t="s">
        <v>1661</v>
      </c>
      <c r="B159" s="19"/>
      <c r="C159" s="19"/>
      <c r="D159" s="19"/>
      <c r="E159" s="19">
        <v>192</v>
      </c>
      <c r="F159" s="19"/>
      <c r="G159" s="19"/>
      <c r="H159" s="19"/>
      <c r="I159" s="19"/>
      <c r="J159" s="19"/>
      <c r="K159" s="19"/>
      <c r="L159" s="19"/>
      <c r="M159" s="52">
        <f>SUM(Tabla2[[#This Row],[01. Alcaldía]:[11. Salud pública y seguridad ciudadana]])</f>
        <v>192</v>
      </c>
    </row>
    <row r="160" spans="1:13" ht="10.5" customHeight="1" x14ac:dyDescent="0.35">
      <c r="A160" s="21" t="s">
        <v>1668</v>
      </c>
      <c r="B160" s="19"/>
      <c r="C160" s="19"/>
      <c r="D160" s="19"/>
      <c r="E160" s="19"/>
      <c r="F160" s="19"/>
      <c r="G160" s="19">
        <v>296.20999999999998</v>
      </c>
      <c r="H160" s="19"/>
      <c r="I160" s="19"/>
      <c r="J160" s="19"/>
      <c r="K160" s="19"/>
      <c r="L160" s="19"/>
      <c r="M160" s="52">
        <f>SUM(Tabla2[[#This Row],[01. Alcaldía]:[11. Salud pública y seguridad ciudadana]])</f>
        <v>296.20999999999998</v>
      </c>
    </row>
    <row r="161" spans="1:13" ht="10.5" customHeight="1" x14ac:dyDescent="0.35">
      <c r="A161" s="21" t="s">
        <v>182</v>
      </c>
      <c r="B161" s="19"/>
      <c r="C161" s="19">
        <v>11789.060000000001</v>
      </c>
      <c r="D161" s="19"/>
      <c r="E161" s="19"/>
      <c r="F161" s="19"/>
      <c r="G161" s="19"/>
      <c r="H161" s="19"/>
      <c r="I161" s="19"/>
      <c r="J161" s="19">
        <v>11269.15</v>
      </c>
      <c r="K161" s="19"/>
      <c r="L161" s="19"/>
      <c r="M161" s="52">
        <f>SUM(Tabla2[[#This Row],[01. Alcaldía]:[11. Salud pública y seguridad ciudadana]])</f>
        <v>23058.21</v>
      </c>
    </row>
    <row r="162" spans="1:13" ht="10.5" customHeight="1" x14ac:dyDescent="0.35">
      <c r="A162" s="21" t="s">
        <v>5211</v>
      </c>
      <c r="B162" s="19"/>
      <c r="C162" s="19"/>
      <c r="D162" s="19"/>
      <c r="E162" s="19"/>
      <c r="F162" s="19">
        <v>3351.7</v>
      </c>
      <c r="G162" s="19"/>
      <c r="H162" s="19"/>
      <c r="I162" s="19"/>
      <c r="J162" s="19"/>
      <c r="K162" s="19"/>
      <c r="L162" s="19"/>
      <c r="M162" s="52">
        <f>SUM(Tabla2[[#This Row],[01. Alcaldía]:[11. Salud pública y seguridad ciudadana]])</f>
        <v>3351.7</v>
      </c>
    </row>
    <row r="163" spans="1:13" ht="10.5" customHeight="1" x14ac:dyDescent="0.35">
      <c r="A163" s="21" t="s">
        <v>65</v>
      </c>
      <c r="B163" s="19"/>
      <c r="C163" s="19"/>
      <c r="D163" s="19"/>
      <c r="E163" s="19"/>
      <c r="F163" s="19">
        <v>3630</v>
      </c>
      <c r="G163" s="19">
        <v>4840</v>
      </c>
      <c r="H163" s="19"/>
      <c r="I163" s="19">
        <v>7139</v>
      </c>
      <c r="J163" s="19"/>
      <c r="K163" s="19"/>
      <c r="L163" s="19"/>
      <c r="M163" s="52">
        <f>SUM(Tabla2[[#This Row],[01. Alcaldía]:[11. Salud pública y seguridad ciudadana]])</f>
        <v>15609</v>
      </c>
    </row>
    <row r="164" spans="1:13" ht="10.5" customHeight="1" x14ac:dyDescent="0.35">
      <c r="A164" s="21" t="s">
        <v>46</v>
      </c>
      <c r="B164" s="19"/>
      <c r="C164" s="19"/>
      <c r="D164" s="19">
        <v>8203.9599999999991</v>
      </c>
      <c r="E164" s="19"/>
      <c r="F164" s="19"/>
      <c r="G164" s="19"/>
      <c r="H164" s="19"/>
      <c r="I164" s="19"/>
      <c r="J164" s="19"/>
      <c r="K164" s="19"/>
      <c r="L164" s="19"/>
      <c r="M164" s="52">
        <f>SUM(Tabla2[[#This Row],[01. Alcaldía]:[11. Salud pública y seguridad ciudadana]])</f>
        <v>8203.9599999999991</v>
      </c>
    </row>
    <row r="165" spans="1:13" ht="10.5" customHeight="1" x14ac:dyDescent="0.35">
      <c r="A165" s="21" t="s">
        <v>230</v>
      </c>
      <c r="B165" s="19"/>
      <c r="C165" s="19"/>
      <c r="D165" s="19"/>
      <c r="E165" s="19"/>
      <c r="F165" s="19"/>
      <c r="G165" s="19"/>
      <c r="H165" s="19">
        <v>3655.04</v>
      </c>
      <c r="I165" s="19"/>
      <c r="J165" s="19"/>
      <c r="K165" s="19"/>
      <c r="L165" s="19">
        <v>9391.61</v>
      </c>
      <c r="M165" s="52">
        <f>SUM(Tabla2[[#This Row],[01. Alcaldía]:[11. Salud pública y seguridad ciudadana]])</f>
        <v>13046.650000000001</v>
      </c>
    </row>
    <row r="166" spans="1:13" ht="10.5" customHeight="1" x14ac:dyDescent="0.35">
      <c r="A166" s="21" t="s">
        <v>3516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>
        <v>1025.17</v>
      </c>
      <c r="L166" s="19"/>
      <c r="M166" s="52">
        <f>SUM(Tabla2[[#This Row],[01. Alcaldía]:[11. Salud pública y seguridad ciudadana]])</f>
        <v>1025.17</v>
      </c>
    </row>
    <row r="167" spans="1:13" ht="10.5" customHeight="1" x14ac:dyDescent="0.35">
      <c r="A167" s="21" t="s">
        <v>535</v>
      </c>
      <c r="B167" s="19">
        <v>591.69000000000005</v>
      </c>
      <c r="C167" s="19"/>
      <c r="D167" s="19"/>
      <c r="E167" s="19"/>
      <c r="F167" s="19"/>
      <c r="G167" s="19"/>
      <c r="H167" s="19">
        <v>800</v>
      </c>
      <c r="I167" s="19"/>
      <c r="J167" s="19"/>
      <c r="K167" s="19"/>
      <c r="L167" s="19">
        <v>20073.900000000001</v>
      </c>
      <c r="M167" s="52">
        <f>SUM(Tabla2[[#This Row],[01. Alcaldía]:[11. Salud pública y seguridad ciudadana]])</f>
        <v>21465.59</v>
      </c>
    </row>
    <row r="168" spans="1:13" ht="10.5" customHeight="1" x14ac:dyDescent="0.35">
      <c r="A168" s="21" t="s">
        <v>765</v>
      </c>
      <c r="B168" s="19"/>
      <c r="C168" s="19"/>
      <c r="D168" s="19"/>
      <c r="E168" s="19"/>
      <c r="F168" s="19"/>
      <c r="G168" s="19"/>
      <c r="H168" s="19">
        <v>4032.81</v>
      </c>
      <c r="I168" s="19"/>
      <c r="J168" s="19"/>
      <c r="K168" s="19"/>
      <c r="L168" s="19"/>
      <c r="M168" s="52">
        <f>SUM(Tabla2[[#This Row],[01. Alcaldía]:[11. Salud pública y seguridad ciudadana]])</f>
        <v>4032.81</v>
      </c>
    </row>
    <row r="169" spans="1:13" ht="10.5" customHeight="1" x14ac:dyDescent="0.35">
      <c r="A169" s="21" t="s">
        <v>748</v>
      </c>
      <c r="B169" s="19"/>
      <c r="C169" s="19"/>
      <c r="D169" s="19"/>
      <c r="E169" s="19"/>
      <c r="F169" s="19"/>
      <c r="G169" s="19">
        <v>4000</v>
      </c>
      <c r="H169" s="19"/>
      <c r="I169" s="19"/>
      <c r="J169" s="19"/>
      <c r="K169" s="19"/>
      <c r="L169" s="19"/>
      <c r="M169" s="52">
        <f>SUM(Tabla2[[#This Row],[01. Alcaldía]:[11. Salud pública y seguridad ciudadana]])</f>
        <v>4000</v>
      </c>
    </row>
    <row r="170" spans="1:13" ht="10.5" customHeight="1" x14ac:dyDescent="0.35">
      <c r="A170" s="21" t="s">
        <v>170</v>
      </c>
      <c r="B170" s="19">
        <v>267.29000000000002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52">
        <f>SUM(Tabla2[[#This Row],[01. Alcaldía]:[11. Salud pública y seguridad ciudadana]])</f>
        <v>267.29000000000002</v>
      </c>
    </row>
    <row r="171" spans="1:13" ht="10.5" customHeight="1" x14ac:dyDescent="0.35">
      <c r="A171" s="21" t="s">
        <v>3909</v>
      </c>
      <c r="B171" s="19"/>
      <c r="C171" s="19"/>
      <c r="D171" s="19"/>
      <c r="E171" s="19"/>
      <c r="F171" s="19"/>
      <c r="G171" s="19">
        <v>1500</v>
      </c>
      <c r="H171" s="19"/>
      <c r="I171" s="19"/>
      <c r="J171" s="19"/>
      <c r="K171" s="19"/>
      <c r="L171" s="19"/>
      <c r="M171" s="52">
        <f>SUM(Tabla2[[#This Row],[01. Alcaldía]:[11. Salud pública y seguridad ciudadana]])</f>
        <v>1500</v>
      </c>
    </row>
    <row r="172" spans="1:13" x14ac:dyDescent="0.35">
      <c r="A172" s="21" t="s">
        <v>223</v>
      </c>
      <c r="B172" s="19"/>
      <c r="C172" s="19"/>
      <c r="D172" s="19"/>
      <c r="E172" s="19">
        <v>3122.26</v>
      </c>
      <c r="F172" s="19"/>
      <c r="G172" s="19"/>
      <c r="H172" s="19"/>
      <c r="I172" s="19"/>
      <c r="J172" s="19"/>
      <c r="K172" s="19"/>
      <c r="L172" s="19"/>
      <c r="M172" s="52">
        <f>SUM(Tabla2[[#This Row],[01. Alcaldía]:[11. Salud pública y seguridad ciudadana]])</f>
        <v>3122.26</v>
      </c>
    </row>
    <row r="173" spans="1:13" ht="10.5" customHeight="1" x14ac:dyDescent="0.35">
      <c r="A173" s="21" t="s">
        <v>5532</v>
      </c>
      <c r="B173" s="19"/>
      <c r="C173" s="19"/>
      <c r="D173" s="19"/>
      <c r="E173" s="19"/>
      <c r="F173" s="19"/>
      <c r="G173" s="19">
        <v>690</v>
      </c>
      <c r="H173" s="19"/>
      <c r="I173" s="19"/>
      <c r="J173" s="19"/>
      <c r="K173" s="19"/>
      <c r="L173" s="19"/>
      <c r="M173" s="52">
        <f>SUM(Tabla2[[#This Row],[01. Alcaldía]:[11. Salud pública y seguridad ciudadana]])</f>
        <v>690</v>
      </c>
    </row>
    <row r="174" spans="1:13" ht="10.5" customHeight="1" x14ac:dyDescent="0.35">
      <c r="A174" s="21" t="s">
        <v>306</v>
      </c>
      <c r="B174" s="19"/>
      <c r="C174" s="19"/>
      <c r="D174" s="19"/>
      <c r="E174" s="19"/>
      <c r="F174" s="19"/>
      <c r="G174" s="19"/>
      <c r="H174" s="19">
        <v>7000</v>
      </c>
      <c r="I174" s="19"/>
      <c r="J174" s="19"/>
      <c r="K174" s="19"/>
      <c r="L174" s="19"/>
      <c r="M174" s="52">
        <f>SUM(Tabla2[[#This Row],[01. Alcaldía]:[11. Salud pública y seguridad ciudadana]])</f>
        <v>7000</v>
      </c>
    </row>
    <row r="175" spans="1:13" ht="10.5" customHeight="1" x14ac:dyDescent="0.35">
      <c r="A175" s="21" t="s">
        <v>588</v>
      </c>
      <c r="B175" s="19"/>
      <c r="C175" s="19"/>
      <c r="D175" s="19"/>
      <c r="E175" s="19"/>
      <c r="F175" s="19"/>
      <c r="G175" s="19">
        <v>4126</v>
      </c>
      <c r="H175" s="19"/>
      <c r="I175" s="19"/>
      <c r="J175" s="19"/>
      <c r="K175" s="19"/>
      <c r="L175" s="19"/>
      <c r="M175" s="52">
        <f>SUM(Tabla2[[#This Row],[01. Alcaldía]:[11. Salud pública y seguridad ciudadana]])</f>
        <v>4126</v>
      </c>
    </row>
    <row r="176" spans="1:13" ht="10.5" customHeight="1" x14ac:dyDescent="0.35">
      <c r="A176" s="21" t="s">
        <v>229</v>
      </c>
      <c r="B176" s="19"/>
      <c r="C176" s="19"/>
      <c r="D176" s="19"/>
      <c r="E176" s="19"/>
      <c r="F176" s="19"/>
      <c r="G176" s="19"/>
      <c r="H176" s="19">
        <v>3790.7</v>
      </c>
      <c r="I176" s="19"/>
      <c r="J176" s="19"/>
      <c r="K176" s="19"/>
      <c r="L176" s="19"/>
      <c r="M176" s="52">
        <f>SUM(Tabla2[[#This Row],[01. Alcaldía]:[11. Salud pública y seguridad ciudadana]])</f>
        <v>3790.7</v>
      </c>
    </row>
    <row r="177" spans="1:13" ht="10.5" customHeight="1" x14ac:dyDescent="0.35">
      <c r="A177" s="21" t="s">
        <v>1753</v>
      </c>
      <c r="B177" s="19"/>
      <c r="C177" s="19"/>
      <c r="D177" s="19"/>
      <c r="E177" s="19">
        <v>4831.53</v>
      </c>
      <c r="F177" s="19"/>
      <c r="G177" s="19"/>
      <c r="H177" s="19"/>
      <c r="I177" s="19"/>
      <c r="J177" s="19"/>
      <c r="K177" s="19"/>
      <c r="L177" s="19"/>
      <c r="M177" s="52">
        <f>SUM(Tabla2[[#This Row],[01. Alcaldía]:[11. Salud pública y seguridad ciudadana]])</f>
        <v>4831.53</v>
      </c>
    </row>
    <row r="178" spans="1:13" x14ac:dyDescent="0.35">
      <c r="A178" s="21" t="s">
        <v>5341</v>
      </c>
      <c r="B178" s="19"/>
      <c r="C178" s="19"/>
      <c r="D178" s="19">
        <v>853.05</v>
      </c>
      <c r="E178" s="19"/>
      <c r="F178" s="19"/>
      <c r="G178" s="19"/>
      <c r="H178" s="19"/>
      <c r="I178" s="19"/>
      <c r="J178" s="19"/>
      <c r="K178" s="19"/>
      <c r="L178" s="19"/>
      <c r="M178" s="52">
        <f>SUM(Tabla2[[#This Row],[01. Alcaldía]:[11. Salud pública y seguridad ciudadana]])</f>
        <v>853.05</v>
      </c>
    </row>
    <row r="179" spans="1:13" ht="10.5" customHeight="1" x14ac:dyDescent="0.35">
      <c r="A179" s="21" t="s">
        <v>3903</v>
      </c>
      <c r="B179" s="19"/>
      <c r="C179" s="19"/>
      <c r="D179" s="19"/>
      <c r="E179" s="19">
        <v>1512.5</v>
      </c>
      <c r="F179" s="19"/>
      <c r="G179" s="19"/>
      <c r="H179" s="19"/>
      <c r="I179" s="19"/>
      <c r="J179" s="19"/>
      <c r="K179" s="19"/>
      <c r="L179" s="19"/>
      <c r="M179" s="52">
        <f>SUM(Tabla2[[#This Row],[01. Alcaldía]:[11. Salud pública y seguridad ciudadana]])</f>
        <v>1512.5</v>
      </c>
    </row>
    <row r="180" spans="1:13" ht="10.5" customHeight="1" x14ac:dyDescent="0.35">
      <c r="A180" s="21" t="s">
        <v>1781</v>
      </c>
      <c r="B180" s="19"/>
      <c r="C180" s="19"/>
      <c r="D180" s="19"/>
      <c r="E180" s="19">
        <v>0</v>
      </c>
      <c r="F180" s="19"/>
      <c r="G180" s="19"/>
      <c r="H180" s="19"/>
      <c r="I180" s="19"/>
      <c r="J180" s="19"/>
      <c r="K180" s="19"/>
      <c r="L180" s="19"/>
      <c r="M180" s="52">
        <f>SUM(Tabla2[[#This Row],[01. Alcaldía]:[11. Salud pública y seguridad ciudadana]])</f>
        <v>0</v>
      </c>
    </row>
    <row r="181" spans="1:13" ht="10.5" customHeight="1" x14ac:dyDescent="0.35">
      <c r="A181" s="21" t="s">
        <v>597</v>
      </c>
      <c r="B181" s="19"/>
      <c r="C181" s="19"/>
      <c r="D181" s="19"/>
      <c r="E181" s="19"/>
      <c r="F181" s="19"/>
      <c r="G181" s="19"/>
      <c r="H181" s="19"/>
      <c r="I181" s="19">
        <v>3267</v>
      </c>
      <c r="J181" s="19"/>
      <c r="K181" s="19"/>
      <c r="L181" s="19"/>
      <c r="M181" s="52">
        <f>SUM(Tabla2[[#This Row],[01. Alcaldía]:[11. Salud pública y seguridad ciudadana]])</f>
        <v>3267</v>
      </c>
    </row>
    <row r="182" spans="1:13" ht="10.5" customHeight="1" x14ac:dyDescent="0.35">
      <c r="A182" s="21" t="s">
        <v>4292</v>
      </c>
      <c r="B182" s="19">
        <v>387.2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52">
        <f>SUM(Tabla2[[#This Row],[01. Alcaldía]:[11. Salud pública y seguridad ciudadana]])</f>
        <v>387.2</v>
      </c>
    </row>
    <row r="183" spans="1:13" ht="10.5" customHeight="1" x14ac:dyDescent="0.35">
      <c r="A183" s="21" t="s">
        <v>119</v>
      </c>
      <c r="B183" s="19"/>
      <c r="C183" s="19"/>
      <c r="D183" s="19"/>
      <c r="E183" s="19"/>
      <c r="F183" s="19">
        <v>2394.25</v>
      </c>
      <c r="G183" s="19"/>
      <c r="H183" s="19"/>
      <c r="I183" s="19"/>
      <c r="J183" s="19">
        <v>4217.7</v>
      </c>
      <c r="K183" s="19"/>
      <c r="L183" s="19"/>
      <c r="M183" s="52">
        <f>SUM(Tabla2[[#This Row],[01. Alcaldía]:[11. Salud pública y seguridad ciudadana]])</f>
        <v>6611.95</v>
      </c>
    </row>
    <row r="184" spans="1:13" ht="10.5" customHeight="1" x14ac:dyDescent="0.35">
      <c r="A184" s="21" t="s">
        <v>3537</v>
      </c>
      <c r="B184" s="19"/>
      <c r="C184" s="19"/>
      <c r="D184" s="19"/>
      <c r="E184" s="19"/>
      <c r="F184" s="19"/>
      <c r="G184" s="19"/>
      <c r="H184" s="19"/>
      <c r="I184" s="19"/>
      <c r="J184" s="19">
        <v>11993.52</v>
      </c>
      <c r="K184" s="19"/>
      <c r="L184" s="19"/>
      <c r="M184" s="52">
        <f>SUM(Tabla2[[#This Row],[01. Alcaldía]:[11. Salud pública y seguridad ciudadana]])</f>
        <v>11993.52</v>
      </c>
    </row>
    <row r="185" spans="1:13" ht="10.5" customHeight="1" x14ac:dyDescent="0.35">
      <c r="A185" s="21" t="s">
        <v>1794</v>
      </c>
      <c r="B185" s="19"/>
      <c r="C185" s="19"/>
      <c r="D185" s="19"/>
      <c r="E185" s="19">
        <v>1408</v>
      </c>
      <c r="F185" s="19"/>
      <c r="G185" s="19"/>
      <c r="H185" s="19"/>
      <c r="I185" s="19"/>
      <c r="J185" s="19"/>
      <c r="K185" s="19"/>
      <c r="L185" s="19"/>
      <c r="M185" s="52">
        <f>SUM(Tabla2[[#This Row],[01. Alcaldía]:[11. Salud pública y seguridad ciudadana]])</f>
        <v>1408</v>
      </c>
    </row>
    <row r="186" spans="1:13" ht="10.5" customHeight="1" x14ac:dyDescent="0.35">
      <c r="A186" s="21" t="s">
        <v>62</v>
      </c>
      <c r="B186" s="19">
        <v>17903.73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52">
        <f>SUM(Tabla2[[#This Row],[01. Alcaldía]:[11. Salud pública y seguridad ciudadana]])</f>
        <v>17903.73</v>
      </c>
    </row>
    <row r="187" spans="1:13" ht="10.5" customHeight="1" x14ac:dyDescent="0.35">
      <c r="A187" s="21" t="s">
        <v>5350</v>
      </c>
      <c r="B187" s="19"/>
      <c r="C187" s="19"/>
      <c r="D187" s="19"/>
      <c r="E187" s="19"/>
      <c r="F187" s="19"/>
      <c r="G187" s="19"/>
      <c r="H187" s="19">
        <v>2147.75</v>
      </c>
      <c r="I187" s="19"/>
      <c r="J187" s="19"/>
      <c r="K187" s="19"/>
      <c r="L187" s="19"/>
      <c r="M187" s="52">
        <f>SUM(Tabla2[[#This Row],[01. Alcaldía]:[11. Salud pública y seguridad ciudadana]])</f>
        <v>2147.75</v>
      </c>
    </row>
    <row r="188" spans="1:13" ht="10.5" customHeight="1" x14ac:dyDescent="0.35">
      <c r="A188" s="21" t="s">
        <v>82</v>
      </c>
      <c r="B188" s="19"/>
      <c r="C188" s="19"/>
      <c r="D188" s="19">
        <v>1424.5</v>
      </c>
      <c r="E188" s="19"/>
      <c r="F188" s="19"/>
      <c r="G188" s="19"/>
      <c r="H188" s="19"/>
      <c r="I188" s="19"/>
      <c r="J188" s="19"/>
      <c r="K188" s="19"/>
      <c r="L188" s="19"/>
      <c r="M188" s="52">
        <f>SUM(Tabla2[[#This Row],[01. Alcaldía]:[11. Salud pública y seguridad ciudadana]])</f>
        <v>1424.5</v>
      </c>
    </row>
    <row r="189" spans="1:13" ht="10.5" customHeight="1" x14ac:dyDescent="0.35">
      <c r="A189" s="21" t="s">
        <v>238</v>
      </c>
      <c r="B189" s="19"/>
      <c r="C189" s="19"/>
      <c r="D189" s="19"/>
      <c r="E189" s="19"/>
      <c r="F189" s="19"/>
      <c r="G189" s="19"/>
      <c r="H189" s="19">
        <v>36300</v>
      </c>
      <c r="I189" s="19"/>
      <c r="J189" s="19"/>
      <c r="K189" s="19"/>
      <c r="L189" s="19"/>
      <c r="M189" s="52">
        <f>SUM(Tabla2[[#This Row],[01. Alcaldía]:[11. Salud pública y seguridad ciudadana]])</f>
        <v>36300</v>
      </c>
    </row>
    <row r="190" spans="1:13" ht="10.5" customHeight="1" x14ac:dyDescent="0.35">
      <c r="A190" s="21" t="s">
        <v>3876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4681.8500000000004</v>
      </c>
      <c r="M190" s="52">
        <f>SUM(Tabla2[[#This Row],[01. Alcaldía]:[11. Salud pública y seguridad ciudadana]])</f>
        <v>4681.8500000000004</v>
      </c>
    </row>
    <row r="191" spans="1:13" ht="10.5" customHeight="1" x14ac:dyDescent="0.35">
      <c r="A191" s="21" t="s">
        <v>258</v>
      </c>
      <c r="B191" s="19"/>
      <c r="C191" s="19"/>
      <c r="D191" s="19"/>
      <c r="E191" s="19"/>
      <c r="F191" s="19"/>
      <c r="G191" s="19"/>
      <c r="H191" s="19">
        <v>1000</v>
      </c>
      <c r="I191" s="19"/>
      <c r="J191" s="19"/>
      <c r="K191" s="19"/>
      <c r="L191" s="19">
        <v>78.569999999999993</v>
      </c>
      <c r="M191" s="52">
        <f>SUM(Tabla2[[#This Row],[01. Alcaldía]:[11. Salud pública y seguridad ciudadana]])</f>
        <v>1078.57</v>
      </c>
    </row>
    <row r="192" spans="1:13" x14ac:dyDescent="0.35">
      <c r="A192" s="21" t="s">
        <v>3562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9680</v>
      </c>
      <c r="M192" s="52">
        <f>SUM(Tabla2[[#This Row],[01. Alcaldía]:[11. Salud pública y seguridad ciudadana]])</f>
        <v>9680</v>
      </c>
    </row>
    <row r="193" spans="1:13" ht="10.5" customHeight="1" x14ac:dyDescent="0.35">
      <c r="A193" s="21" t="s">
        <v>1823</v>
      </c>
      <c r="B193" s="19"/>
      <c r="C193" s="19"/>
      <c r="D193" s="19"/>
      <c r="E193" s="19"/>
      <c r="F193" s="19"/>
      <c r="G193" s="19"/>
      <c r="H193" s="19"/>
      <c r="I193" s="19"/>
      <c r="J193" s="19">
        <v>4658.5</v>
      </c>
      <c r="K193" s="19"/>
      <c r="L193" s="19"/>
      <c r="M193" s="52">
        <f>SUM(Tabla2[[#This Row],[01. Alcaldía]:[11. Salud pública y seguridad ciudadana]])</f>
        <v>4658.5</v>
      </c>
    </row>
    <row r="194" spans="1:13" ht="10.5" customHeight="1" x14ac:dyDescent="0.35">
      <c r="A194" s="21" t="s">
        <v>5381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1357.62</v>
      </c>
      <c r="L194" s="19"/>
      <c r="M194" s="52">
        <f>SUM(Tabla2[[#This Row],[01. Alcaldía]:[11. Salud pública y seguridad ciudadana]])</f>
        <v>1357.62</v>
      </c>
    </row>
    <row r="195" spans="1:13" ht="10.5" customHeight="1" x14ac:dyDescent="0.35">
      <c r="A195" s="21" t="s">
        <v>5383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>
        <v>4022</v>
      </c>
      <c r="L195" s="19"/>
      <c r="M195" s="52">
        <f>SUM(Tabla2[[#This Row],[01. Alcaldía]:[11. Salud pública y seguridad ciudadana]])</f>
        <v>4022</v>
      </c>
    </row>
    <row r="196" spans="1:13" ht="10.5" customHeight="1" x14ac:dyDescent="0.35">
      <c r="A196" s="21" t="s">
        <v>531</v>
      </c>
      <c r="B196" s="19">
        <v>1754.5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52">
        <f>SUM(Tabla2[[#This Row],[01. Alcaldía]:[11. Salud pública y seguridad ciudadana]])</f>
        <v>1754.5</v>
      </c>
    </row>
    <row r="197" spans="1:13" x14ac:dyDescent="0.35">
      <c r="A197" s="21" t="s">
        <v>5422</v>
      </c>
      <c r="B197" s="19"/>
      <c r="C197" s="19"/>
      <c r="D197" s="19">
        <v>2288.6999999999998</v>
      </c>
      <c r="E197" s="19"/>
      <c r="F197" s="19"/>
      <c r="G197" s="19"/>
      <c r="H197" s="19"/>
      <c r="I197" s="19"/>
      <c r="J197" s="19"/>
      <c r="K197" s="19"/>
      <c r="L197" s="19"/>
      <c r="M197" s="52">
        <f>SUM(Tabla2[[#This Row],[01. Alcaldía]:[11. Salud pública y seguridad ciudadana]])</f>
        <v>2288.6999999999998</v>
      </c>
    </row>
    <row r="198" spans="1:13" ht="10.5" customHeight="1" x14ac:dyDescent="0.35">
      <c r="A198" s="21" t="s">
        <v>4231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>
        <v>925.58999999999992</v>
      </c>
      <c r="L198" s="19"/>
      <c r="M198" s="52">
        <f>SUM(Tabla2[[#This Row],[01. Alcaldía]:[11. Salud pública y seguridad ciudadana]])</f>
        <v>925.58999999999992</v>
      </c>
    </row>
    <row r="199" spans="1:13" ht="10.5" customHeight="1" x14ac:dyDescent="0.35">
      <c r="A199" s="21" t="s">
        <v>252</v>
      </c>
      <c r="B199" s="19">
        <v>417.2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52">
        <f>SUM(Tabla2[[#This Row],[01. Alcaldía]:[11. Salud pública y seguridad ciudadana]])</f>
        <v>417.2</v>
      </c>
    </row>
    <row r="200" spans="1:13" ht="10.5" customHeight="1" x14ac:dyDescent="0.35">
      <c r="A200" s="21" t="s">
        <v>4184</v>
      </c>
      <c r="B200" s="19"/>
      <c r="C200" s="19"/>
      <c r="D200" s="19"/>
      <c r="E200" s="19"/>
      <c r="F200" s="19">
        <v>544.5</v>
      </c>
      <c r="G200" s="19"/>
      <c r="H200" s="19"/>
      <c r="I200" s="19"/>
      <c r="J200" s="19"/>
      <c r="K200" s="19"/>
      <c r="L200" s="19"/>
      <c r="M200" s="52">
        <f>SUM(Tabla2[[#This Row],[01. Alcaldía]:[11. Salud pública y seguridad ciudadana]])</f>
        <v>544.5</v>
      </c>
    </row>
    <row r="201" spans="1:13" ht="10.5" customHeight="1" x14ac:dyDescent="0.35">
      <c r="A201" s="21" t="s">
        <v>263</v>
      </c>
      <c r="B201" s="19"/>
      <c r="C201" s="19"/>
      <c r="D201" s="19"/>
      <c r="E201" s="19"/>
      <c r="F201" s="19"/>
      <c r="G201" s="19"/>
      <c r="H201" s="19"/>
      <c r="I201" s="19">
        <v>1210</v>
      </c>
      <c r="J201" s="19"/>
      <c r="K201" s="19">
        <v>85.18</v>
      </c>
      <c r="L201" s="19"/>
      <c r="M201" s="52">
        <f>SUM(Tabla2[[#This Row],[01. Alcaldía]:[11. Salud pública y seguridad ciudadana]])</f>
        <v>1295.18</v>
      </c>
    </row>
    <row r="202" spans="1:13" ht="10.5" customHeight="1" x14ac:dyDescent="0.35">
      <c r="A202" s="21" t="s">
        <v>4005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1060.44</v>
      </c>
      <c r="M202" s="52">
        <f>SUM(Tabla2[[#This Row],[01. Alcaldía]:[11. Salud pública y seguridad ciudadana]])</f>
        <v>1060.44</v>
      </c>
    </row>
    <row r="203" spans="1:13" ht="10.5" customHeight="1" x14ac:dyDescent="0.35">
      <c r="A203" s="21" t="s">
        <v>1842</v>
      </c>
      <c r="B203" s="19"/>
      <c r="C203" s="19">
        <v>2807.2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52">
        <f>SUM(Tabla2[[#This Row],[01. Alcaldía]:[11. Salud pública y seguridad ciudadana]])</f>
        <v>2807.2</v>
      </c>
    </row>
    <row r="204" spans="1:13" x14ac:dyDescent="0.35">
      <c r="A204" s="21" t="s">
        <v>96</v>
      </c>
      <c r="B204" s="19"/>
      <c r="C204" s="19"/>
      <c r="D204" s="19"/>
      <c r="E204" s="19"/>
      <c r="F204" s="19"/>
      <c r="G204" s="19">
        <v>13500</v>
      </c>
      <c r="H204" s="19"/>
      <c r="I204" s="19"/>
      <c r="J204" s="19"/>
      <c r="K204" s="19"/>
      <c r="L204" s="19"/>
      <c r="M204" s="52">
        <f>SUM(Tabla2[[#This Row],[01. Alcaldía]:[11. Salud pública y seguridad ciudadana]])</f>
        <v>13500</v>
      </c>
    </row>
    <row r="205" spans="1:13" ht="10.5" customHeight="1" x14ac:dyDescent="0.35">
      <c r="A205" s="21" t="s">
        <v>518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701.8</v>
      </c>
      <c r="L205" s="19"/>
      <c r="M205" s="52">
        <f>SUM(Tabla2[[#This Row],[01. Alcaldía]:[11. Salud pública y seguridad ciudadana]])</f>
        <v>701.8</v>
      </c>
    </row>
    <row r="206" spans="1:13" x14ac:dyDescent="0.35">
      <c r="A206" s="21" t="s">
        <v>3499</v>
      </c>
      <c r="B206" s="19"/>
      <c r="C206" s="19"/>
      <c r="D206" s="19"/>
      <c r="E206" s="19"/>
      <c r="F206" s="19">
        <v>18089.5</v>
      </c>
      <c r="G206" s="19"/>
      <c r="H206" s="19"/>
      <c r="I206" s="19"/>
      <c r="J206" s="19"/>
      <c r="K206" s="19"/>
      <c r="L206" s="19"/>
      <c r="M206" s="52">
        <f>SUM(Tabla2[[#This Row],[01. Alcaldía]:[11. Salud pública y seguridad ciudadana]])</f>
        <v>18089.5</v>
      </c>
    </row>
    <row r="207" spans="1:13" x14ac:dyDescent="0.35">
      <c r="A207" s="21" t="s">
        <v>4533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>
        <v>502.15</v>
      </c>
      <c r="L207" s="19"/>
      <c r="M207" s="52">
        <f>SUM(Tabla2[[#This Row],[01. Alcaldía]:[11. Salud pública y seguridad ciudadana]])</f>
        <v>502.15</v>
      </c>
    </row>
    <row r="208" spans="1:13" ht="10.5" customHeight="1" x14ac:dyDescent="0.35">
      <c r="A208" s="21" t="s">
        <v>1858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>
        <v>302.5</v>
      </c>
      <c r="L208" s="19"/>
      <c r="M208" s="52">
        <f>SUM(Tabla2[[#This Row],[01. Alcaldía]:[11. Salud pública y seguridad ciudadana]])</f>
        <v>302.5</v>
      </c>
    </row>
    <row r="209" spans="1:13" x14ac:dyDescent="0.35">
      <c r="A209" s="21" t="s">
        <v>5452</v>
      </c>
      <c r="B209" s="19"/>
      <c r="C209" s="19"/>
      <c r="D209" s="19">
        <v>300</v>
      </c>
      <c r="E209" s="19"/>
      <c r="F209" s="19"/>
      <c r="G209" s="19"/>
      <c r="H209" s="19"/>
      <c r="I209" s="19"/>
      <c r="J209" s="19"/>
      <c r="K209" s="19"/>
      <c r="L209" s="19"/>
      <c r="M209" s="52">
        <f>SUM(Tabla2[[#This Row],[01. Alcaldía]:[11. Salud pública y seguridad ciudadana]])</f>
        <v>300</v>
      </c>
    </row>
    <row r="210" spans="1:13" ht="10.5" customHeight="1" x14ac:dyDescent="0.35">
      <c r="A210" s="21" t="s">
        <v>99</v>
      </c>
      <c r="B210" s="19"/>
      <c r="C210" s="19"/>
      <c r="D210" s="19"/>
      <c r="E210" s="19"/>
      <c r="F210" s="19"/>
      <c r="G210" s="19"/>
      <c r="H210" s="19">
        <v>2112.0500000000002</v>
      </c>
      <c r="I210" s="19"/>
      <c r="J210" s="19"/>
      <c r="K210" s="19"/>
      <c r="L210" s="19">
        <v>2000</v>
      </c>
      <c r="M210" s="52">
        <f>SUM(Tabla2[[#This Row],[01. Alcaldía]:[11. Salud pública y seguridad ciudadana]])</f>
        <v>4112.05</v>
      </c>
    </row>
    <row r="211" spans="1:13" ht="10.5" customHeight="1" x14ac:dyDescent="0.35">
      <c r="A211" s="21" t="s">
        <v>529</v>
      </c>
      <c r="B211" s="19"/>
      <c r="C211" s="19"/>
      <c r="D211" s="19">
        <v>2073.5300000000002</v>
      </c>
      <c r="E211" s="19"/>
      <c r="F211" s="19"/>
      <c r="G211" s="19"/>
      <c r="H211" s="19"/>
      <c r="I211" s="19"/>
      <c r="J211" s="19"/>
      <c r="K211" s="19"/>
      <c r="L211" s="19"/>
      <c r="M211" s="52">
        <f>SUM(Tabla2[[#This Row],[01. Alcaldía]:[11. Salud pública y seguridad ciudadana]])</f>
        <v>2073.5300000000002</v>
      </c>
    </row>
    <row r="212" spans="1:13" ht="10.5" customHeight="1" x14ac:dyDescent="0.35">
      <c r="A212" s="21" t="s">
        <v>3833</v>
      </c>
      <c r="B212" s="19"/>
      <c r="C212" s="19"/>
      <c r="D212" s="19"/>
      <c r="E212" s="19"/>
      <c r="F212" s="19"/>
      <c r="G212" s="19"/>
      <c r="H212" s="19"/>
      <c r="I212" s="19"/>
      <c r="J212" s="19">
        <v>2383.6999999999998</v>
      </c>
      <c r="K212" s="19"/>
      <c r="L212" s="19"/>
      <c r="M212" s="52">
        <f>SUM(Tabla2[[#This Row],[01. Alcaldía]:[11. Salud pública y seguridad ciudadana]])</f>
        <v>2383.6999999999998</v>
      </c>
    </row>
    <row r="213" spans="1:13" ht="10.5" customHeight="1" x14ac:dyDescent="0.35">
      <c r="A213" s="21" t="s">
        <v>3557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10200</v>
      </c>
      <c r="L213" s="19"/>
      <c r="M213" s="52">
        <f>SUM(Tabla2[[#This Row],[01. Alcaldía]:[11. Salud pública y seguridad ciudadana]])</f>
        <v>10200</v>
      </c>
    </row>
    <row r="214" spans="1:13" ht="10.5" customHeight="1" x14ac:dyDescent="0.35">
      <c r="A214" s="21" t="s">
        <v>38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1781.5</v>
      </c>
      <c r="L214" s="19"/>
      <c r="M214" s="52">
        <f>SUM(Tabla2[[#This Row],[01. Alcaldía]:[11. Salud pública y seguridad ciudadana]])</f>
        <v>1781.5</v>
      </c>
    </row>
    <row r="215" spans="1:13" ht="10.5" customHeight="1" x14ac:dyDescent="0.35">
      <c r="A215" s="21" t="s">
        <v>1893</v>
      </c>
      <c r="B215" s="19"/>
      <c r="C215" s="19"/>
      <c r="D215" s="19">
        <v>2420</v>
      </c>
      <c r="E215" s="19"/>
      <c r="F215" s="19"/>
      <c r="G215" s="19"/>
      <c r="H215" s="19"/>
      <c r="I215" s="19"/>
      <c r="J215" s="19"/>
      <c r="K215" s="19"/>
      <c r="L215" s="19"/>
      <c r="M215" s="52">
        <f>SUM(Tabla2[[#This Row],[01. Alcaldía]:[11. Salud pública y seguridad ciudadana]])</f>
        <v>2420</v>
      </c>
    </row>
    <row r="216" spans="1:13" ht="10.5" customHeight="1" x14ac:dyDescent="0.35">
      <c r="A216" s="21" t="s">
        <v>1895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>
        <v>3775.2</v>
      </c>
      <c r="M216" s="52">
        <f>SUM(Tabla2[[#This Row],[01. Alcaldía]:[11. Salud pública y seguridad ciudadana]])</f>
        <v>3775.2</v>
      </c>
    </row>
    <row r="217" spans="1:13" ht="10.5" customHeight="1" x14ac:dyDescent="0.35">
      <c r="A217" s="21" t="s">
        <v>1903</v>
      </c>
      <c r="B217" s="19"/>
      <c r="C217" s="19"/>
      <c r="D217" s="19"/>
      <c r="E217" s="19"/>
      <c r="F217" s="19"/>
      <c r="G217" s="19">
        <v>15000</v>
      </c>
      <c r="H217" s="19"/>
      <c r="I217" s="19"/>
      <c r="J217" s="19"/>
      <c r="K217" s="19">
        <v>9000</v>
      </c>
      <c r="L217" s="19"/>
      <c r="M217" s="52">
        <f>SUM(Tabla2[[#This Row],[01. Alcaldía]:[11. Salud pública y seguridad ciudadana]])</f>
        <v>24000</v>
      </c>
    </row>
    <row r="218" spans="1:13" ht="10.5" customHeight="1" x14ac:dyDescent="0.35">
      <c r="A218" s="21" t="s">
        <v>3602</v>
      </c>
      <c r="B218" s="19"/>
      <c r="C218" s="19"/>
      <c r="D218" s="19"/>
      <c r="E218" s="19"/>
      <c r="F218" s="19"/>
      <c r="G218" s="19"/>
      <c r="H218" s="19"/>
      <c r="I218" s="19"/>
      <c r="J218" s="19">
        <v>7209.58</v>
      </c>
      <c r="K218" s="19"/>
      <c r="L218" s="19"/>
      <c r="M218" s="52">
        <f>SUM(Tabla2[[#This Row],[01. Alcaldía]:[11. Salud pública y seguridad ciudadana]])</f>
        <v>7209.58</v>
      </c>
    </row>
    <row r="219" spans="1:13" ht="10.5" customHeight="1" x14ac:dyDescent="0.35">
      <c r="A219" s="21" t="s">
        <v>517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8000</v>
      </c>
      <c r="L219" s="19"/>
      <c r="M219" s="52">
        <f>SUM(Tabla2[[#This Row],[01. Alcaldía]:[11. Salud pública y seguridad ciudadana]])</f>
        <v>8000</v>
      </c>
    </row>
    <row r="220" spans="1:13" ht="10.5" customHeight="1" x14ac:dyDescent="0.35">
      <c r="A220" s="21" t="s">
        <v>4473</v>
      </c>
      <c r="B220" s="19"/>
      <c r="C220" s="19"/>
      <c r="D220" s="19"/>
      <c r="E220" s="19"/>
      <c r="F220" s="19"/>
      <c r="G220" s="19">
        <v>198</v>
      </c>
      <c r="H220" s="19"/>
      <c r="I220" s="19"/>
      <c r="J220" s="19"/>
      <c r="K220" s="19"/>
      <c r="L220" s="19"/>
      <c r="M220" s="52">
        <f>SUM(Tabla2[[#This Row],[01. Alcaldía]:[11. Salud pública y seguridad ciudadana]])</f>
        <v>198</v>
      </c>
    </row>
    <row r="221" spans="1:13" ht="10.5" customHeight="1" x14ac:dyDescent="0.35">
      <c r="A221" s="21" t="s">
        <v>318</v>
      </c>
      <c r="B221" s="19"/>
      <c r="C221" s="19"/>
      <c r="D221" s="19"/>
      <c r="E221" s="19">
        <v>3725.1499999999996</v>
      </c>
      <c r="F221" s="19"/>
      <c r="G221" s="19"/>
      <c r="H221" s="19"/>
      <c r="I221" s="19"/>
      <c r="J221" s="19"/>
      <c r="K221" s="19"/>
      <c r="L221" s="19"/>
      <c r="M221" s="52">
        <f>SUM(Tabla2[[#This Row],[01. Alcaldía]:[11. Salud pública y seguridad ciudadana]])</f>
        <v>3725.1499999999996</v>
      </c>
    </row>
    <row r="222" spans="1:13" x14ac:dyDescent="0.35">
      <c r="A222" s="21" t="s">
        <v>514</v>
      </c>
      <c r="B222" s="19"/>
      <c r="C222" s="19"/>
      <c r="D222" s="19"/>
      <c r="E222" s="19">
        <v>17082.25</v>
      </c>
      <c r="F222" s="19"/>
      <c r="G222" s="19"/>
      <c r="H222" s="19"/>
      <c r="I222" s="19"/>
      <c r="J222" s="19">
        <v>1936</v>
      </c>
      <c r="K222" s="19"/>
      <c r="L222" s="19"/>
      <c r="M222" s="52">
        <f>SUM(Tabla2[[#This Row],[01. Alcaldía]:[11. Salud pública y seguridad ciudadana]])</f>
        <v>19018.25</v>
      </c>
    </row>
    <row r="223" spans="1:13" ht="10.5" customHeight="1" x14ac:dyDescent="0.35">
      <c r="A223" s="21" t="s">
        <v>5462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150</v>
      </c>
      <c r="L223" s="19"/>
      <c r="M223" s="52">
        <f>SUM(Tabla2[[#This Row],[01. Alcaldía]:[11. Salud pública y seguridad ciudadana]])</f>
        <v>150</v>
      </c>
    </row>
    <row r="224" spans="1:13" ht="10.5" customHeight="1" x14ac:dyDescent="0.35">
      <c r="A224" s="21" t="s">
        <v>6119</v>
      </c>
      <c r="B224" s="19"/>
      <c r="C224" s="19"/>
      <c r="D224" s="19"/>
      <c r="E224" s="19"/>
      <c r="F224" s="19"/>
      <c r="G224" s="19">
        <v>3000</v>
      </c>
      <c r="H224" s="19"/>
      <c r="I224" s="19"/>
      <c r="J224" s="19"/>
      <c r="K224" s="19"/>
      <c r="L224" s="19"/>
      <c r="M224" s="52">
        <f>SUM(Tabla2[[#This Row],[01. Alcaldía]:[11. Salud pública y seguridad ciudadana]])</f>
        <v>3000</v>
      </c>
    </row>
    <row r="225" spans="1:13" x14ac:dyDescent="0.35">
      <c r="A225" s="21" t="s">
        <v>2362</v>
      </c>
      <c r="B225" s="19"/>
      <c r="C225" s="19"/>
      <c r="D225" s="19">
        <v>968</v>
      </c>
      <c r="E225" s="19"/>
      <c r="F225" s="19"/>
      <c r="G225" s="19"/>
      <c r="H225" s="19"/>
      <c r="I225" s="19"/>
      <c r="J225" s="19"/>
      <c r="K225" s="19"/>
      <c r="L225" s="19"/>
      <c r="M225" s="52">
        <f>SUM(Tabla2[[#This Row],[01. Alcaldía]:[11. Salud pública y seguridad ciudadana]])</f>
        <v>968</v>
      </c>
    </row>
    <row r="226" spans="1:13" ht="10.5" customHeight="1" x14ac:dyDescent="0.35">
      <c r="A226" s="21" t="s">
        <v>44</v>
      </c>
      <c r="B226" s="19"/>
      <c r="C226" s="19"/>
      <c r="D226" s="19"/>
      <c r="E226" s="19"/>
      <c r="F226" s="19"/>
      <c r="G226" s="19">
        <v>750</v>
      </c>
      <c r="H226" s="19"/>
      <c r="I226" s="19"/>
      <c r="J226" s="19"/>
      <c r="K226" s="19"/>
      <c r="L226" s="19"/>
      <c r="M226" s="52">
        <f>SUM(Tabla2[[#This Row],[01. Alcaldía]:[11. Salud pública y seguridad ciudadana]])</f>
        <v>750</v>
      </c>
    </row>
    <row r="227" spans="1:13" ht="10.5" customHeight="1" x14ac:dyDescent="0.35">
      <c r="A227" s="21" t="s">
        <v>5465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247.5</v>
      </c>
      <c r="L227" s="19"/>
      <c r="M227" s="52">
        <f>SUM(Tabla2[[#This Row],[01. Alcaldía]:[11. Salud pública y seguridad ciudadana]])</f>
        <v>247.5</v>
      </c>
    </row>
    <row r="228" spans="1:13" ht="10.5" customHeight="1" x14ac:dyDescent="0.35">
      <c r="A228" s="21" t="s">
        <v>3838</v>
      </c>
      <c r="B228" s="19"/>
      <c r="C228" s="19"/>
      <c r="D228" s="19"/>
      <c r="E228" s="19"/>
      <c r="F228" s="19"/>
      <c r="G228" s="19"/>
      <c r="H228" s="19"/>
      <c r="I228" s="19"/>
      <c r="J228" s="19">
        <v>2259.6799999999998</v>
      </c>
      <c r="K228" s="19"/>
      <c r="L228" s="19"/>
      <c r="M228" s="52">
        <f>SUM(Tabla2[[#This Row],[01. Alcaldía]:[11. Salud pública y seguridad ciudadana]])</f>
        <v>2259.6799999999998</v>
      </c>
    </row>
    <row r="229" spans="1:13" ht="10.5" customHeight="1" x14ac:dyDescent="0.35">
      <c r="A229" s="21" t="s">
        <v>42</v>
      </c>
      <c r="B229" s="19"/>
      <c r="C229" s="19"/>
      <c r="D229" s="19"/>
      <c r="E229" s="19"/>
      <c r="F229" s="19"/>
      <c r="G229" s="19"/>
      <c r="H229" s="19">
        <v>6413</v>
      </c>
      <c r="I229" s="19"/>
      <c r="J229" s="19"/>
      <c r="K229" s="19"/>
      <c r="L229" s="19"/>
      <c r="M229" s="52">
        <f>SUM(Tabla2[[#This Row],[01. Alcaldía]:[11. Salud pública y seguridad ciudadana]])</f>
        <v>6413</v>
      </c>
    </row>
    <row r="230" spans="1:13" ht="10.5" customHeight="1" x14ac:dyDescent="0.35">
      <c r="A230" s="21" t="s">
        <v>2124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137.5</v>
      </c>
      <c r="M230" s="52">
        <f>SUM(Tabla2[[#This Row],[01. Alcaldía]:[11. Salud pública y seguridad ciudadana]])</f>
        <v>137.5</v>
      </c>
    </row>
    <row r="231" spans="1:13" ht="10.5" customHeight="1" x14ac:dyDescent="0.35">
      <c r="A231" s="21" t="s">
        <v>754</v>
      </c>
      <c r="B231" s="19"/>
      <c r="C231" s="19"/>
      <c r="D231" s="19"/>
      <c r="E231" s="19"/>
      <c r="F231" s="19"/>
      <c r="G231" s="19"/>
      <c r="H231" s="19">
        <v>7260</v>
      </c>
      <c r="I231" s="19"/>
      <c r="J231" s="19"/>
      <c r="K231" s="19"/>
      <c r="L231" s="19"/>
      <c r="M231" s="52">
        <f>SUM(Tabla2[[#This Row],[01. Alcaldía]:[11. Salud pública y seguridad ciudadana]])</f>
        <v>7260</v>
      </c>
    </row>
    <row r="232" spans="1:13" x14ac:dyDescent="0.35">
      <c r="A232" s="21" t="s">
        <v>2632</v>
      </c>
      <c r="B232" s="19"/>
      <c r="C232" s="19"/>
      <c r="D232" s="19"/>
      <c r="E232" s="19"/>
      <c r="F232" s="19">
        <v>2000</v>
      </c>
      <c r="G232" s="19"/>
      <c r="H232" s="19"/>
      <c r="I232" s="19"/>
      <c r="J232" s="19"/>
      <c r="K232" s="19"/>
      <c r="L232" s="19">
        <v>1512.5</v>
      </c>
      <c r="M232" s="52">
        <f>SUM(Tabla2[[#This Row],[01. Alcaldía]:[11. Salud pública y seguridad ciudadana]])</f>
        <v>3512.5</v>
      </c>
    </row>
    <row r="233" spans="1:13" ht="10.5" customHeight="1" x14ac:dyDescent="0.35">
      <c r="A233" s="21" t="s">
        <v>601</v>
      </c>
      <c r="B233" s="19"/>
      <c r="C233" s="19"/>
      <c r="D233" s="19"/>
      <c r="E233" s="19"/>
      <c r="F233" s="19"/>
      <c r="G233" s="19">
        <v>18150</v>
      </c>
      <c r="H233" s="19"/>
      <c r="I233" s="19"/>
      <c r="J233" s="19"/>
      <c r="K233" s="19"/>
      <c r="L233" s="19"/>
      <c r="M233" s="52">
        <f>SUM(Tabla2[[#This Row],[01. Alcaldía]:[11. Salud pública y seguridad ciudadana]])</f>
        <v>18150</v>
      </c>
    </row>
    <row r="234" spans="1:13" ht="10.5" customHeight="1" x14ac:dyDescent="0.35">
      <c r="A234" s="21" t="s">
        <v>3201</v>
      </c>
      <c r="B234" s="19"/>
      <c r="C234" s="19"/>
      <c r="D234" s="19"/>
      <c r="E234" s="19"/>
      <c r="F234" s="19">
        <v>12450.9</v>
      </c>
      <c r="G234" s="19"/>
      <c r="H234" s="19"/>
      <c r="I234" s="19"/>
      <c r="J234" s="19"/>
      <c r="K234" s="19"/>
      <c r="L234" s="19"/>
      <c r="M234" s="52">
        <f>SUM(Tabla2[[#This Row],[01. Alcaldía]:[11. Salud pública y seguridad ciudadana]])</f>
        <v>12450.9</v>
      </c>
    </row>
    <row r="235" spans="1:13" ht="10.5" customHeight="1" x14ac:dyDescent="0.35">
      <c r="A235" s="21" t="s">
        <v>4033</v>
      </c>
      <c r="B235" s="19"/>
      <c r="C235" s="19"/>
      <c r="D235" s="19"/>
      <c r="E235" s="19"/>
      <c r="F235" s="19"/>
      <c r="G235" s="19">
        <v>239.58</v>
      </c>
      <c r="H235" s="19"/>
      <c r="I235" s="19"/>
      <c r="J235" s="19"/>
      <c r="K235" s="19"/>
      <c r="L235" s="19"/>
      <c r="M235" s="52">
        <f>SUM(Tabla2[[#This Row],[01. Alcaldía]:[11. Salud pública y seguridad ciudadana]])</f>
        <v>239.58</v>
      </c>
    </row>
    <row r="236" spans="1:13" x14ac:dyDescent="0.35">
      <c r="A236" s="21" t="s">
        <v>4335</v>
      </c>
      <c r="B236" s="19"/>
      <c r="C236" s="19"/>
      <c r="D236" s="19"/>
      <c r="E236" s="19"/>
      <c r="F236" s="19"/>
      <c r="G236" s="19">
        <v>855.47</v>
      </c>
      <c r="H236" s="19"/>
      <c r="I236" s="19"/>
      <c r="J236" s="19"/>
      <c r="K236" s="19"/>
      <c r="L236" s="19"/>
      <c r="M236" s="52">
        <f>SUM(Tabla2[[#This Row],[01. Alcaldía]:[11. Salud pública y seguridad ciudadana]])</f>
        <v>855.47</v>
      </c>
    </row>
    <row r="237" spans="1:13" ht="10.5" customHeight="1" x14ac:dyDescent="0.35">
      <c r="A237" s="21" t="s">
        <v>3804</v>
      </c>
      <c r="B237" s="19"/>
      <c r="C237" s="19"/>
      <c r="D237" s="19"/>
      <c r="E237" s="19"/>
      <c r="F237" s="19"/>
      <c r="G237" s="19">
        <v>2864.12</v>
      </c>
      <c r="H237" s="19"/>
      <c r="I237" s="19"/>
      <c r="J237" s="19"/>
      <c r="K237" s="19"/>
      <c r="L237" s="19"/>
      <c r="M237" s="52">
        <f>SUM(Tabla2[[#This Row],[01. Alcaldía]:[11. Salud pública y seguridad ciudadana]])</f>
        <v>2864.12</v>
      </c>
    </row>
    <row r="238" spans="1:13" ht="10.5" customHeight="1" x14ac:dyDescent="0.35">
      <c r="A238" s="21" t="s">
        <v>4278</v>
      </c>
      <c r="B238" s="19"/>
      <c r="C238" s="19"/>
      <c r="D238" s="19">
        <v>400</v>
      </c>
      <c r="E238" s="19"/>
      <c r="F238" s="19"/>
      <c r="G238" s="19"/>
      <c r="H238" s="19"/>
      <c r="I238" s="19"/>
      <c r="J238" s="19"/>
      <c r="K238" s="19"/>
      <c r="L238" s="19"/>
      <c r="M238" s="52">
        <f>SUM(Tabla2[[#This Row],[01. Alcaldía]:[11. Salud pública y seguridad ciudadana]])</f>
        <v>400</v>
      </c>
    </row>
    <row r="239" spans="1:13" x14ac:dyDescent="0.35">
      <c r="A239" s="21" t="s">
        <v>5585</v>
      </c>
      <c r="B239" s="19"/>
      <c r="C239" s="19"/>
      <c r="D239" s="19"/>
      <c r="E239" s="19"/>
      <c r="F239" s="19"/>
      <c r="G239" s="19">
        <v>459.8</v>
      </c>
      <c r="H239" s="19"/>
      <c r="I239" s="19"/>
      <c r="J239" s="19"/>
      <c r="K239" s="19"/>
      <c r="L239" s="19"/>
      <c r="M239" s="52">
        <f>SUM(Tabla2[[#This Row],[01. Alcaldía]:[11. Salud pública y seguridad ciudadana]])</f>
        <v>459.8</v>
      </c>
    </row>
    <row r="240" spans="1:13" ht="10.5" customHeight="1" x14ac:dyDescent="0.35">
      <c r="A240" s="21" t="s">
        <v>101</v>
      </c>
      <c r="B240" s="19">
        <v>1584</v>
      </c>
      <c r="C240" s="19"/>
      <c r="D240" s="19">
        <v>3804.5</v>
      </c>
      <c r="E240" s="19">
        <v>334.4</v>
      </c>
      <c r="F240" s="19"/>
      <c r="G240" s="19">
        <v>8260</v>
      </c>
      <c r="H240" s="19">
        <v>484</v>
      </c>
      <c r="I240" s="19"/>
      <c r="J240" s="19"/>
      <c r="K240" s="19">
        <v>907.5</v>
      </c>
      <c r="L240" s="19"/>
      <c r="M240" s="52">
        <f>SUM(Tabla2[[#This Row],[01. Alcaldía]:[11. Salud pública y seguridad ciudadana]])</f>
        <v>15374.4</v>
      </c>
    </row>
    <row r="241" spans="1:13" ht="10.5" customHeight="1" x14ac:dyDescent="0.35">
      <c r="A241" s="21" t="s">
        <v>2818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7001.75</v>
      </c>
      <c r="M241" s="52">
        <f>SUM(Tabla2[[#This Row],[01. Alcaldía]:[11. Salud pública y seguridad ciudadana]])</f>
        <v>7001.75</v>
      </c>
    </row>
    <row r="242" spans="1:13" ht="10.5" customHeight="1" x14ac:dyDescent="0.35">
      <c r="A242" s="21" t="s">
        <v>2310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>
        <v>7974.1</v>
      </c>
      <c r="L242" s="19"/>
      <c r="M242" s="52">
        <f>SUM(Tabla2[[#This Row],[01. Alcaldía]:[11. Salud pública y seguridad ciudadana]])</f>
        <v>7974.1</v>
      </c>
    </row>
    <row r="243" spans="1:13" ht="10.5" customHeight="1" x14ac:dyDescent="0.35">
      <c r="A243" s="21" t="s">
        <v>61</v>
      </c>
      <c r="B243" s="19"/>
      <c r="C243" s="19"/>
      <c r="D243" s="19"/>
      <c r="E243" s="19"/>
      <c r="F243" s="19"/>
      <c r="G243" s="19">
        <v>17711.93</v>
      </c>
      <c r="H243" s="19"/>
      <c r="I243" s="19"/>
      <c r="J243" s="19"/>
      <c r="K243" s="19"/>
      <c r="L243" s="19"/>
      <c r="M243" s="52">
        <f>SUM(Tabla2[[#This Row],[01. Alcaldía]:[11. Salud pública y seguridad ciudadana]])</f>
        <v>17711.93</v>
      </c>
    </row>
    <row r="244" spans="1:13" ht="10.5" customHeight="1" x14ac:dyDescent="0.35">
      <c r="A244" s="21" t="s">
        <v>2498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7591</v>
      </c>
      <c r="M244" s="52">
        <f>SUM(Tabla2[[#This Row],[01. Alcaldía]:[11. Salud pública y seguridad ciudadana]])</f>
        <v>7591</v>
      </c>
    </row>
    <row r="245" spans="1:13" x14ac:dyDescent="0.35">
      <c r="A245" s="21" t="s">
        <v>3061</v>
      </c>
      <c r="B245" s="19"/>
      <c r="C245" s="19"/>
      <c r="D245" s="19"/>
      <c r="E245" s="19">
        <v>7247.9</v>
      </c>
      <c r="F245" s="19"/>
      <c r="G245" s="19"/>
      <c r="H245" s="19"/>
      <c r="I245" s="19"/>
      <c r="J245" s="19"/>
      <c r="K245" s="19"/>
      <c r="L245" s="19"/>
      <c r="M245" s="52">
        <f>SUM(Tabla2[[#This Row],[01. Alcaldía]:[11. Salud pública y seguridad ciudadana]])</f>
        <v>7247.9</v>
      </c>
    </row>
    <row r="246" spans="1:13" ht="10.5" customHeight="1" x14ac:dyDescent="0.35">
      <c r="A246" s="21" t="s">
        <v>5493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242</v>
      </c>
      <c r="L246" s="19"/>
      <c r="M246" s="52">
        <f>SUM(Tabla2[[#This Row],[01. Alcaldía]:[11. Salud pública y seguridad ciudadana]])</f>
        <v>242</v>
      </c>
    </row>
    <row r="247" spans="1:13" ht="10.5" customHeight="1" x14ac:dyDescent="0.35">
      <c r="A247" s="21" t="s">
        <v>95</v>
      </c>
      <c r="B247" s="19"/>
      <c r="C247" s="19">
        <v>1950.91</v>
      </c>
      <c r="D247" s="19"/>
      <c r="E247" s="19"/>
      <c r="F247" s="19"/>
      <c r="G247" s="19"/>
      <c r="H247" s="19"/>
      <c r="I247" s="19"/>
      <c r="J247" s="19"/>
      <c r="K247" s="19"/>
      <c r="L247" s="19"/>
      <c r="M247" s="52">
        <f>SUM(Tabla2[[#This Row],[01. Alcaldía]:[11. Salud pública y seguridad ciudadana]])</f>
        <v>1950.91</v>
      </c>
    </row>
    <row r="248" spans="1:13" ht="10.5" customHeight="1" x14ac:dyDescent="0.35">
      <c r="A248" s="21" t="s">
        <v>2634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1512.5</v>
      </c>
      <c r="M248" s="52">
        <f>SUM(Tabla2[[#This Row],[01. Alcaldía]:[11. Salud pública y seguridad ciudadana]])</f>
        <v>1512.5</v>
      </c>
    </row>
    <row r="249" spans="1:13" ht="10.5" customHeight="1" x14ac:dyDescent="0.35">
      <c r="A249" s="21" t="s">
        <v>1992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>
        <v>9571.57</v>
      </c>
      <c r="M249" s="52">
        <f>SUM(Tabla2[[#This Row],[01. Alcaldía]:[11. Salud pública y seguridad ciudadana]])</f>
        <v>9571.57</v>
      </c>
    </row>
    <row r="250" spans="1:13" ht="10.5" customHeight="1" x14ac:dyDescent="0.35">
      <c r="A250" s="21" t="s">
        <v>2791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6678</v>
      </c>
      <c r="M250" s="52">
        <f>SUM(Tabla2[[#This Row],[01. Alcaldía]:[11. Salud pública y seguridad ciudadana]])</f>
        <v>6678</v>
      </c>
    </row>
    <row r="251" spans="1:13" ht="10.5" customHeight="1" x14ac:dyDescent="0.35">
      <c r="A251" s="21" t="s">
        <v>635</v>
      </c>
      <c r="B251" s="19"/>
      <c r="C251" s="19"/>
      <c r="D251" s="19"/>
      <c r="E251" s="19"/>
      <c r="F251" s="19"/>
      <c r="G251" s="19"/>
      <c r="H251" s="19">
        <v>1000</v>
      </c>
      <c r="I251" s="19"/>
      <c r="J251" s="19"/>
      <c r="K251" s="19"/>
      <c r="L251" s="19"/>
      <c r="M251" s="52">
        <f>SUM(Tabla2[[#This Row],[01. Alcaldía]:[11. Salud pública y seguridad ciudadana]])</f>
        <v>1000</v>
      </c>
    </row>
    <row r="252" spans="1:13" ht="10.5" customHeight="1" x14ac:dyDescent="0.35">
      <c r="A252" s="21" t="s">
        <v>244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>
        <v>30158.11</v>
      </c>
      <c r="M252" s="52">
        <f>SUM(Tabla2[[#This Row],[01. Alcaldía]:[11. Salud pública y seguridad ciudadana]])</f>
        <v>30158.11</v>
      </c>
    </row>
    <row r="253" spans="1:13" ht="10.5" customHeight="1" x14ac:dyDescent="0.35">
      <c r="A253" s="21" t="s">
        <v>2722</v>
      </c>
      <c r="B253" s="19"/>
      <c r="C253" s="19">
        <v>2211.84</v>
      </c>
      <c r="D253" s="19"/>
      <c r="E253" s="19"/>
      <c r="F253" s="19"/>
      <c r="G253" s="19"/>
      <c r="H253" s="19"/>
      <c r="I253" s="19"/>
      <c r="J253" s="19"/>
      <c r="K253" s="19"/>
      <c r="L253" s="19"/>
      <c r="M253" s="52">
        <f>SUM(Tabla2[[#This Row],[01. Alcaldía]:[11. Salud pública y seguridad ciudadana]])</f>
        <v>2211.84</v>
      </c>
    </row>
    <row r="254" spans="1:13" x14ac:dyDescent="0.35">
      <c r="A254" s="21" t="s">
        <v>3265</v>
      </c>
      <c r="B254" s="19"/>
      <c r="C254" s="19"/>
      <c r="D254" s="19"/>
      <c r="E254" s="19"/>
      <c r="F254" s="19"/>
      <c r="G254" s="19"/>
      <c r="H254" s="19">
        <v>78</v>
      </c>
      <c r="I254" s="19"/>
      <c r="J254" s="19"/>
      <c r="K254" s="19"/>
      <c r="L254" s="19"/>
      <c r="M254" s="52">
        <f>SUM(Tabla2[[#This Row],[01. Alcaldía]:[11. Salud pública y seguridad ciudadana]])</f>
        <v>78</v>
      </c>
    </row>
    <row r="255" spans="1:13" x14ac:dyDescent="0.35">
      <c r="A255" s="21" t="s">
        <v>2716</v>
      </c>
      <c r="B255" s="19"/>
      <c r="C255" s="19"/>
      <c r="D255" s="19">
        <v>2198.17</v>
      </c>
      <c r="E255" s="19"/>
      <c r="F255" s="19"/>
      <c r="G255" s="19"/>
      <c r="H255" s="19"/>
      <c r="I255" s="19"/>
      <c r="J255" s="19"/>
      <c r="K255" s="19"/>
      <c r="L255" s="19"/>
      <c r="M255" s="52">
        <f>SUM(Tabla2[[#This Row],[01. Alcaldía]:[11. Salud pública y seguridad ciudadana]])</f>
        <v>2198.17</v>
      </c>
    </row>
    <row r="256" spans="1:13" x14ac:dyDescent="0.35">
      <c r="A256" s="21" t="s">
        <v>2267</v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>
        <v>275</v>
      </c>
      <c r="M256" s="52">
        <f>SUM(Tabla2[[#This Row],[01. Alcaldía]:[11. Salud pública y seguridad ciudadana]])</f>
        <v>275</v>
      </c>
    </row>
    <row r="257" spans="1:13" ht="10.5" customHeight="1" x14ac:dyDescent="0.35">
      <c r="A257" s="21" t="s">
        <v>1945</v>
      </c>
      <c r="B257" s="19"/>
      <c r="C257" s="19"/>
      <c r="D257" s="19"/>
      <c r="E257" s="19"/>
      <c r="F257" s="19"/>
      <c r="G257" s="19"/>
      <c r="H257" s="19">
        <v>700</v>
      </c>
      <c r="I257" s="19"/>
      <c r="J257" s="19"/>
      <c r="K257" s="19"/>
      <c r="L257" s="19">
        <v>162.78</v>
      </c>
      <c r="M257" s="52">
        <f>SUM(Tabla2[[#This Row],[01. Alcaldía]:[11. Salud pública y seguridad ciudadana]])</f>
        <v>862.78</v>
      </c>
    </row>
    <row r="258" spans="1:13" ht="10.5" customHeight="1" x14ac:dyDescent="0.35">
      <c r="A258" s="21" t="s">
        <v>47</v>
      </c>
      <c r="B258" s="19"/>
      <c r="C258" s="19"/>
      <c r="D258" s="19"/>
      <c r="E258" s="19"/>
      <c r="F258" s="19"/>
      <c r="G258" s="19"/>
      <c r="H258" s="19"/>
      <c r="I258" s="19"/>
      <c r="J258" s="19">
        <v>245.08</v>
      </c>
      <c r="K258" s="19"/>
      <c r="L258" s="19"/>
      <c r="M258" s="52">
        <f>SUM(Tabla2[[#This Row],[01. Alcaldía]:[11. Salud pública y seguridad ciudadana]])</f>
        <v>245.08</v>
      </c>
    </row>
    <row r="259" spans="1:13" ht="10.5" customHeight="1" x14ac:dyDescent="0.35">
      <c r="A259" s="21" t="s">
        <v>6128</v>
      </c>
      <c r="B259" s="19"/>
      <c r="C259" s="19"/>
      <c r="D259" s="19"/>
      <c r="E259" s="19"/>
      <c r="F259" s="19">
        <v>608.39</v>
      </c>
      <c r="G259" s="19"/>
      <c r="H259" s="19"/>
      <c r="I259" s="19"/>
      <c r="J259" s="19"/>
      <c r="K259" s="19"/>
      <c r="L259" s="19"/>
      <c r="M259" s="52">
        <f>SUM(Tabla2[[#This Row],[01. Alcaldía]:[11. Salud pública y seguridad ciudadana]])</f>
        <v>608.39</v>
      </c>
    </row>
    <row r="260" spans="1:13" ht="10.5" customHeight="1" x14ac:dyDescent="0.35">
      <c r="A260" s="21" t="s">
        <v>2989</v>
      </c>
      <c r="B260" s="19"/>
      <c r="C260" s="19"/>
      <c r="D260" s="19"/>
      <c r="E260" s="19"/>
      <c r="F260" s="19">
        <v>6050</v>
      </c>
      <c r="G260" s="19"/>
      <c r="H260" s="19"/>
      <c r="I260" s="19"/>
      <c r="J260" s="19"/>
      <c r="K260" s="19"/>
      <c r="L260" s="19"/>
      <c r="M260" s="52">
        <f>SUM(Tabla2[[#This Row],[01. Alcaldía]:[11. Salud pública y seguridad ciudadana]])</f>
        <v>6050</v>
      </c>
    </row>
    <row r="261" spans="1:13" ht="10.5" customHeight="1" x14ac:dyDescent="0.35">
      <c r="A261" s="21" t="s">
        <v>4810</v>
      </c>
      <c r="B261" s="19"/>
      <c r="C261" s="19"/>
      <c r="D261" s="19">
        <v>10.94</v>
      </c>
      <c r="E261" s="19"/>
      <c r="F261" s="19"/>
      <c r="G261" s="19">
        <v>379.18</v>
      </c>
      <c r="H261" s="19"/>
      <c r="I261" s="19"/>
      <c r="J261" s="19"/>
      <c r="K261" s="19">
        <v>946.05</v>
      </c>
      <c r="L261" s="19"/>
      <c r="M261" s="52">
        <f>SUM(Tabla2[[#This Row],[01. Alcaldía]:[11. Salud pública y seguridad ciudadana]])</f>
        <v>1336.17</v>
      </c>
    </row>
    <row r="262" spans="1:13" ht="10.5" customHeight="1" x14ac:dyDescent="0.35">
      <c r="A262" s="21" t="s">
        <v>164</v>
      </c>
      <c r="B262" s="19"/>
      <c r="C262" s="19"/>
      <c r="D262" s="19"/>
      <c r="E262" s="19"/>
      <c r="F262" s="19"/>
      <c r="G262" s="19">
        <v>3504.16</v>
      </c>
      <c r="H262" s="19"/>
      <c r="I262" s="19"/>
      <c r="J262" s="19"/>
      <c r="K262" s="19"/>
      <c r="L262" s="19"/>
      <c r="M262" s="52">
        <f>SUM(Tabla2[[#This Row],[01. Alcaldía]:[11. Salud pública y seguridad ciudadana]])</f>
        <v>3504.16</v>
      </c>
    </row>
    <row r="263" spans="1:13" x14ac:dyDescent="0.35">
      <c r="A263" s="21" t="s">
        <v>3612</v>
      </c>
      <c r="B263" s="19">
        <v>7019.94</v>
      </c>
      <c r="C263" s="19"/>
      <c r="D263" s="19"/>
      <c r="E263" s="19"/>
      <c r="F263" s="19"/>
      <c r="G263" s="19"/>
      <c r="H263" s="19"/>
      <c r="I263" s="19"/>
      <c r="J263" s="19">
        <v>5515.66</v>
      </c>
      <c r="K263" s="19"/>
      <c r="L263" s="19"/>
      <c r="M263" s="52">
        <f>SUM(Tabla2[[#This Row],[01. Alcaldía]:[11. Salud pública y seguridad ciudadana]])</f>
        <v>12535.599999999999</v>
      </c>
    </row>
    <row r="264" spans="1:13" x14ac:dyDescent="0.35">
      <c r="A264" s="21" t="s">
        <v>1908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>
        <v>1568.16</v>
      </c>
      <c r="L264" s="19"/>
      <c r="M264" s="52">
        <f>SUM(Tabla2[[#This Row],[01. Alcaldía]:[11. Salud pública y seguridad ciudadana]])</f>
        <v>1568.16</v>
      </c>
    </row>
    <row r="265" spans="1:13" ht="10.5" customHeight="1" x14ac:dyDescent="0.35">
      <c r="A265" s="21" t="s">
        <v>4173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>
        <v>586.85</v>
      </c>
      <c r="L265" s="19"/>
      <c r="M265" s="52">
        <f>SUM(Tabla2[[#This Row],[01. Alcaldía]:[11. Salud pública y seguridad ciudadana]])</f>
        <v>586.85</v>
      </c>
    </row>
    <row r="266" spans="1:13" ht="10.5" customHeight="1" x14ac:dyDescent="0.35">
      <c r="A266" s="21" t="s">
        <v>5534</v>
      </c>
      <c r="B266" s="19"/>
      <c r="C266" s="19"/>
      <c r="D266" s="19"/>
      <c r="E266" s="19"/>
      <c r="F266" s="19"/>
      <c r="G266" s="19">
        <v>922.02</v>
      </c>
      <c r="H266" s="19"/>
      <c r="I266" s="19"/>
      <c r="J266" s="19"/>
      <c r="K266" s="19"/>
      <c r="L266" s="19"/>
      <c r="M266" s="52">
        <f>SUM(Tabla2[[#This Row],[01. Alcaldía]:[11. Salud pública y seguridad ciudadana]])</f>
        <v>922.02</v>
      </c>
    </row>
    <row r="267" spans="1:13" ht="10.5" customHeight="1" x14ac:dyDescent="0.35">
      <c r="A267" s="21" t="s">
        <v>552</v>
      </c>
      <c r="B267" s="19"/>
      <c r="C267" s="19"/>
      <c r="D267" s="19"/>
      <c r="E267" s="19"/>
      <c r="F267" s="19"/>
      <c r="G267" s="19"/>
      <c r="H267" s="19">
        <v>8336.9</v>
      </c>
      <c r="I267" s="19"/>
      <c r="J267" s="19"/>
      <c r="K267" s="19"/>
      <c r="L267" s="19"/>
      <c r="M267" s="52">
        <f>SUM(Tabla2[[#This Row],[01. Alcaldía]:[11. Salud pública y seguridad ciudadana]])</f>
        <v>8336.9</v>
      </c>
    </row>
    <row r="268" spans="1:13" ht="10.5" customHeight="1" x14ac:dyDescent="0.35">
      <c r="A268" s="21" t="s">
        <v>161</v>
      </c>
      <c r="B268" s="19"/>
      <c r="C268" s="19"/>
      <c r="D268" s="19"/>
      <c r="E268" s="19"/>
      <c r="F268" s="19"/>
      <c r="G268" s="19">
        <v>1113.2</v>
      </c>
      <c r="H268" s="19"/>
      <c r="I268" s="19"/>
      <c r="J268" s="19"/>
      <c r="K268" s="19"/>
      <c r="L268" s="19"/>
      <c r="M268" s="52">
        <f>SUM(Tabla2[[#This Row],[01. Alcaldía]:[11. Salud pública y seguridad ciudadana]])</f>
        <v>1113.2</v>
      </c>
    </row>
    <row r="269" spans="1:13" x14ac:dyDescent="0.35">
      <c r="A269" s="21" t="s">
        <v>121</v>
      </c>
      <c r="B269" s="19"/>
      <c r="C269" s="19">
        <v>19243.989999999998</v>
      </c>
      <c r="D269" s="19">
        <v>24420.720000000001</v>
      </c>
      <c r="E269" s="19"/>
      <c r="F269" s="19">
        <v>17997.379999999997</v>
      </c>
      <c r="G269" s="19">
        <v>22382.23</v>
      </c>
      <c r="H269" s="19">
        <v>3485.77</v>
      </c>
      <c r="I269" s="19">
        <v>44810.98</v>
      </c>
      <c r="J269" s="19"/>
      <c r="K269" s="19"/>
      <c r="L269" s="19">
        <v>7018</v>
      </c>
      <c r="M269" s="52">
        <f>SUM(Tabla2[[#This Row],[01. Alcaldía]:[11. Salud pública y seguridad ciudadana]])</f>
        <v>139359.07</v>
      </c>
    </row>
    <row r="270" spans="1:13" x14ac:dyDescent="0.35">
      <c r="A270" s="21" t="s">
        <v>5548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8788.99</v>
      </c>
      <c r="M270" s="52">
        <f>SUM(Tabla2[[#This Row],[01. Alcaldía]:[11. Salud pública y seguridad ciudadana]])</f>
        <v>8788.99</v>
      </c>
    </row>
    <row r="271" spans="1:13" ht="10.5" customHeight="1" x14ac:dyDescent="0.35">
      <c r="A271" s="21" t="s">
        <v>120</v>
      </c>
      <c r="B271" s="19"/>
      <c r="C271" s="19"/>
      <c r="D271" s="19">
        <v>101.62</v>
      </c>
      <c r="E271" s="19"/>
      <c r="F271" s="19">
        <v>1204.73</v>
      </c>
      <c r="G271" s="19">
        <v>4799.62</v>
      </c>
      <c r="H271" s="19">
        <v>639.51</v>
      </c>
      <c r="I271" s="19">
        <v>6605.8600000000006</v>
      </c>
      <c r="J271" s="19"/>
      <c r="K271" s="19">
        <v>6126.55</v>
      </c>
      <c r="L271" s="19">
        <v>246.84</v>
      </c>
      <c r="M271" s="52">
        <f>SUM(Tabla2[[#This Row],[01. Alcaldía]:[11. Salud pública y seguridad ciudadana]])</f>
        <v>19724.73</v>
      </c>
    </row>
    <row r="272" spans="1:13" ht="10.5" customHeight="1" x14ac:dyDescent="0.35">
      <c r="A272" s="21" t="s">
        <v>3057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7226.12</v>
      </c>
      <c r="M272" s="52">
        <f>SUM(Tabla2[[#This Row],[01. Alcaldía]:[11. Salud pública y seguridad ciudadana]])</f>
        <v>7226.12</v>
      </c>
    </row>
    <row r="273" spans="1:13" ht="10.5" customHeight="1" x14ac:dyDescent="0.35">
      <c r="A273" s="21" t="s">
        <v>5557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857.29</v>
      </c>
      <c r="M273" s="52">
        <f>SUM(Tabla2[[#This Row],[01. Alcaldía]:[11. Salud pública y seguridad ciudadana]])</f>
        <v>857.29</v>
      </c>
    </row>
    <row r="274" spans="1:13" ht="10.5" customHeight="1" x14ac:dyDescent="0.35">
      <c r="A274" s="21" t="s">
        <v>286</v>
      </c>
      <c r="B274" s="19"/>
      <c r="C274" s="19"/>
      <c r="D274" s="19">
        <v>532.4</v>
      </c>
      <c r="E274" s="19"/>
      <c r="F274" s="19"/>
      <c r="G274" s="19"/>
      <c r="H274" s="19"/>
      <c r="I274" s="19"/>
      <c r="J274" s="19"/>
      <c r="K274" s="19"/>
      <c r="L274" s="19"/>
      <c r="M274" s="52">
        <f>SUM(Tabla2[[#This Row],[01. Alcaldía]:[11. Salud pública y seguridad ciudadana]])</f>
        <v>532.4</v>
      </c>
    </row>
    <row r="275" spans="1:13" ht="10.5" customHeight="1" x14ac:dyDescent="0.35">
      <c r="A275" s="21" t="s">
        <v>3773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3327.5</v>
      </c>
      <c r="M275" s="52">
        <f>SUM(Tabla2[[#This Row],[01. Alcaldía]:[11. Salud pública y seguridad ciudadana]])</f>
        <v>3327.5</v>
      </c>
    </row>
    <row r="276" spans="1:13" ht="10.5" customHeight="1" x14ac:dyDescent="0.35">
      <c r="A276" s="21" t="s">
        <v>2138</v>
      </c>
      <c r="B276" s="19"/>
      <c r="C276" s="19">
        <v>145.19999999999999</v>
      </c>
      <c r="D276" s="19"/>
      <c r="E276" s="19"/>
      <c r="F276" s="19"/>
      <c r="G276" s="19"/>
      <c r="H276" s="19"/>
      <c r="I276" s="19"/>
      <c r="J276" s="19"/>
      <c r="K276" s="19"/>
      <c r="L276" s="19"/>
      <c r="M276" s="52">
        <f>SUM(Tabla2[[#This Row],[01. Alcaldía]:[11. Salud pública y seguridad ciudadana]])</f>
        <v>145.19999999999999</v>
      </c>
    </row>
    <row r="277" spans="1:13" ht="10.5" customHeight="1" x14ac:dyDescent="0.35">
      <c r="A277" s="21" t="s">
        <v>3725</v>
      </c>
      <c r="B277" s="19"/>
      <c r="C277" s="19"/>
      <c r="D277" s="19"/>
      <c r="E277" s="19"/>
      <c r="F277" s="19"/>
      <c r="G277" s="19"/>
      <c r="H277" s="19"/>
      <c r="I277" s="19"/>
      <c r="J277" s="19">
        <v>3985</v>
      </c>
      <c r="K277" s="19"/>
      <c r="L277" s="19"/>
      <c r="M277" s="52">
        <f>SUM(Tabla2[[#This Row],[01. Alcaldía]:[11. Salud pública y seguridad ciudadana]])</f>
        <v>3985</v>
      </c>
    </row>
    <row r="278" spans="1:13" ht="10.5" customHeight="1" x14ac:dyDescent="0.35">
      <c r="A278" s="21" t="s">
        <v>3607</v>
      </c>
      <c r="B278" s="19"/>
      <c r="C278" s="19"/>
      <c r="D278" s="19"/>
      <c r="E278" s="19"/>
      <c r="F278" s="19"/>
      <c r="G278" s="19"/>
      <c r="H278" s="19">
        <v>7139</v>
      </c>
      <c r="I278" s="19"/>
      <c r="J278" s="19"/>
      <c r="K278" s="19"/>
      <c r="L278" s="19"/>
      <c r="M278" s="52">
        <f>SUM(Tabla2[[#This Row],[01. Alcaldía]:[11. Salud pública y seguridad ciudadana]])</f>
        <v>7139</v>
      </c>
    </row>
    <row r="279" spans="1:13" x14ac:dyDescent="0.35">
      <c r="A279" s="21" t="s">
        <v>2638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>
        <v>1512.5</v>
      </c>
      <c r="M279" s="52">
        <f>SUM(Tabla2[[#This Row],[01. Alcaldía]:[11. Salud pública y seguridad ciudadana]])</f>
        <v>1512.5</v>
      </c>
    </row>
    <row r="280" spans="1:13" ht="10.5" customHeight="1" x14ac:dyDescent="0.35">
      <c r="A280" s="21" t="s">
        <v>3641</v>
      </c>
      <c r="B280" s="19"/>
      <c r="C280" s="19"/>
      <c r="D280" s="19"/>
      <c r="E280" s="19"/>
      <c r="F280" s="19"/>
      <c r="G280" s="19"/>
      <c r="H280" s="19"/>
      <c r="I280" s="19">
        <v>6352.2</v>
      </c>
      <c r="J280" s="19"/>
      <c r="K280" s="19"/>
      <c r="L280" s="19"/>
      <c r="M280" s="52">
        <f>SUM(Tabla2[[#This Row],[01. Alcaldía]:[11. Salud pública y seguridad ciudadana]])</f>
        <v>6352.2</v>
      </c>
    </row>
    <row r="281" spans="1:13" ht="10.5" customHeight="1" x14ac:dyDescent="0.35">
      <c r="A281" s="21" t="s">
        <v>3829</v>
      </c>
      <c r="B281" s="19"/>
      <c r="C281" s="19"/>
      <c r="D281" s="19"/>
      <c r="E281" s="19"/>
      <c r="F281" s="19"/>
      <c r="G281" s="19"/>
      <c r="H281" s="19"/>
      <c r="I281" s="19"/>
      <c r="J281" s="19">
        <v>2420</v>
      </c>
      <c r="K281" s="19"/>
      <c r="L281" s="19"/>
      <c r="M281" s="52">
        <f>SUM(Tabla2[[#This Row],[01. Alcaldía]:[11. Salud pública y seguridad ciudadana]])</f>
        <v>2420</v>
      </c>
    </row>
    <row r="282" spans="1:13" ht="10.5" customHeight="1" x14ac:dyDescent="0.35">
      <c r="A282" s="21" t="s">
        <v>4166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600</v>
      </c>
      <c r="M282" s="52">
        <f>SUM(Tabla2[[#This Row],[01. Alcaldía]:[11. Salud pública y seguridad ciudadana]])</f>
        <v>600</v>
      </c>
    </row>
    <row r="283" spans="1:13" ht="10.5" customHeight="1" x14ac:dyDescent="0.35">
      <c r="A283" s="21" t="s">
        <v>5569</v>
      </c>
      <c r="B283" s="19"/>
      <c r="C283" s="19"/>
      <c r="D283" s="19">
        <v>605</v>
      </c>
      <c r="E283" s="19"/>
      <c r="F283" s="19"/>
      <c r="G283" s="19"/>
      <c r="H283" s="19"/>
      <c r="I283" s="19"/>
      <c r="J283" s="19"/>
      <c r="K283" s="19"/>
      <c r="L283" s="19"/>
      <c r="M283" s="52">
        <f>SUM(Tabla2[[#This Row],[01. Alcaldía]:[11. Salud pública y seguridad ciudadana]])</f>
        <v>605</v>
      </c>
    </row>
    <row r="284" spans="1:13" ht="10.5" customHeight="1" x14ac:dyDescent="0.35">
      <c r="A284" s="21" t="s">
        <v>566</v>
      </c>
      <c r="B284" s="19"/>
      <c r="C284" s="19"/>
      <c r="D284" s="19"/>
      <c r="E284" s="19"/>
      <c r="F284" s="19"/>
      <c r="G284" s="19"/>
      <c r="H284" s="19">
        <v>1512.5</v>
      </c>
      <c r="I284" s="19"/>
      <c r="J284" s="19"/>
      <c r="K284" s="19"/>
      <c r="L284" s="19"/>
      <c r="M284" s="52">
        <f>SUM(Tabla2[[#This Row],[01. Alcaldía]:[11. Salud pública y seguridad ciudadana]])</f>
        <v>1512.5</v>
      </c>
    </row>
    <row r="285" spans="1:13" ht="10.5" customHeight="1" x14ac:dyDescent="0.35">
      <c r="A285" s="21" t="s">
        <v>179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18150</v>
      </c>
      <c r="M285" s="52">
        <f>SUM(Tabla2[[#This Row],[01. Alcaldía]:[11. Salud pública y seguridad ciudadana]])</f>
        <v>18150</v>
      </c>
    </row>
    <row r="286" spans="1:13" ht="10.5" customHeight="1" x14ac:dyDescent="0.35">
      <c r="A286" s="21" t="s">
        <v>3567</v>
      </c>
      <c r="B286" s="19"/>
      <c r="C286" s="19"/>
      <c r="D286" s="19">
        <v>1985.26</v>
      </c>
      <c r="E286" s="19"/>
      <c r="F286" s="19"/>
      <c r="G286" s="19"/>
      <c r="H286" s="19"/>
      <c r="I286" s="19"/>
      <c r="J286" s="19"/>
      <c r="K286" s="19"/>
      <c r="L286" s="19"/>
      <c r="M286" s="52">
        <f>SUM(Tabla2[[#This Row],[01. Alcaldía]:[11. Salud pública y seguridad ciudadana]])</f>
        <v>1985.26</v>
      </c>
    </row>
    <row r="287" spans="1:13" ht="10.5" customHeight="1" x14ac:dyDescent="0.35">
      <c r="A287" s="21" t="s">
        <v>66</v>
      </c>
      <c r="B287" s="19"/>
      <c r="C287" s="19"/>
      <c r="D287" s="19">
        <v>7260</v>
      </c>
      <c r="E287" s="19"/>
      <c r="F287" s="19"/>
      <c r="G287" s="19"/>
      <c r="H287" s="19">
        <v>1650</v>
      </c>
      <c r="I287" s="19"/>
      <c r="J287" s="19">
        <v>1978.35</v>
      </c>
      <c r="K287" s="19">
        <v>338.8</v>
      </c>
      <c r="L287" s="19">
        <v>96.8</v>
      </c>
      <c r="M287" s="52">
        <f>SUM(Tabla2[[#This Row],[01. Alcaldía]:[11. Salud pública y seguridad ciudadana]])</f>
        <v>11323.949999999999</v>
      </c>
    </row>
    <row r="288" spans="1:13" ht="10.5" customHeight="1" x14ac:dyDescent="0.35">
      <c r="A288" s="21" t="s">
        <v>6151</v>
      </c>
      <c r="B288" s="19"/>
      <c r="C288" s="19"/>
      <c r="D288" s="19"/>
      <c r="E288" s="19"/>
      <c r="F288" s="19">
        <v>2898.5</v>
      </c>
      <c r="G288" s="19"/>
      <c r="H288" s="19"/>
      <c r="I288" s="19"/>
      <c r="J288" s="19"/>
      <c r="K288" s="19"/>
      <c r="L288" s="19"/>
      <c r="M288" s="52">
        <f>SUM(Tabla2[[#This Row],[01. Alcaldía]:[11. Salud pública y seguridad ciudadana]])</f>
        <v>2898.5</v>
      </c>
    </row>
    <row r="289" spans="1:13" ht="10.5" customHeight="1" x14ac:dyDescent="0.35">
      <c r="A289" s="21" t="s">
        <v>4966</v>
      </c>
      <c r="B289" s="19"/>
      <c r="C289" s="19">
        <v>0</v>
      </c>
      <c r="D289" s="19"/>
      <c r="E289" s="19"/>
      <c r="F289" s="19"/>
      <c r="G289" s="19"/>
      <c r="H289" s="19"/>
      <c r="I289" s="19"/>
      <c r="J289" s="19"/>
      <c r="K289" s="19"/>
      <c r="L289" s="19"/>
      <c r="M289" s="52">
        <f>SUM(Tabla2[[#This Row],[01. Alcaldía]:[11. Salud pública y seguridad ciudadana]])</f>
        <v>0</v>
      </c>
    </row>
    <row r="290" spans="1:13" x14ac:dyDescent="0.35">
      <c r="A290" s="21" t="s">
        <v>2607</v>
      </c>
      <c r="B290" s="19"/>
      <c r="C290" s="19"/>
      <c r="D290" s="19"/>
      <c r="E290" s="19"/>
      <c r="F290" s="19"/>
      <c r="G290" s="19"/>
      <c r="H290" s="19">
        <v>1470.49</v>
      </c>
      <c r="I290" s="19"/>
      <c r="J290" s="19"/>
      <c r="K290" s="19"/>
      <c r="L290" s="19"/>
      <c r="M290" s="52">
        <f>SUM(Tabla2[[#This Row],[01. Alcaldía]:[11. Salud pública y seguridad ciudadana]])</f>
        <v>1470.49</v>
      </c>
    </row>
    <row r="291" spans="1:13" ht="10.5" customHeight="1" x14ac:dyDescent="0.35">
      <c r="A291" s="21" t="s">
        <v>3836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666.25</v>
      </c>
      <c r="M291" s="52">
        <f>SUM(Tabla2[[#This Row],[01. Alcaldía]:[11. Salud pública y seguridad ciudadana]])</f>
        <v>666.25</v>
      </c>
    </row>
    <row r="292" spans="1:13" ht="10.5" customHeight="1" x14ac:dyDescent="0.35">
      <c r="A292" s="21" t="s">
        <v>53</v>
      </c>
      <c r="B292" s="19"/>
      <c r="C292" s="19">
        <v>14925.140000000001</v>
      </c>
      <c r="D292" s="19">
        <v>114.71</v>
      </c>
      <c r="E292" s="19"/>
      <c r="F292" s="19">
        <v>1919.8799999999999</v>
      </c>
      <c r="G292" s="19">
        <v>9622.3700000000008</v>
      </c>
      <c r="H292" s="19">
        <v>5285.8099999999995</v>
      </c>
      <c r="I292" s="19">
        <v>4165.4100000000008</v>
      </c>
      <c r="J292" s="19">
        <v>14926.650000000001</v>
      </c>
      <c r="K292" s="19">
        <v>12974.579999999998</v>
      </c>
      <c r="L292" s="19">
        <v>7779.4100000000008</v>
      </c>
      <c r="M292" s="52">
        <f>SUM(Tabla2[[#This Row],[01. Alcaldía]:[11. Salud pública y seguridad ciudadana]])</f>
        <v>71713.960000000006</v>
      </c>
    </row>
    <row r="293" spans="1:13" ht="10.5" customHeight="1" x14ac:dyDescent="0.35">
      <c r="A293" s="21" t="s">
        <v>1939</v>
      </c>
      <c r="B293" s="19"/>
      <c r="C293" s="19"/>
      <c r="D293" s="19"/>
      <c r="E293" s="19">
        <v>0</v>
      </c>
      <c r="F293" s="19"/>
      <c r="G293" s="19"/>
      <c r="H293" s="19"/>
      <c r="I293" s="19"/>
      <c r="J293" s="19"/>
      <c r="K293" s="19"/>
      <c r="L293" s="19"/>
      <c r="M293" s="52">
        <f>SUM(Tabla2[[#This Row],[01. Alcaldía]:[11. Salud pública y seguridad ciudadana]])</f>
        <v>0</v>
      </c>
    </row>
    <row r="294" spans="1:13" ht="10.5" customHeight="1" x14ac:dyDescent="0.35">
      <c r="A294" s="21" t="s">
        <v>213</v>
      </c>
      <c r="B294" s="19"/>
      <c r="C294" s="19">
        <v>14482.49</v>
      </c>
      <c r="D294" s="19"/>
      <c r="E294" s="19"/>
      <c r="F294" s="19"/>
      <c r="G294" s="19"/>
      <c r="H294" s="19"/>
      <c r="I294" s="19"/>
      <c r="J294" s="19"/>
      <c r="K294" s="19"/>
      <c r="L294" s="19"/>
      <c r="M294" s="52">
        <f>SUM(Tabla2[[#This Row],[01. Alcaldía]:[11. Salud pública y seguridad ciudadana]])</f>
        <v>14482.49</v>
      </c>
    </row>
    <row r="295" spans="1:13" x14ac:dyDescent="0.35">
      <c r="A295" s="21" t="s">
        <v>2262</v>
      </c>
      <c r="B295" s="19"/>
      <c r="C295" s="19">
        <v>342.94</v>
      </c>
      <c r="D295" s="19"/>
      <c r="E295" s="19"/>
      <c r="F295" s="19"/>
      <c r="G295" s="19"/>
      <c r="H295" s="19"/>
      <c r="I295" s="19">
        <v>530.84</v>
      </c>
      <c r="J295" s="19"/>
      <c r="K295" s="19">
        <v>6050</v>
      </c>
      <c r="L295" s="19"/>
      <c r="M295" s="52">
        <f>SUM(Tabla2[[#This Row],[01. Alcaldía]:[11. Salud pública y seguridad ciudadana]])</f>
        <v>6923.78</v>
      </c>
    </row>
    <row r="296" spans="1:13" x14ac:dyDescent="0.35">
      <c r="A296" s="21" t="s">
        <v>104</v>
      </c>
      <c r="B296" s="19"/>
      <c r="C296" s="19"/>
      <c r="D296" s="19"/>
      <c r="E296" s="19"/>
      <c r="F296" s="19"/>
      <c r="G296" s="19">
        <v>17060</v>
      </c>
      <c r="H296" s="19"/>
      <c r="I296" s="19"/>
      <c r="J296" s="19"/>
      <c r="K296" s="19"/>
      <c r="L296" s="19"/>
      <c r="M296" s="52">
        <f>SUM(Tabla2[[#This Row],[01. Alcaldía]:[11. Salud pública y seguridad ciudadana]])</f>
        <v>17060</v>
      </c>
    </row>
    <row r="297" spans="1:13" x14ac:dyDescent="0.35">
      <c r="A297" s="21" t="s">
        <v>4179</v>
      </c>
      <c r="B297" s="19"/>
      <c r="C297" s="19"/>
      <c r="D297" s="19"/>
      <c r="E297" s="19"/>
      <c r="F297" s="19"/>
      <c r="G297" s="19">
        <v>550</v>
      </c>
      <c r="H297" s="19"/>
      <c r="I297" s="19"/>
      <c r="J297" s="19"/>
      <c r="K297" s="19"/>
      <c r="L297" s="19"/>
      <c r="M297" s="52">
        <f>SUM(Tabla2[[#This Row],[01. Alcaldía]:[11. Salud pública y seguridad ciudadana]])</f>
        <v>550</v>
      </c>
    </row>
    <row r="298" spans="1:13" ht="10.5" customHeight="1" x14ac:dyDescent="0.35">
      <c r="A298" s="21" t="s">
        <v>217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>
        <v>435.6</v>
      </c>
      <c r="L298" s="19"/>
      <c r="M298" s="52">
        <f>SUM(Tabla2[[#This Row],[01. Alcaldía]:[11. Salud pública y seguridad ciudadana]])</f>
        <v>435.6</v>
      </c>
    </row>
    <row r="299" spans="1:13" ht="10.5" customHeight="1" x14ac:dyDescent="0.35">
      <c r="A299" s="21" t="s">
        <v>3605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7169.25</v>
      </c>
      <c r="M299" s="52">
        <f>SUM(Tabla2[[#This Row],[01. Alcaldía]:[11. Salud pública y seguridad ciudadana]])</f>
        <v>7169.25</v>
      </c>
    </row>
    <row r="300" spans="1:13" ht="10.5" customHeight="1" x14ac:dyDescent="0.35">
      <c r="A300" s="21" t="s">
        <v>4123</v>
      </c>
      <c r="B300" s="19"/>
      <c r="C300" s="19"/>
      <c r="D300" s="19"/>
      <c r="E300" s="19"/>
      <c r="F300" s="19"/>
      <c r="G300" s="19">
        <v>720</v>
      </c>
      <c r="H300" s="19"/>
      <c r="I300" s="19"/>
      <c r="J300" s="19"/>
      <c r="K300" s="19"/>
      <c r="L300" s="19"/>
      <c r="M300" s="52">
        <f>SUM(Tabla2[[#This Row],[01. Alcaldía]:[11. Salud pública y seguridad ciudadana]])</f>
        <v>720</v>
      </c>
    </row>
    <row r="301" spans="1:13" ht="10.5" customHeight="1" x14ac:dyDescent="0.35">
      <c r="A301" s="21" t="s">
        <v>4043</v>
      </c>
      <c r="B301" s="19"/>
      <c r="C301" s="19"/>
      <c r="D301" s="19"/>
      <c r="E301" s="19"/>
      <c r="F301" s="19"/>
      <c r="G301" s="19"/>
      <c r="H301" s="19"/>
      <c r="I301" s="19"/>
      <c r="J301" s="19">
        <v>968</v>
      </c>
      <c r="K301" s="19"/>
      <c r="L301" s="19"/>
      <c r="M301" s="52">
        <f>SUM(Tabla2[[#This Row],[01. Alcaldía]:[11. Salud pública y seguridad ciudadana]])</f>
        <v>968</v>
      </c>
    </row>
    <row r="302" spans="1:13" ht="10.5" customHeight="1" x14ac:dyDescent="0.35">
      <c r="A302" s="21" t="s">
        <v>254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175.45</v>
      </c>
      <c r="M302" s="52">
        <f>SUM(Tabla2[[#This Row],[01. Alcaldía]:[11. Salud pública y seguridad ciudadana]])</f>
        <v>175.45</v>
      </c>
    </row>
    <row r="303" spans="1:13" ht="10.5" customHeight="1" x14ac:dyDescent="0.35">
      <c r="A303" s="21" t="s">
        <v>5614</v>
      </c>
      <c r="B303" s="19"/>
      <c r="C303" s="19"/>
      <c r="D303" s="19">
        <v>598.95000000000005</v>
      </c>
      <c r="E303" s="19"/>
      <c r="F303" s="19"/>
      <c r="G303" s="19"/>
      <c r="H303" s="19"/>
      <c r="I303" s="19"/>
      <c r="J303" s="19"/>
      <c r="K303" s="19"/>
      <c r="L303" s="19"/>
      <c r="M303" s="52">
        <f>SUM(Tabla2[[#This Row],[01. Alcaldía]:[11. Salud pública y seguridad ciudadana]])</f>
        <v>598.95000000000005</v>
      </c>
    </row>
    <row r="304" spans="1:13" x14ac:dyDescent="0.35">
      <c r="A304" s="21" t="s">
        <v>6159</v>
      </c>
      <c r="B304" s="19"/>
      <c r="C304" s="19"/>
      <c r="D304" s="19"/>
      <c r="E304" s="19"/>
      <c r="F304" s="19"/>
      <c r="G304" s="19">
        <v>7139</v>
      </c>
      <c r="H304" s="19"/>
      <c r="I304" s="19"/>
      <c r="J304" s="19"/>
      <c r="K304" s="19"/>
      <c r="L304" s="19"/>
      <c r="M304" s="52">
        <f>SUM(Tabla2[[#This Row],[01. Alcaldía]:[11. Salud pública y seguridad ciudadana]])</f>
        <v>7139</v>
      </c>
    </row>
    <row r="305" spans="1:13" ht="10.5" customHeight="1" x14ac:dyDescent="0.35">
      <c r="A305" s="21" t="s">
        <v>3855</v>
      </c>
      <c r="B305" s="19"/>
      <c r="C305" s="19"/>
      <c r="D305" s="19"/>
      <c r="E305" s="19"/>
      <c r="F305" s="19"/>
      <c r="G305" s="19">
        <v>2018.89</v>
      </c>
      <c r="H305" s="19"/>
      <c r="I305" s="19"/>
      <c r="J305" s="19"/>
      <c r="K305" s="19"/>
      <c r="L305" s="19"/>
      <c r="M305" s="52">
        <f>SUM(Tabla2[[#This Row],[01. Alcaldía]:[11. Salud pública y seguridad ciudadana]])</f>
        <v>2018.89</v>
      </c>
    </row>
    <row r="306" spans="1:13" ht="10.5" customHeight="1" x14ac:dyDescent="0.35">
      <c r="A306" s="21" t="s">
        <v>4063</v>
      </c>
      <c r="B306" s="19"/>
      <c r="C306" s="19"/>
      <c r="D306" s="19">
        <v>1320</v>
      </c>
      <c r="E306" s="19"/>
      <c r="F306" s="19"/>
      <c r="G306" s="19"/>
      <c r="H306" s="19"/>
      <c r="I306" s="19"/>
      <c r="J306" s="19">
        <v>440</v>
      </c>
      <c r="K306" s="19"/>
      <c r="L306" s="19"/>
      <c r="M306" s="52">
        <f>SUM(Tabla2[[#This Row],[01. Alcaldía]:[11. Salud pública y seguridad ciudadana]])</f>
        <v>1760</v>
      </c>
    </row>
    <row r="307" spans="1:13" ht="10.5" customHeight="1" x14ac:dyDescent="0.35">
      <c r="A307" s="21" t="s">
        <v>4361</v>
      </c>
      <c r="B307" s="19"/>
      <c r="C307" s="19">
        <v>501.86</v>
      </c>
      <c r="D307" s="19"/>
      <c r="E307" s="19"/>
      <c r="F307" s="19"/>
      <c r="G307" s="19"/>
      <c r="H307" s="19"/>
      <c r="I307" s="19"/>
      <c r="J307" s="19"/>
      <c r="K307" s="19"/>
      <c r="L307" s="19"/>
      <c r="M307" s="52">
        <f>SUM(Tabla2[[#This Row],[01. Alcaldía]:[11. Salud pública y seguridad ciudadana]])</f>
        <v>501.86</v>
      </c>
    </row>
    <row r="308" spans="1:13" ht="10.5" customHeight="1" x14ac:dyDescent="0.35">
      <c r="A308" s="21" t="s">
        <v>2092</v>
      </c>
      <c r="B308" s="19"/>
      <c r="C308" s="19"/>
      <c r="D308" s="19"/>
      <c r="E308" s="19"/>
      <c r="F308" s="19"/>
      <c r="G308" s="19"/>
      <c r="H308" s="19"/>
      <c r="I308" s="19">
        <v>109.17</v>
      </c>
      <c r="J308" s="19"/>
      <c r="K308" s="19"/>
      <c r="L308" s="19"/>
      <c r="M308" s="52">
        <f>SUM(Tabla2[[#This Row],[01. Alcaldía]:[11. Salud pública y seguridad ciudadana]])</f>
        <v>109.17</v>
      </c>
    </row>
    <row r="309" spans="1:13" ht="10.5" customHeight="1" x14ac:dyDescent="0.35">
      <c r="A309" s="21" t="s">
        <v>2364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484</v>
      </c>
      <c r="M309" s="52">
        <f>SUM(Tabla2[[#This Row],[01. Alcaldía]:[11. Salud pública y seguridad ciudadana]])</f>
        <v>484</v>
      </c>
    </row>
    <row r="310" spans="1:13" ht="10.5" customHeight="1" x14ac:dyDescent="0.35">
      <c r="A310" s="21" t="s">
        <v>5630</v>
      </c>
      <c r="B310" s="19"/>
      <c r="C310" s="19"/>
      <c r="D310" s="19"/>
      <c r="E310" s="19">
        <v>54.99</v>
      </c>
      <c r="F310" s="19"/>
      <c r="G310" s="19"/>
      <c r="H310" s="19"/>
      <c r="I310" s="19"/>
      <c r="J310" s="19"/>
      <c r="K310" s="19"/>
      <c r="L310" s="19"/>
      <c r="M310" s="52">
        <f>SUM(Tabla2[[#This Row],[01. Alcaldía]:[11. Salud pública y seguridad ciudadana]])</f>
        <v>54.99</v>
      </c>
    </row>
    <row r="311" spans="1:13" ht="10.5" customHeight="1" x14ac:dyDescent="0.35">
      <c r="A311" s="21" t="s">
        <v>2491</v>
      </c>
      <c r="B311" s="19"/>
      <c r="C311" s="19"/>
      <c r="D311" s="19">
        <v>907.5</v>
      </c>
      <c r="E311" s="19"/>
      <c r="F311" s="19"/>
      <c r="G311" s="19"/>
      <c r="H311" s="19"/>
      <c r="I311" s="19"/>
      <c r="J311" s="19"/>
      <c r="K311" s="19"/>
      <c r="L311" s="19"/>
      <c r="M311" s="52">
        <f>SUM(Tabla2[[#This Row],[01. Alcaldía]:[11. Salud pública y seguridad ciudadana]])</f>
        <v>907.5</v>
      </c>
    </row>
    <row r="312" spans="1:13" ht="10.5" customHeight="1" x14ac:dyDescent="0.35">
      <c r="A312" s="21" t="s">
        <v>563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48.4</v>
      </c>
      <c r="M312" s="52">
        <f>SUM(Tabla2[[#This Row],[01. Alcaldía]:[11. Salud pública y seguridad ciudadana]])</f>
        <v>48.4</v>
      </c>
    </row>
    <row r="313" spans="1:13" x14ac:dyDescent="0.35">
      <c r="A313" s="21" t="s">
        <v>97</v>
      </c>
      <c r="B313" s="19">
        <v>3960</v>
      </c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52">
        <f>SUM(Tabla2[[#This Row],[01. Alcaldía]:[11. Salud pública y seguridad ciudadana]])</f>
        <v>3960</v>
      </c>
    </row>
    <row r="314" spans="1:13" ht="10.5" customHeight="1" x14ac:dyDescent="0.35">
      <c r="A314" s="21" t="s">
        <v>5634</v>
      </c>
      <c r="B314" s="19"/>
      <c r="C314" s="19"/>
      <c r="D314" s="19"/>
      <c r="E314" s="19"/>
      <c r="F314" s="19"/>
      <c r="G314" s="19"/>
      <c r="H314" s="19"/>
      <c r="I314" s="19"/>
      <c r="J314" s="19">
        <v>6023.27</v>
      </c>
      <c r="K314" s="19"/>
      <c r="L314" s="19"/>
      <c r="M314" s="52">
        <f>SUM(Tabla2[[#This Row],[01. Alcaldía]:[11. Salud pública y seguridad ciudadana]])</f>
        <v>6023.27</v>
      </c>
    </row>
    <row r="315" spans="1:13" ht="10.5" customHeight="1" x14ac:dyDescent="0.35">
      <c r="A315" s="21" t="s">
        <v>584</v>
      </c>
      <c r="B315" s="19"/>
      <c r="C315" s="19"/>
      <c r="D315" s="19">
        <v>5039.7700000000004</v>
      </c>
      <c r="E315" s="19"/>
      <c r="F315" s="19"/>
      <c r="G315" s="19"/>
      <c r="H315" s="19"/>
      <c r="I315" s="19"/>
      <c r="J315" s="19"/>
      <c r="K315" s="19"/>
      <c r="L315" s="19"/>
      <c r="M315" s="52">
        <f>SUM(Tabla2[[#This Row],[01. Alcaldía]:[11. Salud pública y seguridad ciudadana]])</f>
        <v>5039.7700000000004</v>
      </c>
    </row>
    <row r="316" spans="1:13" ht="10.5" customHeight="1" x14ac:dyDescent="0.35">
      <c r="A316" s="21" t="s">
        <v>5637</v>
      </c>
      <c r="B316" s="19"/>
      <c r="C316" s="19"/>
      <c r="D316" s="19">
        <v>499.4</v>
      </c>
      <c r="E316" s="19"/>
      <c r="F316" s="19"/>
      <c r="G316" s="19"/>
      <c r="H316" s="19"/>
      <c r="I316" s="19"/>
      <c r="J316" s="19"/>
      <c r="K316" s="19"/>
      <c r="L316" s="19"/>
      <c r="M316" s="52">
        <f>SUM(Tabla2[[#This Row],[01. Alcaldía]:[11. Salud pública y seguridad ciudadana]])</f>
        <v>499.4</v>
      </c>
    </row>
    <row r="317" spans="1:13" ht="10.5" customHeight="1" x14ac:dyDescent="0.35">
      <c r="A317" s="21" t="s">
        <v>3491</v>
      </c>
      <c r="B317" s="19"/>
      <c r="C317" s="19"/>
      <c r="D317" s="19">
        <v>18150</v>
      </c>
      <c r="E317" s="19"/>
      <c r="F317" s="19">
        <v>6655</v>
      </c>
      <c r="G317" s="19"/>
      <c r="H317" s="19"/>
      <c r="I317" s="19"/>
      <c r="J317" s="19"/>
      <c r="K317" s="19"/>
      <c r="L317" s="19"/>
      <c r="M317" s="52">
        <f>SUM(Tabla2[[#This Row],[01. Alcaldía]:[11. Salud pública y seguridad ciudadana]])</f>
        <v>24805</v>
      </c>
    </row>
    <row r="318" spans="1:13" ht="10.5" customHeight="1" x14ac:dyDescent="0.35">
      <c r="A318" s="21" t="s">
        <v>5553</v>
      </c>
      <c r="B318" s="19"/>
      <c r="C318" s="19"/>
      <c r="D318" s="19"/>
      <c r="E318" s="19"/>
      <c r="F318" s="19"/>
      <c r="G318" s="19"/>
      <c r="H318" s="19"/>
      <c r="I318" s="19">
        <v>597.84</v>
      </c>
      <c r="J318" s="19"/>
      <c r="K318" s="19"/>
      <c r="L318" s="19"/>
      <c r="M318" s="52">
        <f>SUM(Tabla2[[#This Row],[01. Alcaldía]:[11. Salud pública y seguridad ciudadana]])</f>
        <v>597.84</v>
      </c>
    </row>
    <row r="319" spans="1:13" ht="10.5" customHeight="1" x14ac:dyDescent="0.35">
      <c r="A319" s="21" t="s">
        <v>80</v>
      </c>
      <c r="B319" s="19"/>
      <c r="C319" s="19"/>
      <c r="D319" s="19"/>
      <c r="E319" s="19"/>
      <c r="F319" s="19"/>
      <c r="G319" s="19"/>
      <c r="H319" s="19">
        <v>500</v>
      </c>
      <c r="I319" s="19"/>
      <c r="J319" s="19"/>
      <c r="K319" s="19"/>
      <c r="L319" s="19">
        <v>300</v>
      </c>
      <c r="M319" s="52">
        <f>SUM(Tabla2[[#This Row],[01. Alcaldía]:[11. Salud pública y seguridad ciudadana]])</f>
        <v>800</v>
      </c>
    </row>
    <row r="320" spans="1:13" ht="10.5" customHeight="1" x14ac:dyDescent="0.35">
      <c r="A320" s="21" t="s">
        <v>3860</v>
      </c>
      <c r="B320" s="19"/>
      <c r="C320" s="19"/>
      <c r="D320" s="19"/>
      <c r="E320" s="19"/>
      <c r="F320" s="19"/>
      <c r="G320" s="19">
        <v>2000</v>
      </c>
      <c r="H320" s="19"/>
      <c r="I320" s="19"/>
      <c r="J320" s="19"/>
      <c r="K320" s="19"/>
      <c r="L320" s="19"/>
      <c r="M320" s="52">
        <f>SUM(Tabla2[[#This Row],[01. Alcaldía]:[11. Salud pública y seguridad ciudadana]])</f>
        <v>2000</v>
      </c>
    </row>
    <row r="321" spans="1:13" ht="10.5" customHeight="1" x14ac:dyDescent="0.35">
      <c r="A321" s="21" t="s">
        <v>4186</v>
      </c>
      <c r="B321" s="19"/>
      <c r="C321" s="19"/>
      <c r="D321" s="19">
        <v>544.5</v>
      </c>
      <c r="E321" s="19"/>
      <c r="F321" s="19"/>
      <c r="G321" s="19"/>
      <c r="H321" s="19"/>
      <c r="I321" s="19"/>
      <c r="J321" s="19"/>
      <c r="K321" s="19"/>
      <c r="L321" s="19"/>
      <c r="M321" s="52">
        <f>SUM(Tabla2[[#This Row],[01. Alcaldía]:[11. Salud pública y seguridad ciudadana]])</f>
        <v>544.5</v>
      </c>
    </row>
    <row r="322" spans="1:13" ht="10.5" customHeight="1" x14ac:dyDescent="0.35">
      <c r="A322" s="21" t="s">
        <v>2297</v>
      </c>
      <c r="B322" s="19"/>
      <c r="C322" s="19"/>
      <c r="D322" s="19"/>
      <c r="E322" s="19"/>
      <c r="F322" s="19"/>
      <c r="G322" s="19"/>
      <c r="H322" s="19">
        <v>300</v>
      </c>
      <c r="I322" s="19"/>
      <c r="J322" s="19"/>
      <c r="K322" s="19"/>
      <c r="L322" s="19"/>
      <c r="M322" s="52">
        <f>SUM(Tabla2[[#This Row],[01. Alcaldía]:[11. Salud pública y seguridad ciudadana]])</f>
        <v>300</v>
      </c>
    </row>
    <row r="323" spans="1:13" x14ac:dyDescent="0.35">
      <c r="A323" s="21" t="s">
        <v>5646</v>
      </c>
      <c r="B323" s="19"/>
      <c r="C323" s="19"/>
      <c r="D323" s="19"/>
      <c r="E323" s="19"/>
      <c r="F323" s="19"/>
      <c r="G323" s="19">
        <v>7260</v>
      </c>
      <c r="H323" s="19"/>
      <c r="I323" s="19"/>
      <c r="J323" s="19"/>
      <c r="K323" s="19"/>
      <c r="L323" s="19"/>
      <c r="M323" s="52">
        <f>SUM(Tabla2[[#This Row],[01. Alcaldía]:[11. Salud pública y seguridad ciudadana]])</f>
        <v>7260</v>
      </c>
    </row>
    <row r="324" spans="1:13" ht="10.5" customHeight="1" x14ac:dyDescent="0.35">
      <c r="A324" s="21" t="s">
        <v>2321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356.95</v>
      </c>
      <c r="L324" s="19"/>
      <c r="M324" s="52">
        <f>SUM(Tabla2[[#This Row],[01. Alcaldía]:[11. Salud pública y seguridad ciudadana]])</f>
        <v>356.95</v>
      </c>
    </row>
    <row r="325" spans="1:13" ht="10.5" customHeight="1" x14ac:dyDescent="0.35">
      <c r="A325" s="21" t="s">
        <v>6168</v>
      </c>
      <c r="B325" s="19"/>
      <c r="C325" s="19"/>
      <c r="D325" s="19"/>
      <c r="E325" s="19"/>
      <c r="F325" s="19"/>
      <c r="G325" s="19">
        <v>6000</v>
      </c>
      <c r="H325" s="19"/>
      <c r="I325" s="19"/>
      <c r="J325" s="19"/>
      <c r="K325" s="19"/>
      <c r="L325" s="19"/>
      <c r="M325" s="52">
        <f>SUM(Tabla2[[#This Row],[01. Alcaldía]:[11. Salud pública y seguridad ciudadana]])</f>
        <v>6000</v>
      </c>
    </row>
    <row r="326" spans="1:13" x14ac:dyDescent="0.35">
      <c r="A326" s="21" t="s">
        <v>149</v>
      </c>
      <c r="B326" s="19">
        <v>7251.76</v>
      </c>
      <c r="C326" s="19"/>
      <c r="D326" s="19"/>
      <c r="E326" s="19"/>
      <c r="F326" s="19"/>
      <c r="G326" s="19"/>
      <c r="H326" s="19"/>
      <c r="I326" s="19"/>
      <c r="J326" s="19"/>
      <c r="K326" s="19">
        <v>11495</v>
      </c>
      <c r="L326" s="19"/>
      <c r="M326" s="52">
        <f>SUM(Tabla2[[#This Row],[01. Alcaldía]:[11. Salud pública y seguridad ciudadana]])</f>
        <v>18746.760000000002</v>
      </c>
    </row>
    <row r="327" spans="1:13" ht="10.5" customHeight="1" x14ac:dyDescent="0.35">
      <c r="A327" s="21" t="s">
        <v>4226</v>
      </c>
      <c r="B327" s="19"/>
      <c r="C327" s="19"/>
      <c r="D327" s="19">
        <v>484</v>
      </c>
      <c r="E327" s="19"/>
      <c r="F327" s="19"/>
      <c r="G327" s="19"/>
      <c r="H327" s="19"/>
      <c r="I327" s="19"/>
      <c r="J327" s="19"/>
      <c r="K327" s="19"/>
      <c r="L327" s="19"/>
      <c r="M327" s="52">
        <f>SUM(Tabla2[[#This Row],[01. Alcaldía]:[11. Salud pública y seguridad ciudadana]])</f>
        <v>484</v>
      </c>
    </row>
    <row r="328" spans="1:13" ht="10.5" customHeight="1" x14ac:dyDescent="0.35">
      <c r="A328" s="21" t="s">
        <v>3678</v>
      </c>
      <c r="B328" s="19"/>
      <c r="C328" s="19"/>
      <c r="D328" s="19"/>
      <c r="E328" s="19"/>
      <c r="F328" s="19">
        <v>5438.95</v>
      </c>
      <c r="G328" s="19"/>
      <c r="H328" s="19"/>
      <c r="I328" s="19"/>
      <c r="J328" s="19"/>
      <c r="K328" s="19"/>
      <c r="L328" s="19"/>
      <c r="M328" s="52">
        <f>SUM(Tabla2[[#This Row],[01. Alcaldía]:[11. Salud pública y seguridad ciudadana]])</f>
        <v>5438.95</v>
      </c>
    </row>
    <row r="329" spans="1:13" ht="10.5" customHeight="1" x14ac:dyDescent="0.35">
      <c r="A329" s="21" t="s">
        <v>653</v>
      </c>
      <c r="B329" s="19"/>
      <c r="C329" s="19"/>
      <c r="D329" s="19"/>
      <c r="E329" s="19"/>
      <c r="F329" s="19"/>
      <c r="G329" s="19"/>
      <c r="H329" s="19"/>
      <c r="I329" s="19"/>
      <c r="J329" s="19">
        <v>4504</v>
      </c>
      <c r="K329" s="19"/>
      <c r="L329" s="19"/>
      <c r="M329" s="52">
        <f>SUM(Tabla2[[#This Row],[01. Alcaldía]:[11. Salud pública y seguridad ciudadana]])</f>
        <v>4504</v>
      </c>
    </row>
    <row r="330" spans="1:13" ht="10.5" customHeight="1" x14ac:dyDescent="0.35">
      <c r="A330" s="21" t="s">
        <v>2349</v>
      </c>
      <c r="B330" s="19"/>
      <c r="C330" s="19"/>
      <c r="D330" s="19">
        <v>440</v>
      </c>
      <c r="E330" s="19"/>
      <c r="F330" s="19"/>
      <c r="G330" s="19">
        <v>1760</v>
      </c>
      <c r="H330" s="19"/>
      <c r="I330" s="19"/>
      <c r="J330" s="19"/>
      <c r="K330" s="19"/>
      <c r="L330" s="19"/>
      <c r="M330" s="52">
        <f>SUM(Tabla2[[#This Row],[01. Alcaldía]:[11. Salud pública y seguridad ciudadana]])</f>
        <v>2200</v>
      </c>
    </row>
    <row r="331" spans="1:13" x14ac:dyDescent="0.35">
      <c r="A331" s="21" t="s">
        <v>5527</v>
      </c>
      <c r="B331" s="19">
        <v>726</v>
      </c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52">
        <f>SUM(Tabla2[[#This Row],[01. Alcaldía]:[11. Salud pública y seguridad ciudadana]])</f>
        <v>726</v>
      </c>
    </row>
    <row r="332" spans="1:13" x14ac:dyDescent="0.35">
      <c r="A332" s="21" t="s">
        <v>2300</v>
      </c>
      <c r="B332" s="19"/>
      <c r="C332" s="19"/>
      <c r="D332" s="19"/>
      <c r="E332" s="19"/>
      <c r="F332" s="19"/>
      <c r="G332" s="19">
        <v>300</v>
      </c>
      <c r="H332" s="19"/>
      <c r="I332" s="19"/>
      <c r="J332" s="19"/>
      <c r="K332" s="19"/>
      <c r="L332" s="19"/>
      <c r="M332" s="52">
        <f>SUM(Tabla2[[#This Row],[01. Alcaldía]:[11. Salud pública y seguridad ciudadana]])</f>
        <v>300</v>
      </c>
    </row>
    <row r="333" spans="1:13" x14ac:dyDescent="0.35">
      <c r="A333" s="21" t="s">
        <v>211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3440.94</v>
      </c>
      <c r="M333" s="52">
        <f>SUM(Tabla2[[#This Row],[01. Alcaldía]:[11. Salud pública y seguridad ciudadana]])</f>
        <v>3440.94</v>
      </c>
    </row>
    <row r="334" spans="1:13" ht="10.5" customHeight="1" x14ac:dyDescent="0.35">
      <c r="A334" s="21" t="s">
        <v>4428</v>
      </c>
      <c r="B334" s="19"/>
      <c r="C334" s="19">
        <v>2236.08</v>
      </c>
      <c r="D334" s="19"/>
      <c r="E334" s="19"/>
      <c r="F334" s="19"/>
      <c r="G334" s="19"/>
      <c r="H334" s="19"/>
      <c r="I334" s="19"/>
      <c r="J334" s="19"/>
      <c r="K334" s="19"/>
      <c r="L334" s="19"/>
      <c r="M334" s="52">
        <f>SUM(Tabla2[[#This Row],[01. Alcaldía]:[11. Salud pública y seguridad ciudadana]])</f>
        <v>2236.08</v>
      </c>
    </row>
    <row r="335" spans="1:13" ht="10.5" customHeight="1" x14ac:dyDescent="0.35">
      <c r="A335" s="21" t="s">
        <v>2051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387.2</v>
      </c>
      <c r="M335" s="52">
        <f>SUM(Tabla2[[#This Row],[01. Alcaldía]:[11. Salud pública y seguridad ciudadana]])</f>
        <v>387.2</v>
      </c>
    </row>
    <row r="336" spans="1:13" x14ac:dyDescent="0.35">
      <c r="A336" s="21" t="s">
        <v>3472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3031.59</v>
      </c>
      <c r="M336" s="52">
        <f>SUM(Tabla2[[#This Row],[01. Alcaldía]:[11. Salud pública y seguridad ciudadana]])</f>
        <v>3031.59</v>
      </c>
    </row>
    <row r="337" spans="1:13" x14ac:dyDescent="0.35">
      <c r="A337" s="21" t="s">
        <v>2056</v>
      </c>
      <c r="B337" s="19"/>
      <c r="C337" s="19"/>
      <c r="D337" s="19"/>
      <c r="E337" s="19"/>
      <c r="F337" s="19"/>
      <c r="G337" s="19"/>
      <c r="H337" s="19">
        <v>2000</v>
      </c>
      <c r="I337" s="19"/>
      <c r="J337" s="19"/>
      <c r="K337" s="19"/>
      <c r="L337" s="19"/>
      <c r="M337" s="52">
        <f>SUM(Tabla2[[#This Row],[01. Alcaldía]:[11. Salud pública y seguridad ciudadana]])</f>
        <v>2000</v>
      </c>
    </row>
    <row r="338" spans="1:13" ht="10.5" customHeight="1" x14ac:dyDescent="0.35">
      <c r="A338" s="21" t="s">
        <v>2239</v>
      </c>
      <c r="B338" s="19"/>
      <c r="C338" s="19"/>
      <c r="D338" s="19"/>
      <c r="E338" s="19">
        <v>224</v>
      </c>
      <c r="F338" s="19"/>
      <c r="G338" s="19"/>
      <c r="H338" s="19"/>
      <c r="I338" s="19"/>
      <c r="J338" s="19"/>
      <c r="K338" s="19"/>
      <c r="L338" s="19"/>
      <c r="M338" s="52">
        <f>SUM(Tabla2[[#This Row],[01. Alcaldía]:[11. Salud pública y seguridad ciudadana]])</f>
        <v>224</v>
      </c>
    </row>
    <row r="339" spans="1:13" ht="10.5" customHeight="1" x14ac:dyDescent="0.35">
      <c r="A339" s="21" t="s">
        <v>2257</v>
      </c>
      <c r="B339" s="19"/>
      <c r="C339" s="19"/>
      <c r="D339" s="19"/>
      <c r="E339" s="19">
        <v>2000</v>
      </c>
      <c r="F339" s="19"/>
      <c r="G339" s="19"/>
      <c r="H339" s="19"/>
      <c r="I339" s="19"/>
      <c r="J339" s="19"/>
      <c r="K339" s="19"/>
      <c r="L339" s="19"/>
      <c r="M339" s="52">
        <f>SUM(Tabla2[[#This Row],[01. Alcaldía]:[11. Salud pública y seguridad ciudadana]])</f>
        <v>2000</v>
      </c>
    </row>
    <row r="340" spans="1:13" ht="10.5" customHeight="1" x14ac:dyDescent="0.35">
      <c r="A340" s="21" t="s">
        <v>2960</v>
      </c>
      <c r="B340" s="19"/>
      <c r="C340" s="19"/>
      <c r="D340" s="19"/>
      <c r="E340" s="19"/>
      <c r="F340" s="19"/>
      <c r="G340" s="19"/>
      <c r="H340" s="19"/>
      <c r="I340" s="19">
        <v>5808</v>
      </c>
      <c r="J340" s="19"/>
      <c r="K340" s="19"/>
      <c r="L340" s="19"/>
      <c r="M340" s="52">
        <f>SUM(Tabla2[[#This Row],[01. Alcaldía]:[11. Salud pública y seguridad ciudadana]])</f>
        <v>5808</v>
      </c>
    </row>
    <row r="341" spans="1:13" ht="10.5" customHeight="1" x14ac:dyDescent="0.35">
      <c r="A341" s="21" t="s">
        <v>524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280.24</v>
      </c>
      <c r="M341" s="52">
        <f>SUM(Tabla2[[#This Row],[01. Alcaldía]:[11. Salud pública y seguridad ciudadana]])</f>
        <v>280.24</v>
      </c>
    </row>
    <row r="342" spans="1:13" x14ac:dyDescent="0.35">
      <c r="A342" s="21" t="s">
        <v>4705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>
        <v>55.23</v>
      </c>
      <c r="M342" s="52">
        <f>SUM(Tabla2[[#This Row],[01. Alcaldía]:[11. Salud pública y seguridad ciudadana]])</f>
        <v>55.23</v>
      </c>
    </row>
    <row r="343" spans="1:13" ht="10.5" customHeight="1" x14ac:dyDescent="0.35">
      <c r="A343" s="21" t="s">
        <v>2243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233</v>
      </c>
      <c r="M343" s="52">
        <f>SUM(Tabla2[[#This Row],[01. Alcaldía]:[11. Salud pública y seguridad ciudadana]])</f>
        <v>233</v>
      </c>
    </row>
    <row r="344" spans="1:13" x14ac:dyDescent="0.35">
      <c r="A344" s="21" t="s">
        <v>276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>
        <v>580.79999999999995</v>
      </c>
      <c r="M344" s="52">
        <f>SUM(Tabla2[[#This Row],[01. Alcaldía]:[11. Salud pública y seguridad ciudadana]])</f>
        <v>580.79999999999995</v>
      </c>
    </row>
    <row r="345" spans="1:13" x14ac:dyDescent="0.35">
      <c r="A345" s="21" t="s">
        <v>4609</v>
      </c>
      <c r="B345" s="19"/>
      <c r="C345" s="19"/>
      <c r="D345" s="19"/>
      <c r="E345" s="19"/>
      <c r="F345" s="19"/>
      <c r="G345" s="19">
        <v>100</v>
      </c>
      <c r="H345" s="19"/>
      <c r="I345" s="19"/>
      <c r="J345" s="19"/>
      <c r="K345" s="19"/>
      <c r="L345" s="19"/>
      <c r="M345" s="52">
        <f>SUM(Tabla2[[#This Row],[01. Alcaldía]:[11. Salud pública y seguridad ciudadana]])</f>
        <v>100</v>
      </c>
    </row>
    <row r="346" spans="1:13" ht="10.5" customHeight="1" x14ac:dyDescent="0.35">
      <c r="A346" s="21" t="s">
        <v>4205</v>
      </c>
      <c r="B346" s="19"/>
      <c r="C346" s="19"/>
      <c r="D346" s="19"/>
      <c r="E346" s="19">
        <v>3436.3999999999996</v>
      </c>
      <c r="F346" s="19"/>
      <c r="G346" s="19"/>
      <c r="H346" s="19"/>
      <c r="I346" s="19"/>
      <c r="J346" s="19"/>
      <c r="K346" s="19"/>
      <c r="L346" s="19"/>
      <c r="M346" s="52">
        <f>SUM(Tabla2[[#This Row],[01. Alcaldía]:[11. Salud pública y seguridad ciudadana]])</f>
        <v>3436.3999999999996</v>
      </c>
    </row>
    <row r="347" spans="1:13" x14ac:dyDescent="0.35">
      <c r="A347" s="21" t="s">
        <v>3044</v>
      </c>
      <c r="B347" s="19">
        <v>7139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52">
        <f>SUM(Tabla2[[#This Row],[01. Alcaldía]:[11. Salud pública y seguridad ciudadana]])</f>
        <v>7139</v>
      </c>
    </row>
    <row r="348" spans="1:13" ht="10.5" customHeight="1" x14ac:dyDescent="0.35">
      <c r="A348" s="21" t="s">
        <v>2523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>
        <v>1059</v>
      </c>
      <c r="M348" s="52">
        <f>SUM(Tabla2[[#This Row],[01. Alcaldía]:[11. Salud pública y seguridad ciudadana]])</f>
        <v>1059</v>
      </c>
    </row>
    <row r="349" spans="1:13" ht="10.5" customHeight="1" x14ac:dyDescent="0.35">
      <c r="A349" s="21" t="s">
        <v>71</v>
      </c>
      <c r="B349" s="19"/>
      <c r="C349" s="19"/>
      <c r="D349" s="19">
        <v>984.5</v>
      </c>
      <c r="E349" s="19"/>
      <c r="F349" s="19"/>
      <c r="G349" s="19"/>
      <c r="H349" s="19"/>
      <c r="I349" s="19"/>
      <c r="J349" s="19"/>
      <c r="K349" s="19"/>
      <c r="L349" s="19"/>
      <c r="M349" s="52">
        <f>SUM(Tabla2[[#This Row],[01. Alcaldía]:[11. Salud pública y seguridad ciudadana]])</f>
        <v>984.5</v>
      </c>
    </row>
    <row r="350" spans="1:13" ht="10.5" customHeight="1" x14ac:dyDescent="0.35">
      <c r="A350" s="21" t="s">
        <v>3945</v>
      </c>
      <c r="B350" s="19"/>
      <c r="C350" s="19"/>
      <c r="D350" s="19"/>
      <c r="E350" s="19"/>
      <c r="F350" s="19"/>
      <c r="G350" s="19">
        <v>1300</v>
      </c>
      <c r="H350" s="19"/>
      <c r="I350" s="19"/>
      <c r="J350" s="19"/>
      <c r="K350" s="19"/>
      <c r="L350" s="19"/>
      <c r="M350" s="52">
        <f>SUM(Tabla2[[#This Row],[01. Alcaldía]:[11. Salud pública y seguridad ciudadana]])</f>
        <v>1300</v>
      </c>
    </row>
    <row r="351" spans="1:13" ht="10.5" customHeight="1" x14ac:dyDescent="0.35">
      <c r="A351" s="21" t="s">
        <v>3880</v>
      </c>
      <c r="B351" s="19"/>
      <c r="C351" s="19"/>
      <c r="D351" s="19"/>
      <c r="E351" s="19"/>
      <c r="F351" s="19"/>
      <c r="G351" s="19">
        <v>1760</v>
      </c>
      <c r="H351" s="19"/>
      <c r="I351" s="19"/>
      <c r="J351" s="19"/>
      <c r="K351" s="19"/>
      <c r="L351" s="19"/>
      <c r="M351" s="52">
        <f>SUM(Tabla2[[#This Row],[01. Alcaldía]:[11. Salud pública y seguridad ciudadana]])</f>
        <v>1760</v>
      </c>
    </row>
    <row r="352" spans="1:13" ht="10.5" customHeight="1" x14ac:dyDescent="0.35">
      <c r="A352" s="21" t="s">
        <v>79</v>
      </c>
      <c r="B352" s="19"/>
      <c r="C352" s="19"/>
      <c r="D352" s="19"/>
      <c r="E352" s="19"/>
      <c r="F352" s="19"/>
      <c r="G352" s="19">
        <v>12523.5</v>
      </c>
      <c r="H352" s="19"/>
      <c r="I352" s="19"/>
      <c r="J352" s="19"/>
      <c r="K352" s="19"/>
      <c r="L352" s="19"/>
      <c r="M352" s="52">
        <f>SUM(Tabla2[[#This Row],[01. Alcaldía]:[11. Salud pública y seguridad ciudadana]])</f>
        <v>12523.5</v>
      </c>
    </row>
    <row r="353" spans="1:13" ht="10.5" customHeight="1" x14ac:dyDescent="0.35">
      <c r="A353" s="21" t="s">
        <v>4611</v>
      </c>
      <c r="B353" s="19"/>
      <c r="C353" s="19"/>
      <c r="D353" s="19"/>
      <c r="E353" s="19"/>
      <c r="F353" s="19"/>
      <c r="G353" s="19">
        <v>100</v>
      </c>
      <c r="H353" s="19"/>
      <c r="I353" s="19"/>
      <c r="J353" s="19"/>
      <c r="K353" s="19"/>
      <c r="L353" s="19"/>
      <c r="M353" s="52">
        <f>SUM(Tabla2[[#This Row],[01. Alcaldía]:[11. Salud pública y seguridad ciudadana]])</f>
        <v>100</v>
      </c>
    </row>
    <row r="354" spans="1:13" ht="10.5" customHeight="1" x14ac:dyDescent="0.35">
      <c r="A354" s="21" t="s">
        <v>2481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>
        <v>847</v>
      </c>
      <c r="M354" s="52">
        <f>SUM(Tabla2[[#This Row],[01. Alcaldía]:[11. Salud pública y seguridad ciudadana]])</f>
        <v>847</v>
      </c>
    </row>
    <row r="355" spans="1:13" ht="10.5" customHeight="1" x14ac:dyDescent="0.35">
      <c r="A355" s="21" t="s">
        <v>2352</v>
      </c>
      <c r="B355" s="19"/>
      <c r="C355" s="19"/>
      <c r="D355" s="19">
        <v>984.5</v>
      </c>
      <c r="E355" s="19"/>
      <c r="F355" s="19"/>
      <c r="G355" s="19"/>
      <c r="H355" s="19"/>
      <c r="I355" s="19"/>
      <c r="J355" s="19"/>
      <c r="K355" s="19"/>
      <c r="L355" s="19"/>
      <c r="M355" s="52">
        <f>SUM(Tabla2[[#This Row],[01. Alcaldía]:[11. Salud pública y seguridad ciudadana]])</f>
        <v>984.5</v>
      </c>
    </row>
    <row r="356" spans="1:13" x14ac:dyDescent="0.35">
      <c r="A356" s="21" t="s">
        <v>3074</v>
      </c>
      <c r="B356" s="19"/>
      <c r="C356" s="19"/>
      <c r="D356" s="19"/>
      <c r="E356" s="19"/>
      <c r="F356" s="19"/>
      <c r="G356" s="19">
        <v>7680</v>
      </c>
      <c r="H356" s="19"/>
      <c r="I356" s="19"/>
      <c r="J356" s="19"/>
      <c r="K356" s="19"/>
      <c r="L356" s="19"/>
      <c r="M356" s="52">
        <f>SUM(Tabla2[[#This Row],[01. Alcaldía]:[11. Salud pública y seguridad ciudadana]])</f>
        <v>7680</v>
      </c>
    </row>
    <row r="357" spans="1:13" ht="10.5" customHeight="1" x14ac:dyDescent="0.35">
      <c r="A357" s="21" t="s">
        <v>5707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>
        <v>1815</v>
      </c>
      <c r="M357" s="52">
        <f>SUM(Tabla2[[#This Row],[01. Alcaldía]:[11. Salud pública y seguridad ciudadana]])</f>
        <v>1815</v>
      </c>
    </row>
    <row r="358" spans="1:13" x14ac:dyDescent="0.35">
      <c r="A358" s="21" t="s">
        <v>2328</v>
      </c>
      <c r="B358" s="19"/>
      <c r="C358" s="19"/>
      <c r="D358" s="19"/>
      <c r="E358" s="19"/>
      <c r="F358" s="19"/>
      <c r="G358" s="19"/>
      <c r="H358" s="19">
        <v>381.49</v>
      </c>
      <c r="I358" s="19"/>
      <c r="J358" s="19"/>
      <c r="K358" s="19"/>
      <c r="L358" s="19"/>
      <c r="M358" s="52">
        <f>SUM(Tabla2[[#This Row],[01. Alcaldía]:[11. Salud pública y seguridad ciudadana]])</f>
        <v>381.49</v>
      </c>
    </row>
    <row r="359" spans="1:13" ht="10.5" customHeight="1" x14ac:dyDescent="0.35">
      <c r="A359" s="21" t="s">
        <v>4356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298.82</v>
      </c>
      <c r="M359" s="52">
        <f>SUM(Tabla2[[#This Row],[01. Alcaldía]:[11. Salud pública y seguridad ciudadana]])</f>
        <v>298.82</v>
      </c>
    </row>
    <row r="360" spans="1:13" ht="10.5" customHeight="1" x14ac:dyDescent="0.35">
      <c r="A360" s="21" t="s">
        <v>297</v>
      </c>
      <c r="B360" s="19"/>
      <c r="C360" s="19"/>
      <c r="D360" s="19">
        <v>99.99</v>
      </c>
      <c r="E360" s="19"/>
      <c r="F360" s="19">
        <v>394.46</v>
      </c>
      <c r="G360" s="19">
        <v>14520</v>
      </c>
      <c r="H360" s="19"/>
      <c r="I360" s="19"/>
      <c r="J360" s="19"/>
      <c r="K360" s="19"/>
      <c r="L360" s="19">
        <v>600</v>
      </c>
      <c r="M360" s="52">
        <f>SUM(Tabla2[[#This Row],[01. Alcaldía]:[11. Salud pública y seguridad ciudadana]])</f>
        <v>15614.45</v>
      </c>
    </row>
    <row r="361" spans="1:13" ht="10.5" customHeight="1" x14ac:dyDescent="0.35">
      <c r="A361" s="21" t="s">
        <v>2172</v>
      </c>
      <c r="B361" s="19"/>
      <c r="C361" s="19"/>
      <c r="D361" s="19"/>
      <c r="E361" s="19"/>
      <c r="F361" s="19"/>
      <c r="G361" s="19"/>
      <c r="H361" s="19"/>
      <c r="I361" s="19"/>
      <c r="J361" s="19">
        <v>185.13</v>
      </c>
      <c r="K361" s="19"/>
      <c r="L361" s="19"/>
      <c r="M361" s="52">
        <f>SUM(Tabla2[[#This Row],[01. Alcaldía]:[11. Salud pública y seguridad ciudadana]])</f>
        <v>185.13</v>
      </c>
    </row>
    <row r="362" spans="1:13" ht="10.5" customHeight="1" x14ac:dyDescent="0.35">
      <c r="A362" s="21" t="s">
        <v>3533</v>
      </c>
      <c r="B362" s="19"/>
      <c r="C362" s="19"/>
      <c r="D362" s="19"/>
      <c r="E362" s="19"/>
      <c r="F362" s="19">
        <v>12577.95</v>
      </c>
      <c r="G362" s="19"/>
      <c r="H362" s="19"/>
      <c r="I362" s="19"/>
      <c r="J362" s="19"/>
      <c r="K362" s="19"/>
      <c r="L362" s="19"/>
      <c r="M362" s="52">
        <f>SUM(Tabla2[[#This Row],[01. Alcaldía]:[11. Salud pública y seguridad ciudadana]])</f>
        <v>12577.95</v>
      </c>
    </row>
    <row r="363" spans="1:13" ht="10.5" customHeight="1" x14ac:dyDescent="0.35">
      <c r="A363" s="21" t="s">
        <v>2729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>
        <v>2420</v>
      </c>
      <c r="M363" s="52">
        <f>SUM(Tabla2[[#This Row],[01. Alcaldía]:[11. Salud pública y seguridad ciudadana]])</f>
        <v>2420</v>
      </c>
    </row>
    <row r="364" spans="1:13" ht="10.5" customHeight="1" x14ac:dyDescent="0.35">
      <c r="A364" s="21" t="s">
        <v>770</v>
      </c>
      <c r="B364" s="19"/>
      <c r="C364" s="19"/>
      <c r="D364" s="19"/>
      <c r="E364" s="19"/>
      <c r="F364" s="19"/>
      <c r="G364" s="19"/>
      <c r="H364" s="19">
        <v>2700</v>
      </c>
      <c r="I364" s="19"/>
      <c r="J364" s="19"/>
      <c r="K364" s="19"/>
      <c r="L364" s="19"/>
      <c r="M364" s="52">
        <f>SUM(Tabla2[[#This Row],[01. Alcaldía]:[11. Salud pública y seguridad ciudadana]])</f>
        <v>2700</v>
      </c>
    </row>
    <row r="365" spans="1:13" ht="10.5" customHeight="1" x14ac:dyDescent="0.35">
      <c r="A365" s="21" t="s">
        <v>4090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822.8</v>
      </c>
      <c r="L365" s="19"/>
      <c r="M365" s="52">
        <f>SUM(Tabla2[[#This Row],[01. Alcaldía]:[11. Salud pública y seguridad ciudadana]])</f>
        <v>822.8</v>
      </c>
    </row>
    <row r="366" spans="1:13" x14ac:dyDescent="0.35">
      <c r="A366" s="21" t="s">
        <v>296</v>
      </c>
      <c r="B366" s="19"/>
      <c r="C366" s="19"/>
      <c r="D366" s="19"/>
      <c r="E366" s="19">
        <v>9243.43</v>
      </c>
      <c r="F366" s="19"/>
      <c r="G366" s="19"/>
      <c r="H366" s="19"/>
      <c r="I366" s="19"/>
      <c r="J366" s="19"/>
      <c r="K366" s="19"/>
      <c r="L366" s="19"/>
      <c r="M366" s="52">
        <f>SUM(Tabla2[[#This Row],[01. Alcaldía]:[11. Salud pública y seguridad ciudadana]])</f>
        <v>9243.43</v>
      </c>
    </row>
    <row r="367" spans="1:13" ht="10.5" customHeight="1" x14ac:dyDescent="0.35">
      <c r="A367" s="21" t="s">
        <v>776</v>
      </c>
      <c r="B367" s="19"/>
      <c r="C367" s="19"/>
      <c r="D367" s="19"/>
      <c r="E367" s="19"/>
      <c r="F367" s="19"/>
      <c r="G367" s="19"/>
      <c r="H367" s="19"/>
      <c r="I367" s="19">
        <v>18484.45</v>
      </c>
      <c r="J367" s="19"/>
      <c r="K367" s="19"/>
      <c r="L367" s="19"/>
      <c r="M367" s="52">
        <f>SUM(Tabla2[[#This Row],[01. Alcaldía]:[11. Salud pública y seguridad ciudadana]])</f>
        <v>18484.45</v>
      </c>
    </row>
    <row r="368" spans="1:13" x14ac:dyDescent="0.35">
      <c r="A368" s="21" t="s">
        <v>2319</v>
      </c>
      <c r="B368" s="19"/>
      <c r="C368" s="19"/>
      <c r="D368" s="19"/>
      <c r="E368" s="19"/>
      <c r="F368" s="19"/>
      <c r="G368" s="19">
        <v>350.9</v>
      </c>
      <c r="H368" s="19"/>
      <c r="I368" s="19"/>
      <c r="J368" s="19"/>
      <c r="K368" s="19"/>
      <c r="L368" s="19"/>
      <c r="M368" s="52">
        <f>SUM(Tabla2[[#This Row],[01. Alcaldía]:[11. Salud pública y seguridad ciudadana]])</f>
        <v>350.9</v>
      </c>
    </row>
    <row r="369" spans="1:13" ht="10.5" customHeight="1" x14ac:dyDescent="0.35">
      <c r="A369" s="21" t="s">
        <v>5716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>
        <v>363</v>
      </c>
      <c r="L369" s="19"/>
      <c r="M369" s="52">
        <f>SUM(Tabla2[[#This Row],[01. Alcaldía]:[11. Salud pública y seguridad ciudadana]])</f>
        <v>363</v>
      </c>
    </row>
    <row r="370" spans="1:13" ht="10.5" customHeight="1" x14ac:dyDescent="0.35">
      <c r="A370" s="21" t="s">
        <v>163</v>
      </c>
      <c r="B370" s="19"/>
      <c r="C370" s="19">
        <v>2833.4800000000005</v>
      </c>
      <c r="D370" s="19"/>
      <c r="E370" s="19"/>
      <c r="F370" s="19"/>
      <c r="G370" s="19"/>
      <c r="H370" s="19"/>
      <c r="I370" s="19"/>
      <c r="J370" s="19"/>
      <c r="K370" s="19"/>
      <c r="L370" s="19"/>
      <c r="M370" s="52">
        <f>SUM(Tabla2[[#This Row],[01. Alcaldía]:[11. Salud pública y seguridad ciudadana]])</f>
        <v>2833.4800000000005</v>
      </c>
    </row>
    <row r="371" spans="1:13" ht="10.5" customHeight="1" x14ac:dyDescent="0.35">
      <c r="A371" s="21" t="s">
        <v>2162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165.2</v>
      </c>
      <c r="M371" s="52">
        <f>SUM(Tabla2[[#This Row],[01. Alcaldía]:[11. Salud pública y seguridad ciudadana]])</f>
        <v>165.2</v>
      </c>
    </row>
    <row r="372" spans="1:13" x14ac:dyDescent="0.35">
      <c r="A372" s="21" t="s">
        <v>166</v>
      </c>
      <c r="B372" s="19"/>
      <c r="C372" s="19"/>
      <c r="D372" s="19">
        <v>2182.5</v>
      </c>
      <c r="E372" s="19"/>
      <c r="F372" s="19"/>
      <c r="G372" s="19"/>
      <c r="H372" s="19"/>
      <c r="I372" s="19"/>
      <c r="J372" s="19"/>
      <c r="K372" s="19"/>
      <c r="L372" s="19"/>
      <c r="M372" s="52">
        <f>SUM(Tabla2[[#This Row],[01. Alcaldía]:[11. Salud pública y seguridad ciudadana]])</f>
        <v>2182.5</v>
      </c>
    </row>
    <row r="373" spans="1:13" ht="10.5" customHeight="1" x14ac:dyDescent="0.35">
      <c r="A373" s="21" t="s">
        <v>5204</v>
      </c>
      <c r="B373" s="19"/>
      <c r="C373" s="19">
        <v>3448.5</v>
      </c>
      <c r="D373" s="19"/>
      <c r="E373" s="19"/>
      <c r="F373" s="19"/>
      <c r="G373" s="19"/>
      <c r="H373" s="19"/>
      <c r="I373" s="19"/>
      <c r="J373" s="19"/>
      <c r="K373" s="19"/>
      <c r="L373" s="19"/>
      <c r="M373" s="52">
        <f>SUM(Tabla2[[#This Row],[01. Alcaldía]:[11. Salud pública y seguridad ciudadana]])</f>
        <v>3448.5</v>
      </c>
    </row>
    <row r="374" spans="1:13" ht="10.5" customHeight="1" x14ac:dyDescent="0.35">
      <c r="A374" s="21" t="s">
        <v>5235</v>
      </c>
      <c r="B374" s="19"/>
      <c r="C374" s="19">
        <v>2831.4</v>
      </c>
      <c r="D374" s="19"/>
      <c r="E374" s="19"/>
      <c r="F374" s="19"/>
      <c r="G374" s="19"/>
      <c r="H374" s="19"/>
      <c r="I374" s="19"/>
      <c r="J374" s="19"/>
      <c r="K374" s="19"/>
      <c r="L374" s="19"/>
      <c r="M374" s="52">
        <f>SUM(Tabla2[[#This Row],[01. Alcaldía]:[11. Salud pública y seguridad ciudadana]])</f>
        <v>2831.4</v>
      </c>
    </row>
    <row r="375" spans="1:13" ht="10.5" customHeight="1" x14ac:dyDescent="0.35">
      <c r="A375" s="21" t="s">
        <v>40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>
        <v>5130</v>
      </c>
      <c r="L375" s="19"/>
      <c r="M375" s="52">
        <f>SUM(Tabla2[[#This Row],[01. Alcaldía]:[11. Salud pública y seguridad ciudadana]])</f>
        <v>5130</v>
      </c>
    </row>
    <row r="376" spans="1:13" ht="10.5" customHeight="1" x14ac:dyDescent="0.35">
      <c r="A376" s="21" t="s">
        <v>5723</v>
      </c>
      <c r="B376" s="19"/>
      <c r="C376" s="19">
        <v>14692.16</v>
      </c>
      <c r="D376" s="19"/>
      <c r="E376" s="19"/>
      <c r="F376" s="19"/>
      <c r="G376" s="19"/>
      <c r="H376" s="19"/>
      <c r="I376" s="19"/>
      <c r="J376" s="19"/>
      <c r="K376" s="19"/>
      <c r="L376" s="19"/>
      <c r="M376" s="52">
        <f>SUM(Tabla2[[#This Row],[01. Alcaldía]:[11. Salud pública y seguridad ciudadana]])</f>
        <v>14692.16</v>
      </c>
    </row>
    <row r="377" spans="1:13" x14ac:dyDescent="0.35">
      <c r="A377" s="21" t="s">
        <v>2804</v>
      </c>
      <c r="B377" s="19"/>
      <c r="C377" s="19"/>
      <c r="D377" s="19"/>
      <c r="E377" s="19"/>
      <c r="F377" s="19"/>
      <c r="G377" s="19">
        <v>3746.16</v>
      </c>
      <c r="H377" s="19"/>
      <c r="I377" s="19"/>
      <c r="J377" s="19"/>
      <c r="K377" s="19"/>
      <c r="L377" s="19"/>
      <c r="M377" s="52">
        <f>SUM(Tabla2[[#This Row],[01. Alcaldía]:[11. Salud pública y seguridad ciudadana]])</f>
        <v>3746.16</v>
      </c>
    </row>
    <row r="378" spans="1:13" ht="10.5" customHeight="1" x14ac:dyDescent="0.35">
      <c r="A378" s="21" t="s">
        <v>2501</v>
      </c>
      <c r="B378" s="19"/>
      <c r="C378" s="19">
        <v>948.64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52">
        <f>SUM(Tabla2[[#This Row],[01. Alcaldía]:[11. Salud pública y seguridad ciudadana]])</f>
        <v>948.64</v>
      </c>
    </row>
    <row r="379" spans="1:13" ht="10.5" customHeight="1" x14ac:dyDescent="0.35">
      <c r="A379" s="21" t="s">
        <v>3503</v>
      </c>
      <c r="B379" s="19"/>
      <c r="C379" s="19"/>
      <c r="D379" s="19"/>
      <c r="E379" s="19"/>
      <c r="F379" s="19">
        <v>18029</v>
      </c>
      <c r="G379" s="19"/>
      <c r="H379" s="19"/>
      <c r="I379" s="19"/>
      <c r="J379" s="19"/>
      <c r="K379" s="19"/>
      <c r="L379" s="19"/>
      <c r="M379" s="52">
        <f>SUM(Tabla2[[#This Row],[01. Alcaldía]:[11. Salud pública y seguridad ciudadana]])</f>
        <v>18029</v>
      </c>
    </row>
    <row r="380" spans="1:13" x14ac:dyDescent="0.35">
      <c r="A380" s="21" t="s">
        <v>134</v>
      </c>
      <c r="B380" s="19"/>
      <c r="C380" s="19"/>
      <c r="D380" s="19"/>
      <c r="E380" s="19"/>
      <c r="F380" s="19">
        <v>5418.38</v>
      </c>
      <c r="G380" s="19">
        <v>1200</v>
      </c>
      <c r="H380" s="19"/>
      <c r="I380" s="19">
        <v>1669.8</v>
      </c>
      <c r="J380" s="19"/>
      <c r="K380" s="19"/>
      <c r="L380" s="19"/>
      <c r="M380" s="52">
        <f>SUM(Tabla2[[#This Row],[01. Alcaldía]:[11. Salud pública y seguridad ciudadana]])</f>
        <v>8288.18</v>
      </c>
    </row>
    <row r="381" spans="1:13" ht="10.5" customHeight="1" x14ac:dyDescent="0.35">
      <c r="A381" s="21" t="s">
        <v>775</v>
      </c>
      <c r="B381" s="19"/>
      <c r="C381" s="19"/>
      <c r="D381" s="19"/>
      <c r="E381" s="19">
        <v>3630</v>
      </c>
      <c r="F381" s="19">
        <v>6050</v>
      </c>
      <c r="G381" s="19"/>
      <c r="H381" s="19"/>
      <c r="I381" s="19"/>
      <c r="J381" s="19"/>
      <c r="K381" s="19"/>
      <c r="L381" s="19"/>
      <c r="M381" s="52">
        <f>SUM(Tabla2[[#This Row],[01. Alcaldía]:[11. Salud pública y seguridad ciudadana]])</f>
        <v>9680</v>
      </c>
    </row>
    <row r="382" spans="1:13" ht="10.5" customHeight="1" x14ac:dyDescent="0.35">
      <c r="A382" s="21" t="s">
        <v>4188</v>
      </c>
      <c r="B382" s="19"/>
      <c r="C382" s="19"/>
      <c r="D382" s="19">
        <v>544.5</v>
      </c>
      <c r="E382" s="19"/>
      <c r="F382" s="19"/>
      <c r="G382" s="19"/>
      <c r="H382" s="19"/>
      <c r="I382" s="19"/>
      <c r="J382" s="19"/>
      <c r="K382" s="19"/>
      <c r="L382" s="19"/>
      <c r="M382" s="52">
        <f>SUM(Tabla2[[#This Row],[01. Alcaldía]:[11. Salud pública y seguridad ciudadana]])</f>
        <v>544.5</v>
      </c>
    </row>
    <row r="383" spans="1:13" ht="10.5" customHeight="1" x14ac:dyDescent="0.35">
      <c r="A383" s="21" t="s">
        <v>4432</v>
      </c>
      <c r="B383" s="19"/>
      <c r="C383" s="19"/>
      <c r="D383" s="19"/>
      <c r="E383" s="19"/>
      <c r="F383" s="19"/>
      <c r="G383" s="19">
        <v>225</v>
      </c>
      <c r="H383" s="19"/>
      <c r="I383" s="19"/>
      <c r="J383" s="19"/>
      <c r="K383" s="19"/>
      <c r="L383" s="19"/>
      <c r="M383" s="52">
        <f>SUM(Tabla2[[#This Row],[01. Alcaldía]:[11. Salud pública y seguridad ciudadana]])</f>
        <v>225</v>
      </c>
    </row>
    <row r="384" spans="1:13" ht="10.5" customHeight="1" x14ac:dyDescent="0.35">
      <c r="A384" s="21" t="s">
        <v>6206</v>
      </c>
      <c r="B384" s="19"/>
      <c r="C384" s="19">
        <v>181.5</v>
      </c>
      <c r="D384" s="19"/>
      <c r="E384" s="19"/>
      <c r="F384" s="19"/>
      <c r="G384" s="19"/>
      <c r="H384" s="19"/>
      <c r="I384" s="19"/>
      <c r="J384" s="19"/>
      <c r="K384" s="19"/>
      <c r="L384" s="19"/>
      <c r="M384" s="52">
        <f>SUM(Tabla2[[#This Row],[01. Alcaldía]:[11. Salud pública y seguridad ciudadana]])</f>
        <v>181.5</v>
      </c>
    </row>
    <row r="385" spans="1:13" ht="10.5" customHeight="1" x14ac:dyDescent="0.35">
      <c r="A385" s="21" t="s">
        <v>4255</v>
      </c>
      <c r="B385" s="19"/>
      <c r="C385" s="19"/>
      <c r="D385" s="19">
        <v>1038.95</v>
      </c>
      <c r="E385" s="19"/>
      <c r="F385" s="19"/>
      <c r="G385" s="19"/>
      <c r="H385" s="19"/>
      <c r="I385" s="19"/>
      <c r="J385" s="19"/>
      <c r="K385" s="19"/>
      <c r="L385" s="19"/>
      <c r="M385" s="52">
        <f>SUM(Tabla2[[#This Row],[01. Alcaldía]:[11. Salud pública y seguridad ciudadana]])</f>
        <v>1038.95</v>
      </c>
    </row>
    <row r="386" spans="1:13" ht="10.5" customHeight="1" x14ac:dyDescent="0.35">
      <c r="A386" s="21" t="s">
        <v>4313</v>
      </c>
      <c r="B386" s="19"/>
      <c r="C386" s="19"/>
      <c r="D386" s="19"/>
      <c r="E386" s="19"/>
      <c r="F386" s="19"/>
      <c r="G386" s="19">
        <v>350</v>
      </c>
      <c r="H386" s="19"/>
      <c r="I386" s="19"/>
      <c r="J386" s="19"/>
      <c r="K386" s="19"/>
      <c r="L386" s="19"/>
      <c r="M386" s="52">
        <f>SUM(Tabla2[[#This Row],[01. Alcaldía]:[11. Salud pública y seguridad ciudadana]])</f>
        <v>350</v>
      </c>
    </row>
    <row r="387" spans="1:13" ht="10.5" customHeight="1" x14ac:dyDescent="0.35">
      <c r="A387" s="21" t="s">
        <v>3171</v>
      </c>
      <c r="B387" s="19"/>
      <c r="C387" s="19"/>
      <c r="D387" s="19"/>
      <c r="E387" s="19"/>
      <c r="F387" s="19"/>
      <c r="G387" s="19"/>
      <c r="H387" s="19">
        <v>12000</v>
      </c>
      <c r="I387" s="19"/>
      <c r="J387" s="19"/>
      <c r="K387" s="19"/>
      <c r="L387" s="19"/>
      <c r="M387" s="52">
        <f>SUM(Tabla2[[#This Row],[01. Alcaldía]:[11. Salud pública y seguridad ciudadana]])</f>
        <v>12000</v>
      </c>
    </row>
    <row r="388" spans="1:13" ht="10.5" customHeight="1" x14ac:dyDescent="0.35">
      <c r="A388" s="21" t="s">
        <v>2546</v>
      </c>
      <c r="B388" s="19">
        <v>1170.3</v>
      </c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52">
        <f>SUM(Tabla2[[#This Row],[01. Alcaldía]:[11. Salud pública y seguridad ciudadana]])</f>
        <v>1170.3</v>
      </c>
    </row>
    <row r="389" spans="1:13" ht="10.5" customHeight="1" x14ac:dyDescent="0.35">
      <c r="A389" s="21" t="s">
        <v>562</v>
      </c>
      <c r="B389" s="19"/>
      <c r="C389" s="19"/>
      <c r="D389" s="19"/>
      <c r="E389" s="19">
        <v>4779.5</v>
      </c>
      <c r="F389" s="19"/>
      <c r="G389" s="19"/>
      <c r="H389" s="19"/>
      <c r="I389" s="19"/>
      <c r="J389" s="19"/>
      <c r="K389" s="19"/>
      <c r="L389" s="19"/>
      <c r="M389" s="52">
        <f>SUM(Tabla2[[#This Row],[01. Alcaldía]:[11. Salud pública y seguridad ciudadana]])</f>
        <v>4779.5</v>
      </c>
    </row>
    <row r="390" spans="1:13" ht="10.5" customHeight="1" x14ac:dyDescent="0.35">
      <c r="A390" s="21" t="s">
        <v>70</v>
      </c>
      <c r="B390" s="19"/>
      <c r="C390" s="19">
        <v>4070.03</v>
      </c>
      <c r="D390" s="19"/>
      <c r="E390" s="19"/>
      <c r="F390" s="19"/>
      <c r="G390" s="19">
        <v>7502</v>
      </c>
      <c r="H390" s="19"/>
      <c r="I390" s="19"/>
      <c r="J390" s="19"/>
      <c r="K390" s="19">
        <v>1331</v>
      </c>
      <c r="L390" s="19">
        <v>5107.8099999999995</v>
      </c>
      <c r="M390" s="52">
        <f>SUM(Tabla2[[#This Row],[01. Alcaldía]:[11. Salud pública y seguridad ciudadana]])</f>
        <v>18010.84</v>
      </c>
    </row>
    <row r="391" spans="1:13" ht="10.5" customHeight="1" x14ac:dyDescent="0.35">
      <c r="A391" s="21" t="s">
        <v>592</v>
      </c>
      <c r="B391" s="19"/>
      <c r="C391" s="19"/>
      <c r="D391" s="19"/>
      <c r="E391" s="19">
        <v>199.65</v>
      </c>
      <c r="F391" s="19"/>
      <c r="G391" s="19">
        <v>2547.0500000000002</v>
      </c>
      <c r="H391" s="19"/>
      <c r="I391" s="19"/>
      <c r="J391" s="19"/>
      <c r="K391" s="19"/>
      <c r="L391" s="19"/>
      <c r="M391" s="52">
        <f>SUM(Tabla2[[#This Row],[01. Alcaldía]:[11. Salud pública y seguridad ciudadana]])</f>
        <v>2746.7000000000003</v>
      </c>
    </row>
    <row r="392" spans="1:13" ht="10.5" customHeight="1" x14ac:dyDescent="0.35">
      <c r="A392" s="21" t="s">
        <v>5086</v>
      </c>
      <c r="B392" s="19"/>
      <c r="C392" s="19"/>
      <c r="D392" s="19"/>
      <c r="E392" s="19"/>
      <c r="F392" s="19"/>
      <c r="G392" s="19">
        <v>6413</v>
      </c>
      <c r="H392" s="19"/>
      <c r="I392" s="19"/>
      <c r="J392" s="19"/>
      <c r="K392" s="19"/>
      <c r="L392" s="19"/>
      <c r="M392" s="52">
        <f>SUM(Tabla2[[#This Row],[01. Alcaldía]:[11. Salud pública y seguridad ciudadana]])</f>
        <v>6413</v>
      </c>
    </row>
    <row r="393" spans="1:13" ht="10.5" customHeight="1" x14ac:dyDescent="0.35">
      <c r="A393" s="61" t="s">
        <v>5746</v>
      </c>
      <c r="B393" s="19"/>
      <c r="C393" s="19">
        <v>1652.25</v>
      </c>
      <c r="D393" s="19"/>
      <c r="E393" s="19"/>
      <c r="F393" s="19"/>
      <c r="G393" s="19"/>
      <c r="H393" s="19"/>
      <c r="I393" s="19"/>
      <c r="J393" s="19"/>
      <c r="K393" s="19"/>
      <c r="L393" s="19"/>
      <c r="M393" s="52">
        <f>SUM(Tabla2[[#This Row],[01. Alcaldía]:[11. Salud pública y seguridad ciudadana]])</f>
        <v>1652.25</v>
      </c>
    </row>
    <row r="394" spans="1:13" ht="10.5" customHeight="1" x14ac:dyDescent="0.25">
      <c r="A394" s="59" t="s">
        <v>106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>
        <v>7500</v>
      </c>
      <c r="M394" s="52">
        <f>SUM(Tabla2[[#This Row],[01. Alcaldía]:[11. Salud pública y seguridad ciudadana]])</f>
        <v>7500</v>
      </c>
    </row>
    <row r="395" spans="1:13" ht="10.5" customHeight="1" x14ac:dyDescent="0.25">
      <c r="A395" s="59" t="s">
        <v>2549</v>
      </c>
      <c r="B395" s="19">
        <v>1185</v>
      </c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52">
        <f>SUM(Tabla2[[#This Row],[01. Alcaldía]:[11. Salud pública y seguridad ciudadana]])</f>
        <v>1185</v>
      </c>
    </row>
    <row r="396" spans="1:13" ht="10.5" customHeight="1" x14ac:dyDescent="0.25">
      <c r="A396" s="59" t="s">
        <v>93</v>
      </c>
      <c r="B396" s="19"/>
      <c r="C396" s="19"/>
      <c r="D396" s="19"/>
      <c r="E396" s="19"/>
      <c r="F396" s="19"/>
      <c r="G396" s="19">
        <v>1809.2</v>
      </c>
      <c r="H396" s="19">
        <v>11071.5</v>
      </c>
      <c r="I396" s="19"/>
      <c r="J396" s="19"/>
      <c r="K396" s="19"/>
      <c r="L396" s="19"/>
      <c r="M396" s="52">
        <f>SUM(Tabla2[[#This Row],[01. Alcaldía]:[11. Salud pública y seguridad ciudadana]])</f>
        <v>12880.7</v>
      </c>
    </row>
    <row r="397" spans="1:13" ht="10.5" customHeight="1" x14ac:dyDescent="0.25">
      <c r="A397" s="59" t="s">
        <v>3029</v>
      </c>
      <c r="B397" s="19"/>
      <c r="C397" s="19">
        <v>6655</v>
      </c>
      <c r="D397" s="19"/>
      <c r="E397" s="19"/>
      <c r="F397" s="19"/>
      <c r="G397" s="19"/>
      <c r="H397" s="19"/>
      <c r="I397" s="19"/>
      <c r="J397" s="19"/>
      <c r="K397" s="19"/>
      <c r="L397" s="19"/>
      <c r="M397" s="52">
        <f>SUM(Tabla2[[#This Row],[01. Alcaldía]:[11. Salud pública y seguridad ciudadana]])</f>
        <v>6655</v>
      </c>
    </row>
    <row r="398" spans="1:13" ht="10.5" customHeight="1" x14ac:dyDescent="0.25">
      <c r="A398" s="59" t="s">
        <v>3100</v>
      </c>
      <c r="B398" s="19"/>
      <c r="C398" s="19"/>
      <c r="D398" s="19"/>
      <c r="E398" s="19"/>
      <c r="F398" s="19"/>
      <c r="G398" s="19">
        <v>7260</v>
      </c>
      <c r="H398" s="19"/>
      <c r="I398" s="19"/>
      <c r="J398" s="19"/>
      <c r="K398" s="19"/>
      <c r="L398" s="19"/>
      <c r="M398" s="52">
        <f>SUM(Tabla2[[#This Row],[01. Alcaldía]:[11. Salud pública y seguridad ciudadana]])</f>
        <v>7260</v>
      </c>
    </row>
    <row r="399" spans="1:13" ht="10.5" customHeight="1" x14ac:dyDescent="0.25">
      <c r="A399" s="59" t="s">
        <v>4193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>
        <v>530</v>
      </c>
      <c r="L399" s="19"/>
      <c r="M399" s="52">
        <f>SUM(Tabla2[[#This Row],[01. Alcaldía]:[11. Salud pública y seguridad ciudadana]])</f>
        <v>530</v>
      </c>
    </row>
    <row r="400" spans="1:13" ht="10.5" customHeight="1" x14ac:dyDescent="0.25">
      <c r="A400" s="59" t="s">
        <v>2552</v>
      </c>
      <c r="B400" s="19"/>
      <c r="C400" s="19"/>
      <c r="D400" s="19"/>
      <c r="E400" s="19">
        <v>1187.6300000000001</v>
      </c>
      <c r="F400" s="19"/>
      <c r="G400" s="19">
        <v>180</v>
      </c>
      <c r="H400" s="19"/>
      <c r="I400" s="19"/>
      <c r="J400" s="19"/>
      <c r="K400" s="19"/>
      <c r="L400" s="19"/>
      <c r="M400" s="52">
        <f>SUM(Tabla2[[#This Row],[01. Alcaldía]:[11. Salud pública y seguridad ciudadana]])</f>
        <v>1367.63</v>
      </c>
    </row>
    <row r="401" spans="1:13" ht="10.5" customHeight="1" x14ac:dyDescent="0.25">
      <c r="A401" s="59" t="s">
        <v>2157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1355.2</v>
      </c>
      <c r="M401" s="52">
        <f>SUM(Tabla2[[#This Row],[01. Alcaldía]:[11. Salud pública y seguridad ciudadana]])</f>
        <v>1355.2</v>
      </c>
    </row>
    <row r="402" spans="1:13" ht="10.5" customHeight="1" x14ac:dyDescent="0.25">
      <c r="A402" s="59" t="s">
        <v>2555</v>
      </c>
      <c r="B402" s="19"/>
      <c r="C402" s="19">
        <v>2904</v>
      </c>
      <c r="D402" s="19"/>
      <c r="E402" s="19"/>
      <c r="F402" s="19"/>
      <c r="G402" s="19"/>
      <c r="H402" s="19"/>
      <c r="I402" s="19"/>
      <c r="J402" s="19"/>
      <c r="K402" s="19"/>
      <c r="L402" s="19"/>
      <c r="M402" s="52">
        <f>SUM(Tabla2[[#This Row],[01. Alcaldía]:[11. Salud pública y seguridad ciudadana]])</f>
        <v>2904</v>
      </c>
    </row>
    <row r="403" spans="1:13" ht="10.5" customHeight="1" x14ac:dyDescent="0.25">
      <c r="A403" s="59" t="s">
        <v>2540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>
        <v>1119.25</v>
      </c>
      <c r="L403" s="19"/>
      <c r="M403" s="52">
        <f>SUM(Tabla2[[#This Row],[01. Alcaldía]:[11. Salud pública y seguridad ciudadana]])</f>
        <v>1119.25</v>
      </c>
    </row>
    <row r="404" spans="1:13" ht="10.5" customHeight="1" x14ac:dyDescent="0.25">
      <c r="A404" s="59" t="s">
        <v>5564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>
        <v>534.82000000000005</v>
      </c>
      <c r="M404" s="52">
        <f>SUM(Tabla2[[#This Row],[01. Alcaldía]:[11. Salud pública y seguridad ciudadana]])</f>
        <v>534.82000000000005</v>
      </c>
    </row>
    <row r="405" spans="1:13" ht="10.5" customHeight="1" x14ac:dyDescent="0.25">
      <c r="A405" s="59" t="s">
        <v>3596</v>
      </c>
      <c r="B405" s="19"/>
      <c r="C405" s="19"/>
      <c r="D405" s="19"/>
      <c r="E405" s="19"/>
      <c r="F405" s="19">
        <v>28.2</v>
      </c>
      <c r="G405" s="19">
        <v>7260</v>
      </c>
      <c r="H405" s="19"/>
      <c r="I405" s="19"/>
      <c r="J405" s="19"/>
      <c r="K405" s="19">
        <v>55.66</v>
      </c>
      <c r="L405" s="19"/>
      <c r="M405" s="52">
        <f>SUM(Tabla2[[#This Row],[01. Alcaldía]:[11. Salud pública y seguridad ciudadana]])</f>
        <v>7343.86</v>
      </c>
    </row>
    <row r="406" spans="1:13" ht="10.5" customHeight="1" x14ac:dyDescent="0.25">
      <c r="A406" s="59" t="s">
        <v>3025</v>
      </c>
      <c r="B406" s="19"/>
      <c r="C406" s="19"/>
      <c r="D406" s="19">
        <v>6506.37</v>
      </c>
      <c r="E406" s="19"/>
      <c r="F406" s="19"/>
      <c r="G406" s="19"/>
      <c r="H406" s="19"/>
      <c r="I406" s="19"/>
      <c r="J406" s="19"/>
      <c r="K406" s="19"/>
      <c r="L406" s="19"/>
      <c r="M406" s="52">
        <f>SUM(Tabla2[[#This Row],[01. Alcaldía]:[11. Salud pública y seguridad ciudadana]])</f>
        <v>6506.37</v>
      </c>
    </row>
    <row r="407" spans="1:13" ht="10.5" customHeight="1" x14ac:dyDescent="0.25">
      <c r="A407" s="59" t="s">
        <v>3973</v>
      </c>
      <c r="B407" s="19">
        <v>762.3</v>
      </c>
      <c r="C407" s="19"/>
      <c r="D407" s="19"/>
      <c r="E407" s="19"/>
      <c r="F407" s="19">
        <v>14875.26</v>
      </c>
      <c r="G407" s="19"/>
      <c r="H407" s="19"/>
      <c r="I407" s="19"/>
      <c r="J407" s="19"/>
      <c r="K407" s="19"/>
      <c r="L407" s="19">
        <v>1433.04</v>
      </c>
      <c r="M407" s="52">
        <f>SUM(Tabla2[[#This Row],[01. Alcaldía]:[11. Salud pública y seguridad ciudadana]])</f>
        <v>17070.599999999999</v>
      </c>
    </row>
    <row r="408" spans="1:13" ht="10.5" customHeight="1" x14ac:dyDescent="0.25">
      <c r="A408" s="59" t="s">
        <v>5770</v>
      </c>
      <c r="B408" s="19"/>
      <c r="C408" s="19"/>
      <c r="D408" s="19"/>
      <c r="E408" s="19"/>
      <c r="F408" s="19"/>
      <c r="G408" s="19">
        <v>3388</v>
      </c>
      <c r="H408" s="19"/>
      <c r="I408" s="19"/>
      <c r="J408" s="19"/>
      <c r="K408" s="19"/>
      <c r="L408" s="19"/>
      <c r="M408" s="52">
        <f>SUM(Tabla2[[#This Row],[01. Alcaldía]:[11. Salud pública y seguridad ciudadana]])</f>
        <v>3388</v>
      </c>
    </row>
    <row r="409" spans="1:13" ht="10.5" customHeight="1" x14ac:dyDescent="0.25">
      <c r="A409" s="59" t="s">
        <v>5773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382.66</v>
      </c>
      <c r="L409" s="19"/>
      <c r="M409" s="52">
        <f>SUM(Tabla2[[#This Row],[01. Alcaldía]:[11. Salud pública y seguridad ciudadana]])</f>
        <v>382.66</v>
      </c>
    </row>
    <row r="410" spans="1:13" ht="10.5" customHeight="1" x14ac:dyDescent="0.25">
      <c r="A410" s="59" t="s">
        <v>3713</v>
      </c>
      <c r="B410" s="19"/>
      <c r="C410" s="19"/>
      <c r="D410" s="19"/>
      <c r="E410" s="19"/>
      <c r="F410" s="19"/>
      <c r="G410" s="19"/>
      <c r="H410" s="19"/>
      <c r="I410" s="19"/>
      <c r="J410" s="19">
        <v>4235</v>
      </c>
      <c r="K410" s="19"/>
      <c r="L410" s="19"/>
      <c r="M410" s="52">
        <f>SUM(Tabla2[[#This Row],[01. Alcaldía]:[11. Salud pública y seguridad ciudadana]])</f>
        <v>4235</v>
      </c>
    </row>
    <row r="411" spans="1:13" ht="10.5" customHeight="1" x14ac:dyDescent="0.25">
      <c r="A411" s="59" t="s">
        <v>4236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963.55</v>
      </c>
      <c r="L411" s="19"/>
      <c r="M411" s="52">
        <f>SUM(Tabla2[[#This Row],[01. Alcaldía]:[11. Salud pública y seguridad ciudadana]])</f>
        <v>963.55</v>
      </c>
    </row>
    <row r="412" spans="1:13" ht="10.5" customHeight="1" x14ac:dyDescent="0.25">
      <c r="A412" s="59" t="s">
        <v>3637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>
        <v>6402</v>
      </c>
      <c r="L412" s="19"/>
      <c r="M412" s="52">
        <f>SUM(Tabla2[[#This Row],[01. Alcaldía]:[11. Salud pública y seguridad ciudadana]])</f>
        <v>6402</v>
      </c>
    </row>
    <row r="413" spans="1:13" ht="10.5" customHeight="1" x14ac:dyDescent="0.25">
      <c r="A413" s="59" t="s">
        <v>206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6241.3600000000006</v>
      </c>
      <c r="M413" s="52">
        <f>SUM(Tabla2[[#This Row],[01. Alcaldía]:[11. Salud pública y seguridad ciudadana]])</f>
        <v>6241.3600000000006</v>
      </c>
    </row>
    <row r="414" spans="1:13" ht="10.5" customHeight="1" x14ac:dyDescent="0.25">
      <c r="A414" s="59" t="s">
        <v>304</v>
      </c>
      <c r="B414" s="19"/>
      <c r="C414" s="19"/>
      <c r="D414" s="19"/>
      <c r="E414" s="19"/>
      <c r="F414" s="19"/>
      <c r="G414" s="19">
        <v>277.89</v>
      </c>
      <c r="H414" s="19"/>
      <c r="I414" s="19"/>
      <c r="J414" s="19"/>
      <c r="K414" s="19"/>
      <c r="L414" s="19">
        <v>900</v>
      </c>
      <c r="M414" s="52">
        <f>SUM(Tabla2[[#This Row],[01. Alcaldía]:[11. Salud pública y seguridad ciudadana]])</f>
        <v>1177.8899999999999</v>
      </c>
    </row>
    <row r="415" spans="1:13" ht="10.5" customHeight="1" x14ac:dyDescent="0.25">
      <c r="A415" s="59" t="s">
        <v>4287</v>
      </c>
      <c r="B415" s="19"/>
      <c r="C415" s="19"/>
      <c r="D415" s="19"/>
      <c r="E415" s="19"/>
      <c r="F415" s="19"/>
      <c r="G415" s="19"/>
      <c r="H415" s="19"/>
      <c r="I415" s="19">
        <v>389.62</v>
      </c>
      <c r="J415" s="19"/>
      <c r="K415" s="19"/>
      <c r="L415" s="19"/>
      <c r="M415" s="52">
        <f>SUM(Tabla2[[#This Row],[01. Alcaldía]:[11. Salud pública y seguridad ciudadana]])</f>
        <v>389.62</v>
      </c>
    </row>
    <row r="416" spans="1:13" ht="10.5" customHeight="1" x14ac:dyDescent="0.25">
      <c r="A416" s="59" t="s">
        <v>4641</v>
      </c>
      <c r="B416" s="19"/>
      <c r="C416" s="19"/>
      <c r="D416" s="19"/>
      <c r="E416" s="19"/>
      <c r="F416" s="19"/>
      <c r="G416" s="19">
        <v>87.72</v>
      </c>
      <c r="H416" s="19"/>
      <c r="I416" s="19"/>
      <c r="J416" s="19"/>
      <c r="K416" s="19"/>
      <c r="L416" s="19"/>
      <c r="M416" s="52">
        <f>SUM(Tabla2[[#This Row],[01. Alcaldía]:[11. Salud pública y seguridad ciudadana]])</f>
        <v>87.72</v>
      </c>
    </row>
    <row r="417" spans="1:13" ht="10.5" customHeight="1" x14ac:dyDescent="0.25">
      <c r="A417" s="59" t="s">
        <v>3667</v>
      </c>
      <c r="B417" s="19"/>
      <c r="C417" s="19"/>
      <c r="D417" s="19"/>
      <c r="E417" s="19"/>
      <c r="F417" s="19">
        <v>5808</v>
      </c>
      <c r="G417" s="19"/>
      <c r="H417" s="19"/>
      <c r="I417" s="19"/>
      <c r="J417" s="19"/>
      <c r="K417" s="19"/>
      <c r="L417" s="19"/>
      <c r="M417" s="52">
        <f>SUM(Tabla2[[#This Row],[01. Alcaldía]:[11. Salud pública y seguridad ciudadana]])</f>
        <v>5808</v>
      </c>
    </row>
    <row r="418" spans="1:13" ht="10.5" customHeight="1" x14ac:dyDescent="0.25">
      <c r="A418" s="59" t="s">
        <v>4119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>
        <v>999.46</v>
      </c>
      <c r="L418" s="19"/>
      <c r="M418" s="52">
        <f>SUM(Tabla2[[#This Row],[01. Alcaldía]:[11. Salud pública y seguridad ciudadana]])</f>
        <v>999.46</v>
      </c>
    </row>
    <row r="419" spans="1:13" ht="10.5" customHeight="1" x14ac:dyDescent="0.25">
      <c r="A419" s="59" t="s">
        <v>5790</v>
      </c>
      <c r="B419" s="19"/>
      <c r="C419" s="19">
        <v>21.78</v>
      </c>
      <c r="D419" s="19"/>
      <c r="E419" s="19"/>
      <c r="F419" s="19"/>
      <c r="G419" s="19"/>
      <c r="H419" s="19"/>
      <c r="I419" s="19">
        <v>4537.5</v>
      </c>
      <c r="J419" s="19"/>
      <c r="K419" s="19"/>
      <c r="L419" s="19"/>
      <c r="M419" s="52">
        <f>SUM(Tabla2[[#This Row],[01. Alcaldía]:[11. Salud pública y seguridad ciudadana]])</f>
        <v>4559.28</v>
      </c>
    </row>
    <row r="420" spans="1:13" ht="10.5" customHeight="1" x14ac:dyDescent="0.25">
      <c r="A420" s="59" t="s">
        <v>289</v>
      </c>
      <c r="B420" s="19"/>
      <c r="C420" s="19"/>
      <c r="D420" s="19"/>
      <c r="E420" s="19"/>
      <c r="F420" s="19"/>
      <c r="G420" s="19"/>
      <c r="H420" s="19">
        <v>5000</v>
      </c>
      <c r="I420" s="19"/>
      <c r="J420" s="19"/>
      <c r="K420" s="19"/>
      <c r="L420" s="19"/>
      <c r="M420" s="52">
        <f>SUM(Tabla2[[#This Row],[01. Alcaldía]:[11. Salud pública y seguridad ciudadana]])</f>
        <v>5000</v>
      </c>
    </row>
    <row r="421" spans="1:13" ht="10.5" customHeight="1" x14ac:dyDescent="0.25">
      <c r="A421" s="59" t="s">
        <v>5792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689.7</v>
      </c>
      <c r="L421" s="19"/>
      <c r="M421" s="52">
        <f>SUM(Tabla2[[#This Row],[01. Alcaldía]:[11. Salud pública y seguridad ciudadana]])</f>
        <v>689.7</v>
      </c>
    </row>
    <row r="422" spans="1:13" ht="10.5" customHeight="1" x14ac:dyDescent="0.25">
      <c r="A422" s="59" t="s">
        <v>100</v>
      </c>
      <c r="B422" s="19"/>
      <c r="C422" s="19"/>
      <c r="D422" s="19"/>
      <c r="E422" s="19"/>
      <c r="F422" s="19">
        <v>53.52</v>
      </c>
      <c r="G422" s="19"/>
      <c r="H422" s="19"/>
      <c r="I422" s="19"/>
      <c r="J422" s="19"/>
      <c r="K422" s="19"/>
      <c r="L422" s="19"/>
      <c r="M422" s="52">
        <f>SUM(Tabla2[[#This Row],[01. Alcaldía]:[11. Salud pública y seguridad ciudadana]])</f>
        <v>53.52</v>
      </c>
    </row>
    <row r="423" spans="1:13" ht="10.5" customHeight="1" x14ac:dyDescent="0.25">
      <c r="A423" s="59" t="s">
        <v>3760</v>
      </c>
      <c r="B423" s="19"/>
      <c r="C423" s="19"/>
      <c r="D423" s="19"/>
      <c r="E423" s="19"/>
      <c r="F423" s="19"/>
      <c r="G423" s="19">
        <v>3630</v>
      </c>
      <c r="H423" s="19"/>
      <c r="I423" s="19"/>
      <c r="J423" s="19"/>
      <c r="K423" s="19"/>
      <c r="L423" s="19"/>
      <c r="M423" s="52">
        <f>SUM(Tabla2[[#This Row],[01. Alcaldía]:[11. Salud pública y seguridad ciudadana]])</f>
        <v>3630</v>
      </c>
    </row>
    <row r="424" spans="1:13" ht="10.5" customHeight="1" x14ac:dyDescent="0.25">
      <c r="A424" s="59" t="s">
        <v>2664</v>
      </c>
      <c r="B424" s="19"/>
      <c r="C424" s="19">
        <v>7623</v>
      </c>
      <c r="D424" s="19">
        <v>9667.9</v>
      </c>
      <c r="E424" s="19"/>
      <c r="F424" s="19"/>
      <c r="G424" s="19"/>
      <c r="H424" s="19"/>
      <c r="I424" s="19"/>
      <c r="J424" s="19"/>
      <c r="K424" s="19"/>
      <c r="L424" s="19"/>
      <c r="M424" s="52">
        <f>SUM(Tabla2[[#This Row],[01. Alcaldía]:[11. Salud pública y seguridad ciudadana]])</f>
        <v>17290.900000000001</v>
      </c>
    </row>
    <row r="425" spans="1:13" ht="10.5" customHeight="1" x14ac:dyDescent="0.25">
      <c r="A425" s="59" t="s">
        <v>3857</v>
      </c>
      <c r="B425" s="19"/>
      <c r="C425" s="19"/>
      <c r="D425" s="19"/>
      <c r="E425" s="19"/>
      <c r="F425" s="19"/>
      <c r="G425" s="19">
        <v>2018.89</v>
      </c>
      <c r="H425" s="19"/>
      <c r="I425" s="19"/>
      <c r="J425" s="19"/>
      <c r="K425" s="19"/>
      <c r="L425" s="19"/>
      <c r="M425" s="52">
        <f>SUM(Tabla2[[#This Row],[01. Alcaldía]:[11. Salud pública y seguridad ciudadana]])</f>
        <v>2018.89</v>
      </c>
    </row>
    <row r="426" spans="1:13" ht="10.5" customHeight="1" x14ac:dyDescent="0.25">
      <c r="A426" s="59" t="s">
        <v>4381</v>
      </c>
      <c r="B426" s="19"/>
      <c r="C426" s="19"/>
      <c r="D426" s="19"/>
      <c r="E426" s="19"/>
      <c r="F426" s="19"/>
      <c r="G426" s="19"/>
      <c r="H426" s="19">
        <v>66.55</v>
      </c>
      <c r="I426" s="19"/>
      <c r="J426" s="19"/>
      <c r="K426" s="19"/>
      <c r="L426" s="19"/>
      <c r="M426" s="52">
        <f>SUM(Tabla2[[#This Row],[01. Alcaldía]:[11. Salud pública y seguridad ciudadana]])</f>
        <v>66.55</v>
      </c>
    </row>
    <row r="427" spans="1:13" ht="10.5" customHeight="1" x14ac:dyDescent="0.25">
      <c r="A427" s="59" t="s">
        <v>5576</v>
      </c>
      <c r="B427" s="19"/>
      <c r="C427" s="19"/>
      <c r="D427" s="19"/>
      <c r="E427" s="19"/>
      <c r="F427" s="19"/>
      <c r="G427" s="19">
        <v>484</v>
      </c>
      <c r="H427" s="19"/>
      <c r="I427" s="19"/>
      <c r="J427" s="19"/>
      <c r="K427" s="19"/>
      <c r="L427" s="19"/>
      <c r="M427" s="52">
        <f>SUM(Tabla2[[#This Row],[01. Alcaldía]:[11. Salud pública y seguridad ciudadana]])</f>
        <v>484</v>
      </c>
    </row>
    <row r="428" spans="1:13" ht="10.5" customHeight="1" x14ac:dyDescent="0.25">
      <c r="A428" s="59" t="s">
        <v>4409</v>
      </c>
      <c r="B428" s="19">
        <v>568.70000000000005</v>
      </c>
      <c r="C428" s="19"/>
      <c r="D428" s="19"/>
      <c r="E428" s="19"/>
      <c r="F428" s="19">
        <v>1706.1</v>
      </c>
      <c r="G428" s="19"/>
      <c r="H428" s="19"/>
      <c r="I428" s="19"/>
      <c r="J428" s="19"/>
      <c r="K428" s="19"/>
      <c r="L428" s="19"/>
      <c r="M428" s="52">
        <f>SUM(Tabla2[[#This Row],[01. Alcaldía]:[11. Salud pública y seguridad ciudadana]])</f>
        <v>2274.8000000000002</v>
      </c>
    </row>
    <row r="429" spans="1:13" ht="10.5" customHeight="1" x14ac:dyDescent="0.25">
      <c r="A429" s="59" t="s">
        <v>5806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>
        <v>1694</v>
      </c>
      <c r="L429" s="19"/>
      <c r="M429" s="52">
        <f>SUM(Tabla2[[#This Row],[01. Alcaldía]:[11. Salud pública y seguridad ciudadana]])</f>
        <v>1694</v>
      </c>
    </row>
    <row r="430" spans="1:13" ht="10.5" customHeight="1" x14ac:dyDescent="0.25">
      <c r="A430" s="59" t="s">
        <v>81</v>
      </c>
      <c r="B430" s="19"/>
      <c r="C430" s="19"/>
      <c r="D430" s="19">
        <v>1214.8399999999999</v>
      </c>
      <c r="E430" s="19"/>
      <c r="F430" s="19"/>
      <c r="G430" s="19">
        <v>2300</v>
      </c>
      <c r="H430" s="19"/>
      <c r="I430" s="19"/>
      <c r="J430" s="19">
        <v>471.9</v>
      </c>
      <c r="K430" s="19">
        <v>130.68</v>
      </c>
      <c r="L430" s="19">
        <v>550.54999999999995</v>
      </c>
      <c r="M430" s="52">
        <f>SUM(Tabla2[[#This Row],[01. Alcaldía]:[11. Salud pública y seguridad ciudadana]])</f>
        <v>4667.97</v>
      </c>
    </row>
    <row r="431" spans="1:13" ht="10.5" customHeight="1" x14ac:dyDescent="0.25">
      <c r="A431" s="59" t="s">
        <v>3508</v>
      </c>
      <c r="B431" s="19"/>
      <c r="C431" s="19">
        <v>17652.689999999999</v>
      </c>
      <c r="D431" s="19"/>
      <c r="E431" s="19"/>
      <c r="F431" s="19"/>
      <c r="G431" s="19"/>
      <c r="H431" s="19"/>
      <c r="I431" s="19"/>
      <c r="J431" s="19"/>
      <c r="K431" s="19"/>
      <c r="L431" s="19"/>
      <c r="M431" s="52">
        <f>SUM(Tabla2[[#This Row],[01. Alcaldía]:[11. Salud pública y seguridad ciudadana]])</f>
        <v>17652.689999999999</v>
      </c>
    </row>
    <row r="432" spans="1:13" ht="10.5" customHeight="1" x14ac:dyDescent="0.25">
      <c r="A432" s="59" t="s">
        <v>2373</v>
      </c>
      <c r="B432" s="19"/>
      <c r="C432" s="19"/>
      <c r="D432" s="19">
        <v>267.41000000000003</v>
      </c>
      <c r="E432" s="19"/>
      <c r="F432" s="19"/>
      <c r="G432" s="19">
        <v>497.27</v>
      </c>
      <c r="H432" s="19"/>
      <c r="I432" s="19"/>
      <c r="J432" s="19"/>
      <c r="K432" s="19"/>
      <c r="L432" s="19"/>
      <c r="M432" s="52">
        <f>SUM(Tabla2[[#This Row],[01. Alcaldía]:[11. Salud pública y seguridad ciudadana]])</f>
        <v>764.68000000000006</v>
      </c>
    </row>
    <row r="433" spans="1:13" ht="10.5" customHeight="1" x14ac:dyDescent="0.25">
      <c r="A433" s="59" t="s">
        <v>77</v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>
        <v>1410</v>
      </c>
      <c r="M433" s="52">
        <f>SUM(Tabla2[[#This Row],[01. Alcaldía]:[11. Salud pública y seguridad ciudadana]])</f>
        <v>1410</v>
      </c>
    </row>
    <row r="434" spans="1:13" ht="10.5" customHeight="1" x14ac:dyDescent="0.25">
      <c r="A434" s="59" t="s">
        <v>2843</v>
      </c>
      <c r="B434" s="19"/>
      <c r="C434" s="19"/>
      <c r="D434" s="19"/>
      <c r="E434" s="19"/>
      <c r="F434" s="19"/>
      <c r="G434" s="19">
        <v>4369.3900000000003</v>
      </c>
      <c r="H434" s="19"/>
      <c r="I434" s="19"/>
      <c r="J434" s="19"/>
      <c r="K434" s="19"/>
      <c r="L434" s="19"/>
      <c r="M434" s="52">
        <f>SUM(Tabla2[[#This Row],[01. Alcaldía]:[11. Salud pública y seguridad ciudadana]])</f>
        <v>4369.3900000000003</v>
      </c>
    </row>
    <row r="435" spans="1:13" ht="10.5" customHeight="1" x14ac:dyDescent="0.25">
      <c r="A435" s="59" t="s">
        <v>4466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>
        <v>670</v>
      </c>
      <c r="L435" s="19"/>
      <c r="M435" s="52">
        <f>SUM(Tabla2[[#This Row],[01. Alcaldía]:[11. Salud pública y seguridad ciudadana]])</f>
        <v>670</v>
      </c>
    </row>
    <row r="436" spans="1:13" ht="10.5" customHeight="1" x14ac:dyDescent="0.25">
      <c r="A436" s="59" t="s">
        <v>2859</v>
      </c>
      <c r="B436" s="19"/>
      <c r="C436" s="19"/>
      <c r="D436" s="19"/>
      <c r="E436" s="19"/>
      <c r="F436" s="19">
        <v>5000</v>
      </c>
      <c r="G436" s="19"/>
      <c r="H436" s="19"/>
      <c r="I436" s="19"/>
      <c r="J436" s="19"/>
      <c r="K436" s="19"/>
      <c r="L436" s="19"/>
      <c r="M436" s="52">
        <f>SUM(Tabla2[[#This Row],[01. Alcaldía]:[11. Salud pública y seguridad ciudadana]])</f>
        <v>5000</v>
      </c>
    </row>
    <row r="437" spans="1:13" ht="10.5" customHeight="1" x14ac:dyDescent="0.25">
      <c r="A437" s="59" t="s">
        <v>2757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2730</v>
      </c>
      <c r="M437" s="52">
        <f>SUM(Tabla2[[#This Row],[01. Alcaldía]:[11. Salud pública y seguridad ciudadana]])</f>
        <v>2730</v>
      </c>
    </row>
    <row r="438" spans="1:13" ht="10.5" customHeight="1" x14ac:dyDescent="0.25">
      <c r="A438" s="59" t="s">
        <v>3912</v>
      </c>
      <c r="B438" s="19"/>
      <c r="C438" s="19"/>
      <c r="D438" s="19"/>
      <c r="E438" s="19"/>
      <c r="F438" s="19"/>
      <c r="G438" s="19">
        <v>1500</v>
      </c>
      <c r="H438" s="19"/>
      <c r="I438" s="19"/>
      <c r="J438" s="19"/>
      <c r="K438" s="19"/>
      <c r="L438" s="19"/>
      <c r="M438" s="52">
        <f>SUM(Tabla2[[#This Row],[01. Alcaldía]:[11. Salud pública y seguridad ciudadana]])</f>
        <v>1500</v>
      </c>
    </row>
    <row r="439" spans="1:13" ht="10.5" customHeight="1" x14ac:dyDescent="0.25">
      <c r="A439" s="59" t="s">
        <v>651</v>
      </c>
      <c r="B439" s="19"/>
      <c r="C439" s="19"/>
      <c r="D439" s="19"/>
      <c r="E439" s="19"/>
      <c r="F439" s="19"/>
      <c r="G439" s="19">
        <v>13934.43</v>
      </c>
      <c r="H439" s="19"/>
      <c r="I439" s="19"/>
      <c r="J439" s="19"/>
      <c r="K439" s="19"/>
      <c r="L439" s="19"/>
      <c r="M439" s="52">
        <f>SUM(Tabla2[[#This Row],[01. Alcaldía]:[11. Salud pública y seguridad ciudadana]])</f>
        <v>13934.43</v>
      </c>
    </row>
    <row r="440" spans="1:13" ht="10.5" customHeight="1" x14ac:dyDescent="0.25">
      <c r="A440" s="59" t="s">
        <v>152</v>
      </c>
      <c r="B440" s="19"/>
      <c r="C440" s="19"/>
      <c r="D440" s="19">
        <v>19908.25</v>
      </c>
      <c r="E440" s="19"/>
      <c r="F440" s="19"/>
      <c r="G440" s="19"/>
      <c r="H440" s="19"/>
      <c r="I440" s="19"/>
      <c r="J440" s="19"/>
      <c r="K440" s="19"/>
      <c r="L440" s="19"/>
      <c r="M440" s="52">
        <f>SUM(Tabla2[[#This Row],[01. Alcaldía]:[11. Salud pública y seguridad ciudadana]])</f>
        <v>19908.25</v>
      </c>
    </row>
    <row r="441" spans="1:13" ht="10.5" customHeight="1" x14ac:dyDescent="0.25">
      <c r="A441" s="59" t="s">
        <v>2830</v>
      </c>
      <c r="B441" s="19"/>
      <c r="C441" s="19"/>
      <c r="D441" s="19"/>
      <c r="E441" s="19"/>
      <c r="F441" s="19">
        <v>4174.5</v>
      </c>
      <c r="G441" s="19"/>
      <c r="H441" s="19"/>
      <c r="I441" s="19"/>
      <c r="J441" s="19"/>
      <c r="K441" s="19"/>
      <c r="L441" s="19"/>
      <c r="M441" s="52">
        <f>SUM(Tabla2[[#This Row],[01. Alcaldía]:[11. Salud pública y seguridad ciudadana]])</f>
        <v>4174.5</v>
      </c>
    </row>
    <row r="442" spans="1:13" ht="10.5" customHeight="1" x14ac:dyDescent="0.25">
      <c r="A442" s="59" t="s">
        <v>5827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76.599999999999994</v>
      </c>
      <c r="M442" s="52">
        <f>SUM(Tabla2[[#This Row],[01. Alcaldía]:[11. Salud pública y seguridad ciudadana]])</f>
        <v>76.599999999999994</v>
      </c>
    </row>
    <row r="443" spans="1:13" ht="10.5" customHeight="1" x14ac:dyDescent="0.25">
      <c r="A443" s="59" t="s">
        <v>2367</v>
      </c>
      <c r="B443" s="19"/>
      <c r="C443" s="19"/>
      <c r="D443" s="19"/>
      <c r="E443" s="19"/>
      <c r="F443" s="19"/>
      <c r="G443" s="19">
        <v>1495.56</v>
      </c>
      <c r="H443" s="19"/>
      <c r="I443" s="19"/>
      <c r="J443" s="19"/>
      <c r="K443" s="19"/>
      <c r="L443" s="19"/>
      <c r="M443" s="52">
        <f>SUM(Tabla2[[#This Row],[01. Alcaldía]:[11. Salud pública y seguridad ciudadana]])</f>
        <v>1495.56</v>
      </c>
    </row>
    <row r="444" spans="1:13" ht="10.5" customHeight="1" x14ac:dyDescent="0.25">
      <c r="A444" s="59" t="s">
        <v>5829</v>
      </c>
      <c r="B444" s="19"/>
      <c r="C444" s="19"/>
      <c r="D444" s="19"/>
      <c r="E444" s="19"/>
      <c r="F444" s="19"/>
      <c r="G444" s="19"/>
      <c r="H444" s="19">
        <v>429.55</v>
      </c>
      <c r="I444" s="19"/>
      <c r="J444" s="19"/>
      <c r="K444" s="19"/>
      <c r="L444" s="19"/>
      <c r="M444" s="52">
        <f>SUM(Tabla2[[#This Row],[01. Alcaldía]:[11. Salud pública y seguridad ciudadana]])</f>
        <v>429.55</v>
      </c>
    </row>
    <row r="445" spans="1:13" ht="10.5" customHeight="1" x14ac:dyDescent="0.25">
      <c r="A445" s="59" t="s">
        <v>58</v>
      </c>
      <c r="B445" s="19"/>
      <c r="C445" s="19"/>
      <c r="D445" s="19">
        <v>89.54</v>
      </c>
      <c r="E445" s="19"/>
      <c r="F445" s="19"/>
      <c r="G445" s="19">
        <v>58.08</v>
      </c>
      <c r="H445" s="19">
        <v>1045.44</v>
      </c>
      <c r="I445" s="19"/>
      <c r="J445" s="19"/>
      <c r="K445" s="19"/>
      <c r="L445" s="19"/>
      <c r="M445" s="52">
        <f>SUM(Tabla2[[#This Row],[01. Alcaldía]:[11. Salud pública y seguridad ciudadana]])</f>
        <v>1193.06</v>
      </c>
    </row>
    <row r="446" spans="1:13" ht="10.5" customHeight="1" x14ac:dyDescent="0.25">
      <c r="A446" s="59" t="s">
        <v>1972</v>
      </c>
      <c r="B446" s="19"/>
      <c r="C446" s="19"/>
      <c r="D446" s="19">
        <v>673.97</v>
      </c>
      <c r="E446" s="19"/>
      <c r="F446" s="19"/>
      <c r="G446" s="19"/>
      <c r="H446" s="19"/>
      <c r="I446" s="19"/>
      <c r="J446" s="19"/>
      <c r="K446" s="19"/>
      <c r="L446" s="19"/>
      <c r="M446" s="52">
        <f>SUM(Tabla2[[#This Row],[01. Alcaldía]:[11. Salud pública y seguridad ciudadana]])</f>
        <v>673.97</v>
      </c>
    </row>
    <row r="447" spans="1:13" ht="10.5" customHeight="1" x14ac:dyDescent="0.25">
      <c r="A447" s="59" t="s">
        <v>4081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>
        <v>1880.3400000000001</v>
      </c>
      <c r="L447" s="19"/>
      <c r="M447" s="52">
        <f>SUM(Tabla2[[#This Row],[01. Alcaldía]:[11. Salud pública y seguridad ciudadana]])</f>
        <v>1880.3400000000001</v>
      </c>
    </row>
    <row r="448" spans="1:13" ht="10.5" customHeight="1" x14ac:dyDescent="0.25">
      <c r="A448" s="59" t="s">
        <v>88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>
        <v>500</v>
      </c>
      <c r="M448" s="52">
        <f>SUM(Tabla2[[#This Row],[01. Alcaldía]:[11. Salud pública y seguridad ciudadana]])</f>
        <v>500</v>
      </c>
    </row>
    <row r="449" spans="1:13" ht="10.5" customHeight="1" x14ac:dyDescent="0.25">
      <c r="A449" s="59" t="s">
        <v>720</v>
      </c>
      <c r="B449" s="19"/>
      <c r="C449" s="19"/>
      <c r="D449" s="19"/>
      <c r="E449" s="19"/>
      <c r="F449" s="19"/>
      <c r="G449" s="19"/>
      <c r="H449" s="19">
        <v>3049.2</v>
      </c>
      <c r="I449" s="19"/>
      <c r="J449" s="19"/>
      <c r="K449" s="19"/>
      <c r="L449" s="19"/>
      <c r="M449" s="52">
        <f>SUM(Tabla2[[#This Row],[01. Alcaldía]:[11. Salud pública y seguridad ciudadana]])</f>
        <v>3049.2</v>
      </c>
    </row>
    <row r="450" spans="1:13" ht="10.5" customHeight="1" x14ac:dyDescent="0.25">
      <c r="A450" s="59" t="s">
        <v>4443</v>
      </c>
      <c r="B450" s="19"/>
      <c r="C450" s="19"/>
      <c r="D450" s="19"/>
      <c r="E450" s="19"/>
      <c r="F450" s="19">
        <v>217.8</v>
      </c>
      <c r="G450" s="19"/>
      <c r="H450" s="19"/>
      <c r="I450" s="19"/>
      <c r="J450" s="19"/>
      <c r="K450" s="19"/>
      <c r="L450" s="19"/>
      <c r="M450" s="52">
        <f>SUM(Tabla2[[#This Row],[01. Alcaldía]:[11. Salud pública y seguridad ciudadana]])</f>
        <v>217.8</v>
      </c>
    </row>
    <row r="451" spans="1:13" ht="10.5" customHeight="1" x14ac:dyDescent="0.25">
      <c r="A451" s="59" t="s">
        <v>181</v>
      </c>
      <c r="B451" s="19"/>
      <c r="C451" s="19"/>
      <c r="D451" s="19"/>
      <c r="E451" s="19"/>
      <c r="F451" s="19"/>
      <c r="G451" s="19">
        <v>3180.28</v>
      </c>
      <c r="H451" s="19"/>
      <c r="I451" s="19"/>
      <c r="J451" s="19"/>
      <c r="K451" s="19"/>
      <c r="L451" s="19"/>
      <c r="M451" s="52">
        <f>SUM(Tabla2[[#This Row],[01. Alcaldía]:[11. Salud pública y seguridad ciudadana]])</f>
        <v>3180.28</v>
      </c>
    </row>
    <row r="452" spans="1:13" ht="10.5" customHeight="1" x14ac:dyDescent="0.25">
      <c r="A452" s="59" t="s">
        <v>3707</v>
      </c>
      <c r="B452" s="19"/>
      <c r="C452" s="19">
        <v>4434.6499999999996</v>
      </c>
      <c r="D452" s="19"/>
      <c r="E452" s="19"/>
      <c r="F452" s="19"/>
      <c r="G452" s="19"/>
      <c r="H452" s="19"/>
      <c r="I452" s="19"/>
      <c r="J452" s="19"/>
      <c r="K452" s="19"/>
      <c r="L452" s="19"/>
      <c r="M452" s="52">
        <f>SUM(Tabla2[[#This Row],[01. Alcaldía]:[11. Salud pública y seguridad ciudadana]])</f>
        <v>4434.6499999999996</v>
      </c>
    </row>
    <row r="453" spans="1:13" ht="10.5" customHeight="1" x14ac:dyDescent="0.25">
      <c r="A453" s="59" t="s">
        <v>4717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50.82</v>
      </c>
      <c r="M453" s="52">
        <f>SUM(Tabla2[[#This Row],[01. Alcaldía]:[11. Salud pública y seguridad ciudadana]])</f>
        <v>50.82</v>
      </c>
    </row>
    <row r="454" spans="1:13" ht="10.5" customHeight="1" x14ac:dyDescent="0.25">
      <c r="A454" s="59" t="s">
        <v>5602</v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>
        <v>362.4</v>
      </c>
      <c r="L454" s="19"/>
      <c r="M454" s="52">
        <f>SUM(Tabla2[[#This Row],[01. Alcaldía]:[11. Salud pública y seguridad ciudadana]])</f>
        <v>362.4</v>
      </c>
    </row>
    <row r="455" spans="1:13" ht="10.5" customHeight="1" x14ac:dyDescent="0.25">
      <c r="A455" s="59" t="s">
        <v>5082</v>
      </c>
      <c r="B455" s="19"/>
      <c r="C455" s="19"/>
      <c r="D455" s="19"/>
      <c r="E455" s="19"/>
      <c r="F455" s="19"/>
      <c r="G455" s="19"/>
      <c r="H455" s="19"/>
      <c r="I455" s="19"/>
      <c r="J455" s="19">
        <v>7139</v>
      </c>
      <c r="K455" s="19"/>
      <c r="L455" s="19"/>
      <c r="M455" s="52">
        <f>SUM(Tabla2[[#This Row],[01. Alcaldía]:[11. Salud pública y seguridad ciudadana]])</f>
        <v>7139</v>
      </c>
    </row>
    <row r="456" spans="1:13" ht="10.5" customHeight="1" x14ac:dyDescent="0.25">
      <c r="A456" s="59" t="s">
        <v>168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260.2</v>
      </c>
      <c r="M456" s="52">
        <f>SUM(Tabla2[[#This Row],[01. Alcaldía]:[11. Salud pública y seguridad ciudadana]])</f>
        <v>260.2</v>
      </c>
    </row>
    <row r="457" spans="1:13" ht="10.5" customHeight="1" x14ac:dyDescent="0.25">
      <c r="A457" s="59" t="s">
        <v>2557</v>
      </c>
      <c r="B457" s="19"/>
      <c r="C457" s="19"/>
      <c r="D457" s="19"/>
      <c r="E457" s="19"/>
      <c r="F457" s="19">
        <v>1210</v>
      </c>
      <c r="G457" s="19"/>
      <c r="H457" s="19"/>
      <c r="I457" s="19"/>
      <c r="J457" s="19"/>
      <c r="K457" s="19"/>
      <c r="L457" s="19"/>
      <c r="M457" s="52">
        <f>SUM(Tabla2[[#This Row],[01. Alcaldía]:[11. Salud pública y seguridad ciudadana]])</f>
        <v>1210</v>
      </c>
    </row>
    <row r="458" spans="1:13" ht="10.5" customHeight="1" x14ac:dyDescent="0.25">
      <c r="A458" s="59" t="s">
        <v>4007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1056.33</v>
      </c>
      <c r="L458" s="19"/>
      <c r="M458" s="52">
        <f>SUM(Tabla2[[#This Row],[01. Alcaldía]:[11. Salud pública y seguridad ciudadana]])</f>
        <v>1056.33</v>
      </c>
    </row>
    <row r="459" spans="1:13" ht="10.5" customHeight="1" x14ac:dyDescent="0.25">
      <c r="A459" s="59" t="s">
        <v>773</v>
      </c>
      <c r="B459" s="19"/>
      <c r="C459" s="19"/>
      <c r="D459" s="19">
        <v>6050</v>
      </c>
      <c r="E459" s="19"/>
      <c r="F459" s="19"/>
      <c r="G459" s="19"/>
      <c r="H459" s="19"/>
      <c r="I459" s="19"/>
      <c r="J459" s="19"/>
      <c r="K459" s="19"/>
      <c r="L459" s="19"/>
      <c r="M459" s="52">
        <f>SUM(Tabla2[[#This Row],[01. Alcaldía]:[11. Salud pública y seguridad ciudadana]])</f>
        <v>6050</v>
      </c>
    </row>
    <row r="460" spans="1:13" ht="10.5" customHeight="1" x14ac:dyDescent="0.25">
      <c r="A460" s="59" t="s">
        <v>111</v>
      </c>
      <c r="B460" s="19"/>
      <c r="C460" s="19"/>
      <c r="D460" s="19"/>
      <c r="E460" s="19"/>
      <c r="F460" s="19">
        <v>5808</v>
      </c>
      <c r="G460" s="19"/>
      <c r="H460" s="19"/>
      <c r="I460" s="19"/>
      <c r="J460" s="19"/>
      <c r="K460" s="19"/>
      <c r="L460" s="19">
        <v>2000</v>
      </c>
      <c r="M460" s="52">
        <f>SUM(Tabla2[[#This Row],[01. Alcaldía]:[11. Salud pública y seguridad ciudadana]])</f>
        <v>7808</v>
      </c>
    </row>
    <row r="461" spans="1:13" ht="10.5" customHeight="1" x14ac:dyDescent="0.25">
      <c r="A461" s="59" t="s">
        <v>4541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>
        <v>140</v>
      </c>
      <c r="L461" s="19"/>
      <c r="M461" s="52">
        <f>SUM(Tabla2[[#This Row],[01. Alcaldía]:[11. Salud pública y seguridad ciudadana]])</f>
        <v>140</v>
      </c>
    </row>
    <row r="462" spans="1:13" ht="10.5" customHeight="1" x14ac:dyDescent="0.25">
      <c r="A462" s="59" t="s">
        <v>3919</v>
      </c>
      <c r="B462" s="19"/>
      <c r="C462" s="19">
        <v>1452</v>
      </c>
      <c r="D462" s="19"/>
      <c r="E462" s="19"/>
      <c r="F462" s="19"/>
      <c r="G462" s="19"/>
      <c r="H462" s="19"/>
      <c r="I462" s="19"/>
      <c r="J462" s="19"/>
      <c r="K462" s="19"/>
      <c r="L462" s="19"/>
      <c r="M462" s="52">
        <f>SUM(Tabla2[[#This Row],[01. Alcaldía]:[11. Salud pública y seguridad ciudadana]])</f>
        <v>1452</v>
      </c>
    </row>
    <row r="463" spans="1:13" ht="10.5" customHeight="1" x14ac:dyDescent="0.25">
      <c r="A463" s="59" t="s">
        <v>2356</v>
      </c>
      <c r="B463" s="19">
        <v>8336.9</v>
      </c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52">
        <f>SUM(Tabla2[[#This Row],[01. Alcaldía]:[11. Salud pública y seguridad ciudadana]])</f>
        <v>8336.9</v>
      </c>
    </row>
    <row r="464" spans="1:13" ht="10.5" customHeight="1" x14ac:dyDescent="0.25">
      <c r="A464" s="59" t="s">
        <v>4025</v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>
        <v>1000</v>
      </c>
      <c r="M464" s="52">
        <f>SUM(Tabla2[[#This Row],[01. Alcaldía]:[11. Salud pública y seguridad ciudadana]])</f>
        <v>1000</v>
      </c>
    </row>
    <row r="465" spans="1:13" ht="10.5" customHeight="1" x14ac:dyDescent="0.25">
      <c r="A465" s="59" t="s">
        <v>3699</v>
      </c>
      <c r="B465" s="19">
        <v>158.63</v>
      </c>
      <c r="C465" s="19"/>
      <c r="D465" s="19"/>
      <c r="E465" s="19"/>
      <c r="F465" s="19">
        <v>4773.45</v>
      </c>
      <c r="G465" s="19"/>
      <c r="H465" s="19"/>
      <c r="I465" s="19"/>
      <c r="J465" s="19"/>
      <c r="K465" s="19"/>
      <c r="L465" s="19"/>
      <c r="M465" s="52">
        <f>SUM(Tabla2[[#This Row],[01. Alcaldía]:[11. Salud pública y seguridad ciudadana]])</f>
        <v>4932.08</v>
      </c>
    </row>
    <row r="466" spans="1:13" ht="10.5" customHeight="1" x14ac:dyDescent="0.25">
      <c r="A466" s="59" t="s">
        <v>4228</v>
      </c>
      <c r="B466" s="19"/>
      <c r="C466" s="19"/>
      <c r="D466" s="19">
        <v>484</v>
      </c>
      <c r="E466" s="19"/>
      <c r="F466" s="19"/>
      <c r="G466" s="19"/>
      <c r="H466" s="19"/>
      <c r="I466" s="19"/>
      <c r="J466" s="19"/>
      <c r="K466" s="19"/>
      <c r="L466" s="19"/>
      <c r="M466" s="52">
        <f>SUM(Tabla2[[#This Row],[01. Alcaldía]:[11. Salud pública y seguridad ciudadana]])</f>
        <v>484</v>
      </c>
    </row>
    <row r="467" spans="1:13" ht="10.5" customHeight="1" x14ac:dyDescent="0.25">
      <c r="A467" s="59" t="s">
        <v>2191</v>
      </c>
      <c r="B467" s="19"/>
      <c r="C467" s="19"/>
      <c r="D467" s="19"/>
      <c r="E467" s="19"/>
      <c r="F467" s="19">
        <v>2597.5</v>
      </c>
      <c r="G467" s="19"/>
      <c r="H467" s="19"/>
      <c r="I467" s="19"/>
      <c r="J467" s="19"/>
      <c r="K467" s="19"/>
      <c r="L467" s="19"/>
      <c r="M467" s="52">
        <f>SUM(Tabla2[[#This Row],[01. Alcaldía]:[11. Salud pública y seguridad ciudadana]])</f>
        <v>2597.5</v>
      </c>
    </row>
    <row r="468" spans="1:13" ht="10.5" customHeight="1" x14ac:dyDescent="0.25">
      <c r="A468" s="59" t="s">
        <v>2571</v>
      </c>
      <c r="B468" s="19"/>
      <c r="C468" s="19"/>
      <c r="D468" s="19"/>
      <c r="E468" s="19"/>
      <c r="F468" s="19">
        <v>1391.5</v>
      </c>
      <c r="G468" s="19"/>
      <c r="H468" s="19"/>
      <c r="I468" s="19"/>
      <c r="J468" s="19">
        <v>4598</v>
      </c>
      <c r="K468" s="19"/>
      <c r="L468" s="19"/>
      <c r="M468" s="52">
        <f>SUM(Tabla2[[#This Row],[01. Alcaldía]:[11. Salud pública y seguridad ciudadana]])</f>
        <v>5989.5</v>
      </c>
    </row>
    <row r="469" spans="1:13" ht="10.5" customHeight="1" x14ac:dyDescent="0.25">
      <c r="A469" s="59" t="s">
        <v>74</v>
      </c>
      <c r="B469" s="19"/>
      <c r="C469" s="19"/>
      <c r="D469" s="19"/>
      <c r="E469" s="19">
        <v>11674.08</v>
      </c>
      <c r="F469" s="19"/>
      <c r="G469" s="19"/>
      <c r="H469" s="19"/>
      <c r="I469" s="19"/>
      <c r="J469" s="19"/>
      <c r="K469" s="19"/>
      <c r="L469" s="19"/>
      <c r="M469" s="52">
        <f>SUM(Tabla2[[#This Row],[01. Alcaldía]:[11. Salud pública y seguridad ciudadana]])</f>
        <v>11674.08</v>
      </c>
    </row>
    <row r="470" spans="1:13" ht="10.5" customHeight="1" x14ac:dyDescent="0.25">
      <c r="A470" s="59" t="s">
        <v>262</v>
      </c>
      <c r="B470" s="19">
        <v>1000.14</v>
      </c>
      <c r="C470" s="19"/>
      <c r="D470" s="19"/>
      <c r="E470" s="19"/>
      <c r="F470" s="19"/>
      <c r="G470" s="19"/>
      <c r="H470" s="19"/>
      <c r="I470" s="19"/>
      <c r="J470" s="19"/>
      <c r="K470" s="19"/>
      <c r="L470" s="19">
        <v>9011.0399999999991</v>
      </c>
      <c r="M470" s="52">
        <f>SUM(Tabla2[[#This Row],[01. Alcaldía]:[11. Salud pública y seguridad ciudadana]])</f>
        <v>10011.179999999998</v>
      </c>
    </row>
    <row r="471" spans="1:13" ht="10.5" customHeight="1" x14ac:dyDescent="0.25">
      <c r="A471" s="59" t="s">
        <v>2852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5727</v>
      </c>
      <c r="M471" s="52">
        <f>SUM(Tabla2[[#This Row],[01. Alcaldía]:[11. Salud pública y seguridad ciudadana]])</f>
        <v>5727</v>
      </c>
    </row>
    <row r="472" spans="1:13" ht="10.5" customHeight="1" x14ac:dyDescent="0.25">
      <c r="A472" s="59" t="s">
        <v>108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>
        <v>7000</v>
      </c>
      <c r="M472" s="52">
        <f>SUM(Tabla2[[#This Row],[01. Alcaldía]:[11. Salud pública y seguridad ciudadana]])</f>
        <v>7000</v>
      </c>
    </row>
    <row r="473" spans="1:13" ht="10.5" customHeight="1" x14ac:dyDescent="0.25">
      <c r="A473" s="59" t="s">
        <v>3232</v>
      </c>
      <c r="B473" s="19"/>
      <c r="C473" s="19">
        <v>1113.2</v>
      </c>
      <c r="D473" s="19"/>
      <c r="E473" s="19"/>
      <c r="F473" s="19"/>
      <c r="G473" s="19"/>
      <c r="H473" s="19"/>
      <c r="I473" s="19"/>
      <c r="J473" s="19"/>
      <c r="K473" s="19"/>
      <c r="L473" s="19"/>
      <c r="M473" s="52">
        <f>SUM(Tabla2[[#This Row],[01. Alcaldía]:[11. Salud pública y seguridad ciudadana]])</f>
        <v>1113.2</v>
      </c>
    </row>
    <row r="474" spans="1:13" ht="10.5" customHeight="1" x14ac:dyDescent="0.25">
      <c r="A474" s="59" t="s">
        <v>4143</v>
      </c>
      <c r="B474" s="19">
        <v>487.63</v>
      </c>
      <c r="C474" s="19"/>
      <c r="D474" s="19"/>
      <c r="E474" s="19"/>
      <c r="F474" s="19"/>
      <c r="G474" s="19"/>
      <c r="H474" s="19"/>
      <c r="I474" s="19">
        <v>1480.53</v>
      </c>
      <c r="J474" s="19"/>
      <c r="K474" s="19"/>
      <c r="L474" s="19"/>
      <c r="M474" s="52">
        <f>SUM(Tabla2[[#This Row],[01. Alcaldía]:[11. Salud pública y seguridad ciudadana]])</f>
        <v>1968.1599999999999</v>
      </c>
    </row>
    <row r="475" spans="1:13" ht="10.5" customHeight="1" x14ac:dyDescent="0.25">
      <c r="A475" s="59" t="s">
        <v>591</v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>
        <v>3005.64</v>
      </c>
      <c r="M475" s="52">
        <f>SUM(Tabla2[[#This Row],[01. Alcaldía]:[11. Salud pública y seguridad ciudadana]])</f>
        <v>3005.64</v>
      </c>
    </row>
    <row r="476" spans="1:13" ht="10.5" customHeight="1" x14ac:dyDescent="0.25">
      <c r="A476" s="59" t="s">
        <v>2526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>
        <v>5180.6100000000006</v>
      </c>
      <c r="L476" s="19"/>
      <c r="M476" s="52">
        <f>SUM(Tabla2[[#This Row],[01. Alcaldía]:[11. Salud pública y seguridad ciudadana]])</f>
        <v>5180.6100000000006</v>
      </c>
    </row>
    <row r="477" spans="1:13" ht="10.5" customHeight="1" x14ac:dyDescent="0.25">
      <c r="A477" s="59" t="s">
        <v>3227</v>
      </c>
      <c r="B477" s="19"/>
      <c r="C477" s="19"/>
      <c r="D477" s="19"/>
      <c r="E477" s="19"/>
      <c r="F477" s="19">
        <v>17908</v>
      </c>
      <c r="G477" s="19"/>
      <c r="H477" s="19"/>
      <c r="I477" s="19"/>
      <c r="J477" s="19"/>
      <c r="K477" s="19"/>
      <c r="L477" s="19"/>
      <c r="M477" s="52">
        <f>SUM(Tabla2[[#This Row],[01. Alcaldía]:[11. Salud pública y seguridad ciudadana]])</f>
        <v>17908</v>
      </c>
    </row>
    <row r="478" spans="1:13" ht="10.5" customHeight="1" x14ac:dyDescent="0.25">
      <c r="A478" s="59" t="s">
        <v>51</v>
      </c>
      <c r="B478" s="19"/>
      <c r="C478" s="19">
        <v>17712.099999999999</v>
      </c>
      <c r="D478" s="19">
        <v>2599.08</v>
      </c>
      <c r="E478" s="19"/>
      <c r="F478" s="19"/>
      <c r="G478" s="19"/>
      <c r="H478" s="19">
        <v>5000</v>
      </c>
      <c r="I478" s="19"/>
      <c r="J478" s="19"/>
      <c r="K478" s="19"/>
      <c r="L478" s="19"/>
      <c r="M478" s="52">
        <f>SUM(Tabla2[[#This Row],[01. Alcaldía]:[11. Salud pública y seguridad ciudadana]])</f>
        <v>25311.18</v>
      </c>
    </row>
    <row r="479" spans="1:13" ht="10.5" customHeight="1" x14ac:dyDescent="0.25">
      <c r="A479" s="62" t="s">
        <v>59</v>
      </c>
      <c r="B479" s="19"/>
      <c r="C479" s="19"/>
      <c r="D479" s="19"/>
      <c r="E479" s="19">
        <v>895.4</v>
      </c>
      <c r="F479" s="19">
        <v>5098.9400000000005</v>
      </c>
      <c r="G479" s="19"/>
      <c r="H479" s="19"/>
      <c r="I479" s="19"/>
      <c r="J479" s="19"/>
      <c r="K479" s="19">
        <v>2160</v>
      </c>
      <c r="L479" s="19">
        <v>3507</v>
      </c>
      <c r="M479" s="52">
        <f>SUM(Tabla2[[#This Row],[01. Alcaldía]:[11. Salud pública y seguridad ciudadana]])</f>
        <v>11661.34</v>
      </c>
    </row>
    <row r="480" spans="1:13" ht="10.5" customHeight="1" x14ac:dyDescent="0.35">
      <c r="A480" s="21" t="s">
        <v>3194</v>
      </c>
      <c r="B480" s="19"/>
      <c r="C480" s="19">
        <v>12305.7</v>
      </c>
      <c r="D480" s="19"/>
      <c r="E480" s="19"/>
      <c r="F480" s="19"/>
      <c r="G480" s="19"/>
      <c r="H480" s="19"/>
      <c r="I480" s="19"/>
      <c r="J480" s="19"/>
      <c r="K480" s="19"/>
      <c r="L480" s="19">
        <v>12100</v>
      </c>
      <c r="M480" s="52">
        <f>SUM(Tabla2[[#This Row],[01. Alcaldía]:[11. Salud pública y seguridad ciudadana]])</f>
        <v>24405.7</v>
      </c>
    </row>
    <row r="481" spans="1:13" ht="10.5" customHeight="1" x14ac:dyDescent="0.35">
      <c r="A481" s="21" t="s">
        <v>2567</v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>
        <v>1300.76</v>
      </c>
      <c r="M481" s="52">
        <f>SUM(Tabla2[[#This Row],[01. Alcaldía]:[11. Salud pública y seguridad ciudadana]])</f>
        <v>1300.76</v>
      </c>
    </row>
    <row r="482" spans="1:13" ht="10.5" customHeight="1" x14ac:dyDescent="0.35">
      <c r="A482" s="21" t="s">
        <v>5739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>
        <v>372.68</v>
      </c>
      <c r="L482" s="19"/>
      <c r="M482" s="52">
        <f>SUM(Tabla2[[#This Row],[01. Alcaldía]:[11. Salud pública y seguridad ciudadana]])</f>
        <v>372.68</v>
      </c>
    </row>
    <row r="483" spans="1:13" ht="10.5" customHeight="1" x14ac:dyDescent="0.35">
      <c r="A483" s="21" t="s">
        <v>3969</v>
      </c>
      <c r="B483" s="19"/>
      <c r="C483" s="19"/>
      <c r="D483" s="19"/>
      <c r="E483" s="19">
        <v>1195.08</v>
      </c>
      <c r="F483" s="19"/>
      <c r="G483" s="19"/>
      <c r="H483" s="19"/>
      <c r="I483" s="19"/>
      <c r="J483" s="19"/>
      <c r="K483" s="19"/>
      <c r="L483" s="19"/>
      <c r="M483" s="52">
        <f>SUM(Tabla2[[#This Row],[01. Alcaldía]:[11. Salud pública y seguridad ciudadana]])</f>
        <v>1195.08</v>
      </c>
    </row>
    <row r="484" spans="1:13" ht="10.5" customHeight="1" x14ac:dyDescent="0.35">
      <c r="A484" s="21" t="s">
        <v>159</v>
      </c>
      <c r="B484" s="19"/>
      <c r="C484" s="19"/>
      <c r="D484" s="19"/>
      <c r="E484" s="19"/>
      <c r="F484" s="19"/>
      <c r="G484" s="19"/>
      <c r="H484" s="19"/>
      <c r="I484" s="19"/>
      <c r="J484" s="19">
        <v>14677.3</v>
      </c>
      <c r="K484" s="19"/>
      <c r="L484" s="19"/>
      <c r="M484" s="52">
        <f>SUM(Tabla2[[#This Row],[01. Alcaldía]:[11. Salud pública y seguridad ciudadana]])</f>
        <v>14677.3</v>
      </c>
    </row>
    <row r="485" spans="1:13" ht="10.5" customHeight="1" x14ac:dyDescent="0.35">
      <c r="A485" s="21" t="s">
        <v>2793</v>
      </c>
      <c r="B485" s="19"/>
      <c r="C485" s="19"/>
      <c r="D485" s="19"/>
      <c r="E485" s="19"/>
      <c r="F485" s="19"/>
      <c r="G485" s="19"/>
      <c r="H485" s="19">
        <v>3025</v>
      </c>
      <c r="I485" s="19"/>
      <c r="J485" s="19"/>
      <c r="K485" s="19"/>
      <c r="L485" s="19"/>
      <c r="M485" s="52">
        <f>SUM(Tabla2[[#This Row],[01. Alcaldía]:[11. Salud pública y seguridad ciudadana]])</f>
        <v>3025</v>
      </c>
    </row>
    <row r="486" spans="1:13" ht="10.5" customHeight="1" x14ac:dyDescent="0.35">
      <c r="A486" s="21" t="s">
        <v>86</v>
      </c>
      <c r="B486" s="19"/>
      <c r="C486" s="19"/>
      <c r="D486" s="19"/>
      <c r="E486" s="19">
        <v>5478.24</v>
      </c>
      <c r="F486" s="19"/>
      <c r="G486" s="19"/>
      <c r="H486" s="19"/>
      <c r="I486" s="19"/>
      <c r="J486" s="19">
        <v>643.72</v>
      </c>
      <c r="K486" s="19"/>
      <c r="L486" s="19"/>
      <c r="M486" s="52">
        <f>SUM(Tabla2[[#This Row],[01. Alcaldía]:[11. Salud pública y seguridad ciudadana]])</f>
        <v>6121.96</v>
      </c>
    </row>
    <row r="487" spans="1:13" ht="10.5" customHeight="1" x14ac:dyDescent="0.35">
      <c r="A487" s="21" t="s">
        <v>771</v>
      </c>
      <c r="B487" s="19"/>
      <c r="C487" s="19"/>
      <c r="D487" s="19"/>
      <c r="E487" s="19">
        <v>5308.88</v>
      </c>
      <c r="F487" s="19"/>
      <c r="G487" s="19"/>
      <c r="H487" s="19"/>
      <c r="I487" s="19"/>
      <c r="J487" s="19"/>
      <c r="K487" s="19"/>
      <c r="L487" s="19"/>
      <c r="M487" s="52">
        <f>SUM(Tabla2[[#This Row],[01. Alcaldía]:[11. Salud pública y seguridad ciudadana]])</f>
        <v>5308.88</v>
      </c>
    </row>
    <row r="488" spans="1:13" ht="10.5" customHeight="1" x14ac:dyDescent="0.35">
      <c r="A488" s="21" t="s">
        <v>3042</v>
      </c>
      <c r="B488" s="19"/>
      <c r="C488" s="19"/>
      <c r="D488" s="19"/>
      <c r="E488" s="19"/>
      <c r="F488" s="19"/>
      <c r="G488" s="19"/>
      <c r="H488" s="19"/>
      <c r="I488" s="19">
        <v>7108.75</v>
      </c>
      <c r="J488" s="19"/>
      <c r="K488" s="19"/>
      <c r="L488" s="19"/>
      <c r="M488" s="52">
        <f>SUM(Tabla2[[#This Row],[01. Alcaldía]:[11. Salud pública y seguridad ciudadana]])</f>
        <v>7108.75</v>
      </c>
    </row>
    <row r="489" spans="1:13" ht="10.5" customHeight="1" x14ac:dyDescent="0.35">
      <c r="A489" s="21" t="s">
        <v>54</v>
      </c>
      <c r="B489" s="19"/>
      <c r="C489" s="19"/>
      <c r="D489" s="19"/>
      <c r="E489" s="19"/>
      <c r="F489" s="19">
        <v>914.76</v>
      </c>
      <c r="G489" s="19"/>
      <c r="H489" s="19"/>
      <c r="I489" s="19"/>
      <c r="J489" s="19"/>
      <c r="K489" s="19"/>
      <c r="L489" s="19"/>
      <c r="M489" s="52">
        <f>SUM(Tabla2[[#This Row],[01. Alcaldía]:[11. Salud pública y seguridad ciudadana]])</f>
        <v>914.76</v>
      </c>
    </row>
    <row r="490" spans="1:13" ht="10.5" customHeight="1" x14ac:dyDescent="0.35">
      <c r="A490" s="21" t="s">
        <v>3767</v>
      </c>
      <c r="B490" s="19"/>
      <c r="C490" s="19"/>
      <c r="D490" s="19"/>
      <c r="E490" s="19"/>
      <c r="F490" s="19"/>
      <c r="G490" s="19">
        <v>3816.34</v>
      </c>
      <c r="H490" s="19"/>
      <c r="I490" s="19"/>
      <c r="J490" s="19"/>
      <c r="K490" s="19"/>
      <c r="L490" s="19"/>
      <c r="M490" s="52">
        <f>SUM(Tabla2[[#This Row],[01. Alcaldía]:[11. Salud pública y seguridad ciudadana]])</f>
        <v>3816.34</v>
      </c>
    </row>
    <row r="491" spans="1:13" ht="10.5" customHeight="1" x14ac:dyDescent="0.35">
      <c r="A491" s="21" t="s">
        <v>525</v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>
        <v>1500</v>
      </c>
      <c r="M491" s="52">
        <f>SUM(Tabla2[[#This Row],[01. Alcaldía]:[11. Salud pública y seguridad ciudadana]])</f>
        <v>1500</v>
      </c>
    </row>
    <row r="492" spans="1:13" ht="10.5" customHeight="1" x14ac:dyDescent="0.35">
      <c r="A492" s="21" t="s">
        <v>117</v>
      </c>
      <c r="B492" s="19"/>
      <c r="C492" s="19"/>
      <c r="D492" s="19"/>
      <c r="E492" s="19">
        <v>3200</v>
      </c>
      <c r="F492" s="19"/>
      <c r="G492" s="19"/>
      <c r="H492" s="19"/>
      <c r="I492" s="19"/>
      <c r="J492" s="19"/>
      <c r="K492" s="19"/>
      <c r="L492" s="19"/>
      <c r="M492" s="52">
        <f>SUM(Tabla2[[#This Row],[01. Alcaldía]:[11. Salud pública y seguridad ciudadana]])</f>
        <v>3200</v>
      </c>
    </row>
    <row r="493" spans="1:13" ht="10.5" customHeight="1" x14ac:dyDescent="0.35">
      <c r="A493" s="21" t="s">
        <v>3800</v>
      </c>
      <c r="B493" s="19"/>
      <c r="C493" s="19"/>
      <c r="D493" s="19"/>
      <c r="E493" s="19"/>
      <c r="F493" s="19"/>
      <c r="G493" s="19">
        <v>3478.7599999999998</v>
      </c>
      <c r="H493" s="19"/>
      <c r="I493" s="19"/>
      <c r="J493" s="19"/>
      <c r="K493" s="19"/>
      <c r="L493" s="19"/>
      <c r="M493" s="52">
        <f>SUM(Tabla2[[#This Row],[01. Alcaldía]:[11. Salud pública y seguridad ciudadana]])</f>
        <v>3478.7599999999998</v>
      </c>
    </row>
    <row r="494" spans="1:13" ht="10.5" customHeight="1" x14ac:dyDescent="0.35">
      <c r="A494" s="21" t="s">
        <v>3526</v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>
        <v>14386.9</v>
      </c>
      <c r="M494" s="52">
        <f>SUM(Tabla2[[#This Row],[01. Alcaldía]:[11. Salud pública y seguridad ciudadana]])</f>
        <v>14386.9</v>
      </c>
    </row>
    <row r="495" spans="1:13" ht="10.5" customHeight="1" x14ac:dyDescent="0.35">
      <c r="A495" s="21" t="s">
        <v>3011</v>
      </c>
      <c r="B495" s="19"/>
      <c r="C495" s="19"/>
      <c r="D495" s="19"/>
      <c r="E495" s="19"/>
      <c r="F495" s="19"/>
      <c r="G495" s="19"/>
      <c r="H495" s="19">
        <v>2500</v>
      </c>
      <c r="I495" s="19"/>
      <c r="J495" s="19"/>
      <c r="K495" s="19"/>
      <c r="L495" s="19">
        <v>16445</v>
      </c>
      <c r="M495" s="52">
        <f>SUM(Tabla2[[#This Row],[01. Alcaldía]:[11. Salud pública y seguridad ciudadana]])</f>
        <v>18945</v>
      </c>
    </row>
    <row r="496" spans="1:13" ht="10.5" customHeight="1" x14ac:dyDescent="0.35">
      <c r="A496" s="21" t="s">
        <v>3775</v>
      </c>
      <c r="B496" s="19">
        <v>907.5</v>
      </c>
      <c r="C496" s="19"/>
      <c r="D496" s="19"/>
      <c r="E496" s="19"/>
      <c r="F496" s="19"/>
      <c r="G496" s="19"/>
      <c r="H496" s="19">
        <v>3309.35</v>
      </c>
      <c r="I496" s="19"/>
      <c r="J496" s="19"/>
      <c r="K496" s="19"/>
      <c r="L496" s="19"/>
      <c r="M496" s="52">
        <f>SUM(Tabla2[[#This Row],[01. Alcaldía]:[11. Salud pública y seguridad ciudadana]])</f>
        <v>4216.8500000000004</v>
      </c>
    </row>
    <row r="497" spans="1:13" ht="10.5" customHeight="1" x14ac:dyDescent="0.35">
      <c r="A497" s="21" t="s">
        <v>247</v>
      </c>
      <c r="B497" s="19"/>
      <c r="C497" s="19"/>
      <c r="D497" s="19"/>
      <c r="E497" s="19"/>
      <c r="F497" s="19"/>
      <c r="G497" s="19"/>
      <c r="H497" s="19">
        <v>1534.38</v>
      </c>
      <c r="I497" s="19"/>
      <c r="J497" s="19">
        <v>12.6</v>
      </c>
      <c r="K497" s="19"/>
      <c r="L497" s="19">
        <v>100</v>
      </c>
      <c r="M497" s="52">
        <f>SUM(Tabla2[[#This Row],[01. Alcaldía]:[11. Salud pública y seguridad ciudadana]])</f>
        <v>1646.98</v>
      </c>
    </row>
    <row r="498" spans="1:13" ht="10.5" customHeight="1" x14ac:dyDescent="0.35">
      <c r="A498" s="21" t="s">
        <v>4216</v>
      </c>
      <c r="B498" s="19"/>
      <c r="C498" s="19"/>
      <c r="D498" s="19">
        <v>500</v>
      </c>
      <c r="E498" s="19"/>
      <c r="F498" s="19"/>
      <c r="G498" s="19"/>
      <c r="H498" s="19"/>
      <c r="I498" s="19"/>
      <c r="J498" s="19"/>
      <c r="K498" s="19"/>
      <c r="L498" s="19"/>
      <c r="M498" s="52">
        <f>SUM(Tabla2[[#This Row],[01. Alcaldía]:[11. Salud pública y seguridad ciudadana]])</f>
        <v>500</v>
      </c>
    </row>
    <row r="499" spans="1:13" ht="10.5" customHeight="1" x14ac:dyDescent="0.35">
      <c r="A499" s="61" t="s">
        <v>774</v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>
        <v>871.2</v>
      </c>
      <c r="M499" s="52">
        <f>SUM(Tabla2[[#This Row],[01. Alcaldía]:[11. Salud pública y seguridad ciudadana]])</f>
        <v>871.2</v>
      </c>
    </row>
    <row r="500" spans="1:13" ht="10.5" customHeight="1" x14ac:dyDescent="0.25">
      <c r="A500" s="59" t="s">
        <v>577</v>
      </c>
      <c r="B500" s="19"/>
      <c r="C500" s="19"/>
      <c r="D500" s="19"/>
      <c r="E500" s="19">
        <v>1631.56</v>
      </c>
      <c r="F500" s="19">
        <v>18634</v>
      </c>
      <c r="G500" s="19"/>
      <c r="H500" s="19"/>
      <c r="I500" s="19"/>
      <c r="J500" s="19"/>
      <c r="K500" s="19"/>
      <c r="L500" s="19"/>
      <c r="M500" s="52">
        <f>SUM(Tabla2[[#This Row],[01. Alcaldía]:[11. Salud pública y seguridad ciudadana]])</f>
        <v>20265.560000000001</v>
      </c>
    </row>
    <row r="501" spans="1:13" ht="10.5" customHeight="1" x14ac:dyDescent="0.25">
      <c r="A501" s="59" t="s">
        <v>2465</v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>
        <v>1742.4</v>
      </c>
      <c r="M501" s="52">
        <f>SUM(Tabla2[[#This Row],[01. Alcaldía]:[11. Salud pública y seguridad ciudadana]])</f>
        <v>1742.4</v>
      </c>
    </row>
    <row r="502" spans="1:13" ht="10.5" customHeight="1" x14ac:dyDescent="0.25">
      <c r="A502" s="59" t="s">
        <v>3900</v>
      </c>
      <c r="B502" s="19"/>
      <c r="C502" s="19"/>
      <c r="D502" s="19"/>
      <c r="E502" s="19"/>
      <c r="F502" s="19">
        <v>1525.32</v>
      </c>
      <c r="G502" s="19"/>
      <c r="H502" s="19"/>
      <c r="I502" s="19"/>
      <c r="J502" s="19"/>
      <c r="K502" s="19"/>
      <c r="L502" s="19"/>
      <c r="M502" s="52">
        <f>SUM(Tabla2[[#This Row],[01. Alcaldía]:[11. Salud pública y seguridad ciudadana]])</f>
        <v>1525.32</v>
      </c>
    </row>
    <row r="503" spans="1:13" ht="10.5" customHeight="1" x14ac:dyDescent="0.25">
      <c r="A503" s="59" t="s">
        <v>202</v>
      </c>
      <c r="B503" s="19"/>
      <c r="C503" s="19"/>
      <c r="D503" s="19"/>
      <c r="E503" s="19">
        <v>7631.4</v>
      </c>
      <c r="F503" s="19"/>
      <c r="G503" s="19"/>
      <c r="H503" s="19"/>
      <c r="I503" s="19"/>
      <c r="J503" s="19"/>
      <c r="K503" s="19"/>
      <c r="L503" s="19"/>
      <c r="M503" s="52">
        <f>SUM(Tabla2[[#This Row],[01. Alcaldía]:[11. Salud pública y seguridad ciudadana]])</f>
        <v>7631.4</v>
      </c>
    </row>
    <row r="504" spans="1:13" ht="10.5" customHeight="1" x14ac:dyDescent="0.25">
      <c r="A504" s="59" t="s">
        <v>2330</v>
      </c>
      <c r="B504" s="19"/>
      <c r="C504" s="19"/>
      <c r="D504" s="19"/>
      <c r="E504" s="19">
        <v>8476.3000000000011</v>
      </c>
      <c r="F504" s="19"/>
      <c r="G504" s="19"/>
      <c r="H504" s="19">
        <v>532.4</v>
      </c>
      <c r="I504" s="19"/>
      <c r="J504" s="19"/>
      <c r="K504" s="19"/>
      <c r="L504" s="19"/>
      <c r="M504" s="52">
        <f>SUM(Tabla2[[#This Row],[01. Alcaldía]:[11. Salud pública y seguridad ciudadana]])</f>
        <v>9008.7000000000007</v>
      </c>
    </row>
    <row r="505" spans="1:13" ht="10.5" customHeight="1" x14ac:dyDescent="0.25">
      <c r="A505" s="59" t="s">
        <v>183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>
        <v>84.7</v>
      </c>
      <c r="L505" s="19"/>
      <c r="M505" s="52">
        <f>SUM(Tabla2[[#This Row],[01. Alcaldía]:[11. Salud pública y seguridad ciudadana]])</f>
        <v>84.7</v>
      </c>
    </row>
    <row r="506" spans="1:13" ht="10.5" customHeight="1" x14ac:dyDescent="0.25">
      <c r="A506" s="59" t="s">
        <v>528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>
        <v>1230.76</v>
      </c>
      <c r="M506" s="52">
        <f>SUM(Tabla2[[#This Row],[01. Alcaldía]:[11. Salud pública y seguridad ciudadana]])</f>
        <v>1230.76</v>
      </c>
    </row>
    <row r="507" spans="1:13" ht="10.5" customHeight="1" x14ac:dyDescent="0.25">
      <c r="A507" s="59" t="s">
        <v>3624</v>
      </c>
      <c r="B507" s="19"/>
      <c r="C507" s="19">
        <v>6897</v>
      </c>
      <c r="D507" s="19"/>
      <c r="E507" s="19"/>
      <c r="F507" s="19"/>
      <c r="G507" s="19"/>
      <c r="H507" s="19"/>
      <c r="I507" s="19"/>
      <c r="J507" s="19"/>
      <c r="K507" s="19"/>
      <c r="L507" s="19"/>
      <c r="M507" s="52">
        <f>SUM(Tabla2[[#This Row],[01. Alcaldía]:[11. Salud pública y seguridad ciudadana]])</f>
        <v>6897</v>
      </c>
    </row>
    <row r="508" spans="1:13" ht="10.5" customHeight="1" x14ac:dyDescent="0.25">
      <c r="A508" s="59" t="s">
        <v>2117</v>
      </c>
      <c r="B508" s="19"/>
      <c r="C508" s="19"/>
      <c r="D508" s="19"/>
      <c r="E508" s="19">
        <v>136.5</v>
      </c>
      <c r="F508" s="19"/>
      <c r="G508" s="19"/>
      <c r="H508" s="19"/>
      <c r="I508" s="19"/>
      <c r="J508" s="19"/>
      <c r="K508" s="19"/>
      <c r="L508" s="19"/>
      <c r="M508" s="52">
        <f>SUM(Tabla2[[#This Row],[01. Alcaldía]:[11. Salud pública y seguridad ciudadana]])</f>
        <v>136.5</v>
      </c>
    </row>
    <row r="509" spans="1:13" ht="10.5" customHeight="1" x14ac:dyDescent="0.25">
      <c r="A509" s="59" t="s">
        <v>3710</v>
      </c>
      <c r="B509" s="19">
        <v>4322.68</v>
      </c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52">
        <f>SUM(Tabla2[[#This Row],[01. Alcaldía]:[11. Salud pública y seguridad ciudadana]])</f>
        <v>4322.68</v>
      </c>
    </row>
    <row r="510" spans="1:13" ht="10.5" customHeight="1" x14ac:dyDescent="0.25">
      <c r="A510" s="59" t="s">
        <v>2011</v>
      </c>
      <c r="B510" s="19"/>
      <c r="C510" s="19"/>
      <c r="D510" s="19"/>
      <c r="E510" s="19"/>
      <c r="F510" s="19"/>
      <c r="G510" s="19"/>
      <c r="H510" s="19"/>
      <c r="I510" s="19">
        <v>144.81</v>
      </c>
      <c r="J510" s="19"/>
      <c r="K510" s="19"/>
      <c r="L510" s="19">
        <v>5244.6600000000008</v>
      </c>
      <c r="M510" s="52">
        <f>SUM(Tabla2[[#This Row],[01. Alcaldía]:[11. Salud pública y seguridad ciudadana]])</f>
        <v>5389.4700000000012</v>
      </c>
    </row>
    <row r="511" spans="1:13" ht="10.5" customHeight="1" x14ac:dyDescent="0.25">
      <c r="A511" s="59" t="s">
        <v>3521</v>
      </c>
      <c r="B511" s="19"/>
      <c r="C511" s="19"/>
      <c r="D511" s="19"/>
      <c r="E511" s="19"/>
      <c r="F511" s="19"/>
      <c r="G511" s="19">
        <v>16125</v>
      </c>
      <c r="H511" s="19"/>
      <c r="I511" s="19"/>
      <c r="J511" s="19"/>
      <c r="K511" s="19"/>
      <c r="L511" s="19"/>
      <c r="M511" s="52">
        <f>SUM(Tabla2[[#This Row],[01. Alcaldía]:[11. Salud pública y seguridad ciudadana]])</f>
        <v>16125</v>
      </c>
    </row>
    <row r="512" spans="1:13" ht="10.5" customHeight="1" x14ac:dyDescent="0.25">
      <c r="A512" s="59" t="s">
        <v>2759</v>
      </c>
      <c r="B512" s="19"/>
      <c r="C512" s="19"/>
      <c r="D512" s="19"/>
      <c r="E512" s="19"/>
      <c r="F512" s="19"/>
      <c r="G512" s="19"/>
      <c r="H512" s="19"/>
      <c r="I512" s="19"/>
      <c r="J512" s="19">
        <v>2783</v>
      </c>
      <c r="K512" s="19"/>
      <c r="L512" s="19"/>
      <c r="M512" s="52">
        <f>SUM(Tabla2[[#This Row],[01. Alcaldía]:[11. Salud pública y seguridad ciudadana]])</f>
        <v>2783</v>
      </c>
    </row>
    <row r="513" spans="1:13" ht="10.5" customHeight="1" x14ac:dyDescent="0.25">
      <c r="A513" s="59" t="s">
        <v>2957</v>
      </c>
      <c r="B513" s="19">
        <v>5838.25</v>
      </c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52">
        <f>SUM(Tabla2[[#This Row],[01. Alcaldía]:[11. Salud pública y seguridad ciudadana]])</f>
        <v>5838.25</v>
      </c>
    </row>
    <row r="514" spans="1:13" ht="10.5" customHeight="1" x14ac:dyDescent="0.25">
      <c r="A514" s="59" t="s">
        <v>772</v>
      </c>
      <c r="B514" s="19"/>
      <c r="C514" s="19"/>
      <c r="D514" s="19"/>
      <c r="E514" s="19"/>
      <c r="F514" s="19"/>
      <c r="G514" s="19">
        <v>278.61</v>
      </c>
      <c r="H514" s="19"/>
      <c r="I514" s="19"/>
      <c r="J514" s="19"/>
      <c r="K514" s="19"/>
      <c r="L514" s="19"/>
      <c r="M514" s="52">
        <f>SUM(Tabla2[[#This Row],[01. Alcaldía]:[11. Salud pública y seguridad ciudadana]])</f>
        <v>278.61</v>
      </c>
    </row>
    <row r="515" spans="1:13" ht="10.5" customHeight="1" x14ac:dyDescent="0.25">
      <c r="A515" s="59" t="s">
        <v>515</v>
      </c>
      <c r="B515" s="19"/>
      <c r="C515" s="19"/>
      <c r="D515" s="19"/>
      <c r="E515" s="19"/>
      <c r="F515" s="19"/>
      <c r="G515" s="19"/>
      <c r="H515" s="19">
        <v>20089.5</v>
      </c>
      <c r="I515" s="19">
        <v>473.22</v>
      </c>
      <c r="J515" s="19"/>
      <c r="K515" s="19"/>
      <c r="L515" s="19"/>
      <c r="M515" s="52">
        <f>SUM(Tabla2[[#This Row],[01. Alcaldía]:[11. Salud pública y seguridad ciudadana]])</f>
        <v>20562.72</v>
      </c>
    </row>
    <row r="516" spans="1:13" ht="10.5" customHeight="1" x14ac:dyDescent="0.25">
      <c r="A516" s="59" t="s">
        <v>2584</v>
      </c>
      <c r="B516" s="19"/>
      <c r="C516" s="19"/>
      <c r="D516" s="19"/>
      <c r="E516" s="19"/>
      <c r="F516" s="19"/>
      <c r="G516" s="19"/>
      <c r="H516" s="19">
        <v>1475.78</v>
      </c>
      <c r="I516" s="19"/>
      <c r="J516" s="19"/>
      <c r="K516" s="19"/>
      <c r="L516" s="19">
        <v>1447.75</v>
      </c>
      <c r="M516" s="52">
        <f>SUM(Tabla2[[#This Row],[01. Alcaldía]:[11. Salud pública y seguridad ciudadana]])</f>
        <v>2923.5299999999997</v>
      </c>
    </row>
    <row r="517" spans="1:13" ht="10.5" customHeight="1" x14ac:dyDescent="0.25">
      <c r="A517" s="59" t="s">
        <v>1955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>
        <v>16.380000000000003</v>
      </c>
      <c r="L517" s="19"/>
      <c r="M517" s="52">
        <f>SUM(Tabla2[[#This Row],[01. Alcaldía]:[11. Salud pública y seguridad ciudadana]])</f>
        <v>16.380000000000003</v>
      </c>
    </row>
    <row r="518" spans="1:13" ht="10.5" customHeight="1" x14ac:dyDescent="0.25">
      <c r="A518" s="59" t="s">
        <v>3988</v>
      </c>
      <c r="B518" s="19"/>
      <c r="C518" s="19"/>
      <c r="D518" s="19"/>
      <c r="E518" s="19"/>
      <c r="F518" s="19">
        <v>7139</v>
      </c>
      <c r="G518" s="19"/>
      <c r="H518" s="19"/>
      <c r="I518" s="19"/>
      <c r="J518" s="19"/>
      <c r="K518" s="19">
        <v>1583.9</v>
      </c>
      <c r="L518" s="19"/>
      <c r="M518" s="52">
        <f>SUM(Tabla2[[#This Row],[01. Alcaldía]:[11. Salud pública y seguridad ciudadana]])</f>
        <v>8722.9</v>
      </c>
    </row>
    <row r="519" spans="1:13" ht="10.5" customHeight="1" x14ac:dyDescent="0.25">
      <c r="A519" s="59" t="s">
        <v>1937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>
        <v>2228.8200000000002</v>
      </c>
      <c r="M519" s="52">
        <f>SUM(Tabla2[[#This Row],[01. Alcaldía]:[11. Salud pública y seguridad ciudadana]])</f>
        <v>2228.8200000000002</v>
      </c>
    </row>
    <row r="520" spans="1:13" ht="10.5" customHeight="1" x14ac:dyDescent="0.25">
      <c r="A520" s="59" t="s">
        <v>2875</v>
      </c>
      <c r="B520" s="19"/>
      <c r="C520" s="19"/>
      <c r="D520" s="19"/>
      <c r="E520" s="19"/>
      <c r="F520" s="19">
        <v>5015.45</v>
      </c>
      <c r="G520" s="19"/>
      <c r="H520" s="19">
        <v>13068</v>
      </c>
      <c r="I520" s="19"/>
      <c r="J520" s="19"/>
      <c r="K520" s="19"/>
      <c r="L520" s="19">
        <v>3254.9</v>
      </c>
      <c r="M520" s="52">
        <f>SUM(Tabla2[[#This Row],[01. Alcaldía]:[11. Salud pública y seguridad ciudadana]])</f>
        <v>21338.350000000002</v>
      </c>
    </row>
    <row r="521" spans="1:13" ht="10.5" customHeight="1" x14ac:dyDescent="0.25">
      <c r="A521" s="59" t="s">
        <v>292</v>
      </c>
      <c r="B521" s="19"/>
      <c r="C521" s="19"/>
      <c r="D521" s="19"/>
      <c r="E521" s="19"/>
      <c r="F521" s="19"/>
      <c r="G521" s="19">
        <v>1676.13</v>
      </c>
      <c r="H521" s="19"/>
      <c r="I521" s="19"/>
      <c r="J521" s="19"/>
      <c r="K521" s="19">
        <v>7256.31</v>
      </c>
      <c r="L521" s="19"/>
      <c r="M521" s="52">
        <f>SUM(Tabla2[[#This Row],[01. Alcaldía]:[11. Salud pública y seguridad ciudadana]])</f>
        <v>8932.44</v>
      </c>
    </row>
    <row r="522" spans="1:13" s="24" customFormat="1" x14ac:dyDescent="0.25">
      <c r="A522" s="25" t="s">
        <v>555</v>
      </c>
      <c r="B522" s="23">
        <f>SUBTOTAL(109,Tabla2[01. Alcaldía])</f>
        <v>104654.76000000001</v>
      </c>
      <c r="C522" s="23">
        <f>SUBTOTAL(109,Tabla2[02. Planeamiento urbanístico y vivienda])</f>
        <v>210786.74000000002</v>
      </c>
      <c r="D522" s="23">
        <f>SUBTOTAL(109,Tabla2[03. Participación ciudadana y deportes])</f>
        <v>173847.21</v>
      </c>
      <c r="E522" s="23">
        <f>SUBTOTAL(109,Tabla2[04. Planificación y recursos])</f>
        <v>200245.97999999992</v>
      </c>
      <c r="F522" s="23">
        <f>SUBTOTAL(109,Tabla2[05. Innovación, desarrollo económico, empleo y comercio])</f>
        <v>373339.03000000009</v>
      </c>
      <c r="G522" s="23">
        <f>SUBTOTAL(109,Tabla2[06. Educación, infancia, juventud e igualdad])</f>
        <v>448980.22000000009</v>
      </c>
      <c r="H522" s="23">
        <f>SUBTOTAL(109,Tabla2[07. Medio ambiente y desarrollo sostenible])</f>
        <v>278102.73</v>
      </c>
      <c r="I522" s="23">
        <f>SUBTOTAL(109,Tabla2[08. Movilidad y espacio urbano])</f>
        <v>156099.27999999997</v>
      </c>
      <c r="J522" s="23">
        <f>SUBTOTAL(109,Tabla2[09. Cultura y turismo])</f>
        <v>146819.06000000003</v>
      </c>
      <c r="K522" s="23">
        <f>SUBTOTAL(109,Tabla2[10. Servicios sociales y mediación comunitaria])</f>
        <v>181467.88999999998</v>
      </c>
      <c r="L522" s="23">
        <f>SUBTOTAL(109,Tabla2[11. Salud pública y seguridad ciudadana])</f>
        <v>521290.8000000001</v>
      </c>
      <c r="M522" s="23">
        <f>SUBTOTAL(109,Tabla2[Total general])</f>
        <v>2795633.6999999988</v>
      </c>
    </row>
  </sheetData>
  <pageMargins left="0.31496062992125984" right="0.31496062992125984" top="0.74803149606299213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DE SERVICIOS POR PROVEEDORES Y AREAS AYUNTAMIENTO DE VALLADOLID - PRIMER, SEGUDO Y TERCER TRIMESTRE EJERCICIO 2021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13"/>
  <sheetViews>
    <sheetView view="pageLayout" zoomScale="95" zoomScaleNormal="100" zoomScalePageLayoutView="95" workbookViewId="0">
      <selection activeCell="G18" sqref="G18"/>
    </sheetView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22" t="s">
        <v>6266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s="16" customFormat="1" ht="10.5" customHeight="1" x14ac:dyDescent="0.35">
      <c r="A2" s="21" t="s">
        <v>3548</v>
      </c>
      <c r="B2" s="19"/>
      <c r="C2" s="19"/>
      <c r="D2" s="19"/>
      <c r="E2" s="19">
        <v>10877.9</v>
      </c>
      <c r="F2" s="19"/>
      <c r="G2" s="19"/>
      <c r="H2" s="19"/>
      <c r="I2" s="19"/>
      <c r="J2" s="19"/>
      <c r="K2" s="63"/>
      <c r="L2" s="19"/>
      <c r="M2" s="23">
        <f>SUM(Tabla24[[#This Row],[01. Alcaldía]:[11. Salud pública y seguridad ciudadana]])</f>
        <v>10877.9</v>
      </c>
    </row>
    <row r="3" spans="1:13" s="16" customFormat="1" ht="10.5" customHeight="1" x14ac:dyDescent="0.25">
      <c r="A3" s="62" t="s">
        <v>833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2400</v>
      </c>
      <c r="M3" s="23">
        <f>SUM(Tabla24[[#This Row],[01. Alcaldía]:[11. Salud pública y seguridad ciudadana]])</f>
        <v>2400</v>
      </c>
    </row>
    <row r="4" spans="1:13" s="16" customFormat="1" ht="10.5" customHeight="1" x14ac:dyDescent="0.25">
      <c r="A4" s="62" t="s">
        <v>309</v>
      </c>
      <c r="B4" s="19"/>
      <c r="C4" s="19"/>
      <c r="D4" s="19"/>
      <c r="E4" s="19"/>
      <c r="F4" s="19">
        <v>726</v>
      </c>
      <c r="G4" s="19"/>
      <c r="H4" s="19"/>
      <c r="I4" s="19"/>
      <c r="J4" s="19"/>
      <c r="K4" s="19"/>
      <c r="L4" s="19"/>
      <c r="M4" s="23">
        <f>SUM(Tabla24[[#This Row],[01. Alcaldía]:[11. Salud pública y seguridad ciudadana]])</f>
        <v>726</v>
      </c>
    </row>
    <row r="5" spans="1:13" s="16" customFormat="1" ht="10.5" customHeight="1" x14ac:dyDescent="0.25">
      <c r="A5" s="62" t="s">
        <v>567</v>
      </c>
      <c r="B5" s="19">
        <v>636.51</v>
      </c>
      <c r="C5" s="19"/>
      <c r="D5" s="19"/>
      <c r="E5" s="19"/>
      <c r="F5" s="19"/>
      <c r="G5" s="19"/>
      <c r="H5" s="19"/>
      <c r="I5" s="19">
        <v>370</v>
      </c>
      <c r="J5" s="19"/>
      <c r="K5" s="19"/>
      <c r="L5" s="19"/>
      <c r="M5" s="23">
        <f>SUM(Tabla24[[#This Row],[01. Alcaldía]:[11. Salud pública y seguridad ciudadana]])</f>
        <v>1006.51</v>
      </c>
    </row>
    <row r="6" spans="1:13" s="16" customFormat="1" ht="10.5" customHeight="1" x14ac:dyDescent="0.25">
      <c r="A6" s="62" t="s">
        <v>3811</v>
      </c>
      <c r="B6" s="19"/>
      <c r="C6" s="19"/>
      <c r="D6" s="19"/>
      <c r="E6" s="19"/>
      <c r="F6" s="19"/>
      <c r="G6" s="19"/>
      <c r="H6" s="19"/>
      <c r="I6" s="19">
        <v>2699.92</v>
      </c>
      <c r="J6" s="19"/>
      <c r="K6" s="19"/>
      <c r="L6" s="19"/>
      <c r="M6" s="23">
        <f>SUM(Tabla24[[#This Row],[01. Alcaldía]:[11. Salud pública y seguridad ciudadana]])</f>
        <v>2699.92</v>
      </c>
    </row>
    <row r="7" spans="1:13" s="16" customFormat="1" ht="10.5" customHeight="1" x14ac:dyDescent="0.25">
      <c r="A7" s="62" t="s">
        <v>867</v>
      </c>
      <c r="B7" s="19"/>
      <c r="C7" s="19"/>
      <c r="D7" s="19"/>
      <c r="E7" s="19"/>
      <c r="F7" s="19"/>
      <c r="G7" s="19"/>
      <c r="H7" s="19">
        <v>2000</v>
      </c>
      <c r="I7" s="19"/>
      <c r="J7" s="19"/>
      <c r="K7" s="19"/>
      <c r="L7" s="19"/>
      <c r="M7" s="23">
        <f>SUM(Tabla24[[#This Row],[01. Alcaldía]:[11. Salud pública y seguridad ciudadana]])</f>
        <v>2000</v>
      </c>
    </row>
    <row r="8" spans="1:13" s="16" customFormat="1" ht="10.5" customHeight="1" x14ac:dyDescent="0.25">
      <c r="A8" s="62" t="s">
        <v>874</v>
      </c>
      <c r="B8" s="19"/>
      <c r="C8" s="19"/>
      <c r="D8" s="19"/>
      <c r="E8" s="19"/>
      <c r="F8" s="19"/>
      <c r="G8" s="19"/>
      <c r="H8" s="19"/>
      <c r="I8" s="19"/>
      <c r="J8" s="19"/>
      <c r="K8" s="19">
        <v>358.37</v>
      </c>
      <c r="L8" s="19"/>
      <c r="M8" s="23">
        <f>SUM(Tabla24[[#This Row],[01. Alcaldía]:[11. Salud pública y seguridad ciudadana]])</f>
        <v>358.37</v>
      </c>
    </row>
    <row r="9" spans="1:13" s="16" customFormat="1" ht="10.5" customHeight="1" x14ac:dyDescent="0.25">
      <c r="A9" s="62" t="s">
        <v>546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4000</v>
      </c>
      <c r="M9" s="23">
        <f>SUM(Tabla24[[#This Row],[01. Alcaldía]:[11. Salud pública y seguridad ciudadana]])</f>
        <v>4000</v>
      </c>
    </row>
    <row r="10" spans="1:13" s="16" customFormat="1" ht="10.5" customHeight="1" x14ac:dyDescent="0.25">
      <c r="A10" s="62" t="s">
        <v>6014</v>
      </c>
      <c r="B10" s="19"/>
      <c r="C10" s="19">
        <v>357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SUM(Tabla24[[#This Row],[01. Alcaldía]:[11. Salud pública y seguridad ciudadana]])</f>
        <v>357</v>
      </c>
    </row>
    <row r="11" spans="1:13" s="16" customFormat="1" ht="10.5" customHeight="1" x14ac:dyDescent="0.25">
      <c r="A11" s="62" t="s">
        <v>283</v>
      </c>
      <c r="B11" s="19"/>
      <c r="C11" s="19">
        <v>200</v>
      </c>
      <c r="D11" s="19"/>
      <c r="E11" s="19"/>
      <c r="F11" s="19"/>
      <c r="G11" s="19"/>
      <c r="H11" s="19"/>
      <c r="I11" s="19"/>
      <c r="J11" s="19"/>
      <c r="K11" s="19">
        <v>513.78</v>
      </c>
      <c r="L11" s="19">
        <v>453.81</v>
      </c>
      <c r="M11" s="23">
        <f>SUM(Tabla24[[#This Row],[01. Alcaldía]:[11. Salud pública y seguridad ciudadana]])</f>
        <v>1167.5899999999999</v>
      </c>
    </row>
    <row r="12" spans="1:13" s="16" customFormat="1" ht="10.5" customHeight="1" x14ac:dyDescent="0.25">
      <c r="A12" s="62" t="s">
        <v>6021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1112</v>
      </c>
      <c r="M12" s="23">
        <f>SUM(Tabla24[[#This Row],[01. Alcaldía]:[11. Salud pública y seguridad ciudadana]])</f>
        <v>1112</v>
      </c>
    </row>
    <row r="13" spans="1:13" s="16" customFormat="1" ht="10.5" customHeight="1" x14ac:dyDescent="0.25">
      <c r="A13" s="62" t="s">
        <v>4947</v>
      </c>
      <c r="B13" s="19"/>
      <c r="C13" s="19">
        <v>2000</v>
      </c>
      <c r="D13" s="19">
        <v>1049.19</v>
      </c>
      <c r="E13" s="19"/>
      <c r="F13" s="19"/>
      <c r="G13" s="19"/>
      <c r="H13" s="19"/>
      <c r="I13" s="19">
        <v>779.24</v>
      </c>
      <c r="J13" s="19"/>
      <c r="K13" s="19">
        <v>15</v>
      </c>
      <c r="L13" s="19"/>
      <c r="M13" s="23">
        <f>SUM(Tabla24[[#This Row],[01. Alcaldía]:[11. Salud pública y seguridad ciudadana]])</f>
        <v>3843.4300000000003</v>
      </c>
    </row>
    <row r="14" spans="1:13" s="16" customFormat="1" ht="10.5" customHeight="1" x14ac:dyDescent="0.25">
      <c r="A14" s="62" t="s">
        <v>303</v>
      </c>
      <c r="B14" s="19"/>
      <c r="C14" s="19"/>
      <c r="D14" s="19"/>
      <c r="E14" s="19"/>
      <c r="F14" s="19"/>
      <c r="G14" s="19"/>
      <c r="H14" s="19"/>
      <c r="I14" s="19">
        <v>1160.98</v>
      </c>
      <c r="J14" s="19"/>
      <c r="K14" s="19"/>
      <c r="L14" s="19"/>
      <c r="M14" s="23">
        <f>SUM(Tabla24[[#This Row],[01. Alcaldía]:[11. Salud pública y seguridad ciudadana]])</f>
        <v>1160.98</v>
      </c>
    </row>
    <row r="15" spans="1:13" s="16" customFormat="1" ht="10.5" customHeight="1" x14ac:dyDescent="0.25">
      <c r="A15" s="62" t="s">
        <v>131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153.01</v>
      </c>
      <c r="M15" s="23">
        <f>SUM(Tabla24[[#This Row],[01. Alcaldía]:[11. Salud pública y seguridad ciudadana]])</f>
        <v>153.01</v>
      </c>
    </row>
    <row r="16" spans="1:13" s="16" customFormat="1" ht="10.5" customHeight="1" x14ac:dyDescent="0.25">
      <c r="A16" s="62" t="s">
        <v>733</v>
      </c>
      <c r="B16" s="19"/>
      <c r="C16" s="19"/>
      <c r="D16" s="19"/>
      <c r="E16" s="19"/>
      <c r="F16" s="19"/>
      <c r="G16" s="19">
        <v>245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245</v>
      </c>
    </row>
    <row r="17" spans="1:13" s="16" customFormat="1" ht="10.5" customHeight="1" x14ac:dyDescent="0.25">
      <c r="A17" s="62" t="s">
        <v>4137</v>
      </c>
      <c r="B17" s="19"/>
      <c r="C17" s="19"/>
      <c r="D17" s="19"/>
      <c r="E17" s="19"/>
      <c r="F17" s="19"/>
      <c r="G17" s="19">
        <v>687.2</v>
      </c>
      <c r="H17" s="19"/>
      <c r="I17" s="19"/>
      <c r="J17" s="19"/>
      <c r="K17" s="19"/>
      <c r="L17" s="19"/>
      <c r="M17" s="23">
        <f>SUM(Tabla24[[#This Row],[01. Alcaldía]:[11. Salud pública y seguridad ciudadana]])</f>
        <v>687.2</v>
      </c>
    </row>
    <row r="18" spans="1:13" s="16" customFormat="1" ht="10.5" customHeight="1" x14ac:dyDescent="0.25">
      <c r="A18" s="62" t="s">
        <v>259</v>
      </c>
      <c r="B18" s="19"/>
      <c r="C18" s="19"/>
      <c r="D18" s="19"/>
      <c r="E18" s="19"/>
      <c r="F18" s="19"/>
      <c r="G18" s="19"/>
      <c r="H18" s="19"/>
      <c r="I18" s="19">
        <v>2420</v>
      </c>
      <c r="J18" s="19"/>
      <c r="K18" s="19"/>
      <c r="L18" s="19"/>
      <c r="M18" s="23">
        <f>SUM(Tabla24[[#This Row],[01. Alcaldía]:[11. Salud pública y seguridad ciudadana]])</f>
        <v>2420</v>
      </c>
    </row>
    <row r="19" spans="1:13" s="16" customFormat="1" ht="10.5" customHeight="1" x14ac:dyDescent="0.25">
      <c r="A19" s="62" t="s">
        <v>5111</v>
      </c>
      <c r="B19" s="19"/>
      <c r="C19" s="19">
        <v>5840.69</v>
      </c>
      <c r="D19" s="19"/>
      <c r="E19" s="19"/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5840.69</v>
      </c>
    </row>
    <row r="20" spans="1:13" s="16" customFormat="1" ht="10.5" customHeight="1" x14ac:dyDescent="0.25">
      <c r="A20" s="62" t="s">
        <v>1181</v>
      </c>
      <c r="B20" s="19"/>
      <c r="C20" s="19"/>
      <c r="D20" s="19"/>
      <c r="E20" s="19"/>
      <c r="F20" s="19"/>
      <c r="G20" s="19"/>
      <c r="H20" s="19"/>
      <c r="I20" s="19">
        <v>8908.7199999999993</v>
      </c>
      <c r="J20" s="19"/>
      <c r="K20" s="19"/>
      <c r="L20" s="19"/>
      <c r="M20" s="23">
        <f>SUM(Tabla24[[#This Row],[01. Alcaldía]:[11. Salud pública y seguridad ciudadana]])</f>
        <v>8908.7199999999993</v>
      </c>
    </row>
    <row r="21" spans="1:13" s="16" customFormat="1" ht="10.5" customHeight="1" x14ac:dyDescent="0.25">
      <c r="A21" s="62" t="s">
        <v>1184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1276.82</v>
      </c>
      <c r="M21" s="23">
        <f>SUM(Tabla24[[#This Row],[01. Alcaldía]:[11. Salud pública y seguridad ciudadana]])</f>
        <v>1276.82</v>
      </c>
    </row>
    <row r="22" spans="1:13" s="16" customFormat="1" ht="10.5" customHeight="1" x14ac:dyDescent="0.25">
      <c r="A22" s="62" t="s">
        <v>284</v>
      </c>
      <c r="B22" s="19">
        <v>5499.99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SUM(Tabla24[[#This Row],[01. Alcaldía]:[11. Salud pública y seguridad ciudadana]])</f>
        <v>5499.99</v>
      </c>
    </row>
    <row r="23" spans="1:13" s="16" customFormat="1" ht="10.5" customHeight="1" x14ac:dyDescent="0.25">
      <c r="A23" s="62" t="s">
        <v>1193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600</v>
      </c>
      <c r="M23" s="23">
        <f>SUM(Tabla24[[#This Row],[01. Alcaldía]:[11. Salud pública y seguridad ciudadana]])</f>
        <v>600</v>
      </c>
    </row>
    <row r="24" spans="1:13" s="16" customFormat="1" ht="10.5" customHeight="1" x14ac:dyDescent="0.25">
      <c r="A24" s="62" t="s">
        <v>6030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215.99</v>
      </c>
      <c r="M24" s="23">
        <f>SUM(Tabla24[[#This Row],[01. Alcaldía]:[11. Salud pública y seguridad ciudadana]])</f>
        <v>215.99</v>
      </c>
    </row>
    <row r="25" spans="1:13" s="16" customFormat="1" ht="10.5" customHeight="1" x14ac:dyDescent="0.25">
      <c r="A25" s="62" t="s">
        <v>561</v>
      </c>
      <c r="B25" s="19">
        <v>1034.55</v>
      </c>
      <c r="C25" s="19"/>
      <c r="D25" s="19"/>
      <c r="E25" s="19">
        <v>14130.38</v>
      </c>
      <c r="F25" s="19"/>
      <c r="G25" s="19"/>
      <c r="H25" s="19"/>
      <c r="I25" s="19"/>
      <c r="J25" s="19"/>
      <c r="K25" s="19"/>
      <c r="L25" s="19"/>
      <c r="M25" s="23">
        <f>SUM(Tabla24[[#This Row],[01. Alcaldía]:[11. Salud pública y seguridad ciudadana]])</f>
        <v>15164.929999999998</v>
      </c>
    </row>
    <row r="26" spans="1:13" s="16" customFormat="1" ht="10.5" customHeight="1" x14ac:dyDescent="0.25">
      <c r="A26" s="62" t="s">
        <v>78</v>
      </c>
      <c r="B26" s="19"/>
      <c r="C26" s="19"/>
      <c r="D26" s="19">
        <v>67.89</v>
      </c>
      <c r="E26" s="19"/>
      <c r="F26" s="19"/>
      <c r="G26" s="19"/>
      <c r="H26" s="19"/>
      <c r="I26" s="19"/>
      <c r="J26" s="19"/>
      <c r="K26" s="19"/>
      <c r="L26" s="19"/>
      <c r="M26" s="23">
        <f>SUM(Tabla24[[#This Row],[01. Alcaldía]:[11. Salud pública y seguridad ciudadana]])</f>
        <v>67.89</v>
      </c>
    </row>
    <row r="27" spans="1:13" s="16" customFormat="1" ht="10.5" customHeight="1" x14ac:dyDescent="0.25">
      <c r="A27" s="62" t="s">
        <v>43</v>
      </c>
      <c r="B27" s="19"/>
      <c r="C27" s="19"/>
      <c r="D27" s="19"/>
      <c r="E27" s="19"/>
      <c r="F27" s="19"/>
      <c r="G27" s="19">
        <v>189.53</v>
      </c>
      <c r="H27" s="19"/>
      <c r="I27" s="19"/>
      <c r="J27" s="19"/>
      <c r="K27" s="19">
        <v>6934.44</v>
      </c>
      <c r="L27" s="19"/>
      <c r="M27" s="23">
        <f>SUM(Tabla24[[#This Row],[01. Alcaldía]:[11. Salud pública y seguridad ciudadana]])</f>
        <v>7123.9699999999993</v>
      </c>
    </row>
    <row r="28" spans="1:13" s="16" customFormat="1" ht="10.5" customHeight="1" x14ac:dyDescent="0.25">
      <c r="A28" s="62" t="s">
        <v>293</v>
      </c>
      <c r="B28" s="19"/>
      <c r="C28" s="19"/>
      <c r="D28" s="19"/>
      <c r="E28" s="19"/>
      <c r="F28" s="19"/>
      <c r="G28" s="19">
        <v>135.97</v>
      </c>
      <c r="H28" s="19"/>
      <c r="I28" s="19"/>
      <c r="J28" s="19"/>
      <c r="K28" s="19"/>
      <c r="L28" s="19"/>
      <c r="M28" s="23">
        <f>SUM(Tabla24[[#This Row],[01. Alcaldía]:[11. Salud pública y seguridad ciudadana]])</f>
        <v>135.97</v>
      </c>
    </row>
    <row r="29" spans="1:13" s="16" customFormat="1" ht="10.5" customHeight="1" x14ac:dyDescent="0.25">
      <c r="A29" s="62" t="s">
        <v>4561</v>
      </c>
      <c r="B29" s="19"/>
      <c r="C29" s="19"/>
      <c r="D29" s="19"/>
      <c r="E29" s="19"/>
      <c r="F29" s="19"/>
      <c r="G29" s="19">
        <v>128</v>
      </c>
      <c r="H29" s="19"/>
      <c r="I29" s="19"/>
      <c r="J29" s="19"/>
      <c r="K29" s="19"/>
      <c r="L29" s="19"/>
      <c r="M29" s="23">
        <f>SUM(Tabla24[[#This Row],[01. Alcaldía]:[11. Salud pública y seguridad ciudadana]])</f>
        <v>128</v>
      </c>
    </row>
    <row r="30" spans="1:13" s="16" customFormat="1" ht="10.5" customHeight="1" x14ac:dyDescent="0.25">
      <c r="A30" s="62" t="s">
        <v>191</v>
      </c>
      <c r="B30" s="19"/>
      <c r="C30" s="19"/>
      <c r="D30" s="19"/>
      <c r="E30" s="19">
        <v>13068</v>
      </c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13068</v>
      </c>
    </row>
    <row r="31" spans="1:13" s="16" customFormat="1" ht="10.5" customHeight="1" x14ac:dyDescent="0.25">
      <c r="A31" s="62" t="s">
        <v>1268</v>
      </c>
      <c r="B31" s="19"/>
      <c r="C31" s="19"/>
      <c r="D31" s="19">
        <v>7684.4</v>
      </c>
      <c r="E31" s="19"/>
      <c r="F31" s="19"/>
      <c r="G31" s="19">
        <v>7260</v>
      </c>
      <c r="H31" s="19"/>
      <c r="I31" s="19"/>
      <c r="J31" s="19"/>
      <c r="K31" s="19"/>
      <c r="L31" s="19"/>
      <c r="M31" s="23">
        <f>SUM(Tabla24[[#This Row],[01. Alcaldía]:[11. Salud pública y seguridad ciudadana]])</f>
        <v>14944.4</v>
      </c>
    </row>
    <row r="32" spans="1:13" s="16" customFormat="1" ht="10.5" customHeight="1" x14ac:dyDescent="0.25">
      <c r="A32" s="62" t="s">
        <v>5587</v>
      </c>
      <c r="B32" s="19"/>
      <c r="C32" s="19"/>
      <c r="D32" s="19"/>
      <c r="E32" s="19"/>
      <c r="F32" s="19"/>
      <c r="G32" s="19">
        <v>445</v>
      </c>
      <c r="H32" s="19"/>
      <c r="I32" s="19"/>
      <c r="J32" s="19"/>
      <c r="K32" s="19"/>
      <c r="L32" s="19"/>
      <c r="M32" s="23">
        <f>SUM(Tabla24[[#This Row],[01. Alcaldía]:[11. Salud pública y seguridad ciudadana]])</f>
        <v>445</v>
      </c>
    </row>
    <row r="33" spans="1:13" s="16" customFormat="1" x14ac:dyDescent="0.25">
      <c r="A33" s="62" t="s">
        <v>1289</v>
      </c>
      <c r="B33" s="19"/>
      <c r="C33" s="19"/>
      <c r="D33" s="19"/>
      <c r="E33" s="19">
        <v>17000</v>
      </c>
      <c r="F33" s="19"/>
      <c r="G33" s="19"/>
      <c r="H33" s="19"/>
      <c r="I33" s="19"/>
      <c r="J33" s="19"/>
      <c r="K33" s="19"/>
      <c r="L33" s="19"/>
      <c r="M33" s="23">
        <f>SUM(Tabla24[[#This Row],[01. Alcaldía]:[11. Salud pública y seguridad ciudadana]])</f>
        <v>17000</v>
      </c>
    </row>
    <row r="34" spans="1:13" s="16" customFormat="1" ht="10.5" customHeight="1" x14ac:dyDescent="0.25">
      <c r="A34" s="62" t="s">
        <v>3975</v>
      </c>
      <c r="B34" s="19">
        <v>1175.44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3">
        <f>SUM(Tabla24[[#This Row],[01. Alcaldía]:[11. Salud pública y seguridad ciudadana]])</f>
        <v>1175.44</v>
      </c>
    </row>
    <row r="35" spans="1:13" s="16" customFormat="1" ht="10.5" customHeight="1" x14ac:dyDescent="0.25">
      <c r="A35" s="62" t="s">
        <v>89</v>
      </c>
      <c r="B35" s="19"/>
      <c r="C35" s="19"/>
      <c r="D35" s="19"/>
      <c r="E35" s="19"/>
      <c r="F35" s="19"/>
      <c r="G35" s="19">
        <v>4112.18</v>
      </c>
      <c r="H35" s="19"/>
      <c r="I35" s="19"/>
      <c r="J35" s="19"/>
      <c r="K35" s="19"/>
      <c r="L35" s="19"/>
      <c r="M35" s="23">
        <f>SUM(Tabla24[[#This Row],[01. Alcaldía]:[11. Salud pública y seguridad ciudadana]])</f>
        <v>4112.18</v>
      </c>
    </row>
    <row r="36" spans="1:13" s="16" customFormat="1" ht="10.5" customHeight="1" x14ac:dyDescent="0.25">
      <c r="A36" s="62" t="s">
        <v>298</v>
      </c>
      <c r="B36" s="19"/>
      <c r="C36" s="19"/>
      <c r="D36" s="19">
        <v>112.8</v>
      </c>
      <c r="E36" s="19"/>
      <c r="F36" s="19"/>
      <c r="G36" s="19"/>
      <c r="H36" s="19"/>
      <c r="I36" s="19"/>
      <c r="J36" s="19"/>
      <c r="K36" s="19">
        <v>5844.78</v>
      </c>
      <c r="L36" s="19"/>
      <c r="M36" s="23">
        <f>SUM(Tabla24[[#This Row],[01. Alcaldía]:[11. Salud pública y seguridad ciudadana]])</f>
        <v>5957.58</v>
      </c>
    </row>
    <row r="37" spans="1:13" s="16" customFormat="1" ht="10.5" customHeight="1" x14ac:dyDescent="0.25">
      <c r="A37" s="62" t="s">
        <v>2697</v>
      </c>
      <c r="B37" s="19"/>
      <c r="C37" s="19"/>
      <c r="D37" s="19">
        <v>323.31</v>
      </c>
      <c r="E37" s="19"/>
      <c r="F37" s="19"/>
      <c r="G37" s="19">
        <v>1739</v>
      </c>
      <c r="H37" s="19"/>
      <c r="I37" s="19"/>
      <c r="J37" s="19"/>
      <c r="K37" s="19"/>
      <c r="L37" s="19"/>
      <c r="M37" s="23">
        <f>SUM(Tabla24[[#This Row],[01. Alcaldía]:[11. Salud pública y seguridad ciudadana]])</f>
        <v>2062.31</v>
      </c>
    </row>
    <row r="38" spans="1:13" s="16" customFormat="1" ht="10.5" customHeight="1" x14ac:dyDescent="0.25">
      <c r="A38" s="62" t="s">
        <v>312</v>
      </c>
      <c r="B38" s="19"/>
      <c r="C38" s="19"/>
      <c r="D38" s="19"/>
      <c r="E38" s="19"/>
      <c r="F38" s="19"/>
      <c r="G38" s="19"/>
      <c r="H38" s="19"/>
      <c r="I38" s="19"/>
      <c r="J38" s="19">
        <v>2131.41</v>
      </c>
      <c r="K38" s="19"/>
      <c r="L38" s="19"/>
      <c r="M38" s="23">
        <f>SUM(Tabla24[[#This Row],[01. Alcaldía]:[11. Salud pública y seguridad ciudadana]])</f>
        <v>2131.41</v>
      </c>
    </row>
    <row r="39" spans="1:13" s="16" customFormat="1" ht="10.5" customHeight="1" x14ac:dyDescent="0.25">
      <c r="A39" s="62" t="s">
        <v>4543</v>
      </c>
      <c r="B39" s="19"/>
      <c r="C39" s="19"/>
      <c r="D39" s="19"/>
      <c r="E39" s="19"/>
      <c r="F39" s="19"/>
      <c r="G39" s="19">
        <v>139.72999999999999</v>
      </c>
      <c r="H39" s="19"/>
      <c r="I39" s="19"/>
      <c r="J39" s="19"/>
      <c r="K39" s="19"/>
      <c r="L39" s="19"/>
      <c r="M39" s="23">
        <f>SUM(Tabla24[[#This Row],[01. Alcaldía]:[11. Salud pública y seguridad ciudadana]])</f>
        <v>139.72999999999999</v>
      </c>
    </row>
    <row r="40" spans="1:13" s="16" customFormat="1" ht="10.5" customHeight="1" x14ac:dyDescent="0.25">
      <c r="A40" s="62" t="s">
        <v>1297</v>
      </c>
      <c r="B40" s="19"/>
      <c r="C40" s="19"/>
      <c r="D40" s="19"/>
      <c r="E40" s="19"/>
      <c r="F40" s="19"/>
      <c r="G40" s="19"/>
      <c r="H40" s="19"/>
      <c r="I40" s="19">
        <v>4840</v>
      </c>
      <c r="J40" s="19"/>
      <c r="K40" s="19"/>
      <c r="L40" s="19"/>
      <c r="M40" s="23">
        <f>SUM(Tabla24[[#This Row],[01. Alcaldía]:[11. Salud pública y seguridad ciudadana]])</f>
        <v>4840</v>
      </c>
    </row>
    <row r="41" spans="1:13" s="16" customFormat="1" ht="10.5" customHeight="1" x14ac:dyDescent="0.25">
      <c r="A41" s="62" t="s">
        <v>275</v>
      </c>
      <c r="B41" s="19"/>
      <c r="C41" s="19"/>
      <c r="D41" s="19">
        <v>978.08</v>
      </c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978.08</v>
      </c>
    </row>
    <row r="42" spans="1:13" s="16" customFormat="1" ht="10.5" customHeight="1" x14ac:dyDescent="0.25">
      <c r="A42" s="62" t="s">
        <v>301</v>
      </c>
      <c r="B42" s="19"/>
      <c r="C42" s="19">
        <v>1233.94</v>
      </c>
      <c r="D42" s="19"/>
      <c r="E42" s="19"/>
      <c r="F42" s="19"/>
      <c r="G42" s="19"/>
      <c r="H42" s="19"/>
      <c r="I42" s="19">
        <v>2420</v>
      </c>
      <c r="J42" s="19"/>
      <c r="K42" s="19"/>
      <c r="L42" s="19"/>
      <c r="M42" s="23">
        <f>SUM(Tabla24[[#This Row],[01. Alcaldía]:[11. Salud pública y seguridad ciudadana]])</f>
        <v>3653.94</v>
      </c>
    </row>
    <row r="43" spans="1:13" s="16" customFormat="1" ht="10.5" customHeight="1" x14ac:dyDescent="0.25">
      <c r="A43" s="62" t="s">
        <v>6038</v>
      </c>
      <c r="B43" s="19">
        <v>6731.04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3">
        <f>SUM(Tabla24[[#This Row],[01. Alcaldía]:[11. Salud pública y seguridad ciudadana]])</f>
        <v>6731.04</v>
      </c>
    </row>
    <row r="44" spans="1:13" s="16" customFormat="1" ht="10.5" customHeight="1" x14ac:dyDescent="0.25">
      <c r="A44" s="62" t="s">
        <v>4663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75.02</v>
      </c>
      <c r="M44" s="23">
        <f>SUM(Tabla24[[#This Row],[01. Alcaldía]:[11. Salud pública y seguridad ciudadana]])</f>
        <v>75.02</v>
      </c>
    </row>
    <row r="45" spans="1:13" s="16" customFormat="1" ht="10.5" customHeight="1" x14ac:dyDescent="0.25">
      <c r="A45" s="62" t="s">
        <v>1311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198.2</v>
      </c>
      <c r="M45" s="23">
        <f>SUM(Tabla24[[#This Row],[01. Alcaldía]:[11. Salud pública y seguridad ciudadana]])</f>
        <v>198.2</v>
      </c>
    </row>
    <row r="46" spans="1:13" s="16" customFormat="1" ht="10.5" customHeight="1" x14ac:dyDescent="0.25">
      <c r="A46" s="62" t="s">
        <v>102</v>
      </c>
      <c r="B46" s="19">
        <v>502.45</v>
      </c>
      <c r="C46" s="19"/>
      <c r="D46" s="19"/>
      <c r="E46" s="19"/>
      <c r="F46" s="19"/>
      <c r="G46" s="19">
        <v>1750</v>
      </c>
      <c r="H46" s="19"/>
      <c r="I46" s="19"/>
      <c r="J46" s="19"/>
      <c r="K46" s="19"/>
      <c r="L46" s="19"/>
      <c r="M46" s="23">
        <f>SUM(Tabla24[[#This Row],[01. Alcaldía]:[11. Salud pública y seguridad ciudadana]])</f>
        <v>2252.4499999999998</v>
      </c>
    </row>
    <row r="47" spans="1:13" s="16" customFormat="1" x14ac:dyDescent="0.25">
      <c r="A47" s="62" t="s">
        <v>287</v>
      </c>
      <c r="B47" s="19"/>
      <c r="C47" s="19"/>
      <c r="D47" s="19"/>
      <c r="E47" s="19">
        <v>771.13</v>
      </c>
      <c r="F47" s="19"/>
      <c r="G47" s="19"/>
      <c r="H47" s="19"/>
      <c r="I47" s="19"/>
      <c r="J47" s="19"/>
      <c r="K47" s="19"/>
      <c r="L47" s="19"/>
      <c r="M47" s="23">
        <f>SUM(Tabla24[[#This Row],[01. Alcaldía]:[11. Salud pública y seguridad ciudadana]])</f>
        <v>771.13</v>
      </c>
    </row>
    <row r="48" spans="1:13" s="16" customFormat="1" x14ac:dyDescent="0.25">
      <c r="A48" s="62" t="s">
        <v>3431</v>
      </c>
      <c r="B48" s="19"/>
      <c r="C48" s="19"/>
      <c r="D48" s="19"/>
      <c r="E48" s="19"/>
      <c r="F48" s="19"/>
      <c r="G48" s="19"/>
      <c r="H48" s="19"/>
      <c r="I48" s="19">
        <v>906.29</v>
      </c>
      <c r="J48" s="19"/>
      <c r="K48" s="19"/>
      <c r="L48" s="19"/>
      <c r="M48" s="23">
        <f>SUM(Tabla24[[#This Row],[01. Alcaldía]:[11. Salud pública y seguridad ciudadana]])</f>
        <v>906.29</v>
      </c>
    </row>
    <row r="49" spans="1:13" s="16" customFormat="1" ht="10.5" customHeight="1" x14ac:dyDescent="0.25">
      <c r="A49" s="62" t="s">
        <v>1419</v>
      </c>
      <c r="B49" s="19"/>
      <c r="C49" s="19"/>
      <c r="D49" s="19"/>
      <c r="E49" s="19"/>
      <c r="F49" s="19"/>
      <c r="G49" s="19">
        <v>66.010000000000005</v>
      </c>
      <c r="H49" s="19"/>
      <c r="I49" s="19"/>
      <c r="J49" s="19"/>
      <c r="K49" s="19"/>
      <c r="L49" s="19"/>
      <c r="M49" s="23">
        <f>SUM(Tabla24[[#This Row],[01. Alcaldía]:[11. Salud pública y seguridad ciudadana]])</f>
        <v>66.010000000000005</v>
      </c>
    </row>
    <row r="50" spans="1:13" s="16" customFormat="1" ht="10.5" customHeight="1" x14ac:dyDescent="0.25">
      <c r="A50" s="62" t="s">
        <v>5097</v>
      </c>
      <c r="B50" s="19"/>
      <c r="C50" s="19">
        <v>1656.2</v>
      </c>
      <c r="D50" s="19"/>
      <c r="E50" s="19"/>
      <c r="F50" s="19"/>
      <c r="G50" s="19"/>
      <c r="H50" s="19"/>
      <c r="I50" s="19"/>
      <c r="J50" s="19"/>
      <c r="K50" s="19"/>
      <c r="L50" s="19"/>
      <c r="M50" s="23">
        <f>SUM(Tabla24[[#This Row],[01. Alcaldía]:[11. Salud pública y seguridad ciudadana]])</f>
        <v>1656.2</v>
      </c>
    </row>
    <row r="51" spans="1:13" s="16" customFormat="1" ht="10.5" customHeight="1" x14ac:dyDescent="0.25">
      <c r="A51" s="62" t="s">
        <v>48</v>
      </c>
      <c r="B51" s="19">
        <v>1134.8</v>
      </c>
      <c r="C51" s="19">
        <v>1840.54</v>
      </c>
      <c r="D51" s="19"/>
      <c r="E51" s="19"/>
      <c r="F51" s="19"/>
      <c r="G51" s="19"/>
      <c r="H51" s="19"/>
      <c r="I51" s="19">
        <v>17883.009999999998</v>
      </c>
      <c r="J51" s="19"/>
      <c r="K51" s="19">
        <v>1024.8699999999999</v>
      </c>
      <c r="L51" s="19">
        <v>4000</v>
      </c>
      <c r="M51" s="23">
        <f>SUM(Tabla24[[#This Row],[01. Alcaldía]:[11. Salud pública y seguridad ciudadana]])</f>
        <v>25883.219999999998</v>
      </c>
    </row>
    <row r="52" spans="1:13" s="16" customFormat="1" ht="10.5" customHeight="1" x14ac:dyDescent="0.25">
      <c r="A52" s="62" t="s">
        <v>267</v>
      </c>
      <c r="B52" s="19"/>
      <c r="C52" s="19"/>
      <c r="D52" s="19"/>
      <c r="E52" s="19"/>
      <c r="F52" s="19"/>
      <c r="G52" s="19">
        <v>470</v>
      </c>
      <c r="H52" s="19">
        <v>4000</v>
      </c>
      <c r="I52" s="19"/>
      <c r="J52" s="19"/>
      <c r="K52" s="19">
        <v>341.22</v>
      </c>
      <c r="L52" s="19">
        <v>299.8</v>
      </c>
      <c r="M52" s="23">
        <f>SUM(Tabla24[[#This Row],[01. Alcaldía]:[11. Salud pública y seguridad ciudadana]])</f>
        <v>5111.0200000000004</v>
      </c>
    </row>
    <row r="53" spans="1:13" s="16" customFormat="1" x14ac:dyDescent="0.25">
      <c r="A53" s="62" t="s">
        <v>214</v>
      </c>
      <c r="B53" s="19">
        <v>1353.46</v>
      </c>
      <c r="C53" s="19"/>
      <c r="D53" s="19">
        <v>14.75</v>
      </c>
      <c r="E53" s="19">
        <v>1066.01</v>
      </c>
      <c r="F53" s="19"/>
      <c r="G53" s="19"/>
      <c r="H53" s="19"/>
      <c r="I53" s="19"/>
      <c r="J53" s="19"/>
      <c r="K53" s="19"/>
      <c r="L53" s="19"/>
      <c r="M53" s="23">
        <f>SUM(Tabla24[[#This Row],[01. Alcaldía]:[11. Salud pública y seguridad ciudadana]])</f>
        <v>2434.2200000000003</v>
      </c>
    </row>
    <row r="54" spans="1:13" s="16" customFormat="1" ht="10.5" customHeight="1" x14ac:dyDescent="0.25">
      <c r="A54" s="62" t="s">
        <v>1383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8447.75</v>
      </c>
      <c r="M54" s="23">
        <f>SUM(Tabla24[[#This Row],[01. Alcaldía]:[11. Salud pública y seguridad ciudadana]])</f>
        <v>8447.75</v>
      </c>
    </row>
    <row r="55" spans="1:13" s="16" customFormat="1" ht="10.5" customHeight="1" x14ac:dyDescent="0.25">
      <c r="A55" s="62" t="s">
        <v>75</v>
      </c>
      <c r="B55" s="19"/>
      <c r="C55" s="19"/>
      <c r="D55" s="19"/>
      <c r="E55" s="19"/>
      <c r="F55" s="19"/>
      <c r="G55" s="19"/>
      <c r="H55" s="19">
        <v>244.9</v>
      </c>
      <c r="I55" s="19"/>
      <c r="J55" s="19"/>
      <c r="K55" s="19"/>
      <c r="L55" s="19">
        <v>2000</v>
      </c>
      <c r="M55" s="23">
        <f>SUM(Tabla24[[#This Row],[01. Alcaldía]:[11. Salud pública y seguridad ciudadana]])</f>
        <v>2244.9</v>
      </c>
    </row>
    <row r="56" spans="1:13" s="16" customFormat="1" ht="10.5" customHeight="1" x14ac:dyDescent="0.25">
      <c r="A56" s="62" t="s">
        <v>239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856.1</v>
      </c>
      <c r="M56" s="23">
        <f>SUM(Tabla24[[#This Row],[01. Alcaldía]:[11. Salud pública y seguridad ciudadana]])</f>
        <v>856.1</v>
      </c>
    </row>
    <row r="57" spans="1:13" s="16" customFormat="1" ht="10.5" customHeight="1" x14ac:dyDescent="0.25">
      <c r="A57" s="62" t="s">
        <v>4805</v>
      </c>
      <c r="B57" s="19">
        <v>24.29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3">
        <f>SUM(Tabla24[[#This Row],[01. Alcaldía]:[11. Salud pública y seguridad ciudadana]])</f>
        <v>24.29</v>
      </c>
    </row>
    <row r="58" spans="1:13" s="16" customFormat="1" ht="10.5" customHeight="1" x14ac:dyDescent="0.25">
      <c r="A58" s="62" t="s">
        <v>1407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766.32999999999993</v>
      </c>
      <c r="L58" s="19"/>
      <c r="M58" s="23">
        <f>SUM(Tabla24[[#This Row],[01. Alcaldía]:[11. Salud pública y seguridad ciudadana]])</f>
        <v>766.32999999999993</v>
      </c>
    </row>
    <row r="59" spans="1:13" s="16" customFormat="1" ht="10.5" customHeight="1" x14ac:dyDescent="0.25">
      <c r="A59" s="62" t="s">
        <v>580</v>
      </c>
      <c r="B59" s="19"/>
      <c r="C59" s="19">
        <v>7260</v>
      </c>
      <c r="D59" s="19"/>
      <c r="E59" s="19"/>
      <c r="F59" s="19"/>
      <c r="G59" s="19"/>
      <c r="H59" s="19"/>
      <c r="I59" s="19"/>
      <c r="J59" s="19"/>
      <c r="K59" s="19"/>
      <c r="L59" s="19"/>
      <c r="M59" s="23">
        <f>SUM(Tabla24[[#This Row],[01. Alcaldía]:[11. Salud pública y seguridad ciudadana]])</f>
        <v>7260</v>
      </c>
    </row>
    <row r="60" spans="1:13" s="16" customFormat="1" ht="10.5" customHeight="1" x14ac:dyDescent="0.25">
      <c r="A60" s="62" t="s">
        <v>3512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17413.11</v>
      </c>
      <c r="M60" s="23">
        <f>SUM(Tabla24[[#This Row],[01. Alcaldía]:[11. Salud pública y seguridad ciudadana]])</f>
        <v>17413.11</v>
      </c>
    </row>
    <row r="61" spans="1:13" s="16" customFormat="1" ht="10.5" customHeight="1" x14ac:dyDescent="0.25">
      <c r="A61" s="62" t="s">
        <v>4055</v>
      </c>
      <c r="B61" s="19"/>
      <c r="C61" s="19"/>
      <c r="D61" s="19">
        <v>918.7</v>
      </c>
      <c r="E61" s="19"/>
      <c r="F61" s="19"/>
      <c r="G61" s="19"/>
      <c r="H61" s="19"/>
      <c r="I61" s="19"/>
      <c r="J61" s="19"/>
      <c r="K61" s="19"/>
      <c r="L61" s="19"/>
      <c r="M61" s="23">
        <f>SUM(Tabla24[[#This Row],[01. Alcaldía]:[11. Salud pública y seguridad ciudadana]])</f>
        <v>918.7</v>
      </c>
    </row>
    <row r="62" spans="1:13" s="16" customFormat="1" ht="10.5" customHeight="1" x14ac:dyDescent="0.25">
      <c r="A62" s="62" t="s">
        <v>5157</v>
      </c>
      <c r="B62" s="19"/>
      <c r="C62" s="19"/>
      <c r="D62" s="19"/>
      <c r="E62" s="19"/>
      <c r="F62" s="19"/>
      <c r="G62" s="19"/>
      <c r="H62" s="19"/>
      <c r="I62" s="19">
        <v>1578.64</v>
      </c>
      <c r="J62" s="19"/>
      <c r="K62" s="19"/>
      <c r="L62" s="19"/>
      <c r="M62" s="23">
        <f>SUM(Tabla24[[#This Row],[01. Alcaldía]:[11. Salud pública y seguridad ciudadana]])</f>
        <v>1578.64</v>
      </c>
    </row>
    <row r="63" spans="1:13" s="16" customFormat="1" ht="10.5" customHeight="1" x14ac:dyDescent="0.25">
      <c r="A63" s="62" t="s">
        <v>5160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252.5</v>
      </c>
      <c r="M63" s="23">
        <f>SUM(Tabla24[[#This Row],[01. Alcaldía]:[11. Salud pública y seguridad ciudadana]])</f>
        <v>252.5</v>
      </c>
    </row>
    <row r="64" spans="1:13" s="16" customFormat="1" ht="10.5" customHeight="1" x14ac:dyDescent="0.25">
      <c r="A64" s="62" t="s">
        <v>4301</v>
      </c>
      <c r="B64" s="19"/>
      <c r="C64" s="19"/>
      <c r="D64" s="19"/>
      <c r="E64" s="19"/>
      <c r="F64" s="19"/>
      <c r="G64" s="19">
        <v>375</v>
      </c>
      <c r="H64" s="19"/>
      <c r="I64" s="19"/>
      <c r="J64" s="19"/>
      <c r="K64" s="19"/>
      <c r="L64" s="19"/>
      <c r="M64" s="23">
        <f>SUM(Tabla24[[#This Row],[01. Alcaldía]:[11. Salud pública y seguridad ciudadana]])</f>
        <v>375</v>
      </c>
    </row>
    <row r="65" spans="1:13" s="16" customFormat="1" ht="10.5" customHeight="1" x14ac:dyDescent="0.25">
      <c r="A65" s="62" t="s">
        <v>3822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2500</v>
      </c>
      <c r="M65" s="23">
        <f>SUM(Tabla24[[#This Row],[01. Alcaldía]:[11. Salud pública y seguridad ciudadana]])</f>
        <v>2500</v>
      </c>
    </row>
    <row r="66" spans="1:13" s="16" customFormat="1" ht="10.5" customHeight="1" x14ac:dyDescent="0.25">
      <c r="A66" s="62" t="s">
        <v>3584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7260</v>
      </c>
      <c r="M66" s="23">
        <f>SUM(Tabla24[[#This Row],[01. Alcaldía]:[11. Salud pública y seguridad ciudadana]])</f>
        <v>7260</v>
      </c>
    </row>
    <row r="67" spans="1:13" s="16" customFormat="1" ht="10.5" customHeight="1" x14ac:dyDescent="0.25">
      <c r="A67" s="62" t="s">
        <v>1439</v>
      </c>
      <c r="B67" s="19">
        <v>626.78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3">
        <f>SUM(Tabla24[[#This Row],[01. Alcaldía]:[11. Salud pública y seguridad ciudadana]])</f>
        <v>626.78</v>
      </c>
    </row>
    <row r="68" spans="1:13" s="16" customFormat="1" ht="10.5" customHeight="1" x14ac:dyDescent="0.25">
      <c r="A68" s="62" t="s">
        <v>83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3000</v>
      </c>
      <c r="M68" s="23">
        <f>SUM(Tabla24[[#This Row],[01. Alcaldía]:[11. Salud pública y seguridad ciudadana]])</f>
        <v>3000</v>
      </c>
    </row>
    <row r="69" spans="1:13" s="16" customFormat="1" ht="10.5" customHeight="1" x14ac:dyDescent="0.25">
      <c r="A69" s="62" t="s">
        <v>1450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1540.38</v>
      </c>
      <c r="M69" s="23">
        <f>SUM(Tabla24[[#This Row],[01. Alcaldía]:[11. Salud pública y seguridad ciudadana]])</f>
        <v>1540.38</v>
      </c>
    </row>
    <row r="70" spans="1:13" s="16" customFormat="1" ht="10.5" customHeight="1" x14ac:dyDescent="0.25">
      <c r="A70" s="62" t="s">
        <v>4576</v>
      </c>
      <c r="B70" s="19"/>
      <c r="C70" s="19">
        <v>120.02</v>
      </c>
      <c r="D70" s="19"/>
      <c r="E70" s="19"/>
      <c r="F70" s="19"/>
      <c r="G70" s="19"/>
      <c r="H70" s="19"/>
      <c r="I70" s="19"/>
      <c r="J70" s="19"/>
      <c r="K70" s="19"/>
      <c r="L70" s="19">
        <v>8.1999999999999993</v>
      </c>
      <c r="M70" s="23">
        <f>SUM(Tabla24[[#This Row],[01. Alcaldía]:[11. Salud pública y seguridad ciudadana]])</f>
        <v>128.22</v>
      </c>
    </row>
    <row r="71" spans="1:13" s="16" customFormat="1" ht="10.5" customHeight="1" x14ac:dyDescent="0.25">
      <c r="A71" s="62" t="s">
        <v>135</v>
      </c>
      <c r="B71" s="19"/>
      <c r="C71" s="19"/>
      <c r="D71" s="19"/>
      <c r="E71" s="19">
        <v>2032.8</v>
      </c>
      <c r="F71" s="19"/>
      <c r="G71" s="19"/>
      <c r="H71" s="19"/>
      <c r="I71" s="19"/>
      <c r="J71" s="19"/>
      <c r="K71" s="19"/>
      <c r="L71" s="19"/>
      <c r="M71" s="23">
        <f>SUM(Tabla24[[#This Row],[01. Alcaldía]:[11. Salud pública y seguridad ciudadana]])</f>
        <v>2032.8</v>
      </c>
    </row>
    <row r="72" spans="1:13" s="16" customFormat="1" ht="10.5" customHeight="1" x14ac:dyDescent="0.25">
      <c r="A72" s="62" t="s">
        <v>2841</v>
      </c>
      <c r="B72" s="19">
        <v>705.67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23">
        <f>SUM(Tabla24[[#This Row],[01. Alcaldía]:[11. Salud pública y seguridad ciudadana]])</f>
        <v>705.67</v>
      </c>
    </row>
    <row r="73" spans="1:13" s="16" customFormat="1" ht="10.5" customHeight="1" x14ac:dyDescent="0.25">
      <c r="A73" s="62" t="s">
        <v>57</v>
      </c>
      <c r="B73" s="19">
        <v>4351.9399999999996</v>
      </c>
      <c r="C73" s="19">
        <v>160</v>
      </c>
      <c r="D73" s="19">
        <v>536.15</v>
      </c>
      <c r="E73" s="19"/>
      <c r="F73" s="19"/>
      <c r="G73" s="19"/>
      <c r="H73" s="19"/>
      <c r="I73" s="19">
        <v>650</v>
      </c>
      <c r="J73" s="19"/>
      <c r="K73" s="19"/>
      <c r="L73" s="19"/>
      <c r="M73" s="23">
        <f>SUM(Tabla24[[#This Row],[01. Alcaldía]:[11. Salud pública y seguridad ciudadana]])</f>
        <v>5698.0899999999992</v>
      </c>
    </row>
    <row r="74" spans="1:13" s="16" customFormat="1" ht="10.5" customHeight="1" x14ac:dyDescent="0.25">
      <c r="A74" s="62" t="s">
        <v>4456</v>
      </c>
      <c r="B74" s="19"/>
      <c r="C74" s="19"/>
      <c r="D74" s="19"/>
      <c r="E74" s="19"/>
      <c r="F74" s="19"/>
      <c r="G74" s="19">
        <v>209.01</v>
      </c>
      <c r="H74" s="19"/>
      <c r="I74" s="19"/>
      <c r="J74" s="19"/>
      <c r="K74" s="19"/>
      <c r="L74" s="19"/>
      <c r="M74" s="23">
        <f>SUM(Tabla24[[#This Row],[01. Alcaldía]:[11. Salud pública y seguridad ciudadana]])</f>
        <v>209.01</v>
      </c>
    </row>
    <row r="75" spans="1:13" s="16" customFormat="1" ht="10.5" customHeight="1" x14ac:dyDescent="0.25">
      <c r="A75" s="62" t="s">
        <v>302</v>
      </c>
      <c r="B75" s="19"/>
      <c r="C75" s="19">
        <v>2200</v>
      </c>
      <c r="D75" s="19">
        <v>104.5</v>
      </c>
      <c r="E75" s="19"/>
      <c r="F75" s="19"/>
      <c r="G75" s="19">
        <v>9070</v>
      </c>
      <c r="H75" s="19"/>
      <c r="I75" s="19"/>
      <c r="J75" s="19"/>
      <c r="K75" s="19"/>
      <c r="L75" s="19"/>
      <c r="M75" s="23">
        <f>SUM(Tabla24[[#This Row],[01. Alcaldía]:[11. Salud pública y seguridad ciudadana]])</f>
        <v>11374.5</v>
      </c>
    </row>
    <row r="76" spans="1:13" s="16" customFormat="1" ht="10.5" customHeight="1" x14ac:dyDescent="0.25">
      <c r="A76" s="62" t="s">
        <v>110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17904.060000000001</v>
      </c>
      <c r="M76" s="23">
        <f>SUM(Tabla24[[#This Row],[01. Alcaldía]:[11. Salud pública y seguridad ciudadana]])</f>
        <v>17904.060000000001</v>
      </c>
    </row>
    <row r="77" spans="1:13" s="16" customFormat="1" ht="10.5" customHeight="1" x14ac:dyDescent="0.25">
      <c r="A77" s="62" t="s">
        <v>1514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7980.19</v>
      </c>
      <c r="M77" s="23">
        <f>SUM(Tabla24[[#This Row],[01. Alcaldía]:[11. Salud pública y seguridad ciudadana]])</f>
        <v>7980.19</v>
      </c>
    </row>
    <row r="78" spans="1:13" s="16" customFormat="1" ht="10.5" customHeight="1" x14ac:dyDescent="0.25">
      <c r="A78" s="62" t="s">
        <v>50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390.23</v>
      </c>
      <c r="M78" s="23">
        <f>SUM(Tabla24[[#This Row],[01. Alcaldía]:[11. Salud pública y seguridad ciudadana]])</f>
        <v>390.23</v>
      </c>
    </row>
    <row r="79" spans="1:13" s="16" customFormat="1" ht="10.5" customHeight="1" x14ac:dyDescent="0.25">
      <c r="A79" s="62" t="s">
        <v>521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4500</v>
      </c>
      <c r="M79" s="23">
        <f>SUM(Tabla24[[#This Row],[01. Alcaldía]:[11. Salud pública y seguridad ciudadana]])</f>
        <v>4500</v>
      </c>
    </row>
    <row r="80" spans="1:13" s="16" customFormat="1" ht="10.5" customHeight="1" x14ac:dyDescent="0.25">
      <c r="A80" s="62" t="s">
        <v>154</v>
      </c>
      <c r="B80" s="19"/>
      <c r="C80" s="19"/>
      <c r="D80" s="19"/>
      <c r="E80" s="19"/>
      <c r="F80" s="19"/>
      <c r="G80" s="19"/>
      <c r="H80" s="19"/>
      <c r="I80" s="19">
        <v>6947.82</v>
      </c>
      <c r="J80" s="19"/>
      <c r="K80" s="19"/>
      <c r="L80" s="19"/>
      <c r="M80" s="23">
        <f>SUM(Tabla24[[#This Row],[01. Alcaldía]:[11. Salud pública y seguridad ciudadana]])</f>
        <v>6947.82</v>
      </c>
    </row>
    <row r="81" spans="1:13" s="16" customFormat="1" ht="10.5" customHeight="1" x14ac:dyDescent="0.25">
      <c r="A81" s="62" t="s">
        <v>4088</v>
      </c>
      <c r="B81" s="19"/>
      <c r="C81" s="19"/>
      <c r="D81" s="19"/>
      <c r="E81" s="19"/>
      <c r="F81" s="19"/>
      <c r="G81" s="19"/>
      <c r="H81" s="19">
        <v>8999.01</v>
      </c>
      <c r="I81" s="19"/>
      <c r="J81" s="19"/>
      <c r="K81" s="19"/>
      <c r="L81" s="19"/>
      <c r="M81" s="23">
        <f>SUM(Tabla24[[#This Row],[01. Alcaldía]:[11. Salud pública y seguridad ciudadana]])</f>
        <v>8999.01</v>
      </c>
    </row>
    <row r="82" spans="1:13" s="16" customFormat="1" ht="10.5" customHeight="1" x14ac:dyDescent="0.25">
      <c r="A82" s="62" t="s">
        <v>4757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36.299999999999997</v>
      </c>
      <c r="M82" s="23">
        <f>SUM(Tabla24[[#This Row],[01. Alcaldía]:[11. Salud pública y seguridad ciudadana]])</f>
        <v>36.299999999999997</v>
      </c>
    </row>
    <row r="83" spans="1:13" s="16" customFormat="1" ht="10.5" customHeight="1" x14ac:dyDescent="0.25">
      <c r="A83" s="62" t="s">
        <v>3240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1161.5999999999999</v>
      </c>
      <c r="M83" s="23">
        <f>SUM(Tabla24[[#This Row],[01. Alcaldía]:[11. Salud pública y seguridad ciudadana]])</f>
        <v>1161.5999999999999</v>
      </c>
    </row>
    <row r="84" spans="1:13" s="16" customFormat="1" ht="10.5" customHeight="1" x14ac:dyDescent="0.25">
      <c r="A84" s="62" t="s">
        <v>4407</v>
      </c>
      <c r="B84" s="19"/>
      <c r="C84" s="19">
        <v>255.31</v>
      </c>
      <c r="D84" s="19"/>
      <c r="E84" s="19"/>
      <c r="F84" s="19"/>
      <c r="G84" s="19"/>
      <c r="H84" s="19"/>
      <c r="I84" s="19"/>
      <c r="J84" s="19"/>
      <c r="K84" s="19"/>
      <c r="L84" s="19"/>
      <c r="M84" s="23">
        <f>SUM(Tabla24[[#This Row],[01. Alcaldía]:[11. Salud pública y seguridad ciudadana]])</f>
        <v>255.31</v>
      </c>
    </row>
    <row r="85" spans="1:13" s="16" customFormat="1" x14ac:dyDescent="0.25">
      <c r="A85" s="62" t="s">
        <v>91</v>
      </c>
      <c r="B85" s="19"/>
      <c r="C85" s="19">
        <v>587.02</v>
      </c>
      <c r="D85" s="19">
        <v>128.91</v>
      </c>
      <c r="E85" s="19"/>
      <c r="F85" s="19"/>
      <c r="G85" s="19"/>
      <c r="H85" s="19"/>
      <c r="I85" s="19">
        <v>11495</v>
      </c>
      <c r="J85" s="19"/>
      <c r="K85" s="19"/>
      <c r="L85" s="19"/>
      <c r="M85" s="23">
        <f>SUM(Tabla24[[#This Row],[01. Alcaldía]:[11. Salud pública y seguridad ciudadana]])</f>
        <v>12210.93</v>
      </c>
    </row>
    <row r="86" spans="1:13" s="16" customFormat="1" ht="10.5" customHeight="1" x14ac:dyDescent="0.25">
      <c r="A86" s="62" t="s">
        <v>4348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302.5</v>
      </c>
      <c r="M86" s="23">
        <f>SUM(Tabla24[[#This Row],[01. Alcaldía]:[11. Salud pública y seguridad ciudadana]])</f>
        <v>302.5</v>
      </c>
    </row>
    <row r="87" spans="1:13" s="16" customFormat="1" ht="10.5" customHeight="1" x14ac:dyDescent="0.25">
      <c r="A87" s="62" t="s">
        <v>4148</v>
      </c>
      <c r="B87" s="19">
        <v>656.01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3">
        <f>SUM(Tabla24[[#This Row],[01. Alcaldía]:[11. Salud pública y seguridad ciudadana]])</f>
        <v>656.01</v>
      </c>
    </row>
    <row r="88" spans="1:13" s="16" customFormat="1" ht="10.5" customHeight="1" x14ac:dyDescent="0.25">
      <c r="A88" s="62" t="s">
        <v>5249</v>
      </c>
      <c r="B88" s="19"/>
      <c r="C88" s="19"/>
      <c r="D88" s="19"/>
      <c r="E88" s="19"/>
      <c r="F88" s="19"/>
      <c r="G88" s="19">
        <v>57.03</v>
      </c>
      <c r="H88" s="19"/>
      <c r="I88" s="19"/>
      <c r="J88" s="19"/>
      <c r="K88" s="19"/>
      <c r="L88" s="19"/>
      <c r="M88" s="23">
        <f>SUM(Tabla24[[#This Row],[01. Alcaldía]:[11. Salud pública y seguridad ciudadana]])</f>
        <v>57.03</v>
      </c>
    </row>
    <row r="89" spans="1:13" s="16" customFormat="1" ht="10.5" customHeight="1" x14ac:dyDescent="0.25">
      <c r="A89" s="62" t="s">
        <v>60</v>
      </c>
      <c r="B89" s="19"/>
      <c r="C89" s="19"/>
      <c r="D89" s="19">
        <v>115.68</v>
      </c>
      <c r="E89" s="19"/>
      <c r="F89" s="19"/>
      <c r="G89" s="19"/>
      <c r="H89" s="19"/>
      <c r="I89" s="19"/>
      <c r="J89" s="19"/>
      <c r="K89" s="19"/>
      <c r="L89" s="19"/>
      <c r="M89" s="23">
        <f>SUM(Tabla24[[#This Row],[01. Alcaldía]:[11. Salud pública y seguridad ciudadana]])</f>
        <v>115.68</v>
      </c>
    </row>
    <row r="90" spans="1:13" s="16" customFormat="1" ht="10.5" customHeight="1" x14ac:dyDescent="0.25">
      <c r="A90" s="62" t="s">
        <v>249</v>
      </c>
      <c r="B90" s="19"/>
      <c r="C90" s="19"/>
      <c r="D90" s="19">
        <v>120.94</v>
      </c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120.94</v>
      </c>
    </row>
    <row r="91" spans="1:13" s="16" customFormat="1" ht="10.5" customHeight="1" x14ac:dyDescent="0.25">
      <c r="A91" s="62" t="s">
        <v>4264</v>
      </c>
      <c r="B91" s="19">
        <v>282.44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3">
        <f>SUM(Tabla24[[#This Row],[01. Alcaldía]:[11. Salud pública y seguridad ciudadana]])</f>
        <v>282.44</v>
      </c>
    </row>
    <row r="92" spans="1:13" s="16" customFormat="1" ht="10.5" customHeight="1" x14ac:dyDescent="0.25">
      <c r="A92" s="62" t="s">
        <v>2700</v>
      </c>
      <c r="B92" s="19">
        <v>8530.5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3">
        <f>SUM(Tabla24[[#This Row],[01. Alcaldía]:[11. Salud pública y seguridad ciudadana]])</f>
        <v>8530.5</v>
      </c>
    </row>
    <row r="93" spans="1:13" s="16" customFormat="1" ht="10.5" customHeight="1" x14ac:dyDescent="0.25">
      <c r="A93" s="62" t="s">
        <v>73</v>
      </c>
      <c r="B93" s="19"/>
      <c r="C93" s="19"/>
      <c r="D93" s="19">
        <v>5581.52</v>
      </c>
      <c r="E93" s="19"/>
      <c r="F93" s="19"/>
      <c r="G93" s="19">
        <v>7260</v>
      </c>
      <c r="H93" s="19"/>
      <c r="I93" s="19">
        <v>1481.04</v>
      </c>
      <c r="J93" s="19"/>
      <c r="K93" s="19"/>
      <c r="L93" s="19">
        <v>1007.33</v>
      </c>
      <c r="M93" s="23">
        <f>SUM(Tabla24[[#This Row],[01. Alcaldía]:[11. Salud pública y seguridad ciudadana]])</f>
        <v>15329.890000000001</v>
      </c>
    </row>
    <row r="94" spans="1:13" s="16" customFormat="1" ht="10.5" customHeight="1" x14ac:dyDescent="0.25">
      <c r="A94" s="62" t="s">
        <v>3660</v>
      </c>
      <c r="B94" s="19"/>
      <c r="C94" s="19"/>
      <c r="D94" s="19"/>
      <c r="E94" s="19"/>
      <c r="F94" s="19"/>
      <c r="G94" s="19"/>
      <c r="H94" s="19"/>
      <c r="I94" s="19">
        <v>5910.85</v>
      </c>
      <c r="J94" s="19"/>
      <c r="K94" s="19"/>
      <c r="L94" s="19"/>
      <c r="M94" s="23">
        <f>SUM(Tabla24[[#This Row],[01. Alcaldía]:[11. Salud pública y seguridad ciudadana]])</f>
        <v>5910.85</v>
      </c>
    </row>
    <row r="95" spans="1:13" s="16" customFormat="1" ht="10.5" customHeight="1" x14ac:dyDescent="0.25">
      <c r="A95" s="62" t="s">
        <v>1576</v>
      </c>
      <c r="B95" s="19">
        <v>6755.43</v>
      </c>
      <c r="C95" s="19"/>
      <c r="D95" s="19">
        <v>1834.7999999999997</v>
      </c>
      <c r="E95" s="19"/>
      <c r="F95" s="19"/>
      <c r="G95" s="19">
        <v>600</v>
      </c>
      <c r="H95" s="19">
        <v>54.64</v>
      </c>
      <c r="I95" s="19"/>
      <c r="J95" s="19">
        <v>354.2</v>
      </c>
      <c r="K95" s="19">
        <v>117.94999999999999</v>
      </c>
      <c r="L95" s="19"/>
      <c r="M95" s="23">
        <f>SUM(Tabla24[[#This Row],[01. Alcaldía]:[11. Salud pública y seguridad ciudadana]])</f>
        <v>9717.02</v>
      </c>
    </row>
    <row r="96" spans="1:13" s="16" customFormat="1" x14ac:dyDescent="0.25">
      <c r="A96" s="62" t="s">
        <v>109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607.08000000000004</v>
      </c>
      <c r="M96" s="23">
        <f>SUM(Tabla24[[#This Row],[01. Alcaldía]:[11. Salud pública y seguridad ciudadana]])</f>
        <v>607.08000000000004</v>
      </c>
    </row>
    <row r="97" spans="1:13" s="16" customFormat="1" ht="10.5" customHeight="1" x14ac:dyDescent="0.25">
      <c r="A97" s="62" t="s">
        <v>5264</v>
      </c>
      <c r="B97" s="19"/>
      <c r="C97" s="19"/>
      <c r="D97" s="19"/>
      <c r="E97" s="19"/>
      <c r="F97" s="19"/>
      <c r="G97" s="19">
        <v>998.25</v>
      </c>
      <c r="H97" s="19"/>
      <c r="I97" s="19"/>
      <c r="J97" s="19"/>
      <c r="K97" s="19"/>
      <c r="L97" s="19"/>
      <c r="M97" s="23">
        <f>SUM(Tabla24[[#This Row],[01. Alcaldía]:[11. Salud pública y seguridad ciudadana]])</f>
        <v>998.25</v>
      </c>
    </row>
    <row r="98" spans="1:13" s="16" customFormat="1" ht="10.5" customHeight="1" x14ac:dyDescent="0.25">
      <c r="A98" s="62" t="s">
        <v>3952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>
        <v>1253.02</v>
      </c>
      <c r="M98" s="23">
        <f>SUM(Tabla24[[#This Row],[01. Alcaldía]:[11. Salud pública y seguridad ciudadana]])</f>
        <v>1253.02</v>
      </c>
    </row>
    <row r="99" spans="1:13" s="16" customFormat="1" ht="10.5" customHeight="1" x14ac:dyDescent="0.25">
      <c r="A99" s="62" t="s">
        <v>224</v>
      </c>
      <c r="B99" s="19"/>
      <c r="C99" s="19"/>
      <c r="D99" s="19"/>
      <c r="E99" s="19"/>
      <c r="F99" s="19"/>
      <c r="G99" s="19">
        <v>5664.44</v>
      </c>
      <c r="H99" s="19"/>
      <c r="I99" s="19"/>
      <c r="J99" s="19"/>
      <c r="K99" s="19"/>
      <c r="L99" s="19"/>
      <c r="M99" s="23">
        <f>SUM(Tabla24[[#This Row],[01. Alcaldía]:[11. Salud pública y seguridad ciudadana]])</f>
        <v>5664.44</v>
      </c>
    </row>
    <row r="100" spans="1:13" s="16" customFormat="1" x14ac:dyDescent="0.25">
      <c r="A100" s="62" t="s">
        <v>4513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156.47</v>
      </c>
      <c r="L100" s="19"/>
      <c r="M100" s="23">
        <f>SUM(Tabla24[[#This Row],[01. Alcaldía]:[11. Salud pública y seguridad ciudadana]])</f>
        <v>156.47</v>
      </c>
    </row>
    <row r="101" spans="1:13" s="16" customFormat="1" ht="10.5" customHeight="1" x14ac:dyDescent="0.25">
      <c r="A101" s="62" t="s">
        <v>755</v>
      </c>
      <c r="B101" s="19"/>
      <c r="C101" s="19"/>
      <c r="D101" s="19"/>
      <c r="E101" s="19"/>
      <c r="F101" s="19"/>
      <c r="G101" s="19"/>
      <c r="H101" s="19">
        <v>2108.91</v>
      </c>
      <c r="I101" s="19"/>
      <c r="J101" s="19"/>
      <c r="K101" s="19"/>
      <c r="L101" s="19"/>
      <c r="M101" s="23">
        <f>SUM(Tabla24[[#This Row],[01. Alcaldía]:[11. Salud pública y seguridad ciudadana]])</f>
        <v>2108.91</v>
      </c>
    </row>
    <row r="102" spans="1:13" s="16" customFormat="1" ht="10.5" customHeight="1" x14ac:dyDescent="0.25">
      <c r="A102" s="62" t="s">
        <v>582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>
        <v>7260</v>
      </c>
      <c r="M102" s="23">
        <f>SUM(Tabla24[[#This Row],[01. Alcaldía]:[11. Salud pública y seguridad ciudadana]])</f>
        <v>7260</v>
      </c>
    </row>
    <row r="103" spans="1:13" s="16" customFormat="1" ht="10.5" customHeight="1" x14ac:dyDescent="0.25">
      <c r="A103" s="62" t="s">
        <v>5271</v>
      </c>
      <c r="B103" s="19"/>
      <c r="C103" s="19"/>
      <c r="D103" s="19"/>
      <c r="E103" s="19"/>
      <c r="F103" s="19"/>
      <c r="G103" s="19">
        <v>3023.94</v>
      </c>
      <c r="H103" s="19"/>
      <c r="I103" s="19"/>
      <c r="J103" s="19"/>
      <c r="K103" s="19"/>
      <c r="L103" s="19"/>
      <c r="M103" s="23">
        <f>SUM(Tabla24[[#This Row],[01. Alcaldía]:[11. Salud pública y seguridad ciudadana]])</f>
        <v>3023.94</v>
      </c>
    </row>
    <row r="104" spans="1:13" s="16" customFormat="1" ht="10.5" customHeight="1" x14ac:dyDescent="0.25">
      <c r="A104" s="62" t="s">
        <v>291</v>
      </c>
      <c r="B104" s="19"/>
      <c r="C104" s="19"/>
      <c r="D104" s="19"/>
      <c r="E104" s="19"/>
      <c r="F104" s="19"/>
      <c r="G104" s="19">
        <v>108.01</v>
      </c>
      <c r="H104" s="19"/>
      <c r="I104" s="19"/>
      <c r="J104" s="19"/>
      <c r="K104" s="19"/>
      <c r="L104" s="19"/>
      <c r="M104" s="23">
        <f>SUM(Tabla24[[#This Row],[01. Alcaldía]:[11. Salud pública y seguridad ciudadana]])</f>
        <v>108.01</v>
      </c>
    </row>
    <row r="105" spans="1:13" s="16" customFormat="1" ht="10.5" customHeight="1" x14ac:dyDescent="0.25">
      <c r="A105" s="62" t="s">
        <v>1646</v>
      </c>
      <c r="B105" s="19"/>
      <c r="C105" s="19"/>
      <c r="D105" s="19"/>
      <c r="E105" s="19"/>
      <c r="F105" s="19"/>
      <c r="G105" s="19">
        <v>37.44</v>
      </c>
      <c r="H105" s="19"/>
      <c r="I105" s="19"/>
      <c r="J105" s="19"/>
      <c r="K105" s="19"/>
      <c r="L105" s="19"/>
      <c r="M105" s="23">
        <f>SUM(Tabla24[[#This Row],[01. Alcaldía]:[11. Salud pública y seguridad ciudadana]])</f>
        <v>37.44</v>
      </c>
    </row>
    <row r="106" spans="1:13" s="16" customFormat="1" ht="10.5" customHeight="1" x14ac:dyDescent="0.25">
      <c r="A106" s="62" t="s">
        <v>1649</v>
      </c>
      <c r="B106" s="19">
        <v>6364.6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23">
        <f>SUM(Tabla24[[#This Row],[01. Alcaldía]:[11. Salud pública y seguridad ciudadana]])</f>
        <v>6364.6</v>
      </c>
    </row>
    <row r="107" spans="1:13" s="16" customFormat="1" ht="10.5" customHeight="1" x14ac:dyDescent="0.25">
      <c r="A107" s="62" t="s">
        <v>5273</v>
      </c>
      <c r="B107" s="19">
        <v>880.06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3">
        <f>SUM(Tabla24[[#This Row],[01. Alcaldía]:[11. Salud pública y seguridad ciudadana]])</f>
        <v>880.06</v>
      </c>
    </row>
    <row r="108" spans="1:13" s="16" customFormat="1" ht="10.5" customHeight="1" x14ac:dyDescent="0.25">
      <c r="A108" s="62" t="s">
        <v>6086</v>
      </c>
      <c r="B108" s="19"/>
      <c r="C108" s="19"/>
      <c r="D108" s="19"/>
      <c r="E108" s="19"/>
      <c r="F108" s="19"/>
      <c r="G108" s="19">
        <v>441</v>
      </c>
      <c r="H108" s="19"/>
      <c r="I108" s="19"/>
      <c r="J108" s="19"/>
      <c r="K108" s="19"/>
      <c r="L108" s="19"/>
      <c r="M108" s="23">
        <f>SUM(Tabla24[[#This Row],[01. Alcaldía]:[11. Salud pública y seguridad ciudadana]])</f>
        <v>441</v>
      </c>
    </row>
    <row r="109" spans="1:13" s="16" customFormat="1" ht="10.5" customHeight="1" x14ac:dyDescent="0.25">
      <c r="A109" s="62" t="s">
        <v>242</v>
      </c>
      <c r="B109" s="19"/>
      <c r="C109" s="19"/>
      <c r="D109" s="19"/>
      <c r="E109" s="19"/>
      <c r="F109" s="19"/>
      <c r="G109" s="19">
        <v>280</v>
      </c>
      <c r="H109" s="19"/>
      <c r="I109" s="19"/>
      <c r="J109" s="19"/>
      <c r="K109" s="19"/>
      <c r="L109" s="19"/>
      <c r="M109" s="23">
        <f>SUM(Tabla24[[#This Row],[01. Alcaldía]:[11. Salud pública y seguridad ciudadana]])</f>
        <v>280</v>
      </c>
    </row>
    <row r="110" spans="1:13" s="16" customFormat="1" ht="10.5" customHeight="1" x14ac:dyDescent="0.25">
      <c r="A110" s="62" t="s">
        <v>257</v>
      </c>
      <c r="B110" s="19"/>
      <c r="C110" s="19"/>
      <c r="D110" s="19"/>
      <c r="E110" s="19"/>
      <c r="F110" s="19"/>
      <c r="G110" s="19"/>
      <c r="H110" s="19">
        <v>6000</v>
      </c>
      <c r="I110" s="19">
        <v>3827.84</v>
      </c>
      <c r="J110" s="19"/>
      <c r="K110" s="19">
        <v>3945.7000000000003</v>
      </c>
      <c r="L110" s="19"/>
      <c r="M110" s="23">
        <f>SUM(Tabla24[[#This Row],[01. Alcaldía]:[11. Salud pública y seguridad ciudadana]])</f>
        <v>13773.54</v>
      </c>
    </row>
    <row r="111" spans="1:13" s="16" customFormat="1" ht="10.5" customHeight="1" x14ac:dyDescent="0.25">
      <c r="A111" s="62" t="s">
        <v>122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4741.12</v>
      </c>
      <c r="M111" s="23">
        <f>SUM(Tabla24[[#This Row],[01. Alcaldía]:[11. Salud pública y seguridad ciudadana]])</f>
        <v>4741.12</v>
      </c>
    </row>
    <row r="112" spans="1:13" s="16" customFormat="1" ht="10.5" customHeight="1" x14ac:dyDescent="0.25">
      <c r="A112" s="62" t="s">
        <v>4677</v>
      </c>
      <c r="B112" s="19">
        <v>69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23">
        <f>SUM(Tabla24[[#This Row],[01. Alcaldía]:[11. Salud pública y seguridad ciudadana]])</f>
        <v>69</v>
      </c>
    </row>
    <row r="113" spans="1:13" s="16" customFormat="1" ht="10.5" customHeight="1" x14ac:dyDescent="0.25">
      <c r="A113" s="62" t="s">
        <v>260</v>
      </c>
      <c r="B113" s="19">
        <v>20500.870000000003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SUM(Tabla24[[#This Row],[01. Alcaldía]:[11. Salud pública y seguridad ciudadana]])</f>
        <v>20500.870000000003</v>
      </c>
    </row>
    <row r="114" spans="1:13" s="16" customFormat="1" ht="10.5" customHeight="1" x14ac:dyDescent="0.25">
      <c r="A114" s="62" t="s">
        <v>65</v>
      </c>
      <c r="B114" s="19">
        <v>12217</v>
      </c>
      <c r="C114" s="19"/>
      <c r="D114" s="19"/>
      <c r="E114" s="19"/>
      <c r="F114" s="19">
        <v>633</v>
      </c>
      <c r="G114" s="19"/>
      <c r="H114" s="19"/>
      <c r="I114" s="19"/>
      <c r="J114" s="19"/>
      <c r="K114" s="19">
        <v>2143.08</v>
      </c>
      <c r="L114" s="19"/>
      <c r="M114" s="23">
        <f>SUM(Tabla24[[#This Row],[01. Alcaldía]:[11. Salud pública y seguridad ciudadana]])</f>
        <v>14993.08</v>
      </c>
    </row>
    <row r="115" spans="1:13" s="16" customFormat="1" ht="10.5" customHeight="1" x14ac:dyDescent="0.25">
      <c r="A115" s="62" t="s">
        <v>46</v>
      </c>
      <c r="B115" s="19"/>
      <c r="C115" s="19"/>
      <c r="D115" s="19">
        <v>457.92</v>
      </c>
      <c r="E115" s="19"/>
      <c r="F115" s="19"/>
      <c r="G115" s="19"/>
      <c r="H115" s="19">
        <v>5000</v>
      </c>
      <c r="I115" s="19"/>
      <c r="J115" s="19"/>
      <c r="K115" s="19"/>
      <c r="L115" s="19"/>
      <c r="M115" s="23">
        <f>SUM(Tabla24[[#This Row],[01. Alcaldía]:[11. Salud pública y seguridad ciudadana]])</f>
        <v>5457.92</v>
      </c>
    </row>
    <row r="116" spans="1:13" s="16" customFormat="1" ht="10.5" customHeight="1" x14ac:dyDescent="0.25">
      <c r="A116" s="62" t="s">
        <v>230</v>
      </c>
      <c r="B116" s="19"/>
      <c r="C116" s="19"/>
      <c r="D116" s="19"/>
      <c r="E116" s="19"/>
      <c r="F116" s="19"/>
      <c r="G116" s="19"/>
      <c r="H116" s="19"/>
      <c r="I116" s="19">
        <v>9485.36</v>
      </c>
      <c r="J116" s="19"/>
      <c r="K116" s="19"/>
      <c r="L116" s="19"/>
      <c r="M116" s="23">
        <f>SUM(Tabla24[[#This Row],[01. Alcaldía]:[11. Salud pública y seguridad ciudadana]])</f>
        <v>9485.36</v>
      </c>
    </row>
    <row r="117" spans="1:13" s="16" customFormat="1" ht="10.5" customHeight="1" x14ac:dyDescent="0.25">
      <c r="A117" s="62" t="s">
        <v>5325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13.31</v>
      </c>
      <c r="M117" s="23">
        <f>SUM(Tabla24[[#This Row],[01. Alcaldía]:[11. Salud pública y seguridad ciudadana]])</f>
        <v>13.31</v>
      </c>
    </row>
    <row r="118" spans="1:13" s="16" customFormat="1" ht="10.5" customHeight="1" x14ac:dyDescent="0.25">
      <c r="A118" s="62" t="s">
        <v>170</v>
      </c>
      <c r="B118" s="19">
        <v>4653.55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23">
        <f>SUM(Tabla24[[#This Row],[01. Alcaldía]:[11. Salud pública y seguridad ciudadana]])</f>
        <v>4653.55</v>
      </c>
    </row>
    <row r="119" spans="1:13" s="16" customFormat="1" x14ac:dyDescent="0.25">
      <c r="A119" s="62" t="s">
        <v>4198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526.35</v>
      </c>
      <c r="M119" s="23">
        <f>SUM(Tabla24[[#This Row],[01. Alcaldía]:[11. Salud pública y seguridad ciudadana]])</f>
        <v>526.35</v>
      </c>
    </row>
    <row r="120" spans="1:13" s="16" customFormat="1" x14ac:dyDescent="0.25">
      <c r="A120" s="62" t="s">
        <v>299</v>
      </c>
      <c r="B120" s="19"/>
      <c r="C120" s="19">
        <v>973.45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23">
        <f>SUM(Tabla24[[#This Row],[01. Alcaldía]:[11. Salud pública y seguridad ciudadana]])</f>
        <v>973.45</v>
      </c>
    </row>
    <row r="121" spans="1:13" s="16" customFormat="1" ht="10.5" customHeight="1" x14ac:dyDescent="0.25">
      <c r="A121" s="62" t="s">
        <v>1759</v>
      </c>
      <c r="B121" s="19"/>
      <c r="C121" s="19"/>
      <c r="D121" s="19">
        <v>71.680000000000007</v>
      </c>
      <c r="E121" s="19"/>
      <c r="F121" s="19"/>
      <c r="G121" s="19">
        <v>500</v>
      </c>
      <c r="H121" s="19"/>
      <c r="I121" s="19"/>
      <c r="J121" s="19"/>
      <c r="K121" s="19"/>
      <c r="L121" s="19"/>
      <c r="M121" s="23">
        <f>SUM(Tabla24[[#This Row],[01. Alcaldía]:[11. Salud pública y seguridad ciudadana]])</f>
        <v>571.68000000000006</v>
      </c>
    </row>
    <row r="122" spans="1:13" s="16" customFormat="1" x14ac:dyDescent="0.25">
      <c r="A122" s="62" t="s">
        <v>3939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>
        <v>598.5</v>
      </c>
      <c r="L122" s="19"/>
      <c r="M122" s="23">
        <f>SUM(Tabla24[[#This Row],[01. Alcaldía]:[11. Salud pública y seguridad ciudadana]])</f>
        <v>598.5</v>
      </c>
    </row>
    <row r="123" spans="1:13" s="16" customFormat="1" ht="10.5" customHeight="1" x14ac:dyDescent="0.25">
      <c r="A123" s="62" t="s">
        <v>119</v>
      </c>
      <c r="B123" s="19"/>
      <c r="C123" s="19"/>
      <c r="D123" s="19"/>
      <c r="E123" s="19"/>
      <c r="F123" s="19"/>
      <c r="G123" s="19"/>
      <c r="H123" s="19"/>
      <c r="I123" s="19"/>
      <c r="J123" s="19">
        <v>520.89</v>
      </c>
      <c r="K123" s="19"/>
      <c r="L123" s="19"/>
      <c r="M123" s="23">
        <f>SUM(Tabla24[[#This Row],[01. Alcaldía]:[11. Salud pública y seguridad ciudadana]])</f>
        <v>520.89</v>
      </c>
    </row>
    <row r="124" spans="1:13" s="16" customFormat="1" x14ac:dyDescent="0.25">
      <c r="A124" s="62" t="s">
        <v>238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>
        <v>650.98</v>
      </c>
      <c r="L124" s="19"/>
      <c r="M124" s="23">
        <f>SUM(Tabla24[[#This Row],[01. Alcaldía]:[11. Salud pública y seguridad ciudadana]])</f>
        <v>650.98</v>
      </c>
    </row>
    <row r="125" spans="1:13" s="16" customFormat="1" ht="10.5" customHeight="1" x14ac:dyDescent="0.25">
      <c r="A125" s="62" t="s">
        <v>1825</v>
      </c>
      <c r="B125" s="19"/>
      <c r="C125" s="19"/>
      <c r="D125" s="19">
        <v>77.97</v>
      </c>
      <c r="E125" s="19"/>
      <c r="F125" s="19"/>
      <c r="G125" s="19"/>
      <c r="H125" s="19"/>
      <c r="I125" s="19"/>
      <c r="J125" s="19"/>
      <c r="K125" s="19"/>
      <c r="L125" s="19"/>
      <c r="M125" s="23">
        <f>SUM(Tabla24[[#This Row],[01. Alcaldía]:[11. Salud pública y seguridad ciudadana]])</f>
        <v>77.97</v>
      </c>
    </row>
    <row r="126" spans="1:13" s="16" customFormat="1" ht="10.5" customHeight="1" x14ac:dyDescent="0.25">
      <c r="A126" s="62" t="s">
        <v>1828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>
        <v>2500</v>
      </c>
      <c r="M126" s="23">
        <f>SUM(Tabla24[[#This Row],[01. Alcaldía]:[11. Salud pública y seguridad ciudadana]])</f>
        <v>2500</v>
      </c>
    </row>
    <row r="127" spans="1:13" s="16" customFormat="1" ht="10.5" customHeight="1" x14ac:dyDescent="0.25">
      <c r="A127" s="62" t="s">
        <v>744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1000</v>
      </c>
      <c r="M127" s="23">
        <f>SUM(Tabla24[[#This Row],[01. Alcaldía]:[11. Salud pública y seguridad ciudadana]])</f>
        <v>1000</v>
      </c>
    </row>
    <row r="128" spans="1:13" s="16" customFormat="1" ht="10.5" customHeight="1" x14ac:dyDescent="0.25">
      <c r="A128" s="62" t="s">
        <v>1832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>
        <v>1721.53</v>
      </c>
      <c r="L128" s="19"/>
      <c r="M128" s="23">
        <f>SUM(Tabla24[[#This Row],[01. Alcaldía]:[11. Salud pública y seguridad ciudadana]])</f>
        <v>1721.53</v>
      </c>
    </row>
    <row r="129" spans="1:13" s="16" customFormat="1" ht="10.5" customHeight="1" x14ac:dyDescent="0.25">
      <c r="A129" s="62" t="s">
        <v>266</v>
      </c>
      <c r="B129" s="19"/>
      <c r="C129" s="19"/>
      <c r="D129" s="19"/>
      <c r="E129" s="19"/>
      <c r="F129" s="19"/>
      <c r="G129" s="19">
        <v>70.08</v>
      </c>
      <c r="H129" s="19"/>
      <c r="I129" s="19"/>
      <c r="J129" s="19"/>
      <c r="K129" s="19"/>
      <c r="L129" s="19"/>
      <c r="M129" s="23">
        <f>SUM(Tabla24[[#This Row],[01. Alcaldía]:[11. Salud pública y seguridad ciudadana]])</f>
        <v>70.08</v>
      </c>
    </row>
    <row r="130" spans="1:13" s="16" customFormat="1" ht="10.5" customHeight="1" x14ac:dyDescent="0.25">
      <c r="A130" s="62" t="s">
        <v>1839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>
        <v>80.010000000000005</v>
      </c>
      <c r="M130" s="23">
        <f>SUM(Tabla24[[#This Row],[01. Alcaldía]:[11. Salud pública y seguridad ciudadana]])</f>
        <v>80.010000000000005</v>
      </c>
    </row>
    <row r="131" spans="1:13" s="16" customFormat="1" ht="10.5" customHeight="1" x14ac:dyDescent="0.25">
      <c r="A131" s="62" t="s">
        <v>311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1910.59</v>
      </c>
      <c r="M131" s="23">
        <f>SUM(Tabla24[[#This Row],[01. Alcaldía]:[11. Salud pública y seguridad ciudadana]])</f>
        <v>1910.59</v>
      </c>
    </row>
    <row r="132" spans="1:13" s="16" customFormat="1" ht="10.5" customHeight="1" x14ac:dyDescent="0.25">
      <c r="A132" s="62" t="s">
        <v>3621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7460.69</v>
      </c>
      <c r="M132" s="23">
        <f>SUM(Tabla24[[#This Row],[01. Alcaldía]:[11. Salud pública y seguridad ciudadana]])</f>
        <v>7460.69</v>
      </c>
    </row>
    <row r="133" spans="1:13" s="16" customFormat="1" ht="10.5" customHeight="1" x14ac:dyDescent="0.25">
      <c r="A133" s="62" t="s">
        <v>1855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1259.5999999999999</v>
      </c>
      <c r="L133" s="19"/>
      <c r="M133" s="23">
        <f>SUM(Tabla24[[#This Row],[01. Alcaldía]:[11. Salud pública y seguridad ciudadana]])</f>
        <v>1259.5999999999999</v>
      </c>
    </row>
    <row r="134" spans="1:13" s="16" customFormat="1" ht="10.5" customHeight="1" x14ac:dyDescent="0.25">
      <c r="A134" s="62" t="s">
        <v>294</v>
      </c>
      <c r="B134" s="19"/>
      <c r="C134" s="19">
        <v>500</v>
      </c>
      <c r="D134" s="19">
        <v>565.28</v>
      </c>
      <c r="E134" s="19"/>
      <c r="F134" s="19"/>
      <c r="G134" s="19">
        <v>400.19</v>
      </c>
      <c r="H134" s="19"/>
      <c r="I134" s="19"/>
      <c r="J134" s="19"/>
      <c r="K134" s="19">
        <v>421.06</v>
      </c>
      <c r="L134" s="19"/>
      <c r="M134" s="23">
        <f>SUM(Tabla24[[#This Row],[01. Alcaldía]:[11. Salud pública y seguridad ciudadana]])</f>
        <v>1886.53</v>
      </c>
    </row>
    <row r="135" spans="1:13" s="16" customFormat="1" ht="10.5" customHeight="1" x14ac:dyDescent="0.25">
      <c r="A135" s="62" t="s">
        <v>295</v>
      </c>
      <c r="B135" s="19"/>
      <c r="C135" s="19"/>
      <c r="D135" s="19"/>
      <c r="E135" s="19"/>
      <c r="F135" s="19"/>
      <c r="G135" s="19">
        <v>264.01</v>
      </c>
      <c r="H135" s="19"/>
      <c r="I135" s="19"/>
      <c r="J135" s="19"/>
      <c r="K135" s="19"/>
      <c r="L135" s="19"/>
      <c r="M135" s="23">
        <f>SUM(Tabla24[[#This Row],[01. Alcaldía]:[11. Salud pública y seguridad ciudadana]])</f>
        <v>264.01</v>
      </c>
    </row>
    <row r="136" spans="1:13" s="16" customFormat="1" ht="10.5" customHeight="1" x14ac:dyDescent="0.25">
      <c r="A136" s="62" t="s">
        <v>1891</v>
      </c>
      <c r="B136" s="19">
        <v>75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23">
        <f>SUM(Tabla24[[#This Row],[01. Alcaldía]:[11. Salud pública y seguridad ciudadana]])</f>
        <v>75</v>
      </c>
    </row>
    <row r="137" spans="1:13" s="16" customFormat="1" ht="10.5" customHeight="1" x14ac:dyDescent="0.25">
      <c r="A137" s="62" t="s">
        <v>5458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>
        <v>732.77</v>
      </c>
      <c r="L137" s="19"/>
      <c r="M137" s="23">
        <f>SUM(Tabla24[[#This Row],[01. Alcaldía]:[11. Salud pública y seguridad ciudadana]])</f>
        <v>732.77</v>
      </c>
    </row>
    <row r="138" spans="1:13" s="16" customFormat="1" ht="10.5" customHeight="1" x14ac:dyDescent="0.25">
      <c r="A138" s="62" t="s">
        <v>2167</v>
      </c>
      <c r="B138" s="19"/>
      <c r="C138" s="19"/>
      <c r="D138" s="19">
        <v>170.61</v>
      </c>
      <c r="E138" s="19"/>
      <c r="F138" s="19"/>
      <c r="G138" s="19"/>
      <c r="H138" s="19"/>
      <c r="I138" s="19"/>
      <c r="J138" s="19"/>
      <c r="K138" s="19"/>
      <c r="L138" s="19"/>
      <c r="M138" s="23">
        <f>SUM(Tabla24[[#This Row],[01. Alcaldía]:[11. Salud pública y seguridad ciudadana]])</f>
        <v>170.61</v>
      </c>
    </row>
    <row r="139" spans="1:13" s="16" customFormat="1" x14ac:dyDescent="0.25">
      <c r="A139" s="62" t="s">
        <v>105</v>
      </c>
      <c r="B139" s="19"/>
      <c r="C139" s="19">
        <v>1550</v>
      </c>
      <c r="D139" s="19"/>
      <c r="E139" s="19"/>
      <c r="F139" s="19"/>
      <c r="G139" s="19"/>
      <c r="H139" s="19"/>
      <c r="I139" s="19"/>
      <c r="J139" s="19"/>
      <c r="K139" s="19"/>
      <c r="L139" s="19">
        <v>816.69</v>
      </c>
      <c r="M139" s="23">
        <f>SUM(Tabla24[[#This Row],[01. Alcaldía]:[11. Salud pública y seguridad ciudadana]])</f>
        <v>2366.69</v>
      </c>
    </row>
    <row r="140" spans="1:13" s="16" customFormat="1" ht="10.5" customHeight="1" x14ac:dyDescent="0.25">
      <c r="A140" s="62" t="s">
        <v>112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2500</v>
      </c>
      <c r="M140" s="23">
        <f>SUM(Tabla24[[#This Row],[01. Alcaldía]:[11. Salud pública y seguridad ciudadana]])</f>
        <v>2500</v>
      </c>
    </row>
    <row r="141" spans="1:13" s="16" customFormat="1" ht="10.5" customHeight="1" x14ac:dyDescent="0.25">
      <c r="A141" s="62" t="s">
        <v>533</v>
      </c>
      <c r="B141" s="19"/>
      <c r="C141" s="19"/>
      <c r="D141" s="19"/>
      <c r="E141" s="19">
        <v>2000</v>
      </c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2000</v>
      </c>
    </row>
    <row r="142" spans="1:13" s="16" customFormat="1" ht="10.5" customHeight="1" x14ac:dyDescent="0.25">
      <c r="A142" s="62" t="s">
        <v>285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>
        <v>2925.78</v>
      </c>
      <c r="M142" s="23">
        <f>SUM(Tabla24[[#This Row],[01. Alcaldía]:[11. Salud pública y seguridad ciudadana]])</f>
        <v>2925.78</v>
      </c>
    </row>
    <row r="143" spans="1:13" s="16" customFormat="1" ht="10.5" customHeight="1" x14ac:dyDescent="0.25">
      <c r="A143" s="62" t="s">
        <v>2326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363</v>
      </c>
      <c r="M143" s="23">
        <f>SUM(Tabla24[[#This Row],[01. Alcaldía]:[11. Salud pública y seguridad ciudadana]])</f>
        <v>363</v>
      </c>
    </row>
    <row r="144" spans="1:13" s="16" customFormat="1" ht="10.5" customHeight="1" x14ac:dyDescent="0.25">
      <c r="A144" s="62" t="s">
        <v>4033</v>
      </c>
      <c r="B144" s="19"/>
      <c r="C144" s="19"/>
      <c r="D144" s="19"/>
      <c r="E144" s="19"/>
      <c r="F144" s="19"/>
      <c r="G144" s="19">
        <v>1000</v>
      </c>
      <c r="H144" s="19"/>
      <c r="I144" s="19"/>
      <c r="J144" s="19"/>
      <c r="K144" s="19">
        <v>169.4</v>
      </c>
      <c r="L144" s="19"/>
      <c r="M144" s="23">
        <f>SUM(Tabla24[[#This Row],[01. Alcaldía]:[11. Salud pública y seguridad ciudadana]])</f>
        <v>1169.4000000000001</v>
      </c>
    </row>
    <row r="145" spans="1:13" s="16" customFormat="1" ht="10.5" customHeight="1" x14ac:dyDescent="0.25">
      <c r="A145" s="62" t="s">
        <v>4335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382.36</v>
      </c>
      <c r="L145" s="19"/>
      <c r="M145" s="23">
        <f>SUM(Tabla24[[#This Row],[01. Alcaldía]:[11. Salud pública y seguridad ciudadana]])</f>
        <v>382.36</v>
      </c>
    </row>
    <row r="146" spans="1:13" s="16" customFormat="1" ht="10.5" customHeight="1" x14ac:dyDescent="0.25">
      <c r="A146" s="62" t="s">
        <v>313</v>
      </c>
      <c r="B146" s="19"/>
      <c r="C146" s="19"/>
      <c r="D146" s="19">
        <v>4808.5</v>
      </c>
      <c r="E146" s="19"/>
      <c r="F146" s="19"/>
      <c r="G146" s="19"/>
      <c r="H146" s="19"/>
      <c r="I146" s="19"/>
      <c r="J146" s="19"/>
      <c r="K146" s="19"/>
      <c r="L146" s="19"/>
      <c r="M146" s="23">
        <f>SUM(Tabla24[[#This Row],[01. Alcaldía]:[11. Salud pública y seguridad ciudadana]])</f>
        <v>4808.5</v>
      </c>
    </row>
    <row r="147" spans="1:13" s="16" customFormat="1" ht="10.5" customHeight="1" x14ac:dyDescent="0.25">
      <c r="A147" s="62" t="s">
        <v>3662</v>
      </c>
      <c r="B147" s="19"/>
      <c r="C147" s="19"/>
      <c r="D147" s="19">
        <v>5900</v>
      </c>
      <c r="E147" s="19">
        <v>159.99</v>
      </c>
      <c r="F147" s="19"/>
      <c r="G147" s="19">
        <v>1197.9000000000001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7257.8899999999994</v>
      </c>
    </row>
    <row r="148" spans="1:13" s="16" customFormat="1" ht="10.5" customHeight="1" x14ac:dyDescent="0.25">
      <c r="A148" s="62" t="s">
        <v>3762</v>
      </c>
      <c r="B148" s="19"/>
      <c r="C148" s="19"/>
      <c r="D148" s="19"/>
      <c r="E148" s="19"/>
      <c r="F148" s="19"/>
      <c r="G148" s="19">
        <v>8115.4699999999993</v>
      </c>
      <c r="H148" s="19"/>
      <c r="I148" s="19"/>
      <c r="J148" s="19"/>
      <c r="K148" s="19"/>
      <c r="L148" s="19"/>
      <c r="M148" s="23">
        <f>SUM(Tabla24[[#This Row],[01. Alcaldía]:[11. Salud pública y seguridad ciudadana]])</f>
        <v>8115.4699999999993</v>
      </c>
    </row>
    <row r="149" spans="1:13" s="16" customFormat="1" ht="10.5" customHeight="1" x14ac:dyDescent="0.25">
      <c r="A149" s="62" t="s">
        <v>3162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64">
        <v>10763</v>
      </c>
      <c r="L149" s="19"/>
      <c r="M149" s="23">
        <f>SUM(Tabla24[[#This Row],[01. Alcaldía]:[11. Salud pública y seguridad ciudadana]])</f>
        <v>10763</v>
      </c>
    </row>
    <row r="150" spans="1:13" s="16" customFormat="1" x14ac:dyDescent="0.25">
      <c r="A150" s="62" t="s">
        <v>150</v>
      </c>
      <c r="B150" s="19">
        <v>32.65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>
        <v>39.450000000000003</v>
      </c>
      <c r="M150" s="23">
        <f>SUM(Tabla24[[#This Row],[01. Alcaldía]:[11. Salud pública y seguridad ciudadana]])</f>
        <v>72.099999999999994</v>
      </c>
    </row>
    <row r="151" spans="1:13" s="16" customFormat="1" ht="10.5" customHeight="1" x14ac:dyDescent="0.25">
      <c r="A151" s="62" t="s">
        <v>101</v>
      </c>
      <c r="B151" s="19"/>
      <c r="C151" s="19"/>
      <c r="D151" s="19">
        <v>131.52000000000001</v>
      </c>
      <c r="E151" s="19"/>
      <c r="F151" s="19"/>
      <c r="G151" s="19">
        <v>57.46</v>
      </c>
      <c r="H151" s="19"/>
      <c r="I151" s="19"/>
      <c r="J151" s="19"/>
      <c r="K151" s="19"/>
      <c r="L151" s="19"/>
      <c r="M151" s="23">
        <f>SUM(Tabla24[[#This Row],[01. Alcaldía]:[11. Salud pública y seguridad ciudadana]])</f>
        <v>188.98000000000002</v>
      </c>
    </row>
    <row r="152" spans="1:13" s="16" customFormat="1" ht="10.5" customHeight="1" x14ac:dyDescent="0.25">
      <c r="A152" s="62" t="s">
        <v>2818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>
        <v>847</v>
      </c>
      <c r="M152" s="23">
        <f>SUM(Tabla24[[#This Row],[01. Alcaldía]:[11. Salud pública y seguridad ciudadana]])</f>
        <v>847</v>
      </c>
    </row>
    <row r="153" spans="1:13" s="16" customFormat="1" ht="10.5" customHeight="1" x14ac:dyDescent="0.25">
      <c r="A153" s="62" t="s">
        <v>2310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>
        <v>641.29999999999995</v>
      </c>
      <c r="L153" s="19"/>
      <c r="M153" s="23">
        <f>SUM(Tabla24[[#This Row],[01. Alcaldía]:[11. Salud pública y seguridad ciudadana]])</f>
        <v>641.29999999999995</v>
      </c>
    </row>
    <row r="154" spans="1:13" s="16" customFormat="1" ht="10.5" customHeight="1" x14ac:dyDescent="0.25">
      <c r="A154" s="62" t="s">
        <v>240</v>
      </c>
      <c r="B154" s="19"/>
      <c r="C154" s="19"/>
      <c r="D154" s="19"/>
      <c r="E154" s="19"/>
      <c r="F154" s="19"/>
      <c r="G154" s="19">
        <v>65.52</v>
      </c>
      <c r="H154" s="19"/>
      <c r="I154" s="19"/>
      <c r="J154" s="19"/>
      <c r="K154" s="19"/>
      <c r="L154" s="19"/>
      <c r="M154" s="23">
        <f>SUM(Tabla24[[#This Row],[01. Alcaldía]:[11. Salud pública y seguridad ciudadana]])</f>
        <v>65.52</v>
      </c>
    </row>
    <row r="155" spans="1:13" s="16" customFormat="1" ht="10.5" customHeight="1" x14ac:dyDescent="0.25">
      <c r="A155" s="62" t="s">
        <v>209</v>
      </c>
      <c r="B155" s="19"/>
      <c r="C155" s="19"/>
      <c r="D155" s="19"/>
      <c r="E155" s="19"/>
      <c r="F155" s="19"/>
      <c r="G155" s="19">
        <v>132.07</v>
      </c>
      <c r="H155" s="19"/>
      <c r="I155" s="19"/>
      <c r="J155" s="19"/>
      <c r="K155" s="19">
        <v>4488.25</v>
      </c>
      <c r="L155" s="19"/>
      <c r="M155" s="23">
        <f>SUM(Tabla24[[#This Row],[01. Alcaldía]:[11. Salud pública y seguridad ciudadana]])</f>
        <v>4620.32</v>
      </c>
    </row>
    <row r="156" spans="1:13" s="16" customFormat="1" ht="10.5" customHeight="1" x14ac:dyDescent="0.25">
      <c r="A156" s="62" t="s">
        <v>3770</v>
      </c>
      <c r="B156" s="19"/>
      <c r="C156" s="19"/>
      <c r="D156" s="19"/>
      <c r="E156" s="19">
        <v>4285.22</v>
      </c>
      <c r="F156" s="19">
        <v>150.77000000000001</v>
      </c>
      <c r="G156" s="19">
        <v>3376.57</v>
      </c>
      <c r="H156" s="19"/>
      <c r="I156" s="19"/>
      <c r="J156" s="19"/>
      <c r="K156" s="19"/>
      <c r="L156" s="19">
        <v>73.209999999999994</v>
      </c>
      <c r="M156" s="23">
        <f>SUM(Tabla24[[#This Row],[01. Alcaldía]:[11. Salud pública y seguridad ciudadana]])</f>
        <v>7885.7700000000013</v>
      </c>
    </row>
    <row r="157" spans="1:13" s="16" customFormat="1" ht="10.5" customHeight="1" x14ac:dyDescent="0.25">
      <c r="A157" s="62" t="s">
        <v>543</v>
      </c>
      <c r="B157" s="19"/>
      <c r="C157" s="19"/>
      <c r="D157" s="19"/>
      <c r="E157" s="19"/>
      <c r="F157" s="19"/>
      <c r="G157" s="19">
        <v>458.1</v>
      </c>
      <c r="H157" s="19"/>
      <c r="I157" s="19"/>
      <c r="J157" s="19"/>
      <c r="K157" s="19"/>
      <c r="L157" s="19"/>
      <c r="M157" s="23">
        <f>SUM(Tabla24[[#This Row],[01. Alcaldía]:[11. Salud pública y seguridad ciudadana]])</f>
        <v>458.1</v>
      </c>
    </row>
    <row r="158" spans="1:13" s="16" customFormat="1" ht="10.5" customHeight="1" x14ac:dyDescent="0.25">
      <c r="A158" s="62" t="s">
        <v>3691</v>
      </c>
      <c r="B158" s="19"/>
      <c r="C158" s="19">
        <v>5043.05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SUM(Tabla24[[#This Row],[01. Alcaldía]:[11. Salud pública y seguridad ciudadana]])</f>
        <v>5043.05</v>
      </c>
    </row>
    <row r="159" spans="1:13" s="16" customFormat="1" ht="10.5" customHeight="1" x14ac:dyDescent="0.25">
      <c r="A159" s="62" t="s">
        <v>1848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18063.95</v>
      </c>
      <c r="M159" s="23">
        <f>SUM(Tabla24[[#This Row],[01. Alcaldía]:[11. Salud pública y seguridad ciudadana]])</f>
        <v>18063.95</v>
      </c>
    </row>
    <row r="160" spans="1:13" s="16" customFormat="1" x14ac:dyDescent="0.25">
      <c r="A160" s="62" t="s">
        <v>3960</v>
      </c>
      <c r="B160" s="19"/>
      <c r="C160" s="19">
        <v>1003.3199999999999</v>
      </c>
      <c r="D160" s="19"/>
      <c r="E160" s="19"/>
      <c r="F160" s="19"/>
      <c r="G160" s="19">
        <v>900</v>
      </c>
      <c r="H160" s="19"/>
      <c r="I160" s="19"/>
      <c r="J160" s="19"/>
      <c r="K160" s="19">
        <v>389.2</v>
      </c>
      <c r="L160" s="19"/>
      <c r="M160" s="23">
        <f>SUM(Tabla24[[#This Row],[01. Alcaldía]:[11. Salud pública y seguridad ciudadana]])</f>
        <v>2292.52</v>
      </c>
    </row>
    <row r="161" spans="1:13" s="16" customFormat="1" ht="10.5" customHeight="1" x14ac:dyDescent="0.25">
      <c r="A161" s="62" t="s">
        <v>2337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12286.5</v>
      </c>
      <c r="M161" s="23">
        <f>SUM(Tabla24[[#This Row],[01. Alcaldía]:[11. Salud pública y seguridad ciudadana]])</f>
        <v>12286.5</v>
      </c>
    </row>
    <row r="162" spans="1:13" s="16" customFormat="1" ht="10.5" customHeight="1" x14ac:dyDescent="0.25">
      <c r="A162" s="62" t="s">
        <v>5518</v>
      </c>
      <c r="B162" s="19"/>
      <c r="C162" s="19"/>
      <c r="D162" s="19"/>
      <c r="E162" s="19"/>
      <c r="F162" s="19"/>
      <c r="G162" s="19">
        <v>986.45</v>
      </c>
      <c r="H162" s="19"/>
      <c r="I162" s="19"/>
      <c r="J162" s="19"/>
      <c r="K162" s="19"/>
      <c r="L162" s="19"/>
      <c r="M162" s="23">
        <f>SUM(Tabla24[[#This Row],[01. Alcaldía]:[11. Salud pública y seguridad ciudadana]])</f>
        <v>986.45</v>
      </c>
    </row>
    <row r="163" spans="1:13" s="16" customFormat="1" x14ac:dyDescent="0.25">
      <c r="A163" s="62" t="s">
        <v>2598</v>
      </c>
      <c r="B163" s="19"/>
      <c r="C163" s="19"/>
      <c r="D163" s="19"/>
      <c r="E163" s="19"/>
      <c r="F163" s="19"/>
      <c r="G163" s="19"/>
      <c r="H163" s="19"/>
      <c r="I163" s="19">
        <v>1561.16</v>
      </c>
      <c r="J163" s="19"/>
      <c r="K163" s="19"/>
      <c r="L163" s="19"/>
      <c r="M163" s="23">
        <f>SUM(Tabla24[[#This Row],[01. Alcaldía]:[11. Salud pública y seguridad ciudadana]])</f>
        <v>1561.16</v>
      </c>
    </row>
    <row r="164" spans="1:13" s="16" customFormat="1" x14ac:dyDescent="0.25">
      <c r="A164" s="62" t="s">
        <v>1945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6.2</v>
      </c>
      <c r="M164" s="23">
        <f>SUM(Tabla24[[#This Row],[01. Alcaldía]:[11. Salud pública y seguridad ciudadana]])</f>
        <v>6.2</v>
      </c>
    </row>
    <row r="165" spans="1:13" s="16" customFormat="1" ht="10.5" customHeight="1" x14ac:dyDescent="0.25">
      <c r="A165" s="62" t="s">
        <v>6139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89.54</v>
      </c>
      <c r="L165" s="19"/>
      <c r="M165" s="23">
        <f>SUM(Tabla24[[#This Row],[01. Alcaldía]:[11. Salud pública y seguridad ciudadana]])</f>
        <v>89.54</v>
      </c>
    </row>
    <row r="166" spans="1:13" s="16" customFormat="1" x14ac:dyDescent="0.25">
      <c r="A166" s="62" t="s">
        <v>3732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>
        <v>3781.65</v>
      </c>
      <c r="L166" s="19"/>
      <c r="M166" s="23">
        <f>SUM(Tabla24[[#This Row],[01. Alcaldía]:[11. Salud pública y seguridad ciudadana]])</f>
        <v>3781.65</v>
      </c>
    </row>
    <row r="167" spans="1:13" s="16" customFormat="1" ht="10.5" customHeight="1" x14ac:dyDescent="0.25">
      <c r="A167" s="62" t="s">
        <v>4447</v>
      </c>
      <c r="B167" s="19">
        <v>216.67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23">
        <f>SUM(Tabla24[[#This Row],[01. Alcaldía]:[11. Salud pública y seguridad ciudadana]])</f>
        <v>216.67</v>
      </c>
    </row>
    <row r="168" spans="1:13" s="16" customFormat="1" ht="10.5" customHeight="1" x14ac:dyDescent="0.25">
      <c r="A168" s="62" t="s">
        <v>5557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105.17</v>
      </c>
      <c r="M168" s="23">
        <f>SUM(Tabla24[[#This Row],[01. Alcaldía]:[11. Salud pública y seguridad ciudadana]])</f>
        <v>105.17</v>
      </c>
    </row>
    <row r="169" spans="1:13" s="16" customFormat="1" ht="10.5" customHeight="1" x14ac:dyDescent="0.25">
      <c r="A169" s="62" t="s">
        <v>286</v>
      </c>
      <c r="B169" s="19"/>
      <c r="C169" s="19">
        <v>96.8</v>
      </c>
      <c r="D169" s="19"/>
      <c r="E169" s="19">
        <v>235.95</v>
      </c>
      <c r="F169" s="19"/>
      <c r="G169" s="19"/>
      <c r="H169" s="19"/>
      <c r="I169" s="19"/>
      <c r="J169" s="19">
        <v>321.86</v>
      </c>
      <c r="K169" s="19">
        <v>43.56</v>
      </c>
      <c r="L169" s="19"/>
      <c r="M169" s="23">
        <f>SUM(Tabla24[[#This Row],[01. Alcaldía]:[11. Salud pública y seguridad ciudadana]])</f>
        <v>698.17000000000007</v>
      </c>
    </row>
    <row r="170" spans="1:13" s="16" customFormat="1" x14ac:dyDescent="0.25">
      <c r="A170" s="62" t="s">
        <v>5922</v>
      </c>
      <c r="B170" s="19"/>
      <c r="C170" s="19"/>
      <c r="D170" s="19"/>
      <c r="E170" s="19"/>
      <c r="F170" s="19"/>
      <c r="G170" s="19">
        <v>15.9</v>
      </c>
      <c r="H170" s="19"/>
      <c r="I170" s="19"/>
      <c r="J170" s="19"/>
      <c r="K170" s="19"/>
      <c r="L170" s="19"/>
      <c r="M170" s="23">
        <f>SUM(Tabla24[[#This Row],[01. Alcaldía]:[11. Salud pública y seguridad ciudadana]])</f>
        <v>15.9</v>
      </c>
    </row>
    <row r="171" spans="1:13" s="16" customFormat="1" x14ac:dyDescent="0.25">
      <c r="A171" s="62" t="s">
        <v>3773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3327.5</v>
      </c>
      <c r="M171" s="23">
        <f>SUM(Tabla24[[#This Row],[01. Alcaldía]:[11. Salud pública y seguridad ciudadana]])</f>
        <v>3327.5</v>
      </c>
    </row>
    <row r="172" spans="1:13" s="16" customFormat="1" ht="10.5" customHeight="1" x14ac:dyDescent="0.25">
      <c r="A172" s="62" t="s">
        <v>4011</v>
      </c>
      <c r="B172" s="19"/>
      <c r="C172" s="19"/>
      <c r="D172" s="19"/>
      <c r="E172" s="19"/>
      <c r="F172" s="19"/>
      <c r="G172" s="19"/>
      <c r="H172" s="19">
        <v>1049.99</v>
      </c>
      <c r="I172" s="19"/>
      <c r="J172" s="19"/>
      <c r="K172" s="19"/>
      <c r="L172" s="19"/>
      <c r="M172" s="23">
        <f>SUM(Tabla24[[#This Row],[01. Alcaldía]:[11. Salud pública y seguridad ciudadana]])</f>
        <v>1049.99</v>
      </c>
    </row>
    <row r="173" spans="1:13" s="16" customFormat="1" ht="10.5" customHeight="1" x14ac:dyDescent="0.25">
      <c r="A173" s="62" t="s">
        <v>66</v>
      </c>
      <c r="B173" s="19"/>
      <c r="C173" s="19">
        <v>2692.25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2692.25</v>
      </c>
    </row>
    <row r="174" spans="1:13" s="16" customFormat="1" ht="10.5" customHeight="1" x14ac:dyDescent="0.25">
      <c r="A174" s="62" t="s">
        <v>3836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500</v>
      </c>
      <c r="M174" s="23">
        <f>SUM(Tabla24[[#This Row],[01. Alcaldía]:[11. Salud pública y seguridad ciudadana]])</f>
        <v>500</v>
      </c>
    </row>
    <row r="175" spans="1:13" s="16" customFormat="1" x14ac:dyDescent="0.25">
      <c r="A175" s="62" t="s">
        <v>53</v>
      </c>
      <c r="B175" s="19"/>
      <c r="C175" s="19"/>
      <c r="D175" s="19">
        <v>10549.439999999999</v>
      </c>
      <c r="E175" s="19"/>
      <c r="F175" s="19"/>
      <c r="G175" s="19">
        <v>300</v>
      </c>
      <c r="H175" s="19"/>
      <c r="I175" s="19"/>
      <c r="J175" s="19"/>
      <c r="K175" s="19">
        <v>1283.29</v>
      </c>
      <c r="L175" s="19"/>
      <c r="M175" s="23">
        <f>SUM(Tabla24[[#This Row],[01. Alcaldía]:[11. Salud pública y seguridad ciudadana]])</f>
        <v>12132.73</v>
      </c>
    </row>
    <row r="176" spans="1:13" s="16" customFormat="1" x14ac:dyDescent="0.25">
      <c r="A176" s="62" t="s">
        <v>2164</v>
      </c>
      <c r="B176" s="19">
        <v>165.77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23">
        <f>SUM(Tabla24[[#This Row],[01. Alcaldía]:[11. Salud pública y seguridad ciudadana]])</f>
        <v>165.77</v>
      </c>
    </row>
    <row r="177" spans="1:13" s="16" customFormat="1" ht="10.5" customHeight="1" x14ac:dyDescent="0.25">
      <c r="A177" s="62" t="s">
        <v>516</v>
      </c>
      <c r="B177" s="19"/>
      <c r="C177" s="19"/>
      <c r="D177" s="19"/>
      <c r="E177" s="19"/>
      <c r="F177" s="19"/>
      <c r="G177" s="19"/>
      <c r="H177" s="19">
        <v>2500</v>
      </c>
      <c r="I177" s="19"/>
      <c r="J177" s="19"/>
      <c r="K177" s="19"/>
      <c r="L177" s="19"/>
      <c r="M177" s="23">
        <f>SUM(Tabla24[[#This Row],[01. Alcaldía]:[11. Salud pública y seguridad ciudadana]])</f>
        <v>2500</v>
      </c>
    </row>
    <row r="178" spans="1:13" s="16" customFormat="1" ht="10.5" customHeight="1" x14ac:dyDescent="0.25">
      <c r="A178" s="62" t="s">
        <v>3633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8487</v>
      </c>
      <c r="M178" s="23">
        <f>SUM(Tabla24[[#This Row],[01. Alcaldía]:[11. Salud pública y seguridad ciudadana]])</f>
        <v>8487</v>
      </c>
    </row>
    <row r="179" spans="1:13" s="16" customFormat="1" ht="10.5" customHeight="1" x14ac:dyDescent="0.25">
      <c r="A179" s="62" t="s">
        <v>254</v>
      </c>
      <c r="B179" s="19"/>
      <c r="C179" s="19"/>
      <c r="D179" s="19"/>
      <c r="E179" s="19"/>
      <c r="F179" s="19"/>
      <c r="G179" s="19">
        <v>93.17</v>
      </c>
      <c r="H179" s="19"/>
      <c r="I179" s="19"/>
      <c r="J179" s="19"/>
      <c r="K179" s="19">
        <v>2013.45</v>
      </c>
      <c r="L179" s="19"/>
      <c r="M179" s="23">
        <f>SUM(Tabla24[[#This Row],[01. Alcaldía]:[11. Salud pública y seguridad ciudadana]])</f>
        <v>2106.62</v>
      </c>
    </row>
    <row r="180" spans="1:13" s="16" customFormat="1" ht="10.5" customHeight="1" x14ac:dyDescent="0.25">
      <c r="A180" s="62" t="s">
        <v>6157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1754.5</v>
      </c>
      <c r="M180" s="23">
        <f>SUM(Tabla24[[#This Row],[01. Alcaldía]:[11. Salud pública y seguridad ciudadana]])</f>
        <v>1754.5</v>
      </c>
    </row>
    <row r="181" spans="1:13" s="16" customFormat="1" ht="10.5" customHeight="1" x14ac:dyDescent="0.25">
      <c r="A181" s="62" t="s">
        <v>574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>
        <v>86.58</v>
      </c>
      <c r="L181" s="19"/>
      <c r="M181" s="23">
        <f>SUM(Tabla24[[#This Row],[01. Alcaldía]:[11. Salud pública y seguridad ciudadana]])</f>
        <v>86.58</v>
      </c>
    </row>
    <row r="182" spans="1:13" s="16" customFormat="1" ht="10.5" customHeight="1" x14ac:dyDescent="0.25">
      <c r="A182" s="62" t="s">
        <v>563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703.37</v>
      </c>
      <c r="M182" s="23">
        <f>SUM(Tabla24[[#This Row],[01. Alcaldía]:[11. Salud pública y seguridad ciudadana]])</f>
        <v>703.37</v>
      </c>
    </row>
    <row r="183" spans="1:13" s="16" customFormat="1" x14ac:dyDescent="0.25">
      <c r="A183" s="62" t="s">
        <v>4100</v>
      </c>
      <c r="B183" s="19">
        <v>459.8</v>
      </c>
      <c r="C183" s="19"/>
      <c r="D183" s="19"/>
      <c r="E183" s="19">
        <v>796.79</v>
      </c>
      <c r="F183" s="19"/>
      <c r="G183" s="19"/>
      <c r="H183" s="19"/>
      <c r="I183" s="19"/>
      <c r="J183" s="19"/>
      <c r="K183" s="19"/>
      <c r="L183" s="19">
        <v>67.760000000000005</v>
      </c>
      <c r="M183" s="23">
        <f>SUM(Tabla24[[#This Row],[01. Alcaldía]:[11. Salud pública y seguridad ciudadana]])</f>
        <v>1324.35</v>
      </c>
    </row>
    <row r="184" spans="1:13" s="16" customFormat="1" ht="10.5" customHeight="1" x14ac:dyDescent="0.25">
      <c r="A184" s="62" t="s">
        <v>103</v>
      </c>
      <c r="B184" s="19"/>
      <c r="C184" s="19">
        <v>721.16</v>
      </c>
      <c r="D184" s="19"/>
      <c r="E184" s="19"/>
      <c r="F184" s="19"/>
      <c r="G184" s="19"/>
      <c r="H184" s="19"/>
      <c r="I184" s="19"/>
      <c r="J184" s="19"/>
      <c r="K184" s="19">
        <v>1754.5</v>
      </c>
      <c r="L184" s="19"/>
      <c r="M184" s="23">
        <f>SUM(Tabla24[[#This Row],[01. Alcaldía]:[11. Salud pública y seguridad ciudadana]])</f>
        <v>2475.66</v>
      </c>
    </row>
    <row r="185" spans="1:13" s="16" customFormat="1" ht="10.5" customHeight="1" x14ac:dyDescent="0.25">
      <c r="A185" s="62" t="s">
        <v>584</v>
      </c>
      <c r="B185" s="19"/>
      <c r="C185" s="19"/>
      <c r="D185" s="19">
        <v>227.83</v>
      </c>
      <c r="E185" s="19"/>
      <c r="F185" s="19"/>
      <c r="G185" s="19"/>
      <c r="H185" s="19"/>
      <c r="I185" s="19"/>
      <c r="J185" s="19"/>
      <c r="K185" s="19"/>
      <c r="L185" s="19"/>
      <c r="M185" s="23">
        <f>SUM(Tabla24[[#This Row],[01. Alcaldía]:[11. Salud pública y seguridad ciudadana]])</f>
        <v>227.83</v>
      </c>
    </row>
    <row r="186" spans="1:13" s="16" customFormat="1" ht="10.5" customHeight="1" x14ac:dyDescent="0.25">
      <c r="A186" s="62" t="s">
        <v>3687</v>
      </c>
      <c r="B186" s="19">
        <v>1287.5</v>
      </c>
      <c r="C186" s="19"/>
      <c r="D186" s="19"/>
      <c r="E186" s="19">
        <v>5150</v>
      </c>
      <c r="F186" s="19"/>
      <c r="G186" s="19"/>
      <c r="H186" s="19"/>
      <c r="I186" s="19"/>
      <c r="J186" s="19"/>
      <c r="K186" s="19"/>
      <c r="L186" s="19"/>
      <c r="M186" s="23">
        <f>SUM(Tabla24[[#This Row],[01. Alcaldía]:[11. Salud pública y seguridad ciudadana]])</f>
        <v>6437.5</v>
      </c>
    </row>
    <row r="187" spans="1:13" s="16" customFormat="1" ht="10.5" customHeight="1" x14ac:dyDescent="0.25">
      <c r="A187" s="62" t="s">
        <v>5644</v>
      </c>
      <c r="B187" s="19"/>
      <c r="C187" s="19"/>
      <c r="D187" s="19">
        <v>200</v>
      </c>
      <c r="E187" s="19"/>
      <c r="F187" s="19"/>
      <c r="G187" s="19"/>
      <c r="H187" s="19"/>
      <c r="I187" s="19"/>
      <c r="J187" s="19"/>
      <c r="K187" s="19"/>
      <c r="L187" s="19"/>
      <c r="M187" s="23">
        <f>SUM(Tabla24[[#This Row],[01. Alcaldía]:[11. Salud pública y seguridad ciudadana]])</f>
        <v>200</v>
      </c>
    </row>
    <row r="188" spans="1:13" s="16" customFormat="1" ht="10.5" customHeight="1" x14ac:dyDescent="0.25">
      <c r="A188" s="62" t="s">
        <v>3841</v>
      </c>
      <c r="B188" s="19"/>
      <c r="C188" s="19"/>
      <c r="D188" s="19"/>
      <c r="E188" s="19">
        <v>2192.77</v>
      </c>
      <c r="F188" s="19"/>
      <c r="G188" s="19"/>
      <c r="H188" s="19"/>
      <c r="I188" s="19"/>
      <c r="J188" s="19"/>
      <c r="K188" s="19"/>
      <c r="L188" s="19"/>
      <c r="M188" s="23">
        <f>SUM(Tabla24[[#This Row],[01. Alcaldía]:[11. Salud pública y seguridad ciudadana]])</f>
        <v>2192.77</v>
      </c>
    </row>
    <row r="189" spans="1:13" s="16" customFormat="1" ht="10.5" customHeight="1" x14ac:dyDescent="0.25">
      <c r="A189" s="62" t="s">
        <v>1960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>
        <v>50.820000000000007</v>
      </c>
      <c r="L189" s="19"/>
      <c r="M189" s="23">
        <f>SUM(Tabla24[[#This Row],[01. Alcaldía]:[11. Salud pública y seguridad ciudadana]])</f>
        <v>50.820000000000007</v>
      </c>
    </row>
    <row r="190" spans="1:13" s="16" customFormat="1" ht="10.5" customHeight="1" x14ac:dyDescent="0.25">
      <c r="A190" s="62" t="s">
        <v>221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2125.56</v>
      </c>
      <c r="M190" s="23">
        <f>SUM(Tabla24[[#This Row],[01. Alcaldía]:[11. Salud pública y seguridad ciudadana]])</f>
        <v>2125.56</v>
      </c>
    </row>
    <row r="191" spans="1:13" s="16" customFormat="1" ht="10.5" customHeight="1" x14ac:dyDescent="0.25">
      <c r="A191" s="62" t="s">
        <v>5684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216.37</v>
      </c>
      <c r="M191" s="23">
        <f>SUM(Tabla24[[#This Row],[01. Alcaldía]:[11. Salud pública y seguridad ciudadana]])</f>
        <v>216.37</v>
      </c>
    </row>
    <row r="192" spans="1:13" s="16" customFormat="1" ht="10.5" customHeight="1" x14ac:dyDescent="0.25">
      <c r="A192" s="62" t="s">
        <v>2307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>
        <v>1250.4000000000001</v>
      </c>
      <c r="L192" s="19"/>
      <c r="M192" s="23">
        <f>SUM(Tabla24[[#This Row],[01. Alcaldía]:[11. Salud pública y seguridad ciudadana]])</f>
        <v>1250.4000000000001</v>
      </c>
    </row>
    <row r="193" spans="1:13" s="16" customFormat="1" ht="10.5" customHeight="1" x14ac:dyDescent="0.25">
      <c r="A193" s="62" t="s">
        <v>300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695.4</v>
      </c>
      <c r="M193" s="23">
        <f>SUM(Tabla24[[#This Row],[01. Alcaldía]:[11. Salud pública y seguridad ciudadana]])</f>
        <v>695.4</v>
      </c>
    </row>
    <row r="194" spans="1:13" s="16" customFormat="1" ht="10.5" customHeight="1" x14ac:dyDescent="0.25">
      <c r="A194" s="62" t="s">
        <v>3656</v>
      </c>
      <c r="B194" s="19">
        <v>5996.08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5996.08</v>
      </c>
    </row>
    <row r="195" spans="1:13" s="16" customFormat="1" ht="10.5" customHeight="1" x14ac:dyDescent="0.25">
      <c r="A195" s="62" t="s">
        <v>5679</v>
      </c>
      <c r="B195" s="19"/>
      <c r="C195" s="19"/>
      <c r="D195" s="19"/>
      <c r="E195" s="19"/>
      <c r="F195" s="19"/>
      <c r="G195" s="19"/>
      <c r="H195" s="19"/>
      <c r="I195" s="19">
        <v>1352</v>
      </c>
      <c r="J195" s="19"/>
      <c r="K195" s="19"/>
      <c r="L195" s="19"/>
      <c r="M195" s="23">
        <f>SUM(Tabla24[[#This Row],[01. Alcaldía]:[11. Salud pública y seguridad ciudadana]])</f>
        <v>1352</v>
      </c>
    </row>
    <row r="196" spans="1:13" s="16" customFormat="1" ht="10.5" customHeight="1" x14ac:dyDescent="0.25">
      <c r="A196" s="62" t="s">
        <v>4435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221</v>
      </c>
      <c r="M196" s="23">
        <f>SUM(Tabla24[[#This Row],[01. Alcaldía]:[11. Salud pública y seguridad ciudadana]])</f>
        <v>221</v>
      </c>
    </row>
    <row r="197" spans="1:13" s="16" customFormat="1" ht="10.5" customHeight="1" x14ac:dyDescent="0.25">
      <c r="A197" s="62" t="s">
        <v>2644</v>
      </c>
      <c r="B197" s="19">
        <v>1573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23">
        <f>SUM(Tabla24[[#This Row],[01. Alcaldía]:[11. Salud pública y seguridad ciudadana]])</f>
        <v>1573</v>
      </c>
    </row>
    <row r="198" spans="1:13" s="16" customFormat="1" ht="10.5" customHeight="1" x14ac:dyDescent="0.25">
      <c r="A198" s="62" t="s">
        <v>253</v>
      </c>
      <c r="B198" s="19"/>
      <c r="C198" s="19">
        <v>99.34</v>
      </c>
      <c r="D198" s="19">
        <v>210.06</v>
      </c>
      <c r="E198" s="19"/>
      <c r="F198" s="19"/>
      <c r="G198" s="19">
        <v>1614.02</v>
      </c>
      <c r="H198" s="19">
        <v>1500</v>
      </c>
      <c r="I198" s="19"/>
      <c r="J198" s="19"/>
      <c r="K198" s="19">
        <v>671.56</v>
      </c>
      <c r="L198" s="19"/>
      <c r="M198" s="23">
        <f>SUM(Tabla24[[#This Row],[01. Alcaldía]:[11. Salud pública y seguridad ciudadana]])</f>
        <v>4094.98</v>
      </c>
    </row>
    <row r="199" spans="1:13" s="16" customFormat="1" ht="10.5" customHeight="1" x14ac:dyDescent="0.25">
      <c r="A199" s="62" t="s">
        <v>115</v>
      </c>
      <c r="B199" s="19"/>
      <c r="C199" s="19"/>
      <c r="D199" s="19"/>
      <c r="E199" s="19"/>
      <c r="F199" s="19"/>
      <c r="G199" s="19"/>
      <c r="H199" s="19">
        <v>5411</v>
      </c>
      <c r="I199" s="19"/>
      <c r="J199" s="19"/>
      <c r="K199" s="19"/>
      <c r="L199" s="19">
        <v>2000</v>
      </c>
      <c r="M199" s="23">
        <f>SUM(Tabla24[[#This Row],[01. Alcaldía]:[11. Salud pública y seguridad ciudadana]])</f>
        <v>7411</v>
      </c>
    </row>
    <row r="200" spans="1:13" s="16" customFormat="1" ht="10.5" customHeight="1" x14ac:dyDescent="0.25">
      <c r="A200" s="62" t="s">
        <v>2257</v>
      </c>
      <c r="B200" s="19"/>
      <c r="C200" s="19"/>
      <c r="D200" s="19"/>
      <c r="E200" s="19">
        <v>3149.04</v>
      </c>
      <c r="F200" s="19"/>
      <c r="G200" s="19"/>
      <c r="H200" s="19"/>
      <c r="I200" s="19"/>
      <c r="J200" s="19"/>
      <c r="K200" s="19"/>
      <c r="L200" s="19"/>
      <c r="M200" s="23">
        <f>SUM(Tabla24[[#This Row],[01. Alcaldía]:[11. Salud pública y seguridad ciudadana]])</f>
        <v>3149.04</v>
      </c>
    </row>
    <row r="201" spans="1:13" s="16" customFormat="1" ht="10.5" customHeight="1" x14ac:dyDescent="0.25">
      <c r="A201" s="62" t="s">
        <v>5690</v>
      </c>
      <c r="B201" s="19"/>
      <c r="C201" s="19"/>
      <c r="D201" s="19"/>
      <c r="E201" s="19"/>
      <c r="F201" s="19"/>
      <c r="G201" s="19"/>
      <c r="H201" s="19"/>
      <c r="I201" s="19"/>
      <c r="J201" s="19">
        <v>4572.28</v>
      </c>
      <c r="K201" s="19"/>
      <c r="L201" s="19"/>
      <c r="M201" s="23">
        <f>SUM(Tabla24[[#This Row],[01. Alcaldía]:[11. Salud pública y seguridad ciudadana]])</f>
        <v>4572.28</v>
      </c>
    </row>
    <row r="202" spans="1:13" s="16" customFormat="1" ht="10.5" customHeight="1" x14ac:dyDescent="0.25">
      <c r="A202" s="62" t="s">
        <v>6185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>
        <v>292.22000000000003</v>
      </c>
      <c r="L202" s="19"/>
      <c r="M202" s="23">
        <f>SUM(Tabla24[[#This Row],[01. Alcaldía]:[11. Salud pública y seguridad ciudadana]])</f>
        <v>292.22000000000003</v>
      </c>
    </row>
    <row r="203" spans="1:13" s="16" customFormat="1" ht="10.5" customHeight="1" x14ac:dyDescent="0.25">
      <c r="A203" s="62" t="s">
        <v>3067</v>
      </c>
      <c r="B203" s="19"/>
      <c r="C203" s="19"/>
      <c r="D203" s="19"/>
      <c r="E203" s="19"/>
      <c r="F203" s="19"/>
      <c r="G203" s="19"/>
      <c r="H203" s="19">
        <v>14506.09</v>
      </c>
      <c r="I203" s="19"/>
      <c r="J203" s="19"/>
      <c r="K203" s="19"/>
      <c r="L203" s="19"/>
      <c r="M203" s="23">
        <f>SUM(Tabla24[[#This Row],[01. Alcaldía]:[11. Salud pública y seguridad ciudadana]])</f>
        <v>14506.09</v>
      </c>
    </row>
    <row r="204" spans="1:13" s="16" customFormat="1" x14ac:dyDescent="0.25">
      <c r="A204" s="62" t="s">
        <v>5697</v>
      </c>
      <c r="B204" s="19"/>
      <c r="C204" s="19"/>
      <c r="D204" s="19"/>
      <c r="E204" s="19"/>
      <c r="F204" s="19"/>
      <c r="G204" s="19">
        <v>200</v>
      </c>
      <c r="H204" s="19"/>
      <c r="I204" s="19"/>
      <c r="J204" s="19"/>
      <c r="K204" s="19"/>
      <c r="L204" s="19"/>
      <c r="M204" s="23">
        <f>SUM(Tabla24[[#This Row],[01. Alcaldía]:[11. Salud pública y seguridad ciudadana]])</f>
        <v>200</v>
      </c>
    </row>
    <row r="205" spans="1:13" s="16" customFormat="1" ht="10.5" customHeight="1" x14ac:dyDescent="0.25">
      <c r="A205" s="62" t="s">
        <v>297</v>
      </c>
      <c r="B205" s="19"/>
      <c r="C205" s="19"/>
      <c r="D205" s="19">
        <v>5436.9</v>
      </c>
      <c r="E205" s="19"/>
      <c r="F205" s="19"/>
      <c r="G205" s="19">
        <v>400</v>
      </c>
      <c r="H205" s="19"/>
      <c r="I205" s="19"/>
      <c r="J205" s="19"/>
      <c r="K205" s="19"/>
      <c r="L205" s="19">
        <v>302.74</v>
      </c>
      <c r="M205" s="23">
        <f>SUM(Tabla24[[#This Row],[01. Alcaldía]:[11. Salud pública y seguridad ciudadana]])</f>
        <v>6139.6399999999994</v>
      </c>
    </row>
    <row r="206" spans="1:13" s="16" customFormat="1" ht="10.5" customHeight="1" x14ac:dyDescent="0.25">
      <c r="A206" s="62" t="s">
        <v>2234</v>
      </c>
      <c r="B206" s="19"/>
      <c r="C206" s="19"/>
      <c r="D206" s="19"/>
      <c r="E206" s="19"/>
      <c r="F206" s="19"/>
      <c r="G206" s="19"/>
      <c r="H206" s="19">
        <v>223.27</v>
      </c>
      <c r="I206" s="19"/>
      <c r="J206" s="19"/>
      <c r="K206" s="19"/>
      <c r="L206" s="19"/>
      <c r="M206" s="23">
        <f>SUM(Tabla24[[#This Row],[01. Alcaldía]:[11. Salud pública y seguridad ciudadana]])</f>
        <v>223.27</v>
      </c>
    </row>
    <row r="207" spans="1:13" s="16" customFormat="1" ht="10.5" customHeight="1" x14ac:dyDescent="0.25">
      <c r="A207" s="62" t="s">
        <v>296</v>
      </c>
      <c r="B207" s="19"/>
      <c r="C207" s="19"/>
      <c r="D207" s="19"/>
      <c r="E207" s="19">
        <v>19360</v>
      </c>
      <c r="F207" s="19"/>
      <c r="G207" s="19"/>
      <c r="H207" s="19"/>
      <c r="I207" s="19"/>
      <c r="J207" s="19"/>
      <c r="K207" s="19"/>
      <c r="L207" s="19"/>
      <c r="M207" s="23">
        <f>SUM(Tabla24[[#This Row],[01. Alcaldía]:[11. Salud pública y seguridad ciudadana]])</f>
        <v>19360</v>
      </c>
    </row>
    <row r="208" spans="1:13" s="16" customFormat="1" x14ac:dyDescent="0.25">
      <c r="A208" s="62" t="s">
        <v>220</v>
      </c>
      <c r="B208" s="19"/>
      <c r="C208" s="19"/>
      <c r="D208" s="19"/>
      <c r="E208" s="19">
        <v>16000</v>
      </c>
      <c r="F208" s="19"/>
      <c r="G208" s="19"/>
      <c r="H208" s="19">
        <v>1000</v>
      </c>
      <c r="I208" s="19"/>
      <c r="J208" s="19"/>
      <c r="K208" s="19"/>
      <c r="L208" s="19">
        <v>2105</v>
      </c>
      <c r="M208" s="23">
        <f>SUM(Tabla24[[#This Row],[01. Alcaldía]:[11. Salud pública y seguridad ciudadana]])</f>
        <v>19105</v>
      </c>
    </row>
    <row r="209" spans="1:13" s="16" customFormat="1" ht="10.5" customHeight="1" x14ac:dyDescent="0.25">
      <c r="A209" s="62" t="s">
        <v>250</v>
      </c>
      <c r="B209" s="19">
        <v>7151.34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23">
        <f>SUM(Tabla24[[#This Row],[01. Alcaldía]:[11. Salud pública y seguridad ciudadana]])</f>
        <v>7151.34</v>
      </c>
    </row>
    <row r="210" spans="1:13" s="16" customFormat="1" ht="10.5" customHeight="1" x14ac:dyDescent="0.25">
      <c r="A210" s="62" t="s">
        <v>4297</v>
      </c>
      <c r="B210" s="19"/>
      <c r="C210" s="19"/>
      <c r="D210" s="19">
        <v>379.94</v>
      </c>
      <c r="E210" s="19"/>
      <c r="F210" s="19"/>
      <c r="G210" s="19"/>
      <c r="H210" s="19"/>
      <c r="I210" s="19"/>
      <c r="J210" s="19"/>
      <c r="K210" s="19"/>
      <c r="L210" s="19"/>
      <c r="M210" s="23">
        <f>SUM(Tabla24[[#This Row],[01. Alcaldía]:[11. Salud pública y seguridad ciudadana]])</f>
        <v>379.94</v>
      </c>
    </row>
    <row r="211" spans="1:13" s="16" customFormat="1" x14ac:dyDescent="0.25">
      <c r="A211" s="62" t="s">
        <v>163</v>
      </c>
      <c r="B211" s="19"/>
      <c r="C211" s="19"/>
      <c r="D211" s="19">
        <v>16397.210000000003</v>
      </c>
      <c r="E211" s="19"/>
      <c r="F211" s="19"/>
      <c r="G211" s="19"/>
      <c r="H211" s="19"/>
      <c r="I211" s="19"/>
      <c r="J211" s="19"/>
      <c r="K211" s="19"/>
      <c r="L211" s="19"/>
      <c r="M211" s="23">
        <f>SUM(Tabla24[[#This Row],[01. Alcaldía]:[11. Salud pública y seguridad ciudadana]])</f>
        <v>16397.210000000003</v>
      </c>
    </row>
    <row r="212" spans="1:13" s="16" customFormat="1" x14ac:dyDescent="0.25">
      <c r="A212" s="62" t="s">
        <v>2580</v>
      </c>
      <c r="B212" s="19"/>
      <c r="C212" s="19"/>
      <c r="D212" s="19"/>
      <c r="E212" s="19">
        <v>1442.93</v>
      </c>
      <c r="F212" s="19"/>
      <c r="G212" s="19"/>
      <c r="H212" s="19"/>
      <c r="I212" s="19"/>
      <c r="J212" s="19"/>
      <c r="K212" s="19"/>
      <c r="L212" s="19"/>
      <c r="M212" s="23">
        <f>SUM(Tabla24[[#This Row],[01. Alcaldía]:[11. Salud pública y seguridad ciudadana]])</f>
        <v>1442.93</v>
      </c>
    </row>
    <row r="213" spans="1:13" s="16" customFormat="1" ht="10.5" customHeight="1" x14ac:dyDescent="0.25">
      <c r="A213" s="62" t="s">
        <v>558</v>
      </c>
      <c r="B213" s="19"/>
      <c r="C213" s="19"/>
      <c r="D213" s="19">
        <v>4625.8500000000004</v>
      </c>
      <c r="E213" s="19"/>
      <c r="F213" s="19"/>
      <c r="G213" s="19"/>
      <c r="H213" s="19"/>
      <c r="I213" s="19"/>
      <c r="J213" s="19"/>
      <c r="K213" s="19">
        <v>582.4</v>
      </c>
      <c r="L213" s="19"/>
      <c r="M213" s="23">
        <f>SUM(Tabla24[[#This Row],[01. Alcaldía]:[11. Salud pública y seguridad ciudadana]])</f>
        <v>5208.25</v>
      </c>
    </row>
    <row r="214" spans="1:13" s="16" customFormat="1" x14ac:dyDescent="0.25">
      <c r="A214" s="62" t="s">
        <v>4401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512</v>
      </c>
      <c r="L214" s="19"/>
      <c r="M214" s="23">
        <f>SUM(Tabla24[[#This Row],[01. Alcaldía]:[11. Salud pública y seguridad ciudadana]])</f>
        <v>512</v>
      </c>
    </row>
    <row r="215" spans="1:13" s="16" customFormat="1" ht="10.5" customHeight="1" x14ac:dyDescent="0.25">
      <c r="A215" s="62" t="s">
        <v>3862</v>
      </c>
      <c r="B215" s="19"/>
      <c r="C215" s="19"/>
      <c r="D215" s="19"/>
      <c r="E215" s="19"/>
      <c r="F215" s="19"/>
      <c r="G215" s="19">
        <v>2000</v>
      </c>
      <c r="H215" s="19"/>
      <c r="I215" s="19"/>
      <c r="J215" s="19"/>
      <c r="K215" s="19"/>
      <c r="L215" s="19"/>
      <c r="M215" s="23">
        <f>SUM(Tabla24[[#This Row],[01. Alcaldía]:[11. Salud pública y seguridad ciudadana]])</f>
        <v>2000</v>
      </c>
    </row>
    <row r="216" spans="1:13" s="16" customFormat="1" ht="10.5" customHeight="1" x14ac:dyDescent="0.25">
      <c r="A216" s="62" t="s">
        <v>314</v>
      </c>
      <c r="B216" s="19">
        <v>69.8</v>
      </c>
      <c r="C216" s="19"/>
      <c r="D216" s="19"/>
      <c r="E216" s="19"/>
      <c r="F216" s="19"/>
      <c r="G216" s="19">
        <v>1590</v>
      </c>
      <c r="H216" s="19"/>
      <c r="I216" s="19"/>
      <c r="J216" s="19"/>
      <c r="K216" s="19"/>
      <c r="L216" s="19">
        <v>600</v>
      </c>
      <c r="M216" s="23">
        <f>SUM(Tabla24[[#This Row],[01. Alcaldía]:[11. Salud pública y seguridad ciudadana]])</f>
        <v>2259.8000000000002</v>
      </c>
    </row>
    <row r="217" spans="1:13" s="16" customFormat="1" ht="10.5" customHeight="1" x14ac:dyDescent="0.25">
      <c r="A217" s="62" t="s">
        <v>5731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>
        <v>288</v>
      </c>
      <c r="M217" s="23">
        <f>SUM(Tabla24[[#This Row],[01. Alcaldía]:[11. Salud pública y seguridad ciudadana]])</f>
        <v>288</v>
      </c>
    </row>
    <row r="218" spans="1:13" s="16" customFormat="1" ht="10.5" customHeight="1" x14ac:dyDescent="0.25">
      <c r="A218" s="62" t="s">
        <v>2473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816.67</v>
      </c>
      <c r="M218" s="23">
        <f>SUM(Tabla24[[#This Row],[01. Alcaldía]:[11. Salud pública y seguridad ciudadana]])</f>
        <v>816.67</v>
      </c>
    </row>
    <row r="219" spans="1:13" s="16" customFormat="1" ht="10.5" customHeight="1" x14ac:dyDescent="0.25">
      <c r="A219" s="62" t="s">
        <v>116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2433.0299999999997</v>
      </c>
      <c r="M219" s="23">
        <f>SUM(Tabla24[[#This Row],[01. Alcaldía]:[11. Salud pública y seguridad ciudadana]])</f>
        <v>2433.0299999999997</v>
      </c>
    </row>
    <row r="220" spans="1:13" s="16" customFormat="1" ht="10.5" customHeight="1" x14ac:dyDescent="0.25">
      <c r="A220" s="62" t="s">
        <v>153</v>
      </c>
      <c r="B220" s="19"/>
      <c r="C220" s="19"/>
      <c r="D220" s="19"/>
      <c r="E220" s="19"/>
      <c r="F220" s="19"/>
      <c r="G220" s="19"/>
      <c r="H220" s="19"/>
      <c r="I220" s="19">
        <v>17224.919999999998</v>
      </c>
      <c r="J220" s="19"/>
      <c r="K220" s="19"/>
      <c r="L220" s="19"/>
      <c r="M220" s="23">
        <f>SUM(Tabla24[[#This Row],[01. Alcaldía]:[11. Salud pública y seguridad ciudadana]])</f>
        <v>17224.919999999998</v>
      </c>
    </row>
    <row r="221" spans="1:13" s="16" customFormat="1" ht="10.5" customHeight="1" x14ac:dyDescent="0.25">
      <c r="A221" s="62" t="s">
        <v>5735</v>
      </c>
      <c r="B221" s="19"/>
      <c r="C221" s="19"/>
      <c r="D221" s="19"/>
      <c r="E221" s="19"/>
      <c r="F221" s="19"/>
      <c r="G221" s="19"/>
      <c r="H221" s="19">
        <v>10890</v>
      </c>
      <c r="I221" s="19"/>
      <c r="J221" s="19"/>
      <c r="K221" s="19"/>
      <c r="L221" s="19"/>
      <c r="M221" s="23">
        <f>SUM(Tabla24[[#This Row],[01. Alcaldía]:[11. Salud pública y seguridad ciudadana]])</f>
        <v>10890</v>
      </c>
    </row>
    <row r="222" spans="1:13" s="16" customFormat="1" ht="10.5" customHeight="1" x14ac:dyDescent="0.25">
      <c r="A222" s="62" t="s">
        <v>2425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595.32000000000005</v>
      </c>
      <c r="M222" s="23">
        <f>SUM(Tabla24[[#This Row],[01. Alcaldía]:[11. Salud pública y seguridad ciudadana]])</f>
        <v>595.32000000000005</v>
      </c>
    </row>
    <row r="223" spans="1:13" s="16" customFormat="1" x14ac:dyDescent="0.25">
      <c r="A223" s="62" t="s">
        <v>2176</v>
      </c>
      <c r="B223" s="19"/>
      <c r="C223" s="19"/>
      <c r="D223" s="19">
        <v>194.5</v>
      </c>
      <c r="E223" s="19"/>
      <c r="F223" s="19"/>
      <c r="G223" s="19">
        <v>2505.25</v>
      </c>
      <c r="H223" s="19"/>
      <c r="I223" s="19"/>
      <c r="J223" s="19"/>
      <c r="K223" s="19"/>
      <c r="L223" s="19"/>
      <c r="M223" s="23">
        <f>SUM(Tabla24[[#This Row],[01. Alcaldía]:[11. Salud pública y seguridad ciudadana]])</f>
        <v>2699.75</v>
      </c>
    </row>
    <row r="224" spans="1:13" s="16" customFormat="1" ht="10.5" customHeight="1" x14ac:dyDescent="0.25">
      <c r="A224" s="62" t="s">
        <v>779</v>
      </c>
      <c r="B224" s="19"/>
      <c r="C224" s="19"/>
      <c r="D224" s="19"/>
      <c r="E224" s="19"/>
      <c r="F224" s="19"/>
      <c r="G224" s="19">
        <v>1546.04</v>
      </c>
      <c r="H224" s="19"/>
      <c r="I224" s="19"/>
      <c r="J224" s="19"/>
      <c r="K224" s="19"/>
      <c r="L224" s="19"/>
      <c r="M224" s="23">
        <f>SUM(Tabla24[[#This Row],[01. Alcaldía]:[11. Salud pública y seguridad ciudadana]])</f>
        <v>1546.04</v>
      </c>
    </row>
    <row r="225" spans="1:13" s="16" customFormat="1" ht="10.5" customHeight="1" x14ac:dyDescent="0.25">
      <c r="A225" s="62" t="s">
        <v>198</v>
      </c>
      <c r="B225" s="19"/>
      <c r="C225" s="19"/>
      <c r="D225" s="19"/>
      <c r="E225" s="19">
        <v>1087.79</v>
      </c>
      <c r="F225" s="19"/>
      <c r="G225" s="19"/>
      <c r="H225" s="19"/>
      <c r="I225" s="19"/>
      <c r="J225" s="19"/>
      <c r="K225" s="19"/>
      <c r="L225" s="19"/>
      <c r="M225" s="23">
        <f>SUM(Tabla24[[#This Row],[01. Alcaldía]:[11. Salud pública y seguridad ciudadana]])</f>
        <v>1087.79</v>
      </c>
    </row>
    <row r="226" spans="1:13" s="16" customFormat="1" x14ac:dyDescent="0.25">
      <c r="A226" s="62" t="s">
        <v>6208</v>
      </c>
      <c r="B226" s="19"/>
      <c r="C226" s="19">
        <v>525</v>
      </c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SUM(Tabla24[[#This Row],[01. Alcaldía]:[11. Salud pública y seguridad ciudadana]])</f>
        <v>525</v>
      </c>
    </row>
    <row r="227" spans="1:13" s="16" customFormat="1" ht="10.5" customHeight="1" x14ac:dyDescent="0.25">
      <c r="A227" s="62" t="s">
        <v>4438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728.56</v>
      </c>
      <c r="L227" s="19"/>
      <c r="M227" s="23">
        <f>SUM(Tabla24[[#This Row],[01. Alcaldía]:[11. Salud pública y seguridad ciudadana]])</f>
        <v>728.56</v>
      </c>
    </row>
    <row r="228" spans="1:13" s="16" customFormat="1" ht="10.5" customHeight="1" x14ac:dyDescent="0.25">
      <c r="A228" s="62" t="s">
        <v>281</v>
      </c>
      <c r="B228" s="19"/>
      <c r="C228" s="19"/>
      <c r="D228" s="19"/>
      <c r="E228" s="19"/>
      <c r="F228" s="19"/>
      <c r="G228" s="19">
        <v>129.63</v>
      </c>
      <c r="H228" s="19"/>
      <c r="I228" s="19"/>
      <c r="J228" s="19"/>
      <c r="K228" s="19"/>
      <c r="L228" s="19"/>
      <c r="M228" s="23">
        <f>SUM(Tabla24[[#This Row],[01. Alcaldía]:[11. Salud pública y seguridad ciudadana]])</f>
        <v>129.63</v>
      </c>
    </row>
    <row r="229" spans="1:13" s="16" customFormat="1" ht="10.5" customHeight="1" x14ac:dyDescent="0.25">
      <c r="A229" s="62" t="s">
        <v>5746</v>
      </c>
      <c r="B229" s="19"/>
      <c r="C229" s="19">
        <v>374.67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374.67</v>
      </c>
    </row>
    <row r="230" spans="1:13" s="16" customFormat="1" ht="10.5" customHeight="1" x14ac:dyDescent="0.25">
      <c r="A230" s="62" t="s">
        <v>2549</v>
      </c>
      <c r="B230" s="19">
        <v>1185.8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23">
        <f>SUM(Tabla24[[#This Row],[01. Alcaldía]:[11. Salud pública y seguridad ciudadana]])</f>
        <v>1185.8</v>
      </c>
    </row>
    <row r="231" spans="1:13" s="16" customFormat="1" x14ac:dyDescent="0.25">
      <c r="A231" s="62" t="s">
        <v>4383</v>
      </c>
      <c r="B231" s="19"/>
      <c r="C231" s="19"/>
      <c r="D231" s="19">
        <v>549.65</v>
      </c>
      <c r="E231" s="19"/>
      <c r="F231" s="19"/>
      <c r="G231" s="19">
        <v>1132.5</v>
      </c>
      <c r="H231" s="19"/>
      <c r="I231" s="19"/>
      <c r="J231" s="19"/>
      <c r="K231" s="19">
        <v>267.85000000000002</v>
      </c>
      <c r="L231" s="19"/>
      <c r="M231" s="23">
        <f>SUM(Tabla24[[#This Row],[01. Alcaldía]:[11. Salud pública y seguridad ciudadana]])</f>
        <v>1950</v>
      </c>
    </row>
    <row r="232" spans="1:13" s="16" customFormat="1" x14ac:dyDescent="0.25">
      <c r="A232" s="62" t="s">
        <v>5757</v>
      </c>
      <c r="B232" s="19">
        <v>2456.3000000000002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23">
        <f>SUM(Tabla24[[#This Row],[01. Alcaldía]:[11. Salud pública y seguridad ciudadana]])</f>
        <v>2456.3000000000002</v>
      </c>
    </row>
    <row r="233" spans="1:13" s="16" customFormat="1" ht="10.5" customHeight="1" x14ac:dyDescent="0.25">
      <c r="A233" s="62" t="s">
        <v>2157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426</v>
      </c>
      <c r="M233" s="23">
        <f>SUM(Tabla24[[#This Row],[01. Alcaldía]:[11. Salud pública y seguridad ciudadana]])</f>
        <v>426</v>
      </c>
    </row>
    <row r="234" spans="1:13" s="16" customFormat="1" x14ac:dyDescent="0.25">
      <c r="A234" s="62" t="s">
        <v>2555</v>
      </c>
      <c r="B234" s="19"/>
      <c r="C234" s="19">
        <v>5445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5445</v>
      </c>
    </row>
    <row r="235" spans="1:13" s="16" customFormat="1" ht="10.5" customHeight="1" x14ac:dyDescent="0.25">
      <c r="A235" s="62" t="s">
        <v>5762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>
        <v>80.47</v>
      </c>
      <c r="M235" s="23">
        <f>SUM(Tabla24[[#This Row],[01. Alcaldía]:[11. Salud pública y seguridad ciudadana]])</f>
        <v>80.47</v>
      </c>
    </row>
    <row r="236" spans="1:13" s="16" customFormat="1" ht="10.5" customHeight="1" x14ac:dyDescent="0.25">
      <c r="A236" s="62" t="s">
        <v>3596</v>
      </c>
      <c r="B236" s="19"/>
      <c r="C236" s="19"/>
      <c r="D236" s="19"/>
      <c r="E236" s="19"/>
      <c r="F236" s="19"/>
      <c r="G236" s="19">
        <v>27.58</v>
      </c>
      <c r="H236" s="19"/>
      <c r="I236" s="19"/>
      <c r="J236" s="19"/>
      <c r="K236" s="19"/>
      <c r="L236" s="19"/>
      <c r="M236" s="23">
        <f>SUM(Tabla24[[#This Row],[01. Alcaldía]:[11. Salud pública y seguridad ciudadana]])</f>
        <v>27.58</v>
      </c>
    </row>
    <row r="237" spans="1:13" s="16" customFormat="1" ht="10.5" customHeight="1" x14ac:dyDescent="0.25">
      <c r="A237" s="62" t="s">
        <v>2752</v>
      </c>
      <c r="B237" s="19"/>
      <c r="C237" s="19"/>
      <c r="D237" s="19">
        <v>2711.61</v>
      </c>
      <c r="E237" s="19"/>
      <c r="F237" s="19"/>
      <c r="G237" s="19"/>
      <c r="H237" s="19"/>
      <c r="I237" s="19"/>
      <c r="J237" s="19"/>
      <c r="K237" s="19"/>
      <c r="L237" s="19"/>
      <c r="M237" s="23">
        <f>SUM(Tabla24[[#This Row],[01. Alcaldía]:[11. Salud pública y seguridad ciudadana]])</f>
        <v>2711.61</v>
      </c>
    </row>
    <row r="238" spans="1:13" s="16" customFormat="1" x14ac:dyDescent="0.25">
      <c r="A238" s="62" t="s">
        <v>255</v>
      </c>
      <c r="B238" s="19"/>
      <c r="C238" s="19"/>
      <c r="D238" s="19"/>
      <c r="E238" s="19"/>
      <c r="F238" s="19"/>
      <c r="G238" s="19">
        <v>7260</v>
      </c>
      <c r="H238" s="19"/>
      <c r="I238" s="19"/>
      <c r="J238" s="19"/>
      <c r="K238" s="19"/>
      <c r="L238" s="19"/>
      <c r="M238" s="23">
        <f>SUM(Tabla24[[#This Row],[01. Alcaldía]:[11. Salud pública y seguridad ciudadana]])</f>
        <v>7260</v>
      </c>
    </row>
    <row r="239" spans="1:13" s="16" customFormat="1" ht="10.5" customHeight="1" x14ac:dyDescent="0.25">
      <c r="A239" s="62" t="s">
        <v>3824</v>
      </c>
      <c r="B239" s="19">
        <v>442.13</v>
      </c>
      <c r="C239" s="19"/>
      <c r="D239" s="19">
        <v>1991.66</v>
      </c>
      <c r="E239" s="19">
        <v>2940</v>
      </c>
      <c r="F239" s="19"/>
      <c r="G239" s="19"/>
      <c r="H239" s="19"/>
      <c r="I239" s="19"/>
      <c r="J239" s="19"/>
      <c r="K239" s="19"/>
      <c r="L239" s="19"/>
      <c r="M239" s="23">
        <f>SUM(Tabla24[[#This Row],[01. Alcaldía]:[11. Salud pública y seguridad ciudadana]])</f>
        <v>5373.79</v>
      </c>
    </row>
    <row r="240" spans="1:13" s="16" customFormat="1" x14ac:dyDescent="0.25">
      <c r="A240" s="62" t="s">
        <v>2184</v>
      </c>
      <c r="B240" s="19"/>
      <c r="C240" s="19"/>
      <c r="D240" s="19"/>
      <c r="E240" s="19"/>
      <c r="F240" s="19"/>
      <c r="G240" s="19">
        <v>2413.59</v>
      </c>
      <c r="H240" s="19"/>
      <c r="I240" s="19"/>
      <c r="J240" s="19"/>
      <c r="K240" s="19"/>
      <c r="L240" s="19"/>
      <c r="M240" s="23">
        <f>SUM(Tabla24[[#This Row],[01. Alcaldía]:[11. Salud pública y seguridad ciudadana]])</f>
        <v>2413.59</v>
      </c>
    </row>
    <row r="241" spans="1:13" s="16" customFormat="1" ht="10.5" customHeight="1" x14ac:dyDescent="0.25">
      <c r="A241" s="62" t="s">
        <v>268</v>
      </c>
      <c r="B241" s="19">
        <v>252.67</v>
      </c>
      <c r="C241" s="19"/>
      <c r="D241" s="19">
        <v>2174.33</v>
      </c>
      <c r="E241" s="19"/>
      <c r="F241" s="19"/>
      <c r="G241" s="19"/>
      <c r="H241" s="19"/>
      <c r="I241" s="19"/>
      <c r="J241" s="19"/>
      <c r="K241" s="19">
        <v>1500</v>
      </c>
      <c r="L241" s="19">
        <v>3850.7</v>
      </c>
      <c r="M241" s="23">
        <f>SUM(Tabla24[[#This Row],[01. Alcaldía]:[11. Salud pública y seguridad ciudadana]])</f>
        <v>7777.7</v>
      </c>
    </row>
    <row r="242" spans="1:13" s="16" customFormat="1" ht="10.5" customHeight="1" x14ac:dyDescent="0.25">
      <c r="A242" s="62" t="s">
        <v>5782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>
        <v>8918.92</v>
      </c>
      <c r="L242" s="19"/>
      <c r="M242" s="23">
        <f>SUM(Tabla24[[#This Row],[01. Alcaldía]:[11. Salud pública y seguridad ciudadana]])</f>
        <v>8918.92</v>
      </c>
    </row>
    <row r="243" spans="1:13" s="16" customFormat="1" x14ac:dyDescent="0.25">
      <c r="A243" s="62" t="s">
        <v>1980</v>
      </c>
      <c r="B243" s="19"/>
      <c r="C243" s="19"/>
      <c r="D243" s="19"/>
      <c r="E243" s="19"/>
      <c r="F243" s="19">
        <v>3699.9</v>
      </c>
      <c r="G243" s="19"/>
      <c r="H243" s="19"/>
      <c r="I243" s="19"/>
      <c r="J243" s="19"/>
      <c r="K243" s="19"/>
      <c r="L243" s="19"/>
      <c r="M243" s="23">
        <f>SUM(Tabla24[[#This Row],[01. Alcaldía]:[11. Salud pública y seguridad ciudadana]])</f>
        <v>3699.9</v>
      </c>
    </row>
    <row r="244" spans="1:13" s="16" customFormat="1" ht="10.5" customHeight="1" x14ac:dyDescent="0.25">
      <c r="A244" s="62" t="s">
        <v>5522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795</v>
      </c>
      <c r="M244" s="23">
        <f>SUM(Tabla24[[#This Row],[01. Alcaldía]:[11. Salud pública y seguridad ciudadana]])</f>
        <v>795</v>
      </c>
    </row>
    <row r="245" spans="1:13" s="16" customFormat="1" ht="10.5" customHeight="1" x14ac:dyDescent="0.25">
      <c r="A245" s="62" t="s">
        <v>2170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3734.21</v>
      </c>
      <c r="L245" s="19"/>
      <c r="M245" s="23">
        <f>SUM(Tabla24[[#This Row],[01. Alcaldía]:[11. Salud pública y seguridad ciudadana]])</f>
        <v>3734.21</v>
      </c>
    </row>
    <row r="246" spans="1:13" s="16" customFormat="1" x14ac:dyDescent="0.25">
      <c r="A246" s="62" t="s">
        <v>2274</v>
      </c>
      <c r="B246" s="19"/>
      <c r="C246" s="19"/>
      <c r="D246" s="19">
        <v>276</v>
      </c>
      <c r="E246" s="19"/>
      <c r="F246" s="19"/>
      <c r="G246" s="19"/>
      <c r="H246" s="19"/>
      <c r="I246" s="19"/>
      <c r="J246" s="19"/>
      <c r="K246" s="19"/>
      <c r="L246" s="19"/>
      <c r="M246" s="23">
        <f>SUM(Tabla24[[#This Row],[01. Alcaldía]:[11. Salud pública y seguridad ciudadana]])</f>
        <v>276</v>
      </c>
    </row>
    <row r="247" spans="1:13" s="16" customFormat="1" x14ac:dyDescent="0.25">
      <c r="A247" s="62" t="s">
        <v>3680</v>
      </c>
      <c r="B247" s="19"/>
      <c r="C247" s="19"/>
      <c r="D247" s="19"/>
      <c r="E247" s="19"/>
      <c r="F247" s="19"/>
      <c r="G247" s="19">
        <v>5369.22</v>
      </c>
      <c r="H247" s="19"/>
      <c r="I247" s="19"/>
      <c r="J247" s="19"/>
      <c r="K247" s="19"/>
      <c r="L247" s="19"/>
      <c r="M247" s="23">
        <f>SUM(Tabla24[[#This Row],[01. Alcaldía]:[11. Salud pública y seguridad ciudadana]])</f>
        <v>5369.22</v>
      </c>
    </row>
    <row r="248" spans="1:13" s="16" customFormat="1" x14ac:dyDescent="0.25">
      <c r="A248" s="62" t="s">
        <v>585</v>
      </c>
      <c r="B248" s="19"/>
      <c r="C248" s="19"/>
      <c r="D248" s="19"/>
      <c r="E248" s="19"/>
      <c r="F248" s="19"/>
      <c r="G248" s="19"/>
      <c r="H248" s="19"/>
      <c r="I248" s="19">
        <v>4840</v>
      </c>
      <c r="J248" s="19"/>
      <c r="K248" s="19"/>
      <c r="L248" s="19"/>
      <c r="M248" s="23">
        <f>SUM(Tabla24[[#This Row],[01. Alcaldía]:[11. Salud pública y seguridad ciudadana]])</f>
        <v>4840</v>
      </c>
    </row>
    <row r="249" spans="1:13" s="16" customFormat="1" x14ac:dyDescent="0.25">
      <c r="A249" s="62" t="s">
        <v>2442</v>
      </c>
      <c r="B249" s="19">
        <v>608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23">
        <f>SUM(Tabla24[[#This Row],[01. Alcaldía]:[11. Salud pública y seguridad ciudadana]])</f>
        <v>608</v>
      </c>
    </row>
    <row r="250" spans="1:13" s="16" customFormat="1" ht="10.5" customHeight="1" x14ac:dyDescent="0.25">
      <c r="A250" s="62" t="s">
        <v>100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428.04</v>
      </c>
      <c r="M250" s="23">
        <f>SUM(Tabla24[[#This Row],[01. Alcaldía]:[11. Salud pública y seguridad ciudadana]])</f>
        <v>428.04</v>
      </c>
    </row>
    <row r="251" spans="1:13" s="16" customFormat="1" ht="10.5" customHeight="1" x14ac:dyDescent="0.25">
      <c r="A251" s="62" t="s">
        <v>2294</v>
      </c>
      <c r="B251" s="19">
        <v>295.36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23">
        <f>SUM(Tabla24[[#This Row],[01. Alcaldía]:[11. Salud pública y seguridad ciudadana]])</f>
        <v>295.36</v>
      </c>
    </row>
    <row r="252" spans="1:13" s="16" customFormat="1" x14ac:dyDescent="0.25">
      <c r="A252" s="62" t="s">
        <v>4488</v>
      </c>
      <c r="B252" s="19"/>
      <c r="C252" s="19"/>
      <c r="D252" s="19"/>
      <c r="E252" s="19"/>
      <c r="F252" s="19"/>
      <c r="G252" s="19">
        <v>180</v>
      </c>
      <c r="H252" s="19"/>
      <c r="I252" s="19"/>
      <c r="J252" s="19"/>
      <c r="K252" s="19"/>
      <c r="L252" s="19"/>
      <c r="M252" s="23">
        <f>SUM(Tabla24[[#This Row],[01. Alcaldía]:[11. Salud pública y seguridad ciudadana]])</f>
        <v>180</v>
      </c>
    </row>
    <row r="253" spans="1:13" s="16" customFormat="1" ht="10.5" customHeight="1" x14ac:dyDescent="0.25">
      <c r="A253" s="62" t="s">
        <v>2009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67.760000000000005</v>
      </c>
      <c r="M253" s="23">
        <f>SUM(Tabla24[[#This Row],[01. Alcaldía]:[11. Salud pública y seguridad ciudadana]])</f>
        <v>67.760000000000005</v>
      </c>
    </row>
    <row r="254" spans="1:13" s="16" customFormat="1" ht="10.5" customHeight="1" x14ac:dyDescent="0.35">
      <c r="A254" s="21" t="s">
        <v>2433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605</v>
      </c>
      <c r="M254" s="23">
        <f>SUM(Tabla24[[#This Row],[01. Alcaldía]:[11. Salud pública y seguridad ciudadana]])</f>
        <v>605</v>
      </c>
    </row>
    <row r="255" spans="1:13" s="16" customFormat="1" ht="10.5" customHeight="1" x14ac:dyDescent="0.35">
      <c r="A255" s="21" t="s">
        <v>114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25000</v>
      </c>
      <c r="M255" s="23">
        <f>SUM(Tabla24[[#This Row],[01. Alcaldía]:[11. Salud pública y seguridad ciudadana]])</f>
        <v>25000</v>
      </c>
    </row>
    <row r="256" spans="1:13" s="16" customFormat="1" ht="10.5" customHeight="1" x14ac:dyDescent="0.35">
      <c r="A256" s="21" t="s">
        <v>4381</v>
      </c>
      <c r="B256" s="19"/>
      <c r="C256" s="19"/>
      <c r="D256" s="19">
        <v>272.25</v>
      </c>
      <c r="E256" s="19"/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272.25</v>
      </c>
    </row>
    <row r="257" spans="1:13" s="16" customFormat="1" ht="10.5" customHeight="1" x14ac:dyDescent="0.35">
      <c r="A257" s="21" t="s">
        <v>72</v>
      </c>
      <c r="B257" s="19">
        <v>1610</v>
      </c>
      <c r="C257" s="19"/>
      <c r="D257" s="19"/>
      <c r="E257" s="19"/>
      <c r="F257" s="19"/>
      <c r="G257" s="19">
        <v>725.4</v>
      </c>
      <c r="H257" s="19"/>
      <c r="I257" s="19"/>
      <c r="J257" s="19"/>
      <c r="K257" s="19"/>
      <c r="L257" s="19"/>
      <c r="M257" s="23">
        <f>SUM(Tabla24[[#This Row],[01. Alcaldía]:[11. Salud pública y seguridad ciudadana]])</f>
        <v>2335.4</v>
      </c>
    </row>
    <row r="258" spans="1:13" s="16" customFormat="1" ht="10.5" customHeight="1" x14ac:dyDescent="0.35">
      <c r="A258" s="21" t="s">
        <v>251</v>
      </c>
      <c r="B258" s="19">
        <v>1197.9000000000001</v>
      </c>
      <c r="C258" s="19"/>
      <c r="D258" s="19">
        <v>5962.5</v>
      </c>
      <c r="E258" s="19">
        <v>290.39999999999998</v>
      </c>
      <c r="F258" s="19">
        <v>3720.75</v>
      </c>
      <c r="G258" s="19">
        <v>10350</v>
      </c>
      <c r="H258" s="19"/>
      <c r="I258" s="19"/>
      <c r="J258" s="19"/>
      <c r="K258" s="19"/>
      <c r="L258" s="19"/>
      <c r="M258" s="23">
        <f>SUM(Tabla24[[#This Row],[01. Alcaldía]:[11. Salud pública y seguridad ciudadana]])</f>
        <v>21521.55</v>
      </c>
    </row>
    <row r="259" spans="1:13" s="16" customFormat="1" ht="10.5" customHeight="1" x14ac:dyDescent="0.35">
      <c r="A259" s="21" t="s">
        <v>81</v>
      </c>
      <c r="B259" s="19">
        <v>7199.5</v>
      </c>
      <c r="C259" s="19"/>
      <c r="D259" s="19"/>
      <c r="E259" s="19"/>
      <c r="F259" s="19"/>
      <c r="G259" s="19">
        <v>551.76</v>
      </c>
      <c r="H259" s="19"/>
      <c r="I259" s="19"/>
      <c r="J259" s="19"/>
      <c r="K259" s="19">
        <v>223.85</v>
      </c>
      <c r="L259" s="19"/>
      <c r="M259" s="23">
        <f>SUM(Tabla24[[#This Row],[01. Alcaldía]:[11. Salud pública y seguridad ciudadana]])</f>
        <v>7975.1100000000006</v>
      </c>
    </row>
    <row r="260" spans="1:13" s="16" customFormat="1" ht="10.5" customHeight="1" x14ac:dyDescent="0.35">
      <c r="A260" s="21" t="s">
        <v>2843</v>
      </c>
      <c r="B260" s="19"/>
      <c r="C260" s="19"/>
      <c r="D260" s="19"/>
      <c r="E260" s="19"/>
      <c r="F260" s="19"/>
      <c r="G260" s="19">
        <v>7098.22</v>
      </c>
      <c r="H260" s="19"/>
      <c r="I260" s="19"/>
      <c r="J260" s="19"/>
      <c r="K260" s="19"/>
      <c r="L260" s="19"/>
      <c r="M260" s="23">
        <f>SUM(Tabla24[[#This Row],[01. Alcaldía]:[11. Salud pública y seguridad ciudadana]])</f>
        <v>7098.22</v>
      </c>
    </row>
    <row r="261" spans="1:13" s="16" customFormat="1" ht="10.5" customHeight="1" x14ac:dyDescent="0.35">
      <c r="A261" s="21" t="s">
        <v>758</v>
      </c>
      <c r="B261" s="19"/>
      <c r="C261" s="19"/>
      <c r="D261" s="19"/>
      <c r="E261" s="19"/>
      <c r="F261" s="19"/>
      <c r="G261" s="19"/>
      <c r="H261" s="19">
        <v>5000</v>
      </c>
      <c r="I261" s="19"/>
      <c r="J261" s="19"/>
      <c r="K261" s="19"/>
      <c r="L261" s="19"/>
      <c r="M261" s="23">
        <f>SUM(Tabla24[[#This Row],[01. Alcaldía]:[11. Salud pública y seguridad ciudadana]])</f>
        <v>5000</v>
      </c>
    </row>
    <row r="262" spans="1:13" s="16" customFormat="1" ht="10.5" customHeight="1" x14ac:dyDescent="0.35">
      <c r="A262" s="21" t="s">
        <v>248</v>
      </c>
      <c r="B262" s="19"/>
      <c r="C262" s="19"/>
      <c r="D262" s="19"/>
      <c r="E262" s="19"/>
      <c r="F262" s="19"/>
      <c r="G262" s="19"/>
      <c r="H262" s="19"/>
      <c r="I262" s="19">
        <v>2420</v>
      </c>
      <c r="J262" s="19"/>
      <c r="K262" s="19"/>
      <c r="L262" s="19">
        <v>469</v>
      </c>
      <c r="M262" s="23">
        <f>SUM(Tabla24[[#This Row],[01. Alcaldía]:[11. Salud pública y seguridad ciudadana]])</f>
        <v>2889</v>
      </c>
    </row>
    <row r="263" spans="1:13" s="16" customFormat="1" ht="10.5" customHeight="1" x14ac:dyDescent="0.35">
      <c r="A263" s="21" t="s">
        <v>87</v>
      </c>
      <c r="B263" s="19"/>
      <c r="C263" s="19">
        <v>2886.23</v>
      </c>
      <c r="D263" s="19">
        <v>2003.4800000000002</v>
      </c>
      <c r="E263" s="19"/>
      <c r="F263" s="19"/>
      <c r="G263" s="19">
        <v>8745.7800000000007</v>
      </c>
      <c r="H263" s="19"/>
      <c r="I263" s="19">
        <v>3942.7400000000002</v>
      </c>
      <c r="J263" s="19"/>
      <c r="K263" s="19">
        <v>12312.880000000001</v>
      </c>
      <c r="L263" s="19">
        <v>3129.97</v>
      </c>
      <c r="M263" s="23">
        <f>SUM(Tabla24[[#This Row],[01. Alcaldía]:[11. Salud pública y seguridad ciudadana]])</f>
        <v>33021.08</v>
      </c>
    </row>
    <row r="264" spans="1:13" s="16" customFormat="1" ht="10.5" customHeight="1" x14ac:dyDescent="0.35">
      <c r="A264" s="21" t="s">
        <v>2367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490.05</v>
      </c>
      <c r="M264" s="23">
        <f>SUM(Tabla24[[#This Row],[01. Alcaldía]:[11. Salud pública y seguridad ciudadana]])</f>
        <v>490.05</v>
      </c>
    </row>
    <row r="265" spans="1:13" s="16" customFormat="1" ht="10.5" customHeight="1" x14ac:dyDescent="0.35">
      <c r="A265" s="21" t="s">
        <v>720</v>
      </c>
      <c r="B265" s="19">
        <v>104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23">
        <f>SUM(Tabla24[[#This Row],[01. Alcaldía]:[11. Salud pública y seguridad ciudadana]])</f>
        <v>104</v>
      </c>
    </row>
    <row r="266" spans="1:13" s="16" customFormat="1" ht="10.5" customHeight="1" x14ac:dyDescent="0.35">
      <c r="A266" s="21" t="s">
        <v>3979</v>
      </c>
      <c r="B266" s="19"/>
      <c r="C266" s="19"/>
      <c r="D266" s="19"/>
      <c r="E266" s="19"/>
      <c r="F266" s="19">
        <v>331.31</v>
      </c>
      <c r="G266" s="19"/>
      <c r="H266" s="19"/>
      <c r="I266" s="19"/>
      <c r="J266" s="19"/>
      <c r="K266" s="19">
        <v>1169.3399999999999</v>
      </c>
      <c r="L266" s="19">
        <v>1000</v>
      </c>
      <c r="M266" s="23">
        <f>SUM(Tabla24[[#This Row],[01. Alcaldía]:[11. Salud pública y seguridad ciudadana]])</f>
        <v>2500.6499999999996</v>
      </c>
    </row>
    <row r="267" spans="1:13" s="16" customFormat="1" ht="10.5" customHeight="1" x14ac:dyDescent="0.35">
      <c r="A267" s="21" t="s">
        <v>4007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874.83</v>
      </c>
      <c r="L267" s="19"/>
      <c r="M267" s="23">
        <f>SUM(Tabla24[[#This Row],[01. Alcaldía]:[11. Salud pública y seguridad ciudadana]])</f>
        <v>874.83</v>
      </c>
    </row>
    <row r="268" spans="1:13" s="16" customFormat="1" ht="10.5" customHeight="1" x14ac:dyDescent="0.35">
      <c r="A268" s="21" t="s">
        <v>753</v>
      </c>
      <c r="B268" s="19">
        <v>89.9</v>
      </c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23">
        <f>SUM(Tabla24[[#This Row],[01. Alcaldía]:[11. Salud pública y seguridad ciudadana]])</f>
        <v>89.9</v>
      </c>
    </row>
    <row r="269" spans="1:13" s="16" customFormat="1" ht="10.5" customHeight="1" x14ac:dyDescent="0.35">
      <c r="A269" s="21" t="s">
        <v>2495</v>
      </c>
      <c r="B269" s="19"/>
      <c r="C269" s="19"/>
      <c r="D269" s="19"/>
      <c r="E269" s="19">
        <v>907.5</v>
      </c>
      <c r="F269" s="19"/>
      <c r="G269" s="19"/>
      <c r="H269" s="19"/>
      <c r="I269" s="19"/>
      <c r="J269" s="19"/>
      <c r="K269" s="19"/>
      <c r="L269" s="19"/>
      <c r="M269" s="23">
        <f>SUM(Tabla24[[#This Row],[01. Alcaldía]:[11. Salud pública y seguridad ciudadana]])</f>
        <v>907.5</v>
      </c>
    </row>
    <row r="270" spans="1:13" s="16" customFormat="1" ht="10.5" customHeight="1" x14ac:dyDescent="0.35">
      <c r="A270" s="21" t="s">
        <v>4266</v>
      </c>
      <c r="B270" s="19">
        <v>423.5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23">
        <f>SUM(Tabla24[[#This Row],[01. Alcaldía]:[11. Salud pública y seguridad ciudadana]])</f>
        <v>423.5</v>
      </c>
    </row>
    <row r="271" spans="1:13" s="16" customFormat="1" ht="10.5" customHeight="1" x14ac:dyDescent="0.35">
      <c r="A271" s="21" t="s">
        <v>208</v>
      </c>
      <c r="B271" s="19"/>
      <c r="C271" s="19"/>
      <c r="D271" s="19"/>
      <c r="E271" s="19"/>
      <c r="F271" s="19"/>
      <c r="G271" s="19"/>
      <c r="H271" s="19">
        <v>350</v>
      </c>
      <c r="I271" s="19"/>
      <c r="J271" s="19"/>
      <c r="K271" s="19"/>
      <c r="L271" s="19"/>
      <c r="M271" s="23">
        <f>SUM(Tabla24[[#This Row],[01. Alcaldía]:[11. Salud pública y seguridad ciudadana]])</f>
        <v>350</v>
      </c>
    </row>
    <row r="272" spans="1:13" s="16" customFormat="1" ht="10.5" customHeight="1" x14ac:dyDescent="0.35">
      <c r="A272" s="21" t="s">
        <v>107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13000</v>
      </c>
      <c r="M272" s="23">
        <f>SUM(Tabla24[[#This Row],[01. Alcaldía]:[11. Salud pública y seguridad ciudadana]])</f>
        <v>13000</v>
      </c>
    </row>
    <row r="273" spans="1:13" s="16" customFormat="1" ht="10.5" customHeight="1" x14ac:dyDescent="0.35">
      <c r="A273" s="21" t="s">
        <v>5838</v>
      </c>
      <c r="B273" s="19"/>
      <c r="C273" s="19"/>
      <c r="D273" s="19">
        <v>2662</v>
      </c>
      <c r="E273" s="19"/>
      <c r="F273" s="19"/>
      <c r="G273" s="19"/>
      <c r="H273" s="19"/>
      <c r="I273" s="19"/>
      <c r="J273" s="19"/>
      <c r="K273" s="19"/>
      <c r="L273" s="19"/>
      <c r="M273" s="23">
        <f>SUM(Tabla24[[#This Row],[01. Alcaldía]:[11. Salud pública y seguridad ciudadana]])</f>
        <v>2662</v>
      </c>
    </row>
    <row r="274" spans="1:13" s="16" customFormat="1" ht="10.5" customHeight="1" x14ac:dyDescent="0.35">
      <c r="A274" s="21" t="s">
        <v>39</v>
      </c>
      <c r="B274" s="19"/>
      <c r="C274" s="19"/>
      <c r="D274" s="19"/>
      <c r="E274" s="19"/>
      <c r="F274" s="19"/>
      <c r="G274" s="19"/>
      <c r="H274" s="19"/>
      <c r="I274" s="19">
        <v>4500</v>
      </c>
      <c r="J274" s="19"/>
      <c r="K274" s="19"/>
      <c r="L274" s="19"/>
      <c r="M274" s="23">
        <f>SUM(Tabla24[[#This Row],[01. Alcaldía]:[11. Salud pública y seguridad ciudadana]])</f>
        <v>4500</v>
      </c>
    </row>
    <row r="275" spans="1:13" s="16" customFormat="1" ht="10.5" customHeight="1" x14ac:dyDescent="0.35">
      <c r="A275" s="21" t="s">
        <v>2371</v>
      </c>
      <c r="B275" s="19"/>
      <c r="C275" s="19"/>
      <c r="D275" s="19"/>
      <c r="E275" s="19"/>
      <c r="F275" s="19"/>
      <c r="G275" s="19"/>
      <c r="H275" s="19"/>
      <c r="I275" s="19">
        <v>496.1</v>
      </c>
      <c r="J275" s="19"/>
      <c r="K275" s="19"/>
      <c r="L275" s="19"/>
      <c r="M275" s="23">
        <f>SUM(Tabla24[[#This Row],[01. Alcaldía]:[11. Salud pública y seguridad ciudadana]])</f>
        <v>496.1</v>
      </c>
    </row>
    <row r="276" spans="1:13" s="16" customFormat="1" ht="10.5" customHeight="1" x14ac:dyDescent="0.35">
      <c r="A276" s="21" t="s">
        <v>3684</v>
      </c>
      <c r="B276" s="19"/>
      <c r="C276" s="19"/>
      <c r="D276" s="19">
        <v>1905.75</v>
      </c>
      <c r="E276" s="19">
        <v>1402.97</v>
      </c>
      <c r="F276" s="19"/>
      <c r="G276" s="19"/>
      <c r="H276" s="19"/>
      <c r="I276" s="19"/>
      <c r="J276" s="19"/>
      <c r="K276" s="19"/>
      <c r="L276" s="19"/>
      <c r="M276" s="23">
        <f>SUM(Tabla24[[#This Row],[01. Alcaldía]:[11. Salud pública y seguridad ciudadana]])</f>
        <v>3308.7200000000003</v>
      </c>
    </row>
    <row r="277" spans="1:13" s="16" customFormat="1" ht="10.5" customHeight="1" x14ac:dyDescent="0.35">
      <c r="A277" s="21" t="s">
        <v>532</v>
      </c>
      <c r="B277" s="19"/>
      <c r="C277" s="19"/>
      <c r="D277" s="19"/>
      <c r="E277" s="19">
        <v>1425</v>
      </c>
      <c r="F277" s="19"/>
      <c r="G277" s="19"/>
      <c r="H277" s="19"/>
      <c r="I277" s="19"/>
      <c r="J277" s="19"/>
      <c r="K277" s="19"/>
      <c r="L277" s="19">
        <v>394</v>
      </c>
      <c r="M277" s="23">
        <f>SUM(Tabla24[[#This Row],[01. Alcaldía]:[11. Salud pública y seguridad ciudadana]])</f>
        <v>1819</v>
      </c>
    </row>
    <row r="278" spans="1:13" s="16" customFormat="1" ht="10.5" customHeight="1" x14ac:dyDescent="0.35">
      <c r="A278" s="21" t="s">
        <v>569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>
        <v>1846.85</v>
      </c>
      <c r="M278" s="23">
        <f>SUM(Tabla24[[#This Row],[01. Alcaldía]:[11. Salud pública y seguridad ciudadana]])</f>
        <v>1846.85</v>
      </c>
    </row>
    <row r="279" spans="1:13" s="16" customFormat="1" ht="10.5" customHeight="1" x14ac:dyDescent="0.35">
      <c r="A279" s="21" t="s">
        <v>2096</v>
      </c>
      <c r="B279" s="19"/>
      <c r="C279" s="19">
        <v>114.95</v>
      </c>
      <c r="D279" s="19"/>
      <c r="E279" s="19"/>
      <c r="F279" s="19"/>
      <c r="G279" s="19"/>
      <c r="H279" s="19"/>
      <c r="I279" s="19"/>
      <c r="J279" s="19"/>
      <c r="K279" s="19"/>
      <c r="L279" s="19"/>
      <c r="M279" s="23">
        <f>SUM(Tabla24[[#This Row],[01. Alcaldía]:[11. Salud pública y seguridad ciudadana]])</f>
        <v>114.95</v>
      </c>
    </row>
    <row r="280" spans="1:13" s="16" customFormat="1" ht="10.5" customHeight="1" x14ac:dyDescent="0.35">
      <c r="A280" s="21" t="s">
        <v>235</v>
      </c>
      <c r="B280" s="19"/>
      <c r="C280" s="19">
        <v>10328.620000000001</v>
      </c>
      <c r="D280" s="19"/>
      <c r="E280" s="19"/>
      <c r="F280" s="19"/>
      <c r="G280" s="19"/>
      <c r="H280" s="19"/>
      <c r="I280" s="19"/>
      <c r="J280" s="19"/>
      <c r="K280" s="19"/>
      <c r="L280" s="19"/>
      <c r="M280" s="23">
        <f>SUM(Tabla24[[#This Row],[01. Alcaldía]:[11. Salud pública y seguridad ciudadana]])</f>
        <v>10328.620000000001</v>
      </c>
    </row>
    <row r="281" spans="1:13" s="16" customFormat="1" ht="10.5" customHeight="1" x14ac:dyDescent="0.35">
      <c r="A281" s="21" t="s">
        <v>544</v>
      </c>
      <c r="B281" s="19">
        <v>6704.61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23">
        <f>SUM(Tabla24[[#This Row],[01. Alcaldía]:[11. Salud pública y seguridad ciudadana]])</f>
        <v>6704.61</v>
      </c>
    </row>
    <row r="282" spans="1:13" s="16" customFormat="1" ht="10.5" customHeight="1" x14ac:dyDescent="0.35">
      <c r="A282" s="21" t="s">
        <v>277</v>
      </c>
      <c r="B282" s="19"/>
      <c r="C282" s="19"/>
      <c r="D282" s="19"/>
      <c r="E282" s="19">
        <v>55.25</v>
      </c>
      <c r="F282" s="19"/>
      <c r="G282" s="19"/>
      <c r="H282" s="19"/>
      <c r="I282" s="19"/>
      <c r="J282" s="19"/>
      <c r="K282" s="19"/>
      <c r="L282" s="19"/>
      <c r="M282" s="23">
        <f>SUM(Tabla24[[#This Row],[01. Alcaldía]:[11. Salud pública y seguridad ciudadana]])</f>
        <v>55.25</v>
      </c>
    </row>
    <row r="283" spans="1:13" s="16" customFormat="1" ht="10.5" customHeight="1" x14ac:dyDescent="0.35">
      <c r="A283" s="21" t="s">
        <v>279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7072.6</v>
      </c>
      <c r="M283" s="23">
        <f>SUM(Tabla24[[#This Row],[01. Alcaldía]:[11. Salud pública y seguridad ciudadana]])</f>
        <v>7072.6</v>
      </c>
    </row>
    <row r="284" spans="1:13" s="16" customFormat="1" ht="10.5" customHeight="1" x14ac:dyDescent="0.35">
      <c r="A284" s="21" t="s">
        <v>212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>
        <v>1512.64</v>
      </c>
      <c r="L284" s="19"/>
      <c r="M284" s="23">
        <f>SUM(Tabla24[[#This Row],[01. Alcaldía]:[11. Salud pública y seguridad ciudadana]])</f>
        <v>1512.64</v>
      </c>
    </row>
    <row r="285" spans="1:13" s="16" customFormat="1" ht="10.5" customHeight="1" x14ac:dyDescent="0.35">
      <c r="A285" s="21" t="s">
        <v>6250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647.47</v>
      </c>
      <c r="M285" s="23">
        <f>SUM(Tabla24[[#This Row],[01. Alcaldía]:[11. Salud pública y seguridad ciudadana]])</f>
        <v>647.47</v>
      </c>
    </row>
    <row r="286" spans="1:13" s="16" customFormat="1" ht="10.5" customHeight="1" x14ac:dyDescent="0.35">
      <c r="A286" s="21" t="s">
        <v>4643</v>
      </c>
      <c r="B286" s="19"/>
      <c r="C286" s="19"/>
      <c r="D286" s="19">
        <v>87.68</v>
      </c>
      <c r="E286" s="19"/>
      <c r="F286" s="19"/>
      <c r="G286" s="19"/>
      <c r="H286" s="19"/>
      <c r="I286" s="19"/>
      <c r="J286" s="19"/>
      <c r="K286" s="19"/>
      <c r="L286" s="19"/>
      <c r="M286" s="23">
        <f>SUM(Tabla24[[#This Row],[01. Alcaldía]:[11. Salud pública y seguridad ciudadana]])</f>
        <v>87.68</v>
      </c>
    </row>
    <row r="287" spans="1:13" s="16" customFormat="1" ht="10.5" customHeight="1" x14ac:dyDescent="0.35">
      <c r="A287" s="21" t="s">
        <v>554</v>
      </c>
      <c r="B287" s="19"/>
      <c r="C287" s="19"/>
      <c r="D287" s="19"/>
      <c r="E287" s="19"/>
      <c r="F287" s="19"/>
      <c r="G287" s="19">
        <v>1405.4</v>
      </c>
      <c r="H287" s="19"/>
      <c r="I287" s="19"/>
      <c r="J287" s="19"/>
      <c r="K287" s="19"/>
      <c r="L287" s="19"/>
      <c r="M287" s="23">
        <f>SUM(Tabla24[[#This Row],[01. Alcaldía]:[11. Salud pública y seguridad ciudadana]])</f>
        <v>1405.4</v>
      </c>
    </row>
    <row r="288" spans="1:13" s="16" customFormat="1" ht="10.5" customHeight="1" x14ac:dyDescent="0.35">
      <c r="A288" s="21" t="s">
        <v>2022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>
        <v>75.75</v>
      </c>
      <c r="M288" s="23">
        <f>SUM(Tabla24[[#This Row],[01. Alcaldía]:[11. Salud pública y seguridad ciudadana]])</f>
        <v>75.75</v>
      </c>
    </row>
    <row r="289" spans="1:13" s="16" customFormat="1" ht="10.5" customHeight="1" x14ac:dyDescent="0.35">
      <c r="A289" s="21" t="s">
        <v>59</v>
      </c>
      <c r="B289" s="19"/>
      <c r="C289" s="19"/>
      <c r="D289" s="19"/>
      <c r="E289" s="19"/>
      <c r="F289" s="19"/>
      <c r="G289" s="19"/>
      <c r="H289" s="19">
        <v>8657.5499999999993</v>
      </c>
      <c r="I289" s="19"/>
      <c r="J289" s="19"/>
      <c r="K289" s="19">
        <v>1813.79</v>
      </c>
      <c r="L289" s="19">
        <v>6872.8</v>
      </c>
      <c r="M289" s="23">
        <f>SUM(Tabla24[[#This Row],[01. Alcaldía]:[11. Salud pública y seguridad ciudadana]])</f>
        <v>17344.14</v>
      </c>
    </row>
    <row r="290" spans="1:13" s="16" customFormat="1" ht="10.5" customHeight="1" x14ac:dyDescent="0.35">
      <c r="A290" s="21" t="s">
        <v>3969</v>
      </c>
      <c r="B290" s="19"/>
      <c r="C290" s="19"/>
      <c r="D290" s="19"/>
      <c r="E290" s="19">
        <v>214.23</v>
      </c>
      <c r="F290" s="19"/>
      <c r="G290" s="19"/>
      <c r="H290" s="19"/>
      <c r="I290" s="19"/>
      <c r="J290" s="19"/>
      <c r="K290" s="19"/>
      <c r="L290" s="19"/>
      <c r="M290" s="23">
        <f>SUM(Tabla24[[#This Row],[01. Alcaldía]:[11. Salud pública y seguridad ciudadana]])</f>
        <v>214.23</v>
      </c>
    </row>
    <row r="291" spans="1:13" s="16" customFormat="1" ht="10.5" customHeight="1" x14ac:dyDescent="0.35">
      <c r="A291" s="21" t="s">
        <v>2617</v>
      </c>
      <c r="B291" s="19"/>
      <c r="C291" s="19"/>
      <c r="D291" s="19"/>
      <c r="E291" s="19"/>
      <c r="F291" s="19"/>
      <c r="G291" s="19"/>
      <c r="H291" s="19">
        <v>1500</v>
      </c>
      <c r="I291" s="19"/>
      <c r="J291" s="19"/>
      <c r="K291" s="19"/>
      <c r="L291" s="19"/>
      <c r="M291" s="23">
        <f>SUM(Tabla24[[#This Row],[01. Alcaldía]:[11. Salud pública y seguridad ciudadana]])</f>
        <v>1500</v>
      </c>
    </row>
    <row r="292" spans="1:13" s="16" customFormat="1" ht="10.5" customHeight="1" x14ac:dyDescent="0.35">
      <c r="A292" s="21" t="s">
        <v>2241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471.11</v>
      </c>
      <c r="M292" s="23">
        <f>SUM(Tabla24[[#This Row],[01. Alcaldía]:[11. Salud pública y seguridad ciudadana]])</f>
        <v>471.11</v>
      </c>
    </row>
    <row r="293" spans="1:13" s="16" customFormat="1" ht="10.5" customHeight="1" x14ac:dyDescent="0.35">
      <c r="A293" s="21" t="s">
        <v>2039</v>
      </c>
      <c r="B293" s="19">
        <v>89</v>
      </c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23">
        <f>SUM(Tabla24[[#This Row],[01. Alcaldía]:[11. Salud pública y seguridad ciudadana]])</f>
        <v>89</v>
      </c>
    </row>
    <row r="294" spans="1:13" s="16" customFormat="1" ht="10.5" customHeight="1" x14ac:dyDescent="0.35">
      <c r="A294" s="21" t="s">
        <v>245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>
        <v>3573</v>
      </c>
      <c r="M294" s="23">
        <f>SUM(Tabla24[[#This Row],[01. Alcaldía]:[11. Salud pública y seguridad ciudadana]])</f>
        <v>3573</v>
      </c>
    </row>
    <row r="295" spans="1:13" s="16" customFormat="1" ht="10.5" customHeight="1" x14ac:dyDescent="0.35">
      <c r="A295" s="21" t="s">
        <v>113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>
        <v>3000</v>
      </c>
      <c r="M295" s="23">
        <f>SUM(Tabla24[[#This Row],[01. Alcaldía]:[11. Salud pública y seguridad ciudadana]])</f>
        <v>3000</v>
      </c>
    </row>
    <row r="296" spans="1:13" s="16" customFormat="1" ht="10.5" customHeight="1" x14ac:dyDescent="0.35">
      <c r="A296" s="21" t="s">
        <v>137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>
        <v>15000</v>
      </c>
      <c r="M296" s="23">
        <f>SUM(Tabla24[[#This Row],[01. Alcaldía]:[11. Salud pública y seguridad ciudadana]])</f>
        <v>15000</v>
      </c>
    </row>
    <row r="297" spans="1:13" s="16" customFormat="1" ht="10.5" customHeight="1" x14ac:dyDescent="0.35">
      <c r="A297" s="21" t="s">
        <v>550</v>
      </c>
      <c r="B297" s="19"/>
      <c r="C297" s="19"/>
      <c r="D297" s="19"/>
      <c r="E297" s="19"/>
      <c r="F297" s="19"/>
      <c r="G297" s="19"/>
      <c r="H297" s="19"/>
      <c r="I297" s="19">
        <v>14399</v>
      </c>
      <c r="J297" s="19"/>
      <c r="K297" s="19"/>
      <c r="L297" s="19"/>
      <c r="M297" s="23">
        <f>SUM(Tabla24[[#This Row],[01. Alcaldía]:[11. Salud pública y seguridad ciudadana]])</f>
        <v>14399</v>
      </c>
    </row>
    <row r="298" spans="1:13" s="16" customFormat="1" ht="10.5" customHeight="1" x14ac:dyDescent="0.35">
      <c r="A298" s="21" t="s">
        <v>537</v>
      </c>
      <c r="B298" s="19"/>
      <c r="C298" s="19"/>
      <c r="D298" s="19"/>
      <c r="E298" s="19"/>
      <c r="F298" s="19"/>
      <c r="G298" s="19"/>
      <c r="H298" s="19">
        <v>5900</v>
      </c>
      <c r="I298" s="19">
        <v>4235</v>
      </c>
      <c r="J298" s="19"/>
      <c r="K298" s="19"/>
      <c r="L298" s="19"/>
      <c r="M298" s="23">
        <f>SUM(Tabla24[[#This Row],[01. Alcaldía]:[11. Salud pública y seguridad ciudadana]])</f>
        <v>10135</v>
      </c>
    </row>
    <row r="299" spans="1:13" s="16" customFormat="1" ht="10.5" customHeight="1" x14ac:dyDescent="0.35">
      <c r="A299" s="21" t="s">
        <v>2517</v>
      </c>
      <c r="B299" s="19"/>
      <c r="C299" s="19"/>
      <c r="D299" s="19"/>
      <c r="E299" s="19"/>
      <c r="F299" s="19">
        <v>813.12</v>
      </c>
      <c r="G299" s="19"/>
      <c r="H299" s="19"/>
      <c r="I299" s="19"/>
      <c r="J299" s="19"/>
      <c r="K299" s="19"/>
      <c r="L299" s="19"/>
      <c r="M299" s="23">
        <f>SUM(Tabla24[[#This Row],[01. Alcaldía]:[11. Salud pública y seguridad ciudadana]])</f>
        <v>813.12</v>
      </c>
    </row>
    <row r="300" spans="1:13" s="16" customFormat="1" ht="10.5" customHeight="1" x14ac:dyDescent="0.35">
      <c r="A300" s="21" t="s">
        <v>4135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694.53</v>
      </c>
      <c r="M300" s="23">
        <f>SUM(Tabla24[[#This Row],[01. Alcaldía]:[11. Salud pública y seguridad ciudadana]])</f>
        <v>694.53</v>
      </c>
    </row>
    <row r="301" spans="1:13" s="16" customFormat="1" ht="10.5" customHeight="1" x14ac:dyDescent="0.35">
      <c r="A301" s="21" t="s">
        <v>2477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818.02</v>
      </c>
      <c r="M301" s="23">
        <f>SUM(Tabla24[[#This Row],[01. Alcaldía]:[11. Salud pública y seguridad ciudadana]])</f>
        <v>818.02</v>
      </c>
    </row>
    <row r="302" spans="1:13" s="16" customFormat="1" ht="10.5" customHeight="1" x14ac:dyDescent="0.35">
      <c r="A302" s="21" t="s">
        <v>2534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>
        <v>595</v>
      </c>
      <c r="L302" s="19"/>
      <c r="M302" s="23">
        <f>SUM(Tabla24[[#This Row],[01. Alcaldía]:[11. Salud pública y seguridad ciudadana]])</f>
        <v>595</v>
      </c>
    </row>
    <row r="303" spans="1:13" s="16" customFormat="1" ht="10.5" customHeight="1" x14ac:dyDescent="0.35">
      <c r="A303" s="21" t="s">
        <v>528</v>
      </c>
      <c r="B303" s="19"/>
      <c r="C303" s="19">
        <v>13806.33</v>
      </c>
      <c r="D303" s="19"/>
      <c r="E303" s="19"/>
      <c r="F303" s="19">
        <v>676.36</v>
      </c>
      <c r="G303" s="19">
        <v>17462.84</v>
      </c>
      <c r="H303" s="19"/>
      <c r="I303" s="19">
        <v>978.6</v>
      </c>
      <c r="J303" s="19"/>
      <c r="K303" s="19"/>
      <c r="L303" s="19"/>
      <c r="M303" s="23">
        <f>SUM(Tabla24[[#This Row],[01. Alcaldía]:[11. Salud pública y seguridad ciudadana]])</f>
        <v>32924.129999999997</v>
      </c>
    </row>
    <row r="304" spans="1:13" s="16" customFormat="1" ht="10.5" customHeight="1" x14ac:dyDescent="0.35">
      <c r="A304" s="21" t="s">
        <v>261</v>
      </c>
      <c r="B304" s="19">
        <v>3781.25</v>
      </c>
      <c r="C304" s="19"/>
      <c r="D304" s="19"/>
      <c r="E304" s="19">
        <v>323.68</v>
      </c>
      <c r="F304" s="19"/>
      <c r="G304" s="19">
        <v>300</v>
      </c>
      <c r="H304" s="19">
        <v>100</v>
      </c>
      <c r="I304" s="19">
        <v>23.05</v>
      </c>
      <c r="J304" s="19"/>
      <c r="K304" s="19">
        <v>752.80000000000007</v>
      </c>
      <c r="L304" s="19">
        <v>2823.05</v>
      </c>
      <c r="M304" s="23">
        <f>SUM(Tabla24[[#This Row],[01. Alcaldía]:[11. Salud pública y seguridad ciudadana]])</f>
        <v>8103.8300000000008</v>
      </c>
    </row>
    <row r="305" spans="1:13" s="16" customFormat="1" ht="10.5" customHeight="1" x14ac:dyDescent="0.35">
      <c r="A305" s="21" t="s">
        <v>4526</v>
      </c>
      <c r="B305" s="19">
        <v>150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23">
        <f>SUM(Tabla24[[#This Row],[01. Alcaldía]:[11. Salud pública y seguridad ciudadana]])</f>
        <v>150</v>
      </c>
    </row>
    <row r="306" spans="1:13" s="16" customFormat="1" ht="10.5" customHeight="1" x14ac:dyDescent="0.35">
      <c r="A306" s="21" t="s">
        <v>757</v>
      </c>
      <c r="B306" s="19"/>
      <c r="C306" s="19"/>
      <c r="D306" s="19"/>
      <c r="E306" s="19">
        <v>604.52</v>
      </c>
      <c r="F306" s="19"/>
      <c r="G306" s="19"/>
      <c r="H306" s="19">
        <v>7000</v>
      </c>
      <c r="I306" s="19"/>
      <c r="J306" s="19"/>
      <c r="K306" s="19"/>
      <c r="L306" s="19"/>
      <c r="M306" s="23">
        <f>SUM(Tabla24[[#This Row],[01. Alcaldía]:[11. Salud pública y seguridad ciudadana]])</f>
        <v>7604.52</v>
      </c>
    </row>
    <row r="307" spans="1:13" s="16" customFormat="1" x14ac:dyDescent="0.35">
      <c r="A307" s="21" t="s">
        <v>5961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968</v>
      </c>
      <c r="L307" s="19"/>
      <c r="M307" s="23">
        <f>SUM(Tabla24[[#This Row],[01. Alcaldía]:[11. Salud pública y seguridad ciudadana]])</f>
        <v>968</v>
      </c>
    </row>
    <row r="308" spans="1:13" s="16" customFormat="1" ht="10.5" customHeight="1" x14ac:dyDescent="0.35">
      <c r="A308" s="21" t="s">
        <v>772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>
        <v>1279.75</v>
      </c>
      <c r="L308" s="19"/>
      <c r="M308" s="23">
        <f>SUM(Tabla24[[#This Row],[01. Alcaldía]:[11. Salud pública y seguridad ciudadana]])</f>
        <v>1279.75</v>
      </c>
    </row>
    <row r="309" spans="1:13" s="16" customFormat="1" ht="10.5" customHeight="1" x14ac:dyDescent="0.35">
      <c r="A309" s="21" t="s">
        <v>542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2500</v>
      </c>
      <c r="M309" s="23">
        <f>SUM(Tabla24[[#This Row],[01. Alcaldía]:[11. Salud pública y seguridad ciudadana]])</f>
        <v>2500</v>
      </c>
    </row>
    <row r="310" spans="1:13" s="16" customFormat="1" ht="10.5" customHeight="1" x14ac:dyDescent="0.25">
      <c r="A310" s="62" t="s">
        <v>3278</v>
      </c>
      <c r="B310" s="19">
        <v>27597.61</v>
      </c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23">
        <f>SUM(Tabla24[[#This Row],[01. Alcaldía]:[11. Salud pública y seguridad ciudadana]])</f>
        <v>27597.61</v>
      </c>
    </row>
    <row r="311" spans="1:13" s="16" customFormat="1" ht="10.5" customHeight="1" x14ac:dyDescent="0.35">
      <c r="A311" s="21" t="s">
        <v>2252</v>
      </c>
      <c r="B311" s="19"/>
      <c r="C311" s="19">
        <v>240.79</v>
      </c>
      <c r="D311" s="19"/>
      <c r="E311" s="19"/>
      <c r="F311" s="19">
        <v>729.39</v>
      </c>
      <c r="G311" s="19"/>
      <c r="H311" s="19"/>
      <c r="I311" s="19"/>
      <c r="J311" s="19"/>
      <c r="K311" s="19"/>
      <c r="L311" s="19"/>
      <c r="M311" s="23">
        <f>SUM(Tabla24[[#This Row],[01. Alcaldía]:[11. Salud pública y seguridad ciudadana]])</f>
        <v>970.18</v>
      </c>
    </row>
    <row r="312" spans="1:13" s="16" customFormat="1" ht="10.5" customHeight="1" x14ac:dyDescent="0.35">
      <c r="A312" s="21" t="s">
        <v>241</v>
      </c>
      <c r="B312" s="19"/>
      <c r="C312" s="19"/>
      <c r="D312" s="19"/>
      <c r="E312" s="19"/>
      <c r="F312" s="19"/>
      <c r="G312" s="19">
        <v>714.7</v>
      </c>
      <c r="H312" s="19"/>
      <c r="I312" s="19"/>
      <c r="J312" s="19"/>
      <c r="K312" s="19"/>
      <c r="L312" s="19"/>
      <c r="M312" s="23">
        <f>SUM(Tabla24[[#This Row],[01. Alcaldía]:[11. Salud pública y seguridad ciudadana]])</f>
        <v>714.7</v>
      </c>
    </row>
    <row r="313" spans="1:13" s="24" customFormat="1" x14ac:dyDescent="0.25">
      <c r="A313" s="25" t="s">
        <v>595</v>
      </c>
      <c r="B313" s="23">
        <f>SUBTOTAL(109,Tabla24[01. Alcaldía])</f>
        <v>155901.51999999999</v>
      </c>
      <c r="C313" s="23">
        <f>SUBTOTAL(109,Tabla24[02. Planeamiento urbanístico y vivienda])</f>
        <v>70111.679999999993</v>
      </c>
      <c r="D313" s="23">
        <f>SUBTOTAL(109,Tabla24[03. Participación ciudadana y deportes])</f>
        <v>90573.739999999991</v>
      </c>
      <c r="E313" s="23">
        <f>SUBTOTAL(109,Tabla24[04. Planificación y recursos])</f>
        <v>122970.24999999997</v>
      </c>
      <c r="F313" s="23">
        <f>SUBTOTAL(109,Tabla24[05. Innovación, desarrollo económico, empleo y comercio])</f>
        <v>11480.6</v>
      </c>
      <c r="G313" s="23">
        <f>SUBTOTAL(109,Tabla24[06. Educación, infancia, juventud e igualdad])</f>
        <v>137146.56</v>
      </c>
      <c r="H313" s="23">
        <f>SUBTOTAL(109,Tabla24[07. Medio ambiente y desarrollo sostenible])</f>
        <v>93995.36</v>
      </c>
      <c r="I313" s="23">
        <f>SUBTOTAL(109,Tabla24[08. Movilidad y espacio urbano])</f>
        <v>139737.28</v>
      </c>
      <c r="J313" s="23">
        <f>SUBTOTAL(109,Tabla24[09. Cultura y turismo])</f>
        <v>7900.6399999999994</v>
      </c>
      <c r="K313" s="23">
        <f>SUBTOTAL(109,Tabla24[10. Servicios sociales y mediación comunitaria])</f>
        <v>93444.330000000016</v>
      </c>
      <c r="L313" s="23">
        <f>SUBTOTAL(109,Tabla24[11. Salud pública y seguridad ciudadana])</f>
        <v>279094.41000000009</v>
      </c>
      <c r="M313" s="23">
        <f>SUBTOTAL(109,Tabla24[Total general])</f>
        <v>1202356.3700000001</v>
      </c>
    </row>
  </sheetData>
  <pageMargins left="0.31496062992125984" right="0.31496062992125984" top="0.86614173228346458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DE SUMINISTROS POR PROVEEDORES Y AREAS AYUNTAMIENTO DE VALLADOLID - PRIMER, SEGUNDO Y TERCER TRIMESTRE EJERCICIO 2021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7"/>
  <sheetViews>
    <sheetView view="pageLayout" zoomScaleNormal="100" workbookViewId="0"/>
  </sheetViews>
  <sheetFormatPr baseColWidth="10" defaultColWidth="36.54296875" defaultRowHeight="10.5" x14ac:dyDescent="0.35"/>
  <cols>
    <col min="1" max="1" width="39.1796875" style="14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6267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ht="10.5" customHeight="1" x14ac:dyDescent="0.35">
      <c r="A2" s="21" t="s">
        <v>764</v>
      </c>
      <c r="B2" s="19"/>
      <c r="C2" s="19"/>
      <c r="D2" s="19"/>
      <c r="E2" s="19"/>
      <c r="F2" s="19"/>
      <c r="G2" s="19"/>
      <c r="H2" s="19"/>
      <c r="I2" s="19"/>
      <c r="J2" s="19"/>
      <c r="K2" s="19">
        <v>300.56</v>
      </c>
      <c r="L2" s="19"/>
      <c r="M2" s="23">
        <f>SUM(Tabla245[[#This Row],[01. Alcaldía]:[11. Salud pública y seguridad ciudadana]])</f>
        <v>300.56</v>
      </c>
    </row>
    <row r="3" spans="1:13" ht="10.5" customHeight="1" x14ac:dyDescent="0.35">
      <c r="A3" s="21" t="s">
        <v>4935</v>
      </c>
      <c r="B3" s="19"/>
      <c r="C3" s="19">
        <v>23496.34</v>
      </c>
      <c r="D3" s="19"/>
      <c r="E3" s="19"/>
      <c r="F3" s="19"/>
      <c r="G3" s="19"/>
      <c r="H3" s="19"/>
      <c r="I3" s="19"/>
      <c r="J3" s="19"/>
      <c r="K3" s="19"/>
      <c r="L3" s="19"/>
      <c r="M3" s="23">
        <f>SUM(Tabla245[[#This Row],[01. Alcaldía]:[11. Salud pública y seguridad ciudadana]])</f>
        <v>23496.34</v>
      </c>
    </row>
    <row r="4" spans="1:13" ht="10.5" customHeight="1" x14ac:dyDescent="0.35">
      <c r="A4" s="21" t="s">
        <v>3459</v>
      </c>
      <c r="B4" s="19"/>
      <c r="C4" s="19"/>
      <c r="D4" s="19"/>
      <c r="E4" s="19"/>
      <c r="F4" s="19"/>
      <c r="G4" s="19">
        <v>45862.63</v>
      </c>
      <c r="H4" s="19"/>
      <c r="I4" s="19"/>
      <c r="J4" s="19"/>
      <c r="K4" s="19"/>
      <c r="L4" s="19"/>
      <c r="M4" s="23">
        <f>SUM(Tabla245[[#This Row],[01. Alcaldía]:[11. Salud pública y seguridad ciudadana]])</f>
        <v>45862.63</v>
      </c>
    </row>
    <row r="5" spans="1:13" ht="10.5" customHeight="1" x14ac:dyDescent="0.35">
      <c r="A5" s="21" t="s">
        <v>3483</v>
      </c>
      <c r="B5" s="19"/>
      <c r="C5" s="19">
        <v>36291.97</v>
      </c>
      <c r="D5" s="19"/>
      <c r="E5" s="19"/>
      <c r="F5" s="19"/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36291.97</v>
      </c>
    </row>
    <row r="6" spans="1:13" ht="10.5" customHeight="1" x14ac:dyDescent="0.35">
      <c r="A6" s="21" t="s">
        <v>1481</v>
      </c>
      <c r="B6" s="19"/>
      <c r="C6" s="19"/>
      <c r="D6" s="19">
        <v>266.2</v>
      </c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266.2</v>
      </c>
    </row>
    <row r="7" spans="1:13" ht="10.5" customHeight="1" x14ac:dyDescent="0.35">
      <c r="A7" s="21" t="s">
        <v>575</v>
      </c>
      <c r="B7" s="19"/>
      <c r="C7" s="19"/>
      <c r="D7" s="19">
        <v>26735.32</v>
      </c>
      <c r="E7" s="19"/>
      <c r="F7" s="19"/>
      <c r="G7" s="19">
        <v>27532.809999999998</v>
      </c>
      <c r="H7" s="19"/>
      <c r="I7" s="19"/>
      <c r="J7" s="19"/>
      <c r="K7" s="19">
        <v>31173.870000000003</v>
      </c>
      <c r="L7" s="19"/>
      <c r="M7" s="23">
        <f>SUM(Tabla245[[#This Row],[01. Alcaldía]:[11. Salud pública y seguridad ciudadana]])</f>
        <v>85442</v>
      </c>
    </row>
    <row r="8" spans="1:13" ht="10.5" customHeight="1" x14ac:dyDescent="0.35">
      <c r="A8" s="21" t="s">
        <v>1543</v>
      </c>
      <c r="B8" s="19"/>
      <c r="C8" s="19"/>
      <c r="D8" s="19"/>
      <c r="E8" s="19"/>
      <c r="F8" s="19">
        <v>-25159.93</v>
      </c>
      <c r="G8" s="19"/>
      <c r="H8" s="19"/>
      <c r="I8" s="19"/>
      <c r="J8" s="19"/>
      <c r="K8" s="19"/>
      <c r="L8" s="19"/>
      <c r="M8" s="23">
        <f>SUM(Tabla245[[#This Row],[01. Alcaldía]:[11. Salud pública y seguridad ciudadana]])</f>
        <v>-25159.93</v>
      </c>
    </row>
    <row r="9" spans="1:13" ht="10.5" customHeight="1" x14ac:dyDescent="0.35">
      <c r="A9" s="21" t="s">
        <v>5223</v>
      </c>
      <c r="B9" s="19"/>
      <c r="C9" s="19"/>
      <c r="D9" s="19"/>
      <c r="E9" s="19"/>
      <c r="F9" s="19"/>
      <c r="G9" s="19">
        <v>30199.4</v>
      </c>
      <c r="H9" s="19"/>
      <c r="I9" s="19"/>
      <c r="J9" s="19"/>
      <c r="K9" s="19"/>
      <c r="L9" s="19"/>
      <c r="M9" s="23">
        <f>SUM(Tabla245[[#This Row],[01. Alcaldía]:[11. Salud pública y seguridad ciudadana]])</f>
        <v>30199.4</v>
      </c>
    </row>
    <row r="10" spans="1:13" ht="10.5" customHeight="1" x14ac:dyDescent="0.35">
      <c r="A10" s="21" t="s">
        <v>4963</v>
      </c>
      <c r="B10" s="19"/>
      <c r="C10" s="19"/>
      <c r="D10" s="19"/>
      <c r="E10" s="19"/>
      <c r="F10" s="19"/>
      <c r="G10" s="19">
        <v>19144.099999999999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19144.099999999999</v>
      </c>
    </row>
    <row r="11" spans="1:13" ht="10.5" customHeight="1" x14ac:dyDescent="0.35">
      <c r="A11" s="21" t="s">
        <v>5468</v>
      </c>
      <c r="B11" s="19"/>
      <c r="C11" s="19"/>
      <c r="D11" s="19"/>
      <c r="E11" s="19"/>
      <c r="F11" s="19"/>
      <c r="G11" s="19">
        <v>1076.9000000000001</v>
      </c>
      <c r="H11" s="19"/>
      <c r="I11" s="19"/>
      <c r="J11" s="19"/>
      <c r="K11" s="19"/>
      <c r="L11" s="19"/>
      <c r="M11" s="23">
        <f>SUM(Tabla245[[#This Row],[01. Alcaldía]:[11. Salud pública y seguridad ciudadana]])</f>
        <v>1076.9000000000001</v>
      </c>
    </row>
    <row r="12" spans="1:13" ht="10.5" customHeight="1" x14ac:dyDescent="0.35">
      <c r="A12" s="21" t="s">
        <v>557</v>
      </c>
      <c r="B12" s="19"/>
      <c r="C12" s="19"/>
      <c r="D12" s="19"/>
      <c r="E12" s="19"/>
      <c r="F12" s="19">
        <v>23340.14</v>
      </c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23340.14</v>
      </c>
    </row>
    <row r="13" spans="1:13" ht="10.5" customHeight="1" x14ac:dyDescent="0.35">
      <c r="A13" s="21" t="s">
        <v>3462</v>
      </c>
      <c r="B13" s="19"/>
      <c r="C13" s="19"/>
      <c r="D13" s="19"/>
      <c r="E13" s="19"/>
      <c r="F13" s="19"/>
      <c r="G13" s="19">
        <v>42801.11</v>
      </c>
      <c r="H13" s="19"/>
      <c r="I13" s="19"/>
      <c r="J13" s="19"/>
      <c r="K13" s="19"/>
      <c r="L13" s="19"/>
      <c r="M13" s="23">
        <f>SUM(Tabla245[[#This Row],[01. Alcaldía]:[11. Salud pública y seguridad ciudadana]])</f>
        <v>42801.11</v>
      </c>
    </row>
    <row r="14" spans="1:13" ht="10.5" customHeight="1" x14ac:dyDescent="0.35">
      <c r="A14" s="21" t="s">
        <v>46</v>
      </c>
      <c r="B14" s="19"/>
      <c r="C14" s="19"/>
      <c r="D14" s="19"/>
      <c r="E14" s="19"/>
      <c r="F14" s="19"/>
      <c r="G14" s="19"/>
      <c r="H14" s="19"/>
      <c r="I14" s="19">
        <v>9198.15</v>
      </c>
      <c r="J14" s="19"/>
      <c r="K14" s="19"/>
      <c r="L14" s="19"/>
      <c r="M14" s="23">
        <f>SUM(Tabla245[[#This Row],[01. Alcaldía]:[11. Salud pública y seguridad ciudadana]])</f>
        <v>9198.15</v>
      </c>
    </row>
    <row r="15" spans="1:13" ht="10.5" customHeight="1" x14ac:dyDescent="0.35">
      <c r="A15" s="21" t="s">
        <v>230</v>
      </c>
      <c r="B15" s="19"/>
      <c r="C15" s="19"/>
      <c r="D15" s="19"/>
      <c r="E15" s="19"/>
      <c r="F15" s="19"/>
      <c r="G15" s="19"/>
      <c r="H15" s="19"/>
      <c r="I15" s="19">
        <v>37698.39</v>
      </c>
      <c r="J15" s="19"/>
      <c r="K15" s="19"/>
      <c r="L15" s="19"/>
      <c r="M15" s="23">
        <f>SUM(Tabla245[[#This Row],[01. Alcaldía]:[11. Salud pública y seguridad ciudadana]])</f>
        <v>37698.39</v>
      </c>
    </row>
    <row r="16" spans="1:13" x14ac:dyDescent="0.35">
      <c r="A16" s="21" t="s">
        <v>3516</v>
      </c>
      <c r="B16" s="19"/>
      <c r="C16" s="19">
        <v>17230.59</v>
      </c>
      <c r="D16" s="19"/>
      <c r="E16" s="19"/>
      <c r="F16" s="19"/>
      <c r="G16" s="19"/>
      <c r="H16" s="19"/>
      <c r="I16" s="19"/>
      <c r="J16" s="19"/>
      <c r="K16" s="19"/>
      <c r="L16" s="19"/>
      <c r="M16" s="23">
        <f>SUM(Tabla245[[#This Row],[01. Alcaldía]:[11. Salud pública y seguridad ciudadana]])</f>
        <v>17230.59</v>
      </c>
    </row>
    <row r="17" spans="1:13" ht="10.5" customHeight="1" x14ac:dyDescent="0.35">
      <c r="A17" s="21" t="s">
        <v>3470</v>
      </c>
      <c r="B17" s="19"/>
      <c r="C17" s="19"/>
      <c r="D17" s="19"/>
      <c r="E17" s="19"/>
      <c r="F17" s="19"/>
      <c r="G17" s="19">
        <v>40126.89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40126.89</v>
      </c>
    </row>
    <row r="18" spans="1:13" ht="10.5" customHeight="1" x14ac:dyDescent="0.35">
      <c r="A18" s="21" t="s">
        <v>5387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44831.71</v>
      </c>
      <c r="M18" s="23">
        <f>SUM(Tabla245[[#This Row],[01. Alcaldía]:[11. Salud pública y seguridad ciudadana]])</f>
        <v>44831.71</v>
      </c>
    </row>
    <row r="19" spans="1:13" ht="10.5" customHeight="1" x14ac:dyDescent="0.35">
      <c r="A19" s="21" t="s">
        <v>3468</v>
      </c>
      <c r="B19" s="19"/>
      <c r="C19" s="19"/>
      <c r="D19" s="19"/>
      <c r="E19" s="19"/>
      <c r="F19" s="19"/>
      <c r="G19" s="19">
        <v>40300.26</v>
      </c>
      <c r="H19" s="19"/>
      <c r="I19" s="19"/>
      <c r="J19" s="19"/>
      <c r="K19" s="19"/>
      <c r="L19" s="19"/>
      <c r="M19" s="23">
        <f>SUM(Tabla245[[#This Row],[01. Alcaldía]:[11. Salud pública y seguridad ciudadana]])</f>
        <v>40300.26</v>
      </c>
    </row>
    <row r="20" spans="1:13" ht="10.5" customHeight="1" x14ac:dyDescent="0.35">
      <c r="A20" s="21" t="s">
        <v>5441</v>
      </c>
      <c r="B20" s="19"/>
      <c r="C20" s="19"/>
      <c r="D20" s="19"/>
      <c r="E20" s="19"/>
      <c r="F20" s="19"/>
      <c r="G20" s="19">
        <v>1790.8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1790.8</v>
      </c>
    </row>
    <row r="21" spans="1:13" x14ac:dyDescent="0.35">
      <c r="A21" s="21" t="s">
        <v>529</v>
      </c>
      <c r="B21" s="19"/>
      <c r="C21" s="19"/>
      <c r="D21" s="19"/>
      <c r="E21" s="19"/>
      <c r="F21" s="19">
        <v>24162.06</v>
      </c>
      <c r="G21" s="19"/>
      <c r="H21" s="19"/>
      <c r="I21" s="19"/>
      <c r="J21" s="19"/>
      <c r="K21" s="19"/>
      <c r="L21" s="19"/>
      <c r="M21" s="23">
        <f>SUM(Tabla245[[#This Row],[01. Alcaldía]:[11. Salud pública y seguridad ciudadana]])</f>
        <v>24162.06</v>
      </c>
    </row>
    <row r="22" spans="1:13" ht="21" customHeight="1" x14ac:dyDescent="0.35">
      <c r="A22" s="21" t="s">
        <v>3600</v>
      </c>
      <c r="B22" s="19"/>
      <c r="C22" s="19"/>
      <c r="D22" s="19"/>
      <c r="E22" s="19"/>
      <c r="F22" s="19"/>
      <c r="G22" s="19">
        <v>21164.29</v>
      </c>
      <c r="H22" s="19"/>
      <c r="I22" s="19"/>
      <c r="J22" s="19"/>
      <c r="K22" s="19"/>
      <c r="L22" s="19"/>
      <c r="M22" s="23">
        <f>SUM(Tabla245[[#This Row],[01. Alcaldía]:[11. Salud pública y seguridad ciudadana]])</f>
        <v>21164.29</v>
      </c>
    </row>
    <row r="23" spans="1:13" ht="10.5" customHeight="1" x14ac:dyDescent="0.25">
      <c r="A23" s="59" t="s">
        <v>1992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1307.76</v>
      </c>
      <c r="M23" s="52">
        <f>SUM(Tabla245[[#This Row],[01. Alcaldía]:[11. Salud pública y seguridad ciudadana]])</f>
        <v>1307.76</v>
      </c>
    </row>
    <row r="24" spans="1:13" ht="10.5" customHeight="1" x14ac:dyDescent="0.25">
      <c r="A24" s="59" t="s">
        <v>3204</v>
      </c>
      <c r="B24" s="19"/>
      <c r="C24" s="19"/>
      <c r="D24" s="19">
        <v>12963.13</v>
      </c>
      <c r="E24" s="19"/>
      <c r="F24" s="19">
        <v>36926.949999999997</v>
      </c>
      <c r="G24" s="19">
        <v>43664.92</v>
      </c>
      <c r="H24" s="19"/>
      <c r="I24" s="19"/>
      <c r="J24" s="19"/>
      <c r="K24" s="19"/>
      <c r="L24" s="19"/>
      <c r="M24" s="52">
        <f>SUM(Tabla245[[#This Row],[01. Alcaldía]:[11. Salud pública y seguridad ciudadana]])</f>
        <v>93555</v>
      </c>
    </row>
    <row r="25" spans="1:13" ht="10.5" customHeight="1" x14ac:dyDescent="0.25">
      <c r="A25" s="59" t="s">
        <v>2716</v>
      </c>
      <c r="B25" s="19"/>
      <c r="C25" s="19"/>
      <c r="D25" s="19"/>
      <c r="E25" s="19"/>
      <c r="F25" s="19"/>
      <c r="G25" s="19"/>
      <c r="H25" s="19"/>
      <c r="I25" s="19">
        <v>8468.1200000000008</v>
      </c>
      <c r="J25" s="19"/>
      <c r="K25" s="19"/>
      <c r="L25" s="19"/>
      <c r="M25" s="52">
        <f>SUM(Tabla245[[#This Row],[01. Alcaldía]:[11. Salud pública y seguridad ciudadana]])</f>
        <v>8468.1200000000008</v>
      </c>
    </row>
    <row r="26" spans="1:13" ht="10.5" customHeight="1" x14ac:dyDescent="0.25">
      <c r="A26" s="59" t="s">
        <v>53</v>
      </c>
      <c r="B26" s="19"/>
      <c r="C26" s="19">
        <v>4432.62</v>
      </c>
      <c r="D26" s="19"/>
      <c r="E26" s="19"/>
      <c r="F26" s="19"/>
      <c r="G26" s="19"/>
      <c r="H26" s="19"/>
      <c r="I26" s="19"/>
      <c r="J26" s="19"/>
      <c r="K26" s="19"/>
      <c r="L26" s="19"/>
      <c r="M26" s="52">
        <f>SUM(Tabla245[[#This Row],[01. Alcaldía]:[11. Salud pública y seguridad ciudadana]])</f>
        <v>4432.62</v>
      </c>
    </row>
    <row r="27" spans="1:13" ht="10.5" customHeight="1" x14ac:dyDescent="0.25">
      <c r="A27" s="59" t="s">
        <v>103</v>
      </c>
      <c r="B27" s="19"/>
      <c r="C27" s="19">
        <v>2879.8</v>
      </c>
      <c r="D27" s="19"/>
      <c r="E27" s="19"/>
      <c r="F27" s="19"/>
      <c r="G27" s="19"/>
      <c r="H27" s="19"/>
      <c r="I27" s="19"/>
      <c r="J27" s="19"/>
      <c r="K27" s="19"/>
      <c r="L27" s="19"/>
      <c r="M27" s="52">
        <f>SUM(Tabla245[[#This Row],[01. Alcaldía]:[11. Salud pública y seguridad ciudadana]])</f>
        <v>2879.8</v>
      </c>
    </row>
    <row r="28" spans="1:13" ht="10.5" customHeight="1" x14ac:dyDescent="0.25">
      <c r="A28" s="59" t="s">
        <v>3491</v>
      </c>
      <c r="B28" s="19"/>
      <c r="C28" s="19"/>
      <c r="D28" s="19"/>
      <c r="E28" s="19"/>
      <c r="F28" s="19">
        <v>2846.13</v>
      </c>
      <c r="G28" s="19"/>
      <c r="H28" s="19"/>
      <c r="I28" s="19"/>
      <c r="J28" s="19"/>
      <c r="K28" s="19"/>
      <c r="L28" s="19"/>
      <c r="M28" s="52">
        <f>SUM(Tabla245[[#This Row],[01. Alcaldía]:[11. Salud pública y seguridad ciudadana]])</f>
        <v>2846.13</v>
      </c>
    </row>
    <row r="29" spans="1:13" ht="10.5" customHeight="1" x14ac:dyDescent="0.25">
      <c r="A29" s="59" t="s">
        <v>1911</v>
      </c>
      <c r="B29" s="19"/>
      <c r="C29" s="19">
        <v>35100.01</v>
      </c>
      <c r="D29" s="19"/>
      <c r="E29" s="19"/>
      <c r="F29" s="19"/>
      <c r="G29" s="19">
        <v>42672.65</v>
      </c>
      <c r="H29" s="19"/>
      <c r="I29" s="19"/>
      <c r="J29" s="19"/>
      <c r="K29" s="19"/>
      <c r="L29" s="19"/>
      <c r="M29" s="52">
        <f>SUM(Tabla245[[#This Row],[01. Alcaldía]:[11. Salud pública y seguridad ciudadana]])</f>
        <v>77772.66</v>
      </c>
    </row>
    <row r="30" spans="1:13" ht="10.5" customHeight="1" x14ac:dyDescent="0.25">
      <c r="A30" s="59" t="s">
        <v>3815</v>
      </c>
      <c r="B30" s="19"/>
      <c r="C30" s="19"/>
      <c r="D30" s="19"/>
      <c r="E30" s="19"/>
      <c r="F30" s="19"/>
      <c r="G30" s="19">
        <v>18541.080000000002</v>
      </c>
      <c r="H30" s="19"/>
      <c r="I30" s="19"/>
      <c r="J30" s="19"/>
      <c r="K30" s="19"/>
      <c r="L30" s="19"/>
      <c r="M30" s="52">
        <f>SUM(Tabla245[[#This Row],[01. Alcaldía]:[11. Salud pública y seguridad ciudadana]])</f>
        <v>18541.080000000002</v>
      </c>
    </row>
    <row r="31" spans="1:13" ht="10.5" customHeight="1" x14ac:dyDescent="0.25">
      <c r="A31" s="59" t="s">
        <v>3472</v>
      </c>
      <c r="B31" s="19"/>
      <c r="C31" s="19"/>
      <c r="D31" s="19"/>
      <c r="E31" s="19"/>
      <c r="F31" s="19"/>
      <c r="G31" s="19"/>
      <c r="H31" s="19">
        <v>39325.97</v>
      </c>
      <c r="I31" s="19"/>
      <c r="J31" s="19"/>
      <c r="K31" s="19"/>
      <c r="L31" s="19">
        <v>2032.8</v>
      </c>
      <c r="M31" s="52">
        <f>SUM(Tabla245[[#This Row],[01. Alcaldía]:[11. Salud pública y seguridad ciudadana]])</f>
        <v>41358.770000000004</v>
      </c>
    </row>
    <row r="32" spans="1:13" ht="10.5" customHeight="1" x14ac:dyDescent="0.25">
      <c r="A32" s="59" t="s">
        <v>3474</v>
      </c>
      <c r="B32" s="19"/>
      <c r="C32" s="19"/>
      <c r="D32" s="19"/>
      <c r="E32" s="19"/>
      <c r="F32" s="19"/>
      <c r="G32" s="19"/>
      <c r="H32" s="19">
        <v>37437.160000000003</v>
      </c>
      <c r="I32" s="19"/>
      <c r="J32" s="19"/>
      <c r="K32" s="19"/>
      <c r="L32" s="19"/>
      <c r="M32" s="52">
        <f>SUM(Tabla245[[#This Row],[01. Alcaldía]:[11. Salud pública y seguridad ciudadana]])</f>
        <v>37437.160000000003</v>
      </c>
    </row>
    <row r="33" spans="1:13" ht="10.5" customHeight="1" x14ac:dyDescent="0.25">
      <c r="A33" s="59" t="s">
        <v>1941</v>
      </c>
      <c r="B33" s="19"/>
      <c r="C33" s="19"/>
      <c r="D33" s="19">
        <v>45153.08</v>
      </c>
      <c r="E33" s="19"/>
      <c r="F33" s="19"/>
      <c r="G33" s="19"/>
      <c r="H33" s="19"/>
      <c r="I33" s="19"/>
      <c r="J33" s="19"/>
      <c r="K33" s="19"/>
      <c r="L33" s="19"/>
      <c r="M33" s="52">
        <f>SUM(Tabla245[[#This Row],[01. Alcaldía]:[11. Salud pública y seguridad ciudadana]])</f>
        <v>45153.08</v>
      </c>
    </row>
    <row r="34" spans="1:13" ht="10.5" customHeight="1" x14ac:dyDescent="0.25">
      <c r="A34" s="59" t="s">
        <v>3609</v>
      </c>
      <c r="B34" s="19"/>
      <c r="C34" s="19"/>
      <c r="D34" s="19"/>
      <c r="E34" s="19"/>
      <c r="F34" s="19"/>
      <c r="G34" s="19">
        <v>7047.62</v>
      </c>
      <c r="H34" s="19"/>
      <c r="I34" s="19"/>
      <c r="J34" s="19"/>
      <c r="K34" s="19"/>
      <c r="L34" s="19"/>
      <c r="M34" s="52">
        <f>SUM(Tabla245[[#This Row],[01. Alcaldía]:[11. Salud pública y seguridad ciudadana]])</f>
        <v>7047.62</v>
      </c>
    </row>
    <row r="35" spans="1:13" ht="10.5" customHeight="1" x14ac:dyDescent="0.25">
      <c r="A35" s="59" t="s">
        <v>3848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2081.1999999999998</v>
      </c>
      <c r="L35" s="19"/>
      <c r="M35" s="52">
        <f>SUM(Tabla245[[#This Row],[01. Alcaldía]:[11. Salud pública y seguridad ciudadana]])</f>
        <v>2081.1999999999998</v>
      </c>
    </row>
    <row r="36" spans="1:13" ht="10.5" customHeight="1" x14ac:dyDescent="0.25">
      <c r="A36" s="59" t="s">
        <v>2664</v>
      </c>
      <c r="B36" s="19"/>
      <c r="C36" s="19">
        <v>4961</v>
      </c>
      <c r="D36" s="19"/>
      <c r="E36" s="19"/>
      <c r="F36" s="19"/>
      <c r="G36" s="19"/>
      <c r="H36" s="19"/>
      <c r="I36" s="19"/>
      <c r="J36" s="19"/>
      <c r="K36" s="19"/>
      <c r="L36" s="19"/>
      <c r="M36" s="52">
        <f>SUM(Tabla245[[#This Row],[01. Alcaldía]:[11. Salud pública y seguridad ciudadana]])</f>
        <v>4961</v>
      </c>
    </row>
    <row r="37" spans="1:13" ht="10.5" customHeight="1" x14ac:dyDescent="0.25">
      <c r="A37" s="59" t="s">
        <v>2559</v>
      </c>
      <c r="B37" s="19"/>
      <c r="C37" s="19"/>
      <c r="D37" s="19"/>
      <c r="E37" s="19"/>
      <c r="F37" s="19"/>
      <c r="G37" s="19"/>
      <c r="H37" s="19"/>
      <c r="I37" s="19"/>
      <c r="J37" s="19">
        <v>1246.3</v>
      </c>
      <c r="K37" s="19"/>
      <c r="L37" s="19"/>
      <c r="M37" s="52">
        <f>SUM(Tabla245[[#This Row],[01. Alcaldía]:[11. Salud pública y seguridad ciudadana]])</f>
        <v>1246.3</v>
      </c>
    </row>
    <row r="38" spans="1:13" ht="10.5" customHeight="1" x14ac:dyDescent="0.25">
      <c r="A38" s="59" t="s">
        <v>2843</v>
      </c>
      <c r="B38" s="19"/>
      <c r="C38" s="19"/>
      <c r="D38" s="19"/>
      <c r="E38" s="19"/>
      <c r="F38" s="19"/>
      <c r="G38" s="19"/>
      <c r="H38" s="19"/>
      <c r="I38" s="19"/>
      <c r="J38" s="19">
        <v>47746.6</v>
      </c>
      <c r="K38" s="19"/>
      <c r="L38" s="19"/>
      <c r="M38" s="52">
        <f>SUM(Tabla245[[#This Row],[01. Alcaldía]:[11. Salud pública y seguridad ciudadana]])</f>
        <v>47746.6</v>
      </c>
    </row>
    <row r="39" spans="1:13" ht="10.5" customHeight="1" x14ac:dyDescent="0.25">
      <c r="A39" s="59" t="s">
        <v>2754</v>
      </c>
      <c r="B39" s="19"/>
      <c r="C39" s="19">
        <v>2714.22</v>
      </c>
      <c r="D39" s="19"/>
      <c r="E39" s="19"/>
      <c r="F39" s="19"/>
      <c r="G39" s="19"/>
      <c r="H39" s="19"/>
      <c r="I39" s="19"/>
      <c r="J39" s="19"/>
      <c r="K39" s="19"/>
      <c r="L39" s="19"/>
      <c r="M39" s="52">
        <f>SUM(Tabla245[[#This Row],[01. Alcaldía]:[11. Salud pública y seguridad ciudadana]])</f>
        <v>2714.22</v>
      </c>
    </row>
    <row r="40" spans="1:13" ht="10.5" customHeight="1" x14ac:dyDescent="0.25">
      <c r="A40" s="59" t="s">
        <v>3232</v>
      </c>
      <c r="B40" s="19"/>
      <c r="C40" s="19">
        <v>18089.5</v>
      </c>
      <c r="D40" s="19"/>
      <c r="E40" s="19"/>
      <c r="F40" s="19"/>
      <c r="G40" s="19"/>
      <c r="H40" s="19"/>
      <c r="I40" s="19"/>
      <c r="J40" s="19"/>
      <c r="K40" s="19"/>
      <c r="L40" s="19"/>
      <c r="M40" s="52">
        <f>SUM(Tabla245[[#This Row],[01. Alcaldía]:[11. Salud pública y seguridad ciudadana]])</f>
        <v>18089.5</v>
      </c>
    </row>
    <row r="41" spans="1:13" x14ac:dyDescent="0.25">
      <c r="A41" s="59" t="s">
        <v>701</v>
      </c>
      <c r="B41" s="19"/>
      <c r="C41" s="19"/>
      <c r="D41" s="19">
        <v>8463.9500000000007</v>
      </c>
      <c r="E41" s="19"/>
      <c r="F41" s="19"/>
      <c r="G41" s="19"/>
      <c r="H41" s="19"/>
      <c r="I41" s="19"/>
      <c r="J41" s="19"/>
      <c r="K41" s="19"/>
      <c r="L41" s="19"/>
      <c r="M41" s="52">
        <f>SUM(Tabla245[[#This Row],[01. Alcaldía]:[11. Salud pública y seguridad ciudadana]])</f>
        <v>8463.9500000000007</v>
      </c>
    </row>
    <row r="42" spans="1:13" x14ac:dyDescent="0.25">
      <c r="A42" s="59" t="s">
        <v>3466</v>
      </c>
      <c r="B42" s="19"/>
      <c r="C42" s="19">
        <v>40515.040000000001</v>
      </c>
      <c r="D42" s="19"/>
      <c r="E42" s="19"/>
      <c r="F42" s="19"/>
      <c r="G42" s="19"/>
      <c r="H42" s="19"/>
      <c r="I42" s="19"/>
      <c r="J42" s="19"/>
      <c r="K42" s="19"/>
      <c r="L42" s="19"/>
      <c r="M42" s="52">
        <f>SUM(Tabla245[[#This Row],[01. Alcaldía]:[11. Salud pública y seguridad ciudadana]])</f>
        <v>40515.040000000001</v>
      </c>
    </row>
    <row r="43" spans="1:13" ht="10.5" customHeight="1" x14ac:dyDescent="0.25">
      <c r="A43" s="59" t="s">
        <v>2030</v>
      </c>
      <c r="B43" s="19"/>
      <c r="C43" s="19"/>
      <c r="D43" s="19"/>
      <c r="E43" s="19"/>
      <c r="F43" s="19"/>
      <c r="G43" s="19">
        <v>38720</v>
      </c>
      <c r="H43" s="19"/>
      <c r="I43" s="19"/>
      <c r="J43" s="19"/>
      <c r="K43" s="19"/>
      <c r="L43" s="19"/>
      <c r="M43" s="52">
        <f>SUM(Tabla245[[#This Row],[01. Alcaldía]:[11. Salud pública y seguridad ciudadana]])</f>
        <v>38720</v>
      </c>
    </row>
    <row r="44" spans="1:13" ht="10.5" customHeight="1" x14ac:dyDescent="0.25">
      <c r="A44" s="59" t="s">
        <v>3476</v>
      </c>
      <c r="B44" s="19"/>
      <c r="C44" s="19"/>
      <c r="D44" s="19"/>
      <c r="E44" s="19"/>
      <c r="F44" s="19"/>
      <c r="G44" s="19">
        <v>33981.64</v>
      </c>
      <c r="H44" s="19"/>
      <c r="I44" s="19"/>
      <c r="J44" s="19"/>
      <c r="K44" s="19"/>
      <c r="L44" s="19"/>
      <c r="M44" s="52">
        <f>SUM(Tabla245[[#This Row],[01. Alcaldía]:[11. Salud pública y seguridad ciudadana]])</f>
        <v>33981.64</v>
      </c>
    </row>
    <row r="45" spans="1:13" x14ac:dyDescent="0.25">
      <c r="A45" s="59" t="s">
        <v>1937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0</v>
      </c>
      <c r="M45" s="52">
        <f>SUM(Tabla245[[#This Row],[01. Alcaldía]:[11. Salud pública y seguridad ciudadana]])</f>
        <v>0</v>
      </c>
    </row>
    <row r="46" spans="1:13" x14ac:dyDescent="0.25">
      <c r="A46" s="59" t="s">
        <v>2875</v>
      </c>
      <c r="B46" s="19"/>
      <c r="C46" s="19"/>
      <c r="D46" s="19"/>
      <c r="E46" s="19"/>
      <c r="F46" s="19">
        <v>7178.6</v>
      </c>
      <c r="G46" s="19"/>
      <c r="H46" s="19"/>
      <c r="I46" s="19"/>
      <c r="J46" s="19"/>
      <c r="K46" s="19"/>
      <c r="L46" s="19"/>
      <c r="M46" s="52">
        <f>SUM(Tabla245[[#This Row],[01. Alcaldía]:[11. Salud pública y seguridad ciudadana]])</f>
        <v>7178.6</v>
      </c>
    </row>
    <row r="47" spans="1:13" s="24" customFormat="1" x14ac:dyDescent="0.25">
      <c r="A47" s="25" t="s">
        <v>556</v>
      </c>
      <c r="B47" s="23">
        <f>SUBTOTAL(109,Tabla245[01. Alcaldía])</f>
        <v>0</v>
      </c>
      <c r="C47" s="23">
        <f>SUBTOTAL(109,Tabla245[02. Planeamiento urbanístico y vivienda])</f>
        <v>185711.09</v>
      </c>
      <c r="D47" s="23">
        <f>SUBTOTAL(109,Tabla245[03. Participación ciudadana y deportes])</f>
        <v>93581.680000000008</v>
      </c>
      <c r="E47" s="23">
        <f>SUBTOTAL(109,Tabla245[04. Planificación y recursos])</f>
        <v>0</v>
      </c>
      <c r="F47" s="23">
        <f>SUBTOTAL(109,Tabla245[05. Innovación, desarrollo económico, empleo y comercio])</f>
        <v>69293.95</v>
      </c>
      <c r="G47" s="23">
        <f>SUBTOTAL(109,Tabla245[06. Educación, infancia, juventud e igualdad])</f>
        <v>454627.10000000003</v>
      </c>
      <c r="H47" s="23">
        <f>SUBTOTAL(109,Tabla245[07. Medio ambiente y desarrollo sostenible])</f>
        <v>76763.13</v>
      </c>
      <c r="I47" s="23">
        <f>SUBTOTAL(109,Tabla245[08. Movilidad y espacio urbano])</f>
        <v>55364.66</v>
      </c>
      <c r="J47" s="23">
        <f>SUBTOTAL(109,Tabla245[09. Cultura y turismo])</f>
        <v>48992.9</v>
      </c>
      <c r="K47" s="23">
        <f>SUBTOTAL(109,Tabla245[10. Servicios sociales y mediación comunitaria])</f>
        <v>33555.630000000005</v>
      </c>
      <c r="L47" s="23">
        <f>SUBTOTAL(109,Tabla245[11. Salud pública y seguridad ciudadana])</f>
        <v>48172.270000000004</v>
      </c>
      <c r="M47" s="23">
        <f>SUBTOTAL(109,Tabla245[Total general])</f>
        <v>1066062.4100000001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93" fitToHeight="0" orientation="landscape" r:id="rId1"/>
  <headerFooter>
    <oddHeader>&amp;C&amp;"Arial Narrow,Negrita"&amp;14&amp;UCONTRATACION MENOR DE OBRAS POR PROVEEDORES Y AREAS AYUNTAMIENTO DE VALLADOLID - PRIMER, SEGUNDO Y TERCER TRIMESTRE EJERCICIO 2021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76BB4-A43B-46DB-A516-43A62FAF9C48}">
  <sheetPr>
    <pageSetUpPr fitToPage="1"/>
  </sheetPr>
  <dimension ref="A1:M5"/>
  <sheetViews>
    <sheetView view="pageLayout" zoomScale="94" zoomScaleNormal="100" zoomScalePageLayoutView="94" workbookViewId="0"/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6268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35">
      <c r="A2" s="21" t="s">
        <v>535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6379.12</v>
      </c>
      <c r="M2" s="23">
        <f>SUM(Tabla27[[#This Row],[01. Alcaldía]:[11. Salud pública y seguridad ciudadana]])</f>
        <v>6379.12</v>
      </c>
    </row>
    <row r="3" spans="1:13" x14ac:dyDescent="0.35">
      <c r="A3" s="21" t="s">
        <v>66</v>
      </c>
      <c r="B3" s="19"/>
      <c r="C3" s="19"/>
      <c r="D3" s="19"/>
      <c r="E3" s="19"/>
      <c r="F3" s="19"/>
      <c r="G3" s="19">
        <v>363</v>
      </c>
      <c r="H3" s="19"/>
      <c r="I3" s="19"/>
      <c r="J3" s="19"/>
      <c r="K3" s="19"/>
      <c r="L3" s="19"/>
      <c r="M3" s="52">
        <f>SUM(Tabla27[[#This Row],[01. Alcaldía]:[11. Salud pública y seguridad ciudadana]])</f>
        <v>363</v>
      </c>
    </row>
    <row r="4" spans="1:13" x14ac:dyDescent="0.35">
      <c r="A4" s="21" t="s">
        <v>3836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2285.34</v>
      </c>
      <c r="M4" s="52">
        <f>SUM(Tabla27[[#This Row],[01. Alcaldía]:[11. Salud pública y seguridad ciudadana]])</f>
        <v>2285.34</v>
      </c>
    </row>
    <row r="5" spans="1:13" s="24" customFormat="1" x14ac:dyDescent="0.25">
      <c r="A5" s="25" t="s">
        <v>555</v>
      </c>
      <c r="B5" s="23">
        <f>SUBTOTAL(109,Tabla27[01. Alcaldía])</f>
        <v>0</v>
      </c>
      <c r="C5" s="23">
        <f>SUBTOTAL(109,Tabla27[02. Planeamiento urbanístico y vivienda])</f>
        <v>0</v>
      </c>
      <c r="D5" s="23">
        <f>SUBTOTAL(109,Tabla27[03. Participación ciudadana y deportes])</f>
        <v>0</v>
      </c>
      <c r="E5" s="23">
        <f>SUBTOTAL(109,Tabla27[04. Planificación y recursos])</f>
        <v>0</v>
      </c>
      <c r="F5" s="23">
        <f>SUBTOTAL(109,Tabla27[05. Innovación, desarrollo económico, empleo y comercio])</f>
        <v>0</v>
      </c>
      <c r="G5" s="23">
        <f>SUBTOTAL(109,Tabla27[06. Educación, infancia, juventud e igualdad])</f>
        <v>363</v>
      </c>
      <c r="H5" s="23">
        <f>SUBTOTAL(109,Tabla27[07. Medio ambiente y desarrollo sostenible])</f>
        <v>0</v>
      </c>
      <c r="I5" s="23">
        <f>SUBTOTAL(109,Tabla27[08. Movilidad y espacio urbano])</f>
        <v>0</v>
      </c>
      <c r="J5" s="23">
        <f>SUBTOTAL(109,Tabla27[09. Cultura y turismo])</f>
        <v>0</v>
      </c>
      <c r="K5" s="23">
        <f>SUBTOTAL(109,Tabla27[10. Servicios sociales y mediación comunitaria])</f>
        <v>0</v>
      </c>
      <c r="L5" s="23">
        <f>SUBTOTAL(109,Tabla27[11. Salud pública y seguridad ciudadana])</f>
        <v>8664.4599999999991</v>
      </c>
      <c r="M5" s="23">
        <f>SUBTOTAL(109,Tabla27[Total general])</f>
        <v>9027.4599999999991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MIXTA POR PROVEEDORES Y AREAS AYUNTAMIENTO DE VALLADOLID - PRIMER, SEGUNDO Y TERCER TRIMESTRE EJERCICIO 2021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ydelpozo</cp:lastModifiedBy>
  <cp:lastPrinted>2021-10-28T10:51:58Z</cp:lastPrinted>
  <dcterms:created xsi:type="dcterms:W3CDTF">2019-04-05T07:39:46Z</dcterms:created>
  <dcterms:modified xsi:type="dcterms:W3CDTF">2021-10-28T10:52:07Z</dcterms:modified>
</cp:coreProperties>
</file>